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lalone_carlie_epa_gov/Documents/clalone/Papers/SeqAPASS to Protein Structural comparisons/"/>
    </mc:Choice>
  </mc:AlternateContent>
  <xr:revisionPtr revIDLastSave="36" documentId="8_{8A07D4E3-E3F9-4E11-8AC1-01D38CC675A7}" xr6:coauthVersionLast="47" xr6:coauthVersionMax="47" xr10:uidLastSave="{F1D39714-C1C7-4FB6-8DB5-734FC964F273}"/>
  <bookViews>
    <workbookView xWindow="-23148" yWindow="-108" windowWidth="23256" windowHeight="12576" activeTab="3" xr2:uid="{1607E8BD-A887-46A1-92DD-1BC8AE595883}"/>
  </bookViews>
  <sheets>
    <sheet name="L1 LFABP Primary Report" sheetId="1" r:id="rId1"/>
    <sheet name="L1 LFABP Summary Report" sheetId="6" r:id="rId2"/>
    <sheet name="L3 LFABP Primary Report" sheetId="11" r:id="rId3"/>
    <sheet name="L3 LFABP Full Report" sheetId="12" r:id="rId4"/>
    <sheet name="L3 LFABP Summary Report" sheetId="10" r:id="rId5"/>
    <sheet name="L1 AR Primary Report" sheetId="2" r:id="rId6"/>
    <sheet name="L1 AR Summary Report" sheetId="7" r:id="rId7"/>
    <sheet name="L2 AR Primary Report" sheetId="3" r:id="rId8"/>
    <sheet name="L2  AR Summary Report" sheetId="8" r:id="rId9"/>
    <sheet name="L3 AR Primary Report" sheetId="4" r:id="rId10"/>
    <sheet name="L3 AR Full Report" sheetId="5" r:id="rId11"/>
    <sheet name="L3 AR Summary Report" sheetId="9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14" i="12" l="1"/>
  <c r="G714" i="12"/>
  <c r="E714" i="12"/>
  <c r="C714" i="12"/>
  <c r="I713" i="12"/>
  <c r="G713" i="12"/>
  <c r="E713" i="12"/>
  <c r="C713" i="12"/>
  <c r="I712" i="12"/>
  <c r="G712" i="12"/>
  <c r="E712" i="12"/>
  <c r="C712" i="12"/>
  <c r="I711" i="12"/>
  <c r="G711" i="12"/>
  <c r="E711" i="12"/>
  <c r="C711" i="12"/>
  <c r="I710" i="12"/>
  <c r="G710" i="12"/>
  <c r="E710" i="12"/>
  <c r="C710" i="12"/>
  <c r="I709" i="12"/>
  <c r="G709" i="12"/>
  <c r="E709" i="12"/>
  <c r="C709" i="12"/>
  <c r="I708" i="12"/>
  <c r="G708" i="12"/>
  <c r="E708" i="12"/>
  <c r="C708" i="12"/>
  <c r="I707" i="12"/>
  <c r="G707" i="12"/>
  <c r="E707" i="12"/>
  <c r="C707" i="12"/>
  <c r="I706" i="12"/>
  <c r="G706" i="12"/>
  <c r="E706" i="12"/>
  <c r="C706" i="12"/>
  <c r="I705" i="12"/>
  <c r="G705" i="12"/>
  <c r="E705" i="12"/>
  <c r="C705" i="12"/>
  <c r="I704" i="12"/>
  <c r="G704" i="12"/>
  <c r="E704" i="12"/>
  <c r="C704" i="12"/>
  <c r="I703" i="12"/>
  <c r="G703" i="12"/>
  <c r="E703" i="12"/>
  <c r="C703" i="12"/>
  <c r="I702" i="12"/>
  <c r="G702" i="12"/>
  <c r="E702" i="12"/>
  <c r="C702" i="12"/>
  <c r="I701" i="12"/>
  <c r="G701" i="12"/>
  <c r="E701" i="12"/>
  <c r="C701" i="12"/>
  <c r="I700" i="12"/>
  <c r="G700" i="12"/>
  <c r="E700" i="12"/>
  <c r="C700" i="12"/>
  <c r="I699" i="12"/>
  <c r="G699" i="12"/>
  <c r="E699" i="12"/>
  <c r="C699" i="12"/>
  <c r="I698" i="12"/>
  <c r="G698" i="12"/>
  <c r="E698" i="12"/>
  <c r="C698" i="12"/>
  <c r="I697" i="12"/>
  <c r="G697" i="12"/>
  <c r="E697" i="12"/>
  <c r="C697" i="12"/>
  <c r="I696" i="12"/>
  <c r="G696" i="12"/>
  <c r="E696" i="12"/>
  <c r="C696" i="12"/>
  <c r="I695" i="12"/>
  <c r="G695" i="12"/>
  <c r="E695" i="12"/>
  <c r="C695" i="12"/>
  <c r="I694" i="12"/>
  <c r="G694" i="12"/>
  <c r="E694" i="12"/>
  <c r="C694" i="12"/>
  <c r="I693" i="12"/>
  <c r="G693" i="12"/>
  <c r="E693" i="12"/>
  <c r="C693" i="12"/>
  <c r="I692" i="12"/>
  <c r="G692" i="12"/>
  <c r="E692" i="12"/>
  <c r="C692" i="12"/>
  <c r="I691" i="12"/>
  <c r="G691" i="12"/>
  <c r="E691" i="12"/>
  <c r="C691" i="12"/>
  <c r="I690" i="12"/>
  <c r="G690" i="12"/>
  <c r="E690" i="12"/>
  <c r="C690" i="12"/>
  <c r="I689" i="12"/>
  <c r="G689" i="12"/>
  <c r="E689" i="12"/>
  <c r="C689" i="12"/>
  <c r="I688" i="12"/>
  <c r="G688" i="12"/>
  <c r="E688" i="12"/>
  <c r="C688" i="12"/>
  <c r="I687" i="12"/>
  <c r="G687" i="12"/>
  <c r="E687" i="12"/>
  <c r="C687" i="12"/>
  <c r="I686" i="12"/>
  <c r="G686" i="12"/>
  <c r="E686" i="12"/>
  <c r="C686" i="12"/>
  <c r="I685" i="12"/>
  <c r="G685" i="12"/>
  <c r="E685" i="12"/>
  <c r="C685" i="12"/>
  <c r="I684" i="12"/>
  <c r="G684" i="12"/>
  <c r="E684" i="12"/>
  <c r="C684" i="12"/>
  <c r="I683" i="12"/>
  <c r="G683" i="12"/>
  <c r="E683" i="12"/>
  <c r="C683" i="12"/>
  <c r="I682" i="12"/>
  <c r="G682" i="12"/>
  <c r="E682" i="12"/>
  <c r="C682" i="12"/>
  <c r="I681" i="12"/>
  <c r="G681" i="12"/>
  <c r="E681" i="12"/>
  <c r="C681" i="12"/>
  <c r="I680" i="12"/>
  <c r="G680" i="12"/>
  <c r="E680" i="12"/>
  <c r="C680" i="12"/>
  <c r="I679" i="12"/>
  <c r="G679" i="12"/>
  <c r="E679" i="12"/>
  <c r="C679" i="12"/>
  <c r="I678" i="12"/>
  <c r="G678" i="12"/>
  <c r="E678" i="12"/>
  <c r="C678" i="12"/>
  <c r="I677" i="12"/>
  <c r="G677" i="12"/>
  <c r="E677" i="12"/>
  <c r="C677" i="12"/>
  <c r="I676" i="12"/>
  <c r="G676" i="12"/>
  <c r="E676" i="12"/>
  <c r="C676" i="12"/>
  <c r="I675" i="12"/>
  <c r="G675" i="12"/>
  <c r="E675" i="12"/>
  <c r="C675" i="12"/>
  <c r="I674" i="12"/>
  <c r="G674" i="12"/>
  <c r="E674" i="12"/>
  <c r="C674" i="12"/>
  <c r="I673" i="12"/>
  <c r="G673" i="12"/>
  <c r="E673" i="12"/>
  <c r="C673" i="12"/>
  <c r="I672" i="12"/>
  <c r="G672" i="12"/>
  <c r="E672" i="12"/>
  <c r="C672" i="12"/>
  <c r="I671" i="12"/>
  <c r="G671" i="12"/>
  <c r="E671" i="12"/>
  <c r="C671" i="12"/>
  <c r="I670" i="12"/>
  <c r="G670" i="12"/>
  <c r="E670" i="12"/>
  <c r="C670" i="12"/>
  <c r="I669" i="12"/>
  <c r="G669" i="12"/>
  <c r="E669" i="12"/>
  <c r="C669" i="12"/>
  <c r="I668" i="12"/>
  <c r="G668" i="12"/>
  <c r="E668" i="12"/>
  <c r="C668" i="12"/>
  <c r="I667" i="12"/>
  <c r="G667" i="12"/>
  <c r="E667" i="12"/>
  <c r="C667" i="12"/>
  <c r="I666" i="12"/>
  <c r="G666" i="12"/>
  <c r="E666" i="12"/>
  <c r="C666" i="12"/>
  <c r="I665" i="12"/>
  <c r="G665" i="12"/>
  <c r="E665" i="12"/>
  <c r="C665" i="12"/>
  <c r="I664" i="12"/>
  <c r="G664" i="12"/>
  <c r="E664" i="12"/>
  <c r="C664" i="12"/>
  <c r="I663" i="12"/>
  <c r="G663" i="12"/>
  <c r="E663" i="12"/>
  <c r="C663" i="12"/>
  <c r="I662" i="12"/>
  <c r="G662" i="12"/>
  <c r="E662" i="12"/>
  <c r="C662" i="12"/>
  <c r="I661" i="12"/>
  <c r="G661" i="12"/>
  <c r="E661" i="12"/>
  <c r="C661" i="12"/>
  <c r="I660" i="12"/>
  <c r="G660" i="12"/>
  <c r="E660" i="12"/>
  <c r="C660" i="12"/>
  <c r="I659" i="12"/>
  <c r="G659" i="12"/>
  <c r="E659" i="12"/>
  <c r="C659" i="12"/>
  <c r="I658" i="12"/>
  <c r="G658" i="12"/>
  <c r="E658" i="12"/>
  <c r="C658" i="12"/>
  <c r="I657" i="12"/>
  <c r="G657" i="12"/>
  <c r="E657" i="12"/>
  <c r="C657" i="12"/>
  <c r="I656" i="12"/>
  <c r="G656" i="12"/>
  <c r="E656" i="12"/>
  <c r="C656" i="12"/>
  <c r="I655" i="12"/>
  <c r="G655" i="12"/>
  <c r="E655" i="12"/>
  <c r="C655" i="12"/>
  <c r="I654" i="12"/>
  <c r="G654" i="12"/>
  <c r="E654" i="12"/>
  <c r="C654" i="12"/>
  <c r="I653" i="12"/>
  <c r="G653" i="12"/>
  <c r="E653" i="12"/>
  <c r="C653" i="12"/>
  <c r="I652" i="12"/>
  <c r="G652" i="12"/>
  <c r="E652" i="12"/>
  <c r="C652" i="12"/>
  <c r="I651" i="12"/>
  <c r="G651" i="12"/>
  <c r="E651" i="12"/>
  <c r="C651" i="12"/>
  <c r="I650" i="12"/>
  <c r="G650" i="12"/>
  <c r="E650" i="12"/>
  <c r="C650" i="12"/>
  <c r="I649" i="12"/>
  <c r="G649" i="12"/>
  <c r="E649" i="12"/>
  <c r="C649" i="12"/>
  <c r="I648" i="12"/>
  <c r="G648" i="12"/>
  <c r="E648" i="12"/>
  <c r="C648" i="12"/>
  <c r="I647" i="12"/>
  <c r="G647" i="12"/>
  <c r="E647" i="12"/>
  <c r="C647" i="12"/>
  <c r="I646" i="12"/>
  <c r="G646" i="12"/>
  <c r="E646" i="12"/>
  <c r="C646" i="12"/>
  <c r="I645" i="12"/>
  <c r="G645" i="12"/>
  <c r="E645" i="12"/>
  <c r="C645" i="12"/>
  <c r="I644" i="12"/>
  <c r="G644" i="12"/>
  <c r="E644" i="12"/>
  <c r="C644" i="12"/>
  <c r="I643" i="12"/>
  <c r="G643" i="12"/>
  <c r="E643" i="12"/>
  <c r="C643" i="12"/>
  <c r="I642" i="12"/>
  <c r="G642" i="12"/>
  <c r="E642" i="12"/>
  <c r="C642" i="12"/>
  <c r="I641" i="12"/>
  <c r="G641" i="12"/>
  <c r="E641" i="12"/>
  <c r="C641" i="12"/>
  <c r="I640" i="12"/>
  <c r="G640" i="12"/>
  <c r="E640" i="12"/>
  <c r="C640" i="12"/>
  <c r="I639" i="12"/>
  <c r="G639" i="12"/>
  <c r="E639" i="12"/>
  <c r="C639" i="12"/>
  <c r="I638" i="12"/>
  <c r="G638" i="12"/>
  <c r="E638" i="12"/>
  <c r="C638" i="12"/>
  <c r="I637" i="12"/>
  <c r="G637" i="12"/>
  <c r="E637" i="12"/>
  <c r="C637" i="12"/>
  <c r="I636" i="12"/>
  <c r="G636" i="12"/>
  <c r="E636" i="12"/>
  <c r="C636" i="12"/>
  <c r="I635" i="12"/>
  <c r="G635" i="12"/>
  <c r="E635" i="12"/>
  <c r="C635" i="12"/>
  <c r="I634" i="12"/>
  <c r="G634" i="12"/>
  <c r="E634" i="12"/>
  <c r="C634" i="12"/>
  <c r="I633" i="12"/>
  <c r="G633" i="12"/>
  <c r="E633" i="12"/>
  <c r="C633" i="12"/>
  <c r="I632" i="12"/>
  <c r="G632" i="12"/>
  <c r="E632" i="12"/>
  <c r="C632" i="12"/>
  <c r="I631" i="12"/>
  <c r="G631" i="12"/>
  <c r="E631" i="12"/>
  <c r="C631" i="12"/>
  <c r="I630" i="12"/>
  <c r="G630" i="12"/>
  <c r="E630" i="12"/>
  <c r="C630" i="12"/>
  <c r="I629" i="12"/>
  <c r="G629" i="12"/>
  <c r="E629" i="12"/>
  <c r="C629" i="12"/>
  <c r="I628" i="12"/>
  <c r="G628" i="12"/>
  <c r="E628" i="12"/>
  <c r="C628" i="12"/>
  <c r="I627" i="12"/>
  <c r="G627" i="12"/>
  <c r="E627" i="12"/>
  <c r="C627" i="12"/>
  <c r="I626" i="12"/>
  <c r="G626" i="12"/>
  <c r="E626" i="12"/>
  <c r="C626" i="12"/>
  <c r="I625" i="12"/>
  <c r="G625" i="12"/>
  <c r="E625" i="12"/>
  <c r="C625" i="12"/>
  <c r="I624" i="12"/>
  <c r="G624" i="12"/>
  <c r="E624" i="12"/>
  <c r="C624" i="12"/>
  <c r="I623" i="12"/>
  <c r="G623" i="12"/>
  <c r="E623" i="12"/>
  <c r="C623" i="12"/>
  <c r="I622" i="12"/>
  <c r="G622" i="12"/>
  <c r="E622" i="12"/>
  <c r="C622" i="12"/>
  <c r="I621" i="12"/>
  <c r="G621" i="12"/>
  <c r="E621" i="12"/>
  <c r="C621" i="12"/>
  <c r="I620" i="12"/>
  <c r="G620" i="12"/>
  <c r="E620" i="12"/>
  <c r="C620" i="12"/>
  <c r="I619" i="12"/>
  <c r="G619" i="12"/>
  <c r="E619" i="12"/>
  <c r="C619" i="12"/>
  <c r="I618" i="12"/>
  <c r="G618" i="12"/>
  <c r="E618" i="12"/>
  <c r="C618" i="12"/>
  <c r="I617" i="12"/>
  <c r="G617" i="12"/>
  <c r="E617" i="12"/>
  <c r="C617" i="12"/>
  <c r="I616" i="12"/>
  <c r="G616" i="12"/>
  <c r="E616" i="12"/>
  <c r="C616" i="12"/>
  <c r="I615" i="12"/>
  <c r="G615" i="12"/>
  <c r="E615" i="12"/>
  <c r="C615" i="12"/>
  <c r="I614" i="12"/>
  <c r="G614" i="12"/>
  <c r="E614" i="12"/>
  <c r="C614" i="12"/>
  <c r="I613" i="12"/>
  <c r="G613" i="12"/>
  <c r="E613" i="12"/>
  <c r="C613" i="12"/>
  <c r="I612" i="12"/>
  <c r="G612" i="12"/>
  <c r="E612" i="12"/>
  <c r="C612" i="12"/>
  <c r="I611" i="12"/>
  <c r="G611" i="12"/>
  <c r="E611" i="12"/>
  <c r="C611" i="12"/>
  <c r="I610" i="12"/>
  <c r="G610" i="12"/>
  <c r="E610" i="12"/>
  <c r="C610" i="12"/>
  <c r="I609" i="12"/>
  <c r="G609" i="12"/>
  <c r="E609" i="12"/>
  <c r="C609" i="12"/>
  <c r="I608" i="12"/>
  <c r="G608" i="12"/>
  <c r="E608" i="12"/>
  <c r="C608" i="12"/>
  <c r="I607" i="12"/>
  <c r="G607" i="12"/>
  <c r="E607" i="12"/>
  <c r="C607" i="12"/>
  <c r="I606" i="12"/>
  <c r="G606" i="12"/>
  <c r="E606" i="12"/>
  <c r="C606" i="12"/>
  <c r="I605" i="12"/>
  <c r="G605" i="12"/>
  <c r="E605" i="12"/>
  <c r="C605" i="12"/>
  <c r="I604" i="12"/>
  <c r="G604" i="12"/>
  <c r="E604" i="12"/>
  <c r="C604" i="12"/>
  <c r="I603" i="12"/>
  <c r="G603" i="12"/>
  <c r="E603" i="12"/>
  <c r="C603" i="12"/>
  <c r="I602" i="12"/>
  <c r="G602" i="12"/>
  <c r="E602" i="12"/>
  <c r="C602" i="12"/>
  <c r="I601" i="12"/>
  <c r="G601" i="12"/>
  <c r="E601" i="12"/>
  <c r="C601" i="12"/>
  <c r="I600" i="12"/>
  <c r="G600" i="12"/>
  <c r="E600" i="12"/>
  <c r="C600" i="12"/>
  <c r="I599" i="12"/>
  <c r="G599" i="12"/>
  <c r="E599" i="12"/>
  <c r="C599" i="12"/>
  <c r="I598" i="12"/>
  <c r="G598" i="12"/>
  <c r="E598" i="12"/>
  <c r="C598" i="12"/>
  <c r="I597" i="12"/>
  <c r="G597" i="12"/>
  <c r="E597" i="12"/>
  <c r="C597" i="12"/>
  <c r="I596" i="12"/>
  <c r="G596" i="12"/>
  <c r="E596" i="12"/>
  <c r="C596" i="12"/>
  <c r="I595" i="12"/>
  <c r="G595" i="12"/>
  <c r="E595" i="12"/>
  <c r="C595" i="12"/>
  <c r="I594" i="12"/>
  <c r="G594" i="12"/>
  <c r="E594" i="12"/>
  <c r="C594" i="12"/>
  <c r="I593" i="12"/>
  <c r="G593" i="12"/>
  <c r="E593" i="12"/>
  <c r="C593" i="12"/>
  <c r="I592" i="12"/>
  <c r="G592" i="12"/>
  <c r="E592" i="12"/>
  <c r="C592" i="12"/>
  <c r="I591" i="12"/>
  <c r="G591" i="12"/>
  <c r="E591" i="12"/>
  <c r="C591" i="12"/>
  <c r="I590" i="12"/>
  <c r="G590" i="12"/>
  <c r="E590" i="12"/>
  <c r="C590" i="12"/>
  <c r="I589" i="12"/>
  <c r="G589" i="12"/>
  <c r="E589" i="12"/>
  <c r="C589" i="12"/>
  <c r="I588" i="12"/>
  <c r="G588" i="12"/>
  <c r="E588" i="12"/>
  <c r="C588" i="12"/>
  <c r="I587" i="12"/>
  <c r="G587" i="12"/>
  <c r="E587" i="12"/>
  <c r="C587" i="12"/>
  <c r="I586" i="12"/>
  <c r="G586" i="12"/>
  <c r="E586" i="12"/>
  <c r="C586" i="12"/>
  <c r="I585" i="12"/>
  <c r="G585" i="12"/>
  <c r="E585" i="12"/>
  <c r="C585" i="12"/>
  <c r="I584" i="12"/>
  <c r="G584" i="12"/>
  <c r="E584" i="12"/>
  <c r="C584" i="12"/>
  <c r="I583" i="12"/>
  <c r="G583" i="12"/>
  <c r="E583" i="12"/>
  <c r="C583" i="12"/>
  <c r="I582" i="12"/>
  <c r="G582" i="12"/>
  <c r="E582" i="12"/>
  <c r="C582" i="12"/>
  <c r="I581" i="12"/>
  <c r="G581" i="12"/>
  <c r="E581" i="12"/>
  <c r="C581" i="12"/>
  <c r="I580" i="12"/>
  <c r="G580" i="12"/>
  <c r="E580" i="12"/>
  <c r="C580" i="12"/>
  <c r="I579" i="12"/>
  <c r="G579" i="12"/>
  <c r="E579" i="12"/>
  <c r="C579" i="12"/>
  <c r="I578" i="12"/>
  <c r="G578" i="12"/>
  <c r="E578" i="12"/>
  <c r="C578" i="12"/>
  <c r="I577" i="12"/>
  <c r="G577" i="12"/>
  <c r="E577" i="12"/>
  <c r="C577" i="12"/>
  <c r="I576" i="12"/>
  <c r="G576" i="12"/>
  <c r="E576" i="12"/>
  <c r="C576" i="12"/>
  <c r="I575" i="12"/>
  <c r="G575" i="12"/>
  <c r="E575" i="12"/>
  <c r="C575" i="12"/>
  <c r="I574" i="12"/>
  <c r="G574" i="12"/>
  <c r="E574" i="12"/>
  <c r="C574" i="12"/>
  <c r="I573" i="12"/>
  <c r="G573" i="12"/>
  <c r="E573" i="12"/>
  <c r="C573" i="12"/>
  <c r="I572" i="12"/>
  <c r="G572" i="12"/>
  <c r="E572" i="12"/>
  <c r="C572" i="12"/>
  <c r="I571" i="12"/>
  <c r="G571" i="12"/>
  <c r="E571" i="12"/>
  <c r="C571" i="12"/>
  <c r="I570" i="12"/>
  <c r="G570" i="12"/>
  <c r="E570" i="12"/>
  <c r="C570" i="12"/>
  <c r="I569" i="12"/>
  <c r="G569" i="12"/>
  <c r="E569" i="12"/>
  <c r="C569" i="12"/>
  <c r="I568" i="12"/>
  <c r="G568" i="12"/>
  <c r="E568" i="12"/>
  <c r="C568" i="12"/>
  <c r="I567" i="12"/>
  <c r="G567" i="12"/>
  <c r="E567" i="12"/>
  <c r="C567" i="12"/>
  <c r="I566" i="12"/>
  <c r="G566" i="12"/>
  <c r="E566" i="12"/>
  <c r="C566" i="12"/>
  <c r="I565" i="12"/>
  <c r="G565" i="12"/>
  <c r="E565" i="12"/>
  <c r="C565" i="12"/>
  <c r="I564" i="12"/>
  <c r="G564" i="12"/>
  <c r="E564" i="12"/>
  <c r="C564" i="12"/>
  <c r="I563" i="12"/>
  <c r="G563" i="12"/>
  <c r="E563" i="12"/>
  <c r="C563" i="12"/>
  <c r="I562" i="12"/>
  <c r="G562" i="12"/>
  <c r="E562" i="12"/>
  <c r="C562" i="12"/>
  <c r="I561" i="12"/>
  <c r="G561" i="12"/>
  <c r="E561" i="12"/>
  <c r="C561" i="12"/>
  <c r="I560" i="12"/>
  <c r="G560" i="12"/>
  <c r="E560" i="12"/>
  <c r="C560" i="12"/>
  <c r="I559" i="12"/>
  <c r="G559" i="12"/>
  <c r="E559" i="12"/>
  <c r="C559" i="12"/>
  <c r="I558" i="12"/>
  <c r="G558" i="12"/>
  <c r="E558" i="12"/>
  <c r="C558" i="12"/>
  <c r="I557" i="12"/>
  <c r="G557" i="12"/>
  <c r="E557" i="12"/>
  <c r="C557" i="12"/>
  <c r="I556" i="12"/>
  <c r="G556" i="12"/>
  <c r="E556" i="12"/>
  <c r="C556" i="12"/>
  <c r="I555" i="12"/>
  <c r="G555" i="12"/>
  <c r="E555" i="12"/>
  <c r="C555" i="12"/>
  <c r="I554" i="12"/>
  <c r="G554" i="12"/>
  <c r="E554" i="12"/>
  <c r="C554" i="12"/>
  <c r="I553" i="12"/>
  <c r="G553" i="12"/>
  <c r="E553" i="12"/>
  <c r="C553" i="12"/>
  <c r="I552" i="12"/>
  <c r="G552" i="12"/>
  <c r="E552" i="12"/>
  <c r="C552" i="12"/>
  <c r="I551" i="12"/>
  <c r="G551" i="12"/>
  <c r="E551" i="12"/>
  <c r="C551" i="12"/>
  <c r="I550" i="12"/>
  <c r="G550" i="12"/>
  <c r="E550" i="12"/>
  <c r="C550" i="12"/>
  <c r="I549" i="12"/>
  <c r="G549" i="12"/>
  <c r="E549" i="12"/>
  <c r="C549" i="12"/>
  <c r="I548" i="12"/>
  <c r="G548" i="12"/>
  <c r="E548" i="12"/>
  <c r="C548" i="12"/>
  <c r="I547" i="12"/>
  <c r="G547" i="12"/>
  <c r="E547" i="12"/>
  <c r="C547" i="12"/>
  <c r="I546" i="12"/>
  <c r="G546" i="12"/>
  <c r="E546" i="12"/>
  <c r="C546" i="12"/>
  <c r="I545" i="12"/>
  <c r="G545" i="12"/>
  <c r="E545" i="12"/>
  <c r="C545" i="12"/>
  <c r="I544" i="12"/>
  <c r="G544" i="12"/>
  <c r="E544" i="12"/>
  <c r="C544" i="12"/>
  <c r="I543" i="12"/>
  <c r="G543" i="12"/>
  <c r="E543" i="12"/>
  <c r="C543" i="12"/>
  <c r="I542" i="12"/>
  <c r="G542" i="12"/>
  <c r="E542" i="12"/>
  <c r="C542" i="12"/>
  <c r="I541" i="12"/>
  <c r="G541" i="12"/>
  <c r="E541" i="12"/>
  <c r="C541" i="12"/>
  <c r="I540" i="12"/>
  <c r="G540" i="12"/>
  <c r="E540" i="12"/>
  <c r="C540" i="12"/>
  <c r="I539" i="12"/>
  <c r="G539" i="12"/>
  <c r="E539" i="12"/>
  <c r="C539" i="12"/>
  <c r="I538" i="12"/>
  <c r="G538" i="12"/>
  <c r="E538" i="12"/>
  <c r="C538" i="12"/>
  <c r="I537" i="12"/>
  <c r="G537" i="12"/>
  <c r="E537" i="12"/>
  <c r="C537" i="12"/>
  <c r="I536" i="12"/>
  <c r="G536" i="12"/>
  <c r="E536" i="12"/>
  <c r="C536" i="12"/>
  <c r="I535" i="12"/>
  <c r="G535" i="12"/>
  <c r="E535" i="12"/>
  <c r="C535" i="12"/>
  <c r="I534" i="12"/>
  <c r="G534" i="12"/>
  <c r="E534" i="12"/>
  <c r="C534" i="12"/>
  <c r="I533" i="12"/>
  <c r="G533" i="12"/>
  <c r="E533" i="12"/>
  <c r="C533" i="12"/>
  <c r="I532" i="12"/>
  <c r="G532" i="12"/>
  <c r="E532" i="12"/>
  <c r="C532" i="12"/>
  <c r="I531" i="12"/>
  <c r="G531" i="12"/>
  <c r="E531" i="12"/>
  <c r="C531" i="12"/>
  <c r="I530" i="12"/>
  <c r="G530" i="12"/>
  <c r="E530" i="12"/>
  <c r="C530" i="12"/>
  <c r="I529" i="12"/>
  <c r="G529" i="12"/>
  <c r="E529" i="12"/>
  <c r="C529" i="12"/>
  <c r="I528" i="12"/>
  <c r="G528" i="12"/>
  <c r="E528" i="12"/>
  <c r="C528" i="12"/>
  <c r="I527" i="12"/>
  <c r="G527" i="12"/>
  <c r="E527" i="12"/>
  <c r="C527" i="12"/>
  <c r="I526" i="12"/>
  <c r="G526" i="12"/>
  <c r="E526" i="12"/>
  <c r="C526" i="12"/>
  <c r="I525" i="12"/>
  <c r="G525" i="12"/>
  <c r="E525" i="12"/>
  <c r="C525" i="12"/>
  <c r="I524" i="12"/>
  <c r="G524" i="12"/>
  <c r="E524" i="12"/>
  <c r="C524" i="12"/>
  <c r="I523" i="12"/>
  <c r="G523" i="12"/>
  <c r="E523" i="12"/>
  <c r="C523" i="12"/>
  <c r="I522" i="12"/>
  <c r="G522" i="12"/>
  <c r="E522" i="12"/>
  <c r="C522" i="12"/>
  <c r="I521" i="12"/>
  <c r="G521" i="12"/>
  <c r="E521" i="12"/>
  <c r="C521" i="12"/>
  <c r="I520" i="12"/>
  <c r="G520" i="12"/>
  <c r="E520" i="12"/>
  <c r="C520" i="12"/>
  <c r="I519" i="12"/>
  <c r="G519" i="12"/>
  <c r="E519" i="12"/>
  <c r="C519" i="12"/>
  <c r="I518" i="12"/>
  <c r="G518" i="12"/>
  <c r="E518" i="12"/>
  <c r="C518" i="12"/>
  <c r="I517" i="12"/>
  <c r="G517" i="12"/>
  <c r="E517" i="12"/>
  <c r="C517" i="12"/>
  <c r="I516" i="12"/>
  <c r="G516" i="12"/>
  <c r="E516" i="12"/>
  <c r="C516" i="12"/>
  <c r="I515" i="12"/>
  <c r="G515" i="12"/>
  <c r="E515" i="12"/>
  <c r="C515" i="12"/>
  <c r="I514" i="12"/>
  <c r="G514" i="12"/>
  <c r="E514" i="12"/>
  <c r="C514" i="12"/>
  <c r="I513" i="12"/>
  <c r="G513" i="12"/>
  <c r="E513" i="12"/>
  <c r="C513" i="12"/>
  <c r="I512" i="12"/>
  <c r="G512" i="12"/>
  <c r="E512" i="12"/>
  <c r="C512" i="12"/>
  <c r="I511" i="12"/>
  <c r="G511" i="12"/>
  <c r="E511" i="12"/>
  <c r="C511" i="12"/>
  <c r="I510" i="12"/>
  <c r="G510" i="12"/>
  <c r="E510" i="12"/>
  <c r="C510" i="12"/>
  <c r="I509" i="12"/>
  <c r="G509" i="12"/>
  <c r="E509" i="12"/>
  <c r="C509" i="12"/>
  <c r="I508" i="12"/>
  <c r="G508" i="12"/>
  <c r="E508" i="12"/>
  <c r="C508" i="12"/>
  <c r="I507" i="12"/>
  <c r="G507" i="12"/>
  <c r="E507" i="12"/>
  <c r="C507" i="12"/>
  <c r="I506" i="12"/>
  <c r="G506" i="12"/>
  <c r="E506" i="12"/>
  <c r="C506" i="12"/>
  <c r="I505" i="12"/>
  <c r="G505" i="12"/>
  <c r="E505" i="12"/>
  <c r="C505" i="12"/>
  <c r="I504" i="12"/>
  <c r="G504" i="12"/>
  <c r="E504" i="12"/>
  <c r="C504" i="12"/>
  <c r="I503" i="12"/>
  <c r="G503" i="12"/>
  <c r="E503" i="12"/>
  <c r="C503" i="12"/>
  <c r="I502" i="12"/>
  <c r="G502" i="12"/>
  <c r="E502" i="12"/>
  <c r="C502" i="12"/>
  <c r="I501" i="12"/>
  <c r="G501" i="12"/>
  <c r="E501" i="12"/>
  <c r="C501" i="12"/>
  <c r="I500" i="12"/>
  <c r="G500" i="12"/>
  <c r="E500" i="12"/>
  <c r="C500" i="12"/>
  <c r="I499" i="12"/>
  <c r="G499" i="12"/>
  <c r="E499" i="12"/>
  <c r="C499" i="12"/>
  <c r="I498" i="12"/>
  <c r="G498" i="12"/>
  <c r="E498" i="12"/>
  <c r="C498" i="12"/>
  <c r="I497" i="12"/>
  <c r="G497" i="12"/>
  <c r="E497" i="12"/>
  <c r="C497" i="12"/>
  <c r="I496" i="12"/>
  <c r="G496" i="12"/>
  <c r="E496" i="12"/>
  <c r="C496" i="12"/>
  <c r="I495" i="12"/>
  <c r="G495" i="12"/>
  <c r="E495" i="12"/>
  <c r="C495" i="12"/>
  <c r="I494" i="12"/>
  <c r="G494" i="12"/>
  <c r="E494" i="12"/>
  <c r="C494" i="12"/>
  <c r="I493" i="12"/>
  <c r="G493" i="12"/>
  <c r="E493" i="12"/>
  <c r="C493" i="12"/>
  <c r="I492" i="12"/>
  <c r="G492" i="12"/>
  <c r="E492" i="12"/>
  <c r="C492" i="12"/>
  <c r="I491" i="12"/>
  <c r="G491" i="12"/>
  <c r="E491" i="12"/>
  <c r="C491" i="12"/>
  <c r="I490" i="12"/>
  <c r="G490" i="12"/>
  <c r="E490" i="12"/>
  <c r="C490" i="12"/>
  <c r="I489" i="12"/>
  <c r="G489" i="12"/>
  <c r="E489" i="12"/>
  <c r="C489" i="12"/>
  <c r="I488" i="12"/>
  <c r="G488" i="12"/>
  <c r="E488" i="12"/>
  <c r="C488" i="12"/>
  <c r="I487" i="12"/>
  <c r="G487" i="12"/>
  <c r="E487" i="12"/>
  <c r="C487" i="12"/>
  <c r="I486" i="12"/>
  <c r="G486" i="12"/>
  <c r="E486" i="12"/>
  <c r="C486" i="12"/>
  <c r="I485" i="12"/>
  <c r="G485" i="12"/>
  <c r="E485" i="12"/>
  <c r="C485" i="12"/>
  <c r="I484" i="12"/>
  <c r="G484" i="12"/>
  <c r="E484" i="12"/>
  <c r="C484" i="12"/>
  <c r="I483" i="12"/>
  <c r="G483" i="12"/>
  <c r="E483" i="12"/>
  <c r="C483" i="12"/>
  <c r="I482" i="12"/>
  <c r="G482" i="12"/>
  <c r="E482" i="12"/>
  <c r="C482" i="12"/>
  <c r="I481" i="12"/>
  <c r="G481" i="12"/>
  <c r="E481" i="12"/>
  <c r="C481" i="12"/>
  <c r="I480" i="12"/>
  <c r="G480" i="12"/>
  <c r="E480" i="12"/>
  <c r="C480" i="12"/>
  <c r="I479" i="12"/>
  <c r="G479" i="12"/>
  <c r="E479" i="12"/>
  <c r="C479" i="12"/>
  <c r="I478" i="12"/>
  <c r="G478" i="12"/>
  <c r="E478" i="12"/>
  <c r="C478" i="12"/>
  <c r="I477" i="12"/>
  <c r="G477" i="12"/>
  <c r="E477" i="12"/>
  <c r="C477" i="12"/>
  <c r="I476" i="12"/>
  <c r="G476" i="12"/>
  <c r="E476" i="12"/>
  <c r="C476" i="12"/>
  <c r="I475" i="12"/>
  <c r="G475" i="12"/>
  <c r="E475" i="12"/>
  <c r="C475" i="12"/>
  <c r="I474" i="12"/>
  <c r="G474" i="12"/>
  <c r="E474" i="12"/>
  <c r="C474" i="12"/>
  <c r="I473" i="12"/>
  <c r="G473" i="12"/>
  <c r="E473" i="12"/>
  <c r="C473" i="12"/>
  <c r="I472" i="12"/>
  <c r="G472" i="12"/>
  <c r="E472" i="12"/>
  <c r="C472" i="12"/>
  <c r="I471" i="12"/>
  <c r="G471" i="12"/>
  <c r="E471" i="12"/>
  <c r="C471" i="12"/>
  <c r="I470" i="12"/>
  <c r="G470" i="12"/>
  <c r="E470" i="12"/>
  <c r="C470" i="12"/>
  <c r="I469" i="12"/>
  <c r="G469" i="12"/>
  <c r="E469" i="12"/>
  <c r="C469" i="12"/>
  <c r="I468" i="12"/>
  <c r="G468" i="12"/>
  <c r="E468" i="12"/>
  <c r="C468" i="12"/>
  <c r="I467" i="12"/>
  <c r="G467" i="12"/>
  <c r="E467" i="12"/>
  <c r="C467" i="12"/>
  <c r="I466" i="12"/>
  <c r="G466" i="12"/>
  <c r="E466" i="12"/>
  <c r="C466" i="12"/>
  <c r="I465" i="12"/>
  <c r="G465" i="12"/>
  <c r="E465" i="12"/>
  <c r="C465" i="12"/>
  <c r="I464" i="12"/>
  <c r="G464" i="12"/>
  <c r="E464" i="12"/>
  <c r="C464" i="12"/>
  <c r="I463" i="12"/>
  <c r="G463" i="12"/>
  <c r="E463" i="12"/>
  <c r="C463" i="12"/>
  <c r="I462" i="12"/>
  <c r="G462" i="12"/>
  <c r="E462" i="12"/>
  <c r="C462" i="12"/>
  <c r="I461" i="12"/>
  <c r="G461" i="12"/>
  <c r="E461" i="12"/>
  <c r="C461" i="12"/>
  <c r="I460" i="12"/>
  <c r="G460" i="12"/>
  <c r="E460" i="12"/>
  <c r="C460" i="12"/>
  <c r="I459" i="12"/>
  <c r="G459" i="12"/>
  <c r="E459" i="12"/>
  <c r="C459" i="12"/>
  <c r="I458" i="12"/>
  <c r="G458" i="12"/>
  <c r="E458" i="12"/>
  <c r="C458" i="12"/>
  <c r="I457" i="12"/>
  <c r="G457" i="12"/>
  <c r="E457" i="12"/>
  <c r="C457" i="12"/>
  <c r="I456" i="12"/>
  <c r="G456" i="12"/>
  <c r="E456" i="12"/>
  <c r="C456" i="12"/>
  <c r="I455" i="12"/>
  <c r="G455" i="12"/>
  <c r="E455" i="12"/>
  <c r="C455" i="12"/>
  <c r="I454" i="12"/>
  <c r="G454" i="12"/>
  <c r="E454" i="12"/>
  <c r="C454" i="12"/>
  <c r="I453" i="12"/>
  <c r="G453" i="12"/>
  <c r="E453" i="12"/>
  <c r="C453" i="12"/>
  <c r="I452" i="12"/>
  <c r="G452" i="12"/>
  <c r="E452" i="12"/>
  <c r="C452" i="12"/>
  <c r="I451" i="12"/>
  <c r="G451" i="12"/>
  <c r="E451" i="12"/>
  <c r="C451" i="12"/>
  <c r="I450" i="12"/>
  <c r="G450" i="12"/>
  <c r="E450" i="12"/>
  <c r="C450" i="12"/>
  <c r="I449" i="12"/>
  <c r="G449" i="12"/>
  <c r="E449" i="12"/>
  <c r="C449" i="12"/>
  <c r="I448" i="12"/>
  <c r="G448" i="12"/>
  <c r="E448" i="12"/>
  <c r="C448" i="12"/>
  <c r="I447" i="12"/>
  <c r="G447" i="12"/>
  <c r="E447" i="12"/>
  <c r="C447" i="12"/>
  <c r="I446" i="12"/>
  <c r="G446" i="12"/>
  <c r="E446" i="12"/>
  <c r="C446" i="12"/>
  <c r="I445" i="12"/>
  <c r="G445" i="12"/>
  <c r="E445" i="12"/>
  <c r="C445" i="12"/>
  <c r="I444" i="12"/>
  <c r="G444" i="12"/>
  <c r="E444" i="12"/>
  <c r="C444" i="12"/>
  <c r="I443" i="12"/>
  <c r="G443" i="12"/>
  <c r="E443" i="12"/>
  <c r="C443" i="12"/>
  <c r="I442" i="12"/>
  <c r="G442" i="12"/>
  <c r="E442" i="12"/>
  <c r="C442" i="12"/>
  <c r="I441" i="12"/>
  <c r="G441" i="12"/>
  <c r="E441" i="12"/>
  <c r="C441" i="12"/>
  <c r="I440" i="12"/>
  <c r="G440" i="12"/>
  <c r="E440" i="12"/>
  <c r="C440" i="12"/>
  <c r="I439" i="12"/>
  <c r="G439" i="12"/>
  <c r="E439" i="12"/>
  <c r="C439" i="12"/>
  <c r="I438" i="12"/>
  <c r="G438" i="12"/>
  <c r="E438" i="12"/>
  <c r="C438" i="12"/>
  <c r="I437" i="12"/>
  <c r="G437" i="12"/>
  <c r="E437" i="12"/>
  <c r="C437" i="12"/>
  <c r="I436" i="12"/>
  <c r="G436" i="12"/>
  <c r="E436" i="12"/>
  <c r="C436" i="12"/>
  <c r="I435" i="12"/>
  <c r="G435" i="12"/>
  <c r="E435" i="12"/>
  <c r="C435" i="12"/>
  <c r="I434" i="12"/>
  <c r="G434" i="12"/>
  <c r="E434" i="12"/>
  <c r="C434" i="12"/>
  <c r="I433" i="12"/>
  <c r="G433" i="12"/>
  <c r="E433" i="12"/>
  <c r="C433" i="12"/>
  <c r="I432" i="12"/>
  <c r="G432" i="12"/>
  <c r="E432" i="12"/>
  <c r="C432" i="12"/>
  <c r="I431" i="12"/>
  <c r="G431" i="12"/>
  <c r="E431" i="12"/>
  <c r="C431" i="12"/>
  <c r="I430" i="12"/>
  <c r="G430" i="12"/>
  <c r="E430" i="12"/>
  <c r="C430" i="12"/>
  <c r="I429" i="12"/>
  <c r="G429" i="12"/>
  <c r="E429" i="12"/>
  <c r="C429" i="12"/>
  <c r="I428" i="12"/>
  <c r="G428" i="12"/>
  <c r="E428" i="12"/>
  <c r="C428" i="12"/>
  <c r="I427" i="12"/>
  <c r="G427" i="12"/>
  <c r="E427" i="12"/>
  <c r="C427" i="12"/>
  <c r="I426" i="12"/>
  <c r="G426" i="12"/>
  <c r="E426" i="12"/>
  <c r="C426" i="12"/>
  <c r="I425" i="12"/>
  <c r="G425" i="12"/>
  <c r="E425" i="12"/>
  <c r="C425" i="12"/>
  <c r="I424" i="12"/>
  <c r="G424" i="12"/>
  <c r="E424" i="12"/>
  <c r="C424" i="12"/>
  <c r="I423" i="12"/>
  <c r="G423" i="12"/>
  <c r="E423" i="12"/>
  <c r="C423" i="12"/>
  <c r="I422" i="12"/>
  <c r="G422" i="12"/>
  <c r="E422" i="12"/>
  <c r="C422" i="12"/>
  <c r="I421" i="12"/>
  <c r="G421" i="12"/>
  <c r="E421" i="12"/>
  <c r="C421" i="12"/>
  <c r="I420" i="12"/>
  <c r="G420" i="12"/>
  <c r="E420" i="12"/>
  <c r="C420" i="12"/>
  <c r="I419" i="12"/>
  <c r="G419" i="12"/>
  <c r="E419" i="12"/>
  <c r="C419" i="12"/>
  <c r="I418" i="12"/>
  <c r="G418" i="12"/>
  <c r="E418" i="12"/>
  <c r="C418" i="12"/>
  <c r="I417" i="12"/>
  <c r="G417" i="12"/>
  <c r="E417" i="12"/>
  <c r="C417" i="12"/>
  <c r="I416" i="12"/>
  <c r="G416" i="12"/>
  <c r="E416" i="12"/>
  <c r="C416" i="12"/>
  <c r="I415" i="12"/>
  <c r="G415" i="12"/>
  <c r="E415" i="12"/>
  <c r="C415" i="12"/>
  <c r="I414" i="12"/>
  <c r="G414" i="12"/>
  <c r="E414" i="12"/>
  <c r="C414" i="12"/>
  <c r="I413" i="12"/>
  <c r="G413" i="12"/>
  <c r="E413" i="12"/>
  <c r="C413" i="12"/>
  <c r="I412" i="12"/>
  <c r="G412" i="12"/>
  <c r="E412" i="12"/>
  <c r="C412" i="12"/>
  <c r="I411" i="12"/>
  <c r="G411" i="12"/>
  <c r="E411" i="12"/>
  <c r="C411" i="12"/>
  <c r="I410" i="12"/>
  <c r="G410" i="12"/>
  <c r="E410" i="12"/>
  <c r="C410" i="12"/>
  <c r="I409" i="12"/>
  <c r="G409" i="12"/>
  <c r="E409" i="12"/>
  <c r="C409" i="12"/>
  <c r="I408" i="12"/>
  <c r="G408" i="12"/>
  <c r="E408" i="12"/>
  <c r="C408" i="12"/>
  <c r="I407" i="12"/>
  <c r="G407" i="12"/>
  <c r="E407" i="12"/>
  <c r="C407" i="12"/>
  <c r="I406" i="12"/>
  <c r="G406" i="12"/>
  <c r="E406" i="12"/>
  <c r="C406" i="12"/>
  <c r="I405" i="12"/>
  <c r="G405" i="12"/>
  <c r="E405" i="12"/>
  <c r="C405" i="12"/>
  <c r="I404" i="12"/>
  <c r="G404" i="12"/>
  <c r="E404" i="12"/>
  <c r="C404" i="12"/>
  <c r="I403" i="12"/>
  <c r="G403" i="12"/>
  <c r="E403" i="12"/>
  <c r="C403" i="12"/>
  <c r="I402" i="12"/>
  <c r="G402" i="12"/>
  <c r="E402" i="12"/>
  <c r="C402" i="12"/>
  <c r="I401" i="12"/>
  <c r="G401" i="12"/>
  <c r="E401" i="12"/>
  <c r="C401" i="12"/>
  <c r="I400" i="12"/>
  <c r="G400" i="12"/>
  <c r="E400" i="12"/>
  <c r="C400" i="12"/>
  <c r="I399" i="12"/>
  <c r="G399" i="12"/>
  <c r="E399" i="12"/>
  <c r="C399" i="12"/>
  <c r="I398" i="12"/>
  <c r="G398" i="12"/>
  <c r="E398" i="12"/>
  <c r="C398" i="12"/>
  <c r="I397" i="12"/>
  <c r="G397" i="12"/>
  <c r="E397" i="12"/>
  <c r="C397" i="12"/>
  <c r="I396" i="12"/>
  <c r="G396" i="12"/>
  <c r="E396" i="12"/>
  <c r="C396" i="12"/>
  <c r="I395" i="12"/>
  <c r="G395" i="12"/>
  <c r="E395" i="12"/>
  <c r="C395" i="12"/>
  <c r="I394" i="12"/>
  <c r="G394" i="12"/>
  <c r="E394" i="12"/>
  <c r="C394" i="12"/>
  <c r="I393" i="12"/>
  <c r="G393" i="12"/>
  <c r="E393" i="12"/>
  <c r="C393" i="12"/>
  <c r="I392" i="12"/>
  <c r="G392" i="12"/>
  <c r="E392" i="12"/>
  <c r="C392" i="12"/>
  <c r="I391" i="12"/>
  <c r="G391" i="12"/>
  <c r="E391" i="12"/>
  <c r="C391" i="12"/>
  <c r="I390" i="12"/>
  <c r="G390" i="12"/>
  <c r="E390" i="12"/>
  <c r="C390" i="12"/>
  <c r="I389" i="12"/>
  <c r="G389" i="12"/>
  <c r="E389" i="12"/>
  <c r="C389" i="12"/>
  <c r="I388" i="12"/>
  <c r="G388" i="12"/>
  <c r="E388" i="12"/>
  <c r="C388" i="12"/>
  <c r="I387" i="12"/>
  <c r="G387" i="12"/>
  <c r="E387" i="12"/>
  <c r="C387" i="12"/>
  <c r="I386" i="12"/>
  <c r="G386" i="12"/>
  <c r="E386" i="12"/>
  <c r="C386" i="12"/>
  <c r="I385" i="12"/>
  <c r="G385" i="12"/>
  <c r="E385" i="12"/>
  <c r="C385" i="12"/>
  <c r="I384" i="12"/>
  <c r="G384" i="12"/>
  <c r="E384" i="12"/>
  <c r="C384" i="12"/>
  <c r="I383" i="12"/>
  <c r="G383" i="12"/>
  <c r="E383" i="12"/>
  <c r="C383" i="12"/>
  <c r="I382" i="12"/>
  <c r="G382" i="12"/>
  <c r="E382" i="12"/>
  <c r="C382" i="12"/>
  <c r="I381" i="12"/>
  <c r="G381" i="12"/>
  <c r="E381" i="12"/>
  <c r="C381" i="12"/>
  <c r="I380" i="12"/>
  <c r="G380" i="12"/>
  <c r="E380" i="12"/>
  <c r="C380" i="12"/>
  <c r="I379" i="12"/>
  <c r="G379" i="12"/>
  <c r="E379" i="12"/>
  <c r="C379" i="12"/>
  <c r="I378" i="12"/>
  <c r="G378" i="12"/>
  <c r="E378" i="12"/>
  <c r="C378" i="12"/>
  <c r="I377" i="12"/>
  <c r="G377" i="12"/>
  <c r="E377" i="12"/>
  <c r="C377" i="12"/>
  <c r="I376" i="12"/>
  <c r="G376" i="12"/>
  <c r="E376" i="12"/>
  <c r="C376" i="12"/>
  <c r="I375" i="12"/>
  <c r="G375" i="12"/>
  <c r="E375" i="12"/>
  <c r="C375" i="12"/>
  <c r="I374" i="12"/>
  <c r="G374" i="12"/>
  <c r="E374" i="12"/>
  <c r="C374" i="12"/>
  <c r="I373" i="12"/>
  <c r="G373" i="12"/>
  <c r="E373" i="12"/>
  <c r="C373" i="12"/>
  <c r="I372" i="12"/>
  <c r="G372" i="12"/>
  <c r="E372" i="12"/>
  <c r="C372" i="12"/>
  <c r="I371" i="12"/>
  <c r="G371" i="12"/>
  <c r="E371" i="12"/>
  <c r="C371" i="12"/>
  <c r="I370" i="12"/>
  <c r="G370" i="12"/>
  <c r="E370" i="12"/>
  <c r="C370" i="12"/>
  <c r="I369" i="12"/>
  <c r="G369" i="12"/>
  <c r="E369" i="12"/>
  <c r="C369" i="12"/>
  <c r="I368" i="12"/>
  <c r="G368" i="12"/>
  <c r="E368" i="12"/>
  <c r="C368" i="12"/>
  <c r="I367" i="12"/>
  <c r="G367" i="12"/>
  <c r="E367" i="12"/>
  <c r="C367" i="12"/>
  <c r="I366" i="12"/>
  <c r="G366" i="12"/>
  <c r="E366" i="12"/>
  <c r="C366" i="12"/>
  <c r="I365" i="12"/>
  <c r="G365" i="12"/>
  <c r="E365" i="12"/>
  <c r="C365" i="12"/>
  <c r="I364" i="12"/>
  <c r="G364" i="12"/>
  <c r="E364" i="12"/>
  <c r="C364" i="12"/>
  <c r="I363" i="12"/>
  <c r="G363" i="12"/>
  <c r="E363" i="12"/>
  <c r="C363" i="12"/>
  <c r="I362" i="12"/>
  <c r="G362" i="12"/>
  <c r="E362" i="12"/>
  <c r="C362" i="12"/>
  <c r="I361" i="12"/>
  <c r="G361" i="12"/>
  <c r="E361" i="12"/>
  <c r="C361" i="12"/>
  <c r="I360" i="12"/>
  <c r="G360" i="12"/>
  <c r="E360" i="12"/>
  <c r="C360" i="12"/>
  <c r="I359" i="12"/>
  <c r="G359" i="12"/>
  <c r="E359" i="12"/>
  <c r="C359" i="12"/>
  <c r="I358" i="12"/>
  <c r="G358" i="12"/>
  <c r="E358" i="12"/>
  <c r="C358" i="12"/>
  <c r="I357" i="12"/>
  <c r="G357" i="12"/>
  <c r="E357" i="12"/>
  <c r="C357" i="12"/>
  <c r="I356" i="12"/>
  <c r="G356" i="12"/>
  <c r="E356" i="12"/>
  <c r="C356" i="12"/>
  <c r="I355" i="12"/>
  <c r="G355" i="12"/>
  <c r="E355" i="12"/>
  <c r="C355" i="12"/>
  <c r="I354" i="12"/>
  <c r="G354" i="12"/>
  <c r="E354" i="12"/>
  <c r="C354" i="12"/>
  <c r="I353" i="12"/>
  <c r="G353" i="12"/>
  <c r="E353" i="12"/>
  <c r="C353" i="12"/>
  <c r="I352" i="12"/>
  <c r="G352" i="12"/>
  <c r="E352" i="12"/>
  <c r="C352" i="12"/>
  <c r="I351" i="12"/>
  <c r="G351" i="12"/>
  <c r="E351" i="12"/>
  <c r="C351" i="12"/>
  <c r="I350" i="12"/>
  <c r="G350" i="12"/>
  <c r="E350" i="12"/>
  <c r="C350" i="12"/>
  <c r="I349" i="12"/>
  <c r="G349" i="12"/>
  <c r="E349" i="12"/>
  <c r="C349" i="12"/>
  <c r="I348" i="12"/>
  <c r="G348" i="12"/>
  <c r="E348" i="12"/>
  <c r="C348" i="12"/>
  <c r="I347" i="12"/>
  <c r="G347" i="12"/>
  <c r="E347" i="12"/>
  <c r="C347" i="12"/>
  <c r="I346" i="12"/>
  <c r="G346" i="12"/>
  <c r="E346" i="12"/>
  <c r="C346" i="12"/>
  <c r="I345" i="12"/>
  <c r="G345" i="12"/>
  <c r="E345" i="12"/>
  <c r="C345" i="12"/>
  <c r="I344" i="12"/>
  <c r="G344" i="12"/>
  <c r="E344" i="12"/>
  <c r="C344" i="12"/>
  <c r="I343" i="12"/>
  <c r="G343" i="12"/>
  <c r="E343" i="12"/>
  <c r="C343" i="12"/>
  <c r="I342" i="12"/>
  <c r="G342" i="12"/>
  <c r="E342" i="12"/>
  <c r="C342" i="12"/>
  <c r="I341" i="12"/>
  <c r="G341" i="12"/>
  <c r="E341" i="12"/>
  <c r="C341" i="12"/>
  <c r="I340" i="12"/>
  <c r="G340" i="12"/>
  <c r="E340" i="12"/>
  <c r="C340" i="12"/>
  <c r="I339" i="12"/>
  <c r="G339" i="12"/>
  <c r="E339" i="12"/>
  <c r="C339" i="12"/>
  <c r="I338" i="12"/>
  <c r="G338" i="12"/>
  <c r="E338" i="12"/>
  <c r="C338" i="12"/>
  <c r="I337" i="12"/>
  <c r="G337" i="12"/>
  <c r="E337" i="12"/>
  <c r="C337" i="12"/>
  <c r="I336" i="12"/>
  <c r="G336" i="12"/>
  <c r="E336" i="12"/>
  <c r="C336" i="12"/>
  <c r="I335" i="12"/>
  <c r="G335" i="12"/>
  <c r="E335" i="12"/>
  <c r="C335" i="12"/>
  <c r="I334" i="12"/>
  <c r="G334" i="12"/>
  <c r="E334" i="12"/>
  <c r="C334" i="12"/>
  <c r="I333" i="12"/>
  <c r="G333" i="12"/>
  <c r="E333" i="12"/>
  <c r="C333" i="12"/>
  <c r="I332" i="12"/>
  <c r="G332" i="12"/>
  <c r="E332" i="12"/>
  <c r="C332" i="12"/>
  <c r="I331" i="12"/>
  <c r="G331" i="12"/>
  <c r="E331" i="12"/>
  <c r="C331" i="12"/>
  <c r="I330" i="12"/>
  <c r="G330" i="12"/>
  <c r="E330" i="12"/>
  <c r="C330" i="12"/>
  <c r="I329" i="12"/>
  <c r="G329" i="12"/>
  <c r="E329" i="12"/>
  <c r="C329" i="12"/>
  <c r="I328" i="12"/>
  <c r="G328" i="12"/>
  <c r="E328" i="12"/>
  <c r="C328" i="12"/>
  <c r="I327" i="12"/>
  <c r="G327" i="12"/>
  <c r="E327" i="12"/>
  <c r="C327" i="12"/>
  <c r="I326" i="12"/>
  <c r="G326" i="12"/>
  <c r="E326" i="12"/>
  <c r="C326" i="12"/>
  <c r="I325" i="12"/>
  <c r="G325" i="12"/>
  <c r="E325" i="12"/>
  <c r="C325" i="12"/>
  <c r="I324" i="12"/>
  <c r="G324" i="12"/>
  <c r="E324" i="12"/>
  <c r="C324" i="12"/>
  <c r="I323" i="12"/>
  <c r="G323" i="12"/>
  <c r="E323" i="12"/>
  <c r="C323" i="12"/>
  <c r="I322" i="12"/>
  <c r="G322" i="12"/>
  <c r="E322" i="12"/>
  <c r="C322" i="12"/>
  <c r="I321" i="12"/>
  <c r="G321" i="12"/>
  <c r="E321" i="12"/>
  <c r="C321" i="12"/>
  <c r="I320" i="12"/>
  <c r="G320" i="12"/>
  <c r="E320" i="12"/>
  <c r="C320" i="12"/>
  <c r="I319" i="12"/>
  <c r="G319" i="12"/>
  <c r="E319" i="12"/>
  <c r="C319" i="12"/>
  <c r="I318" i="12"/>
  <c r="G318" i="12"/>
  <c r="E318" i="12"/>
  <c r="C318" i="12"/>
  <c r="I317" i="12"/>
  <c r="G317" i="12"/>
  <c r="E317" i="12"/>
  <c r="C317" i="12"/>
  <c r="I316" i="12"/>
  <c r="G316" i="12"/>
  <c r="E316" i="12"/>
  <c r="C316" i="12"/>
  <c r="I315" i="12"/>
  <c r="G315" i="12"/>
  <c r="E315" i="12"/>
  <c r="C315" i="12"/>
  <c r="I314" i="12"/>
  <c r="G314" i="12"/>
  <c r="E314" i="12"/>
  <c r="C314" i="12"/>
  <c r="I313" i="12"/>
  <c r="G313" i="12"/>
  <c r="E313" i="12"/>
  <c r="C313" i="12"/>
  <c r="I312" i="12"/>
  <c r="G312" i="12"/>
  <c r="E312" i="12"/>
  <c r="C312" i="12"/>
  <c r="I311" i="12"/>
  <c r="G311" i="12"/>
  <c r="E311" i="12"/>
  <c r="C311" i="12"/>
  <c r="I310" i="12"/>
  <c r="G310" i="12"/>
  <c r="E310" i="12"/>
  <c r="C310" i="12"/>
  <c r="I309" i="12"/>
  <c r="G309" i="12"/>
  <c r="E309" i="12"/>
  <c r="C309" i="12"/>
  <c r="I308" i="12"/>
  <c r="G308" i="12"/>
  <c r="E308" i="12"/>
  <c r="C308" i="12"/>
  <c r="I307" i="12"/>
  <c r="G307" i="12"/>
  <c r="E307" i="12"/>
  <c r="C307" i="12"/>
  <c r="I306" i="12"/>
  <c r="G306" i="12"/>
  <c r="E306" i="12"/>
  <c r="C306" i="12"/>
  <c r="I305" i="12"/>
  <c r="G305" i="12"/>
  <c r="E305" i="12"/>
  <c r="C305" i="12"/>
  <c r="I304" i="12"/>
  <c r="G304" i="12"/>
  <c r="E304" i="12"/>
  <c r="C304" i="12"/>
  <c r="I303" i="12"/>
  <c r="G303" i="12"/>
  <c r="E303" i="12"/>
  <c r="C303" i="12"/>
  <c r="I302" i="12"/>
  <c r="G302" i="12"/>
  <c r="E302" i="12"/>
  <c r="C302" i="12"/>
  <c r="I301" i="12"/>
  <c r="G301" i="12"/>
  <c r="E301" i="12"/>
  <c r="C301" i="12"/>
  <c r="I300" i="12"/>
  <c r="G300" i="12"/>
  <c r="E300" i="12"/>
  <c r="C300" i="12"/>
  <c r="I299" i="12"/>
  <c r="G299" i="12"/>
  <c r="E299" i="12"/>
  <c r="C299" i="12"/>
  <c r="I298" i="12"/>
  <c r="G298" i="12"/>
  <c r="E298" i="12"/>
  <c r="C298" i="12"/>
  <c r="I297" i="12"/>
  <c r="G297" i="12"/>
  <c r="E297" i="12"/>
  <c r="C297" i="12"/>
  <c r="I296" i="12"/>
  <c r="G296" i="12"/>
  <c r="E296" i="12"/>
  <c r="C296" i="12"/>
  <c r="I295" i="12"/>
  <c r="G295" i="12"/>
  <c r="E295" i="12"/>
  <c r="C295" i="12"/>
  <c r="I294" i="12"/>
  <c r="G294" i="12"/>
  <c r="E294" i="12"/>
  <c r="C294" i="12"/>
  <c r="I293" i="12"/>
  <c r="G293" i="12"/>
  <c r="E293" i="12"/>
  <c r="C293" i="12"/>
  <c r="I292" i="12"/>
  <c r="G292" i="12"/>
  <c r="E292" i="12"/>
  <c r="C292" i="12"/>
  <c r="I291" i="12"/>
  <c r="G291" i="12"/>
  <c r="E291" i="12"/>
  <c r="C291" i="12"/>
  <c r="I290" i="12"/>
  <c r="G290" i="12"/>
  <c r="E290" i="12"/>
  <c r="C290" i="12"/>
  <c r="I289" i="12"/>
  <c r="G289" i="12"/>
  <c r="E289" i="12"/>
  <c r="C289" i="12"/>
  <c r="I288" i="12"/>
  <c r="G288" i="12"/>
  <c r="E288" i="12"/>
  <c r="C288" i="12"/>
  <c r="I287" i="12"/>
  <c r="G287" i="12"/>
  <c r="E287" i="12"/>
  <c r="C287" i="12"/>
  <c r="I286" i="12"/>
  <c r="G286" i="12"/>
  <c r="E286" i="12"/>
  <c r="C286" i="12"/>
  <c r="I285" i="12"/>
  <c r="G285" i="12"/>
  <c r="E285" i="12"/>
  <c r="C285" i="12"/>
  <c r="I284" i="12"/>
  <c r="G284" i="12"/>
  <c r="E284" i="12"/>
  <c r="C284" i="12"/>
  <c r="I283" i="12"/>
  <c r="G283" i="12"/>
  <c r="E283" i="12"/>
  <c r="C283" i="12"/>
  <c r="I282" i="12"/>
  <c r="G282" i="12"/>
  <c r="E282" i="12"/>
  <c r="C282" i="12"/>
  <c r="I281" i="12"/>
  <c r="G281" i="12"/>
  <c r="E281" i="12"/>
  <c r="C281" i="12"/>
  <c r="I280" i="12"/>
  <c r="G280" i="12"/>
  <c r="E280" i="12"/>
  <c r="C280" i="12"/>
  <c r="I279" i="12"/>
  <c r="G279" i="12"/>
  <c r="E279" i="12"/>
  <c r="C279" i="12"/>
  <c r="I278" i="12"/>
  <c r="G278" i="12"/>
  <c r="E278" i="12"/>
  <c r="C278" i="12"/>
  <c r="I277" i="12"/>
  <c r="G277" i="12"/>
  <c r="E277" i="12"/>
  <c r="C277" i="12"/>
  <c r="I276" i="12"/>
  <c r="G276" i="12"/>
  <c r="E276" i="12"/>
  <c r="C276" i="12"/>
  <c r="I275" i="12"/>
  <c r="G275" i="12"/>
  <c r="E275" i="12"/>
  <c r="C275" i="12"/>
  <c r="I274" i="12"/>
  <c r="G274" i="12"/>
  <c r="E274" i="12"/>
  <c r="C274" i="12"/>
  <c r="I273" i="12"/>
  <c r="G273" i="12"/>
  <c r="E273" i="12"/>
  <c r="C273" i="12"/>
  <c r="I272" i="12"/>
  <c r="G272" i="12"/>
  <c r="E272" i="12"/>
  <c r="C272" i="12"/>
  <c r="I271" i="12"/>
  <c r="G271" i="12"/>
  <c r="E271" i="12"/>
  <c r="C271" i="12"/>
  <c r="I270" i="12"/>
  <c r="G270" i="12"/>
  <c r="E270" i="12"/>
  <c r="C270" i="12"/>
  <c r="I269" i="12"/>
  <c r="G269" i="12"/>
  <c r="E269" i="12"/>
  <c r="C269" i="12"/>
  <c r="I268" i="12"/>
  <c r="G268" i="12"/>
  <c r="E268" i="12"/>
  <c r="C268" i="12"/>
  <c r="I267" i="12"/>
  <c r="G267" i="12"/>
  <c r="E267" i="12"/>
  <c r="C267" i="12"/>
  <c r="I266" i="12"/>
  <c r="G266" i="12"/>
  <c r="E266" i="12"/>
  <c r="C266" i="12"/>
  <c r="I265" i="12"/>
  <c r="G265" i="12"/>
  <c r="E265" i="12"/>
  <c r="C265" i="12"/>
  <c r="I264" i="12"/>
  <c r="G264" i="12"/>
  <c r="E264" i="12"/>
  <c r="C264" i="12"/>
  <c r="I263" i="12"/>
  <c r="G263" i="12"/>
  <c r="E263" i="12"/>
  <c r="C263" i="12"/>
  <c r="I262" i="12"/>
  <c r="G262" i="12"/>
  <c r="E262" i="12"/>
  <c r="C262" i="12"/>
  <c r="I261" i="12"/>
  <c r="G261" i="12"/>
  <c r="E261" i="12"/>
  <c r="C261" i="12"/>
  <c r="I260" i="12"/>
  <c r="G260" i="12"/>
  <c r="E260" i="12"/>
  <c r="C260" i="12"/>
  <c r="I259" i="12"/>
  <c r="G259" i="12"/>
  <c r="E259" i="12"/>
  <c r="C259" i="12"/>
  <c r="I258" i="12"/>
  <c r="G258" i="12"/>
  <c r="E258" i="12"/>
  <c r="C258" i="12"/>
  <c r="I257" i="12"/>
  <c r="G257" i="12"/>
  <c r="E257" i="12"/>
  <c r="C257" i="12"/>
  <c r="I256" i="12"/>
  <c r="G256" i="12"/>
  <c r="E256" i="12"/>
  <c r="C256" i="12"/>
  <c r="I255" i="12"/>
  <c r="G255" i="12"/>
  <c r="E255" i="12"/>
  <c r="C255" i="12"/>
  <c r="I254" i="12"/>
  <c r="G254" i="12"/>
  <c r="E254" i="12"/>
  <c r="C254" i="12"/>
  <c r="I253" i="12"/>
  <c r="G253" i="12"/>
  <c r="E253" i="12"/>
  <c r="C253" i="12"/>
  <c r="I252" i="12"/>
  <c r="G252" i="12"/>
  <c r="E252" i="12"/>
  <c r="C252" i="12"/>
  <c r="I251" i="12"/>
  <c r="G251" i="12"/>
  <c r="E251" i="12"/>
  <c r="C251" i="12"/>
  <c r="I250" i="12"/>
  <c r="G250" i="12"/>
  <c r="E250" i="12"/>
  <c r="C250" i="12"/>
  <c r="I249" i="12"/>
  <c r="G249" i="12"/>
  <c r="E249" i="12"/>
  <c r="C249" i="12"/>
  <c r="I248" i="12"/>
  <c r="G248" i="12"/>
  <c r="E248" i="12"/>
  <c r="C248" i="12"/>
  <c r="I247" i="12"/>
  <c r="G247" i="12"/>
  <c r="E247" i="12"/>
  <c r="C247" i="12"/>
  <c r="I246" i="12"/>
  <c r="G246" i="12"/>
  <c r="E246" i="12"/>
  <c r="C246" i="12"/>
  <c r="I245" i="12"/>
  <c r="G245" i="12"/>
  <c r="E245" i="12"/>
  <c r="C245" i="12"/>
  <c r="I244" i="12"/>
  <c r="G244" i="12"/>
  <c r="E244" i="12"/>
  <c r="C244" i="12"/>
  <c r="I243" i="12"/>
  <c r="G243" i="12"/>
  <c r="E243" i="12"/>
  <c r="C243" i="12"/>
  <c r="I242" i="12"/>
  <c r="G242" i="12"/>
  <c r="E242" i="12"/>
  <c r="C242" i="12"/>
  <c r="I241" i="12"/>
  <c r="G241" i="12"/>
  <c r="E241" i="12"/>
  <c r="C241" i="12"/>
  <c r="I240" i="12"/>
  <c r="G240" i="12"/>
  <c r="E240" i="12"/>
  <c r="C240" i="12"/>
  <c r="I239" i="12"/>
  <c r="G239" i="12"/>
  <c r="E239" i="12"/>
  <c r="C239" i="12"/>
  <c r="I238" i="12"/>
  <c r="G238" i="12"/>
  <c r="E238" i="12"/>
  <c r="C238" i="12"/>
  <c r="I237" i="12"/>
  <c r="G237" i="12"/>
  <c r="E237" i="12"/>
  <c r="C237" i="12"/>
  <c r="I236" i="12"/>
  <c r="G236" i="12"/>
  <c r="E236" i="12"/>
  <c r="C236" i="12"/>
  <c r="I235" i="12"/>
  <c r="G235" i="12"/>
  <c r="E235" i="12"/>
  <c r="C235" i="12"/>
  <c r="I234" i="12"/>
  <c r="G234" i="12"/>
  <c r="E234" i="12"/>
  <c r="C234" i="12"/>
  <c r="I233" i="12"/>
  <c r="G233" i="12"/>
  <c r="E233" i="12"/>
  <c r="C233" i="12"/>
  <c r="I232" i="12"/>
  <c r="G232" i="12"/>
  <c r="E232" i="12"/>
  <c r="C232" i="12"/>
  <c r="I231" i="12"/>
  <c r="G231" i="12"/>
  <c r="E231" i="12"/>
  <c r="C231" i="12"/>
  <c r="I230" i="12"/>
  <c r="G230" i="12"/>
  <c r="E230" i="12"/>
  <c r="C230" i="12"/>
  <c r="I229" i="12"/>
  <c r="G229" i="12"/>
  <c r="E229" i="12"/>
  <c r="C229" i="12"/>
  <c r="I228" i="12"/>
  <c r="G228" i="12"/>
  <c r="E228" i="12"/>
  <c r="C228" i="12"/>
  <c r="I227" i="12"/>
  <c r="G227" i="12"/>
  <c r="E227" i="12"/>
  <c r="C227" i="12"/>
  <c r="I226" i="12"/>
  <c r="G226" i="12"/>
  <c r="E226" i="12"/>
  <c r="C226" i="12"/>
  <c r="I225" i="12"/>
  <c r="G225" i="12"/>
  <c r="E225" i="12"/>
  <c r="C225" i="12"/>
  <c r="I224" i="12"/>
  <c r="G224" i="12"/>
  <c r="E224" i="12"/>
  <c r="C224" i="12"/>
  <c r="I223" i="12"/>
  <c r="G223" i="12"/>
  <c r="E223" i="12"/>
  <c r="C223" i="12"/>
  <c r="I222" i="12"/>
  <c r="G222" i="12"/>
  <c r="E222" i="12"/>
  <c r="C222" i="12"/>
  <c r="I221" i="12"/>
  <c r="G221" i="12"/>
  <c r="E221" i="12"/>
  <c r="C221" i="12"/>
  <c r="I220" i="12"/>
  <c r="G220" i="12"/>
  <c r="E220" i="12"/>
  <c r="C220" i="12"/>
  <c r="I219" i="12"/>
  <c r="G219" i="12"/>
  <c r="E219" i="12"/>
  <c r="C219" i="12"/>
  <c r="I218" i="12"/>
  <c r="G218" i="12"/>
  <c r="E218" i="12"/>
  <c r="C218" i="12"/>
  <c r="I217" i="12"/>
  <c r="G217" i="12"/>
  <c r="E217" i="12"/>
  <c r="C217" i="12"/>
  <c r="I216" i="12"/>
  <c r="G216" i="12"/>
  <c r="E216" i="12"/>
  <c r="C216" i="12"/>
  <c r="I215" i="12"/>
  <c r="G215" i="12"/>
  <c r="E215" i="12"/>
  <c r="C215" i="12"/>
  <c r="I214" i="12"/>
  <c r="G214" i="12"/>
  <c r="E214" i="12"/>
  <c r="C214" i="12"/>
  <c r="I213" i="12"/>
  <c r="G213" i="12"/>
  <c r="E213" i="12"/>
  <c r="C213" i="12"/>
  <c r="I212" i="12"/>
  <c r="G212" i="12"/>
  <c r="E212" i="12"/>
  <c r="C212" i="12"/>
  <c r="I211" i="12"/>
  <c r="G211" i="12"/>
  <c r="E211" i="12"/>
  <c r="C211" i="12"/>
  <c r="I210" i="12"/>
  <c r="G210" i="12"/>
  <c r="E210" i="12"/>
  <c r="C210" i="12"/>
  <c r="I209" i="12"/>
  <c r="G209" i="12"/>
  <c r="E209" i="12"/>
  <c r="C209" i="12"/>
  <c r="I208" i="12"/>
  <c r="G208" i="12"/>
  <c r="E208" i="12"/>
  <c r="C208" i="12"/>
  <c r="I207" i="12"/>
  <c r="G207" i="12"/>
  <c r="E207" i="12"/>
  <c r="C207" i="12"/>
  <c r="I206" i="12"/>
  <c r="G206" i="12"/>
  <c r="E206" i="12"/>
  <c r="C206" i="12"/>
  <c r="I205" i="12"/>
  <c r="G205" i="12"/>
  <c r="E205" i="12"/>
  <c r="C205" i="12"/>
  <c r="I204" i="12"/>
  <c r="G204" i="12"/>
  <c r="E204" i="12"/>
  <c r="C204" i="12"/>
  <c r="I203" i="12"/>
  <c r="G203" i="12"/>
  <c r="E203" i="12"/>
  <c r="C203" i="12"/>
  <c r="I202" i="12"/>
  <c r="G202" i="12"/>
  <c r="E202" i="12"/>
  <c r="C202" i="12"/>
  <c r="I201" i="12"/>
  <c r="G201" i="12"/>
  <c r="E201" i="12"/>
  <c r="C201" i="12"/>
  <c r="I200" i="12"/>
  <c r="G200" i="12"/>
  <c r="E200" i="12"/>
  <c r="C200" i="12"/>
  <c r="I199" i="12"/>
  <c r="G199" i="12"/>
  <c r="E199" i="12"/>
  <c r="C199" i="12"/>
  <c r="I198" i="12"/>
  <c r="G198" i="12"/>
  <c r="E198" i="12"/>
  <c r="C198" i="12"/>
  <c r="I197" i="12"/>
  <c r="G197" i="12"/>
  <c r="E197" i="12"/>
  <c r="C197" i="12"/>
  <c r="I196" i="12"/>
  <c r="G196" i="12"/>
  <c r="E196" i="12"/>
  <c r="C196" i="12"/>
  <c r="I195" i="12"/>
  <c r="G195" i="12"/>
  <c r="E195" i="12"/>
  <c r="C195" i="12"/>
  <c r="I194" i="12"/>
  <c r="G194" i="12"/>
  <c r="E194" i="12"/>
  <c r="C194" i="12"/>
  <c r="I193" i="12"/>
  <c r="G193" i="12"/>
  <c r="E193" i="12"/>
  <c r="C193" i="12"/>
  <c r="I192" i="12"/>
  <c r="G192" i="12"/>
  <c r="E192" i="12"/>
  <c r="C192" i="12"/>
  <c r="I191" i="12"/>
  <c r="G191" i="12"/>
  <c r="E191" i="12"/>
  <c r="C191" i="12"/>
  <c r="I190" i="12"/>
  <c r="G190" i="12"/>
  <c r="E190" i="12"/>
  <c r="C190" i="12"/>
  <c r="I189" i="12"/>
  <c r="G189" i="12"/>
  <c r="E189" i="12"/>
  <c r="C189" i="12"/>
  <c r="I188" i="12"/>
  <c r="G188" i="12"/>
  <c r="E188" i="12"/>
  <c r="C188" i="12"/>
  <c r="I187" i="12"/>
  <c r="G187" i="12"/>
  <c r="E187" i="12"/>
  <c r="C187" i="12"/>
  <c r="I186" i="12"/>
  <c r="G186" i="12"/>
  <c r="E186" i="12"/>
  <c r="C186" i="12"/>
  <c r="I185" i="12"/>
  <c r="G185" i="12"/>
  <c r="E185" i="12"/>
  <c r="C185" i="12"/>
  <c r="I184" i="12"/>
  <c r="G184" i="12"/>
  <c r="E184" i="12"/>
  <c r="C184" i="12"/>
  <c r="I183" i="12"/>
  <c r="G183" i="12"/>
  <c r="E183" i="12"/>
  <c r="C183" i="12"/>
  <c r="I182" i="12"/>
  <c r="G182" i="12"/>
  <c r="E182" i="12"/>
  <c r="C182" i="12"/>
  <c r="I181" i="12"/>
  <c r="G181" i="12"/>
  <c r="E181" i="12"/>
  <c r="C181" i="12"/>
  <c r="I180" i="12"/>
  <c r="G180" i="12"/>
  <c r="E180" i="12"/>
  <c r="C180" i="12"/>
  <c r="I179" i="12"/>
  <c r="G179" i="12"/>
  <c r="E179" i="12"/>
  <c r="C179" i="12"/>
  <c r="I178" i="12"/>
  <c r="G178" i="12"/>
  <c r="E178" i="12"/>
  <c r="C178" i="12"/>
  <c r="I177" i="12"/>
  <c r="G177" i="12"/>
  <c r="E177" i="12"/>
  <c r="C177" i="12"/>
  <c r="I176" i="12"/>
  <c r="G176" i="12"/>
  <c r="E176" i="12"/>
  <c r="C176" i="12"/>
  <c r="I175" i="12"/>
  <c r="G175" i="12"/>
  <c r="E175" i="12"/>
  <c r="C175" i="12"/>
  <c r="I174" i="12"/>
  <c r="G174" i="12"/>
  <c r="E174" i="12"/>
  <c r="C174" i="12"/>
  <c r="I173" i="12"/>
  <c r="G173" i="12"/>
  <c r="E173" i="12"/>
  <c r="C173" i="12"/>
  <c r="I172" i="12"/>
  <c r="G172" i="12"/>
  <c r="E172" i="12"/>
  <c r="C172" i="12"/>
  <c r="I171" i="12"/>
  <c r="G171" i="12"/>
  <c r="E171" i="12"/>
  <c r="C171" i="12"/>
  <c r="I170" i="12"/>
  <c r="G170" i="12"/>
  <c r="E170" i="12"/>
  <c r="C170" i="12"/>
  <c r="I169" i="12"/>
  <c r="G169" i="12"/>
  <c r="E169" i="12"/>
  <c r="C169" i="12"/>
  <c r="I168" i="12"/>
  <c r="G168" i="12"/>
  <c r="E168" i="12"/>
  <c r="C168" i="12"/>
  <c r="I167" i="12"/>
  <c r="G167" i="12"/>
  <c r="E167" i="12"/>
  <c r="C167" i="12"/>
  <c r="I166" i="12"/>
  <c r="G166" i="12"/>
  <c r="E166" i="12"/>
  <c r="C166" i="12"/>
  <c r="I165" i="12"/>
  <c r="G165" i="12"/>
  <c r="E165" i="12"/>
  <c r="C165" i="12"/>
  <c r="I164" i="12"/>
  <c r="G164" i="12"/>
  <c r="E164" i="12"/>
  <c r="C164" i="12"/>
  <c r="I163" i="12"/>
  <c r="G163" i="12"/>
  <c r="E163" i="12"/>
  <c r="C163" i="12"/>
  <c r="I162" i="12"/>
  <c r="G162" i="12"/>
  <c r="E162" i="12"/>
  <c r="C162" i="12"/>
  <c r="I161" i="12"/>
  <c r="G161" i="12"/>
  <c r="E161" i="12"/>
  <c r="C161" i="12"/>
  <c r="I160" i="12"/>
  <c r="G160" i="12"/>
  <c r="E160" i="12"/>
  <c r="C160" i="12"/>
  <c r="I159" i="12"/>
  <c r="G159" i="12"/>
  <c r="E159" i="12"/>
  <c r="C159" i="12"/>
  <c r="I158" i="12"/>
  <c r="G158" i="12"/>
  <c r="E158" i="12"/>
  <c r="C158" i="12"/>
  <c r="I157" i="12"/>
  <c r="G157" i="12"/>
  <c r="E157" i="12"/>
  <c r="C157" i="12"/>
  <c r="I156" i="12"/>
  <c r="G156" i="12"/>
  <c r="E156" i="12"/>
  <c r="C156" i="12"/>
  <c r="I155" i="12"/>
  <c r="G155" i="12"/>
  <c r="E155" i="12"/>
  <c r="C155" i="12"/>
  <c r="I154" i="12"/>
  <c r="G154" i="12"/>
  <c r="E154" i="12"/>
  <c r="C154" i="12"/>
  <c r="I153" i="12"/>
  <c r="G153" i="12"/>
  <c r="E153" i="12"/>
  <c r="C153" i="12"/>
  <c r="I152" i="12"/>
  <c r="G152" i="12"/>
  <c r="E152" i="12"/>
  <c r="C152" i="12"/>
  <c r="I151" i="12"/>
  <c r="G151" i="12"/>
  <c r="E151" i="12"/>
  <c r="C151" i="12"/>
  <c r="I150" i="12"/>
  <c r="G150" i="12"/>
  <c r="E150" i="12"/>
  <c r="C150" i="12"/>
  <c r="I149" i="12"/>
  <c r="G149" i="12"/>
  <c r="E149" i="12"/>
  <c r="C149" i="12"/>
  <c r="I148" i="12"/>
  <c r="G148" i="12"/>
  <c r="E148" i="12"/>
  <c r="C148" i="12"/>
  <c r="I147" i="12"/>
  <c r="G147" i="12"/>
  <c r="E147" i="12"/>
  <c r="C147" i="12"/>
  <c r="I146" i="12"/>
  <c r="G146" i="12"/>
  <c r="E146" i="12"/>
  <c r="C146" i="12"/>
  <c r="I145" i="12"/>
  <c r="G145" i="12"/>
  <c r="E145" i="12"/>
  <c r="C145" i="12"/>
  <c r="I144" i="12"/>
  <c r="G144" i="12"/>
  <c r="E144" i="12"/>
  <c r="C144" i="12"/>
  <c r="I143" i="12"/>
  <c r="G143" i="12"/>
  <c r="E143" i="12"/>
  <c r="C143" i="12"/>
  <c r="I142" i="12"/>
  <c r="G142" i="12"/>
  <c r="E142" i="12"/>
  <c r="C142" i="12"/>
  <c r="I141" i="12"/>
  <c r="G141" i="12"/>
  <c r="E141" i="12"/>
  <c r="C141" i="12"/>
  <c r="I140" i="12"/>
  <c r="G140" i="12"/>
  <c r="E140" i="12"/>
  <c r="C140" i="12"/>
  <c r="I139" i="12"/>
  <c r="G139" i="12"/>
  <c r="E139" i="12"/>
  <c r="C139" i="12"/>
  <c r="I138" i="12"/>
  <c r="G138" i="12"/>
  <c r="E138" i="12"/>
  <c r="C138" i="12"/>
  <c r="I137" i="12"/>
  <c r="G137" i="12"/>
  <c r="E137" i="12"/>
  <c r="C137" i="12"/>
  <c r="I136" i="12"/>
  <c r="G136" i="12"/>
  <c r="E136" i="12"/>
  <c r="C136" i="12"/>
  <c r="I135" i="12"/>
  <c r="G135" i="12"/>
  <c r="E135" i="12"/>
  <c r="C135" i="12"/>
  <c r="I134" i="12"/>
  <c r="G134" i="12"/>
  <c r="E134" i="12"/>
  <c r="C134" i="12"/>
  <c r="I133" i="12"/>
  <c r="G133" i="12"/>
  <c r="E133" i="12"/>
  <c r="C133" i="12"/>
  <c r="I132" i="12"/>
  <c r="G132" i="12"/>
  <c r="E132" i="12"/>
  <c r="C132" i="12"/>
  <c r="I131" i="12"/>
  <c r="G131" i="12"/>
  <c r="E131" i="12"/>
  <c r="C131" i="12"/>
  <c r="I130" i="12"/>
  <c r="G130" i="12"/>
  <c r="E130" i="12"/>
  <c r="C130" i="12"/>
  <c r="I129" i="12"/>
  <c r="G129" i="12"/>
  <c r="E129" i="12"/>
  <c r="C129" i="12"/>
  <c r="I128" i="12"/>
  <c r="G128" i="12"/>
  <c r="E128" i="12"/>
  <c r="C128" i="12"/>
  <c r="I127" i="12"/>
  <c r="G127" i="12"/>
  <c r="E127" i="12"/>
  <c r="C127" i="12"/>
  <c r="I126" i="12"/>
  <c r="G126" i="12"/>
  <c r="E126" i="12"/>
  <c r="C126" i="12"/>
  <c r="I125" i="12"/>
  <c r="G125" i="12"/>
  <c r="E125" i="12"/>
  <c r="C125" i="12"/>
  <c r="I124" i="12"/>
  <c r="G124" i="12"/>
  <c r="E124" i="12"/>
  <c r="C124" i="12"/>
  <c r="I123" i="12"/>
  <c r="G123" i="12"/>
  <c r="E123" i="12"/>
  <c r="C123" i="12"/>
  <c r="I122" i="12"/>
  <c r="G122" i="12"/>
  <c r="E122" i="12"/>
  <c r="C122" i="12"/>
  <c r="I121" i="12"/>
  <c r="G121" i="12"/>
  <c r="E121" i="12"/>
  <c r="C121" i="12"/>
  <c r="I120" i="12"/>
  <c r="G120" i="12"/>
  <c r="E120" i="12"/>
  <c r="C120" i="12"/>
  <c r="I119" i="12"/>
  <c r="G119" i="12"/>
  <c r="E119" i="12"/>
  <c r="C119" i="12"/>
  <c r="I118" i="12"/>
  <c r="G118" i="12"/>
  <c r="E118" i="12"/>
  <c r="C118" i="12"/>
  <c r="I117" i="12"/>
  <c r="G117" i="12"/>
  <c r="E117" i="12"/>
  <c r="C117" i="12"/>
  <c r="I116" i="12"/>
  <c r="G116" i="12"/>
  <c r="E116" i="12"/>
  <c r="C116" i="12"/>
  <c r="I115" i="12"/>
  <c r="G115" i="12"/>
  <c r="E115" i="12"/>
  <c r="C115" i="12"/>
  <c r="I114" i="12"/>
  <c r="G114" i="12"/>
  <c r="E114" i="12"/>
  <c r="C114" i="12"/>
  <c r="I113" i="12"/>
  <c r="G113" i="12"/>
  <c r="E113" i="12"/>
  <c r="C113" i="12"/>
  <c r="I112" i="12"/>
  <c r="G112" i="12"/>
  <c r="E112" i="12"/>
  <c r="C112" i="12"/>
  <c r="I111" i="12"/>
  <c r="G111" i="12"/>
  <c r="E111" i="12"/>
  <c r="C111" i="12"/>
  <c r="I110" i="12"/>
  <c r="G110" i="12"/>
  <c r="E110" i="12"/>
  <c r="C110" i="12"/>
  <c r="I109" i="12"/>
  <c r="G109" i="12"/>
  <c r="E109" i="12"/>
  <c r="C109" i="12"/>
  <c r="I108" i="12"/>
  <c r="G108" i="12"/>
  <c r="E108" i="12"/>
  <c r="C108" i="12"/>
  <c r="I107" i="12"/>
  <c r="G107" i="12"/>
  <c r="E107" i="12"/>
  <c r="C107" i="12"/>
  <c r="I106" i="12"/>
  <c r="G106" i="12"/>
  <c r="E106" i="12"/>
  <c r="C106" i="12"/>
  <c r="I105" i="12"/>
  <c r="G105" i="12"/>
  <c r="E105" i="12"/>
  <c r="C105" i="12"/>
  <c r="I104" i="12"/>
  <c r="G104" i="12"/>
  <c r="E104" i="12"/>
  <c r="C104" i="12"/>
  <c r="I103" i="12"/>
  <c r="G103" i="12"/>
  <c r="E103" i="12"/>
  <c r="C103" i="12"/>
  <c r="I102" i="12"/>
  <c r="G102" i="12"/>
  <c r="E102" i="12"/>
  <c r="C102" i="12"/>
  <c r="I101" i="12"/>
  <c r="G101" i="12"/>
  <c r="E101" i="12"/>
  <c r="C101" i="12"/>
  <c r="I100" i="12"/>
  <c r="G100" i="12"/>
  <c r="E100" i="12"/>
  <c r="C100" i="12"/>
  <c r="I99" i="12"/>
  <c r="G99" i="12"/>
  <c r="E99" i="12"/>
  <c r="C99" i="12"/>
  <c r="I98" i="12"/>
  <c r="G98" i="12"/>
  <c r="E98" i="12"/>
  <c r="C98" i="12"/>
  <c r="I97" i="12"/>
  <c r="G97" i="12"/>
  <c r="E97" i="12"/>
  <c r="C97" i="12"/>
  <c r="I96" i="12"/>
  <c r="G96" i="12"/>
  <c r="E96" i="12"/>
  <c r="C96" i="12"/>
  <c r="I95" i="12"/>
  <c r="G95" i="12"/>
  <c r="E95" i="12"/>
  <c r="C95" i="12"/>
  <c r="I94" i="12"/>
  <c r="G94" i="12"/>
  <c r="E94" i="12"/>
  <c r="C94" i="12"/>
  <c r="I93" i="12"/>
  <c r="G93" i="12"/>
  <c r="E93" i="12"/>
  <c r="C93" i="12"/>
  <c r="I92" i="12"/>
  <c r="G92" i="12"/>
  <c r="E92" i="12"/>
  <c r="C92" i="12"/>
  <c r="I91" i="12"/>
  <c r="G91" i="12"/>
  <c r="E91" i="12"/>
  <c r="C91" i="12"/>
  <c r="I90" i="12"/>
  <c r="G90" i="12"/>
  <c r="E90" i="12"/>
  <c r="C90" i="12"/>
  <c r="I89" i="12"/>
  <c r="G89" i="12"/>
  <c r="E89" i="12"/>
  <c r="C89" i="12"/>
  <c r="I88" i="12"/>
  <c r="G88" i="12"/>
  <c r="E88" i="12"/>
  <c r="C88" i="12"/>
  <c r="I87" i="12"/>
  <c r="G87" i="12"/>
  <c r="E87" i="12"/>
  <c r="C87" i="12"/>
  <c r="I86" i="12"/>
  <c r="G86" i="12"/>
  <c r="E86" i="12"/>
  <c r="C86" i="12"/>
  <c r="I85" i="12"/>
  <c r="G85" i="12"/>
  <c r="E85" i="12"/>
  <c r="C85" i="12"/>
  <c r="I84" i="12"/>
  <c r="G84" i="12"/>
  <c r="E84" i="12"/>
  <c r="C84" i="12"/>
  <c r="I83" i="12"/>
  <c r="G83" i="12"/>
  <c r="E83" i="12"/>
  <c r="C83" i="12"/>
  <c r="I82" i="12"/>
  <c r="G82" i="12"/>
  <c r="E82" i="12"/>
  <c r="C82" i="12"/>
  <c r="I81" i="12"/>
  <c r="G81" i="12"/>
  <c r="E81" i="12"/>
  <c r="C81" i="12"/>
  <c r="I80" i="12"/>
  <c r="G80" i="12"/>
  <c r="E80" i="12"/>
  <c r="C80" i="12"/>
  <c r="I79" i="12"/>
  <c r="G79" i="12"/>
  <c r="E79" i="12"/>
  <c r="C79" i="12"/>
  <c r="I78" i="12"/>
  <c r="G78" i="12"/>
  <c r="E78" i="12"/>
  <c r="C78" i="12"/>
  <c r="I77" i="12"/>
  <c r="G77" i="12"/>
  <c r="E77" i="12"/>
  <c r="C77" i="12"/>
  <c r="I76" i="12"/>
  <c r="G76" i="12"/>
  <c r="E76" i="12"/>
  <c r="C76" i="12"/>
  <c r="I75" i="12"/>
  <c r="G75" i="12"/>
  <c r="E75" i="12"/>
  <c r="C75" i="12"/>
  <c r="I74" i="12"/>
  <c r="G74" i="12"/>
  <c r="E74" i="12"/>
  <c r="C74" i="12"/>
  <c r="I73" i="12"/>
  <c r="G73" i="12"/>
  <c r="E73" i="12"/>
  <c r="C73" i="12"/>
  <c r="I72" i="12"/>
  <c r="G72" i="12"/>
  <c r="E72" i="12"/>
  <c r="C72" i="12"/>
  <c r="I71" i="12"/>
  <c r="G71" i="12"/>
  <c r="E71" i="12"/>
  <c r="C71" i="12"/>
  <c r="I70" i="12"/>
  <c r="G70" i="12"/>
  <c r="E70" i="12"/>
  <c r="C70" i="12"/>
  <c r="I69" i="12"/>
  <c r="G69" i="12"/>
  <c r="E69" i="12"/>
  <c r="C69" i="12"/>
  <c r="I68" i="12"/>
  <c r="G68" i="12"/>
  <c r="E68" i="12"/>
  <c r="C68" i="12"/>
  <c r="I67" i="12"/>
  <c r="G67" i="12"/>
  <c r="E67" i="12"/>
  <c r="C67" i="12"/>
  <c r="I66" i="12"/>
  <c r="G66" i="12"/>
  <c r="E66" i="12"/>
  <c r="C66" i="12"/>
  <c r="I65" i="12"/>
  <c r="G65" i="12"/>
  <c r="E65" i="12"/>
  <c r="C65" i="12"/>
  <c r="I64" i="12"/>
  <c r="G64" i="12"/>
  <c r="E64" i="12"/>
  <c r="C64" i="12"/>
  <c r="I63" i="12"/>
  <c r="G63" i="12"/>
  <c r="E63" i="12"/>
  <c r="C63" i="12"/>
  <c r="I62" i="12"/>
  <c r="G62" i="12"/>
  <c r="E62" i="12"/>
  <c r="C62" i="12"/>
  <c r="I61" i="12"/>
  <c r="G61" i="12"/>
  <c r="E61" i="12"/>
  <c r="C61" i="12"/>
  <c r="I60" i="12"/>
  <c r="G60" i="12"/>
  <c r="E60" i="12"/>
  <c r="C60" i="12"/>
  <c r="I59" i="12"/>
  <c r="G59" i="12"/>
  <c r="E59" i="12"/>
  <c r="C59" i="12"/>
  <c r="I58" i="12"/>
  <c r="G58" i="12"/>
  <c r="E58" i="12"/>
  <c r="C58" i="12"/>
  <c r="I57" i="12"/>
  <c r="G57" i="12"/>
  <c r="E57" i="12"/>
  <c r="C57" i="12"/>
  <c r="I56" i="12"/>
  <c r="G56" i="12"/>
  <c r="E56" i="12"/>
  <c r="C56" i="12"/>
  <c r="I55" i="12"/>
  <c r="G55" i="12"/>
  <c r="E55" i="12"/>
  <c r="C55" i="12"/>
  <c r="I54" i="12"/>
  <c r="G54" i="12"/>
  <c r="E54" i="12"/>
  <c r="C54" i="12"/>
  <c r="I53" i="12"/>
  <c r="G53" i="12"/>
  <c r="E53" i="12"/>
  <c r="C53" i="12"/>
  <c r="I52" i="12"/>
  <c r="G52" i="12"/>
  <c r="E52" i="12"/>
  <c r="C52" i="12"/>
  <c r="I51" i="12"/>
  <c r="G51" i="12"/>
  <c r="E51" i="12"/>
  <c r="C51" i="12"/>
  <c r="I50" i="12"/>
  <c r="G50" i="12"/>
  <c r="E50" i="12"/>
  <c r="C50" i="12"/>
  <c r="I49" i="12"/>
  <c r="G49" i="12"/>
  <c r="E49" i="12"/>
  <c r="C49" i="12"/>
  <c r="I48" i="12"/>
  <c r="G48" i="12"/>
  <c r="E48" i="12"/>
  <c r="C48" i="12"/>
  <c r="I47" i="12"/>
  <c r="G47" i="12"/>
  <c r="E47" i="12"/>
  <c r="C47" i="12"/>
  <c r="I46" i="12"/>
  <c r="G46" i="12"/>
  <c r="E46" i="12"/>
  <c r="C46" i="12"/>
  <c r="I45" i="12"/>
  <c r="G45" i="12"/>
  <c r="E45" i="12"/>
  <c r="C45" i="12"/>
  <c r="I44" i="12"/>
  <c r="G44" i="12"/>
  <c r="E44" i="12"/>
  <c r="C44" i="12"/>
  <c r="I43" i="12"/>
  <c r="G43" i="12"/>
  <c r="E43" i="12"/>
  <c r="C43" i="12"/>
  <c r="I42" i="12"/>
  <c r="G42" i="12"/>
  <c r="E42" i="12"/>
  <c r="C42" i="12"/>
  <c r="I41" i="12"/>
  <c r="G41" i="12"/>
  <c r="E41" i="12"/>
  <c r="C41" i="12"/>
  <c r="I40" i="12"/>
  <c r="G40" i="12"/>
  <c r="E40" i="12"/>
  <c r="C40" i="12"/>
  <c r="I39" i="12"/>
  <c r="G39" i="12"/>
  <c r="E39" i="12"/>
  <c r="C39" i="12"/>
  <c r="I38" i="12"/>
  <c r="G38" i="12"/>
  <c r="E38" i="12"/>
  <c r="C38" i="12"/>
  <c r="I37" i="12"/>
  <c r="G37" i="12"/>
  <c r="E37" i="12"/>
  <c r="C37" i="12"/>
  <c r="I36" i="12"/>
  <c r="G36" i="12"/>
  <c r="E36" i="12"/>
  <c r="C36" i="12"/>
  <c r="I35" i="12"/>
  <c r="G35" i="12"/>
  <c r="E35" i="12"/>
  <c r="C35" i="12"/>
  <c r="I34" i="12"/>
  <c r="G34" i="12"/>
  <c r="E34" i="12"/>
  <c r="C34" i="12"/>
  <c r="I33" i="12"/>
  <c r="G33" i="12"/>
  <c r="E33" i="12"/>
  <c r="C33" i="12"/>
  <c r="I32" i="12"/>
  <c r="G32" i="12"/>
  <c r="E32" i="12"/>
  <c r="C32" i="12"/>
  <c r="I31" i="12"/>
  <c r="G31" i="12"/>
  <c r="E31" i="12"/>
  <c r="C31" i="12"/>
  <c r="I30" i="12"/>
  <c r="G30" i="12"/>
  <c r="E30" i="12"/>
  <c r="C30" i="12"/>
  <c r="I29" i="12"/>
  <c r="G29" i="12"/>
  <c r="E29" i="12"/>
  <c r="C29" i="12"/>
  <c r="I28" i="12"/>
  <c r="G28" i="12"/>
  <c r="E28" i="12"/>
  <c r="C28" i="12"/>
  <c r="I27" i="12"/>
  <c r="G27" i="12"/>
  <c r="E27" i="12"/>
  <c r="C27" i="12"/>
  <c r="I26" i="12"/>
  <c r="G26" i="12"/>
  <c r="E26" i="12"/>
  <c r="C26" i="12"/>
  <c r="I25" i="12"/>
  <c r="G25" i="12"/>
  <c r="E25" i="12"/>
  <c r="C25" i="12"/>
  <c r="I24" i="12"/>
  <c r="G24" i="12"/>
  <c r="E24" i="12"/>
  <c r="C24" i="12"/>
  <c r="I23" i="12"/>
  <c r="G23" i="12"/>
  <c r="E23" i="12"/>
  <c r="C23" i="12"/>
  <c r="I22" i="12"/>
  <c r="G22" i="12"/>
  <c r="E22" i="12"/>
  <c r="C22" i="12"/>
  <c r="I21" i="12"/>
  <c r="G21" i="12"/>
  <c r="E21" i="12"/>
  <c r="C21" i="12"/>
  <c r="I20" i="12"/>
  <c r="G20" i="12"/>
  <c r="E20" i="12"/>
  <c r="C20" i="12"/>
  <c r="I19" i="12"/>
  <c r="G19" i="12"/>
  <c r="E19" i="12"/>
  <c r="C19" i="12"/>
  <c r="I18" i="12"/>
  <c r="G18" i="12"/>
  <c r="E18" i="12"/>
  <c r="C18" i="12"/>
  <c r="I17" i="12"/>
  <c r="G17" i="12"/>
  <c r="E17" i="12"/>
  <c r="C17" i="12"/>
  <c r="I16" i="12"/>
  <c r="G16" i="12"/>
  <c r="E16" i="12"/>
  <c r="C16" i="12"/>
  <c r="I15" i="12"/>
  <c r="G15" i="12"/>
  <c r="E15" i="12"/>
  <c r="C15" i="12"/>
  <c r="I14" i="12"/>
  <c r="G14" i="12"/>
  <c r="E14" i="12"/>
  <c r="C14" i="12"/>
  <c r="I13" i="12"/>
  <c r="G13" i="12"/>
  <c r="E13" i="12"/>
  <c r="C13" i="12"/>
  <c r="I12" i="12"/>
  <c r="G12" i="12"/>
  <c r="E12" i="12"/>
  <c r="C12" i="12"/>
  <c r="I11" i="12"/>
  <c r="G11" i="12"/>
  <c r="E11" i="12"/>
  <c r="C11" i="12"/>
  <c r="I10" i="12"/>
  <c r="G10" i="12"/>
  <c r="E10" i="12"/>
  <c r="C10" i="12"/>
  <c r="I9" i="12"/>
  <c r="G9" i="12"/>
  <c r="E9" i="12"/>
  <c r="C9" i="12"/>
  <c r="I8" i="12"/>
  <c r="G8" i="12"/>
  <c r="E8" i="12"/>
  <c r="C8" i="12"/>
  <c r="I7" i="12"/>
  <c r="G7" i="12"/>
  <c r="E7" i="12"/>
  <c r="C7" i="12"/>
  <c r="I6" i="12"/>
  <c r="G6" i="12"/>
  <c r="E6" i="12"/>
  <c r="C6" i="12"/>
  <c r="I5" i="12"/>
  <c r="G5" i="12"/>
  <c r="E5" i="12"/>
  <c r="C5" i="12"/>
  <c r="I4" i="12"/>
  <c r="G4" i="12"/>
  <c r="E4" i="12"/>
  <c r="C4" i="12"/>
  <c r="I3" i="12"/>
  <c r="G3" i="12"/>
  <c r="E3" i="12"/>
  <c r="C3" i="12"/>
  <c r="I2" i="12"/>
  <c r="G2" i="12"/>
  <c r="E2" i="12"/>
  <c r="C2" i="12"/>
  <c r="I714" i="11"/>
  <c r="G714" i="11"/>
  <c r="E714" i="11"/>
  <c r="C714" i="11"/>
  <c r="I713" i="11"/>
  <c r="G713" i="11"/>
  <c r="E713" i="11"/>
  <c r="C713" i="11"/>
  <c r="I712" i="11"/>
  <c r="G712" i="11"/>
  <c r="E712" i="11"/>
  <c r="C712" i="11"/>
  <c r="I711" i="11"/>
  <c r="G711" i="11"/>
  <c r="E711" i="11"/>
  <c r="C711" i="11"/>
  <c r="I710" i="11"/>
  <c r="G710" i="11"/>
  <c r="E710" i="11"/>
  <c r="C710" i="11"/>
  <c r="I709" i="11"/>
  <c r="G709" i="11"/>
  <c r="E709" i="11"/>
  <c r="C709" i="11"/>
  <c r="I708" i="11"/>
  <c r="G708" i="11"/>
  <c r="E708" i="11"/>
  <c r="C708" i="11"/>
  <c r="I707" i="11"/>
  <c r="G707" i="11"/>
  <c r="E707" i="11"/>
  <c r="C707" i="11"/>
  <c r="I706" i="11"/>
  <c r="G706" i="11"/>
  <c r="E706" i="11"/>
  <c r="C706" i="11"/>
  <c r="I705" i="11"/>
  <c r="G705" i="11"/>
  <c r="E705" i="11"/>
  <c r="C705" i="11"/>
  <c r="I704" i="11"/>
  <c r="G704" i="11"/>
  <c r="E704" i="11"/>
  <c r="C704" i="11"/>
  <c r="I703" i="11"/>
  <c r="G703" i="11"/>
  <c r="E703" i="11"/>
  <c r="C703" i="11"/>
  <c r="I702" i="11"/>
  <c r="G702" i="11"/>
  <c r="E702" i="11"/>
  <c r="C702" i="11"/>
  <c r="I701" i="11"/>
  <c r="G701" i="11"/>
  <c r="E701" i="11"/>
  <c r="C701" i="11"/>
  <c r="I700" i="11"/>
  <c r="G700" i="11"/>
  <c r="E700" i="11"/>
  <c r="C700" i="11"/>
  <c r="I699" i="11"/>
  <c r="G699" i="11"/>
  <c r="E699" i="11"/>
  <c r="C699" i="11"/>
  <c r="I698" i="11"/>
  <c r="G698" i="11"/>
  <c r="E698" i="11"/>
  <c r="C698" i="11"/>
  <c r="I697" i="11"/>
  <c r="G697" i="11"/>
  <c r="E697" i="11"/>
  <c r="C697" i="11"/>
  <c r="I696" i="11"/>
  <c r="G696" i="11"/>
  <c r="E696" i="11"/>
  <c r="C696" i="11"/>
  <c r="I695" i="11"/>
  <c r="G695" i="11"/>
  <c r="E695" i="11"/>
  <c r="C695" i="11"/>
  <c r="I694" i="11"/>
  <c r="G694" i="11"/>
  <c r="E694" i="11"/>
  <c r="C694" i="11"/>
  <c r="I693" i="11"/>
  <c r="G693" i="11"/>
  <c r="E693" i="11"/>
  <c r="C693" i="11"/>
  <c r="I692" i="11"/>
  <c r="G692" i="11"/>
  <c r="E692" i="11"/>
  <c r="C692" i="11"/>
  <c r="I691" i="11"/>
  <c r="G691" i="11"/>
  <c r="E691" i="11"/>
  <c r="C691" i="11"/>
  <c r="I690" i="11"/>
  <c r="G690" i="11"/>
  <c r="E690" i="11"/>
  <c r="C690" i="11"/>
  <c r="I689" i="11"/>
  <c r="G689" i="11"/>
  <c r="E689" i="11"/>
  <c r="C689" i="11"/>
  <c r="I688" i="11"/>
  <c r="G688" i="11"/>
  <c r="E688" i="11"/>
  <c r="C688" i="11"/>
  <c r="I687" i="11"/>
  <c r="G687" i="11"/>
  <c r="E687" i="11"/>
  <c r="C687" i="11"/>
  <c r="I686" i="11"/>
  <c r="G686" i="11"/>
  <c r="E686" i="11"/>
  <c r="C686" i="11"/>
  <c r="I685" i="11"/>
  <c r="G685" i="11"/>
  <c r="E685" i="11"/>
  <c r="C685" i="11"/>
  <c r="I684" i="11"/>
  <c r="G684" i="11"/>
  <c r="E684" i="11"/>
  <c r="C684" i="11"/>
  <c r="I683" i="11"/>
  <c r="G683" i="11"/>
  <c r="E683" i="11"/>
  <c r="C683" i="11"/>
  <c r="I682" i="11"/>
  <c r="G682" i="11"/>
  <c r="E682" i="11"/>
  <c r="C682" i="11"/>
  <c r="I681" i="11"/>
  <c r="G681" i="11"/>
  <c r="E681" i="11"/>
  <c r="C681" i="11"/>
  <c r="I680" i="11"/>
  <c r="G680" i="11"/>
  <c r="E680" i="11"/>
  <c r="C680" i="11"/>
  <c r="I679" i="11"/>
  <c r="G679" i="11"/>
  <c r="E679" i="11"/>
  <c r="C679" i="11"/>
  <c r="I678" i="11"/>
  <c r="G678" i="11"/>
  <c r="E678" i="11"/>
  <c r="C678" i="11"/>
  <c r="I677" i="11"/>
  <c r="G677" i="11"/>
  <c r="E677" i="11"/>
  <c r="C677" i="11"/>
  <c r="I676" i="11"/>
  <c r="G676" i="11"/>
  <c r="E676" i="11"/>
  <c r="C676" i="11"/>
  <c r="I675" i="11"/>
  <c r="G675" i="11"/>
  <c r="E675" i="11"/>
  <c r="C675" i="11"/>
  <c r="I674" i="11"/>
  <c r="G674" i="11"/>
  <c r="E674" i="11"/>
  <c r="C674" i="11"/>
  <c r="I673" i="11"/>
  <c r="G673" i="11"/>
  <c r="E673" i="11"/>
  <c r="C673" i="11"/>
  <c r="I672" i="11"/>
  <c r="G672" i="11"/>
  <c r="E672" i="11"/>
  <c r="C672" i="11"/>
  <c r="I671" i="11"/>
  <c r="G671" i="11"/>
  <c r="E671" i="11"/>
  <c r="C671" i="11"/>
  <c r="I670" i="11"/>
  <c r="G670" i="11"/>
  <c r="E670" i="11"/>
  <c r="C670" i="11"/>
  <c r="I669" i="11"/>
  <c r="G669" i="11"/>
  <c r="E669" i="11"/>
  <c r="C669" i="11"/>
  <c r="I668" i="11"/>
  <c r="G668" i="11"/>
  <c r="E668" i="11"/>
  <c r="C668" i="11"/>
  <c r="I667" i="11"/>
  <c r="G667" i="11"/>
  <c r="E667" i="11"/>
  <c r="C667" i="11"/>
  <c r="I666" i="11"/>
  <c r="G666" i="11"/>
  <c r="E666" i="11"/>
  <c r="C666" i="11"/>
  <c r="I665" i="11"/>
  <c r="G665" i="11"/>
  <c r="E665" i="11"/>
  <c r="C665" i="11"/>
  <c r="I664" i="11"/>
  <c r="G664" i="11"/>
  <c r="E664" i="11"/>
  <c r="C664" i="11"/>
  <c r="I663" i="11"/>
  <c r="G663" i="11"/>
  <c r="E663" i="11"/>
  <c r="C663" i="11"/>
  <c r="I662" i="11"/>
  <c r="G662" i="11"/>
  <c r="E662" i="11"/>
  <c r="C662" i="11"/>
  <c r="I661" i="11"/>
  <c r="G661" i="11"/>
  <c r="E661" i="11"/>
  <c r="C661" i="11"/>
  <c r="I660" i="11"/>
  <c r="G660" i="11"/>
  <c r="E660" i="11"/>
  <c r="C660" i="11"/>
  <c r="I659" i="11"/>
  <c r="G659" i="11"/>
  <c r="E659" i="11"/>
  <c r="C659" i="11"/>
  <c r="I658" i="11"/>
  <c r="G658" i="11"/>
  <c r="E658" i="11"/>
  <c r="C658" i="11"/>
  <c r="I657" i="11"/>
  <c r="G657" i="11"/>
  <c r="E657" i="11"/>
  <c r="C657" i="11"/>
  <c r="I656" i="11"/>
  <c r="G656" i="11"/>
  <c r="E656" i="11"/>
  <c r="C656" i="11"/>
  <c r="I655" i="11"/>
  <c r="G655" i="11"/>
  <c r="E655" i="11"/>
  <c r="C655" i="11"/>
  <c r="I654" i="11"/>
  <c r="G654" i="11"/>
  <c r="E654" i="11"/>
  <c r="C654" i="11"/>
  <c r="I653" i="11"/>
  <c r="G653" i="11"/>
  <c r="E653" i="11"/>
  <c r="C653" i="11"/>
  <c r="I652" i="11"/>
  <c r="G652" i="11"/>
  <c r="E652" i="11"/>
  <c r="C652" i="11"/>
  <c r="I651" i="11"/>
  <c r="G651" i="11"/>
  <c r="E651" i="11"/>
  <c r="C651" i="11"/>
  <c r="I650" i="11"/>
  <c r="G650" i="11"/>
  <c r="E650" i="11"/>
  <c r="C650" i="11"/>
  <c r="I649" i="11"/>
  <c r="G649" i="11"/>
  <c r="E649" i="11"/>
  <c r="C649" i="11"/>
  <c r="I648" i="11"/>
  <c r="G648" i="11"/>
  <c r="E648" i="11"/>
  <c r="C648" i="11"/>
  <c r="I647" i="11"/>
  <c r="G647" i="11"/>
  <c r="E647" i="11"/>
  <c r="C647" i="11"/>
  <c r="I646" i="11"/>
  <c r="G646" i="11"/>
  <c r="E646" i="11"/>
  <c r="C646" i="11"/>
  <c r="I645" i="11"/>
  <c r="G645" i="11"/>
  <c r="E645" i="11"/>
  <c r="C645" i="11"/>
  <c r="I644" i="11"/>
  <c r="G644" i="11"/>
  <c r="E644" i="11"/>
  <c r="C644" i="11"/>
  <c r="I643" i="11"/>
  <c r="G643" i="11"/>
  <c r="E643" i="11"/>
  <c r="C643" i="11"/>
  <c r="I642" i="11"/>
  <c r="G642" i="11"/>
  <c r="E642" i="11"/>
  <c r="C642" i="11"/>
  <c r="I641" i="11"/>
  <c r="G641" i="11"/>
  <c r="E641" i="11"/>
  <c r="C641" i="11"/>
  <c r="I640" i="11"/>
  <c r="G640" i="11"/>
  <c r="E640" i="11"/>
  <c r="C640" i="11"/>
  <c r="I639" i="11"/>
  <c r="G639" i="11"/>
  <c r="E639" i="11"/>
  <c r="C639" i="11"/>
  <c r="I638" i="11"/>
  <c r="G638" i="11"/>
  <c r="E638" i="11"/>
  <c r="C638" i="11"/>
  <c r="I637" i="11"/>
  <c r="G637" i="11"/>
  <c r="E637" i="11"/>
  <c r="C637" i="11"/>
  <c r="I636" i="11"/>
  <c r="G636" i="11"/>
  <c r="E636" i="11"/>
  <c r="C636" i="11"/>
  <c r="I635" i="11"/>
  <c r="G635" i="11"/>
  <c r="E635" i="11"/>
  <c r="C635" i="11"/>
  <c r="I634" i="11"/>
  <c r="G634" i="11"/>
  <c r="E634" i="11"/>
  <c r="C634" i="11"/>
  <c r="I633" i="11"/>
  <c r="G633" i="11"/>
  <c r="E633" i="11"/>
  <c r="C633" i="11"/>
  <c r="I632" i="11"/>
  <c r="G632" i="11"/>
  <c r="E632" i="11"/>
  <c r="C632" i="11"/>
  <c r="I631" i="11"/>
  <c r="G631" i="11"/>
  <c r="E631" i="11"/>
  <c r="C631" i="11"/>
  <c r="I630" i="11"/>
  <c r="G630" i="11"/>
  <c r="E630" i="11"/>
  <c r="C630" i="11"/>
  <c r="I629" i="11"/>
  <c r="G629" i="11"/>
  <c r="E629" i="11"/>
  <c r="C629" i="11"/>
  <c r="I628" i="11"/>
  <c r="G628" i="11"/>
  <c r="E628" i="11"/>
  <c r="C628" i="11"/>
  <c r="I627" i="11"/>
  <c r="G627" i="11"/>
  <c r="E627" i="11"/>
  <c r="C627" i="11"/>
  <c r="I626" i="11"/>
  <c r="G626" i="11"/>
  <c r="E626" i="11"/>
  <c r="C626" i="11"/>
  <c r="I625" i="11"/>
  <c r="G625" i="11"/>
  <c r="E625" i="11"/>
  <c r="C625" i="11"/>
  <c r="I624" i="11"/>
  <c r="G624" i="11"/>
  <c r="E624" i="11"/>
  <c r="C624" i="11"/>
  <c r="I623" i="11"/>
  <c r="G623" i="11"/>
  <c r="E623" i="11"/>
  <c r="C623" i="11"/>
  <c r="I622" i="11"/>
  <c r="G622" i="11"/>
  <c r="E622" i="11"/>
  <c r="C622" i="11"/>
  <c r="I621" i="11"/>
  <c r="G621" i="11"/>
  <c r="E621" i="11"/>
  <c r="C621" i="11"/>
  <c r="I620" i="11"/>
  <c r="G620" i="11"/>
  <c r="E620" i="11"/>
  <c r="C620" i="11"/>
  <c r="I619" i="11"/>
  <c r="G619" i="11"/>
  <c r="E619" i="11"/>
  <c r="C619" i="11"/>
  <c r="I618" i="11"/>
  <c r="G618" i="11"/>
  <c r="E618" i="11"/>
  <c r="C618" i="11"/>
  <c r="I617" i="11"/>
  <c r="G617" i="11"/>
  <c r="E617" i="11"/>
  <c r="C617" i="11"/>
  <c r="I616" i="11"/>
  <c r="G616" i="11"/>
  <c r="E616" i="11"/>
  <c r="C616" i="11"/>
  <c r="I615" i="11"/>
  <c r="G615" i="11"/>
  <c r="E615" i="11"/>
  <c r="C615" i="11"/>
  <c r="I614" i="11"/>
  <c r="G614" i="11"/>
  <c r="E614" i="11"/>
  <c r="C614" i="11"/>
  <c r="I613" i="11"/>
  <c r="G613" i="11"/>
  <c r="E613" i="11"/>
  <c r="C613" i="11"/>
  <c r="I612" i="11"/>
  <c r="G612" i="11"/>
  <c r="E612" i="11"/>
  <c r="C612" i="11"/>
  <c r="I611" i="11"/>
  <c r="G611" i="11"/>
  <c r="E611" i="11"/>
  <c r="C611" i="11"/>
  <c r="I610" i="11"/>
  <c r="G610" i="11"/>
  <c r="E610" i="11"/>
  <c r="C610" i="11"/>
  <c r="I609" i="11"/>
  <c r="G609" i="11"/>
  <c r="E609" i="11"/>
  <c r="C609" i="11"/>
  <c r="I608" i="11"/>
  <c r="G608" i="11"/>
  <c r="E608" i="11"/>
  <c r="C608" i="11"/>
  <c r="I607" i="11"/>
  <c r="G607" i="11"/>
  <c r="E607" i="11"/>
  <c r="C607" i="11"/>
  <c r="I606" i="11"/>
  <c r="G606" i="11"/>
  <c r="E606" i="11"/>
  <c r="C606" i="11"/>
  <c r="I605" i="11"/>
  <c r="G605" i="11"/>
  <c r="E605" i="11"/>
  <c r="C605" i="11"/>
  <c r="I604" i="11"/>
  <c r="G604" i="11"/>
  <c r="E604" i="11"/>
  <c r="C604" i="11"/>
  <c r="I603" i="11"/>
  <c r="G603" i="11"/>
  <c r="E603" i="11"/>
  <c r="C603" i="11"/>
  <c r="I602" i="11"/>
  <c r="G602" i="11"/>
  <c r="E602" i="11"/>
  <c r="C602" i="11"/>
  <c r="I601" i="11"/>
  <c r="G601" i="11"/>
  <c r="E601" i="11"/>
  <c r="C601" i="11"/>
  <c r="I600" i="11"/>
  <c r="G600" i="11"/>
  <c r="E600" i="11"/>
  <c r="C600" i="11"/>
  <c r="I599" i="11"/>
  <c r="G599" i="11"/>
  <c r="E599" i="11"/>
  <c r="C599" i="11"/>
  <c r="I598" i="11"/>
  <c r="G598" i="11"/>
  <c r="E598" i="11"/>
  <c r="C598" i="11"/>
  <c r="I597" i="11"/>
  <c r="G597" i="11"/>
  <c r="E597" i="11"/>
  <c r="C597" i="11"/>
  <c r="I596" i="11"/>
  <c r="G596" i="11"/>
  <c r="E596" i="11"/>
  <c r="C596" i="11"/>
  <c r="I595" i="11"/>
  <c r="G595" i="11"/>
  <c r="E595" i="11"/>
  <c r="C595" i="11"/>
  <c r="I594" i="11"/>
  <c r="G594" i="11"/>
  <c r="E594" i="11"/>
  <c r="C594" i="11"/>
  <c r="I593" i="11"/>
  <c r="G593" i="11"/>
  <c r="E593" i="11"/>
  <c r="C593" i="11"/>
  <c r="I592" i="11"/>
  <c r="G592" i="11"/>
  <c r="E592" i="11"/>
  <c r="C592" i="11"/>
  <c r="I591" i="11"/>
  <c r="G591" i="11"/>
  <c r="E591" i="11"/>
  <c r="C591" i="11"/>
  <c r="I590" i="11"/>
  <c r="G590" i="11"/>
  <c r="E590" i="11"/>
  <c r="C590" i="11"/>
  <c r="I589" i="11"/>
  <c r="G589" i="11"/>
  <c r="E589" i="11"/>
  <c r="C589" i="11"/>
  <c r="I588" i="11"/>
  <c r="G588" i="11"/>
  <c r="E588" i="11"/>
  <c r="C588" i="11"/>
  <c r="I587" i="11"/>
  <c r="G587" i="11"/>
  <c r="E587" i="11"/>
  <c r="C587" i="11"/>
  <c r="I586" i="11"/>
  <c r="G586" i="11"/>
  <c r="E586" i="11"/>
  <c r="C586" i="11"/>
  <c r="I585" i="11"/>
  <c r="G585" i="11"/>
  <c r="E585" i="11"/>
  <c r="C585" i="11"/>
  <c r="I584" i="11"/>
  <c r="G584" i="11"/>
  <c r="E584" i="11"/>
  <c r="C584" i="11"/>
  <c r="I583" i="11"/>
  <c r="G583" i="11"/>
  <c r="E583" i="11"/>
  <c r="C583" i="11"/>
  <c r="I582" i="11"/>
  <c r="G582" i="11"/>
  <c r="E582" i="11"/>
  <c r="C582" i="11"/>
  <c r="I581" i="11"/>
  <c r="G581" i="11"/>
  <c r="E581" i="11"/>
  <c r="C581" i="11"/>
  <c r="I580" i="11"/>
  <c r="G580" i="11"/>
  <c r="E580" i="11"/>
  <c r="C580" i="11"/>
  <c r="I579" i="11"/>
  <c r="G579" i="11"/>
  <c r="E579" i="11"/>
  <c r="C579" i="11"/>
  <c r="I578" i="11"/>
  <c r="G578" i="11"/>
  <c r="E578" i="11"/>
  <c r="C578" i="11"/>
  <c r="I577" i="11"/>
  <c r="G577" i="11"/>
  <c r="E577" i="11"/>
  <c r="C577" i="11"/>
  <c r="I576" i="11"/>
  <c r="G576" i="11"/>
  <c r="E576" i="11"/>
  <c r="C576" i="11"/>
  <c r="I575" i="11"/>
  <c r="G575" i="11"/>
  <c r="E575" i="11"/>
  <c r="C575" i="11"/>
  <c r="I574" i="11"/>
  <c r="G574" i="11"/>
  <c r="E574" i="11"/>
  <c r="C574" i="11"/>
  <c r="I573" i="11"/>
  <c r="G573" i="11"/>
  <c r="E573" i="11"/>
  <c r="C573" i="11"/>
  <c r="I572" i="11"/>
  <c r="G572" i="11"/>
  <c r="E572" i="11"/>
  <c r="C572" i="11"/>
  <c r="I571" i="11"/>
  <c r="G571" i="11"/>
  <c r="E571" i="11"/>
  <c r="C571" i="11"/>
  <c r="I570" i="11"/>
  <c r="G570" i="11"/>
  <c r="E570" i="11"/>
  <c r="C570" i="11"/>
  <c r="I569" i="11"/>
  <c r="G569" i="11"/>
  <c r="E569" i="11"/>
  <c r="C569" i="11"/>
  <c r="I568" i="11"/>
  <c r="G568" i="11"/>
  <c r="E568" i="11"/>
  <c r="C568" i="11"/>
  <c r="I567" i="11"/>
  <c r="G567" i="11"/>
  <c r="E567" i="11"/>
  <c r="C567" i="11"/>
  <c r="I566" i="11"/>
  <c r="G566" i="11"/>
  <c r="E566" i="11"/>
  <c r="C566" i="11"/>
  <c r="I565" i="11"/>
  <c r="G565" i="11"/>
  <c r="E565" i="11"/>
  <c r="C565" i="11"/>
  <c r="I564" i="11"/>
  <c r="G564" i="11"/>
  <c r="E564" i="11"/>
  <c r="C564" i="11"/>
  <c r="I563" i="11"/>
  <c r="G563" i="11"/>
  <c r="E563" i="11"/>
  <c r="C563" i="11"/>
  <c r="I562" i="11"/>
  <c r="G562" i="11"/>
  <c r="E562" i="11"/>
  <c r="C562" i="11"/>
  <c r="I561" i="11"/>
  <c r="G561" i="11"/>
  <c r="E561" i="11"/>
  <c r="C561" i="11"/>
  <c r="I560" i="11"/>
  <c r="G560" i="11"/>
  <c r="E560" i="11"/>
  <c r="C560" i="11"/>
  <c r="I559" i="11"/>
  <c r="G559" i="11"/>
  <c r="E559" i="11"/>
  <c r="C559" i="11"/>
  <c r="I558" i="11"/>
  <c r="G558" i="11"/>
  <c r="E558" i="11"/>
  <c r="C558" i="11"/>
  <c r="I557" i="11"/>
  <c r="G557" i="11"/>
  <c r="E557" i="11"/>
  <c r="C557" i="11"/>
  <c r="I556" i="11"/>
  <c r="G556" i="11"/>
  <c r="E556" i="11"/>
  <c r="C556" i="11"/>
  <c r="I555" i="11"/>
  <c r="G555" i="11"/>
  <c r="E555" i="11"/>
  <c r="C555" i="11"/>
  <c r="I554" i="11"/>
  <c r="G554" i="11"/>
  <c r="E554" i="11"/>
  <c r="C554" i="11"/>
  <c r="I553" i="11"/>
  <c r="G553" i="11"/>
  <c r="E553" i="11"/>
  <c r="C553" i="11"/>
  <c r="I552" i="11"/>
  <c r="G552" i="11"/>
  <c r="E552" i="11"/>
  <c r="C552" i="11"/>
  <c r="I551" i="11"/>
  <c r="G551" i="11"/>
  <c r="E551" i="11"/>
  <c r="C551" i="11"/>
  <c r="I550" i="11"/>
  <c r="G550" i="11"/>
  <c r="E550" i="11"/>
  <c r="C550" i="11"/>
  <c r="I549" i="11"/>
  <c r="G549" i="11"/>
  <c r="E549" i="11"/>
  <c r="C549" i="11"/>
  <c r="I548" i="11"/>
  <c r="G548" i="11"/>
  <c r="E548" i="11"/>
  <c r="C548" i="11"/>
  <c r="I547" i="11"/>
  <c r="G547" i="11"/>
  <c r="E547" i="11"/>
  <c r="C547" i="11"/>
  <c r="I546" i="11"/>
  <c r="G546" i="11"/>
  <c r="E546" i="11"/>
  <c r="C546" i="11"/>
  <c r="I545" i="11"/>
  <c r="G545" i="11"/>
  <c r="E545" i="11"/>
  <c r="C545" i="11"/>
  <c r="I544" i="11"/>
  <c r="G544" i="11"/>
  <c r="E544" i="11"/>
  <c r="C544" i="11"/>
  <c r="I543" i="11"/>
  <c r="G543" i="11"/>
  <c r="E543" i="11"/>
  <c r="C543" i="11"/>
  <c r="I542" i="11"/>
  <c r="G542" i="11"/>
  <c r="E542" i="11"/>
  <c r="C542" i="11"/>
  <c r="I541" i="11"/>
  <c r="G541" i="11"/>
  <c r="E541" i="11"/>
  <c r="C541" i="11"/>
  <c r="I540" i="11"/>
  <c r="G540" i="11"/>
  <c r="E540" i="11"/>
  <c r="C540" i="11"/>
  <c r="I539" i="11"/>
  <c r="G539" i="11"/>
  <c r="E539" i="11"/>
  <c r="C539" i="11"/>
  <c r="I538" i="11"/>
  <c r="G538" i="11"/>
  <c r="E538" i="11"/>
  <c r="C538" i="11"/>
  <c r="I537" i="11"/>
  <c r="G537" i="11"/>
  <c r="E537" i="11"/>
  <c r="C537" i="11"/>
  <c r="I536" i="11"/>
  <c r="G536" i="11"/>
  <c r="E536" i="11"/>
  <c r="C536" i="11"/>
  <c r="I535" i="11"/>
  <c r="G535" i="11"/>
  <c r="E535" i="11"/>
  <c r="C535" i="11"/>
  <c r="I534" i="11"/>
  <c r="G534" i="11"/>
  <c r="E534" i="11"/>
  <c r="C534" i="11"/>
  <c r="I533" i="11"/>
  <c r="G533" i="11"/>
  <c r="E533" i="11"/>
  <c r="C533" i="11"/>
  <c r="I532" i="11"/>
  <c r="G532" i="11"/>
  <c r="E532" i="11"/>
  <c r="C532" i="11"/>
  <c r="I531" i="11"/>
  <c r="G531" i="11"/>
  <c r="E531" i="11"/>
  <c r="C531" i="11"/>
  <c r="I530" i="11"/>
  <c r="G530" i="11"/>
  <c r="E530" i="11"/>
  <c r="C530" i="11"/>
  <c r="I529" i="11"/>
  <c r="G529" i="11"/>
  <c r="E529" i="11"/>
  <c r="C529" i="11"/>
  <c r="I528" i="11"/>
  <c r="G528" i="11"/>
  <c r="E528" i="11"/>
  <c r="C528" i="11"/>
  <c r="I527" i="11"/>
  <c r="G527" i="11"/>
  <c r="E527" i="11"/>
  <c r="C527" i="11"/>
  <c r="I526" i="11"/>
  <c r="G526" i="11"/>
  <c r="E526" i="11"/>
  <c r="C526" i="11"/>
  <c r="I525" i="11"/>
  <c r="G525" i="11"/>
  <c r="E525" i="11"/>
  <c r="C525" i="11"/>
  <c r="I524" i="11"/>
  <c r="G524" i="11"/>
  <c r="E524" i="11"/>
  <c r="C524" i="11"/>
  <c r="I523" i="11"/>
  <c r="G523" i="11"/>
  <c r="E523" i="11"/>
  <c r="C523" i="11"/>
  <c r="I522" i="11"/>
  <c r="G522" i="11"/>
  <c r="E522" i="11"/>
  <c r="C522" i="11"/>
  <c r="I521" i="11"/>
  <c r="G521" i="11"/>
  <c r="E521" i="11"/>
  <c r="C521" i="11"/>
  <c r="I520" i="11"/>
  <c r="G520" i="11"/>
  <c r="E520" i="11"/>
  <c r="C520" i="11"/>
  <c r="I519" i="11"/>
  <c r="G519" i="11"/>
  <c r="E519" i="11"/>
  <c r="C519" i="11"/>
  <c r="I518" i="11"/>
  <c r="G518" i="11"/>
  <c r="E518" i="11"/>
  <c r="C518" i="11"/>
  <c r="I517" i="11"/>
  <c r="G517" i="11"/>
  <c r="E517" i="11"/>
  <c r="C517" i="11"/>
  <c r="I516" i="11"/>
  <c r="G516" i="11"/>
  <c r="E516" i="11"/>
  <c r="C516" i="11"/>
  <c r="I515" i="11"/>
  <c r="G515" i="11"/>
  <c r="E515" i="11"/>
  <c r="C515" i="11"/>
  <c r="I514" i="11"/>
  <c r="G514" i="11"/>
  <c r="E514" i="11"/>
  <c r="C514" i="11"/>
  <c r="I513" i="11"/>
  <c r="G513" i="11"/>
  <c r="E513" i="11"/>
  <c r="C513" i="11"/>
  <c r="I512" i="11"/>
  <c r="G512" i="11"/>
  <c r="E512" i="11"/>
  <c r="C512" i="11"/>
  <c r="I511" i="11"/>
  <c r="G511" i="11"/>
  <c r="E511" i="11"/>
  <c r="C511" i="11"/>
  <c r="I510" i="11"/>
  <c r="G510" i="11"/>
  <c r="E510" i="11"/>
  <c r="C510" i="11"/>
  <c r="I509" i="11"/>
  <c r="G509" i="11"/>
  <c r="E509" i="11"/>
  <c r="C509" i="11"/>
  <c r="I508" i="11"/>
  <c r="G508" i="11"/>
  <c r="E508" i="11"/>
  <c r="C508" i="11"/>
  <c r="I507" i="11"/>
  <c r="G507" i="11"/>
  <c r="E507" i="11"/>
  <c r="C507" i="11"/>
  <c r="I506" i="11"/>
  <c r="G506" i="11"/>
  <c r="E506" i="11"/>
  <c r="C506" i="11"/>
  <c r="I505" i="11"/>
  <c r="G505" i="11"/>
  <c r="E505" i="11"/>
  <c r="C505" i="11"/>
  <c r="I504" i="11"/>
  <c r="G504" i="11"/>
  <c r="E504" i="11"/>
  <c r="C504" i="11"/>
  <c r="I503" i="11"/>
  <c r="G503" i="11"/>
  <c r="E503" i="11"/>
  <c r="C503" i="11"/>
  <c r="I502" i="11"/>
  <c r="G502" i="11"/>
  <c r="E502" i="11"/>
  <c r="C502" i="11"/>
  <c r="I501" i="11"/>
  <c r="G501" i="11"/>
  <c r="E501" i="11"/>
  <c r="C501" i="11"/>
  <c r="I500" i="11"/>
  <c r="G500" i="11"/>
  <c r="E500" i="11"/>
  <c r="C500" i="11"/>
  <c r="I499" i="11"/>
  <c r="G499" i="11"/>
  <c r="E499" i="11"/>
  <c r="C499" i="11"/>
  <c r="I498" i="11"/>
  <c r="G498" i="11"/>
  <c r="E498" i="11"/>
  <c r="C498" i="11"/>
  <c r="I497" i="11"/>
  <c r="G497" i="11"/>
  <c r="E497" i="11"/>
  <c r="C497" i="11"/>
  <c r="I496" i="11"/>
  <c r="G496" i="11"/>
  <c r="E496" i="11"/>
  <c r="C496" i="11"/>
  <c r="I495" i="11"/>
  <c r="G495" i="11"/>
  <c r="E495" i="11"/>
  <c r="C495" i="11"/>
  <c r="I494" i="11"/>
  <c r="G494" i="11"/>
  <c r="E494" i="11"/>
  <c r="C494" i="11"/>
  <c r="I493" i="11"/>
  <c r="G493" i="11"/>
  <c r="E493" i="11"/>
  <c r="C493" i="11"/>
  <c r="I492" i="11"/>
  <c r="G492" i="11"/>
  <c r="E492" i="11"/>
  <c r="C492" i="11"/>
  <c r="I491" i="11"/>
  <c r="G491" i="11"/>
  <c r="E491" i="11"/>
  <c r="C491" i="11"/>
  <c r="I490" i="11"/>
  <c r="G490" i="11"/>
  <c r="E490" i="11"/>
  <c r="C490" i="11"/>
  <c r="I489" i="11"/>
  <c r="G489" i="11"/>
  <c r="E489" i="11"/>
  <c r="C489" i="11"/>
  <c r="I488" i="11"/>
  <c r="G488" i="11"/>
  <c r="E488" i="11"/>
  <c r="C488" i="11"/>
  <c r="I487" i="11"/>
  <c r="G487" i="11"/>
  <c r="E487" i="11"/>
  <c r="C487" i="11"/>
  <c r="I486" i="11"/>
  <c r="G486" i="11"/>
  <c r="E486" i="11"/>
  <c r="C486" i="11"/>
  <c r="I485" i="11"/>
  <c r="G485" i="11"/>
  <c r="E485" i="11"/>
  <c r="C485" i="11"/>
  <c r="I484" i="11"/>
  <c r="G484" i="11"/>
  <c r="E484" i="11"/>
  <c r="C484" i="11"/>
  <c r="I483" i="11"/>
  <c r="G483" i="11"/>
  <c r="E483" i="11"/>
  <c r="C483" i="11"/>
  <c r="I482" i="11"/>
  <c r="G482" i="11"/>
  <c r="E482" i="11"/>
  <c r="C482" i="11"/>
  <c r="I481" i="11"/>
  <c r="G481" i="11"/>
  <c r="E481" i="11"/>
  <c r="C481" i="11"/>
  <c r="I480" i="11"/>
  <c r="G480" i="11"/>
  <c r="E480" i="11"/>
  <c r="C480" i="11"/>
  <c r="I479" i="11"/>
  <c r="G479" i="11"/>
  <c r="E479" i="11"/>
  <c r="C479" i="11"/>
  <c r="I478" i="11"/>
  <c r="G478" i="11"/>
  <c r="E478" i="11"/>
  <c r="C478" i="11"/>
  <c r="I477" i="11"/>
  <c r="G477" i="11"/>
  <c r="E477" i="11"/>
  <c r="C477" i="11"/>
  <c r="I476" i="11"/>
  <c r="G476" i="11"/>
  <c r="E476" i="11"/>
  <c r="C476" i="11"/>
  <c r="I475" i="11"/>
  <c r="G475" i="11"/>
  <c r="E475" i="11"/>
  <c r="C475" i="11"/>
  <c r="I474" i="11"/>
  <c r="G474" i="11"/>
  <c r="E474" i="11"/>
  <c r="C474" i="11"/>
  <c r="I473" i="11"/>
  <c r="G473" i="11"/>
  <c r="E473" i="11"/>
  <c r="C473" i="11"/>
  <c r="I472" i="11"/>
  <c r="G472" i="11"/>
  <c r="E472" i="11"/>
  <c r="C472" i="11"/>
  <c r="I471" i="11"/>
  <c r="G471" i="11"/>
  <c r="E471" i="11"/>
  <c r="C471" i="11"/>
  <c r="I470" i="11"/>
  <c r="G470" i="11"/>
  <c r="E470" i="11"/>
  <c r="C470" i="11"/>
  <c r="I469" i="11"/>
  <c r="G469" i="11"/>
  <c r="E469" i="11"/>
  <c r="C469" i="11"/>
  <c r="I468" i="11"/>
  <c r="G468" i="11"/>
  <c r="E468" i="11"/>
  <c r="C468" i="11"/>
  <c r="I467" i="11"/>
  <c r="G467" i="11"/>
  <c r="E467" i="11"/>
  <c r="C467" i="11"/>
  <c r="I466" i="11"/>
  <c r="G466" i="11"/>
  <c r="E466" i="11"/>
  <c r="C466" i="11"/>
  <c r="I465" i="11"/>
  <c r="G465" i="11"/>
  <c r="E465" i="11"/>
  <c r="C465" i="11"/>
  <c r="I464" i="11"/>
  <c r="G464" i="11"/>
  <c r="E464" i="11"/>
  <c r="C464" i="11"/>
  <c r="I463" i="11"/>
  <c r="G463" i="11"/>
  <c r="E463" i="11"/>
  <c r="C463" i="11"/>
  <c r="I462" i="11"/>
  <c r="G462" i="11"/>
  <c r="E462" i="11"/>
  <c r="C462" i="11"/>
  <c r="I461" i="11"/>
  <c r="G461" i="11"/>
  <c r="E461" i="11"/>
  <c r="C461" i="11"/>
  <c r="I460" i="11"/>
  <c r="G460" i="11"/>
  <c r="E460" i="11"/>
  <c r="C460" i="11"/>
  <c r="I459" i="11"/>
  <c r="G459" i="11"/>
  <c r="E459" i="11"/>
  <c r="C459" i="11"/>
  <c r="I458" i="11"/>
  <c r="G458" i="11"/>
  <c r="E458" i="11"/>
  <c r="C458" i="11"/>
  <c r="I457" i="11"/>
  <c r="G457" i="11"/>
  <c r="E457" i="11"/>
  <c r="C457" i="11"/>
  <c r="I456" i="11"/>
  <c r="G456" i="11"/>
  <c r="E456" i="11"/>
  <c r="C456" i="11"/>
  <c r="I455" i="11"/>
  <c r="G455" i="11"/>
  <c r="E455" i="11"/>
  <c r="C455" i="11"/>
  <c r="I454" i="11"/>
  <c r="G454" i="11"/>
  <c r="E454" i="11"/>
  <c r="C454" i="11"/>
  <c r="I453" i="11"/>
  <c r="G453" i="11"/>
  <c r="E453" i="11"/>
  <c r="C453" i="11"/>
  <c r="I452" i="11"/>
  <c r="G452" i="11"/>
  <c r="E452" i="11"/>
  <c r="C452" i="11"/>
  <c r="I451" i="11"/>
  <c r="G451" i="11"/>
  <c r="E451" i="11"/>
  <c r="C451" i="11"/>
  <c r="I450" i="11"/>
  <c r="G450" i="11"/>
  <c r="E450" i="11"/>
  <c r="C450" i="11"/>
  <c r="I449" i="11"/>
  <c r="G449" i="11"/>
  <c r="E449" i="11"/>
  <c r="C449" i="11"/>
  <c r="I448" i="11"/>
  <c r="G448" i="11"/>
  <c r="E448" i="11"/>
  <c r="C448" i="11"/>
  <c r="I447" i="11"/>
  <c r="G447" i="11"/>
  <c r="E447" i="11"/>
  <c r="C447" i="11"/>
  <c r="I446" i="11"/>
  <c r="G446" i="11"/>
  <c r="E446" i="11"/>
  <c r="C446" i="11"/>
  <c r="I445" i="11"/>
  <c r="G445" i="11"/>
  <c r="E445" i="11"/>
  <c r="C445" i="11"/>
  <c r="I444" i="11"/>
  <c r="G444" i="11"/>
  <c r="E444" i="11"/>
  <c r="C444" i="11"/>
  <c r="I443" i="11"/>
  <c r="G443" i="11"/>
  <c r="E443" i="11"/>
  <c r="C443" i="11"/>
  <c r="I442" i="11"/>
  <c r="G442" i="11"/>
  <c r="E442" i="11"/>
  <c r="C442" i="11"/>
  <c r="I441" i="11"/>
  <c r="G441" i="11"/>
  <c r="E441" i="11"/>
  <c r="C441" i="11"/>
  <c r="I440" i="11"/>
  <c r="G440" i="11"/>
  <c r="E440" i="11"/>
  <c r="C440" i="11"/>
  <c r="I439" i="11"/>
  <c r="G439" i="11"/>
  <c r="E439" i="11"/>
  <c r="C439" i="11"/>
  <c r="I438" i="11"/>
  <c r="G438" i="11"/>
  <c r="E438" i="11"/>
  <c r="C438" i="11"/>
  <c r="I437" i="11"/>
  <c r="G437" i="11"/>
  <c r="E437" i="11"/>
  <c r="C437" i="11"/>
  <c r="I436" i="11"/>
  <c r="G436" i="11"/>
  <c r="E436" i="11"/>
  <c r="C436" i="11"/>
  <c r="I435" i="11"/>
  <c r="G435" i="11"/>
  <c r="E435" i="11"/>
  <c r="C435" i="11"/>
  <c r="I434" i="11"/>
  <c r="G434" i="11"/>
  <c r="E434" i="11"/>
  <c r="C434" i="11"/>
  <c r="I433" i="11"/>
  <c r="G433" i="11"/>
  <c r="E433" i="11"/>
  <c r="C433" i="11"/>
  <c r="I432" i="11"/>
  <c r="G432" i="11"/>
  <c r="E432" i="11"/>
  <c r="C432" i="11"/>
  <c r="I431" i="11"/>
  <c r="G431" i="11"/>
  <c r="E431" i="11"/>
  <c r="C431" i="11"/>
  <c r="I430" i="11"/>
  <c r="G430" i="11"/>
  <c r="E430" i="11"/>
  <c r="C430" i="11"/>
  <c r="I429" i="11"/>
  <c r="G429" i="11"/>
  <c r="E429" i="11"/>
  <c r="C429" i="11"/>
  <c r="I428" i="11"/>
  <c r="G428" i="11"/>
  <c r="E428" i="11"/>
  <c r="C428" i="11"/>
  <c r="I427" i="11"/>
  <c r="G427" i="11"/>
  <c r="E427" i="11"/>
  <c r="C427" i="11"/>
  <c r="I426" i="11"/>
  <c r="G426" i="11"/>
  <c r="E426" i="11"/>
  <c r="C426" i="11"/>
  <c r="I425" i="11"/>
  <c r="G425" i="11"/>
  <c r="E425" i="11"/>
  <c r="C425" i="11"/>
  <c r="I424" i="11"/>
  <c r="G424" i="11"/>
  <c r="E424" i="11"/>
  <c r="C424" i="11"/>
  <c r="I423" i="11"/>
  <c r="G423" i="11"/>
  <c r="E423" i="11"/>
  <c r="C423" i="11"/>
  <c r="I422" i="11"/>
  <c r="G422" i="11"/>
  <c r="E422" i="11"/>
  <c r="C422" i="11"/>
  <c r="I421" i="11"/>
  <c r="G421" i="11"/>
  <c r="E421" i="11"/>
  <c r="C421" i="11"/>
  <c r="I420" i="11"/>
  <c r="G420" i="11"/>
  <c r="E420" i="11"/>
  <c r="C420" i="11"/>
  <c r="I419" i="11"/>
  <c r="G419" i="11"/>
  <c r="E419" i="11"/>
  <c r="C419" i="11"/>
  <c r="I418" i="11"/>
  <c r="G418" i="11"/>
  <c r="E418" i="11"/>
  <c r="C418" i="11"/>
  <c r="I417" i="11"/>
  <c r="G417" i="11"/>
  <c r="E417" i="11"/>
  <c r="C417" i="11"/>
  <c r="I416" i="11"/>
  <c r="G416" i="11"/>
  <c r="E416" i="11"/>
  <c r="C416" i="11"/>
  <c r="I415" i="11"/>
  <c r="G415" i="11"/>
  <c r="E415" i="11"/>
  <c r="C415" i="11"/>
  <c r="I414" i="11"/>
  <c r="G414" i="11"/>
  <c r="E414" i="11"/>
  <c r="C414" i="11"/>
  <c r="I413" i="11"/>
  <c r="G413" i="11"/>
  <c r="E413" i="11"/>
  <c r="C413" i="11"/>
  <c r="I412" i="11"/>
  <c r="G412" i="11"/>
  <c r="E412" i="11"/>
  <c r="C412" i="11"/>
  <c r="I411" i="11"/>
  <c r="G411" i="11"/>
  <c r="E411" i="11"/>
  <c r="C411" i="11"/>
  <c r="I410" i="11"/>
  <c r="G410" i="11"/>
  <c r="E410" i="11"/>
  <c r="C410" i="11"/>
  <c r="I409" i="11"/>
  <c r="G409" i="11"/>
  <c r="E409" i="11"/>
  <c r="C409" i="11"/>
  <c r="I408" i="11"/>
  <c r="G408" i="11"/>
  <c r="E408" i="11"/>
  <c r="C408" i="11"/>
  <c r="I407" i="11"/>
  <c r="G407" i="11"/>
  <c r="E407" i="11"/>
  <c r="C407" i="11"/>
  <c r="I406" i="11"/>
  <c r="G406" i="11"/>
  <c r="E406" i="11"/>
  <c r="C406" i="11"/>
  <c r="I405" i="11"/>
  <c r="G405" i="11"/>
  <c r="E405" i="11"/>
  <c r="C405" i="11"/>
  <c r="I404" i="11"/>
  <c r="G404" i="11"/>
  <c r="E404" i="11"/>
  <c r="C404" i="11"/>
  <c r="I403" i="11"/>
  <c r="G403" i="11"/>
  <c r="E403" i="11"/>
  <c r="C403" i="11"/>
  <c r="I402" i="11"/>
  <c r="G402" i="11"/>
  <c r="E402" i="11"/>
  <c r="C402" i="11"/>
  <c r="I401" i="11"/>
  <c r="G401" i="11"/>
  <c r="E401" i="11"/>
  <c r="C401" i="11"/>
  <c r="I400" i="11"/>
  <c r="G400" i="11"/>
  <c r="E400" i="11"/>
  <c r="C400" i="11"/>
  <c r="I399" i="11"/>
  <c r="G399" i="11"/>
  <c r="E399" i="11"/>
  <c r="C399" i="11"/>
  <c r="I398" i="11"/>
  <c r="G398" i="11"/>
  <c r="E398" i="11"/>
  <c r="C398" i="11"/>
  <c r="I397" i="11"/>
  <c r="G397" i="11"/>
  <c r="E397" i="11"/>
  <c r="C397" i="11"/>
  <c r="I396" i="11"/>
  <c r="G396" i="11"/>
  <c r="E396" i="11"/>
  <c r="C396" i="11"/>
  <c r="I395" i="11"/>
  <c r="G395" i="11"/>
  <c r="E395" i="11"/>
  <c r="C395" i="11"/>
  <c r="I394" i="11"/>
  <c r="G394" i="11"/>
  <c r="E394" i="11"/>
  <c r="C394" i="11"/>
  <c r="I393" i="11"/>
  <c r="G393" i="11"/>
  <c r="E393" i="11"/>
  <c r="C393" i="11"/>
  <c r="I392" i="11"/>
  <c r="G392" i="11"/>
  <c r="E392" i="11"/>
  <c r="C392" i="11"/>
  <c r="I391" i="11"/>
  <c r="G391" i="11"/>
  <c r="E391" i="11"/>
  <c r="C391" i="11"/>
  <c r="I390" i="11"/>
  <c r="G390" i="11"/>
  <c r="E390" i="11"/>
  <c r="C390" i="11"/>
  <c r="I389" i="11"/>
  <c r="G389" i="11"/>
  <c r="E389" i="11"/>
  <c r="C389" i="11"/>
  <c r="I388" i="11"/>
  <c r="G388" i="11"/>
  <c r="E388" i="11"/>
  <c r="C388" i="11"/>
  <c r="I387" i="11"/>
  <c r="G387" i="11"/>
  <c r="E387" i="11"/>
  <c r="C387" i="11"/>
  <c r="I386" i="11"/>
  <c r="G386" i="11"/>
  <c r="E386" i="11"/>
  <c r="C386" i="11"/>
  <c r="I385" i="11"/>
  <c r="G385" i="11"/>
  <c r="E385" i="11"/>
  <c r="C385" i="11"/>
  <c r="I384" i="11"/>
  <c r="G384" i="11"/>
  <c r="E384" i="11"/>
  <c r="C384" i="11"/>
  <c r="I383" i="11"/>
  <c r="G383" i="11"/>
  <c r="E383" i="11"/>
  <c r="C383" i="11"/>
  <c r="I382" i="11"/>
  <c r="G382" i="11"/>
  <c r="E382" i="11"/>
  <c r="C382" i="11"/>
  <c r="I381" i="11"/>
  <c r="G381" i="11"/>
  <c r="E381" i="11"/>
  <c r="C381" i="11"/>
  <c r="I380" i="11"/>
  <c r="G380" i="11"/>
  <c r="E380" i="11"/>
  <c r="C380" i="11"/>
  <c r="I379" i="11"/>
  <c r="G379" i="11"/>
  <c r="E379" i="11"/>
  <c r="C379" i="11"/>
  <c r="I378" i="11"/>
  <c r="G378" i="11"/>
  <c r="E378" i="11"/>
  <c r="C378" i="11"/>
  <c r="I377" i="11"/>
  <c r="G377" i="11"/>
  <c r="E377" i="11"/>
  <c r="C377" i="11"/>
  <c r="I376" i="11"/>
  <c r="G376" i="11"/>
  <c r="E376" i="11"/>
  <c r="C376" i="11"/>
  <c r="I375" i="11"/>
  <c r="G375" i="11"/>
  <c r="E375" i="11"/>
  <c r="C375" i="11"/>
  <c r="I374" i="11"/>
  <c r="G374" i="11"/>
  <c r="E374" i="11"/>
  <c r="C374" i="11"/>
  <c r="I373" i="11"/>
  <c r="G373" i="11"/>
  <c r="E373" i="11"/>
  <c r="C373" i="11"/>
  <c r="I372" i="11"/>
  <c r="G372" i="11"/>
  <c r="E372" i="11"/>
  <c r="C372" i="11"/>
  <c r="I371" i="11"/>
  <c r="G371" i="11"/>
  <c r="E371" i="11"/>
  <c r="C371" i="11"/>
  <c r="I370" i="11"/>
  <c r="G370" i="11"/>
  <c r="E370" i="11"/>
  <c r="C370" i="11"/>
  <c r="I369" i="11"/>
  <c r="G369" i="11"/>
  <c r="E369" i="11"/>
  <c r="C369" i="11"/>
  <c r="I368" i="11"/>
  <c r="G368" i="11"/>
  <c r="E368" i="11"/>
  <c r="C368" i="11"/>
  <c r="I367" i="11"/>
  <c r="G367" i="11"/>
  <c r="E367" i="11"/>
  <c r="C367" i="11"/>
  <c r="I366" i="11"/>
  <c r="G366" i="11"/>
  <c r="E366" i="11"/>
  <c r="C366" i="11"/>
  <c r="I365" i="11"/>
  <c r="G365" i="11"/>
  <c r="E365" i="11"/>
  <c r="C365" i="11"/>
  <c r="I364" i="11"/>
  <c r="G364" i="11"/>
  <c r="E364" i="11"/>
  <c r="C364" i="11"/>
  <c r="I363" i="11"/>
  <c r="G363" i="11"/>
  <c r="E363" i="11"/>
  <c r="C363" i="11"/>
  <c r="I362" i="11"/>
  <c r="G362" i="11"/>
  <c r="E362" i="11"/>
  <c r="C362" i="11"/>
  <c r="I361" i="11"/>
  <c r="G361" i="11"/>
  <c r="E361" i="11"/>
  <c r="C361" i="11"/>
  <c r="I360" i="11"/>
  <c r="G360" i="11"/>
  <c r="E360" i="11"/>
  <c r="C360" i="11"/>
  <c r="I359" i="11"/>
  <c r="G359" i="11"/>
  <c r="E359" i="11"/>
  <c r="C359" i="11"/>
  <c r="I358" i="11"/>
  <c r="G358" i="11"/>
  <c r="E358" i="11"/>
  <c r="C358" i="11"/>
  <c r="I357" i="11"/>
  <c r="G357" i="11"/>
  <c r="E357" i="11"/>
  <c r="C357" i="11"/>
  <c r="I356" i="11"/>
  <c r="G356" i="11"/>
  <c r="E356" i="11"/>
  <c r="C356" i="11"/>
  <c r="I355" i="11"/>
  <c r="G355" i="11"/>
  <c r="E355" i="11"/>
  <c r="C355" i="11"/>
  <c r="I354" i="11"/>
  <c r="G354" i="11"/>
  <c r="E354" i="11"/>
  <c r="C354" i="11"/>
  <c r="I353" i="11"/>
  <c r="G353" i="11"/>
  <c r="E353" i="11"/>
  <c r="C353" i="11"/>
  <c r="I352" i="11"/>
  <c r="G352" i="11"/>
  <c r="E352" i="11"/>
  <c r="C352" i="11"/>
  <c r="I351" i="11"/>
  <c r="G351" i="11"/>
  <c r="E351" i="11"/>
  <c r="C351" i="11"/>
  <c r="I350" i="11"/>
  <c r="G350" i="11"/>
  <c r="E350" i="11"/>
  <c r="C350" i="11"/>
  <c r="I349" i="11"/>
  <c r="G349" i="11"/>
  <c r="E349" i="11"/>
  <c r="C349" i="11"/>
  <c r="I348" i="11"/>
  <c r="G348" i="11"/>
  <c r="E348" i="11"/>
  <c r="C348" i="11"/>
  <c r="I347" i="11"/>
  <c r="G347" i="11"/>
  <c r="E347" i="11"/>
  <c r="C347" i="11"/>
  <c r="I346" i="11"/>
  <c r="G346" i="11"/>
  <c r="E346" i="11"/>
  <c r="C346" i="11"/>
  <c r="I345" i="11"/>
  <c r="G345" i="11"/>
  <c r="E345" i="11"/>
  <c r="C345" i="11"/>
  <c r="I344" i="11"/>
  <c r="G344" i="11"/>
  <c r="E344" i="11"/>
  <c r="C344" i="11"/>
  <c r="I343" i="11"/>
  <c r="G343" i="11"/>
  <c r="E343" i="11"/>
  <c r="C343" i="11"/>
  <c r="I342" i="11"/>
  <c r="G342" i="11"/>
  <c r="E342" i="11"/>
  <c r="C342" i="11"/>
  <c r="I341" i="11"/>
  <c r="G341" i="11"/>
  <c r="E341" i="11"/>
  <c r="C341" i="11"/>
  <c r="I340" i="11"/>
  <c r="G340" i="11"/>
  <c r="E340" i="11"/>
  <c r="C340" i="11"/>
  <c r="I339" i="11"/>
  <c r="G339" i="11"/>
  <c r="E339" i="11"/>
  <c r="C339" i="11"/>
  <c r="I338" i="11"/>
  <c r="G338" i="11"/>
  <c r="E338" i="11"/>
  <c r="C338" i="11"/>
  <c r="I337" i="11"/>
  <c r="G337" i="11"/>
  <c r="E337" i="11"/>
  <c r="C337" i="11"/>
  <c r="I336" i="11"/>
  <c r="G336" i="11"/>
  <c r="E336" i="11"/>
  <c r="C336" i="11"/>
  <c r="I335" i="11"/>
  <c r="G335" i="11"/>
  <c r="E335" i="11"/>
  <c r="C335" i="11"/>
  <c r="I334" i="11"/>
  <c r="G334" i="11"/>
  <c r="E334" i="11"/>
  <c r="C334" i="11"/>
  <c r="I333" i="11"/>
  <c r="G333" i="11"/>
  <c r="E333" i="11"/>
  <c r="C333" i="11"/>
  <c r="I332" i="11"/>
  <c r="G332" i="11"/>
  <c r="E332" i="11"/>
  <c r="C332" i="11"/>
  <c r="I331" i="11"/>
  <c r="G331" i="11"/>
  <c r="E331" i="11"/>
  <c r="C331" i="11"/>
  <c r="I330" i="11"/>
  <c r="G330" i="11"/>
  <c r="E330" i="11"/>
  <c r="C330" i="11"/>
  <c r="I329" i="11"/>
  <c r="G329" i="11"/>
  <c r="E329" i="11"/>
  <c r="C329" i="11"/>
  <c r="I328" i="11"/>
  <c r="G328" i="11"/>
  <c r="E328" i="11"/>
  <c r="C328" i="11"/>
  <c r="I327" i="11"/>
  <c r="G327" i="11"/>
  <c r="E327" i="11"/>
  <c r="C327" i="11"/>
  <c r="I326" i="11"/>
  <c r="G326" i="11"/>
  <c r="E326" i="11"/>
  <c r="C326" i="11"/>
  <c r="I325" i="11"/>
  <c r="G325" i="11"/>
  <c r="E325" i="11"/>
  <c r="C325" i="11"/>
  <c r="I324" i="11"/>
  <c r="G324" i="11"/>
  <c r="E324" i="11"/>
  <c r="C324" i="11"/>
  <c r="I323" i="11"/>
  <c r="G323" i="11"/>
  <c r="E323" i="11"/>
  <c r="C323" i="11"/>
  <c r="I322" i="11"/>
  <c r="G322" i="11"/>
  <c r="E322" i="11"/>
  <c r="C322" i="11"/>
  <c r="I321" i="11"/>
  <c r="G321" i="11"/>
  <c r="E321" i="11"/>
  <c r="C321" i="11"/>
  <c r="I320" i="11"/>
  <c r="G320" i="11"/>
  <c r="E320" i="11"/>
  <c r="C320" i="11"/>
  <c r="I319" i="11"/>
  <c r="G319" i="11"/>
  <c r="E319" i="11"/>
  <c r="C319" i="11"/>
  <c r="I318" i="11"/>
  <c r="G318" i="11"/>
  <c r="E318" i="11"/>
  <c r="C318" i="11"/>
  <c r="I317" i="11"/>
  <c r="G317" i="11"/>
  <c r="E317" i="11"/>
  <c r="C317" i="11"/>
  <c r="I316" i="11"/>
  <c r="G316" i="11"/>
  <c r="E316" i="11"/>
  <c r="C316" i="11"/>
  <c r="I315" i="11"/>
  <c r="G315" i="11"/>
  <c r="E315" i="11"/>
  <c r="C315" i="11"/>
  <c r="I314" i="11"/>
  <c r="G314" i="11"/>
  <c r="E314" i="11"/>
  <c r="C314" i="11"/>
  <c r="I313" i="11"/>
  <c r="G313" i="11"/>
  <c r="E313" i="11"/>
  <c r="C313" i="11"/>
  <c r="I312" i="11"/>
  <c r="G312" i="11"/>
  <c r="E312" i="11"/>
  <c r="C312" i="11"/>
  <c r="I311" i="11"/>
  <c r="G311" i="11"/>
  <c r="E311" i="11"/>
  <c r="C311" i="11"/>
  <c r="I310" i="11"/>
  <c r="G310" i="11"/>
  <c r="E310" i="11"/>
  <c r="C310" i="11"/>
  <c r="I309" i="11"/>
  <c r="G309" i="11"/>
  <c r="E309" i="11"/>
  <c r="C309" i="11"/>
  <c r="I308" i="11"/>
  <c r="G308" i="11"/>
  <c r="E308" i="11"/>
  <c r="C308" i="11"/>
  <c r="I307" i="11"/>
  <c r="G307" i="11"/>
  <c r="E307" i="11"/>
  <c r="C307" i="11"/>
  <c r="I306" i="11"/>
  <c r="G306" i="11"/>
  <c r="E306" i="11"/>
  <c r="C306" i="11"/>
  <c r="I305" i="11"/>
  <c r="G305" i="11"/>
  <c r="E305" i="11"/>
  <c r="C305" i="11"/>
  <c r="I304" i="11"/>
  <c r="G304" i="11"/>
  <c r="E304" i="11"/>
  <c r="C304" i="11"/>
  <c r="I303" i="11"/>
  <c r="G303" i="11"/>
  <c r="E303" i="11"/>
  <c r="C303" i="11"/>
  <c r="I302" i="11"/>
  <c r="G302" i="11"/>
  <c r="E302" i="11"/>
  <c r="C302" i="11"/>
  <c r="I301" i="11"/>
  <c r="G301" i="11"/>
  <c r="E301" i="11"/>
  <c r="C301" i="11"/>
  <c r="I300" i="11"/>
  <c r="G300" i="11"/>
  <c r="E300" i="11"/>
  <c r="C300" i="11"/>
  <c r="I299" i="11"/>
  <c r="G299" i="11"/>
  <c r="E299" i="11"/>
  <c r="C299" i="11"/>
  <c r="I298" i="11"/>
  <c r="G298" i="11"/>
  <c r="E298" i="11"/>
  <c r="C298" i="11"/>
  <c r="I297" i="11"/>
  <c r="G297" i="11"/>
  <c r="E297" i="11"/>
  <c r="C297" i="11"/>
  <c r="I296" i="11"/>
  <c r="G296" i="11"/>
  <c r="E296" i="11"/>
  <c r="C296" i="11"/>
  <c r="I295" i="11"/>
  <c r="G295" i="11"/>
  <c r="E295" i="11"/>
  <c r="C295" i="11"/>
  <c r="I294" i="11"/>
  <c r="G294" i="11"/>
  <c r="E294" i="11"/>
  <c r="C294" i="11"/>
  <c r="I293" i="11"/>
  <c r="G293" i="11"/>
  <c r="E293" i="11"/>
  <c r="C293" i="11"/>
  <c r="I292" i="11"/>
  <c r="G292" i="11"/>
  <c r="E292" i="11"/>
  <c r="C292" i="11"/>
  <c r="I291" i="11"/>
  <c r="G291" i="11"/>
  <c r="E291" i="11"/>
  <c r="C291" i="11"/>
  <c r="I290" i="11"/>
  <c r="G290" i="11"/>
  <c r="E290" i="11"/>
  <c r="C290" i="11"/>
  <c r="I289" i="11"/>
  <c r="G289" i="11"/>
  <c r="E289" i="11"/>
  <c r="C289" i="11"/>
  <c r="I288" i="11"/>
  <c r="G288" i="11"/>
  <c r="E288" i="11"/>
  <c r="C288" i="11"/>
  <c r="I287" i="11"/>
  <c r="G287" i="11"/>
  <c r="E287" i="11"/>
  <c r="C287" i="11"/>
  <c r="I286" i="11"/>
  <c r="G286" i="11"/>
  <c r="E286" i="11"/>
  <c r="C286" i="11"/>
  <c r="I285" i="11"/>
  <c r="G285" i="11"/>
  <c r="E285" i="11"/>
  <c r="C285" i="11"/>
  <c r="I284" i="11"/>
  <c r="G284" i="11"/>
  <c r="E284" i="11"/>
  <c r="C284" i="11"/>
  <c r="I283" i="11"/>
  <c r="G283" i="11"/>
  <c r="E283" i="11"/>
  <c r="C283" i="11"/>
  <c r="I282" i="11"/>
  <c r="G282" i="11"/>
  <c r="E282" i="11"/>
  <c r="C282" i="11"/>
  <c r="I281" i="11"/>
  <c r="G281" i="11"/>
  <c r="E281" i="11"/>
  <c r="C281" i="11"/>
  <c r="I280" i="11"/>
  <c r="G280" i="11"/>
  <c r="E280" i="11"/>
  <c r="C280" i="11"/>
  <c r="I279" i="11"/>
  <c r="G279" i="11"/>
  <c r="E279" i="11"/>
  <c r="C279" i="11"/>
  <c r="I278" i="11"/>
  <c r="G278" i="11"/>
  <c r="E278" i="11"/>
  <c r="C278" i="11"/>
  <c r="I277" i="11"/>
  <c r="G277" i="11"/>
  <c r="E277" i="11"/>
  <c r="C277" i="11"/>
  <c r="I276" i="11"/>
  <c r="G276" i="11"/>
  <c r="E276" i="11"/>
  <c r="C276" i="11"/>
  <c r="I275" i="11"/>
  <c r="G275" i="11"/>
  <c r="E275" i="11"/>
  <c r="C275" i="11"/>
  <c r="I274" i="11"/>
  <c r="G274" i="11"/>
  <c r="E274" i="11"/>
  <c r="C274" i="11"/>
  <c r="I273" i="11"/>
  <c r="G273" i="11"/>
  <c r="E273" i="11"/>
  <c r="C273" i="11"/>
  <c r="I272" i="11"/>
  <c r="G272" i="11"/>
  <c r="E272" i="11"/>
  <c r="C272" i="11"/>
  <c r="I271" i="11"/>
  <c r="G271" i="11"/>
  <c r="E271" i="11"/>
  <c r="C271" i="11"/>
  <c r="I270" i="11"/>
  <c r="G270" i="11"/>
  <c r="E270" i="11"/>
  <c r="C270" i="11"/>
  <c r="I269" i="11"/>
  <c r="G269" i="11"/>
  <c r="E269" i="11"/>
  <c r="C269" i="11"/>
  <c r="I268" i="11"/>
  <c r="G268" i="11"/>
  <c r="E268" i="11"/>
  <c r="C268" i="11"/>
  <c r="I267" i="11"/>
  <c r="G267" i="11"/>
  <c r="E267" i="11"/>
  <c r="C267" i="11"/>
  <c r="I266" i="11"/>
  <c r="G266" i="11"/>
  <c r="E266" i="11"/>
  <c r="C266" i="11"/>
  <c r="I265" i="11"/>
  <c r="G265" i="11"/>
  <c r="E265" i="11"/>
  <c r="C265" i="11"/>
  <c r="I264" i="11"/>
  <c r="G264" i="11"/>
  <c r="E264" i="11"/>
  <c r="C264" i="11"/>
  <c r="I263" i="11"/>
  <c r="G263" i="11"/>
  <c r="E263" i="11"/>
  <c r="C263" i="11"/>
  <c r="I262" i="11"/>
  <c r="G262" i="11"/>
  <c r="E262" i="11"/>
  <c r="C262" i="11"/>
  <c r="I261" i="11"/>
  <c r="G261" i="11"/>
  <c r="E261" i="11"/>
  <c r="C261" i="11"/>
  <c r="I260" i="11"/>
  <c r="G260" i="11"/>
  <c r="E260" i="11"/>
  <c r="C260" i="11"/>
  <c r="I259" i="11"/>
  <c r="G259" i="11"/>
  <c r="E259" i="11"/>
  <c r="C259" i="11"/>
  <c r="I258" i="11"/>
  <c r="G258" i="11"/>
  <c r="E258" i="11"/>
  <c r="C258" i="11"/>
  <c r="I257" i="11"/>
  <c r="G257" i="11"/>
  <c r="E257" i="11"/>
  <c r="C257" i="11"/>
  <c r="I256" i="11"/>
  <c r="G256" i="11"/>
  <c r="E256" i="11"/>
  <c r="C256" i="11"/>
  <c r="I255" i="11"/>
  <c r="G255" i="11"/>
  <c r="E255" i="11"/>
  <c r="C255" i="11"/>
  <c r="I254" i="11"/>
  <c r="G254" i="11"/>
  <c r="E254" i="11"/>
  <c r="C254" i="11"/>
  <c r="I253" i="11"/>
  <c r="G253" i="11"/>
  <c r="E253" i="11"/>
  <c r="C253" i="11"/>
  <c r="I252" i="11"/>
  <c r="G252" i="11"/>
  <c r="E252" i="11"/>
  <c r="C252" i="11"/>
  <c r="I251" i="11"/>
  <c r="G251" i="11"/>
  <c r="E251" i="11"/>
  <c r="C251" i="11"/>
  <c r="I250" i="11"/>
  <c r="G250" i="11"/>
  <c r="E250" i="11"/>
  <c r="C250" i="11"/>
  <c r="I249" i="11"/>
  <c r="G249" i="11"/>
  <c r="E249" i="11"/>
  <c r="C249" i="11"/>
  <c r="I248" i="11"/>
  <c r="G248" i="11"/>
  <c r="E248" i="11"/>
  <c r="C248" i="11"/>
  <c r="I247" i="11"/>
  <c r="G247" i="11"/>
  <c r="E247" i="11"/>
  <c r="C247" i="11"/>
  <c r="I246" i="11"/>
  <c r="G246" i="11"/>
  <c r="E246" i="11"/>
  <c r="C246" i="11"/>
  <c r="I245" i="11"/>
  <c r="G245" i="11"/>
  <c r="E245" i="11"/>
  <c r="C245" i="11"/>
  <c r="I244" i="11"/>
  <c r="G244" i="11"/>
  <c r="E244" i="11"/>
  <c r="C244" i="11"/>
  <c r="I243" i="11"/>
  <c r="G243" i="11"/>
  <c r="E243" i="11"/>
  <c r="C243" i="11"/>
  <c r="I242" i="11"/>
  <c r="G242" i="11"/>
  <c r="E242" i="11"/>
  <c r="C242" i="11"/>
  <c r="I241" i="11"/>
  <c r="G241" i="11"/>
  <c r="E241" i="11"/>
  <c r="C241" i="11"/>
  <c r="I240" i="11"/>
  <c r="G240" i="11"/>
  <c r="E240" i="11"/>
  <c r="C240" i="11"/>
  <c r="I239" i="11"/>
  <c r="G239" i="11"/>
  <c r="E239" i="11"/>
  <c r="C239" i="11"/>
  <c r="I238" i="11"/>
  <c r="G238" i="11"/>
  <c r="E238" i="11"/>
  <c r="C238" i="11"/>
  <c r="I237" i="11"/>
  <c r="G237" i="11"/>
  <c r="E237" i="11"/>
  <c r="C237" i="11"/>
  <c r="I236" i="11"/>
  <c r="G236" i="11"/>
  <c r="E236" i="11"/>
  <c r="C236" i="11"/>
  <c r="I235" i="11"/>
  <c r="G235" i="11"/>
  <c r="E235" i="11"/>
  <c r="C235" i="11"/>
  <c r="I234" i="11"/>
  <c r="G234" i="11"/>
  <c r="E234" i="11"/>
  <c r="C234" i="11"/>
  <c r="I233" i="11"/>
  <c r="G233" i="11"/>
  <c r="E233" i="11"/>
  <c r="C233" i="11"/>
  <c r="I232" i="11"/>
  <c r="G232" i="11"/>
  <c r="E232" i="11"/>
  <c r="C232" i="11"/>
  <c r="I231" i="11"/>
  <c r="G231" i="11"/>
  <c r="E231" i="11"/>
  <c r="C231" i="11"/>
  <c r="I230" i="11"/>
  <c r="G230" i="11"/>
  <c r="E230" i="11"/>
  <c r="C230" i="11"/>
  <c r="I229" i="11"/>
  <c r="G229" i="11"/>
  <c r="E229" i="11"/>
  <c r="C229" i="11"/>
  <c r="I228" i="11"/>
  <c r="G228" i="11"/>
  <c r="E228" i="11"/>
  <c r="C228" i="11"/>
  <c r="I227" i="11"/>
  <c r="G227" i="11"/>
  <c r="E227" i="11"/>
  <c r="C227" i="11"/>
  <c r="I226" i="11"/>
  <c r="G226" i="11"/>
  <c r="E226" i="11"/>
  <c r="C226" i="11"/>
  <c r="I225" i="11"/>
  <c r="G225" i="11"/>
  <c r="E225" i="11"/>
  <c r="C225" i="11"/>
  <c r="I224" i="11"/>
  <c r="G224" i="11"/>
  <c r="E224" i="11"/>
  <c r="C224" i="11"/>
  <c r="I223" i="11"/>
  <c r="G223" i="11"/>
  <c r="E223" i="11"/>
  <c r="C223" i="11"/>
  <c r="I222" i="11"/>
  <c r="G222" i="11"/>
  <c r="E222" i="11"/>
  <c r="C222" i="11"/>
  <c r="I221" i="11"/>
  <c r="G221" i="11"/>
  <c r="E221" i="11"/>
  <c r="C221" i="11"/>
  <c r="I220" i="11"/>
  <c r="G220" i="11"/>
  <c r="E220" i="11"/>
  <c r="C220" i="11"/>
  <c r="I219" i="11"/>
  <c r="G219" i="11"/>
  <c r="E219" i="11"/>
  <c r="C219" i="11"/>
  <c r="I218" i="11"/>
  <c r="G218" i="11"/>
  <c r="E218" i="11"/>
  <c r="C218" i="11"/>
  <c r="I217" i="11"/>
  <c r="G217" i="11"/>
  <c r="E217" i="11"/>
  <c r="C217" i="11"/>
  <c r="I216" i="11"/>
  <c r="G216" i="11"/>
  <c r="E216" i="11"/>
  <c r="C216" i="11"/>
  <c r="I215" i="11"/>
  <c r="G215" i="11"/>
  <c r="E215" i="11"/>
  <c r="C215" i="11"/>
  <c r="I214" i="11"/>
  <c r="G214" i="11"/>
  <c r="E214" i="11"/>
  <c r="C214" i="11"/>
  <c r="I213" i="11"/>
  <c r="G213" i="11"/>
  <c r="E213" i="11"/>
  <c r="C213" i="11"/>
  <c r="I212" i="11"/>
  <c r="G212" i="11"/>
  <c r="E212" i="11"/>
  <c r="C212" i="11"/>
  <c r="I211" i="11"/>
  <c r="G211" i="11"/>
  <c r="E211" i="11"/>
  <c r="C211" i="11"/>
  <c r="I210" i="11"/>
  <c r="G210" i="11"/>
  <c r="E210" i="11"/>
  <c r="C210" i="11"/>
  <c r="I209" i="11"/>
  <c r="G209" i="11"/>
  <c r="E209" i="11"/>
  <c r="C209" i="11"/>
  <c r="I208" i="11"/>
  <c r="G208" i="11"/>
  <c r="E208" i="11"/>
  <c r="C208" i="11"/>
  <c r="I207" i="11"/>
  <c r="G207" i="11"/>
  <c r="E207" i="11"/>
  <c r="C207" i="11"/>
  <c r="I206" i="11"/>
  <c r="G206" i="11"/>
  <c r="E206" i="11"/>
  <c r="C206" i="11"/>
  <c r="I205" i="11"/>
  <c r="G205" i="11"/>
  <c r="E205" i="11"/>
  <c r="C205" i="11"/>
  <c r="I204" i="11"/>
  <c r="G204" i="11"/>
  <c r="E204" i="11"/>
  <c r="C204" i="11"/>
  <c r="I203" i="11"/>
  <c r="G203" i="11"/>
  <c r="E203" i="11"/>
  <c r="C203" i="11"/>
  <c r="I202" i="11"/>
  <c r="G202" i="11"/>
  <c r="E202" i="11"/>
  <c r="C202" i="11"/>
  <c r="I201" i="11"/>
  <c r="G201" i="11"/>
  <c r="E201" i="11"/>
  <c r="C201" i="11"/>
  <c r="I200" i="11"/>
  <c r="G200" i="11"/>
  <c r="E200" i="11"/>
  <c r="C200" i="11"/>
  <c r="I199" i="11"/>
  <c r="G199" i="11"/>
  <c r="E199" i="11"/>
  <c r="C199" i="11"/>
  <c r="I198" i="11"/>
  <c r="G198" i="11"/>
  <c r="E198" i="11"/>
  <c r="C198" i="11"/>
  <c r="I197" i="11"/>
  <c r="G197" i="11"/>
  <c r="E197" i="11"/>
  <c r="C197" i="11"/>
  <c r="I196" i="11"/>
  <c r="G196" i="11"/>
  <c r="E196" i="11"/>
  <c r="C196" i="11"/>
  <c r="I195" i="11"/>
  <c r="G195" i="11"/>
  <c r="E195" i="11"/>
  <c r="C195" i="11"/>
  <c r="I194" i="11"/>
  <c r="G194" i="11"/>
  <c r="E194" i="11"/>
  <c r="C194" i="11"/>
  <c r="I193" i="11"/>
  <c r="G193" i="11"/>
  <c r="E193" i="11"/>
  <c r="C193" i="11"/>
  <c r="I192" i="11"/>
  <c r="G192" i="11"/>
  <c r="E192" i="11"/>
  <c r="C192" i="11"/>
  <c r="I191" i="11"/>
  <c r="G191" i="11"/>
  <c r="E191" i="11"/>
  <c r="C191" i="11"/>
  <c r="I190" i="11"/>
  <c r="G190" i="11"/>
  <c r="E190" i="11"/>
  <c r="C190" i="11"/>
  <c r="I189" i="11"/>
  <c r="G189" i="11"/>
  <c r="E189" i="11"/>
  <c r="C189" i="11"/>
  <c r="I188" i="11"/>
  <c r="G188" i="11"/>
  <c r="E188" i="11"/>
  <c r="C188" i="11"/>
  <c r="I187" i="11"/>
  <c r="G187" i="11"/>
  <c r="E187" i="11"/>
  <c r="C187" i="11"/>
  <c r="I186" i="11"/>
  <c r="G186" i="11"/>
  <c r="E186" i="11"/>
  <c r="C186" i="11"/>
  <c r="I185" i="11"/>
  <c r="G185" i="11"/>
  <c r="E185" i="11"/>
  <c r="C185" i="11"/>
  <c r="I184" i="11"/>
  <c r="G184" i="11"/>
  <c r="E184" i="11"/>
  <c r="C184" i="11"/>
  <c r="I183" i="11"/>
  <c r="G183" i="11"/>
  <c r="E183" i="11"/>
  <c r="C183" i="11"/>
  <c r="I182" i="11"/>
  <c r="G182" i="11"/>
  <c r="E182" i="11"/>
  <c r="C182" i="11"/>
  <c r="I181" i="11"/>
  <c r="G181" i="11"/>
  <c r="E181" i="11"/>
  <c r="C181" i="11"/>
  <c r="I180" i="11"/>
  <c r="G180" i="11"/>
  <c r="E180" i="11"/>
  <c r="C180" i="11"/>
  <c r="I179" i="11"/>
  <c r="G179" i="11"/>
  <c r="E179" i="11"/>
  <c r="C179" i="11"/>
  <c r="I178" i="11"/>
  <c r="G178" i="11"/>
  <c r="E178" i="11"/>
  <c r="C178" i="11"/>
  <c r="I177" i="11"/>
  <c r="G177" i="11"/>
  <c r="E177" i="11"/>
  <c r="C177" i="11"/>
  <c r="I176" i="11"/>
  <c r="G176" i="11"/>
  <c r="E176" i="11"/>
  <c r="C176" i="11"/>
  <c r="I175" i="11"/>
  <c r="G175" i="11"/>
  <c r="E175" i="11"/>
  <c r="C175" i="11"/>
  <c r="I174" i="11"/>
  <c r="G174" i="11"/>
  <c r="E174" i="11"/>
  <c r="C174" i="11"/>
  <c r="I173" i="11"/>
  <c r="G173" i="11"/>
  <c r="E173" i="11"/>
  <c r="C173" i="11"/>
  <c r="I172" i="11"/>
  <c r="G172" i="11"/>
  <c r="E172" i="11"/>
  <c r="C172" i="11"/>
  <c r="I171" i="11"/>
  <c r="G171" i="11"/>
  <c r="E171" i="11"/>
  <c r="C171" i="11"/>
  <c r="I170" i="11"/>
  <c r="G170" i="11"/>
  <c r="E170" i="11"/>
  <c r="C170" i="11"/>
  <c r="I169" i="11"/>
  <c r="G169" i="11"/>
  <c r="E169" i="11"/>
  <c r="C169" i="11"/>
  <c r="I168" i="11"/>
  <c r="G168" i="11"/>
  <c r="E168" i="11"/>
  <c r="C168" i="11"/>
  <c r="I167" i="11"/>
  <c r="G167" i="11"/>
  <c r="E167" i="11"/>
  <c r="C167" i="11"/>
  <c r="I166" i="11"/>
  <c r="G166" i="11"/>
  <c r="E166" i="11"/>
  <c r="C166" i="11"/>
  <c r="I165" i="11"/>
  <c r="G165" i="11"/>
  <c r="E165" i="11"/>
  <c r="C165" i="11"/>
  <c r="I164" i="11"/>
  <c r="G164" i="11"/>
  <c r="E164" i="11"/>
  <c r="C164" i="11"/>
  <c r="I163" i="11"/>
  <c r="G163" i="11"/>
  <c r="E163" i="11"/>
  <c r="C163" i="11"/>
  <c r="I162" i="11"/>
  <c r="G162" i="11"/>
  <c r="E162" i="11"/>
  <c r="C162" i="11"/>
  <c r="I161" i="11"/>
  <c r="G161" i="11"/>
  <c r="E161" i="11"/>
  <c r="C161" i="11"/>
  <c r="I160" i="11"/>
  <c r="G160" i="11"/>
  <c r="E160" i="11"/>
  <c r="C160" i="11"/>
  <c r="I159" i="11"/>
  <c r="G159" i="11"/>
  <c r="E159" i="11"/>
  <c r="C159" i="11"/>
  <c r="I158" i="11"/>
  <c r="G158" i="11"/>
  <c r="E158" i="11"/>
  <c r="C158" i="11"/>
  <c r="I157" i="11"/>
  <c r="G157" i="11"/>
  <c r="E157" i="11"/>
  <c r="C157" i="11"/>
  <c r="I156" i="11"/>
  <c r="G156" i="11"/>
  <c r="E156" i="11"/>
  <c r="C156" i="11"/>
  <c r="I155" i="11"/>
  <c r="G155" i="11"/>
  <c r="E155" i="11"/>
  <c r="C155" i="11"/>
  <c r="I154" i="11"/>
  <c r="G154" i="11"/>
  <c r="E154" i="11"/>
  <c r="C154" i="11"/>
  <c r="I153" i="11"/>
  <c r="G153" i="11"/>
  <c r="E153" i="11"/>
  <c r="C153" i="11"/>
  <c r="I152" i="11"/>
  <c r="G152" i="11"/>
  <c r="E152" i="11"/>
  <c r="C152" i="11"/>
  <c r="I151" i="11"/>
  <c r="G151" i="11"/>
  <c r="E151" i="11"/>
  <c r="C151" i="11"/>
  <c r="I150" i="11"/>
  <c r="G150" i="11"/>
  <c r="E150" i="11"/>
  <c r="C150" i="11"/>
  <c r="I149" i="11"/>
  <c r="G149" i="11"/>
  <c r="E149" i="11"/>
  <c r="C149" i="11"/>
  <c r="I148" i="11"/>
  <c r="G148" i="11"/>
  <c r="E148" i="11"/>
  <c r="C148" i="11"/>
  <c r="I147" i="11"/>
  <c r="G147" i="11"/>
  <c r="E147" i="11"/>
  <c r="C147" i="11"/>
  <c r="I146" i="11"/>
  <c r="G146" i="11"/>
  <c r="E146" i="11"/>
  <c r="C146" i="11"/>
  <c r="I145" i="11"/>
  <c r="G145" i="11"/>
  <c r="E145" i="11"/>
  <c r="C145" i="11"/>
  <c r="I144" i="11"/>
  <c r="G144" i="11"/>
  <c r="E144" i="11"/>
  <c r="C144" i="11"/>
  <c r="I143" i="11"/>
  <c r="G143" i="11"/>
  <c r="E143" i="11"/>
  <c r="C143" i="11"/>
  <c r="I142" i="11"/>
  <c r="G142" i="11"/>
  <c r="E142" i="11"/>
  <c r="C142" i="11"/>
  <c r="I141" i="11"/>
  <c r="G141" i="11"/>
  <c r="E141" i="11"/>
  <c r="C141" i="11"/>
  <c r="I140" i="11"/>
  <c r="G140" i="11"/>
  <c r="E140" i="11"/>
  <c r="C140" i="11"/>
  <c r="I139" i="11"/>
  <c r="G139" i="11"/>
  <c r="E139" i="11"/>
  <c r="C139" i="11"/>
  <c r="I138" i="11"/>
  <c r="G138" i="11"/>
  <c r="E138" i="11"/>
  <c r="C138" i="11"/>
  <c r="I137" i="11"/>
  <c r="G137" i="11"/>
  <c r="E137" i="11"/>
  <c r="C137" i="11"/>
  <c r="I136" i="11"/>
  <c r="G136" i="11"/>
  <c r="E136" i="11"/>
  <c r="C136" i="11"/>
  <c r="I135" i="11"/>
  <c r="G135" i="11"/>
  <c r="E135" i="11"/>
  <c r="C135" i="11"/>
  <c r="I134" i="11"/>
  <c r="G134" i="11"/>
  <c r="E134" i="11"/>
  <c r="C134" i="11"/>
  <c r="I133" i="11"/>
  <c r="G133" i="11"/>
  <c r="E133" i="11"/>
  <c r="C133" i="11"/>
  <c r="I132" i="11"/>
  <c r="G132" i="11"/>
  <c r="E132" i="11"/>
  <c r="C132" i="11"/>
  <c r="I131" i="11"/>
  <c r="G131" i="11"/>
  <c r="E131" i="11"/>
  <c r="C131" i="11"/>
  <c r="I130" i="11"/>
  <c r="G130" i="11"/>
  <c r="E130" i="11"/>
  <c r="C130" i="11"/>
  <c r="I129" i="11"/>
  <c r="G129" i="11"/>
  <c r="E129" i="11"/>
  <c r="C129" i="11"/>
  <c r="I128" i="11"/>
  <c r="G128" i="11"/>
  <c r="E128" i="11"/>
  <c r="C128" i="11"/>
  <c r="I127" i="11"/>
  <c r="G127" i="11"/>
  <c r="E127" i="11"/>
  <c r="C127" i="11"/>
  <c r="I126" i="11"/>
  <c r="G126" i="11"/>
  <c r="E126" i="11"/>
  <c r="C126" i="11"/>
  <c r="I125" i="11"/>
  <c r="G125" i="11"/>
  <c r="E125" i="11"/>
  <c r="C125" i="11"/>
  <c r="I124" i="11"/>
  <c r="G124" i="11"/>
  <c r="E124" i="11"/>
  <c r="C124" i="11"/>
  <c r="I123" i="11"/>
  <c r="G123" i="11"/>
  <c r="E123" i="11"/>
  <c r="C123" i="11"/>
  <c r="I122" i="11"/>
  <c r="G122" i="11"/>
  <c r="E122" i="11"/>
  <c r="C122" i="11"/>
  <c r="I121" i="11"/>
  <c r="G121" i="11"/>
  <c r="E121" i="11"/>
  <c r="C121" i="11"/>
  <c r="I120" i="11"/>
  <c r="G120" i="11"/>
  <c r="E120" i="11"/>
  <c r="C120" i="11"/>
  <c r="I119" i="11"/>
  <c r="G119" i="11"/>
  <c r="E119" i="11"/>
  <c r="C119" i="11"/>
  <c r="I118" i="11"/>
  <c r="G118" i="11"/>
  <c r="E118" i="11"/>
  <c r="C118" i="11"/>
  <c r="I117" i="11"/>
  <c r="G117" i="11"/>
  <c r="E117" i="11"/>
  <c r="C117" i="11"/>
  <c r="I116" i="11"/>
  <c r="G116" i="11"/>
  <c r="E116" i="11"/>
  <c r="C116" i="11"/>
  <c r="I115" i="11"/>
  <c r="G115" i="11"/>
  <c r="E115" i="11"/>
  <c r="C115" i="11"/>
  <c r="I114" i="11"/>
  <c r="G114" i="11"/>
  <c r="E114" i="11"/>
  <c r="C114" i="11"/>
  <c r="I113" i="11"/>
  <c r="G113" i="11"/>
  <c r="E113" i="11"/>
  <c r="C113" i="11"/>
  <c r="I112" i="11"/>
  <c r="G112" i="11"/>
  <c r="E112" i="11"/>
  <c r="C112" i="11"/>
  <c r="I111" i="11"/>
  <c r="G111" i="11"/>
  <c r="E111" i="11"/>
  <c r="C111" i="11"/>
  <c r="I110" i="11"/>
  <c r="G110" i="11"/>
  <c r="E110" i="11"/>
  <c r="C110" i="11"/>
  <c r="I109" i="11"/>
  <c r="G109" i="11"/>
  <c r="E109" i="11"/>
  <c r="C109" i="11"/>
  <c r="I108" i="11"/>
  <c r="G108" i="11"/>
  <c r="E108" i="11"/>
  <c r="C108" i="11"/>
  <c r="I107" i="11"/>
  <c r="G107" i="11"/>
  <c r="E107" i="11"/>
  <c r="C107" i="11"/>
  <c r="I106" i="11"/>
  <c r="G106" i="11"/>
  <c r="E106" i="11"/>
  <c r="C106" i="11"/>
  <c r="I105" i="11"/>
  <c r="G105" i="11"/>
  <c r="E105" i="11"/>
  <c r="C105" i="11"/>
  <c r="I104" i="11"/>
  <c r="G104" i="11"/>
  <c r="E104" i="11"/>
  <c r="C104" i="11"/>
  <c r="I103" i="11"/>
  <c r="G103" i="11"/>
  <c r="E103" i="11"/>
  <c r="C103" i="11"/>
  <c r="I102" i="11"/>
  <c r="G102" i="11"/>
  <c r="E102" i="11"/>
  <c r="C102" i="11"/>
  <c r="I101" i="11"/>
  <c r="G101" i="11"/>
  <c r="E101" i="11"/>
  <c r="C101" i="11"/>
  <c r="I100" i="11"/>
  <c r="G100" i="11"/>
  <c r="E100" i="11"/>
  <c r="C100" i="11"/>
  <c r="I99" i="11"/>
  <c r="G99" i="11"/>
  <c r="E99" i="11"/>
  <c r="C99" i="11"/>
  <c r="I98" i="11"/>
  <c r="G98" i="11"/>
  <c r="E98" i="11"/>
  <c r="C98" i="11"/>
  <c r="I97" i="11"/>
  <c r="G97" i="11"/>
  <c r="E97" i="11"/>
  <c r="C97" i="11"/>
  <c r="I96" i="11"/>
  <c r="G96" i="11"/>
  <c r="E96" i="11"/>
  <c r="C96" i="11"/>
  <c r="I95" i="11"/>
  <c r="G95" i="11"/>
  <c r="E95" i="11"/>
  <c r="C95" i="11"/>
  <c r="I94" i="11"/>
  <c r="G94" i="11"/>
  <c r="E94" i="11"/>
  <c r="C94" i="11"/>
  <c r="I93" i="11"/>
  <c r="G93" i="11"/>
  <c r="E93" i="11"/>
  <c r="C93" i="11"/>
  <c r="I92" i="11"/>
  <c r="G92" i="11"/>
  <c r="E92" i="11"/>
  <c r="C92" i="11"/>
  <c r="I91" i="11"/>
  <c r="G91" i="11"/>
  <c r="E91" i="11"/>
  <c r="C91" i="11"/>
  <c r="I90" i="11"/>
  <c r="G90" i="11"/>
  <c r="E90" i="11"/>
  <c r="C90" i="11"/>
  <c r="I89" i="11"/>
  <c r="G89" i="11"/>
  <c r="E89" i="11"/>
  <c r="C89" i="11"/>
  <c r="I88" i="11"/>
  <c r="G88" i="11"/>
  <c r="E88" i="11"/>
  <c r="C88" i="11"/>
  <c r="I87" i="11"/>
  <c r="G87" i="11"/>
  <c r="E87" i="11"/>
  <c r="C87" i="11"/>
  <c r="I86" i="11"/>
  <c r="G86" i="11"/>
  <c r="E86" i="11"/>
  <c r="C86" i="11"/>
  <c r="I85" i="11"/>
  <c r="G85" i="11"/>
  <c r="E85" i="11"/>
  <c r="C85" i="11"/>
  <c r="I84" i="11"/>
  <c r="G84" i="11"/>
  <c r="E84" i="11"/>
  <c r="C84" i="11"/>
  <c r="I83" i="11"/>
  <c r="G83" i="11"/>
  <c r="E83" i="11"/>
  <c r="C83" i="11"/>
  <c r="I82" i="11"/>
  <c r="G82" i="11"/>
  <c r="E82" i="11"/>
  <c r="C82" i="11"/>
  <c r="I81" i="11"/>
  <c r="G81" i="11"/>
  <c r="E81" i="11"/>
  <c r="C81" i="11"/>
  <c r="I80" i="11"/>
  <c r="G80" i="11"/>
  <c r="E80" i="11"/>
  <c r="C80" i="11"/>
  <c r="I79" i="11"/>
  <c r="G79" i="11"/>
  <c r="E79" i="11"/>
  <c r="C79" i="11"/>
  <c r="I78" i="11"/>
  <c r="G78" i="11"/>
  <c r="E78" i="11"/>
  <c r="C78" i="11"/>
  <c r="I77" i="11"/>
  <c r="G77" i="11"/>
  <c r="E77" i="11"/>
  <c r="C77" i="11"/>
  <c r="I76" i="11"/>
  <c r="G76" i="11"/>
  <c r="E76" i="11"/>
  <c r="C76" i="11"/>
  <c r="I75" i="11"/>
  <c r="G75" i="11"/>
  <c r="E75" i="11"/>
  <c r="C75" i="11"/>
  <c r="I74" i="11"/>
  <c r="G74" i="11"/>
  <c r="E74" i="11"/>
  <c r="C74" i="11"/>
  <c r="I73" i="11"/>
  <c r="G73" i="11"/>
  <c r="E73" i="11"/>
  <c r="C73" i="11"/>
  <c r="I72" i="11"/>
  <c r="G72" i="11"/>
  <c r="E72" i="11"/>
  <c r="C72" i="11"/>
  <c r="I71" i="11"/>
  <c r="G71" i="11"/>
  <c r="E71" i="11"/>
  <c r="C71" i="11"/>
  <c r="I70" i="11"/>
  <c r="G70" i="11"/>
  <c r="E70" i="11"/>
  <c r="C70" i="11"/>
  <c r="I69" i="11"/>
  <c r="G69" i="11"/>
  <c r="E69" i="11"/>
  <c r="C69" i="11"/>
  <c r="I68" i="11"/>
  <c r="G68" i="11"/>
  <c r="E68" i="11"/>
  <c r="C68" i="11"/>
  <c r="I67" i="11"/>
  <c r="G67" i="11"/>
  <c r="E67" i="11"/>
  <c r="C67" i="11"/>
  <c r="I66" i="11"/>
  <c r="G66" i="11"/>
  <c r="E66" i="11"/>
  <c r="C66" i="11"/>
  <c r="I65" i="11"/>
  <c r="G65" i="11"/>
  <c r="E65" i="11"/>
  <c r="C65" i="11"/>
  <c r="I64" i="11"/>
  <c r="G64" i="11"/>
  <c r="E64" i="11"/>
  <c r="C64" i="11"/>
  <c r="I63" i="11"/>
  <c r="G63" i="11"/>
  <c r="E63" i="11"/>
  <c r="C63" i="11"/>
  <c r="I62" i="11"/>
  <c r="G62" i="11"/>
  <c r="E62" i="11"/>
  <c r="C62" i="11"/>
  <c r="I61" i="11"/>
  <c r="G61" i="11"/>
  <c r="E61" i="11"/>
  <c r="C61" i="11"/>
  <c r="I60" i="11"/>
  <c r="G60" i="11"/>
  <c r="E60" i="11"/>
  <c r="C60" i="11"/>
  <c r="I59" i="11"/>
  <c r="G59" i="11"/>
  <c r="E59" i="11"/>
  <c r="C59" i="11"/>
  <c r="I58" i="11"/>
  <c r="G58" i="11"/>
  <c r="E58" i="11"/>
  <c r="C58" i="11"/>
  <c r="I57" i="11"/>
  <c r="G57" i="11"/>
  <c r="E57" i="11"/>
  <c r="C57" i="11"/>
  <c r="I56" i="11"/>
  <c r="G56" i="11"/>
  <c r="E56" i="11"/>
  <c r="C56" i="11"/>
  <c r="I55" i="11"/>
  <c r="G55" i="11"/>
  <c r="E55" i="11"/>
  <c r="C55" i="11"/>
  <c r="I54" i="11"/>
  <c r="G54" i="11"/>
  <c r="E54" i="11"/>
  <c r="C54" i="11"/>
  <c r="I53" i="11"/>
  <c r="G53" i="11"/>
  <c r="E53" i="11"/>
  <c r="C53" i="11"/>
  <c r="I52" i="11"/>
  <c r="G52" i="11"/>
  <c r="E52" i="11"/>
  <c r="C52" i="11"/>
  <c r="I51" i="11"/>
  <c r="G51" i="11"/>
  <c r="E51" i="11"/>
  <c r="C51" i="11"/>
  <c r="I50" i="11"/>
  <c r="G50" i="11"/>
  <c r="E50" i="11"/>
  <c r="C50" i="11"/>
  <c r="I49" i="11"/>
  <c r="G49" i="11"/>
  <c r="E49" i="11"/>
  <c r="C49" i="11"/>
  <c r="I48" i="11"/>
  <c r="G48" i="11"/>
  <c r="E48" i="11"/>
  <c r="C48" i="11"/>
  <c r="I47" i="11"/>
  <c r="G47" i="11"/>
  <c r="E47" i="11"/>
  <c r="C47" i="11"/>
  <c r="I46" i="11"/>
  <c r="G46" i="11"/>
  <c r="E46" i="11"/>
  <c r="C46" i="11"/>
  <c r="I45" i="11"/>
  <c r="G45" i="11"/>
  <c r="E45" i="11"/>
  <c r="C45" i="11"/>
  <c r="I44" i="11"/>
  <c r="G44" i="11"/>
  <c r="E44" i="11"/>
  <c r="C44" i="11"/>
  <c r="I43" i="11"/>
  <c r="G43" i="11"/>
  <c r="E43" i="11"/>
  <c r="C43" i="11"/>
  <c r="I42" i="11"/>
  <c r="G42" i="11"/>
  <c r="E42" i="11"/>
  <c r="C42" i="11"/>
  <c r="I41" i="11"/>
  <c r="G41" i="11"/>
  <c r="E41" i="11"/>
  <c r="C41" i="11"/>
  <c r="I40" i="11"/>
  <c r="G40" i="11"/>
  <c r="E40" i="11"/>
  <c r="C40" i="11"/>
  <c r="I39" i="11"/>
  <c r="G39" i="11"/>
  <c r="E39" i="11"/>
  <c r="C39" i="11"/>
  <c r="I38" i="11"/>
  <c r="G38" i="11"/>
  <c r="E38" i="11"/>
  <c r="C38" i="11"/>
  <c r="I37" i="11"/>
  <c r="G37" i="11"/>
  <c r="E37" i="11"/>
  <c r="C37" i="11"/>
  <c r="I36" i="11"/>
  <c r="G36" i="11"/>
  <c r="E36" i="11"/>
  <c r="C36" i="11"/>
  <c r="I35" i="11"/>
  <c r="G35" i="11"/>
  <c r="E35" i="11"/>
  <c r="C35" i="11"/>
  <c r="I34" i="11"/>
  <c r="G34" i="11"/>
  <c r="E34" i="11"/>
  <c r="C34" i="11"/>
  <c r="I33" i="11"/>
  <c r="G33" i="11"/>
  <c r="E33" i="11"/>
  <c r="C33" i="11"/>
  <c r="I32" i="11"/>
  <c r="G32" i="11"/>
  <c r="E32" i="11"/>
  <c r="C32" i="11"/>
  <c r="I31" i="11"/>
  <c r="G31" i="11"/>
  <c r="E31" i="11"/>
  <c r="C31" i="11"/>
  <c r="I30" i="11"/>
  <c r="G30" i="11"/>
  <c r="E30" i="11"/>
  <c r="C30" i="11"/>
  <c r="I29" i="11"/>
  <c r="G29" i="11"/>
  <c r="E29" i="11"/>
  <c r="C29" i="11"/>
  <c r="I28" i="11"/>
  <c r="G28" i="11"/>
  <c r="E28" i="11"/>
  <c r="C28" i="11"/>
  <c r="I27" i="11"/>
  <c r="G27" i="11"/>
  <c r="E27" i="11"/>
  <c r="C27" i="11"/>
  <c r="I26" i="11"/>
  <c r="G26" i="11"/>
  <c r="E26" i="11"/>
  <c r="C26" i="11"/>
  <c r="I25" i="11"/>
  <c r="G25" i="11"/>
  <c r="E25" i="11"/>
  <c r="C25" i="11"/>
  <c r="I24" i="11"/>
  <c r="G24" i="11"/>
  <c r="E24" i="11"/>
  <c r="C24" i="11"/>
  <c r="I23" i="11"/>
  <c r="G23" i="11"/>
  <c r="E23" i="11"/>
  <c r="C23" i="11"/>
  <c r="I22" i="11"/>
  <c r="G22" i="11"/>
  <c r="E22" i="11"/>
  <c r="C22" i="11"/>
  <c r="I21" i="11"/>
  <c r="G21" i="11"/>
  <c r="E21" i="11"/>
  <c r="C21" i="11"/>
  <c r="I20" i="11"/>
  <c r="G20" i="11"/>
  <c r="E20" i="11"/>
  <c r="C20" i="11"/>
  <c r="I19" i="11"/>
  <c r="G19" i="11"/>
  <c r="E19" i="11"/>
  <c r="C19" i="11"/>
  <c r="I18" i="11"/>
  <c r="G18" i="11"/>
  <c r="E18" i="11"/>
  <c r="C18" i="11"/>
  <c r="I17" i="11"/>
  <c r="G17" i="11"/>
  <c r="E17" i="11"/>
  <c r="C17" i="11"/>
  <c r="I16" i="11"/>
  <c r="G16" i="11"/>
  <c r="E16" i="11"/>
  <c r="C16" i="11"/>
  <c r="I15" i="11"/>
  <c r="G15" i="11"/>
  <c r="E15" i="11"/>
  <c r="C15" i="11"/>
  <c r="I14" i="11"/>
  <c r="G14" i="11"/>
  <c r="E14" i="11"/>
  <c r="C14" i="11"/>
  <c r="I13" i="11"/>
  <c r="G13" i="11"/>
  <c r="E13" i="11"/>
  <c r="C13" i="11"/>
  <c r="I12" i="11"/>
  <c r="G12" i="11"/>
  <c r="E12" i="11"/>
  <c r="C12" i="11"/>
  <c r="I11" i="11"/>
  <c r="G11" i="11"/>
  <c r="E11" i="11"/>
  <c r="C11" i="11"/>
  <c r="I10" i="11"/>
  <c r="G10" i="11"/>
  <c r="E10" i="11"/>
  <c r="C10" i="11"/>
  <c r="I9" i="11"/>
  <c r="G9" i="11"/>
  <c r="E9" i="11"/>
  <c r="C9" i="11"/>
  <c r="I8" i="11"/>
  <c r="G8" i="11"/>
  <c r="E8" i="11"/>
  <c r="C8" i="11"/>
  <c r="I7" i="11"/>
  <c r="G7" i="11"/>
  <c r="E7" i="11"/>
  <c r="C7" i="11"/>
  <c r="I6" i="11"/>
  <c r="G6" i="11"/>
  <c r="E6" i="11"/>
  <c r="C6" i="11"/>
  <c r="I5" i="11"/>
  <c r="G5" i="11"/>
  <c r="E5" i="11"/>
  <c r="C5" i="11"/>
  <c r="I4" i="11"/>
  <c r="G4" i="11"/>
  <c r="E4" i="11"/>
  <c r="C4" i="11"/>
  <c r="I3" i="11"/>
  <c r="G3" i="11"/>
  <c r="E3" i="11"/>
  <c r="C3" i="11"/>
  <c r="I2" i="11"/>
  <c r="G2" i="11"/>
  <c r="E2" i="11"/>
  <c r="C2" i="11"/>
  <c r="B2" i="1"/>
  <c r="I600" i="5"/>
  <c r="G600" i="5"/>
  <c r="E600" i="5"/>
  <c r="C600" i="5"/>
  <c r="I599" i="5"/>
  <c r="G599" i="5"/>
  <c r="E599" i="5"/>
  <c r="C599" i="5"/>
  <c r="I598" i="5"/>
  <c r="G598" i="5"/>
  <c r="E598" i="5"/>
  <c r="C598" i="5"/>
  <c r="I597" i="5"/>
  <c r="G597" i="5"/>
  <c r="E597" i="5"/>
  <c r="C597" i="5"/>
  <c r="I596" i="5"/>
  <c r="G596" i="5"/>
  <c r="E596" i="5"/>
  <c r="C596" i="5"/>
  <c r="I595" i="5"/>
  <c r="G595" i="5"/>
  <c r="E595" i="5"/>
  <c r="C595" i="5"/>
  <c r="I594" i="5"/>
  <c r="G594" i="5"/>
  <c r="E594" i="5"/>
  <c r="C594" i="5"/>
  <c r="I593" i="5"/>
  <c r="G593" i="5"/>
  <c r="E593" i="5"/>
  <c r="C593" i="5"/>
  <c r="I592" i="5"/>
  <c r="G592" i="5"/>
  <c r="E592" i="5"/>
  <c r="C592" i="5"/>
  <c r="I591" i="5"/>
  <c r="G591" i="5"/>
  <c r="E591" i="5"/>
  <c r="C591" i="5"/>
  <c r="I590" i="5"/>
  <c r="G590" i="5"/>
  <c r="E590" i="5"/>
  <c r="C590" i="5"/>
  <c r="I589" i="5"/>
  <c r="G589" i="5"/>
  <c r="E589" i="5"/>
  <c r="C589" i="5"/>
  <c r="I588" i="5"/>
  <c r="G588" i="5"/>
  <c r="E588" i="5"/>
  <c r="C588" i="5"/>
  <c r="I587" i="5"/>
  <c r="G587" i="5"/>
  <c r="E587" i="5"/>
  <c r="C587" i="5"/>
  <c r="I586" i="5"/>
  <c r="G586" i="5"/>
  <c r="E586" i="5"/>
  <c r="C586" i="5"/>
  <c r="I585" i="5"/>
  <c r="G585" i="5"/>
  <c r="E585" i="5"/>
  <c r="C585" i="5"/>
  <c r="I584" i="5"/>
  <c r="G584" i="5"/>
  <c r="E584" i="5"/>
  <c r="C584" i="5"/>
  <c r="I583" i="5"/>
  <c r="G583" i="5"/>
  <c r="E583" i="5"/>
  <c r="C583" i="5"/>
  <c r="I582" i="5"/>
  <c r="G582" i="5"/>
  <c r="E582" i="5"/>
  <c r="C582" i="5"/>
  <c r="I581" i="5"/>
  <c r="G581" i="5"/>
  <c r="E581" i="5"/>
  <c r="C581" i="5"/>
  <c r="I580" i="5"/>
  <c r="G580" i="5"/>
  <c r="E580" i="5"/>
  <c r="C580" i="5"/>
  <c r="I579" i="5"/>
  <c r="G579" i="5"/>
  <c r="E579" i="5"/>
  <c r="C579" i="5"/>
  <c r="I578" i="5"/>
  <c r="G578" i="5"/>
  <c r="E578" i="5"/>
  <c r="C578" i="5"/>
  <c r="I577" i="5"/>
  <c r="G577" i="5"/>
  <c r="E577" i="5"/>
  <c r="C577" i="5"/>
  <c r="I576" i="5"/>
  <c r="G576" i="5"/>
  <c r="E576" i="5"/>
  <c r="C576" i="5"/>
  <c r="I575" i="5"/>
  <c r="G575" i="5"/>
  <c r="E575" i="5"/>
  <c r="C575" i="5"/>
  <c r="I574" i="5"/>
  <c r="G574" i="5"/>
  <c r="E574" i="5"/>
  <c r="C574" i="5"/>
  <c r="I573" i="5"/>
  <c r="G573" i="5"/>
  <c r="E573" i="5"/>
  <c r="C573" i="5"/>
  <c r="I572" i="5"/>
  <c r="G572" i="5"/>
  <c r="E572" i="5"/>
  <c r="C572" i="5"/>
  <c r="I571" i="5"/>
  <c r="G571" i="5"/>
  <c r="E571" i="5"/>
  <c r="C571" i="5"/>
  <c r="I570" i="5"/>
  <c r="G570" i="5"/>
  <c r="E570" i="5"/>
  <c r="C570" i="5"/>
  <c r="I569" i="5"/>
  <c r="G569" i="5"/>
  <c r="E569" i="5"/>
  <c r="C569" i="5"/>
  <c r="I568" i="5"/>
  <c r="G568" i="5"/>
  <c r="E568" i="5"/>
  <c r="C568" i="5"/>
  <c r="I567" i="5"/>
  <c r="G567" i="5"/>
  <c r="E567" i="5"/>
  <c r="C567" i="5"/>
  <c r="I566" i="5"/>
  <c r="G566" i="5"/>
  <c r="E566" i="5"/>
  <c r="C566" i="5"/>
  <c r="I565" i="5"/>
  <c r="G565" i="5"/>
  <c r="E565" i="5"/>
  <c r="C565" i="5"/>
  <c r="I564" i="5"/>
  <c r="G564" i="5"/>
  <c r="E564" i="5"/>
  <c r="C564" i="5"/>
  <c r="I563" i="5"/>
  <c r="G563" i="5"/>
  <c r="E563" i="5"/>
  <c r="C563" i="5"/>
  <c r="I562" i="5"/>
  <c r="G562" i="5"/>
  <c r="E562" i="5"/>
  <c r="C562" i="5"/>
  <c r="I561" i="5"/>
  <c r="G561" i="5"/>
  <c r="E561" i="5"/>
  <c r="C561" i="5"/>
  <c r="I560" i="5"/>
  <c r="G560" i="5"/>
  <c r="E560" i="5"/>
  <c r="C560" i="5"/>
  <c r="I559" i="5"/>
  <c r="G559" i="5"/>
  <c r="E559" i="5"/>
  <c r="C559" i="5"/>
  <c r="I558" i="5"/>
  <c r="G558" i="5"/>
  <c r="E558" i="5"/>
  <c r="C558" i="5"/>
  <c r="I557" i="5"/>
  <c r="G557" i="5"/>
  <c r="E557" i="5"/>
  <c r="C557" i="5"/>
  <c r="I556" i="5"/>
  <c r="G556" i="5"/>
  <c r="E556" i="5"/>
  <c r="C556" i="5"/>
  <c r="I555" i="5"/>
  <c r="G555" i="5"/>
  <c r="E555" i="5"/>
  <c r="C555" i="5"/>
  <c r="I554" i="5"/>
  <c r="G554" i="5"/>
  <c r="E554" i="5"/>
  <c r="C554" i="5"/>
  <c r="I553" i="5"/>
  <c r="G553" i="5"/>
  <c r="E553" i="5"/>
  <c r="C553" i="5"/>
  <c r="I552" i="5"/>
  <c r="G552" i="5"/>
  <c r="E552" i="5"/>
  <c r="C552" i="5"/>
  <c r="I551" i="5"/>
  <c r="G551" i="5"/>
  <c r="E551" i="5"/>
  <c r="C551" i="5"/>
  <c r="I550" i="5"/>
  <c r="G550" i="5"/>
  <c r="E550" i="5"/>
  <c r="C550" i="5"/>
  <c r="I549" i="5"/>
  <c r="G549" i="5"/>
  <c r="E549" i="5"/>
  <c r="C549" i="5"/>
  <c r="I548" i="5"/>
  <c r="G548" i="5"/>
  <c r="E548" i="5"/>
  <c r="C548" i="5"/>
  <c r="I547" i="5"/>
  <c r="G547" i="5"/>
  <c r="E547" i="5"/>
  <c r="C547" i="5"/>
  <c r="I546" i="5"/>
  <c r="G546" i="5"/>
  <c r="E546" i="5"/>
  <c r="C546" i="5"/>
  <c r="I545" i="5"/>
  <c r="G545" i="5"/>
  <c r="E545" i="5"/>
  <c r="C545" i="5"/>
  <c r="I544" i="5"/>
  <c r="G544" i="5"/>
  <c r="E544" i="5"/>
  <c r="C544" i="5"/>
  <c r="I543" i="5"/>
  <c r="G543" i="5"/>
  <c r="E543" i="5"/>
  <c r="C543" i="5"/>
  <c r="I542" i="5"/>
  <c r="G542" i="5"/>
  <c r="E542" i="5"/>
  <c r="C542" i="5"/>
  <c r="I541" i="5"/>
  <c r="G541" i="5"/>
  <c r="E541" i="5"/>
  <c r="C541" i="5"/>
  <c r="I540" i="5"/>
  <c r="G540" i="5"/>
  <c r="E540" i="5"/>
  <c r="C540" i="5"/>
  <c r="I539" i="5"/>
  <c r="G539" i="5"/>
  <c r="E539" i="5"/>
  <c r="C539" i="5"/>
  <c r="I538" i="5"/>
  <c r="G538" i="5"/>
  <c r="E538" i="5"/>
  <c r="C538" i="5"/>
  <c r="I537" i="5"/>
  <c r="G537" i="5"/>
  <c r="E537" i="5"/>
  <c r="C537" i="5"/>
  <c r="I536" i="5"/>
  <c r="G536" i="5"/>
  <c r="E536" i="5"/>
  <c r="C536" i="5"/>
  <c r="I535" i="5"/>
  <c r="G535" i="5"/>
  <c r="E535" i="5"/>
  <c r="C535" i="5"/>
  <c r="I534" i="5"/>
  <c r="G534" i="5"/>
  <c r="E534" i="5"/>
  <c r="C534" i="5"/>
  <c r="I533" i="5"/>
  <c r="G533" i="5"/>
  <c r="E533" i="5"/>
  <c r="C533" i="5"/>
  <c r="I532" i="5"/>
  <c r="G532" i="5"/>
  <c r="E532" i="5"/>
  <c r="C532" i="5"/>
  <c r="I531" i="5"/>
  <c r="G531" i="5"/>
  <c r="E531" i="5"/>
  <c r="C531" i="5"/>
  <c r="I530" i="5"/>
  <c r="G530" i="5"/>
  <c r="E530" i="5"/>
  <c r="C530" i="5"/>
  <c r="I529" i="5"/>
  <c r="G529" i="5"/>
  <c r="E529" i="5"/>
  <c r="C529" i="5"/>
  <c r="I528" i="5"/>
  <c r="G528" i="5"/>
  <c r="E528" i="5"/>
  <c r="C528" i="5"/>
  <c r="I527" i="5"/>
  <c r="G527" i="5"/>
  <c r="E527" i="5"/>
  <c r="C527" i="5"/>
  <c r="I526" i="5"/>
  <c r="G526" i="5"/>
  <c r="E526" i="5"/>
  <c r="C526" i="5"/>
  <c r="I525" i="5"/>
  <c r="G525" i="5"/>
  <c r="E525" i="5"/>
  <c r="C525" i="5"/>
  <c r="I524" i="5"/>
  <c r="G524" i="5"/>
  <c r="E524" i="5"/>
  <c r="C524" i="5"/>
  <c r="I523" i="5"/>
  <c r="G523" i="5"/>
  <c r="E523" i="5"/>
  <c r="C523" i="5"/>
  <c r="I522" i="5"/>
  <c r="G522" i="5"/>
  <c r="E522" i="5"/>
  <c r="C522" i="5"/>
  <c r="I521" i="5"/>
  <c r="G521" i="5"/>
  <c r="E521" i="5"/>
  <c r="C521" i="5"/>
  <c r="I520" i="5"/>
  <c r="G520" i="5"/>
  <c r="E520" i="5"/>
  <c r="C520" i="5"/>
  <c r="I519" i="5"/>
  <c r="G519" i="5"/>
  <c r="E519" i="5"/>
  <c r="C519" i="5"/>
  <c r="I518" i="5"/>
  <c r="G518" i="5"/>
  <c r="E518" i="5"/>
  <c r="C518" i="5"/>
  <c r="I517" i="5"/>
  <c r="G517" i="5"/>
  <c r="E517" i="5"/>
  <c r="C517" i="5"/>
  <c r="I516" i="5"/>
  <c r="G516" i="5"/>
  <c r="E516" i="5"/>
  <c r="C516" i="5"/>
  <c r="I515" i="5"/>
  <c r="G515" i="5"/>
  <c r="E515" i="5"/>
  <c r="C515" i="5"/>
  <c r="I514" i="5"/>
  <c r="G514" i="5"/>
  <c r="E514" i="5"/>
  <c r="C514" i="5"/>
  <c r="I513" i="5"/>
  <c r="G513" i="5"/>
  <c r="E513" i="5"/>
  <c r="C513" i="5"/>
  <c r="I512" i="5"/>
  <c r="G512" i="5"/>
  <c r="E512" i="5"/>
  <c r="C512" i="5"/>
  <c r="I511" i="5"/>
  <c r="G511" i="5"/>
  <c r="E511" i="5"/>
  <c r="C511" i="5"/>
  <c r="I510" i="5"/>
  <c r="G510" i="5"/>
  <c r="E510" i="5"/>
  <c r="C510" i="5"/>
  <c r="I509" i="5"/>
  <c r="G509" i="5"/>
  <c r="E509" i="5"/>
  <c r="C509" i="5"/>
  <c r="I508" i="5"/>
  <c r="G508" i="5"/>
  <c r="E508" i="5"/>
  <c r="C508" i="5"/>
  <c r="I507" i="5"/>
  <c r="G507" i="5"/>
  <c r="E507" i="5"/>
  <c r="C507" i="5"/>
  <c r="I506" i="5"/>
  <c r="G506" i="5"/>
  <c r="E506" i="5"/>
  <c r="C506" i="5"/>
  <c r="I505" i="5"/>
  <c r="G505" i="5"/>
  <c r="E505" i="5"/>
  <c r="C505" i="5"/>
  <c r="I504" i="5"/>
  <c r="G504" i="5"/>
  <c r="E504" i="5"/>
  <c r="C504" i="5"/>
  <c r="I503" i="5"/>
  <c r="G503" i="5"/>
  <c r="E503" i="5"/>
  <c r="C503" i="5"/>
  <c r="I502" i="5"/>
  <c r="G502" i="5"/>
  <c r="E502" i="5"/>
  <c r="C502" i="5"/>
  <c r="I501" i="5"/>
  <c r="G501" i="5"/>
  <c r="E501" i="5"/>
  <c r="C501" i="5"/>
  <c r="I500" i="5"/>
  <c r="G500" i="5"/>
  <c r="E500" i="5"/>
  <c r="C500" i="5"/>
  <c r="I499" i="5"/>
  <c r="G499" i="5"/>
  <c r="E499" i="5"/>
  <c r="C499" i="5"/>
  <c r="I498" i="5"/>
  <c r="G498" i="5"/>
  <c r="E498" i="5"/>
  <c r="C498" i="5"/>
  <c r="I497" i="5"/>
  <c r="G497" i="5"/>
  <c r="E497" i="5"/>
  <c r="C497" i="5"/>
  <c r="I496" i="5"/>
  <c r="G496" i="5"/>
  <c r="E496" i="5"/>
  <c r="C496" i="5"/>
  <c r="I495" i="5"/>
  <c r="G495" i="5"/>
  <c r="E495" i="5"/>
  <c r="C495" i="5"/>
  <c r="I494" i="5"/>
  <c r="G494" i="5"/>
  <c r="E494" i="5"/>
  <c r="C494" i="5"/>
  <c r="I493" i="5"/>
  <c r="G493" i="5"/>
  <c r="E493" i="5"/>
  <c r="C493" i="5"/>
  <c r="I492" i="5"/>
  <c r="G492" i="5"/>
  <c r="E492" i="5"/>
  <c r="C492" i="5"/>
  <c r="I491" i="5"/>
  <c r="G491" i="5"/>
  <c r="E491" i="5"/>
  <c r="C491" i="5"/>
  <c r="I490" i="5"/>
  <c r="G490" i="5"/>
  <c r="E490" i="5"/>
  <c r="C490" i="5"/>
  <c r="I489" i="5"/>
  <c r="G489" i="5"/>
  <c r="E489" i="5"/>
  <c r="C489" i="5"/>
  <c r="I488" i="5"/>
  <c r="G488" i="5"/>
  <c r="E488" i="5"/>
  <c r="C488" i="5"/>
  <c r="I487" i="5"/>
  <c r="G487" i="5"/>
  <c r="E487" i="5"/>
  <c r="C487" i="5"/>
  <c r="I486" i="5"/>
  <c r="G486" i="5"/>
  <c r="E486" i="5"/>
  <c r="C486" i="5"/>
  <c r="I485" i="5"/>
  <c r="G485" i="5"/>
  <c r="E485" i="5"/>
  <c r="C485" i="5"/>
  <c r="I484" i="5"/>
  <c r="G484" i="5"/>
  <c r="E484" i="5"/>
  <c r="C484" i="5"/>
  <c r="I483" i="5"/>
  <c r="G483" i="5"/>
  <c r="E483" i="5"/>
  <c r="C483" i="5"/>
  <c r="I482" i="5"/>
  <c r="G482" i="5"/>
  <c r="E482" i="5"/>
  <c r="C482" i="5"/>
  <c r="I481" i="5"/>
  <c r="G481" i="5"/>
  <c r="E481" i="5"/>
  <c r="C481" i="5"/>
  <c r="I480" i="5"/>
  <c r="G480" i="5"/>
  <c r="E480" i="5"/>
  <c r="C480" i="5"/>
  <c r="I479" i="5"/>
  <c r="G479" i="5"/>
  <c r="E479" i="5"/>
  <c r="C479" i="5"/>
  <c r="I478" i="5"/>
  <c r="G478" i="5"/>
  <c r="E478" i="5"/>
  <c r="C478" i="5"/>
  <c r="I477" i="5"/>
  <c r="G477" i="5"/>
  <c r="E477" i="5"/>
  <c r="C477" i="5"/>
  <c r="I476" i="5"/>
  <c r="G476" i="5"/>
  <c r="E476" i="5"/>
  <c r="C476" i="5"/>
  <c r="I475" i="5"/>
  <c r="G475" i="5"/>
  <c r="E475" i="5"/>
  <c r="C475" i="5"/>
  <c r="I474" i="5"/>
  <c r="G474" i="5"/>
  <c r="E474" i="5"/>
  <c r="C474" i="5"/>
  <c r="I473" i="5"/>
  <c r="G473" i="5"/>
  <c r="E473" i="5"/>
  <c r="C473" i="5"/>
  <c r="I472" i="5"/>
  <c r="G472" i="5"/>
  <c r="E472" i="5"/>
  <c r="C472" i="5"/>
  <c r="I471" i="5"/>
  <c r="G471" i="5"/>
  <c r="E471" i="5"/>
  <c r="C471" i="5"/>
  <c r="I470" i="5"/>
  <c r="G470" i="5"/>
  <c r="E470" i="5"/>
  <c r="C470" i="5"/>
  <c r="I469" i="5"/>
  <c r="G469" i="5"/>
  <c r="E469" i="5"/>
  <c r="C469" i="5"/>
  <c r="I468" i="5"/>
  <c r="G468" i="5"/>
  <c r="E468" i="5"/>
  <c r="C468" i="5"/>
  <c r="I467" i="5"/>
  <c r="G467" i="5"/>
  <c r="E467" i="5"/>
  <c r="C467" i="5"/>
  <c r="I466" i="5"/>
  <c r="G466" i="5"/>
  <c r="E466" i="5"/>
  <c r="C466" i="5"/>
  <c r="I465" i="5"/>
  <c r="G465" i="5"/>
  <c r="E465" i="5"/>
  <c r="C465" i="5"/>
  <c r="I464" i="5"/>
  <c r="G464" i="5"/>
  <c r="E464" i="5"/>
  <c r="C464" i="5"/>
  <c r="I463" i="5"/>
  <c r="G463" i="5"/>
  <c r="E463" i="5"/>
  <c r="C463" i="5"/>
  <c r="I462" i="5"/>
  <c r="G462" i="5"/>
  <c r="E462" i="5"/>
  <c r="C462" i="5"/>
  <c r="I461" i="5"/>
  <c r="G461" i="5"/>
  <c r="E461" i="5"/>
  <c r="C461" i="5"/>
  <c r="I460" i="5"/>
  <c r="G460" i="5"/>
  <c r="E460" i="5"/>
  <c r="C460" i="5"/>
  <c r="I459" i="5"/>
  <c r="G459" i="5"/>
  <c r="E459" i="5"/>
  <c r="C459" i="5"/>
  <c r="I458" i="5"/>
  <c r="G458" i="5"/>
  <c r="E458" i="5"/>
  <c r="C458" i="5"/>
  <c r="I457" i="5"/>
  <c r="G457" i="5"/>
  <c r="E457" i="5"/>
  <c r="C457" i="5"/>
  <c r="I456" i="5"/>
  <c r="G456" i="5"/>
  <c r="E456" i="5"/>
  <c r="C456" i="5"/>
  <c r="I455" i="5"/>
  <c r="G455" i="5"/>
  <c r="E455" i="5"/>
  <c r="C455" i="5"/>
  <c r="I454" i="5"/>
  <c r="G454" i="5"/>
  <c r="E454" i="5"/>
  <c r="C454" i="5"/>
  <c r="I453" i="5"/>
  <c r="G453" i="5"/>
  <c r="E453" i="5"/>
  <c r="C453" i="5"/>
  <c r="I452" i="5"/>
  <c r="G452" i="5"/>
  <c r="E452" i="5"/>
  <c r="C452" i="5"/>
  <c r="I451" i="5"/>
  <c r="G451" i="5"/>
  <c r="E451" i="5"/>
  <c r="C451" i="5"/>
  <c r="I450" i="5"/>
  <c r="G450" i="5"/>
  <c r="E450" i="5"/>
  <c r="C450" i="5"/>
  <c r="I449" i="5"/>
  <c r="G449" i="5"/>
  <c r="E449" i="5"/>
  <c r="C449" i="5"/>
  <c r="I448" i="5"/>
  <c r="G448" i="5"/>
  <c r="E448" i="5"/>
  <c r="C448" i="5"/>
  <c r="I447" i="5"/>
  <c r="G447" i="5"/>
  <c r="E447" i="5"/>
  <c r="C447" i="5"/>
  <c r="I446" i="5"/>
  <c r="G446" i="5"/>
  <c r="E446" i="5"/>
  <c r="C446" i="5"/>
  <c r="I445" i="5"/>
  <c r="G445" i="5"/>
  <c r="E445" i="5"/>
  <c r="C445" i="5"/>
  <c r="I444" i="5"/>
  <c r="G444" i="5"/>
  <c r="E444" i="5"/>
  <c r="C444" i="5"/>
  <c r="I443" i="5"/>
  <c r="G443" i="5"/>
  <c r="E443" i="5"/>
  <c r="C443" i="5"/>
  <c r="I442" i="5"/>
  <c r="G442" i="5"/>
  <c r="E442" i="5"/>
  <c r="C442" i="5"/>
  <c r="I441" i="5"/>
  <c r="G441" i="5"/>
  <c r="E441" i="5"/>
  <c r="C441" i="5"/>
  <c r="I440" i="5"/>
  <c r="G440" i="5"/>
  <c r="E440" i="5"/>
  <c r="C440" i="5"/>
  <c r="I439" i="5"/>
  <c r="G439" i="5"/>
  <c r="E439" i="5"/>
  <c r="C439" i="5"/>
  <c r="I438" i="5"/>
  <c r="G438" i="5"/>
  <c r="E438" i="5"/>
  <c r="C438" i="5"/>
  <c r="I437" i="5"/>
  <c r="G437" i="5"/>
  <c r="E437" i="5"/>
  <c r="C437" i="5"/>
  <c r="I436" i="5"/>
  <c r="G436" i="5"/>
  <c r="E436" i="5"/>
  <c r="C436" i="5"/>
  <c r="I435" i="5"/>
  <c r="G435" i="5"/>
  <c r="E435" i="5"/>
  <c r="C435" i="5"/>
  <c r="I434" i="5"/>
  <c r="G434" i="5"/>
  <c r="E434" i="5"/>
  <c r="C434" i="5"/>
  <c r="I433" i="5"/>
  <c r="G433" i="5"/>
  <c r="E433" i="5"/>
  <c r="C433" i="5"/>
  <c r="I432" i="5"/>
  <c r="G432" i="5"/>
  <c r="E432" i="5"/>
  <c r="C432" i="5"/>
  <c r="I431" i="5"/>
  <c r="G431" i="5"/>
  <c r="E431" i="5"/>
  <c r="C431" i="5"/>
  <c r="I430" i="5"/>
  <c r="G430" i="5"/>
  <c r="E430" i="5"/>
  <c r="C430" i="5"/>
  <c r="I429" i="5"/>
  <c r="G429" i="5"/>
  <c r="E429" i="5"/>
  <c r="C429" i="5"/>
  <c r="I428" i="5"/>
  <c r="G428" i="5"/>
  <c r="E428" i="5"/>
  <c r="C428" i="5"/>
  <c r="I427" i="5"/>
  <c r="G427" i="5"/>
  <c r="E427" i="5"/>
  <c r="C427" i="5"/>
  <c r="I426" i="5"/>
  <c r="G426" i="5"/>
  <c r="E426" i="5"/>
  <c r="C426" i="5"/>
  <c r="I425" i="5"/>
  <c r="G425" i="5"/>
  <c r="E425" i="5"/>
  <c r="C425" i="5"/>
  <c r="I424" i="5"/>
  <c r="G424" i="5"/>
  <c r="E424" i="5"/>
  <c r="C424" i="5"/>
  <c r="I423" i="5"/>
  <c r="G423" i="5"/>
  <c r="E423" i="5"/>
  <c r="C423" i="5"/>
  <c r="I422" i="5"/>
  <c r="G422" i="5"/>
  <c r="E422" i="5"/>
  <c r="C422" i="5"/>
  <c r="I421" i="5"/>
  <c r="G421" i="5"/>
  <c r="E421" i="5"/>
  <c r="C421" i="5"/>
  <c r="I420" i="5"/>
  <c r="G420" i="5"/>
  <c r="E420" i="5"/>
  <c r="C420" i="5"/>
  <c r="I419" i="5"/>
  <c r="G419" i="5"/>
  <c r="E419" i="5"/>
  <c r="C419" i="5"/>
  <c r="I418" i="5"/>
  <c r="G418" i="5"/>
  <c r="E418" i="5"/>
  <c r="C418" i="5"/>
  <c r="I417" i="5"/>
  <c r="G417" i="5"/>
  <c r="E417" i="5"/>
  <c r="C417" i="5"/>
  <c r="I416" i="5"/>
  <c r="G416" i="5"/>
  <c r="E416" i="5"/>
  <c r="C416" i="5"/>
  <c r="I415" i="5"/>
  <c r="G415" i="5"/>
  <c r="E415" i="5"/>
  <c r="C415" i="5"/>
  <c r="I414" i="5"/>
  <c r="G414" i="5"/>
  <c r="E414" i="5"/>
  <c r="C414" i="5"/>
  <c r="I413" i="5"/>
  <c r="G413" i="5"/>
  <c r="E413" i="5"/>
  <c r="C413" i="5"/>
  <c r="I412" i="5"/>
  <c r="G412" i="5"/>
  <c r="E412" i="5"/>
  <c r="C412" i="5"/>
  <c r="I411" i="5"/>
  <c r="G411" i="5"/>
  <c r="E411" i="5"/>
  <c r="C411" i="5"/>
  <c r="I410" i="5"/>
  <c r="G410" i="5"/>
  <c r="E410" i="5"/>
  <c r="C410" i="5"/>
  <c r="I409" i="5"/>
  <c r="G409" i="5"/>
  <c r="E409" i="5"/>
  <c r="C409" i="5"/>
  <c r="I408" i="5"/>
  <c r="G408" i="5"/>
  <c r="E408" i="5"/>
  <c r="C408" i="5"/>
  <c r="I407" i="5"/>
  <c r="G407" i="5"/>
  <c r="E407" i="5"/>
  <c r="C407" i="5"/>
  <c r="I406" i="5"/>
  <c r="G406" i="5"/>
  <c r="E406" i="5"/>
  <c r="C406" i="5"/>
  <c r="I405" i="5"/>
  <c r="G405" i="5"/>
  <c r="E405" i="5"/>
  <c r="C405" i="5"/>
  <c r="I404" i="5"/>
  <c r="G404" i="5"/>
  <c r="E404" i="5"/>
  <c r="C404" i="5"/>
  <c r="I403" i="5"/>
  <c r="G403" i="5"/>
  <c r="E403" i="5"/>
  <c r="C403" i="5"/>
  <c r="I402" i="5"/>
  <c r="G402" i="5"/>
  <c r="E402" i="5"/>
  <c r="C402" i="5"/>
  <c r="I401" i="5"/>
  <c r="G401" i="5"/>
  <c r="E401" i="5"/>
  <c r="C401" i="5"/>
  <c r="I400" i="5"/>
  <c r="G400" i="5"/>
  <c r="E400" i="5"/>
  <c r="C400" i="5"/>
  <c r="I399" i="5"/>
  <c r="G399" i="5"/>
  <c r="E399" i="5"/>
  <c r="C399" i="5"/>
  <c r="I398" i="5"/>
  <c r="G398" i="5"/>
  <c r="E398" i="5"/>
  <c r="C398" i="5"/>
  <c r="I397" i="5"/>
  <c r="G397" i="5"/>
  <c r="E397" i="5"/>
  <c r="C397" i="5"/>
  <c r="I396" i="5"/>
  <c r="G396" i="5"/>
  <c r="E396" i="5"/>
  <c r="C396" i="5"/>
  <c r="I395" i="5"/>
  <c r="G395" i="5"/>
  <c r="E395" i="5"/>
  <c r="C395" i="5"/>
  <c r="I394" i="5"/>
  <c r="G394" i="5"/>
  <c r="E394" i="5"/>
  <c r="C394" i="5"/>
  <c r="I393" i="5"/>
  <c r="G393" i="5"/>
  <c r="E393" i="5"/>
  <c r="C393" i="5"/>
  <c r="I392" i="5"/>
  <c r="G392" i="5"/>
  <c r="E392" i="5"/>
  <c r="C392" i="5"/>
  <c r="I391" i="5"/>
  <c r="G391" i="5"/>
  <c r="E391" i="5"/>
  <c r="C391" i="5"/>
  <c r="I390" i="5"/>
  <c r="G390" i="5"/>
  <c r="E390" i="5"/>
  <c r="C390" i="5"/>
  <c r="I389" i="5"/>
  <c r="G389" i="5"/>
  <c r="E389" i="5"/>
  <c r="C389" i="5"/>
  <c r="I388" i="5"/>
  <c r="G388" i="5"/>
  <c r="E388" i="5"/>
  <c r="C388" i="5"/>
  <c r="I387" i="5"/>
  <c r="G387" i="5"/>
  <c r="E387" i="5"/>
  <c r="C387" i="5"/>
  <c r="I386" i="5"/>
  <c r="G386" i="5"/>
  <c r="E386" i="5"/>
  <c r="C386" i="5"/>
  <c r="I385" i="5"/>
  <c r="G385" i="5"/>
  <c r="E385" i="5"/>
  <c r="C385" i="5"/>
  <c r="I384" i="5"/>
  <c r="G384" i="5"/>
  <c r="E384" i="5"/>
  <c r="C384" i="5"/>
  <c r="I383" i="5"/>
  <c r="G383" i="5"/>
  <c r="E383" i="5"/>
  <c r="C383" i="5"/>
  <c r="I382" i="5"/>
  <c r="G382" i="5"/>
  <c r="E382" i="5"/>
  <c r="C382" i="5"/>
  <c r="I381" i="5"/>
  <c r="G381" i="5"/>
  <c r="E381" i="5"/>
  <c r="C381" i="5"/>
  <c r="I380" i="5"/>
  <c r="G380" i="5"/>
  <c r="E380" i="5"/>
  <c r="C380" i="5"/>
  <c r="I379" i="5"/>
  <c r="G379" i="5"/>
  <c r="E379" i="5"/>
  <c r="C379" i="5"/>
  <c r="I378" i="5"/>
  <c r="G378" i="5"/>
  <c r="E378" i="5"/>
  <c r="C378" i="5"/>
  <c r="I377" i="5"/>
  <c r="G377" i="5"/>
  <c r="E377" i="5"/>
  <c r="C377" i="5"/>
  <c r="I376" i="5"/>
  <c r="G376" i="5"/>
  <c r="E376" i="5"/>
  <c r="C376" i="5"/>
  <c r="I375" i="5"/>
  <c r="G375" i="5"/>
  <c r="E375" i="5"/>
  <c r="C375" i="5"/>
  <c r="I374" i="5"/>
  <c r="G374" i="5"/>
  <c r="E374" i="5"/>
  <c r="C374" i="5"/>
  <c r="I373" i="5"/>
  <c r="G373" i="5"/>
  <c r="E373" i="5"/>
  <c r="C373" i="5"/>
  <c r="I372" i="5"/>
  <c r="G372" i="5"/>
  <c r="E372" i="5"/>
  <c r="C372" i="5"/>
  <c r="I371" i="5"/>
  <c r="G371" i="5"/>
  <c r="E371" i="5"/>
  <c r="C371" i="5"/>
  <c r="I370" i="5"/>
  <c r="G370" i="5"/>
  <c r="E370" i="5"/>
  <c r="C370" i="5"/>
  <c r="I369" i="5"/>
  <c r="G369" i="5"/>
  <c r="E369" i="5"/>
  <c r="C369" i="5"/>
  <c r="I368" i="5"/>
  <c r="G368" i="5"/>
  <c r="E368" i="5"/>
  <c r="C368" i="5"/>
  <c r="I367" i="5"/>
  <c r="G367" i="5"/>
  <c r="E367" i="5"/>
  <c r="C367" i="5"/>
  <c r="I366" i="5"/>
  <c r="G366" i="5"/>
  <c r="E366" i="5"/>
  <c r="C366" i="5"/>
  <c r="I365" i="5"/>
  <c r="G365" i="5"/>
  <c r="E365" i="5"/>
  <c r="C365" i="5"/>
  <c r="I364" i="5"/>
  <c r="G364" i="5"/>
  <c r="E364" i="5"/>
  <c r="C364" i="5"/>
  <c r="I363" i="5"/>
  <c r="G363" i="5"/>
  <c r="E363" i="5"/>
  <c r="C363" i="5"/>
  <c r="I362" i="5"/>
  <c r="G362" i="5"/>
  <c r="E362" i="5"/>
  <c r="C362" i="5"/>
  <c r="I361" i="5"/>
  <c r="G361" i="5"/>
  <c r="E361" i="5"/>
  <c r="C361" i="5"/>
  <c r="I360" i="5"/>
  <c r="G360" i="5"/>
  <c r="E360" i="5"/>
  <c r="C360" i="5"/>
  <c r="I359" i="5"/>
  <c r="G359" i="5"/>
  <c r="E359" i="5"/>
  <c r="C359" i="5"/>
  <c r="I358" i="5"/>
  <c r="G358" i="5"/>
  <c r="E358" i="5"/>
  <c r="C358" i="5"/>
  <c r="I357" i="5"/>
  <c r="G357" i="5"/>
  <c r="E357" i="5"/>
  <c r="C357" i="5"/>
  <c r="I356" i="5"/>
  <c r="G356" i="5"/>
  <c r="E356" i="5"/>
  <c r="C356" i="5"/>
  <c r="I355" i="5"/>
  <c r="G355" i="5"/>
  <c r="E355" i="5"/>
  <c r="C355" i="5"/>
  <c r="I354" i="5"/>
  <c r="G354" i="5"/>
  <c r="E354" i="5"/>
  <c r="C354" i="5"/>
  <c r="I353" i="5"/>
  <c r="G353" i="5"/>
  <c r="E353" i="5"/>
  <c r="C353" i="5"/>
  <c r="I352" i="5"/>
  <c r="G352" i="5"/>
  <c r="E352" i="5"/>
  <c r="C352" i="5"/>
  <c r="I351" i="5"/>
  <c r="G351" i="5"/>
  <c r="E351" i="5"/>
  <c r="C351" i="5"/>
  <c r="I350" i="5"/>
  <c r="G350" i="5"/>
  <c r="E350" i="5"/>
  <c r="C350" i="5"/>
  <c r="I349" i="5"/>
  <c r="G349" i="5"/>
  <c r="E349" i="5"/>
  <c r="C349" i="5"/>
  <c r="I348" i="5"/>
  <c r="G348" i="5"/>
  <c r="E348" i="5"/>
  <c r="C348" i="5"/>
  <c r="I347" i="5"/>
  <c r="G347" i="5"/>
  <c r="E347" i="5"/>
  <c r="C347" i="5"/>
  <c r="I346" i="5"/>
  <c r="G346" i="5"/>
  <c r="E346" i="5"/>
  <c r="C346" i="5"/>
  <c r="I345" i="5"/>
  <c r="G345" i="5"/>
  <c r="E345" i="5"/>
  <c r="C345" i="5"/>
  <c r="I344" i="5"/>
  <c r="G344" i="5"/>
  <c r="E344" i="5"/>
  <c r="C344" i="5"/>
  <c r="I343" i="5"/>
  <c r="G343" i="5"/>
  <c r="E343" i="5"/>
  <c r="C343" i="5"/>
  <c r="I342" i="5"/>
  <c r="G342" i="5"/>
  <c r="E342" i="5"/>
  <c r="C342" i="5"/>
  <c r="I341" i="5"/>
  <c r="G341" i="5"/>
  <c r="E341" i="5"/>
  <c r="C341" i="5"/>
  <c r="I340" i="5"/>
  <c r="G340" i="5"/>
  <c r="E340" i="5"/>
  <c r="C340" i="5"/>
  <c r="I339" i="5"/>
  <c r="G339" i="5"/>
  <c r="E339" i="5"/>
  <c r="C339" i="5"/>
  <c r="I338" i="5"/>
  <c r="G338" i="5"/>
  <c r="E338" i="5"/>
  <c r="C338" i="5"/>
  <c r="I337" i="5"/>
  <c r="G337" i="5"/>
  <c r="E337" i="5"/>
  <c r="C337" i="5"/>
  <c r="I336" i="5"/>
  <c r="G336" i="5"/>
  <c r="E336" i="5"/>
  <c r="C336" i="5"/>
  <c r="I335" i="5"/>
  <c r="G335" i="5"/>
  <c r="E335" i="5"/>
  <c r="C335" i="5"/>
  <c r="I334" i="5"/>
  <c r="G334" i="5"/>
  <c r="E334" i="5"/>
  <c r="C334" i="5"/>
  <c r="I333" i="5"/>
  <c r="G333" i="5"/>
  <c r="E333" i="5"/>
  <c r="C333" i="5"/>
  <c r="I332" i="5"/>
  <c r="G332" i="5"/>
  <c r="E332" i="5"/>
  <c r="C332" i="5"/>
  <c r="I331" i="5"/>
  <c r="G331" i="5"/>
  <c r="E331" i="5"/>
  <c r="C331" i="5"/>
  <c r="I330" i="5"/>
  <c r="G330" i="5"/>
  <c r="E330" i="5"/>
  <c r="C330" i="5"/>
  <c r="I329" i="5"/>
  <c r="G329" i="5"/>
  <c r="E329" i="5"/>
  <c r="C329" i="5"/>
  <c r="I328" i="5"/>
  <c r="G328" i="5"/>
  <c r="E328" i="5"/>
  <c r="C328" i="5"/>
  <c r="I327" i="5"/>
  <c r="G327" i="5"/>
  <c r="E327" i="5"/>
  <c r="C327" i="5"/>
  <c r="I326" i="5"/>
  <c r="G326" i="5"/>
  <c r="E326" i="5"/>
  <c r="C326" i="5"/>
  <c r="I325" i="5"/>
  <c r="G325" i="5"/>
  <c r="E325" i="5"/>
  <c r="C325" i="5"/>
  <c r="I324" i="5"/>
  <c r="G324" i="5"/>
  <c r="E324" i="5"/>
  <c r="C324" i="5"/>
  <c r="I323" i="5"/>
  <c r="G323" i="5"/>
  <c r="E323" i="5"/>
  <c r="C323" i="5"/>
  <c r="I322" i="5"/>
  <c r="G322" i="5"/>
  <c r="E322" i="5"/>
  <c r="C322" i="5"/>
  <c r="I321" i="5"/>
  <c r="G321" i="5"/>
  <c r="E321" i="5"/>
  <c r="C321" i="5"/>
  <c r="I320" i="5"/>
  <c r="G320" i="5"/>
  <c r="E320" i="5"/>
  <c r="C320" i="5"/>
  <c r="I319" i="5"/>
  <c r="G319" i="5"/>
  <c r="E319" i="5"/>
  <c r="C319" i="5"/>
  <c r="I318" i="5"/>
  <c r="G318" i="5"/>
  <c r="E318" i="5"/>
  <c r="C318" i="5"/>
  <c r="I317" i="5"/>
  <c r="G317" i="5"/>
  <c r="E317" i="5"/>
  <c r="C317" i="5"/>
  <c r="I316" i="5"/>
  <c r="G316" i="5"/>
  <c r="E316" i="5"/>
  <c r="C316" i="5"/>
  <c r="I315" i="5"/>
  <c r="G315" i="5"/>
  <c r="E315" i="5"/>
  <c r="C315" i="5"/>
  <c r="I314" i="5"/>
  <c r="G314" i="5"/>
  <c r="E314" i="5"/>
  <c r="C314" i="5"/>
  <c r="I313" i="5"/>
  <c r="G313" i="5"/>
  <c r="E313" i="5"/>
  <c r="C313" i="5"/>
  <c r="I312" i="5"/>
  <c r="G312" i="5"/>
  <c r="E312" i="5"/>
  <c r="C312" i="5"/>
  <c r="I311" i="5"/>
  <c r="G311" i="5"/>
  <c r="E311" i="5"/>
  <c r="C311" i="5"/>
  <c r="I310" i="5"/>
  <c r="G310" i="5"/>
  <c r="E310" i="5"/>
  <c r="C310" i="5"/>
  <c r="I309" i="5"/>
  <c r="G309" i="5"/>
  <c r="E309" i="5"/>
  <c r="C309" i="5"/>
  <c r="I308" i="5"/>
  <c r="G308" i="5"/>
  <c r="E308" i="5"/>
  <c r="C308" i="5"/>
  <c r="I307" i="5"/>
  <c r="G307" i="5"/>
  <c r="E307" i="5"/>
  <c r="C307" i="5"/>
  <c r="I306" i="5"/>
  <c r="G306" i="5"/>
  <c r="E306" i="5"/>
  <c r="C306" i="5"/>
  <c r="I305" i="5"/>
  <c r="G305" i="5"/>
  <c r="E305" i="5"/>
  <c r="C305" i="5"/>
  <c r="I304" i="5"/>
  <c r="G304" i="5"/>
  <c r="E304" i="5"/>
  <c r="C304" i="5"/>
  <c r="I303" i="5"/>
  <c r="G303" i="5"/>
  <c r="E303" i="5"/>
  <c r="C303" i="5"/>
  <c r="I302" i="5"/>
  <c r="G302" i="5"/>
  <c r="E302" i="5"/>
  <c r="C302" i="5"/>
  <c r="I301" i="5"/>
  <c r="G301" i="5"/>
  <c r="E301" i="5"/>
  <c r="C301" i="5"/>
  <c r="I300" i="5"/>
  <c r="G300" i="5"/>
  <c r="E300" i="5"/>
  <c r="C300" i="5"/>
  <c r="I299" i="5"/>
  <c r="G299" i="5"/>
  <c r="E299" i="5"/>
  <c r="C299" i="5"/>
  <c r="I298" i="5"/>
  <c r="G298" i="5"/>
  <c r="E298" i="5"/>
  <c r="C298" i="5"/>
  <c r="I297" i="5"/>
  <c r="G297" i="5"/>
  <c r="E297" i="5"/>
  <c r="C297" i="5"/>
  <c r="I296" i="5"/>
  <c r="G296" i="5"/>
  <c r="E296" i="5"/>
  <c r="C296" i="5"/>
  <c r="I295" i="5"/>
  <c r="G295" i="5"/>
  <c r="E295" i="5"/>
  <c r="C295" i="5"/>
  <c r="I294" i="5"/>
  <c r="G294" i="5"/>
  <c r="E294" i="5"/>
  <c r="C294" i="5"/>
  <c r="I293" i="5"/>
  <c r="G293" i="5"/>
  <c r="E293" i="5"/>
  <c r="C293" i="5"/>
  <c r="I292" i="5"/>
  <c r="G292" i="5"/>
  <c r="E292" i="5"/>
  <c r="C292" i="5"/>
  <c r="I291" i="5"/>
  <c r="G291" i="5"/>
  <c r="E291" i="5"/>
  <c r="C291" i="5"/>
  <c r="I290" i="5"/>
  <c r="G290" i="5"/>
  <c r="E290" i="5"/>
  <c r="C290" i="5"/>
  <c r="I289" i="5"/>
  <c r="G289" i="5"/>
  <c r="E289" i="5"/>
  <c r="C289" i="5"/>
  <c r="I288" i="5"/>
  <c r="G288" i="5"/>
  <c r="E288" i="5"/>
  <c r="C288" i="5"/>
  <c r="I287" i="5"/>
  <c r="G287" i="5"/>
  <c r="E287" i="5"/>
  <c r="C287" i="5"/>
  <c r="I286" i="5"/>
  <c r="G286" i="5"/>
  <c r="E286" i="5"/>
  <c r="C286" i="5"/>
  <c r="I285" i="5"/>
  <c r="G285" i="5"/>
  <c r="E285" i="5"/>
  <c r="C285" i="5"/>
  <c r="I284" i="5"/>
  <c r="G284" i="5"/>
  <c r="E284" i="5"/>
  <c r="C284" i="5"/>
  <c r="I283" i="5"/>
  <c r="G283" i="5"/>
  <c r="E283" i="5"/>
  <c r="C283" i="5"/>
  <c r="I282" i="5"/>
  <c r="G282" i="5"/>
  <c r="E282" i="5"/>
  <c r="C282" i="5"/>
  <c r="I281" i="5"/>
  <c r="G281" i="5"/>
  <c r="E281" i="5"/>
  <c r="C281" i="5"/>
  <c r="I280" i="5"/>
  <c r="G280" i="5"/>
  <c r="E280" i="5"/>
  <c r="C280" i="5"/>
  <c r="I279" i="5"/>
  <c r="G279" i="5"/>
  <c r="E279" i="5"/>
  <c r="C279" i="5"/>
  <c r="I278" i="5"/>
  <c r="G278" i="5"/>
  <c r="E278" i="5"/>
  <c r="C278" i="5"/>
  <c r="I277" i="5"/>
  <c r="G277" i="5"/>
  <c r="E277" i="5"/>
  <c r="C277" i="5"/>
  <c r="I276" i="5"/>
  <c r="G276" i="5"/>
  <c r="E276" i="5"/>
  <c r="C276" i="5"/>
  <c r="I275" i="5"/>
  <c r="G275" i="5"/>
  <c r="E275" i="5"/>
  <c r="C275" i="5"/>
  <c r="I274" i="5"/>
  <c r="G274" i="5"/>
  <c r="E274" i="5"/>
  <c r="C274" i="5"/>
  <c r="I273" i="5"/>
  <c r="G273" i="5"/>
  <c r="E273" i="5"/>
  <c r="C273" i="5"/>
  <c r="I272" i="5"/>
  <c r="G272" i="5"/>
  <c r="E272" i="5"/>
  <c r="C272" i="5"/>
  <c r="I271" i="5"/>
  <c r="G271" i="5"/>
  <c r="E271" i="5"/>
  <c r="C271" i="5"/>
  <c r="I270" i="5"/>
  <c r="G270" i="5"/>
  <c r="E270" i="5"/>
  <c r="C270" i="5"/>
  <c r="I269" i="5"/>
  <c r="G269" i="5"/>
  <c r="E269" i="5"/>
  <c r="C269" i="5"/>
  <c r="I268" i="5"/>
  <c r="G268" i="5"/>
  <c r="E268" i="5"/>
  <c r="C268" i="5"/>
  <c r="I267" i="5"/>
  <c r="G267" i="5"/>
  <c r="E267" i="5"/>
  <c r="C267" i="5"/>
  <c r="I266" i="5"/>
  <c r="G266" i="5"/>
  <c r="E266" i="5"/>
  <c r="C266" i="5"/>
  <c r="I265" i="5"/>
  <c r="G265" i="5"/>
  <c r="E265" i="5"/>
  <c r="C265" i="5"/>
  <c r="I264" i="5"/>
  <c r="G264" i="5"/>
  <c r="E264" i="5"/>
  <c r="C264" i="5"/>
  <c r="I263" i="5"/>
  <c r="G263" i="5"/>
  <c r="E263" i="5"/>
  <c r="C263" i="5"/>
  <c r="I262" i="5"/>
  <c r="G262" i="5"/>
  <c r="E262" i="5"/>
  <c r="C262" i="5"/>
  <c r="I261" i="5"/>
  <c r="G261" i="5"/>
  <c r="E261" i="5"/>
  <c r="C261" i="5"/>
  <c r="I260" i="5"/>
  <c r="G260" i="5"/>
  <c r="E260" i="5"/>
  <c r="C260" i="5"/>
  <c r="I259" i="5"/>
  <c r="G259" i="5"/>
  <c r="E259" i="5"/>
  <c r="C259" i="5"/>
  <c r="I258" i="5"/>
  <c r="G258" i="5"/>
  <c r="E258" i="5"/>
  <c r="C258" i="5"/>
  <c r="I257" i="5"/>
  <c r="G257" i="5"/>
  <c r="E257" i="5"/>
  <c r="C257" i="5"/>
  <c r="I256" i="5"/>
  <c r="G256" i="5"/>
  <c r="E256" i="5"/>
  <c r="C256" i="5"/>
  <c r="I255" i="5"/>
  <c r="G255" i="5"/>
  <c r="E255" i="5"/>
  <c r="C255" i="5"/>
  <c r="I254" i="5"/>
  <c r="G254" i="5"/>
  <c r="E254" i="5"/>
  <c r="C254" i="5"/>
  <c r="I253" i="5"/>
  <c r="G253" i="5"/>
  <c r="E253" i="5"/>
  <c r="C253" i="5"/>
  <c r="I252" i="5"/>
  <c r="G252" i="5"/>
  <c r="E252" i="5"/>
  <c r="C252" i="5"/>
  <c r="I251" i="5"/>
  <c r="G251" i="5"/>
  <c r="E251" i="5"/>
  <c r="C251" i="5"/>
  <c r="I250" i="5"/>
  <c r="G250" i="5"/>
  <c r="E250" i="5"/>
  <c r="C250" i="5"/>
  <c r="I249" i="5"/>
  <c r="G249" i="5"/>
  <c r="E249" i="5"/>
  <c r="C249" i="5"/>
  <c r="I248" i="5"/>
  <c r="G248" i="5"/>
  <c r="E248" i="5"/>
  <c r="C248" i="5"/>
  <c r="I247" i="5"/>
  <c r="G247" i="5"/>
  <c r="E247" i="5"/>
  <c r="C247" i="5"/>
  <c r="I246" i="5"/>
  <c r="G246" i="5"/>
  <c r="E246" i="5"/>
  <c r="C246" i="5"/>
  <c r="I245" i="5"/>
  <c r="G245" i="5"/>
  <c r="E245" i="5"/>
  <c r="C245" i="5"/>
  <c r="I244" i="5"/>
  <c r="G244" i="5"/>
  <c r="E244" i="5"/>
  <c r="C244" i="5"/>
  <c r="I243" i="5"/>
  <c r="G243" i="5"/>
  <c r="E243" i="5"/>
  <c r="C243" i="5"/>
  <c r="I242" i="5"/>
  <c r="G242" i="5"/>
  <c r="E242" i="5"/>
  <c r="C242" i="5"/>
  <c r="I241" i="5"/>
  <c r="G241" i="5"/>
  <c r="E241" i="5"/>
  <c r="C241" i="5"/>
  <c r="I240" i="5"/>
  <c r="G240" i="5"/>
  <c r="E240" i="5"/>
  <c r="C240" i="5"/>
  <c r="I239" i="5"/>
  <c r="G239" i="5"/>
  <c r="E239" i="5"/>
  <c r="C239" i="5"/>
  <c r="I238" i="5"/>
  <c r="G238" i="5"/>
  <c r="E238" i="5"/>
  <c r="C238" i="5"/>
  <c r="I237" i="5"/>
  <c r="G237" i="5"/>
  <c r="E237" i="5"/>
  <c r="C237" i="5"/>
  <c r="I236" i="5"/>
  <c r="G236" i="5"/>
  <c r="E236" i="5"/>
  <c r="C236" i="5"/>
  <c r="I235" i="5"/>
  <c r="G235" i="5"/>
  <c r="E235" i="5"/>
  <c r="C235" i="5"/>
  <c r="I234" i="5"/>
  <c r="G234" i="5"/>
  <c r="E234" i="5"/>
  <c r="C234" i="5"/>
  <c r="I233" i="5"/>
  <c r="G233" i="5"/>
  <c r="E233" i="5"/>
  <c r="C233" i="5"/>
  <c r="I232" i="5"/>
  <c r="G232" i="5"/>
  <c r="E232" i="5"/>
  <c r="C232" i="5"/>
  <c r="I231" i="5"/>
  <c r="G231" i="5"/>
  <c r="E231" i="5"/>
  <c r="C231" i="5"/>
  <c r="I230" i="5"/>
  <c r="G230" i="5"/>
  <c r="E230" i="5"/>
  <c r="C230" i="5"/>
  <c r="I229" i="5"/>
  <c r="G229" i="5"/>
  <c r="E229" i="5"/>
  <c r="C229" i="5"/>
  <c r="I228" i="5"/>
  <c r="G228" i="5"/>
  <c r="E228" i="5"/>
  <c r="C228" i="5"/>
  <c r="I227" i="5"/>
  <c r="G227" i="5"/>
  <c r="E227" i="5"/>
  <c r="C227" i="5"/>
  <c r="I226" i="5"/>
  <c r="G226" i="5"/>
  <c r="E226" i="5"/>
  <c r="C226" i="5"/>
  <c r="I225" i="5"/>
  <c r="G225" i="5"/>
  <c r="E225" i="5"/>
  <c r="C225" i="5"/>
  <c r="I224" i="5"/>
  <c r="G224" i="5"/>
  <c r="E224" i="5"/>
  <c r="C224" i="5"/>
  <c r="I223" i="5"/>
  <c r="G223" i="5"/>
  <c r="E223" i="5"/>
  <c r="C223" i="5"/>
  <c r="I222" i="5"/>
  <c r="G222" i="5"/>
  <c r="E222" i="5"/>
  <c r="C222" i="5"/>
  <c r="I221" i="5"/>
  <c r="G221" i="5"/>
  <c r="E221" i="5"/>
  <c r="C221" i="5"/>
  <c r="I220" i="5"/>
  <c r="G220" i="5"/>
  <c r="E220" i="5"/>
  <c r="C220" i="5"/>
  <c r="I219" i="5"/>
  <c r="G219" i="5"/>
  <c r="E219" i="5"/>
  <c r="C219" i="5"/>
  <c r="I218" i="5"/>
  <c r="G218" i="5"/>
  <c r="E218" i="5"/>
  <c r="C218" i="5"/>
  <c r="I217" i="5"/>
  <c r="G217" i="5"/>
  <c r="E217" i="5"/>
  <c r="C217" i="5"/>
  <c r="I216" i="5"/>
  <c r="G216" i="5"/>
  <c r="E216" i="5"/>
  <c r="C216" i="5"/>
  <c r="I215" i="5"/>
  <c r="G215" i="5"/>
  <c r="E215" i="5"/>
  <c r="C215" i="5"/>
  <c r="I214" i="5"/>
  <c r="G214" i="5"/>
  <c r="E214" i="5"/>
  <c r="C214" i="5"/>
  <c r="I213" i="5"/>
  <c r="G213" i="5"/>
  <c r="E213" i="5"/>
  <c r="C213" i="5"/>
  <c r="I212" i="5"/>
  <c r="G212" i="5"/>
  <c r="E212" i="5"/>
  <c r="C212" i="5"/>
  <c r="I211" i="5"/>
  <c r="G211" i="5"/>
  <c r="E211" i="5"/>
  <c r="C211" i="5"/>
  <c r="I210" i="5"/>
  <c r="G210" i="5"/>
  <c r="E210" i="5"/>
  <c r="C210" i="5"/>
  <c r="I209" i="5"/>
  <c r="G209" i="5"/>
  <c r="E209" i="5"/>
  <c r="C209" i="5"/>
  <c r="I208" i="5"/>
  <c r="G208" i="5"/>
  <c r="E208" i="5"/>
  <c r="C208" i="5"/>
  <c r="I207" i="5"/>
  <c r="G207" i="5"/>
  <c r="E207" i="5"/>
  <c r="C207" i="5"/>
  <c r="I206" i="5"/>
  <c r="G206" i="5"/>
  <c r="E206" i="5"/>
  <c r="C206" i="5"/>
  <c r="I205" i="5"/>
  <c r="G205" i="5"/>
  <c r="E205" i="5"/>
  <c r="C205" i="5"/>
  <c r="I204" i="5"/>
  <c r="G204" i="5"/>
  <c r="E204" i="5"/>
  <c r="C204" i="5"/>
  <c r="I203" i="5"/>
  <c r="G203" i="5"/>
  <c r="E203" i="5"/>
  <c r="C203" i="5"/>
  <c r="I202" i="5"/>
  <c r="G202" i="5"/>
  <c r="E202" i="5"/>
  <c r="C202" i="5"/>
  <c r="I201" i="5"/>
  <c r="G201" i="5"/>
  <c r="E201" i="5"/>
  <c r="C201" i="5"/>
  <c r="I200" i="5"/>
  <c r="G200" i="5"/>
  <c r="E200" i="5"/>
  <c r="C200" i="5"/>
  <c r="I199" i="5"/>
  <c r="G199" i="5"/>
  <c r="E199" i="5"/>
  <c r="C199" i="5"/>
  <c r="I198" i="5"/>
  <c r="G198" i="5"/>
  <c r="E198" i="5"/>
  <c r="C198" i="5"/>
  <c r="I197" i="5"/>
  <c r="G197" i="5"/>
  <c r="E197" i="5"/>
  <c r="C197" i="5"/>
  <c r="I196" i="5"/>
  <c r="G196" i="5"/>
  <c r="E196" i="5"/>
  <c r="C196" i="5"/>
  <c r="I195" i="5"/>
  <c r="G195" i="5"/>
  <c r="E195" i="5"/>
  <c r="C195" i="5"/>
  <c r="I194" i="5"/>
  <c r="G194" i="5"/>
  <c r="E194" i="5"/>
  <c r="C194" i="5"/>
  <c r="I193" i="5"/>
  <c r="G193" i="5"/>
  <c r="E193" i="5"/>
  <c r="C193" i="5"/>
  <c r="I192" i="5"/>
  <c r="G192" i="5"/>
  <c r="E192" i="5"/>
  <c r="C192" i="5"/>
  <c r="I191" i="5"/>
  <c r="G191" i="5"/>
  <c r="E191" i="5"/>
  <c r="C191" i="5"/>
  <c r="I190" i="5"/>
  <c r="G190" i="5"/>
  <c r="E190" i="5"/>
  <c r="C190" i="5"/>
  <c r="I189" i="5"/>
  <c r="G189" i="5"/>
  <c r="E189" i="5"/>
  <c r="C189" i="5"/>
  <c r="I188" i="5"/>
  <c r="G188" i="5"/>
  <c r="E188" i="5"/>
  <c r="C188" i="5"/>
  <c r="I187" i="5"/>
  <c r="G187" i="5"/>
  <c r="E187" i="5"/>
  <c r="C187" i="5"/>
  <c r="I186" i="5"/>
  <c r="G186" i="5"/>
  <c r="E186" i="5"/>
  <c r="C186" i="5"/>
  <c r="I185" i="5"/>
  <c r="G185" i="5"/>
  <c r="E185" i="5"/>
  <c r="C185" i="5"/>
  <c r="I184" i="5"/>
  <c r="G184" i="5"/>
  <c r="E184" i="5"/>
  <c r="C184" i="5"/>
  <c r="I183" i="5"/>
  <c r="G183" i="5"/>
  <c r="E183" i="5"/>
  <c r="C183" i="5"/>
  <c r="I182" i="5"/>
  <c r="G182" i="5"/>
  <c r="E182" i="5"/>
  <c r="C182" i="5"/>
  <c r="I181" i="5"/>
  <c r="G181" i="5"/>
  <c r="E181" i="5"/>
  <c r="C181" i="5"/>
  <c r="I180" i="5"/>
  <c r="G180" i="5"/>
  <c r="E180" i="5"/>
  <c r="C180" i="5"/>
  <c r="I179" i="5"/>
  <c r="G179" i="5"/>
  <c r="E179" i="5"/>
  <c r="C179" i="5"/>
  <c r="I178" i="5"/>
  <c r="G178" i="5"/>
  <c r="E178" i="5"/>
  <c r="C178" i="5"/>
  <c r="I177" i="5"/>
  <c r="G177" i="5"/>
  <c r="E177" i="5"/>
  <c r="C177" i="5"/>
  <c r="I176" i="5"/>
  <c r="G176" i="5"/>
  <c r="E176" i="5"/>
  <c r="C176" i="5"/>
  <c r="I175" i="5"/>
  <c r="G175" i="5"/>
  <c r="E175" i="5"/>
  <c r="C175" i="5"/>
  <c r="I174" i="5"/>
  <c r="G174" i="5"/>
  <c r="E174" i="5"/>
  <c r="C174" i="5"/>
  <c r="I173" i="5"/>
  <c r="G173" i="5"/>
  <c r="E173" i="5"/>
  <c r="C173" i="5"/>
  <c r="I172" i="5"/>
  <c r="G172" i="5"/>
  <c r="E172" i="5"/>
  <c r="C172" i="5"/>
  <c r="I171" i="5"/>
  <c r="G171" i="5"/>
  <c r="E171" i="5"/>
  <c r="C171" i="5"/>
  <c r="I170" i="5"/>
  <c r="G170" i="5"/>
  <c r="E170" i="5"/>
  <c r="C170" i="5"/>
  <c r="I169" i="5"/>
  <c r="G169" i="5"/>
  <c r="E169" i="5"/>
  <c r="C169" i="5"/>
  <c r="I168" i="5"/>
  <c r="G168" i="5"/>
  <c r="E168" i="5"/>
  <c r="C168" i="5"/>
  <c r="I167" i="5"/>
  <c r="G167" i="5"/>
  <c r="E167" i="5"/>
  <c r="C167" i="5"/>
  <c r="I166" i="5"/>
  <c r="G166" i="5"/>
  <c r="E166" i="5"/>
  <c r="C166" i="5"/>
  <c r="I165" i="5"/>
  <c r="G165" i="5"/>
  <c r="E165" i="5"/>
  <c r="C165" i="5"/>
  <c r="I164" i="5"/>
  <c r="G164" i="5"/>
  <c r="E164" i="5"/>
  <c r="C164" i="5"/>
  <c r="I163" i="5"/>
  <c r="G163" i="5"/>
  <c r="E163" i="5"/>
  <c r="C163" i="5"/>
  <c r="I162" i="5"/>
  <c r="G162" i="5"/>
  <c r="E162" i="5"/>
  <c r="C162" i="5"/>
  <c r="I161" i="5"/>
  <c r="G161" i="5"/>
  <c r="E161" i="5"/>
  <c r="C161" i="5"/>
  <c r="I160" i="5"/>
  <c r="G160" i="5"/>
  <c r="E160" i="5"/>
  <c r="C160" i="5"/>
  <c r="I159" i="5"/>
  <c r="G159" i="5"/>
  <c r="E159" i="5"/>
  <c r="C159" i="5"/>
  <c r="I158" i="5"/>
  <c r="G158" i="5"/>
  <c r="E158" i="5"/>
  <c r="C158" i="5"/>
  <c r="I157" i="5"/>
  <c r="G157" i="5"/>
  <c r="E157" i="5"/>
  <c r="C157" i="5"/>
  <c r="I156" i="5"/>
  <c r="G156" i="5"/>
  <c r="E156" i="5"/>
  <c r="C156" i="5"/>
  <c r="I155" i="5"/>
  <c r="G155" i="5"/>
  <c r="E155" i="5"/>
  <c r="C155" i="5"/>
  <c r="I154" i="5"/>
  <c r="G154" i="5"/>
  <c r="E154" i="5"/>
  <c r="C154" i="5"/>
  <c r="I153" i="5"/>
  <c r="G153" i="5"/>
  <c r="E153" i="5"/>
  <c r="C153" i="5"/>
  <c r="I152" i="5"/>
  <c r="G152" i="5"/>
  <c r="E152" i="5"/>
  <c r="C152" i="5"/>
  <c r="I151" i="5"/>
  <c r="G151" i="5"/>
  <c r="E151" i="5"/>
  <c r="C151" i="5"/>
  <c r="I150" i="5"/>
  <c r="G150" i="5"/>
  <c r="E150" i="5"/>
  <c r="C150" i="5"/>
  <c r="I149" i="5"/>
  <c r="G149" i="5"/>
  <c r="E149" i="5"/>
  <c r="C149" i="5"/>
  <c r="I148" i="5"/>
  <c r="G148" i="5"/>
  <c r="E148" i="5"/>
  <c r="C148" i="5"/>
  <c r="I147" i="5"/>
  <c r="G147" i="5"/>
  <c r="E147" i="5"/>
  <c r="C147" i="5"/>
  <c r="I146" i="5"/>
  <c r="G146" i="5"/>
  <c r="E146" i="5"/>
  <c r="C146" i="5"/>
  <c r="I145" i="5"/>
  <c r="G145" i="5"/>
  <c r="E145" i="5"/>
  <c r="C145" i="5"/>
  <c r="I144" i="5"/>
  <c r="G144" i="5"/>
  <c r="E144" i="5"/>
  <c r="C144" i="5"/>
  <c r="I143" i="5"/>
  <c r="G143" i="5"/>
  <c r="E143" i="5"/>
  <c r="C143" i="5"/>
  <c r="I142" i="5"/>
  <c r="G142" i="5"/>
  <c r="E142" i="5"/>
  <c r="C142" i="5"/>
  <c r="I141" i="5"/>
  <c r="G141" i="5"/>
  <c r="E141" i="5"/>
  <c r="C141" i="5"/>
  <c r="I140" i="5"/>
  <c r="G140" i="5"/>
  <c r="E140" i="5"/>
  <c r="C140" i="5"/>
  <c r="I139" i="5"/>
  <c r="G139" i="5"/>
  <c r="E139" i="5"/>
  <c r="C139" i="5"/>
  <c r="I138" i="5"/>
  <c r="G138" i="5"/>
  <c r="E138" i="5"/>
  <c r="C138" i="5"/>
  <c r="I137" i="5"/>
  <c r="G137" i="5"/>
  <c r="E137" i="5"/>
  <c r="C137" i="5"/>
  <c r="I136" i="5"/>
  <c r="G136" i="5"/>
  <c r="E136" i="5"/>
  <c r="C136" i="5"/>
  <c r="I135" i="5"/>
  <c r="G135" i="5"/>
  <c r="E135" i="5"/>
  <c r="C135" i="5"/>
  <c r="I134" i="5"/>
  <c r="G134" i="5"/>
  <c r="E134" i="5"/>
  <c r="C134" i="5"/>
  <c r="I133" i="5"/>
  <c r="G133" i="5"/>
  <c r="E133" i="5"/>
  <c r="C133" i="5"/>
  <c r="I132" i="5"/>
  <c r="G132" i="5"/>
  <c r="E132" i="5"/>
  <c r="C132" i="5"/>
  <c r="I131" i="5"/>
  <c r="G131" i="5"/>
  <c r="E131" i="5"/>
  <c r="C131" i="5"/>
  <c r="I130" i="5"/>
  <c r="G130" i="5"/>
  <c r="E130" i="5"/>
  <c r="C130" i="5"/>
  <c r="I129" i="5"/>
  <c r="G129" i="5"/>
  <c r="E129" i="5"/>
  <c r="C129" i="5"/>
  <c r="I128" i="5"/>
  <c r="G128" i="5"/>
  <c r="E128" i="5"/>
  <c r="C128" i="5"/>
  <c r="I127" i="5"/>
  <c r="G127" i="5"/>
  <c r="E127" i="5"/>
  <c r="C127" i="5"/>
  <c r="I126" i="5"/>
  <c r="G126" i="5"/>
  <c r="E126" i="5"/>
  <c r="C126" i="5"/>
  <c r="I125" i="5"/>
  <c r="G125" i="5"/>
  <c r="E125" i="5"/>
  <c r="C125" i="5"/>
  <c r="I124" i="5"/>
  <c r="G124" i="5"/>
  <c r="E124" i="5"/>
  <c r="C124" i="5"/>
  <c r="I123" i="5"/>
  <c r="G123" i="5"/>
  <c r="E123" i="5"/>
  <c r="C123" i="5"/>
  <c r="I122" i="5"/>
  <c r="G122" i="5"/>
  <c r="E122" i="5"/>
  <c r="C122" i="5"/>
  <c r="I121" i="5"/>
  <c r="G121" i="5"/>
  <c r="E121" i="5"/>
  <c r="C121" i="5"/>
  <c r="I120" i="5"/>
  <c r="G120" i="5"/>
  <c r="E120" i="5"/>
  <c r="C120" i="5"/>
  <c r="I119" i="5"/>
  <c r="G119" i="5"/>
  <c r="E119" i="5"/>
  <c r="C119" i="5"/>
  <c r="I118" i="5"/>
  <c r="G118" i="5"/>
  <c r="E118" i="5"/>
  <c r="C118" i="5"/>
  <c r="I117" i="5"/>
  <c r="G117" i="5"/>
  <c r="E117" i="5"/>
  <c r="C117" i="5"/>
  <c r="I116" i="5"/>
  <c r="G116" i="5"/>
  <c r="E116" i="5"/>
  <c r="C116" i="5"/>
  <c r="I115" i="5"/>
  <c r="G115" i="5"/>
  <c r="E115" i="5"/>
  <c r="C115" i="5"/>
  <c r="I114" i="5"/>
  <c r="G114" i="5"/>
  <c r="E114" i="5"/>
  <c r="C114" i="5"/>
  <c r="I113" i="5"/>
  <c r="G113" i="5"/>
  <c r="E113" i="5"/>
  <c r="C113" i="5"/>
  <c r="I112" i="5"/>
  <c r="G112" i="5"/>
  <c r="E112" i="5"/>
  <c r="C112" i="5"/>
  <c r="I111" i="5"/>
  <c r="G111" i="5"/>
  <c r="E111" i="5"/>
  <c r="C111" i="5"/>
  <c r="I110" i="5"/>
  <c r="G110" i="5"/>
  <c r="E110" i="5"/>
  <c r="C110" i="5"/>
  <c r="I109" i="5"/>
  <c r="G109" i="5"/>
  <c r="E109" i="5"/>
  <c r="C109" i="5"/>
  <c r="I108" i="5"/>
  <c r="G108" i="5"/>
  <c r="E108" i="5"/>
  <c r="C108" i="5"/>
  <c r="I107" i="5"/>
  <c r="G107" i="5"/>
  <c r="E107" i="5"/>
  <c r="C107" i="5"/>
  <c r="I106" i="5"/>
  <c r="G106" i="5"/>
  <c r="E106" i="5"/>
  <c r="C106" i="5"/>
  <c r="I105" i="5"/>
  <c r="G105" i="5"/>
  <c r="E105" i="5"/>
  <c r="C105" i="5"/>
  <c r="I104" i="5"/>
  <c r="G104" i="5"/>
  <c r="E104" i="5"/>
  <c r="C104" i="5"/>
  <c r="I103" i="5"/>
  <c r="G103" i="5"/>
  <c r="E103" i="5"/>
  <c r="C103" i="5"/>
  <c r="I102" i="5"/>
  <c r="G102" i="5"/>
  <c r="E102" i="5"/>
  <c r="C102" i="5"/>
  <c r="I101" i="5"/>
  <c r="G101" i="5"/>
  <c r="E101" i="5"/>
  <c r="C101" i="5"/>
  <c r="I100" i="5"/>
  <c r="G100" i="5"/>
  <c r="E100" i="5"/>
  <c r="C100" i="5"/>
  <c r="I99" i="5"/>
  <c r="G99" i="5"/>
  <c r="E99" i="5"/>
  <c r="C99" i="5"/>
  <c r="I98" i="5"/>
  <c r="G98" i="5"/>
  <c r="E98" i="5"/>
  <c r="C98" i="5"/>
  <c r="I97" i="5"/>
  <c r="G97" i="5"/>
  <c r="E97" i="5"/>
  <c r="C97" i="5"/>
  <c r="I96" i="5"/>
  <c r="G96" i="5"/>
  <c r="E96" i="5"/>
  <c r="C96" i="5"/>
  <c r="I95" i="5"/>
  <c r="G95" i="5"/>
  <c r="E95" i="5"/>
  <c r="C95" i="5"/>
  <c r="I94" i="5"/>
  <c r="G94" i="5"/>
  <c r="E94" i="5"/>
  <c r="C94" i="5"/>
  <c r="I93" i="5"/>
  <c r="G93" i="5"/>
  <c r="E93" i="5"/>
  <c r="C93" i="5"/>
  <c r="I92" i="5"/>
  <c r="G92" i="5"/>
  <c r="E92" i="5"/>
  <c r="C92" i="5"/>
  <c r="I91" i="5"/>
  <c r="G91" i="5"/>
  <c r="E91" i="5"/>
  <c r="C91" i="5"/>
  <c r="I90" i="5"/>
  <c r="G90" i="5"/>
  <c r="E90" i="5"/>
  <c r="C90" i="5"/>
  <c r="I89" i="5"/>
  <c r="G89" i="5"/>
  <c r="E89" i="5"/>
  <c r="C89" i="5"/>
  <c r="I88" i="5"/>
  <c r="G88" i="5"/>
  <c r="E88" i="5"/>
  <c r="C88" i="5"/>
  <c r="I87" i="5"/>
  <c r="G87" i="5"/>
  <c r="E87" i="5"/>
  <c r="C87" i="5"/>
  <c r="I86" i="5"/>
  <c r="G86" i="5"/>
  <c r="E86" i="5"/>
  <c r="C86" i="5"/>
  <c r="I85" i="5"/>
  <c r="G85" i="5"/>
  <c r="E85" i="5"/>
  <c r="C85" i="5"/>
  <c r="I84" i="5"/>
  <c r="G84" i="5"/>
  <c r="E84" i="5"/>
  <c r="C84" i="5"/>
  <c r="I83" i="5"/>
  <c r="G83" i="5"/>
  <c r="E83" i="5"/>
  <c r="C83" i="5"/>
  <c r="I82" i="5"/>
  <c r="G82" i="5"/>
  <c r="E82" i="5"/>
  <c r="C82" i="5"/>
  <c r="I81" i="5"/>
  <c r="G81" i="5"/>
  <c r="E81" i="5"/>
  <c r="C81" i="5"/>
  <c r="I80" i="5"/>
  <c r="G80" i="5"/>
  <c r="E80" i="5"/>
  <c r="C80" i="5"/>
  <c r="I79" i="5"/>
  <c r="G79" i="5"/>
  <c r="E79" i="5"/>
  <c r="C79" i="5"/>
  <c r="I78" i="5"/>
  <c r="G78" i="5"/>
  <c r="E78" i="5"/>
  <c r="C78" i="5"/>
  <c r="I77" i="5"/>
  <c r="G77" i="5"/>
  <c r="E77" i="5"/>
  <c r="C77" i="5"/>
  <c r="I76" i="5"/>
  <c r="G76" i="5"/>
  <c r="E76" i="5"/>
  <c r="C76" i="5"/>
  <c r="I75" i="5"/>
  <c r="G75" i="5"/>
  <c r="E75" i="5"/>
  <c r="C75" i="5"/>
  <c r="I74" i="5"/>
  <c r="G74" i="5"/>
  <c r="E74" i="5"/>
  <c r="C74" i="5"/>
  <c r="I73" i="5"/>
  <c r="G73" i="5"/>
  <c r="E73" i="5"/>
  <c r="C73" i="5"/>
  <c r="I72" i="5"/>
  <c r="G72" i="5"/>
  <c r="E72" i="5"/>
  <c r="C72" i="5"/>
  <c r="I71" i="5"/>
  <c r="G71" i="5"/>
  <c r="E71" i="5"/>
  <c r="C71" i="5"/>
  <c r="I70" i="5"/>
  <c r="G70" i="5"/>
  <c r="E70" i="5"/>
  <c r="C70" i="5"/>
  <c r="I69" i="5"/>
  <c r="G69" i="5"/>
  <c r="E69" i="5"/>
  <c r="C69" i="5"/>
  <c r="I68" i="5"/>
  <c r="G68" i="5"/>
  <c r="E68" i="5"/>
  <c r="C68" i="5"/>
  <c r="I67" i="5"/>
  <c r="G67" i="5"/>
  <c r="E67" i="5"/>
  <c r="C67" i="5"/>
  <c r="I66" i="5"/>
  <c r="G66" i="5"/>
  <c r="E66" i="5"/>
  <c r="C66" i="5"/>
  <c r="I65" i="5"/>
  <c r="G65" i="5"/>
  <c r="E65" i="5"/>
  <c r="C65" i="5"/>
  <c r="I64" i="5"/>
  <c r="G64" i="5"/>
  <c r="E64" i="5"/>
  <c r="C64" i="5"/>
  <c r="I63" i="5"/>
  <c r="G63" i="5"/>
  <c r="E63" i="5"/>
  <c r="C63" i="5"/>
  <c r="I62" i="5"/>
  <c r="G62" i="5"/>
  <c r="E62" i="5"/>
  <c r="C62" i="5"/>
  <c r="I61" i="5"/>
  <c r="G61" i="5"/>
  <c r="E61" i="5"/>
  <c r="C61" i="5"/>
  <c r="I60" i="5"/>
  <c r="G60" i="5"/>
  <c r="E60" i="5"/>
  <c r="C60" i="5"/>
  <c r="I59" i="5"/>
  <c r="G59" i="5"/>
  <c r="E59" i="5"/>
  <c r="C59" i="5"/>
  <c r="I58" i="5"/>
  <c r="G58" i="5"/>
  <c r="E58" i="5"/>
  <c r="C58" i="5"/>
  <c r="I57" i="5"/>
  <c r="G57" i="5"/>
  <c r="E57" i="5"/>
  <c r="C57" i="5"/>
  <c r="I56" i="5"/>
  <c r="G56" i="5"/>
  <c r="E56" i="5"/>
  <c r="C56" i="5"/>
  <c r="I55" i="5"/>
  <c r="G55" i="5"/>
  <c r="E55" i="5"/>
  <c r="C55" i="5"/>
  <c r="I54" i="5"/>
  <c r="G54" i="5"/>
  <c r="E54" i="5"/>
  <c r="C54" i="5"/>
  <c r="I53" i="5"/>
  <c r="G53" i="5"/>
  <c r="E53" i="5"/>
  <c r="C53" i="5"/>
  <c r="I52" i="5"/>
  <c r="G52" i="5"/>
  <c r="E52" i="5"/>
  <c r="C52" i="5"/>
  <c r="I51" i="5"/>
  <c r="G51" i="5"/>
  <c r="E51" i="5"/>
  <c r="C51" i="5"/>
  <c r="I50" i="5"/>
  <c r="G50" i="5"/>
  <c r="E50" i="5"/>
  <c r="C50" i="5"/>
  <c r="I49" i="5"/>
  <c r="G49" i="5"/>
  <c r="E49" i="5"/>
  <c r="C49" i="5"/>
  <c r="I48" i="5"/>
  <c r="G48" i="5"/>
  <c r="E48" i="5"/>
  <c r="C48" i="5"/>
  <c r="I47" i="5"/>
  <c r="G47" i="5"/>
  <c r="E47" i="5"/>
  <c r="C47" i="5"/>
  <c r="I46" i="5"/>
  <c r="G46" i="5"/>
  <c r="E46" i="5"/>
  <c r="C46" i="5"/>
  <c r="I45" i="5"/>
  <c r="G45" i="5"/>
  <c r="E45" i="5"/>
  <c r="C45" i="5"/>
  <c r="I44" i="5"/>
  <c r="G44" i="5"/>
  <c r="E44" i="5"/>
  <c r="C44" i="5"/>
  <c r="I43" i="5"/>
  <c r="G43" i="5"/>
  <c r="E43" i="5"/>
  <c r="C43" i="5"/>
  <c r="I42" i="5"/>
  <c r="G42" i="5"/>
  <c r="E42" i="5"/>
  <c r="C42" i="5"/>
  <c r="I41" i="5"/>
  <c r="G41" i="5"/>
  <c r="E41" i="5"/>
  <c r="C41" i="5"/>
  <c r="I40" i="5"/>
  <c r="G40" i="5"/>
  <c r="E40" i="5"/>
  <c r="C40" i="5"/>
  <c r="I39" i="5"/>
  <c r="G39" i="5"/>
  <c r="E39" i="5"/>
  <c r="C39" i="5"/>
  <c r="I38" i="5"/>
  <c r="G38" i="5"/>
  <c r="E38" i="5"/>
  <c r="C38" i="5"/>
  <c r="I37" i="5"/>
  <c r="G37" i="5"/>
  <c r="E37" i="5"/>
  <c r="C37" i="5"/>
  <c r="I36" i="5"/>
  <c r="G36" i="5"/>
  <c r="E36" i="5"/>
  <c r="C36" i="5"/>
  <c r="I35" i="5"/>
  <c r="G35" i="5"/>
  <c r="E35" i="5"/>
  <c r="C35" i="5"/>
  <c r="I34" i="5"/>
  <c r="G34" i="5"/>
  <c r="E34" i="5"/>
  <c r="C34" i="5"/>
  <c r="I33" i="5"/>
  <c r="G33" i="5"/>
  <c r="E33" i="5"/>
  <c r="C33" i="5"/>
  <c r="I32" i="5"/>
  <c r="G32" i="5"/>
  <c r="E32" i="5"/>
  <c r="C32" i="5"/>
  <c r="I31" i="5"/>
  <c r="G31" i="5"/>
  <c r="E31" i="5"/>
  <c r="C31" i="5"/>
  <c r="I30" i="5"/>
  <c r="G30" i="5"/>
  <c r="E30" i="5"/>
  <c r="C30" i="5"/>
  <c r="I29" i="5"/>
  <c r="G29" i="5"/>
  <c r="E29" i="5"/>
  <c r="C29" i="5"/>
  <c r="I28" i="5"/>
  <c r="G28" i="5"/>
  <c r="E28" i="5"/>
  <c r="C28" i="5"/>
  <c r="I27" i="5"/>
  <c r="G27" i="5"/>
  <c r="E27" i="5"/>
  <c r="C27" i="5"/>
  <c r="I26" i="5"/>
  <c r="G26" i="5"/>
  <c r="E26" i="5"/>
  <c r="C26" i="5"/>
  <c r="I25" i="5"/>
  <c r="G25" i="5"/>
  <c r="E25" i="5"/>
  <c r="C25" i="5"/>
  <c r="I24" i="5"/>
  <c r="G24" i="5"/>
  <c r="E24" i="5"/>
  <c r="C24" i="5"/>
  <c r="I23" i="5"/>
  <c r="G23" i="5"/>
  <c r="E23" i="5"/>
  <c r="C23" i="5"/>
  <c r="I22" i="5"/>
  <c r="G22" i="5"/>
  <c r="E22" i="5"/>
  <c r="C22" i="5"/>
  <c r="I21" i="5"/>
  <c r="G21" i="5"/>
  <c r="E21" i="5"/>
  <c r="C21" i="5"/>
  <c r="I20" i="5"/>
  <c r="G20" i="5"/>
  <c r="E20" i="5"/>
  <c r="C20" i="5"/>
  <c r="I19" i="5"/>
  <c r="G19" i="5"/>
  <c r="E19" i="5"/>
  <c r="C19" i="5"/>
  <c r="I18" i="5"/>
  <c r="G18" i="5"/>
  <c r="E18" i="5"/>
  <c r="C18" i="5"/>
  <c r="I17" i="5"/>
  <c r="G17" i="5"/>
  <c r="E17" i="5"/>
  <c r="C17" i="5"/>
  <c r="I16" i="5"/>
  <c r="G16" i="5"/>
  <c r="E16" i="5"/>
  <c r="C16" i="5"/>
  <c r="I15" i="5"/>
  <c r="G15" i="5"/>
  <c r="E15" i="5"/>
  <c r="C15" i="5"/>
  <c r="I14" i="5"/>
  <c r="G14" i="5"/>
  <c r="E14" i="5"/>
  <c r="C14" i="5"/>
  <c r="I13" i="5"/>
  <c r="G13" i="5"/>
  <c r="E13" i="5"/>
  <c r="C13" i="5"/>
  <c r="I12" i="5"/>
  <c r="G12" i="5"/>
  <c r="E12" i="5"/>
  <c r="C12" i="5"/>
  <c r="I11" i="5"/>
  <c r="G11" i="5"/>
  <c r="E11" i="5"/>
  <c r="C11" i="5"/>
  <c r="I10" i="5"/>
  <c r="G10" i="5"/>
  <c r="E10" i="5"/>
  <c r="C10" i="5"/>
  <c r="I9" i="5"/>
  <c r="G9" i="5"/>
  <c r="E9" i="5"/>
  <c r="C9" i="5"/>
  <c r="I8" i="5"/>
  <c r="G8" i="5"/>
  <c r="E8" i="5"/>
  <c r="C8" i="5"/>
  <c r="I7" i="5"/>
  <c r="G7" i="5"/>
  <c r="E7" i="5"/>
  <c r="C7" i="5"/>
  <c r="I6" i="5"/>
  <c r="G6" i="5"/>
  <c r="E6" i="5"/>
  <c r="C6" i="5"/>
  <c r="I5" i="5"/>
  <c r="G5" i="5"/>
  <c r="E5" i="5"/>
  <c r="C5" i="5"/>
  <c r="I4" i="5"/>
  <c r="G4" i="5"/>
  <c r="E4" i="5"/>
  <c r="C4" i="5"/>
  <c r="I3" i="5"/>
  <c r="G3" i="5"/>
  <c r="E3" i="5"/>
  <c r="C3" i="5"/>
  <c r="I2" i="5"/>
  <c r="G2" i="5"/>
  <c r="E2" i="5"/>
  <c r="C2" i="5"/>
  <c r="I600" i="4"/>
  <c r="G600" i="4"/>
  <c r="E600" i="4"/>
  <c r="C600" i="4"/>
  <c r="I599" i="4"/>
  <c r="G599" i="4"/>
  <c r="E599" i="4"/>
  <c r="C599" i="4"/>
  <c r="I598" i="4"/>
  <c r="G598" i="4"/>
  <c r="E598" i="4"/>
  <c r="C598" i="4"/>
  <c r="I597" i="4"/>
  <c r="G597" i="4"/>
  <c r="E597" i="4"/>
  <c r="C597" i="4"/>
  <c r="I596" i="4"/>
  <c r="G596" i="4"/>
  <c r="E596" i="4"/>
  <c r="C596" i="4"/>
  <c r="I595" i="4"/>
  <c r="G595" i="4"/>
  <c r="E595" i="4"/>
  <c r="C595" i="4"/>
  <c r="I594" i="4"/>
  <c r="G594" i="4"/>
  <c r="E594" i="4"/>
  <c r="C594" i="4"/>
  <c r="I593" i="4"/>
  <c r="G593" i="4"/>
  <c r="E593" i="4"/>
  <c r="C593" i="4"/>
  <c r="I592" i="4"/>
  <c r="G592" i="4"/>
  <c r="E592" i="4"/>
  <c r="C592" i="4"/>
  <c r="I591" i="4"/>
  <c r="G591" i="4"/>
  <c r="E591" i="4"/>
  <c r="C591" i="4"/>
  <c r="I590" i="4"/>
  <c r="G590" i="4"/>
  <c r="E590" i="4"/>
  <c r="C590" i="4"/>
  <c r="I589" i="4"/>
  <c r="G589" i="4"/>
  <c r="E589" i="4"/>
  <c r="C589" i="4"/>
  <c r="I588" i="4"/>
  <c r="G588" i="4"/>
  <c r="E588" i="4"/>
  <c r="C588" i="4"/>
  <c r="I587" i="4"/>
  <c r="G587" i="4"/>
  <c r="E587" i="4"/>
  <c r="C587" i="4"/>
  <c r="I586" i="4"/>
  <c r="G586" i="4"/>
  <c r="E586" i="4"/>
  <c r="C586" i="4"/>
  <c r="I585" i="4"/>
  <c r="G585" i="4"/>
  <c r="E585" i="4"/>
  <c r="C585" i="4"/>
  <c r="I584" i="4"/>
  <c r="G584" i="4"/>
  <c r="E584" i="4"/>
  <c r="C584" i="4"/>
  <c r="I583" i="4"/>
  <c r="G583" i="4"/>
  <c r="E583" i="4"/>
  <c r="C583" i="4"/>
  <c r="I582" i="4"/>
  <c r="G582" i="4"/>
  <c r="E582" i="4"/>
  <c r="C582" i="4"/>
  <c r="I581" i="4"/>
  <c r="G581" i="4"/>
  <c r="E581" i="4"/>
  <c r="C581" i="4"/>
  <c r="I580" i="4"/>
  <c r="G580" i="4"/>
  <c r="E580" i="4"/>
  <c r="C580" i="4"/>
  <c r="I579" i="4"/>
  <c r="G579" i="4"/>
  <c r="E579" i="4"/>
  <c r="C579" i="4"/>
  <c r="I578" i="4"/>
  <c r="G578" i="4"/>
  <c r="E578" i="4"/>
  <c r="C578" i="4"/>
  <c r="I577" i="4"/>
  <c r="G577" i="4"/>
  <c r="E577" i="4"/>
  <c r="C577" i="4"/>
  <c r="I576" i="4"/>
  <c r="G576" i="4"/>
  <c r="E576" i="4"/>
  <c r="C576" i="4"/>
  <c r="I575" i="4"/>
  <c r="G575" i="4"/>
  <c r="E575" i="4"/>
  <c r="C575" i="4"/>
  <c r="I574" i="4"/>
  <c r="G574" i="4"/>
  <c r="E574" i="4"/>
  <c r="C574" i="4"/>
  <c r="I573" i="4"/>
  <c r="G573" i="4"/>
  <c r="E573" i="4"/>
  <c r="C573" i="4"/>
  <c r="I572" i="4"/>
  <c r="G572" i="4"/>
  <c r="E572" i="4"/>
  <c r="C572" i="4"/>
  <c r="I571" i="4"/>
  <c r="G571" i="4"/>
  <c r="E571" i="4"/>
  <c r="C571" i="4"/>
  <c r="I570" i="4"/>
  <c r="G570" i="4"/>
  <c r="E570" i="4"/>
  <c r="C570" i="4"/>
  <c r="I569" i="4"/>
  <c r="G569" i="4"/>
  <c r="E569" i="4"/>
  <c r="C569" i="4"/>
  <c r="I568" i="4"/>
  <c r="G568" i="4"/>
  <c r="E568" i="4"/>
  <c r="C568" i="4"/>
  <c r="I567" i="4"/>
  <c r="G567" i="4"/>
  <c r="E567" i="4"/>
  <c r="C567" i="4"/>
  <c r="I566" i="4"/>
  <c r="G566" i="4"/>
  <c r="E566" i="4"/>
  <c r="C566" i="4"/>
  <c r="I565" i="4"/>
  <c r="G565" i="4"/>
  <c r="E565" i="4"/>
  <c r="C565" i="4"/>
  <c r="I564" i="4"/>
  <c r="G564" i="4"/>
  <c r="E564" i="4"/>
  <c r="C564" i="4"/>
  <c r="I563" i="4"/>
  <c r="G563" i="4"/>
  <c r="E563" i="4"/>
  <c r="C563" i="4"/>
  <c r="I562" i="4"/>
  <c r="G562" i="4"/>
  <c r="E562" i="4"/>
  <c r="C562" i="4"/>
  <c r="I561" i="4"/>
  <c r="G561" i="4"/>
  <c r="E561" i="4"/>
  <c r="C561" i="4"/>
  <c r="I560" i="4"/>
  <c r="G560" i="4"/>
  <c r="E560" i="4"/>
  <c r="C560" i="4"/>
  <c r="I559" i="4"/>
  <c r="G559" i="4"/>
  <c r="E559" i="4"/>
  <c r="C559" i="4"/>
  <c r="I558" i="4"/>
  <c r="G558" i="4"/>
  <c r="E558" i="4"/>
  <c r="C558" i="4"/>
  <c r="I557" i="4"/>
  <c r="G557" i="4"/>
  <c r="E557" i="4"/>
  <c r="C557" i="4"/>
  <c r="I556" i="4"/>
  <c r="G556" i="4"/>
  <c r="E556" i="4"/>
  <c r="C556" i="4"/>
  <c r="I555" i="4"/>
  <c r="G555" i="4"/>
  <c r="E555" i="4"/>
  <c r="C555" i="4"/>
  <c r="I554" i="4"/>
  <c r="G554" i="4"/>
  <c r="E554" i="4"/>
  <c r="C554" i="4"/>
  <c r="I553" i="4"/>
  <c r="G553" i="4"/>
  <c r="E553" i="4"/>
  <c r="C553" i="4"/>
  <c r="I552" i="4"/>
  <c r="G552" i="4"/>
  <c r="E552" i="4"/>
  <c r="C552" i="4"/>
  <c r="I551" i="4"/>
  <c r="G551" i="4"/>
  <c r="E551" i="4"/>
  <c r="C551" i="4"/>
  <c r="I550" i="4"/>
  <c r="G550" i="4"/>
  <c r="E550" i="4"/>
  <c r="C550" i="4"/>
  <c r="I549" i="4"/>
  <c r="G549" i="4"/>
  <c r="E549" i="4"/>
  <c r="C549" i="4"/>
  <c r="I548" i="4"/>
  <c r="G548" i="4"/>
  <c r="E548" i="4"/>
  <c r="C548" i="4"/>
  <c r="I547" i="4"/>
  <c r="G547" i="4"/>
  <c r="E547" i="4"/>
  <c r="C547" i="4"/>
  <c r="I546" i="4"/>
  <c r="G546" i="4"/>
  <c r="E546" i="4"/>
  <c r="C546" i="4"/>
  <c r="I545" i="4"/>
  <c r="G545" i="4"/>
  <c r="E545" i="4"/>
  <c r="C545" i="4"/>
  <c r="I544" i="4"/>
  <c r="G544" i="4"/>
  <c r="E544" i="4"/>
  <c r="C544" i="4"/>
  <c r="I543" i="4"/>
  <c r="G543" i="4"/>
  <c r="E543" i="4"/>
  <c r="C543" i="4"/>
  <c r="I542" i="4"/>
  <c r="G542" i="4"/>
  <c r="E542" i="4"/>
  <c r="C542" i="4"/>
  <c r="I541" i="4"/>
  <c r="G541" i="4"/>
  <c r="E541" i="4"/>
  <c r="C541" i="4"/>
  <c r="I540" i="4"/>
  <c r="G540" i="4"/>
  <c r="E540" i="4"/>
  <c r="C540" i="4"/>
  <c r="I539" i="4"/>
  <c r="G539" i="4"/>
  <c r="E539" i="4"/>
  <c r="C539" i="4"/>
  <c r="I538" i="4"/>
  <c r="G538" i="4"/>
  <c r="E538" i="4"/>
  <c r="C538" i="4"/>
  <c r="I537" i="4"/>
  <c r="G537" i="4"/>
  <c r="E537" i="4"/>
  <c r="C537" i="4"/>
  <c r="I536" i="4"/>
  <c r="G536" i="4"/>
  <c r="E536" i="4"/>
  <c r="C536" i="4"/>
  <c r="I535" i="4"/>
  <c r="G535" i="4"/>
  <c r="E535" i="4"/>
  <c r="C535" i="4"/>
  <c r="I534" i="4"/>
  <c r="G534" i="4"/>
  <c r="E534" i="4"/>
  <c r="C534" i="4"/>
  <c r="I533" i="4"/>
  <c r="G533" i="4"/>
  <c r="E533" i="4"/>
  <c r="C533" i="4"/>
  <c r="I532" i="4"/>
  <c r="G532" i="4"/>
  <c r="E532" i="4"/>
  <c r="C532" i="4"/>
  <c r="I531" i="4"/>
  <c r="G531" i="4"/>
  <c r="E531" i="4"/>
  <c r="C531" i="4"/>
  <c r="I530" i="4"/>
  <c r="G530" i="4"/>
  <c r="E530" i="4"/>
  <c r="C530" i="4"/>
  <c r="I529" i="4"/>
  <c r="G529" i="4"/>
  <c r="E529" i="4"/>
  <c r="C529" i="4"/>
  <c r="I528" i="4"/>
  <c r="G528" i="4"/>
  <c r="E528" i="4"/>
  <c r="C528" i="4"/>
  <c r="I527" i="4"/>
  <c r="G527" i="4"/>
  <c r="E527" i="4"/>
  <c r="C527" i="4"/>
  <c r="I526" i="4"/>
  <c r="G526" i="4"/>
  <c r="E526" i="4"/>
  <c r="C526" i="4"/>
  <c r="I525" i="4"/>
  <c r="G525" i="4"/>
  <c r="E525" i="4"/>
  <c r="C525" i="4"/>
  <c r="I524" i="4"/>
  <c r="G524" i="4"/>
  <c r="E524" i="4"/>
  <c r="C524" i="4"/>
  <c r="I523" i="4"/>
  <c r="G523" i="4"/>
  <c r="E523" i="4"/>
  <c r="C523" i="4"/>
  <c r="I522" i="4"/>
  <c r="G522" i="4"/>
  <c r="E522" i="4"/>
  <c r="C522" i="4"/>
  <c r="I521" i="4"/>
  <c r="G521" i="4"/>
  <c r="E521" i="4"/>
  <c r="C521" i="4"/>
  <c r="I520" i="4"/>
  <c r="G520" i="4"/>
  <c r="E520" i="4"/>
  <c r="C520" i="4"/>
  <c r="I519" i="4"/>
  <c r="G519" i="4"/>
  <c r="E519" i="4"/>
  <c r="C519" i="4"/>
  <c r="I518" i="4"/>
  <c r="G518" i="4"/>
  <c r="E518" i="4"/>
  <c r="C518" i="4"/>
  <c r="I517" i="4"/>
  <c r="G517" i="4"/>
  <c r="E517" i="4"/>
  <c r="C517" i="4"/>
  <c r="I516" i="4"/>
  <c r="G516" i="4"/>
  <c r="E516" i="4"/>
  <c r="C516" i="4"/>
  <c r="I515" i="4"/>
  <c r="G515" i="4"/>
  <c r="E515" i="4"/>
  <c r="C515" i="4"/>
  <c r="I514" i="4"/>
  <c r="G514" i="4"/>
  <c r="E514" i="4"/>
  <c r="C514" i="4"/>
  <c r="I513" i="4"/>
  <c r="G513" i="4"/>
  <c r="E513" i="4"/>
  <c r="C513" i="4"/>
  <c r="I512" i="4"/>
  <c r="G512" i="4"/>
  <c r="E512" i="4"/>
  <c r="C512" i="4"/>
  <c r="I511" i="4"/>
  <c r="G511" i="4"/>
  <c r="E511" i="4"/>
  <c r="C511" i="4"/>
  <c r="I510" i="4"/>
  <c r="G510" i="4"/>
  <c r="E510" i="4"/>
  <c r="C510" i="4"/>
  <c r="I509" i="4"/>
  <c r="G509" i="4"/>
  <c r="E509" i="4"/>
  <c r="C509" i="4"/>
  <c r="I508" i="4"/>
  <c r="G508" i="4"/>
  <c r="E508" i="4"/>
  <c r="C508" i="4"/>
  <c r="I507" i="4"/>
  <c r="G507" i="4"/>
  <c r="E507" i="4"/>
  <c r="C507" i="4"/>
  <c r="I506" i="4"/>
  <c r="G506" i="4"/>
  <c r="E506" i="4"/>
  <c r="C506" i="4"/>
  <c r="I505" i="4"/>
  <c r="G505" i="4"/>
  <c r="E505" i="4"/>
  <c r="C505" i="4"/>
  <c r="I504" i="4"/>
  <c r="G504" i="4"/>
  <c r="E504" i="4"/>
  <c r="C504" i="4"/>
  <c r="I503" i="4"/>
  <c r="G503" i="4"/>
  <c r="E503" i="4"/>
  <c r="C503" i="4"/>
  <c r="I502" i="4"/>
  <c r="G502" i="4"/>
  <c r="E502" i="4"/>
  <c r="C502" i="4"/>
  <c r="I501" i="4"/>
  <c r="G501" i="4"/>
  <c r="E501" i="4"/>
  <c r="C501" i="4"/>
  <c r="I500" i="4"/>
  <c r="G500" i="4"/>
  <c r="E500" i="4"/>
  <c r="C500" i="4"/>
  <c r="I499" i="4"/>
  <c r="G499" i="4"/>
  <c r="E499" i="4"/>
  <c r="C499" i="4"/>
  <c r="I498" i="4"/>
  <c r="G498" i="4"/>
  <c r="E498" i="4"/>
  <c r="C498" i="4"/>
  <c r="I497" i="4"/>
  <c r="G497" i="4"/>
  <c r="E497" i="4"/>
  <c r="C497" i="4"/>
  <c r="I496" i="4"/>
  <c r="G496" i="4"/>
  <c r="E496" i="4"/>
  <c r="C496" i="4"/>
  <c r="I495" i="4"/>
  <c r="G495" i="4"/>
  <c r="E495" i="4"/>
  <c r="C495" i="4"/>
  <c r="I494" i="4"/>
  <c r="G494" i="4"/>
  <c r="E494" i="4"/>
  <c r="C494" i="4"/>
  <c r="I493" i="4"/>
  <c r="G493" i="4"/>
  <c r="E493" i="4"/>
  <c r="C493" i="4"/>
  <c r="I492" i="4"/>
  <c r="G492" i="4"/>
  <c r="E492" i="4"/>
  <c r="C492" i="4"/>
  <c r="I491" i="4"/>
  <c r="G491" i="4"/>
  <c r="E491" i="4"/>
  <c r="C491" i="4"/>
  <c r="I490" i="4"/>
  <c r="G490" i="4"/>
  <c r="E490" i="4"/>
  <c r="C490" i="4"/>
  <c r="I489" i="4"/>
  <c r="G489" i="4"/>
  <c r="E489" i="4"/>
  <c r="C489" i="4"/>
  <c r="I488" i="4"/>
  <c r="G488" i="4"/>
  <c r="E488" i="4"/>
  <c r="C488" i="4"/>
  <c r="I487" i="4"/>
  <c r="G487" i="4"/>
  <c r="E487" i="4"/>
  <c r="C487" i="4"/>
  <c r="I486" i="4"/>
  <c r="G486" i="4"/>
  <c r="E486" i="4"/>
  <c r="C486" i="4"/>
  <c r="I485" i="4"/>
  <c r="G485" i="4"/>
  <c r="E485" i="4"/>
  <c r="C485" i="4"/>
  <c r="I484" i="4"/>
  <c r="G484" i="4"/>
  <c r="E484" i="4"/>
  <c r="C484" i="4"/>
  <c r="I483" i="4"/>
  <c r="G483" i="4"/>
  <c r="E483" i="4"/>
  <c r="C483" i="4"/>
  <c r="I482" i="4"/>
  <c r="G482" i="4"/>
  <c r="E482" i="4"/>
  <c r="C482" i="4"/>
  <c r="I481" i="4"/>
  <c r="G481" i="4"/>
  <c r="E481" i="4"/>
  <c r="C481" i="4"/>
  <c r="I480" i="4"/>
  <c r="G480" i="4"/>
  <c r="E480" i="4"/>
  <c r="C480" i="4"/>
  <c r="I479" i="4"/>
  <c r="G479" i="4"/>
  <c r="E479" i="4"/>
  <c r="C479" i="4"/>
  <c r="I478" i="4"/>
  <c r="G478" i="4"/>
  <c r="E478" i="4"/>
  <c r="C478" i="4"/>
  <c r="I477" i="4"/>
  <c r="G477" i="4"/>
  <c r="E477" i="4"/>
  <c r="C477" i="4"/>
  <c r="I476" i="4"/>
  <c r="G476" i="4"/>
  <c r="E476" i="4"/>
  <c r="C476" i="4"/>
  <c r="I475" i="4"/>
  <c r="G475" i="4"/>
  <c r="E475" i="4"/>
  <c r="C475" i="4"/>
  <c r="I474" i="4"/>
  <c r="G474" i="4"/>
  <c r="E474" i="4"/>
  <c r="C474" i="4"/>
  <c r="I473" i="4"/>
  <c r="G473" i="4"/>
  <c r="E473" i="4"/>
  <c r="C473" i="4"/>
  <c r="I472" i="4"/>
  <c r="G472" i="4"/>
  <c r="E472" i="4"/>
  <c r="C472" i="4"/>
  <c r="I471" i="4"/>
  <c r="G471" i="4"/>
  <c r="E471" i="4"/>
  <c r="C471" i="4"/>
  <c r="I470" i="4"/>
  <c r="G470" i="4"/>
  <c r="E470" i="4"/>
  <c r="C470" i="4"/>
  <c r="I469" i="4"/>
  <c r="G469" i="4"/>
  <c r="E469" i="4"/>
  <c r="C469" i="4"/>
  <c r="I468" i="4"/>
  <c r="G468" i="4"/>
  <c r="E468" i="4"/>
  <c r="C468" i="4"/>
  <c r="I467" i="4"/>
  <c r="G467" i="4"/>
  <c r="E467" i="4"/>
  <c r="C467" i="4"/>
  <c r="I466" i="4"/>
  <c r="G466" i="4"/>
  <c r="E466" i="4"/>
  <c r="C466" i="4"/>
  <c r="I465" i="4"/>
  <c r="G465" i="4"/>
  <c r="E465" i="4"/>
  <c r="C465" i="4"/>
  <c r="I464" i="4"/>
  <c r="G464" i="4"/>
  <c r="E464" i="4"/>
  <c r="C464" i="4"/>
  <c r="I463" i="4"/>
  <c r="G463" i="4"/>
  <c r="E463" i="4"/>
  <c r="C463" i="4"/>
  <c r="I462" i="4"/>
  <c r="G462" i="4"/>
  <c r="E462" i="4"/>
  <c r="C462" i="4"/>
  <c r="I461" i="4"/>
  <c r="G461" i="4"/>
  <c r="E461" i="4"/>
  <c r="C461" i="4"/>
  <c r="I460" i="4"/>
  <c r="G460" i="4"/>
  <c r="E460" i="4"/>
  <c r="C460" i="4"/>
  <c r="I459" i="4"/>
  <c r="G459" i="4"/>
  <c r="E459" i="4"/>
  <c r="C459" i="4"/>
  <c r="I458" i="4"/>
  <c r="G458" i="4"/>
  <c r="E458" i="4"/>
  <c r="C458" i="4"/>
  <c r="I457" i="4"/>
  <c r="G457" i="4"/>
  <c r="E457" i="4"/>
  <c r="C457" i="4"/>
  <c r="I456" i="4"/>
  <c r="G456" i="4"/>
  <c r="E456" i="4"/>
  <c r="C456" i="4"/>
  <c r="I455" i="4"/>
  <c r="G455" i="4"/>
  <c r="E455" i="4"/>
  <c r="C455" i="4"/>
  <c r="I454" i="4"/>
  <c r="G454" i="4"/>
  <c r="E454" i="4"/>
  <c r="C454" i="4"/>
  <c r="I453" i="4"/>
  <c r="G453" i="4"/>
  <c r="E453" i="4"/>
  <c r="C453" i="4"/>
  <c r="I452" i="4"/>
  <c r="G452" i="4"/>
  <c r="E452" i="4"/>
  <c r="C452" i="4"/>
  <c r="I451" i="4"/>
  <c r="G451" i="4"/>
  <c r="E451" i="4"/>
  <c r="C451" i="4"/>
  <c r="I450" i="4"/>
  <c r="G450" i="4"/>
  <c r="E450" i="4"/>
  <c r="C450" i="4"/>
  <c r="I449" i="4"/>
  <c r="G449" i="4"/>
  <c r="E449" i="4"/>
  <c r="C449" i="4"/>
  <c r="I448" i="4"/>
  <c r="G448" i="4"/>
  <c r="E448" i="4"/>
  <c r="C448" i="4"/>
  <c r="I447" i="4"/>
  <c r="G447" i="4"/>
  <c r="E447" i="4"/>
  <c r="C447" i="4"/>
  <c r="I446" i="4"/>
  <c r="G446" i="4"/>
  <c r="E446" i="4"/>
  <c r="C446" i="4"/>
  <c r="I445" i="4"/>
  <c r="G445" i="4"/>
  <c r="E445" i="4"/>
  <c r="C445" i="4"/>
  <c r="I444" i="4"/>
  <c r="G444" i="4"/>
  <c r="E444" i="4"/>
  <c r="C444" i="4"/>
  <c r="I443" i="4"/>
  <c r="G443" i="4"/>
  <c r="E443" i="4"/>
  <c r="C443" i="4"/>
  <c r="I442" i="4"/>
  <c r="G442" i="4"/>
  <c r="E442" i="4"/>
  <c r="C442" i="4"/>
  <c r="I441" i="4"/>
  <c r="G441" i="4"/>
  <c r="E441" i="4"/>
  <c r="C441" i="4"/>
  <c r="I440" i="4"/>
  <c r="G440" i="4"/>
  <c r="E440" i="4"/>
  <c r="C440" i="4"/>
  <c r="I439" i="4"/>
  <c r="G439" i="4"/>
  <c r="E439" i="4"/>
  <c r="C439" i="4"/>
  <c r="I438" i="4"/>
  <c r="G438" i="4"/>
  <c r="E438" i="4"/>
  <c r="C438" i="4"/>
  <c r="I437" i="4"/>
  <c r="G437" i="4"/>
  <c r="E437" i="4"/>
  <c r="C437" i="4"/>
  <c r="I436" i="4"/>
  <c r="G436" i="4"/>
  <c r="E436" i="4"/>
  <c r="C436" i="4"/>
  <c r="I435" i="4"/>
  <c r="G435" i="4"/>
  <c r="E435" i="4"/>
  <c r="C435" i="4"/>
  <c r="I434" i="4"/>
  <c r="G434" i="4"/>
  <c r="E434" i="4"/>
  <c r="C434" i="4"/>
  <c r="I433" i="4"/>
  <c r="G433" i="4"/>
  <c r="E433" i="4"/>
  <c r="C433" i="4"/>
  <c r="I432" i="4"/>
  <c r="G432" i="4"/>
  <c r="E432" i="4"/>
  <c r="C432" i="4"/>
  <c r="I431" i="4"/>
  <c r="G431" i="4"/>
  <c r="E431" i="4"/>
  <c r="C431" i="4"/>
  <c r="I430" i="4"/>
  <c r="G430" i="4"/>
  <c r="E430" i="4"/>
  <c r="C430" i="4"/>
  <c r="I429" i="4"/>
  <c r="G429" i="4"/>
  <c r="E429" i="4"/>
  <c r="C429" i="4"/>
  <c r="I428" i="4"/>
  <c r="G428" i="4"/>
  <c r="E428" i="4"/>
  <c r="C428" i="4"/>
  <c r="I427" i="4"/>
  <c r="G427" i="4"/>
  <c r="E427" i="4"/>
  <c r="C427" i="4"/>
  <c r="I426" i="4"/>
  <c r="G426" i="4"/>
  <c r="E426" i="4"/>
  <c r="C426" i="4"/>
  <c r="I425" i="4"/>
  <c r="G425" i="4"/>
  <c r="E425" i="4"/>
  <c r="C425" i="4"/>
  <c r="I424" i="4"/>
  <c r="G424" i="4"/>
  <c r="E424" i="4"/>
  <c r="C424" i="4"/>
  <c r="I423" i="4"/>
  <c r="G423" i="4"/>
  <c r="E423" i="4"/>
  <c r="C423" i="4"/>
  <c r="I422" i="4"/>
  <c r="G422" i="4"/>
  <c r="E422" i="4"/>
  <c r="C422" i="4"/>
  <c r="I421" i="4"/>
  <c r="G421" i="4"/>
  <c r="E421" i="4"/>
  <c r="C421" i="4"/>
  <c r="I420" i="4"/>
  <c r="G420" i="4"/>
  <c r="E420" i="4"/>
  <c r="C420" i="4"/>
  <c r="I419" i="4"/>
  <c r="G419" i="4"/>
  <c r="E419" i="4"/>
  <c r="C419" i="4"/>
  <c r="I418" i="4"/>
  <c r="G418" i="4"/>
  <c r="E418" i="4"/>
  <c r="C418" i="4"/>
  <c r="I417" i="4"/>
  <c r="G417" i="4"/>
  <c r="E417" i="4"/>
  <c r="C417" i="4"/>
  <c r="I416" i="4"/>
  <c r="G416" i="4"/>
  <c r="E416" i="4"/>
  <c r="C416" i="4"/>
  <c r="I415" i="4"/>
  <c r="G415" i="4"/>
  <c r="E415" i="4"/>
  <c r="C415" i="4"/>
  <c r="I414" i="4"/>
  <c r="G414" i="4"/>
  <c r="E414" i="4"/>
  <c r="C414" i="4"/>
  <c r="I413" i="4"/>
  <c r="G413" i="4"/>
  <c r="E413" i="4"/>
  <c r="C413" i="4"/>
  <c r="I412" i="4"/>
  <c r="G412" i="4"/>
  <c r="E412" i="4"/>
  <c r="C412" i="4"/>
  <c r="I411" i="4"/>
  <c r="G411" i="4"/>
  <c r="E411" i="4"/>
  <c r="C411" i="4"/>
  <c r="I410" i="4"/>
  <c r="G410" i="4"/>
  <c r="E410" i="4"/>
  <c r="C410" i="4"/>
  <c r="I409" i="4"/>
  <c r="G409" i="4"/>
  <c r="E409" i="4"/>
  <c r="C409" i="4"/>
  <c r="I408" i="4"/>
  <c r="G408" i="4"/>
  <c r="E408" i="4"/>
  <c r="C408" i="4"/>
  <c r="I407" i="4"/>
  <c r="G407" i="4"/>
  <c r="E407" i="4"/>
  <c r="C407" i="4"/>
  <c r="I406" i="4"/>
  <c r="G406" i="4"/>
  <c r="E406" i="4"/>
  <c r="C406" i="4"/>
  <c r="I405" i="4"/>
  <c r="G405" i="4"/>
  <c r="E405" i="4"/>
  <c r="C405" i="4"/>
  <c r="I404" i="4"/>
  <c r="G404" i="4"/>
  <c r="E404" i="4"/>
  <c r="C404" i="4"/>
  <c r="I403" i="4"/>
  <c r="G403" i="4"/>
  <c r="E403" i="4"/>
  <c r="C403" i="4"/>
  <c r="I402" i="4"/>
  <c r="G402" i="4"/>
  <c r="E402" i="4"/>
  <c r="C402" i="4"/>
  <c r="I401" i="4"/>
  <c r="G401" i="4"/>
  <c r="E401" i="4"/>
  <c r="C401" i="4"/>
  <c r="I400" i="4"/>
  <c r="G400" i="4"/>
  <c r="E400" i="4"/>
  <c r="C400" i="4"/>
  <c r="I399" i="4"/>
  <c r="G399" i="4"/>
  <c r="E399" i="4"/>
  <c r="C399" i="4"/>
  <c r="I398" i="4"/>
  <c r="G398" i="4"/>
  <c r="E398" i="4"/>
  <c r="C398" i="4"/>
  <c r="I397" i="4"/>
  <c r="G397" i="4"/>
  <c r="E397" i="4"/>
  <c r="C397" i="4"/>
  <c r="I396" i="4"/>
  <c r="G396" i="4"/>
  <c r="E396" i="4"/>
  <c r="C396" i="4"/>
  <c r="I395" i="4"/>
  <c r="G395" i="4"/>
  <c r="E395" i="4"/>
  <c r="C395" i="4"/>
  <c r="I394" i="4"/>
  <c r="G394" i="4"/>
  <c r="E394" i="4"/>
  <c r="C394" i="4"/>
  <c r="I393" i="4"/>
  <c r="G393" i="4"/>
  <c r="E393" i="4"/>
  <c r="C393" i="4"/>
  <c r="I392" i="4"/>
  <c r="G392" i="4"/>
  <c r="E392" i="4"/>
  <c r="C392" i="4"/>
  <c r="I391" i="4"/>
  <c r="G391" i="4"/>
  <c r="E391" i="4"/>
  <c r="C391" i="4"/>
  <c r="I390" i="4"/>
  <c r="G390" i="4"/>
  <c r="E390" i="4"/>
  <c r="C390" i="4"/>
  <c r="I389" i="4"/>
  <c r="G389" i="4"/>
  <c r="E389" i="4"/>
  <c r="C389" i="4"/>
  <c r="I388" i="4"/>
  <c r="G388" i="4"/>
  <c r="E388" i="4"/>
  <c r="C388" i="4"/>
  <c r="I387" i="4"/>
  <c r="G387" i="4"/>
  <c r="E387" i="4"/>
  <c r="C387" i="4"/>
  <c r="I386" i="4"/>
  <c r="G386" i="4"/>
  <c r="E386" i="4"/>
  <c r="C386" i="4"/>
  <c r="I385" i="4"/>
  <c r="G385" i="4"/>
  <c r="E385" i="4"/>
  <c r="C385" i="4"/>
  <c r="I384" i="4"/>
  <c r="G384" i="4"/>
  <c r="E384" i="4"/>
  <c r="C384" i="4"/>
  <c r="I383" i="4"/>
  <c r="G383" i="4"/>
  <c r="E383" i="4"/>
  <c r="C383" i="4"/>
  <c r="I382" i="4"/>
  <c r="G382" i="4"/>
  <c r="E382" i="4"/>
  <c r="C382" i="4"/>
  <c r="I381" i="4"/>
  <c r="G381" i="4"/>
  <c r="E381" i="4"/>
  <c r="C381" i="4"/>
  <c r="I380" i="4"/>
  <c r="G380" i="4"/>
  <c r="E380" i="4"/>
  <c r="C380" i="4"/>
  <c r="I379" i="4"/>
  <c r="G379" i="4"/>
  <c r="E379" i="4"/>
  <c r="C379" i="4"/>
  <c r="I378" i="4"/>
  <c r="G378" i="4"/>
  <c r="E378" i="4"/>
  <c r="C378" i="4"/>
  <c r="I377" i="4"/>
  <c r="G377" i="4"/>
  <c r="E377" i="4"/>
  <c r="C377" i="4"/>
  <c r="I376" i="4"/>
  <c r="G376" i="4"/>
  <c r="E376" i="4"/>
  <c r="C376" i="4"/>
  <c r="I375" i="4"/>
  <c r="G375" i="4"/>
  <c r="E375" i="4"/>
  <c r="C375" i="4"/>
  <c r="I374" i="4"/>
  <c r="G374" i="4"/>
  <c r="E374" i="4"/>
  <c r="C374" i="4"/>
  <c r="I373" i="4"/>
  <c r="G373" i="4"/>
  <c r="E373" i="4"/>
  <c r="C373" i="4"/>
  <c r="I372" i="4"/>
  <c r="G372" i="4"/>
  <c r="E372" i="4"/>
  <c r="C372" i="4"/>
  <c r="I371" i="4"/>
  <c r="G371" i="4"/>
  <c r="E371" i="4"/>
  <c r="C371" i="4"/>
  <c r="I370" i="4"/>
  <c r="G370" i="4"/>
  <c r="E370" i="4"/>
  <c r="C370" i="4"/>
  <c r="I369" i="4"/>
  <c r="G369" i="4"/>
  <c r="E369" i="4"/>
  <c r="C369" i="4"/>
  <c r="I368" i="4"/>
  <c r="G368" i="4"/>
  <c r="E368" i="4"/>
  <c r="C368" i="4"/>
  <c r="I367" i="4"/>
  <c r="G367" i="4"/>
  <c r="E367" i="4"/>
  <c r="C367" i="4"/>
  <c r="I366" i="4"/>
  <c r="G366" i="4"/>
  <c r="E366" i="4"/>
  <c r="C366" i="4"/>
  <c r="I365" i="4"/>
  <c r="G365" i="4"/>
  <c r="E365" i="4"/>
  <c r="C365" i="4"/>
  <c r="I364" i="4"/>
  <c r="G364" i="4"/>
  <c r="E364" i="4"/>
  <c r="C364" i="4"/>
  <c r="I363" i="4"/>
  <c r="G363" i="4"/>
  <c r="E363" i="4"/>
  <c r="C363" i="4"/>
  <c r="I362" i="4"/>
  <c r="G362" i="4"/>
  <c r="E362" i="4"/>
  <c r="C362" i="4"/>
  <c r="I361" i="4"/>
  <c r="G361" i="4"/>
  <c r="E361" i="4"/>
  <c r="C361" i="4"/>
  <c r="I360" i="4"/>
  <c r="G360" i="4"/>
  <c r="E360" i="4"/>
  <c r="C360" i="4"/>
  <c r="I359" i="4"/>
  <c r="G359" i="4"/>
  <c r="E359" i="4"/>
  <c r="C359" i="4"/>
  <c r="I358" i="4"/>
  <c r="G358" i="4"/>
  <c r="E358" i="4"/>
  <c r="C358" i="4"/>
  <c r="I357" i="4"/>
  <c r="G357" i="4"/>
  <c r="E357" i="4"/>
  <c r="C357" i="4"/>
  <c r="I356" i="4"/>
  <c r="G356" i="4"/>
  <c r="E356" i="4"/>
  <c r="C356" i="4"/>
  <c r="I355" i="4"/>
  <c r="G355" i="4"/>
  <c r="E355" i="4"/>
  <c r="C355" i="4"/>
  <c r="I354" i="4"/>
  <c r="G354" i="4"/>
  <c r="E354" i="4"/>
  <c r="C354" i="4"/>
  <c r="I353" i="4"/>
  <c r="G353" i="4"/>
  <c r="E353" i="4"/>
  <c r="C353" i="4"/>
  <c r="I352" i="4"/>
  <c r="G352" i="4"/>
  <c r="E352" i="4"/>
  <c r="C352" i="4"/>
  <c r="I351" i="4"/>
  <c r="G351" i="4"/>
  <c r="E351" i="4"/>
  <c r="C351" i="4"/>
  <c r="I350" i="4"/>
  <c r="G350" i="4"/>
  <c r="E350" i="4"/>
  <c r="C350" i="4"/>
  <c r="I349" i="4"/>
  <c r="G349" i="4"/>
  <c r="E349" i="4"/>
  <c r="C349" i="4"/>
  <c r="I348" i="4"/>
  <c r="G348" i="4"/>
  <c r="E348" i="4"/>
  <c r="C348" i="4"/>
  <c r="I347" i="4"/>
  <c r="G347" i="4"/>
  <c r="E347" i="4"/>
  <c r="C347" i="4"/>
  <c r="I346" i="4"/>
  <c r="G346" i="4"/>
  <c r="E346" i="4"/>
  <c r="C346" i="4"/>
  <c r="I345" i="4"/>
  <c r="G345" i="4"/>
  <c r="E345" i="4"/>
  <c r="C345" i="4"/>
  <c r="I344" i="4"/>
  <c r="G344" i="4"/>
  <c r="E344" i="4"/>
  <c r="C344" i="4"/>
  <c r="I343" i="4"/>
  <c r="G343" i="4"/>
  <c r="E343" i="4"/>
  <c r="C343" i="4"/>
  <c r="I342" i="4"/>
  <c r="G342" i="4"/>
  <c r="E342" i="4"/>
  <c r="C342" i="4"/>
  <c r="I341" i="4"/>
  <c r="G341" i="4"/>
  <c r="E341" i="4"/>
  <c r="C341" i="4"/>
  <c r="I340" i="4"/>
  <c r="G340" i="4"/>
  <c r="E340" i="4"/>
  <c r="C340" i="4"/>
  <c r="I339" i="4"/>
  <c r="G339" i="4"/>
  <c r="E339" i="4"/>
  <c r="C339" i="4"/>
  <c r="I338" i="4"/>
  <c r="G338" i="4"/>
  <c r="E338" i="4"/>
  <c r="C338" i="4"/>
  <c r="I337" i="4"/>
  <c r="G337" i="4"/>
  <c r="E337" i="4"/>
  <c r="C337" i="4"/>
  <c r="I336" i="4"/>
  <c r="G336" i="4"/>
  <c r="E336" i="4"/>
  <c r="C336" i="4"/>
  <c r="I335" i="4"/>
  <c r="G335" i="4"/>
  <c r="E335" i="4"/>
  <c r="C335" i="4"/>
  <c r="I334" i="4"/>
  <c r="G334" i="4"/>
  <c r="E334" i="4"/>
  <c r="C334" i="4"/>
  <c r="I333" i="4"/>
  <c r="G333" i="4"/>
  <c r="E333" i="4"/>
  <c r="C333" i="4"/>
  <c r="I332" i="4"/>
  <c r="G332" i="4"/>
  <c r="E332" i="4"/>
  <c r="C332" i="4"/>
  <c r="I331" i="4"/>
  <c r="G331" i="4"/>
  <c r="E331" i="4"/>
  <c r="C331" i="4"/>
  <c r="I330" i="4"/>
  <c r="G330" i="4"/>
  <c r="E330" i="4"/>
  <c r="C330" i="4"/>
  <c r="I329" i="4"/>
  <c r="G329" i="4"/>
  <c r="E329" i="4"/>
  <c r="C329" i="4"/>
  <c r="I328" i="4"/>
  <c r="G328" i="4"/>
  <c r="E328" i="4"/>
  <c r="C328" i="4"/>
  <c r="I327" i="4"/>
  <c r="G327" i="4"/>
  <c r="E327" i="4"/>
  <c r="C327" i="4"/>
  <c r="I326" i="4"/>
  <c r="G326" i="4"/>
  <c r="E326" i="4"/>
  <c r="C326" i="4"/>
  <c r="I325" i="4"/>
  <c r="G325" i="4"/>
  <c r="E325" i="4"/>
  <c r="C325" i="4"/>
  <c r="I324" i="4"/>
  <c r="G324" i="4"/>
  <c r="E324" i="4"/>
  <c r="C324" i="4"/>
  <c r="I323" i="4"/>
  <c r="G323" i="4"/>
  <c r="E323" i="4"/>
  <c r="C323" i="4"/>
  <c r="I322" i="4"/>
  <c r="G322" i="4"/>
  <c r="E322" i="4"/>
  <c r="C322" i="4"/>
  <c r="I321" i="4"/>
  <c r="G321" i="4"/>
  <c r="E321" i="4"/>
  <c r="C321" i="4"/>
  <c r="I320" i="4"/>
  <c r="G320" i="4"/>
  <c r="E320" i="4"/>
  <c r="C320" i="4"/>
  <c r="I319" i="4"/>
  <c r="G319" i="4"/>
  <c r="E319" i="4"/>
  <c r="C319" i="4"/>
  <c r="I318" i="4"/>
  <c r="G318" i="4"/>
  <c r="E318" i="4"/>
  <c r="C318" i="4"/>
  <c r="I317" i="4"/>
  <c r="G317" i="4"/>
  <c r="E317" i="4"/>
  <c r="C317" i="4"/>
  <c r="I316" i="4"/>
  <c r="G316" i="4"/>
  <c r="E316" i="4"/>
  <c r="C316" i="4"/>
  <c r="I315" i="4"/>
  <c r="G315" i="4"/>
  <c r="E315" i="4"/>
  <c r="C315" i="4"/>
  <c r="I314" i="4"/>
  <c r="G314" i="4"/>
  <c r="E314" i="4"/>
  <c r="C314" i="4"/>
  <c r="I313" i="4"/>
  <c r="G313" i="4"/>
  <c r="E313" i="4"/>
  <c r="C313" i="4"/>
  <c r="I312" i="4"/>
  <c r="G312" i="4"/>
  <c r="E312" i="4"/>
  <c r="C312" i="4"/>
  <c r="I311" i="4"/>
  <c r="G311" i="4"/>
  <c r="E311" i="4"/>
  <c r="C311" i="4"/>
  <c r="I310" i="4"/>
  <c r="G310" i="4"/>
  <c r="E310" i="4"/>
  <c r="C310" i="4"/>
  <c r="I309" i="4"/>
  <c r="G309" i="4"/>
  <c r="E309" i="4"/>
  <c r="C309" i="4"/>
  <c r="I308" i="4"/>
  <c r="G308" i="4"/>
  <c r="E308" i="4"/>
  <c r="C308" i="4"/>
  <c r="I307" i="4"/>
  <c r="G307" i="4"/>
  <c r="E307" i="4"/>
  <c r="C307" i="4"/>
  <c r="I306" i="4"/>
  <c r="G306" i="4"/>
  <c r="E306" i="4"/>
  <c r="C306" i="4"/>
  <c r="I305" i="4"/>
  <c r="G305" i="4"/>
  <c r="E305" i="4"/>
  <c r="C305" i="4"/>
  <c r="I304" i="4"/>
  <c r="G304" i="4"/>
  <c r="E304" i="4"/>
  <c r="C304" i="4"/>
  <c r="I303" i="4"/>
  <c r="G303" i="4"/>
  <c r="E303" i="4"/>
  <c r="C303" i="4"/>
  <c r="I302" i="4"/>
  <c r="G302" i="4"/>
  <c r="E302" i="4"/>
  <c r="C302" i="4"/>
  <c r="I301" i="4"/>
  <c r="G301" i="4"/>
  <c r="E301" i="4"/>
  <c r="C301" i="4"/>
  <c r="I300" i="4"/>
  <c r="G300" i="4"/>
  <c r="E300" i="4"/>
  <c r="C300" i="4"/>
  <c r="I299" i="4"/>
  <c r="G299" i="4"/>
  <c r="E299" i="4"/>
  <c r="C299" i="4"/>
  <c r="I298" i="4"/>
  <c r="G298" i="4"/>
  <c r="E298" i="4"/>
  <c r="C298" i="4"/>
  <c r="I297" i="4"/>
  <c r="G297" i="4"/>
  <c r="E297" i="4"/>
  <c r="C297" i="4"/>
  <c r="I296" i="4"/>
  <c r="G296" i="4"/>
  <c r="E296" i="4"/>
  <c r="C296" i="4"/>
  <c r="I295" i="4"/>
  <c r="G295" i="4"/>
  <c r="E295" i="4"/>
  <c r="C295" i="4"/>
  <c r="I294" i="4"/>
  <c r="G294" i="4"/>
  <c r="E294" i="4"/>
  <c r="C294" i="4"/>
  <c r="I293" i="4"/>
  <c r="G293" i="4"/>
  <c r="E293" i="4"/>
  <c r="C293" i="4"/>
  <c r="I292" i="4"/>
  <c r="G292" i="4"/>
  <c r="E292" i="4"/>
  <c r="C292" i="4"/>
  <c r="I291" i="4"/>
  <c r="G291" i="4"/>
  <c r="E291" i="4"/>
  <c r="C291" i="4"/>
  <c r="I290" i="4"/>
  <c r="G290" i="4"/>
  <c r="E290" i="4"/>
  <c r="C290" i="4"/>
  <c r="I289" i="4"/>
  <c r="G289" i="4"/>
  <c r="E289" i="4"/>
  <c r="C289" i="4"/>
  <c r="I288" i="4"/>
  <c r="G288" i="4"/>
  <c r="E288" i="4"/>
  <c r="C288" i="4"/>
  <c r="I287" i="4"/>
  <c r="G287" i="4"/>
  <c r="E287" i="4"/>
  <c r="C287" i="4"/>
  <c r="I286" i="4"/>
  <c r="G286" i="4"/>
  <c r="E286" i="4"/>
  <c r="C286" i="4"/>
  <c r="I285" i="4"/>
  <c r="G285" i="4"/>
  <c r="E285" i="4"/>
  <c r="C285" i="4"/>
  <c r="I284" i="4"/>
  <c r="G284" i="4"/>
  <c r="E284" i="4"/>
  <c r="C284" i="4"/>
  <c r="I283" i="4"/>
  <c r="G283" i="4"/>
  <c r="E283" i="4"/>
  <c r="C283" i="4"/>
  <c r="I282" i="4"/>
  <c r="G282" i="4"/>
  <c r="E282" i="4"/>
  <c r="C282" i="4"/>
  <c r="I281" i="4"/>
  <c r="G281" i="4"/>
  <c r="E281" i="4"/>
  <c r="C281" i="4"/>
  <c r="I280" i="4"/>
  <c r="G280" i="4"/>
  <c r="E280" i="4"/>
  <c r="C280" i="4"/>
  <c r="I279" i="4"/>
  <c r="G279" i="4"/>
  <c r="E279" i="4"/>
  <c r="C279" i="4"/>
  <c r="I278" i="4"/>
  <c r="G278" i="4"/>
  <c r="E278" i="4"/>
  <c r="C278" i="4"/>
  <c r="I277" i="4"/>
  <c r="G277" i="4"/>
  <c r="E277" i="4"/>
  <c r="C277" i="4"/>
  <c r="I276" i="4"/>
  <c r="G276" i="4"/>
  <c r="E276" i="4"/>
  <c r="C276" i="4"/>
  <c r="I275" i="4"/>
  <c r="G275" i="4"/>
  <c r="E275" i="4"/>
  <c r="C275" i="4"/>
  <c r="I274" i="4"/>
  <c r="G274" i="4"/>
  <c r="E274" i="4"/>
  <c r="C274" i="4"/>
  <c r="I273" i="4"/>
  <c r="G273" i="4"/>
  <c r="E273" i="4"/>
  <c r="C273" i="4"/>
  <c r="I272" i="4"/>
  <c r="G272" i="4"/>
  <c r="E272" i="4"/>
  <c r="C272" i="4"/>
  <c r="I271" i="4"/>
  <c r="G271" i="4"/>
  <c r="E271" i="4"/>
  <c r="C271" i="4"/>
  <c r="I270" i="4"/>
  <c r="G270" i="4"/>
  <c r="E270" i="4"/>
  <c r="C270" i="4"/>
  <c r="I269" i="4"/>
  <c r="G269" i="4"/>
  <c r="E269" i="4"/>
  <c r="C269" i="4"/>
  <c r="I268" i="4"/>
  <c r="G268" i="4"/>
  <c r="E268" i="4"/>
  <c r="C268" i="4"/>
  <c r="I267" i="4"/>
  <c r="G267" i="4"/>
  <c r="E267" i="4"/>
  <c r="C267" i="4"/>
  <c r="I266" i="4"/>
  <c r="G266" i="4"/>
  <c r="E266" i="4"/>
  <c r="C266" i="4"/>
  <c r="I265" i="4"/>
  <c r="G265" i="4"/>
  <c r="E265" i="4"/>
  <c r="C265" i="4"/>
  <c r="I264" i="4"/>
  <c r="G264" i="4"/>
  <c r="E264" i="4"/>
  <c r="C264" i="4"/>
  <c r="I263" i="4"/>
  <c r="G263" i="4"/>
  <c r="E263" i="4"/>
  <c r="C263" i="4"/>
  <c r="I262" i="4"/>
  <c r="G262" i="4"/>
  <c r="E262" i="4"/>
  <c r="C262" i="4"/>
  <c r="I261" i="4"/>
  <c r="G261" i="4"/>
  <c r="E261" i="4"/>
  <c r="C261" i="4"/>
  <c r="I260" i="4"/>
  <c r="G260" i="4"/>
  <c r="E260" i="4"/>
  <c r="C260" i="4"/>
  <c r="I259" i="4"/>
  <c r="G259" i="4"/>
  <c r="E259" i="4"/>
  <c r="C259" i="4"/>
  <c r="I258" i="4"/>
  <c r="G258" i="4"/>
  <c r="E258" i="4"/>
  <c r="C258" i="4"/>
  <c r="I257" i="4"/>
  <c r="G257" i="4"/>
  <c r="E257" i="4"/>
  <c r="C257" i="4"/>
  <c r="I256" i="4"/>
  <c r="G256" i="4"/>
  <c r="E256" i="4"/>
  <c r="C256" i="4"/>
  <c r="I255" i="4"/>
  <c r="G255" i="4"/>
  <c r="E255" i="4"/>
  <c r="C255" i="4"/>
  <c r="I254" i="4"/>
  <c r="G254" i="4"/>
  <c r="E254" i="4"/>
  <c r="C254" i="4"/>
  <c r="I253" i="4"/>
  <c r="G253" i="4"/>
  <c r="E253" i="4"/>
  <c r="C253" i="4"/>
  <c r="I252" i="4"/>
  <c r="G252" i="4"/>
  <c r="E252" i="4"/>
  <c r="C252" i="4"/>
  <c r="I251" i="4"/>
  <c r="G251" i="4"/>
  <c r="E251" i="4"/>
  <c r="C251" i="4"/>
  <c r="I250" i="4"/>
  <c r="G250" i="4"/>
  <c r="E250" i="4"/>
  <c r="C250" i="4"/>
  <c r="I249" i="4"/>
  <c r="G249" i="4"/>
  <c r="E249" i="4"/>
  <c r="C249" i="4"/>
  <c r="I248" i="4"/>
  <c r="G248" i="4"/>
  <c r="E248" i="4"/>
  <c r="C248" i="4"/>
  <c r="I247" i="4"/>
  <c r="G247" i="4"/>
  <c r="E247" i="4"/>
  <c r="C247" i="4"/>
  <c r="I246" i="4"/>
  <c r="G246" i="4"/>
  <c r="E246" i="4"/>
  <c r="C246" i="4"/>
  <c r="I245" i="4"/>
  <c r="G245" i="4"/>
  <c r="E245" i="4"/>
  <c r="C245" i="4"/>
  <c r="I244" i="4"/>
  <c r="G244" i="4"/>
  <c r="E244" i="4"/>
  <c r="C244" i="4"/>
  <c r="I243" i="4"/>
  <c r="G243" i="4"/>
  <c r="E243" i="4"/>
  <c r="C243" i="4"/>
  <c r="I242" i="4"/>
  <c r="G242" i="4"/>
  <c r="E242" i="4"/>
  <c r="C242" i="4"/>
  <c r="I241" i="4"/>
  <c r="G241" i="4"/>
  <c r="E241" i="4"/>
  <c r="C241" i="4"/>
  <c r="I240" i="4"/>
  <c r="G240" i="4"/>
  <c r="E240" i="4"/>
  <c r="C240" i="4"/>
  <c r="I239" i="4"/>
  <c r="G239" i="4"/>
  <c r="E239" i="4"/>
  <c r="C239" i="4"/>
  <c r="I238" i="4"/>
  <c r="G238" i="4"/>
  <c r="E238" i="4"/>
  <c r="C238" i="4"/>
  <c r="I237" i="4"/>
  <c r="G237" i="4"/>
  <c r="E237" i="4"/>
  <c r="C237" i="4"/>
  <c r="I236" i="4"/>
  <c r="G236" i="4"/>
  <c r="E236" i="4"/>
  <c r="C236" i="4"/>
  <c r="I235" i="4"/>
  <c r="G235" i="4"/>
  <c r="E235" i="4"/>
  <c r="C235" i="4"/>
  <c r="I234" i="4"/>
  <c r="G234" i="4"/>
  <c r="E234" i="4"/>
  <c r="C234" i="4"/>
  <c r="I233" i="4"/>
  <c r="G233" i="4"/>
  <c r="E233" i="4"/>
  <c r="C233" i="4"/>
  <c r="I232" i="4"/>
  <c r="G232" i="4"/>
  <c r="E232" i="4"/>
  <c r="C232" i="4"/>
  <c r="I231" i="4"/>
  <c r="G231" i="4"/>
  <c r="E231" i="4"/>
  <c r="C231" i="4"/>
  <c r="I230" i="4"/>
  <c r="G230" i="4"/>
  <c r="E230" i="4"/>
  <c r="C230" i="4"/>
  <c r="I229" i="4"/>
  <c r="G229" i="4"/>
  <c r="E229" i="4"/>
  <c r="C229" i="4"/>
  <c r="I228" i="4"/>
  <c r="G228" i="4"/>
  <c r="E228" i="4"/>
  <c r="C228" i="4"/>
  <c r="I227" i="4"/>
  <c r="G227" i="4"/>
  <c r="E227" i="4"/>
  <c r="C227" i="4"/>
  <c r="I226" i="4"/>
  <c r="G226" i="4"/>
  <c r="E226" i="4"/>
  <c r="C226" i="4"/>
  <c r="I225" i="4"/>
  <c r="G225" i="4"/>
  <c r="E225" i="4"/>
  <c r="C225" i="4"/>
  <c r="I224" i="4"/>
  <c r="G224" i="4"/>
  <c r="E224" i="4"/>
  <c r="C224" i="4"/>
  <c r="I223" i="4"/>
  <c r="G223" i="4"/>
  <c r="E223" i="4"/>
  <c r="C223" i="4"/>
  <c r="I222" i="4"/>
  <c r="G222" i="4"/>
  <c r="E222" i="4"/>
  <c r="C222" i="4"/>
  <c r="I221" i="4"/>
  <c r="G221" i="4"/>
  <c r="E221" i="4"/>
  <c r="C221" i="4"/>
  <c r="I220" i="4"/>
  <c r="G220" i="4"/>
  <c r="E220" i="4"/>
  <c r="C220" i="4"/>
  <c r="I219" i="4"/>
  <c r="G219" i="4"/>
  <c r="E219" i="4"/>
  <c r="C219" i="4"/>
  <c r="I218" i="4"/>
  <c r="G218" i="4"/>
  <c r="E218" i="4"/>
  <c r="C218" i="4"/>
  <c r="I217" i="4"/>
  <c r="G217" i="4"/>
  <c r="E217" i="4"/>
  <c r="C217" i="4"/>
  <c r="I216" i="4"/>
  <c r="G216" i="4"/>
  <c r="E216" i="4"/>
  <c r="C216" i="4"/>
  <c r="I215" i="4"/>
  <c r="G215" i="4"/>
  <c r="E215" i="4"/>
  <c r="C215" i="4"/>
  <c r="I214" i="4"/>
  <c r="G214" i="4"/>
  <c r="E214" i="4"/>
  <c r="C214" i="4"/>
  <c r="I213" i="4"/>
  <c r="G213" i="4"/>
  <c r="E213" i="4"/>
  <c r="C213" i="4"/>
  <c r="I212" i="4"/>
  <c r="G212" i="4"/>
  <c r="E212" i="4"/>
  <c r="C212" i="4"/>
  <c r="I211" i="4"/>
  <c r="G211" i="4"/>
  <c r="E211" i="4"/>
  <c r="C211" i="4"/>
  <c r="I210" i="4"/>
  <c r="G210" i="4"/>
  <c r="E210" i="4"/>
  <c r="C210" i="4"/>
  <c r="I209" i="4"/>
  <c r="G209" i="4"/>
  <c r="E209" i="4"/>
  <c r="C209" i="4"/>
  <c r="I208" i="4"/>
  <c r="G208" i="4"/>
  <c r="E208" i="4"/>
  <c r="C208" i="4"/>
  <c r="I207" i="4"/>
  <c r="G207" i="4"/>
  <c r="E207" i="4"/>
  <c r="C207" i="4"/>
  <c r="I206" i="4"/>
  <c r="G206" i="4"/>
  <c r="E206" i="4"/>
  <c r="C206" i="4"/>
  <c r="I205" i="4"/>
  <c r="G205" i="4"/>
  <c r="E205" i="4"/>
  <c r="C205" i="4"/>
  <c r="I204" i="4"/>
  <c r="G204" i="4"/>
  <c r="E204" i="4"/>
  <c r="C204" i="4"/>
  <c r="I203" i="4"/>
  <c r="G203" i="4"/>
  <c r="E203" i="4"/>
  <c r="C203" i="4"/>
  <c r="I202" i="4"/>
  <c r="G202" i="4"/>
  <c r="E202" i="4"/>
  <c r="C202" i="4"/>
  <c r="I201" i="4"/>
  <c r="G201" i="4"/>
  <c r="E201" i="4"/>
  <c r="C201" i="4"/>
  <c r="I200" i="4"/>
  <c r="G200" i="4"/>
  <c r="E200" i="4"/>
  <c r="C200" i="4"/>
  <c r="I199" i="4"/>
  <c r="G199" i="4"/>
  <c r="E199" i="4"/>
  <c r="C199" i="4"/>
  <c r="I198" i="4"/>
  <c r="G198" i="4"/>
  <c r="E198" i="4"/>
  <c r="C198" i="4"/>
  <c r="I197" i="4"/>
  <c r="G197" i="4"/>
  <c r="E197" i="4"/>
  <c r="C197" i="4"/>
  <c r="I196" i="4"/>
  <c r="G196" i="4"/>
  <c r="E196" i="4"/>
  <c r="C196" i="4"/>
  <c r="I195" i="4"/>
  <c r="G195" i="4"/>
  <c r="E195" i="4"/>
  <c r="C195" i="4"/>
  <c r="I194" i="4"/>
  <c r="G194" i="4"/>
  <c r="E194" i="4"/>
  <c r="C194" i="4"/>
  <c r="I193" i="4"/>
  <c r="G193" i="4"/>
  <c r="E193" i="4"/>
  <c r="C193" i="4"/>
  <c r="I192" i="4"/>
  <c r="G192" i="4"/>
  <c r="E192" i="4"/>
  <c r="C192" i="4"/>
  <c r="I191" i="4"/>
  <c r="G191" i="4"/>
  <c r="E191" i="4"/>
  <c r="C191" i="4"/>
  <c r="I190" i="4"/>
  <c r="G190" i="4"/>
  <c r="E190" i="4"/>
  <c r="C190" i="4"/>
  <c r="I189" i="4"/>
  <c r="G189" i="4"/>
  <c r="E189" i="4"/>
  <c r="C189" i="4"/>
  <c r="I188" i="4"/>
  <c r="G188" i="4"/>
  <c r="E188" i="4"/>
  <c r="C188" i="4"/>
  <c r="I187" i="4"/>
  <c r="G187" i="4"/>
  <c r="E187" i="4"/>
  <c r="C187" i="4"/>
  <c r="I186" i="4"/>
  <c r="G186" i="4"/>
  <c r="E186" i="4"/>
  <c r="C186" i="4"/>
  <c r="I185" i="4"/>
  <c r="G185" i="4"/>
  <c r="E185" i="4"/>
  <c r="C185" i="4"/>
  <c r="I184" i="4"/>
  <c r="G184" i="4"/>
  <c r="E184" i="4"/>
  <c r="C184" i="4"/>
  <c r="I183" i="4"/>
  <c r="G183" i="4"/>
  <c r="E183" i="4"/>
  <c r="C183" i="4"/>
  <c r="I182" i="4"/>
  <c r="G182" i="4"/>
  <c r="E182" i="4"/>
  <c r="C182" i="4"/>
  <c r="I181" i="4"/>
  <c r="G181" i="4"/>
  <c r="E181" i="4"/>
  <c r="C181" i="4"/>
  <c r="I180" i="4"/>
  <c r="G180" i="4"/>
  <c r="E180" i="4"/>
  <c r="C180" i="4"/>
  <c r="I179" i="4"/>
  <c r="G179" i="4"/>
  <c r="E179" i="4"/>
  <c r="C179" i="4"/>
  <c r="I178" i="4"/>
  <c r="G178" i="4"/>
  <c r="E178" i="4"/>
  <c r="C178" i="4"/>
  <c r="I177" i="4"/>
  <c r="G177" i="4"/>
  <c r="E177" i="4"/>
  <c r="C177" i="4"/>
  <c r="I176" i="4"/>
  <c r="G176" i="4"/>
  <c r="E176" i="4"/>
  <c r="C176" i="4"/>
  <c r="I175" i="4"/>
  <c r="G175" i="4"/>
  <c r="E175" i="4"/>
  <c r="C175" i="4"/>
  <c r="I174" i="4"/>
  <c r="G174" i="4"/>
  <c r="E174" i="4"/>
  <c r="C174" i="4"/>
  <c r="I173" i="4"/>
  <c r="G173" i="4"/>
  <c r="E173" i="4"/>
  <c r="C173" i="4"/>
  <c r="I172" i="4"/>
  <c r="G172" i="4"/>
  <c r="E172" i="4"/>
  <c r="C172" i="4"/>
  <c r="I171" i="4"/>
  <c r="G171" i="4"/>
  <c r="E171" i="4"/>
  <c r="C171" i="4"/>
  <c r="I170" i="4"/>
  <c r="G170" i="4"/>
  <c r="E170" i="4"/>
  <c r="C170" i="4"/>
  <c r="I169" i="4"/>
  <c r="G169" i="4"/>
  <c r="E169" i="4"/>
  <c r="C169" i="4"/>
  <c r="I168" i="4"/>
  <c r="G168" i="4"/>
  <c r="E168" i="4"/>
  <c r="C168" i="4"/>
  <c r="I167" i="4"/>
  <c r="G167" i="4"/>
  <c r="E167" i="4"/>
  <c r="C167" i="4"/>
  <c r="I166" i="4"/>
  <c r="G166" i="4"/>
  <c r="E166" i="4"/>
  <c r="C166" i="4"/>
  <c r="I165" i="4"/>
  <c r="G165" i="4"/>
  <c r="E165" i="4"/>
  <c r="C165" i="4"/>
  <c r="I164" i="4"/>
  <c r="G164" i="4"/>
  <c r="E164" i="4"/>
  <c r="C164" i="4"/>
  <c r="I163" i="4"/>
  <c r="G163" i="4"/>
  <c r="E163" i="4"/>
  <c r="C163" i="4"/>
  <c r="I162" i="4"/>
  <c r="G162" i="4"/>
  <c r="E162" i="4"/>
  <c r="C162" i="4"/>
  <c r="I161" i="4"/>
  <c r="G161" i="4"/>
  <c r="E161" i="4"/>
  <c r="C161" i="4"/>
  <c r="I160" i="4"/>
  <c r="G160" i="4"/>
  <c r="E160" i="4"/>
  <c r="C160" i="4"/>
  <c r="I159" i="4"/>
  <c r="G159" i="4"/>
  <c r="E159" i="4"/>
  <c r="C159" i="4"/>
  <c r="I158" i="4"/>
  <c r="G158" i="4"/>
  <c r="E158" i="4"/>
  <c r="C158" i="4"/>
  <c r="I157" i="4"/>
  <c r="G157" i="4"/>
  <c r="E157" i="4"/>
  <c r="C157" i="4"/>
  <c r="I156" i="4"/>
  <c r="G156" i="4"/>
  <c r="E156" i="4"/>
  <c r="C156" i="4"/>
  <c r="I155" i="4"/>
  <c r="G155" i="4"/>
  <c r="E155" i="4"/>
  <c r="C155" i="4"/>
  <c r="I154" i="4"/>
  <c r="G154" i="4"/>
  <c r="E154" i="4"/>
  <c r="C154" i="4"/>
  <c r="I153" i="4"/>
  <c r="G153" i="4"/>
  <c r="E153" i="4"/>
  <c r="C153" i="4"/>
  <c r="I152" i="4"/>
  <c r="G152" i="4"/>
  <c r="E152" i="4"/>
  <c r="C152" i="4"/>
  <c r="I151" i="4"/>
  <c r="G151" i="4"/>
  <c r="E151" i="4"/>
  <c r="C151" i="4"/>
  <c r="I150" i="4"/>
  <c r="G150" i="4"/>
  <c r="E150" i="4"/>
  <c r="C150" i="4"/>
  <c r="I149" i="4"/>
  <c r="G149" i="4"/>
  <c r="E149" i="4"/>
  <c r="C149" i="4"/>
  <c r="I148" i="4"/>
  <c r="G148" i="4"/>
  <c r="E148" i="4"/>
  <c r="C148" i="4"/>
  <c r="I147" i="4"/>
  <c r="G147" i="4"/>
  <c r="E147" i="4"/>
  <c r="C147" i="4"/>
  <c r="I146" i="4"/>
  <c r="G146" i="4"/>
  <c r="E146" i="4"/>
  <c r="C146" i="4"/>
  <c r="I145" i="4"/>
  <c r="G145" i="4"/>
  <c r="E145" i="4"/>
  <c r="C145" i="4"/>
  <c r="I144" i="4"/>
  <c r="G144" i="4"/>
  <c r="E144" i="4"/>
  <c r="C144" i="4"/>
  <c r="I143" i="4"/>
  <c r="G143" i="4"/>
  <c r="E143" i="4"/>
  <c r="C143" i="4"/>
  <c r="I142" i="4"/>
  <c r="G142" i="4"/>
  <c r="E142" i="4"/>
  <c r="C142" i="4"/>
  <c r="I141" i="4"/>
  <c r="G141" i="4"/>
  <c r="E141" i="4"/>
  <c r="C141" i="4"/>
  <c r="I140" i="4"/>
  <c r="G140" i="4"/>
  <c r="E140" i="4"/>
  <c r="C140" i="4"/>
  <c r="I139" i="4"/>
  <c r="G139" i="4"/>
  <c r="E139" i="4"/>
  <c r="C139" i="4"/>
  <c r="I138" i="4"/>
  <c r="G138" i="4"/>
  <c r="E138" i="4"/>
  <c r="C138" i="4"/>
  <c r="I137" i="4"/>
  <c r="G137" i="4"/>
  <c r="E137" i="4"/>
  <c r="C137" i="4"/>
  <c r="I136" i="4"/>
  <c r="G136" i="4"/>
  <c r="E136" i="4"/>
  <c r="C136" i="4"/>
  <c r="I135" i="4"/>
  <c r="G135" i="4"/>
  <c r="E135" i="4"/>
  <c r="C135" i="4"/>
  <c r="I134" i="4"/>
  <c r="G134" i="4"/>
  <c r="E134" i="4"/>
  <c r="C134" i="4"/>
  <c r="I133" i="4"/>
  <c r="G133" i="4"/>
  <c r="E133" i="4"/>
  <c r="C133" i="4"/>
  <c r="I132" i="4"/>
  <c r="G132" i="4"/>
  <c r="E132" i="4"/>
  <c r="C132" i="4"/>
  <c r="I131" i="4"/>
  <c r="G131" i="4"/>
  <c r="E131" i="4"/>
  <c r="C131" i="4"/>
  <c r="I130" i="4"/>
  <c r="G130" i="4"/>
  <c r="E130" i="4"/>
  <c r="C130" i="4"/>
  <c r="I129" i="4"/>
  <c r="G129" i="4"/>
  <c r="E129" i="4"/>
  <c r="C129" i="4"/>
  <c r="I128" i="4"/>
  <c r="G128" i="4"/>
  <c r="E128" i="4"/>
  <c r="C128" i="4"/>
  <c r="I127" i="4"/>
  <c r="G127" i="4"/>
  <c r="E127" i="4"/>
  <c r="C127" i="4"/>
  <c r="I126" i="4"/>
  <c r="G126" i="4"/>
  <c r="E126" i="4"/>
  <c r="C126" i="4"/>
  <c r="I125" i="4"/>
  <c r="G125" i="4"/>
  <c r="E125" i="4"/>
  <c r="C125" i="4"/>
  <c r="I124" i="4"/>
  <c r="G124" i="4"/>
  <c r="E124" i="4"/>
  <c r="C124" i="4"/>
  <c r="I123" i="4"/>
  <c r="G123" i="4"/>
  <c r="E123" i="4"/>
  <c r="C123" i="4"/>
  <c r="I122" i="4"/>
  <c r="G122" i="4"/>
  <c r="E122" i="4"/>
  <c r="C122" i="4"/>
  <c r="I121" i="4"/>
  <c r="G121" i="4"/>
  <c r="E121" i="4"/>
  <c r="C121" i="4"/>
  <c r="I120" i="4"/>
  <c r="G120" i="4"/>
  <c r="E120" i="4"/>
  <c r="C120" i="4"/>
  <c r="I119" i="4"/>
  <c r="G119" i="4"/>
  <c r="E119" i="4"/>
  <c r="C119" i="4"/>
  <c r="I118" i="4"/>
  <c r="G118" i="4"/>
  <c r="E118" i="4"/>
  <c r="C118" i="4"/>
  <c r="I117" i="4"/>
  <c r="G117" i="4"/>
  <c r="E117" i="4"/>
  <c r="C117" i="4"/>
  <c r="I116" i="4"/>
  <c r="G116" i="4"/>
  <c r="E116" i="4"/>
  <c r="C116" i="4"/>
  <c r="I115" i="4"/>
  <c r="G115" i="4"/>
  <c r="E115" i="4"/>
  <c r="C115" i="4"/>
  <c r="I114" i="4"/>
  <c r="G114" i="4"/>
  <c r="E114" i="4"/>
  <c r="C114" i="4"/>
  <c r="I113" i="4"/>
  <c r="G113" i="4"/>
  <c r="E113" i="4"/>
  <c r="C113" i="4"/>
  <c r="I112" i="4"/>
  <c r="G112" i="4"/>
  <c r="E112" i="4"/>
  <c r="C112" i="4"/>
  <c r="I111" i="4"/>
  <c r="G111" i="4"/>
  <c r="E111" i="4"/>
  <c r="C111" i="4"/>
  <c r="I110" i="4"/>
  <c r="G110" i="4"/>
  <c r="E110" i="4"/>
  <c r="C110" i="4"/>
  <c r="I109" i="4"/>
  <c r="G109" i="4"/>
  <c r="E109" i="4"/>
  <c r="C109" i="4"/>
  <c r="I108" i="4"/>
  <c r="G108" i="4"/>
  <c r="E108" i="4"/>
  <c r="C108" i="4"/>
  <c r="I107" i="4"/>
  <c r="G107" i="4"/>
  <c r="E107" i="4"/>
  <c r="C107" i="4"/>
  <c r="I106" i="4"/>
  <c r="G106" i="4"/>
  <c r="E106" i="4"/>
  <c r="C106" i="4"/>
  <c r="I105" i="4"/>
  <c r="G105" i="4"/>
  <c r="E105" i="4"/>
  <c r="C105" i="4"/>
  <c r="I104" i="4"/>
  <c r="G104" i="4"/>
  <c r="E104" i="4"/>
  <c r="C104" i="4"/>
  <c r="I103" i="4"/>
  <c r="G103" i="4"/>
  <c r="E103" i="4"/>
  <c r="C103" i="4"/>
  <c r="I102" i="4"/>
  <c r="G102" i="4"/>
  <c r="E102" i="4"/>
  <c r="C102" i="4"/>
  <c r="I101" i="4"/>
  <c r="G101" i="4"/>
  <c r="E101" i="4"/>
  <c r="C101" i="4"/>
  <c r="I100" i="4"/>
  <c r="G100" i="4"/>
  <c r="E100" i="4"/>
  <c r="C100" i="4"/>
  <c r="I99" i="4"/>
  <c r="G99" i="4"/>
  <c r="E99" i="4"/>
  <c r="C99" i="4"/>
  <c r="I98" i="4"/>
  <c r="G98" i="4"/>
  <c r="E98" i="4"/>
  <c r="C98" i="4"/>
  <c r="I97" i="4"/>
  <c r="G97" i="4"/>
  <c r="E97" i="4"/>
  <c r="C97" i="4"/>
  <c r="I96" i="4"/>
  <c r="G96" i="4"/>
  <c r="E96" i="4"/>
  <c r="C96" i="4"/>
  <c r="I95" i="4"/>
  <c r="G95" i="4"/>
  <c r="E95" i="4"/>
  <c r="C95" i="4"/>
  <c r="I94" i="4"/>
  <c r="G94" i="4"/>
  <c r="E94" i="4"/>
  <c r="C94" i="4"/>
  <c r="I93" i="4"/>
  <c r="G93" i="4"/>
  <c r="E93" i="4"/>
  <c r="C93" i="4"/>
  <c r="I92" i="4"/>
  <c r="G92" i="4"/>
  <c r="E92" i="4"/>
  <c r="C92" i="4"/>
  <c r="I91" i="4"/>
  <c r="G91" i="4"/>
  <c r="E91" i="4"/>
  <c r="C91" i="4"/>
  <c r="I90" i="4"/>
  <c r="G90" i="4"/>
  <c r="E90" i="4"/>
  <c r="C90" i="4"/>
  <c r="I89" i="4"/>
  <c r="G89" i="4"/>
  <c r="E89" i="4"/>
  <c r="C89" i="4"/>
  <c r="I88" i="4"/>
  <c r="G88" i="4"/>
  <c r="E88" i="4"/>
  <c r="C88" i="4"/>
  <c r="I87" i="4"/>
  <c r="G87" i="4"/>
  <c r="E87" i="4"/>
  <c r="C87" i="4"/>
  <c r="I86" i="4"/>
  <c r="G86" i="4"/>
  <c r="E86" i="4"/>
  <c r="C86" i="4"/>
  <c r="I85" i="4"/>
  <c r="G85" i="4"/>
  <c r="E85" i="4"/>
  <c r="C85" i="4"/>
  <c r="I84" i="4"/>
  <c r="G84" i="4"/>
  <c r="E84" i="4"/>
  <c r="C84" i="4"/>
  <c r="I83" i="4"/>
  <c r="G83" i="4"/>
  <c r="E83" i="4"/>
  <c r="C83" i="4"/>
  <c r="I82" i="4"/>
  <c r="G82" i="4"/>
  <c r="E82" i="4"/>
  <c r="C82" i="4"/>
  <c r="I81" i="4"/>
  <c r="G81" i="4"/>
  <c r="E81" i="4"/>
  <c r="C81" i="4"/>
  <c r="I80" i="4"/>
  <c r="G80" i="4"/>
  <c r="E80" i="4"/>
  <c r="C80" i="4"/>
  <c r="I79" i="4"/>
  <c r="G79" i="4"/>
  <c r="E79" i="4"/>
  <c r="C79" i="4"/>
  <c r="I78" i="4"/>
  <c r="G78" i="4"/>
  <c r="E78" i="4"/>
  <c r="C78" i="4"/>
  <c r="I77" i="4"/>
  <c r="G77" i="4"/>
  <c r="E77" i="4"/>
  <c r="C77" i="4"/>
  <c r="I76" i="4"/>
  <c r="G76" i="4"/>
  <c r="E76" i="4"/>
  <c r="C76" i="4"/>
  <c r="I75" i="4"/>
  <c r="G75" i="4"/>
  <c r="E75" i="4"/>
  <c r="C75" i="4"/>
  <c r="I74" i="4"/>
  <c r="G74" i="4"/>
  <c r="E74" i="4"/>
  <c r="C74" i="4"/>
  <c r="I73" i="4"/>
  <c r="G73" i="4"/>
  <c r="E73" i="4"/>
  <c r="C73" i="4"/>
  <c r="I72" i="4"/>
  <c r="G72" i="4"/>
  <c r="E72" i="4"/>
  <c r="C72" i="4"/>
  <c r="I71" i="4"/>
  <c r="G71" i="4"/>
  <c r="E71" i="4"/>
  <c r="C71" i="4"/>
  <c r="I70" i="4"/>
  <c r="G70" i="4"/>
  <c r="E70" i="4"/>
  <c r="C70" i="4"/>
  <c r="I69" i="4"/>
  <c r="G69" i="4"/>
  <c r="E69" i="4"/>
  <c r="C69" i="4"/>
  <c r="I68" i="4"/>
  <c r="G68" i="4"/>
  <c r="E68" i="4"/>
  <c r="C68" i="4"/>
  <c r="I67" i="4"/>
  <c r="G67" i="4"/>
  <c r="E67" i="4"/>
  <c r="C67" i="4"/>
  <c r="I66" i="4"/>
  <c r="G66" i="4"/>
  <c r="E66" i="4"/>
  <c r="C66" i="4"/>
  <c r="I65" i="4"/>
  <c r="G65" i="4"/>
  <c r="E65" i="4"/>
  <c r="C65" i="4"/>
  <c r="I64" i="4"/>
  <c r="G64" i="4"/>
  <c r="E64" i="4"/>
  <c r="C64" i="4"/>
  <c r="I63" i="4"/>
  <c r="G63" i="4"/>
  <c r="E63" i="4"/>
  <c r="C63" i="4"/>
  <c r="I62" i="4"/>
  <c r="G62" i="4"/>
  <c r="E62" i="4"/>
  <c r="C62" i="4"/>
  <c r="I61" i="4"/>
  <c r="G61" i="4"/>
  <c r="E61" i="4"/>
  <c r="C61" i="4"/>
  <c r="I60" i="4"/>
  <c r="G60" i="4"/>
  <c r="E60" i="4"/>
  <c r="C60" i="4"/>
  <c r="I59" i="4"/>
  <c r="G59" i="4"/>
  <c r="E59" i="4"/>
  <c r="C59" i="4"/>
  <c r="I58" i="4"/>
  <c r="G58" i="4"/>
  <c r="E58" i="4"/>
  <c r="C58" i="4"/>
  <c r="I57" i="4"/>
  <c r="G57" i="4"/>
  <c r="E57" i="4"/>
  <c r="C57" i="4"/>
  <c r="I56" i="4"/>
  <c r="G56" i="4"/>
  <c r="E56" i="4"/>
  <c r="C56" i="4"/>
  <c r="I55" i="4"/>
  <c r="G55" i="4"/>
  <c r="E55" i="4"/>
  <c r="C55" i="4"/>
  <c r="I54" i="4"/>
  <c r="G54" i="4"/>
  <c r="E54" i="4"/>
  <c r="C54" i="4"/>
  <c r="I53" i="4"/>
  <c r="G53" i="4"/>
  <c r="E53" i="4"/>
  <c r="C53" i="4"/>
  <c r="I52" i="4"/>
  <c r="G52" i="4"/>
  <c r="E52" i="4"/>
  <c r="C52" i="4"/>
  <c r="I51" i="4"/>
  <c r="G51" i="4"/>
  <c r="E51" i="4"/>
  <c r="C51" i="4"/>
  <c r="I50" i="4"/>
  <c r="G50" i="4"/>
  <c r="E50" i="4"/>
  <c r="C50" i="4"/>
  <c r="I49" i="4"/>
  <c r="G49" i="4"/>
  <c r="E49" i="4"/>
  <c r="C49" i="4"/>
  <c r="I48" i="4"/>
  <c r="G48" i="4"/>
  <c r="E48" i="4"/>
  <c r="C48" i="4"/>
  <c r="I47" i="4"/>
  <c r="G47" i="4"/>
  <c r="E47" i="4"/>
  <c r="C47" i="4"/>
  <c r="I46" i="4"/>
  <c r="G46" i="4"/>
  <c r="E46" i="4"/>
  <c r="C46" i="4"/>
  <c r="I45" i="4"/>
  <c r="G45" i="4"/>
  <c r="E45" i="4"/>
  <c r="C45" i="4"/>
  <c r="I44" i="4"/>
  <c r="G44" i="4"/>
  <c r="E44" i="4"/>
  <c r="C44" i="4"/>
  <c r="I43" i="4"/>
  <c r="G43" i="4"/>
  <c r="E43" i="4"/>
  <c r="C43" i="4"/>
  <c r="I42" i="4"/>
  <c r="G42" i="4"/>
  <c r="E42" i="4"/>
  <c r="C42" i="4"/>
  <c r="I41" i="4"/>
  <c r="G41" i="4"/>
  <c r="E41" i="4"/>
  <c r="C41" i="4"/>
  <c r="I40" i="4"/>
  <c r="G40" i="4"/>
  <c r="E40" i="4"/>
  <c r="C40" i="4"/>
  <c r="I39" i="4"/>
  <c r="G39" i="4"/>
  <c r="E39" i="4"/>
  <c r="C39" i="4"/>
  <c r="I38" i="4"/>
  <c r="G38" i="4"/>
  <c r="E38" i="4"/>
  <c r="C38" i="4"/>
  <c r="I37" i="4"/>
  <c r="G37" i="4"/>
  <c r="E37" i="4"/>
  <c r="C37" i="4"/>
  <c r="I36" i="4"/>
  <c r="G36" i="4"/>
  <c r="E36" i="4"/>
  <c r="C36" i="4"/>
  <c r="I35" i="4"/>
  <c r="G35" i="4"/>
  <c r="E35" i="4"/>
  <c r="C35" i="4"/>
  <c r="I34" i="4"/>
  <c r="G34" i="4"/>
  <c r="E34" i="4"/>
  <c r="C34" i="4"/>
  <c r="I33" i="4"/>
  <c r="G33" i="4"/>
  <c r="E33" i="4"/>
  <c r="C33" i="4"/>
  <c r="I32" i="4"/>
  <c r="G32" i="4"/>
  <c r="E32" i="4"/>
  <c r="C32" i="4"/>
  <c r="I31" i="4"/>
  <c r="G31" i="4"/>
  <c r="E31" i="4"/>
  <c r="C31" i="4"/>
  <c r="I30" i="4"/>
  <c r="G30" i="4"/>
  <c r="E30" i="4"/>
  <c r="C30" i="4"/>
  <c r="I29" i="4"/>
  <c r="G29" i="4"/>
  <c r="E29" i="4"/>
  <c r="C29" i="4"/>
  <c r="I28" i="4"/>
  <c r="G28" i="4"/>
  <c r="E28" i="4"/>
  <c r="C28" i="4"/>
  <c r="I27" i="4"/>
  <c r="G27" i="4"/>
  <c r="E27" i="4"/>
  <c r="C27" i="4"/>
  <c r="I26" i="4"/>
  <c r="G26" i="4"/>
  <c r="E26" i="4"/>
  <c r="C26" i="4"/>
  <c r="I25" i="4"/>
  <c r="G25" i="4"/>
  <c r="E25" i="4"/>
  <c r="C25" i="4"/>
  <c r="I24" i="4"/>
  <c r="G24" i="4"/>
  <c r="E24" i="4"/>
  <c r="C24" i="4"/>
  <c r="I23" i="4"/>
  <c r="G23" i="4"/>
  <c r="E23" i="4"/>
  <c r="C23" i="4"/>
  <c r="I22" i="4"/>
  <c r="G22" i="4"/>
  <c r="E22" i="4"/>
  <c r="C22" i="4"/>
  <c r="I21" i="4"/>
  <c r="G21" i="4"/>
  <c r="E21" i="4"/>
  <c r="C21" i="4"/>
  <c r="I20" i="4"/>
  <c r="G20" i="4"/>
  <c r="E20" i="4"/>
  <c r="C20" i="4"/>
  <c r="I19" i="4"/>
  <c r="G19" i="4"/>
  <c r="E19" i="4"/>
  <c r="C19" i="4"/>
  <c r="I18" i="4"/>
  <c r="G18" i="4"/>
  <c r="E18" i="4"/>
  <c r="C18" i="4"/>
  <c r="I17" i="4"/>
  <c r="G17" i="4"/>
  <c r="E17" i="4"/>
  <c r="C17" i="4"/>
  <c r="I16" i="4"/>
  <c r="G16" i="4"/>
  <c r="E16" i="4"/>
  <c r="C16" i="4"/>
  <c r="I15" i="4"/>
  <c r="G15" i="4"/>
  <c r="E15" i="4"/>
  <c r="C15" i="4"/>
  <c r="I14" i="4"/>
  <c r="G14" i="4"/>
  <c r="E14" i="4"/>
  <c r="C14" i="4"/>
  <c r="I13" i="4"/>
  <c r="G13" i="4"/>
  <c r="E13" i="4"/>
  <c r="C13" i="4"/>
  <c r="I12" i="4"/>
  <c r="G12" i="4"/>
  <c r="E12" i="4"/>
  <c r="C12" i="4"/>
  <c r="I11" i="4"/>
  <c r="G11" i="4"/>
  <c r="E11" i="4"/>
  <c r="C11" i="4"/>
  <c r="I10" i="4"/>
  <c r="G10" i="4"/>
  <c r="E10" i="4"/>
  <c r="C10" i="4"/>
  <c r="I9" i="4"/>
  <c r="G9" i="4"/>
  <c r="E9" i="4"/>
  <c r="C9" i="4"/>
  <c r="I8" i="4"/>
  <c r="G8" i="4"/>
  <c r="E8" i="4"/>
  <c r="C8" i="4"/>
  <c r="I7" i="4"/>
  <c r="G7" i="4"/>
  <c r="E7" i="4"/>
  <c r="C7" i="4"/>
  <c r="I6" i="4"/>
  <c r="G6" i="4"/>
  <c r="E6" i="4"/>
  <c r="C6" i="4"/>
  <c r="I5" i="4"/>
  <c r="G5" i="4"/>
  <c r="E5" i="4"/>
  <c r="C5" i="4"/>
  <c r="I4" i="4"/>
  <c r="G4" i="4"/>
  <c r="E4" i="4"/>
  <c r="C4" i="4"/>
  <c r="I3" i="4"/>
  <c r="G3" i="4"/>
  <c r="E3" i="4"/>
  <c r="C3" i="4"/>
  <c r="I2" i="4"/>
  <c r="G2" i="4"/>
  <c r="E2" i="4"/>
  <c r="C2" i="4"/>
  <c r="S1375" i="3"/>
  <c r="I1375" i="3"/>
  <c r="G1375" i="3"/>
  <c r="D1375" i="3"/>
  <c r="B1375" i="3"/>
  <c r="S1374" i="3"/>
  <c r="I1374" i="3"/>
  <c r="G1374" i="3"/>
  <c r="D1374" i="3"/>
  <c r="B1374" i="3"/>
  <c r="S1373" i="3"/>
  <c r="I1373" i="3"/>
  <c r="G1373" i="3"/>
  <c r="D1373" i="3"/>
  <c r="B1373" i="3"/>
  <c r="S1372" i="3"/>
  <c r="I1372" i="3"/>
  <c r="G1372" i="3"/>
  <c r="D1372" i="3"/>
  <c r="B1372" i="3"/>
  <c r="S1371" i="3"/>
  <c r="I1371" i="3"/>
  <c r="G1371" i="3"/>
  <c r="D1371" i="3"/>
  <c r="B1371" i="3"/>
  <c r="S1370" i="3"/>
  <c r="I1370" i="3"/>
  <c r="G1370" i="3"/>
  <c r="D1370" i="3"/>
  <c r="B1370" i="3"/>
  <c r="S1369" i="3"/>
  <c r="I1369" i="3"/>
  <c r="G1369" i="3"/>
  <c r="D1369" i="3"/>
  <c r="B1369" i="3"/>
  <c r="S1368" i="3"/>
  <c r="I1368" i="3"/>
  <c r="G1368" i="3"/>
  <c r="D1368" i="3"/>
  <c r="B1368" i="3"/>
  <c r="S1367" i="3"/>
  <c r="I1367" i="3"/>
  <c r="G1367" i="3"/>
  <c r="D1367" i="3"/>
  <c r="B1367" i="3"/>
  <c r="S1366" i="3"/>
  <c r="I1366" i="3"/>
  <c r="G1366" i="3"/>
  <c r="D1366" i="3"/>
  <c r="B1366" i="3"/>
  <c r="S1365" i="3"/>
  <c r="I1365" i="3"/>
  <c r="G1365" i="3"/>
  <c r="D1365" i="3"/>
  <c r="B1365" i="3"/>
  <c r="S1364" i="3"/>
  <c r="I1364" i="3"/>
  <c r="G1364" i="3"/>
  <c r="D1364" i="3"/>
  <c r="B1364" i="3"/>
  <c r="S1363" i="3"/>
  <c r="I1363" i="3"/>
  <c r="G1363" i="3"/>
  <c r="D1363" i="3"/>
  <c r="B1363" i="3"/>
  <c r="S1362" i="3"/>
  <c r="I1362" i="3"/>
  <c r="G1362" i="3"/>
  <c r="D1362" i="3"/>
  <c r="B1362" i="3"/>
  <c r="S1361" i="3"/>
  <c r="I1361" i="3"/>
  <c r="G1361" i="3"/>
  <c r="D1361" i="3"/>
  <c r="B1361" i="3"/>
  <c r="S1360" i="3"/>
  <c r="I1360" i="3"/>
  <c r="G1360" i="3"/>
  <c r="D1360" i="3"/>
  <c r="B1360" i="3"/>
  <c r="S1359" i="3"/>
  <c r="I1359" i="3"/>
  <c r="G1359" i="3"/>
  <c r="D1359" i="3"/>
  <c r="B1359" i="3"/>
  <c r="S1358" i="3"/>
  <c r="I1358" i="3"/>
  <c r="G1358" i="3"/>
  <c r="D1358" i="3"/>
  <c r="B1358" i="3"/>
  <c r="S1357" i="3"/>
  <c r="I1357" i="3"/>
  <c r="G1357" i="3"/>
  <c r="D1357" i="3"/>
  <c r="B1357" i="3"/>
  <c r="S1356" i="3"/>
  <c r="I1356" i="3"/>
  <c r="G1356" i="3"/>
  <c r="D1356" i="3"/>
  <c r="B1356" i="3"/>
  <c r="S1355" i="3"/>
  <c r="I1355" i="3"/>
  <c r="G1355" i="3"/>
  <c r="D1355" i="3"/>
  <c r="B1355" i="3"/>
  <c r="S1354" i="3"/>
  <c r="I1354" i="3"/>
  <c r="G1354" i="3"/>
  <c r="D1354" i="3"/>
  <c r="B1354" i="3"/>
  <c r="S1353" i="3"/>
  <c r="I1353" i="3"/>
  <c r="G1353" i="3"/>
  <c r="D1353" i="3"/>
  <c r="B1353" i="3"/>
  <c r="S1352" i="3"/>
  <c r="I1352" i="3"/>
  <c r="G1352" i="3"/>
  <c r="D1352" i="3"/>
  <c r="B1352" i="3"/>
  <c r="S1351" i="3"/>
  <c r="I1351" i="3"/>
  <c r="G1351" i="3"/>
  <c r="D1351" i="3"/>
  <c r="B1351" i="3"/>
  <c r="S1350" i="3"/>
  <c r="I1350" i="3"/>
  <c r="G1350" i="3"/>
  <c r="D1350" i="3"/>
  <c r="B1350" i="3"/>
  <c r="S1349" i="3"/>
  <c r="I1349" i="3"/>
  <c r="G1349" i="3"/>
  <c r="D1349" i="3"/>
  <c r="B1349" i="3"/>
  <c r="S1348" i="3"/>
  <c r="I1348" i="3"/>
  <c r="G1348" i="3"/>
  <c r="D1348" i="3"/>
  <c r="B1348" i="3"/>
  <c r="S1347" i="3"/>
  <c r="I1347" i="3"/>
  <c r="G1347" i="3"/>
  <c r="D1347" i="3"/>
  <c r="B1347" i="3"/>
  <c r="S1346" i="3"/>
  <c r="I1346" i="3"/>
  <c r="G1346" i="3"/>
  <c r="D1346" i="3"/>
  <c r="B1346" i="3"/>
  <c r="S1345" i="3"/>
  <c r="I1345" i="3"/>
  <c r="G1345" i="3"/>
  <c r="D1345" i="3"/>
  <c r="B1345" i="3"/>
  <c r="S1344" i="3"/>
  <c r="I1344" i="3"/>
  <c r="G1344" i="3"/>
  <c r="D1344" i="3"/>
  <c r="B1344" i="3"/>
  <c r="S1343" i="3"/>
  <c r="I1343" i="3"/>
  <c r="G1343" i="3"/>
  <c r="D1343" i="3"/>
  <c r="B1343" i="3"/>
  <c r="S1342" i="3"/>
  <c r="I1342" i="3"/>
  <c r="G1342" i="3"/>
  <c r="D1342" i="3"/>
  <c r="B1342" i="3"/>
  <c r="S1341" i="3"/>
  <c r="I1341" i="3"/>
  <c r="G1341" i="3"/>
  <c r="D1341" i="3"/>
  <c r="B1341" i="3"/>
  <c r="S1340" i="3"/>
  <c r="I1340" i="3"/>
  <c r="G1340" i="3"/>
  <c r="D1340" i="3"/>
  <c r="B1340" i="3"/>
  <c r="S1339" i="3"/>
  <c r="I1339" i="3"/>
  <c r="G1339" i="3"/>
  <c r="D1339" i="3"/>
  <c r="B1339" i="3"/>
  <c r="S1338" i="3"/>
  <c r="I1338" i="3"/>
  <c r="G1338" i="3"/>
  <c r="D1338" i="3"/>
  <c r="B1338" i="3"/>
  <c r="S1337" i="3"/>
  <c r="I1337" i="3"/>
  <c r="G1337" i="3"/>
  <c r="D1337" i="3"/>
  <c r="B1337" i="3"/>
  <c r="S1336" i="3"/>
  <c r="I1336" i="3"/>
  <c r="G1336" i="3"/>
  <c r="D1336" i="3"/>
  <c r="B1336" i="3"/>
  <c r="S1335" i="3"/>
  <c r="I1335" i="3"/>
  <c r="G1335" i="3"/>
  <c r="D1335" i="3"/>
  <c r="B1335" i="3"/>
  <c r="S1334" i="3"/>
  <c r="I1334" i="3"/>
  <c r="G1334" i="3"/>
  <c r="D1334" i="3"/>
  <c r="B1334" i="3"/>
  <c r="S1333" i="3"/>
  <c r="I1333" i="3"/>
  <c r="G1333" i="3"/>
  <c r="D1333" i="3"/>
  <c r="B1333" i="3"/>
  <c r="S1332" i="3"/>
  <c r="I1332" i="3"/>
  <c r="G1332" i="3"/>
  <c r="D1332" i="3"/>
  <c r="B1332" i="3"/>
  <c r="S1331" i="3"/>
  <c r="I1331" i="3"/>
  <c r="G1331" i="3"/>
  <c r="D1331" i="3"/>
  <c r="B1331" i="3"/>
  <c r="S1330" i="3"/>
  <c r="I1330" i="3"/>
  <c r="G1330" i="3"/>
  <c r="D1330" i="3"/>
  <c r="B1330" i="3"/>
  <c r="S1329" i="3"/>
  <c r="I1329" i="3"/>
  <c r="G1329" i="3"/>
  <c r="D1329" i="3"/>
  <c r="B1329" i="3"/>
  <c r="S1328" i="3"/>
  <c r="I1328" i="3"/>
  <c r="G1328" i="3"/>
  <c r="D1328" i="3"/>
  <c r="B1328" i="3"/>
  <c r="S1327" i="3"/>
  <c r="I1327" i="3"/>
  <c r="G1327" i="3"/>
  <c r="D1327" i="3"/>
  <c r="B1327" i="3"/>
  <c r="S1326" i="3"/>
  <c r="I1326" i="3"/>
  <c r="G1326" i="3"/>
  <c r="D1326" i="3"/>
  <c r="B1326" i="3"/>
  <c r="S1325" i="3"/>
  <c r="I1325" i="3"/>
  <c r="G1325" i="3"/>
  <c r="D1325" i="3"/>
  <c r="B1325" i="3"/>
  <c r="S1324" i="3"/>
  <c r="I1324" i="3"/>
  <c r="G1324" i="3"/>
  <c r="D1324" i="3"/>
  <c r="B1324" i="3"/>
  <c r="S1323" i="3"/>
  <c r="I1323" i="3"/>
  <c r="G1323" i="3"/>
  <c r="D1323" i="3"/>
  <c r="B1323" i="3"/>
  <c r="S1322" i="3"/>
  <c r="I1322" i="3"/>
  <c r="G1322" i="3"/>
  <c r="D1322" i="3"/>
  <c r="B1322" i="3"/>
  <c r="S1321" i="3"/>
  <c r="I1321" i="3"/>
  <c r="G1321" i="3"/>
  <c r="D1321" i="3"/>
  <c r="B1321" i="3"/>
  <c r="S1320" i="3"/>
  <c r="I1320" i="3"/>
  <c r="G1320" i="3"/>
  <c r="D1320" i="3"/>
  <c r="B1320" i="3"/>
  <c r="S1319" i="3"/>
  <c r="I1319" i="3"/>
  <c r="G1319" i="3"/>
  <c r="D1319" i="3"/>
  <c r="B1319" i="3"/>
  <c r="S1318" i="3"/>
  <c r="I1318" i="3"/>
  <c r="G1318" i="3"/>
  <c r="D1318" i="3"/>
  <c r="B1318" i="3"/>
  <c r="S1317" i="3"/>
  <c r="I1317" i="3"/>
  <c r="G1317" i="3"/>
  <c r="D1317" i="3"/>
  <c r="B1317" i="3"/>
  <c r="S1316" i="3"/>
  <c r="I1316" i="3"/>
  <c r="G1316" i="3"/>
  <c r="D1316" i="3"/>
  <c r="B1316" i="3"/>
  <c r="S1315" i="3"/>
  <c r="I1315" i="3"/>
  <c r="G1315" i="3"/>
  <c r="D1315" i="3"/>
  <c r="B1315" i="3"/>
  <c r="S1314" i="3"/>
  <c r="I1314" i="3"/>
  <c r="G1314" i="3"/>
  <c r="D1314" i="3"/>
  <c r="B1314" i="3"/>
  <c r="S1313" i="3"/>
  <c r="I1313" i="3"/>
  <c r="G1313" i="3"/>
  <c r="D1313" i="3"/>
  <c r="B1313" i="3"/>
  <c r="S1312" i="3"/>
  <c r="I1312" i="3"/>
  <c r="G1312" i="3"/>
  <c r="D1312" i="3"/>
  <c r="B1312" i="3"/>
  <c r="S1311" i="3"/>
  <c r="I1311" i="3"/>
  <c r="G1311" i="3"/>
  <c r="D1311" i="3"/>
  <c r="B1311" i="3"/>
  <c r="S1310" i="3"/>
  <c r="I1310" i="3"/>
  <c r="G1310" i="3"/>
  <c r="D1310" i="3"/>
  <c r="B1310" i="3"/>
  <c r="S1309" i="3"/>
  <c r="I1309" i="3"/>
  <c r="G1309" i="3"/>
  <c r="D1309" i="3"/>
  <c r="B1309" i="3"/>
  <c r="S1308" i="3"/>
  <c r="I1308" i="3"/>
  <c r="G1308" i="3"/>
  <c r="D1308" i="3"/>
  <c r="B1308" i="3"/>
  <c r="S1307" i="3"/>
  <c r="I1307" i="3"/>
  <c r="G1307" i="3"/>
  <c r="D1307" i="3"/>
  <c r="B1307" i="3"/>
  <c r="S1306" i="3"/>
  <c r="I1306" i="3"/>
  <c r="G1306" i="3"/>
  <c r="D1306" i="3"/>
  <c r="B1306" i="3"/>
  <c r="S1305" i="3"/>
  <c r="I1305" i="3"/>
  <c r="G1305" i="3"/>
  <c r="D1305" i="3"/>
  <c r="B1305" i="3"/>
  <c r="S1304" i="3"/>
  <c r="I1304" i="3"/>
  <c r="G1304" i="3"/>
  <c r="D1304" i="3"/>
  <c r="B1304" i="3"/>
  <c r="S1303" i="3"/>
  <c r="I1303" i="3"/>
  <c r="G1303" i="3"/>
  <c r="D1303" i="3"/>
  <c r="B1303" i="3"/>
  <c r="S1302" i="3"/>
  <c r="I1302" i="3"/>
  <c r="G1302" i="3"/>
  <c r="D1302" i="3"/>
  <c r="B1302" i="3"/>
  <c r="S1301" i="3"/>
  <c r="I1301" i="3"/>
  <c r="G1301" i="3"/>
  <c r="D1301" i="3"/>
  <c r="B1301" i="3"/>
  <c r="S1300" i="3"/>
  <c r="I1300" i="3"/>
  <c r="G1300" i="3"/>
  <c r="D1300" i="3"/>
  <c r="B1300" i="3"/>
  <c r="S1299" i="3"/>
  <c r="I1299" i="3"/>
  <c r="G1299" i="3"/>
  <c r="D1299" i="3"/>
  <c r="B1299" i="3"/>
  <c r="S1298" i="3"/>
  <c r="I1298" i="3"/>
  <c r="G1298" i="3"/>
  <c r="D1298" i="3"/>
  <c r="B1298" i="3"/>
  <c r="S1297" i="3"/>
  <c r="I1297" i="3"/>
  <c r="G1297" i="3"/>
  <c r="D1297" i="3"/>
  <c r="B1297" i="3"/>
  <c r="S1296" i="3"/>
  <c r="I1296" i="3"/>
  <c r="G1296" i="3"/>
  <c r="D1296" i="3"/>
  <c r="B1296" i="3"/>
  <c r="S1295" i="3"/>
  <c r="I1295" i="3"/>
  <c r="G1295" i="3"/>
  <c r="D1295" i="3"/>
  <c r="B1295" i="3"/>
  <c r="S1294" i="3"/>
  <c r="I1294" i="3"/>
  <c r="G1294" i="3"/>
  <c r="D1294" i="3"/>
  <c r="B1294" i="3"/>
  <c r="S1293" i="3"/>
  <c r="I1293" i="3"/>
  <c r="G1293" i="3"/>
  <c r="D1293" i="3"/>
  <c r="B1293" i="3"/>
  <c r="S1292" i="3"/>
  <c r="I1292" i="3"/>
  <c r="G1292" i="3"/>
  <c r="D1292" i="3"/>
  <c r="B1292" i="3"/>
  <c r="S1291" i="3"/>
  <c r="I1291" i="3"/>
  <c r="G1291" i="3"/>
  <c r="D1291" i="3"/>
  <c r="B1291" i="3"/>
  <c r="S1290" i="3"/>
  <c r="I1290" i="3"/>
  <c r="G1290" i="3"/>
  <c r="D1290" i="3"/>
  <c r="B1290" i="3"/>
  <c r="S1289" i="3"/>
  <c r="I1289" i="3"/>
  <c r="G1289" i="3"/>
  <c r="D1289" i="3"/>
  <c r="B1289" i="3"/>
  <c r="S1288" i="3"/>
  <c r="I1288" i="3"/>
  <c r="G1288" i="3"/>
  <c r="D1288" i="3"/>
  <c r="B1288" i="3"/>
  <c r="S1287" i="3"/>
  <c r="I1287" i="3"/>
  <c r="G1287" i="3"/>
  <c r="D1287" i="3"/>
  <c r="B1287" i="3"/>
  <c r="S1286" i="3"/>
  <c r="I1286" i="3"/>
  <c r="G1286" i="3"/>
  <c r="D1286" i="3"/>
  <c r="B1286" i="3"/>
  <c r="S1285" i="3"/>
  <c r="I1285" i="3"/>
  <c r="G1285" i="3"/>
  <c r="D1285" i="3"/>
  <c r="B1285" i="3"/>
  <c r="S1284" i="3"/>
  <c r="I1284" i="3"/>
  <c r="G1284" i="3"/>
  <c r="D1284" i="3"/>
  <c r="B1284" i="3"/>
  <c r="S1283" i="3"/>
  <c r="I1283" i="3"/>
  <c r="G1283" i="3"/>
  <c r="D1283" i="3"/>
  <c r="B1283" i="3"/>
  <c r="S1282" i="3"/>
  <c r="I1282" i="3"/>
  <c r="G1282" i="3"/>
  <c r="D1282" i="3"/>
  <c r="B1282" i="3"/>
  <c r="S1281" i="3"/>
  <c r="I1281" i="3"/>
  <c r="G1281" i="3"/>
  <c r="D1281" i="3"/>
  <c r="B1281" i="3"/>
  <c r="S1280" i="3"/>
  <c r="I1280" i="3"/>
  <c r="G1280" i="3"/>
  <c r="D1280" i="3"/>
  <c r="B1280" i="3"/>
  <c r="S1279" i="3"/>
  <c r="I1279" i="3"/>
  <c r="G1279" i="3"/>
  <c r="D1279" i="3"/>
  <c r="B1279" i="3"/>
  <c r="S1278" i="3"/>
  <c r="I1278" i="3"/>
  <c r="G1278" i="3"/>
  <c r="D1278" i="3"/>
  <c r="B1278" i="3"/>
  <c r="S1277" i="3"/>
  <c r="I1277" i="3"/>
  <c r="G1277" i="3"/>
  <c r="D1277" i="3"/>
  <c r="B1277" i="3"/>
  <c r="S1276" i="3"/>
  <c r="I1276" i="3"/>
  <c r="G1276" i="3"/>
  <c r="D1276" i="3"/>
  <c r="B1276" i="3"/>
  <c r="S1275" i="3"/>
  <c r="I1275" i="3"/>
  <c r="G1275" i="3"/>
  <c r="D1275" i="3"/>
  <c r="B1275" i="3"/>
  <c r="S1274" i="3"/>
  <c r="I1274" i="3"/>
  <c r="G1274" i="3"/>
  <c r="D1274" i="3"/>
  <c r="B1274" i="3"/>
  <c r="S1273" i="3"/>
  <c r="I1273" i="3"/>
  <c r="G1273" i="3"/>
  <c r="D1273" i="3"/>
  <c r="B1273" i="3"/>
  <c r="S1272" i="3"/>
  <c r="I1272" i="3"/>
  <c r="G1272" i="3"/>
  <c r="D1272" i="3"/>
  <c r="B1272" i="3"/>
  <c r="S1271" i="3"/>
  <c r="I1271" i="3"/>
  <c r="G1271" i="3"/>
  <c r="D1271" i="3"/>
  <c r="B1271" i="3"/>
  <c r="S1270" i="3"/>
  <c r="I1270" i="3"/>
  <c r="G1270" i="3"/>
  <c r="D1270" i="3"/>
  <c r="B1270" i="3"/>
  <c r="S1269" i="3"/>
  <c r="I1269" i="3"/>
  <c r="G1269" i="3"/>
  <c r="D1269" i="3"/>
  <c r="B1269" i="3"/>
  <c r="S1268" i="3"/>
  <c r="I1268" i="3"/>
  <c r="G1268" i="3"/>
  <c r="D1268" i="3"/>
  <c r="B1268" i="3"/>
  <c r="S1267" i="3"/>
  <c r="I1267" i="3"/>
  <c r="G1267" i="3"/>
  <c r="D1267" i="3"/>
  <c r="B1267" i="3"/>
  <c r="S1266" i="3"/>
  <c r="I1266" i="3"/>
  <c r="G1266" i="3"/>
  <c r="D1266" i="3"/>
  <c r="B1266" i="3"/>
  <c r="S1265" i="3"/>
  <c r="I1265" i="3"/>
  <c r="G1265" i="3"/>
  <c r="D1265" i="3"/>
  <c r="B1265" i="3"/>
  <c r="S1264" i="3"/>
  <c r="I1264" i="3"/>
  <c r="G1264" i="3"/>
  <c r="D1264" i="3"/>
  <c r="B1264" i="3"/>
  <c r="S1263" i="3"/>
  <c r="I1263" i="3"/>
  <c r="G1263" i="3"/>
  <c r="D1263" i="3"/>
  <c r="B1263" i="3"/>
  <c r="S1262" i="3"/>
  <c r="I1262" i="3"/>
  <c r="G1262" i="3"/>
  <c r="D1262" i="3"/>
  <c r="B1262" i="3"/>
  <c r="S1261" i="3"/>
  <c r="I1261" i="3"/>
  <c r="G1261" i="3"/>
  <c r="D1261" i="3"/>
  <c r="B1261" i="3"/>
  <c r="S1260" i="3"/>
  <c r="I1260" i="3"/>
  <c r="G1260" i="3"/>
  <c r="D1260" i="3"/>
  <c r="B1260" i="3"/>
  <c r="S1259" i="3"/>
  <c r="I1259" i="3"/>
  <c r="G1259" i="3"/>
  <c r="D1259" i="3"/>
  <c r="B1259" i="3"/>
  <c r="S1258" i="3"/>
  <c r="I1258" i="3"/>
  <c r="G1258" i="3"/>
  <c r="D1258" i="3"/>
  <c r="B1258" i="3"/>
  <c r="S1257" i="3"/>
  <c r="I1257" i="3"/>
  <c r="G1257" i="3"/>
  <c r="D1257" i="3"/>
  <c r="B1257" i="3"/>
  <c r="S1256" i="3"/>
  <c r="I1256" i="3"/>
  <c r="G1256" i="3"/>
  <c r="D1256" i="3"/>
  <c r="B1256" i="3"/>
  <c r="S1255" i="3"/>
  <c r="I1255" i="3"/>
  <c r="G1255" i="3"/>
  <c r="D1255" i="3"/>
  <c r="B1255" i="3"/>
  <c r="S1254" i="3"/>
  <c r="I1254" i="3"/>
  <c r="G1254" i="3"/>
  <c r="D1254" i="3"/>
  <c r="B1254" i="3"/>
  <c r="S1253" i="3"/>
  <c r="I1253" i="3"/>
  <c r="G1253" i="3"/>
  <c r="D1253" i="3"/>
  <c r="B1253" i="3"/>
  <c r="S1252" i="3"/>
  <c r="I1252" i="3"/>
  <c r="G1252" i="3"/>
  <c r="D1252" i="3"/>
  <c r="B1252" i="3"/>
  <c r="S1251" i="3"/>
  <c r="I1251" i="3"/>
  <c r="G1251" i="3"/>
  <c r="D1251" i="3"/>
  <c r="B1251" i="3"/>
  <c r="S1250" i="3"/>
  <c r="I1250" i="3"/>
  <c r="G1250" i="3"/>
  <c r="D1250" i="3"/>
  <c r="B1250" i="3"/>
  <c r="S1249" i="3"/>
  <c r="I1249" i="3"/>
  <c r="G1249" i="3"/>
  <c r="D1249" i="3"/>
  <c r="B1249" i="3"/>
  <c r="S1248" i="3"/>
  <c r="I1248" i="3"/>
  <c r="G1248" i="3"/>
  <c r="D1248" i="3"/>
  <c r="B1248" i="3"/>
  <c r="S1247" i="3"/>
  <c r="I1247" i="3"/>
  <c r="G1247" i="3"/>
  <c r="D1247" i="3"/>
  <c r="B1247" i="3"/>
  <c r="S1246" i="3"/>
  <c r="I1246" i="3"/>
  <c r="G1246" i="3"/>
  <c r="D1246" i="3"/>
  <c r="B1246" i="3"/>
  <c r="S1245" i="3"/>
  <c r="I1245" i="3"/>
  <c r="G1245" i="3"/>
  <c r="D1245" i="3"/>
  <c r="B1245" i="3"/>
  <c r="S1244" i="3"/>
  <c r="I1244" i="3"/>
  <c r="G1244" i="3"/>
  <c r="D1244" i="3"/>
  <c r="B1244" i="3"/>
  <c r="S1243" i="3"/>
  <c r="I1243" i="3"/>
  <c r="G1243" i="3"/>
  <c r="D1243" i="3"/>
  <c r="B1243" i="3"/>
  <c r="S1242" i="3"/>
  <c r="I1242" i="3"/>
  <c r="G1242" i="3"/>
  <c r="D1242" i="3"/>
  <c r="B1242" i="3"/>
  <c r="S1241" i="3"/>
  <c r="I1241" i="3"/>
  <c r="G1241" i="3"/>
  <c r="D1241" i="3"/>
  <c r="B1241" i="3"/>
  <c r="S1240" i="3"/>
  <c r="I1240" i="3"/>
  <c r="G1240" i="3"/>
  <c r="D1240" i="3"/>
  <c r="B1240" i="3"/>
  <c r="S1239" i="3"/>
  <c r="I1239" i="3"/>
  <c r="G1239" i="3"/>
  <c r="D1239" i="3"/>
  <c r="B1239" i="3"/>
  <c r="S1238" i="3"/>
  <c r="I1238" i="3"/>
  <c r="G1238" i="3"/>
  <c r="D1238" i="3"/>
  <c r="B1238" i="3"/>
  <c r="S1237" i="3"/>
  <c r="I1237" i="3"/>
  <c r="G1237" i="3"/>
  <c r="D1237" i="3"/>
  <c r="B1237" i="3"/>
  <c r="S1236" i="3"/>
  <c r="I1236" i="3"/>
  <c r="G1236" i="3"/>
  <c r="D1236" i="3"/>
  <c r="B1236" i="3"/>
  <c r="S1235" i="3"/>
  <c r="I1235" i="3"/>
  <c r="G1235" i="3"/>
  <c r="D1235" i="3"/>
  <c r="B1235" i="3"/>
  <c r="S1234" i="3"/>
  <c r="I1234" i="3"/>
  <c r="G1234" i="3"/>
  <c r="D1234" i="3"/>
  <c r="B1234" i="3"/>
  <c r="S1233" i="3"/>
  <c r="I1233" i="3"/>
  <c r="G1233" i="3"/>
  <c r="D1233" i="3"/>
  <c r="B1233" i="3"/>
  <c r="S1232" i="3"/>
  <c r="I1232" i="3"/>
  <c r="G1232" i="3"/>
  <c r="D1232" i="3"/>
  <c r="B1232" i="3"/>
  <c r="S1231" i="3"/>
  <c r="I1231" i="3"/>
  <c r="G1231" i="3"/>
  <c r="D1231" i="3"/>
  <c r="B1231" i="3"/>
  <c r="S1230" i="3"/>
  <c r="I1230" i="3"/>
  <c r="G1230" i="3"/>
  <c r="D1230" i="3"/>
  <c r="B1230" i="3"/>
  <c r="S1229" i="3"/>
  <c r="I1229" i="3"/>
  <c r="G1229" i="3"/>
  <c r="D1229" i="3"/>
  <c r="B1229" i="3"/>
  <c r="S1228" i="3"/>
  <c r="I1228" i="3"/>
  <c r="G1228" i="3"/>
  <c r="D1228" i="3"/>
  <c r="B1228" i="3"/>
  <c r="S1227" i="3"/>
  <c r="I1227" i="3"/>
  <c r="G1227" i="3"/>
  <c r="D1227" i="3"/>
  <c r="B1227" i="3"/>
  <c r="S1226" i="3"/>
  <c r="I1226" i="3"/>
  <c r="G1226" i="3"/>
  <c r="D1226" i="3"/>
  <c r="B1226" i="3"/>
  <c r="S1225" i="3"/>
  <c r="I1225" i="3"/>
  <c r="G1225" i="3"/>
  <c r="D1225" i="3"/>
  <c r="B1225" i="3"/>
  <c r="S1224" i="3"/>
  <c r="I1224" i="3"/>
  <c r="G1224" i="3"/>
  <c r="D1224" i="3"/>
  <c r="B1224" i="3"/>
  <c r="S1223" i="3"/>
  <c r="I1223" i="3"/>
  <c r="G1223" i="3"/>
  <c r="D1223" i="3"/>
  <c r="B1223" i="3"/>
  <c r="S1222" i="3"/>
  <c r="I1222" i="3"/>
  <c r="G1222" i="3"/>
  <c r="D1222" i="3"/>
  <c r="B1222" i="3"/>
  <c r="S1221" i="3"/>
  <c r="I1221" i="3"/>
  <c r="G1221" i="3"/>
  <c r="D1221" i="3"/>
  <c r="B1221" i="3"/>
  <c r="S1220" i="3"/>
  <c r="I1220" i="3"/>
  <c r="G1220" i="3"/>
  <c r="D1220" i="3"/>
  <c r="B1220" i="3"/>
  <c r="S1219" i="3"/>
  <c r="I1219" i="3"/>
  <c r="G1219" i="3"/>
  <c r="D1219" i="3"/>
  <c r="B1219" i="3"/>
  <c r="S1218" i="3"/>
  <c r="I1218" i="3"/>
  <c r="G1218" i="3"/>
  <c r="D1218" i="3"/>
  <c r="B1218" i="3"/>
  <c r="S1217" i="3"/>
  <c r="I1217" i="3"/>
  <c r="G1217" i="3"/>
  <c r="D1217" i="3"/>
  <c r="B1217" i="3"/>
  <c r="S1216" i="3"/>
  <c r="I1216" i="3"/>
  <c r="G1216" i="3"/>
  <c r="D1216" i="3"/>
  <c r="B1216" i="3"/>
  <c r="S1215" i="3"/>
  <c r="I1215" i="3"/>
  <c r="G1215" i="3"/>
  <c r="D1215" i="3"/>
  <c r="B1215" i="3"/>
  <c r="S1214" i="3"/>
  <c r="I1214" i="3"/>
  <c r="G1214" i="3"/>
  <c r="D1214" i="3"/>
  <c r="B1214" i="3"/>
  <c r="S1213" i="3"/>
  <c r="I1213" i="3"/>
  <c r="G1213" i="3"/>
  <c r="D1213" i="3"/>
  <c r="B1213" i="3"/>
  <c r="S1212" i="3"/>
  <c r="I1212" i="3"/>
  <c r="G1212" i="3"/>
  <c r="D1212" i="3"/>
  <c r="B1212" i="3"/>
  <c r="S1211" i="3"/>
  <c r="I1211" i="3"/>
  <c r="G1211" i="3"/>
  <c r="D1211" i="3"/>
  <c r="B1211" i="3"/>
  <c r="S1210" i="3"/>
  <c r="I1210" i="3"/>
  <c r="G1210" i="3"/>
  <c r="D1210" i="3"/>
  <c r="B1210" i="3"/>
  <c r="S1209" i="3"/>
  <c r="I1209" i="3"/>
  <c r="G1209" i="3"/>
  <c r="D1209" i="3"/>
  <c r="B1209" i="3"/>
  <c r="S1208" i="3"/>
  <c r="I1208" i="3"/>
  <c r="G1208" i="3"/>
  <c r="D1208" i="3"/>
  <c r="B1208" i="3"/>
  <c r="S1207" i="3"/>
  <c r="I1207" i="3"/>
  <c r="G1207" i="3"/>
  <c r="D1207" i="3"/>
  <c r="B1207" i="3"/>
  <c r="S1206" i="3"/>
  <c r="I1206" i="3"/>
  <c r="G1206" i="3"/>
  <c r="D1206" i="3"/>
  <c r="B1206" i="3"/>
  <c r="S1205" i="3"/>
  <c r="I1205" i="3"/>
  <c r="G1205" i="3"/>
  <c r="D1205" i="3"/>
  <c r="B1205" i="3"/>
  <c r="S1204" i="3"/>
  <c r="I1204" i="3"/>
  <c r="G1204" i="3"/>
  <c r="D1204" i="3"/>
  <c r="B1204" i="3"/>
  <c r="S1203" i="3"/>
  <c r="I1203" i="3"/>
  <c r="G1203" i="3"/>
  <c r="D1203" i="3"/>
  <c r="B1203" i="3"/>
  <c r="S1202" i="3"/>
  <c r="I1202" i="3"/>
  <c r="G1202" i="3"/>
  <c r="D1202" i="3"/>
  <c r="B1202" i="3"/>
  <c r="S1201" i="3"/>
  <c r="I1201" i="3"/>
  <c r="G1201" i="3"/>
  <c r="D1201" i="3"/>
  <c r="B1201" i="3"/>
  <c r="S1200" i="3"/>
  <c r="I1200" i="3"/>
  <c r="G1200" i="3"/>
  <c r="D1200" i="3"/>
  <c r="B1200" i="3"/>
  <c r="S1199" i="3"/>
  <c r="I1199" i="3"/>
  <c r="G1199" i="3"/>
  <c r="D1199" i="3"/>
  <c r="B1199" i="3"/>
  <c r="S1198" i="3"/>
  <c r="I1198" i="3"/>
  <c r="G1198" i="3"/>
  <c r="D1198" i="3"/>
  <c r="B1198" i="3"/>
  <c r="S1197" i="3"/>
  <c r="I1197" i="3"/>
  <c r="G1197" i="3"/>
  <c r="D1197" i="3"/>
  <c r="B1197" i="3"/>
  <c r="S1196" i="3"/>
  <c r="I1196" i="3"/>
  <c r="G1196" i="3"/>
  <c r="D1196" i="3"/>
  <c r="B1196" i="3"/>
  <c r="S1195" i="3"/>
  <c r="I1195" i="3"/>
  <c r="G1195" i="3"/>
  <c r="D1195" i="3"/>
  <c r="B1195" i="3"/>
  <c r="S1194" i="3"/>
  <c r="I1194" i="3"/>
  <c r="G1194" i="3"/>
  <c r="D1194" i="3"/>
  <c r="B1194" i="3"/>
  <c r="S1193" i="3"/>
  <c r="I1193" i="3"/>
  <c r="G1193" i="3"/>
  <c r="D1193" i="3"/>
  <c r="B1193" i="3"/>
  <c r="S1192" i="3"/>
  <c r="I1192" i="3"/>
  <c r="G1192" i="3"/>
  <c r="D1192" i="3"/>
  <c r="B1192" i="3"/>
  <c r="S1191" i="3"/>
  <c r="I1191" i="3"/>
  <c r="G1191" i="3"/>
  <c r="D1191" i="3"/>
  <c r="B1191" i="3"/>
  <c r="S1190" i="3"/>
  <c r="I1190" i="3"/>
  <c r="G1190" i="3"/>
  <c r="D1190" i="3"/>
  <c r="B1190" i="3"/>
  <c r="S1189" i="3"/>
  <c r="I1189" i="3"/>
  <c r="G1189" i="3"/>
  <c r="D1189" i="3"/>
  <c r="B1189" i="3"/>
  <c r="S1188" i="3"/>
  <c r="I1188" i="3"/>
  <c r="G1188" i="3"/>
  <c r="D1188" i="3"/>
  <c r="B1188" i="3"/>
  <c r="S1187" i="3"/>
  <c r="I1187" i="3"/>
  <c r="G1187" i="3"/>
  <c r="D1187" i="3"/>
  <c r="B1187" i="3"/>
  <c r="S1186" i="3"/>
  <c r="I1186" i="3"/>
  <c r="G1186" i="3"/>
  <c r="D1186" i="3"/>
  <c r="B1186" i="3"/>
  <c r="S1185" i="3"/>
  <c r="I1185" i="3"/>
  <c r="G1185" i="3"/>
  <c r="D1185" i="3"/>
  <c r="B1185" i="3"/>
  <c r="S1184" i="3"/>
  <c r="I1184" i="3"/>
  <c r="G1184" i="3"/>
  <c r="D1184" i="3"/>
  <c r="B1184" i="3"/>
  <c r="S1183" i="3"/>
  <c r="I1183" i="3"/>
  <c r="G1183" i="3"/>
  <c r="D1183" i="3"/>
  <c r="B1183" i="3"/>
  <c r="S1182" i="3"/>
  <c r="I1182" i="3"/>
  <c r="G1182" i="3"/>
  <c r="D1182" i="3"/>
  <c r="B1182" i="3"/>
  <c r="S1181" i="3"/>
  <c r="I1181" i="3"/>
  <c r="G1181" i="3"/>
  <c r="D1181" i="3"/>
  <c r="B1181" i="3"/>
  <c r="S1180" i="3"/>
  <c r="I1180" i="3"/>
  <c r="G1180" i="3"/>
  <c r="D1180" i="3"/>
  <c r="B1180" i="3"/>
  <c r="S1179" i="3"/>
  <c r="I1179" i="3"/>
  <c r="G1179" i="3"/>
  <c r="D1179" i="3"/>
  <c r="B1179" i="3"/>
  <c r="S1178" i="3"/>
  <c r="I1178" i="3"/>
  <c r="G1178" i="3"/>
  <c r="D1178" i="3"/>
  <c r="B1178" i="3"/>
  <c r="S1177" i="3"/>
  <c r="I1177" i="3"/>
  <c r="G1177" i="3"/>
  <c r="D1177" i="3"/>
  <c r="B1177" i="3"/>
  <c r="S1176" i="3"/>
  <c r="I1176" i="3"/>
  <c r="G1176" i="3"/>
  <c r="D1176" i="3"/>
  <c r="B1176" i="3"/>
  <c r="S1175" i="3"/>
  <c r="I1175" i="3"/>
  <c r="G1175" i="3"/>
  <c r="D1175" i="3"/>
  <c r="B1175" i="3"/>
  <c r="S1174" i="3"/>
  <c r="I1174" i="3"/>
  <c r="G1174" i="3"/>
  <c r="D1174" i="3"/>
  <c r="B1174" i="3"/>
  <c r="S1173" i="3"/>
  <c r="I1173" i="3"/>
  <c r="G1173" i="3"/>
  <c r="D1173" i="3"/>
  <c r="B1173" i="3"/>
  <c r="S1172" i="3"/>
  <c r="I1172" i="3"/>
  <c r="G1172" i="3"/>
  <c r="D1172" i="3"/>
  <c r="B1172" i="3"/>
  <c r="S1171" i="3"/>
  <c r="I1171" i="3"/>
  <c r="G1171" i="3"/>
  <c r="D1171" i="3"/>
  <c r="B1171" i="3"/>
  <c r="S1170" i="3"/>
  <c r="I1170" i="3"/>
  <c r="G1170" i="3"/>
  <c r="D1170" i="3"/>
  <c r="B1170" i="3"/>
  <c r="S1169" i="3"/>
  <c r="I1169" i="3"/>
  <c r="G1169" i="3"/>
  <c r="D1169" i="3"/>
  <c r="B1169" i="3"/>
  <c r="S1168" i="3"/>
  <c r="I1168" i="3"/>
  <c r="G1168" i="3"/>
  <c r="D1168" i="3"/>
  <c r="B1168" i="3"/>
  <c r="S1167" i="3"/>
  <c r="I1167" i="3"/>
  <c r="G1167" i="3"/>
  <c r="D1167" i="3"/>
  <c r="B1167" i="3"/>
  <c r="S1166" i="3"/>
  <c r="I1166" i="3"/>
  <c r="G1166" i="3"/>
  <c r="D1166" i="3"/>
  <c r="B1166" i="3"/>
  <c r="S1165" i="3"/>
  <c r="I1165" i="3"/>
  <c r="G1165" i="3"/>
  <c r="D1165" i="3"/>
  <c r="B1165" i="3"/>
  <c r="S1164" i="3"/>
  <c r="I1164" i="3"/>
  <c r="G1164" i="3"/>
  <c r="D1164" i="3"/>
  <c r="B1164" i="3"/>
  <c r="S1163" i="3"/>
  <c r="I1163" i="3"/>
  <c r="G1163" i="3"/>
  <c r="D1163" i="3"/>
  <c r="B1163" i="3"/>
  <c r="S1162" i="3"/>
  <c r="I1162" i="3"/>
  <c r="G1162" i="3"/>
  <c r="D1162" i="3"/>
  <c r="B1162" i="3"/>
  <c r="S1161" i="3"/>
  <c r="I1161" i="3"/>
  <c r="G1161" i="3"/>
  <c r="D1161" i="3"/>
  <c r="B1161" i="3"/>
  <c r="S1160" i="3"/>
  <c r="I1160" i="3"/>
  <c r="G1160" i="3"/>
  <c r="D1160" i="3"/>
  <c r="B1160" i="3"/>
  <c r="S1159" i="3"/>
  <c r="I1159" i="3"/>
  <c r="G1159" i="3"/>
  <c r="D1159" i="3"/>
  <c r="B1159" i="3"/>
  <c r="S1158" i="3"/>
  <c r="I1158" i="3"/>
  <c r="G1158" i="3"/>
  <c r="D1158" i="3"/>
  <c r="B1158" i="3"/>
  <c r="S1157" i="3"/>
  <c r="I1157" i="3"/>
  <c r="G1157" i="3"/>
  <c r="D1157" i="3"/>
  <c r="B1157" i="3"/>
  <c r="S1156" i="3"/>
  <c r="I1156" i="3"/>
  <c r="G1156" i="3"/>
  <c r="D1156" i="3"/>
  <c r="B1156" i="3"/>
  <c r="S1155" i="3"/>
  <c r="I1155" i="3"/>
  <c r="G1155" i="3"/>
  <c r="D1155" i="3"/>
  <c r="B1155" i="3"/>
  <c r="S1154" i="3"/>
  <c r="I1154" i="3"/>
  <c r="G1154" i="3"/>
  <c r="D1154" i="3"/>
  <c r="B1154" i="3"/>
  <c r="S1153" i="3"/>
  <c r="I1153" i="3"/>
  <c r="G1153" i="3"/>
  <c r="D1153" i="3"/>
  <c r="B1153" i="3"/>
  <c r="S1152" i="3"/>
  <c r="I1152" i="3"/>
  <c r="G1152" i="3"/>
  <c r="D1152" i="3"/>
  <c r="B1152" i="3"/>
  <c r="S1151" i="3"/>
  <c r="I1151" i="3"/>
  <c r="G1151" i="3"/>
  <c r="D1151" i="3"/>
  <c r="B1151" i="3"/>
  <c r="S1150" i="3"/>
  <c r="I1150" i="3"/>
  <c r="G1150" i="3"/>
  <c r="D1150" i="3"/>
  <c r="B1150" i="3"/>
  <c r="S1149" i="3"/>
  <c r="I1149" i="3"/>
  <c r="G1149" i="3"/>
  <c r="D1149" i="3"/>
  <c r="B1149" i="3"/>
  <c r="S1148" i="3"/>
  <c r="I1148" i="3"/>
  <c r="G1148" i="3"/>
  <c r="D1148" i="3"/>
  <c r="B1148" i="3"/>
  <c r="S1147" i="3"/>
  <c r="I1147" i="3"/>
  <c r="G1147" i="3"/>
  <c r="D1147" i="3"/>
  <c r="B1147" i="3"/>
  <c r="S1146" i="3"/>
  <c r="I1146" i="3"/>
  <c r="G1146" i="3"/>
  <c r="D1146" i="3"/>
  <c r="B1146" i="3"/>
  <c r="S1145" i="3"/>
  <c r="I1145" i="3"/>
  <c r="G1145" i="3"/>
  <c r="D1145" i="3"/>
  <c r="B1145" i="3"/>
  <c r="S1144" i="3"/>
  <c r="I1144" i="3"/>
  <c r="G1144" i="3"/>
  <c r="D1144" i="3"/>
  <c r="B1144" i="3"/>
  <c r="S1143" i="3"/>
  <c r="I1143" i="3"/>
  <c r="G1143" i="3"/>
  <c r="D1143" i="3"/>
  <c r="B1143" i="3"/>
  <c r="S1142" i="3"/>
  <c r="I1142" i="3"/>
  <c r="G1142" i="3"/>
  <c r="D1142" i="3"/>
  <c r="B1142" i="3"/>
  <c r="S1141" i="3"/>
  <c r="I1141" i="3"/>
  <c r="G1141" i="3"/>
  <c r="D1141" i="3"/>
  <c r="B1141" i="3"/>
  <c r="S1140" i="3"/>
  <c r="I1140" i="3"/>
  <c r="G1140" i="3"/>
  <c r="D1140" i="3"/>
  <c r="B1140" i="3"/>
  <c r="S1139" i="3"/>
  <c r="I1139" i="3"/>
  <c r="G1139" i="3"/>
  <c r="D1139" i="3"/>
  <c r="B1139" i="3"/>
  <c r="S1138" i="3"/>
  <c r="I1138" i="3"/>
  <c r="G1138" i="3"/>
  <c r="D1138" i="3"/>
  <c r="B1138" i="3"/>
  <c r="S1137" i="3"/>
  <c r="I1137" i="3"/>
  <c r="G1137" i="3"/>
  <c r="D1137" i="3"/>
  <c r="B1137" i="3"/>
  <c r="S1136" i="3"/>
  <c r="I1136" i="3"/>
  <c r="G1136" i="3"/>
  <c r="D1136" i="3"/>
  <c r="B1136" i="3"/>
  <c r="S1135" i="3"/>
  <c r="I1135" i="3"/>
  <c r="G1135" i="3"/>
  <c r="D1135" i="3"/>
  <c r="B1135" i="3"/>
  <c r="S1134" i="3"/>
  <c r="I1134" i="3"/>
  <c r="G1134" i="3"/>
  <c r="D1134" i="3"/>
  <c r="B1134" i="3"/>
  <c r="S1133" i="3"/>
  <c r="I1133" i="3"/>
  <c r="G1133" i="3"/>
  <c r="D1133" i="3"/>
  <c r="B1133" i="3"/>
  <c r="S1132" i="3"/>
  <c r="I1132" i="3"/>
  <c r="G1132" i="3"/>
  <c r="D1132" i="3"/>
  <c r="B1132" i="3"/>
  <c r="S1131" i="3"/>
  <c r="I1131" i="3"/>
  <c r="G1131" i="3"/>
  <c r="D1131" i="3"/>
  <c r="B1131" i="3"/>
  <c r="S1130" i="3"/>
  <c r="I1130" i="3"/>
  <c r="G1130" i="3"/>
  <c r="D1130" i="3"/>
  <c r="B1130" i="3"/>
  <c r="S1129" i="3"/>
  <c r="I1129" i="3"/>
  <c r="G1129" i="3"/>
  <c r="D1129" i="3"/>
  <c r="B1129" i="3"/>
  <c r="S1128" i="3"/>
  <c r="I1128" i="3"/>
  <c r="G1128" i="3"/>
  <c r="D1128" i="3"/>
  <c r="B1128" i="3"/>
  <c r="S1127" i="3"/>
  <c r="I1127" i="3"/>
  <c r="G1127" i="3"/>
  <c r="D1127" i="3"/>
  <c r="B1127" i="3"/>
  <c r="S1126" i="3"/>
  <c r="I1126" i="3"/>
  <c r="G1126" i="3"/>
  <c r="D1126" i="3"/>
  <c r="B1126" i="3"/>
  <c r="S1125" i="3"/>
  <c r="I1125" i="3"/>
  <c r="G1125" i="3"/>
  <c r="D1125" i="3"/>
  <c r="B1125" i="3"/>
  <c r="S1124" i="3"/>
  <c r="I1124" i="3"/>
  <c r="G1124" i="3"/>
  <c r="D1124" i="3"/>
  <c r="B1124" i="3"/>
  <c r="S1123" i="3"/>
  <c r="I1123" i="3"/>
  <c r="G1123" i="3"/>
  <c r="D1123" i="3"/>
  <c r="B1123" i="3"/>
  <c r="S1122" i="3"/>
  <c r="I1122" i="3"/>
  <c r="G1122" i="3"/>
  <c r="D1122" i="3"/>
  <c r="B1122" i="3"/>
  <c r="S1121" i="3"/>
  <c r="I1121" i="3"/>
  <c r="G1121" i="3"/>
  <c r="D1121" i="3"/>
  <c r="B1121" i="3"/>
  <c r="S1120" i="3"/>
  <c r="I1120" i="3"/>
  <c r="G1120" i="3"/>
  <c r="D1120" i="3"/>
  <c r="B1120" i="3"/>
  <c r="S1119" i="3"/>
  <c r="I1119" i="3"/>
  <c r="G1119" i="3"/>
  <c r="D1119" i="3"/>
  <c r="B1119" i="3"/>
  <c r="S1118" i="3"/>
  <c r="I1118" i="3"/>
  <c r="G1118" i="3"/>
  <c r="D1118" i="3"/>
  <c r="B1118" i="3"/>
  <c r="S1117" i="3"/>
  <c r="I1117" i="3"/>
  <c r="G1117" i="3"/>
  <c r="D1117" i="3"/>
  <c r="B1117" i="3"/>
  <c r="S1116" i="3"/>
  <c r="I1116" i="3"/>
  <c r="G1116" i="3"/>
  <c r="D1116" i="3"/>
  <c r="B1116" i="3"/>
  <c r="S1115" i="3"/>
  <c r="I1115" i="3"/>
  <c r="G1115" i="3"/>
  <c r="D1115" i="3"/>
  <c r="B1115" i="3"/>
  <c r="S1114" i="3"/>
  <c r="I1114" i="3"/>
  <c r="G1114" i="3"/>
  <c r="D1114" i="3"/>
  <c r="B1114" i="3"/>
  <c r="S1113" i="3"/>
  <c r="I1113" i="3"/>
  <c r="G1113" i="3"/>
  <c r="D1113" i="3"/>
  <c r="B1113" i="3"/>
  <c r="S1112" i="3"/>
  <c r="I1112" i="3"/>
  <c r="G1112" i="3"/>
  <c r="D1112" i="3"/>
  <c r="B1112" i="3"/>
  <c r="S1111" i="3"/>
  <c r="I1111" i="3"/>
  <c r="G1111" i="3"/>
  <c r="D1111" i="3"/>
  <c r="B1111" i="3"/>
  <c r="S1110" i="3"/>
  <c r="I1110" i="3"/>
  <c r="G1110" i="3"/>
  <c r="D1110" i="3"/>
  <c r="B1110" i="3"/>
  <c r="S1109" i="3"/>
  <c r="I1109" i="3"/>
  <c r="G1109" i="3"/>
  <c r="D1109" i="3"/>
  <c r="B1109" i="3"/>
  <c r="S1108" i="3"/>
  <c r="I1108" i="3"/>
  <c r="G1108" i="3"/>
  <c r="D1108" i="3"/>
  <c r="B1108" i="3"/>
  <c r="S1107" i="3"/>
  <c r="I1107" i="3"/>
  <c r="G1107" i="3"/>
  <c r="D1107" i="3"/>
  <c r="B1107" i="3"/>
  <c r="S1106" i="3"/>
  <c r="I1106" i="3"/>
  <c r="G1106" i="3"/>
  <c r="D1106" i="3"/>
  <c r="B1106" i="3"/>
  <c r="S1105" i="3"/>
  <c r="I1105" i="3"/>
  <c r="G1105" i="3"/>
  <c r="D1105" i="3"/>
  <c r="B1105" i="3"/>
  <c r="S1104" i="3"/>
  <c r="I1104" i="3"/>
  <c r="G1104" i="3"/>
  <c r="D1104" i="3"/>
  <c r="B1104" i="3"/>
  <c r="S1103" i="3"/>
  <c r="I1103" i="3"/>
  <c r="G1103" i="3"/>
  <c r="D1103" i="3"/>
  <c r="B1103" i="3"/>
  <c r="S1102" i="3"/>
  <c r="I1102" i="3"/>
  <c r="G1102" i="3"/>
  <c r="D1102" i="3"/>
  <c r="B1102" i="3"/>
  <c r="S1101" i="3"/>
  <c r="I1101" i="3"/>
  <c r="G1101" i="3"/>
  <c r="D1101" i="3"/>
  <c r="B1101" i="3"/>
  <c r="S1100" i="3"/>
  <c r="I1100" i="3"/>
  <c r="G1100" i="3"/>
  <c r="D1100" i="3"/>
  <c r="B1100" i="3"/>
  <c r="S1099" i="3"/>
  <c r="I1099" i="3"/>
  <c r="G1099" i="3"/>
  <c r="D1099" i="3"/>
  <c r="B1099" i="3"/>
  <c r="S1098" i="3"/>
  <c r="I1098" i="3"/>
  <c r="G1098" i="3"/>
  <c r="D1098" i="3"/>
  <c r="B1098" i="3"/>
  <c r="S1097" i="3"/>
  <c r="I1097" i="3"/>
  <c r="G1097" i="3"/>
  <c r="D1097" i="3"/>
  <c r="B1097" i="3"/>
  <c r="S1096" i="3"/>
  <c r="I1096" i="3"/>
  <c r="G1096" i="3"/>
  <c r="D1096" i="3"/>
  <c r="B1096" i="3"/>
  <c r="S1095" i="3"/>
  <c r="I1095" i="3"/>
  <c r="G1095" i="3"/>
  <c r="D1095" i="3"/>
  <c r="B1095" i="3"/>
  <c r="S1094" i="3"/>
  <c r="I1094" i="3"/>
  <c r="G1094" i="3"/>
  <c r="D1094" i="3"/>
  <c r="B1094" i="3"/>
  <c r="S1093" i="3"/>
  <c r="I1093" i="3"/>
  <c r="G1093" i="3"/>
  <c r="D1093" i="3"/>
  <c r="B1093" i="3"/>
  <c r="S1092" i="3"/>
  <c r="I1092" i="3"/>
  <c r="G1092" i="3"/>
  <c r="D1092" i="3"/>
  <c r="B1092" i="3"/>
  <c r="S1091" i="3"/>
  <c r="I1091" i="3"/>
  <c r="G1091" i="3"/>
  <c r="D1091" i="3"/>
  <c r="B1091" i="3"/>
  <c r="S1090" i="3"/>
  <c r="I1090" i="3"/>
  <c r="G1090" i="3"/>
  <c r="D1090" i="3"/>
  <c r="B1090" i="3"/>
  <c r="S1089" i="3"/>
  <c r="I1089" i="3"/>
  <c r="G1089" i="3"/>
  <c r="D1089" i="3"/>
  <c r="B1089" i="3"/>
  <c r="S1088" i="3"/>
  <c r="I1088" i="3"/>
  <c r="G1088" i="3"/>
  <c r="D1088" i="3"/>
  <c r="B1088" i="3"/>
  <c r="S1087" i="3"/>
  <c r="I1087" i="3"/>
  <c r="G1087" i="3"/>
  <c r="D1087" i="3"/>
  <c r="B1087" i="3"/>
  <c r="S1086" i="3"/>
  <c r="I1086" i="3"/>
  <c r="G1086" i="3"/>
  <c r="D1086" i="3"/>
  <c r="B1086" i="3"/>
  <c r="S1085" i="3"/>
  <c r="I1085" i="3"/>
  <c r="G1085" i="3"/>
  <c r="D1085" i="3"/>
  <c r="B1085" i="3"/>
  <c r="S1084" i="3"/>
  <c r="I1084" i="3"/>
  <c r="G1084" i="3"/>
  <c r="D1084" i="3"/>
  <c r="B1084" i="3"/>
  <c r="S1083" i="3"/>
  <c r="I1083" i="3"/>
  <c r="G1083" i="3"/>
  <c r="D1083" i="3"/>
  <c r="B1083" i="3"/>
  <c r="S1082" i="3"/>
  <c r="I1082" i="3"/>
  <c r="G1082" i="3"/>
  <c r="D1082" i="3"/>
  <c r="B1082" i="3"/>
  <c r="S1081" i="3"/>
  <c r="I1081" i="3"/>
  <c r="G1081" i="3"/>
  <c r="D1081" i="3"/>
  <c r="B1081" i="3"/>
  <c r="S1080" i="3"/>
  <c r="I1080" i="3"/>
  <c r="G1080" i="3"/>
  <c r="D1080" i="3"/>
  <c r="B1080" i="3"/>
  <c r="S1079" i="3"/>
  <c r="I1079" i="3"/>
  <c r="G1079" i="3"/>
  <c r="D1079" i="3"/>
  <c r="B1079" i="3"/>
  <c r="S1078" i="3"/>
  <c r="I1078" i="3"/>
  <c r="G1078" i="3"/>
  <c r="D1078" i="3"/>
  <c r="B1078" i="3"/>
  <c r="S1077" i="3"/>
  <c r="I1077" i="3"/>
  <c r="G1077" i="3"/>
  <c r="D1077" i="3"/>
  <c r="B1077" i="3"/>
  <c r="S1076" i="3"/>
  <c r="I1076" i="3"/>
  <c r="G1076" i="3"/>
  <c r="D1076" i="3"/>
  <c r="B1076" i="3"/>
  <c r="S1075" i="3"/>
  <c r="I1075" i="3"/>
  <c r="G1075" i="3"/>
  <c r="D1075" i="3"/>
  <c r="B1075" i="3"/>
  <c r="S1074" i="3"/>
  <c r="I1074" i="3"/>
  <c r="G1074" i="3"/>
  <c r="D1074" i="3"/>
  <c r="B1074" i="3"/>
  <c r="S1073" i="3"/>
  <c r="I1073" i="3"/>
  <c r="G1073" i="3"/>
  <c r="D1073" i="3"/>
  <c r="B1073" i="3"/>
  <c r="S1072" i="3"/>
  <c r="I1072" i="3"/>
  <c r="G1072" i="3"/>
  <c r="D1072" i="3"/>
  <c r="B1072" i="3"/>
  <c r="S1071" i="3"/>
  <c r="I1071" i="3"/>
  <c r="G1071" i="3"/>
  <c r="D1071" i="3"/>
  <c r="B1071" i="3"/>
  <c r="S1070" i="3"/>
  <c r="I1070" i="3"/>
  <c r="G1070" i="3"/>
  <c r="D1070" i="3"/>
  <c r="B1070" i="3"/>
  <c r="S1069" i="3"/>
  <c r="I1069" i="3"/>
  <c r="G1069" i="3"/>
  <c r="D1069" i="3"/>
  <c r="B1069" i="3"/>
  <c r="S1068" i="3"/>
  <c r="I1068" i="3"/>
  <c r="G1068" i="3"/>
  <c r="D1068" i="3"/>
  <c r="B1068" i="3"/>
  <c r="S1067" i="3"/>
  <c r="I1067" i="3"/>
  <c r="G1067" i="3"/>
  <c r="D1067" i="3"/>
  <c r="B1067" i="3"/>
  <c r="S1066" i="3"/>
  <c r="I1066" i="3"/>
  <c r="G1066" i="3"/>
  <c r="D1066" i="3"/>
  <c r="B1066" i="3"/>
  <c r="S1065" i="3"/>
  <c r="I1065" i="3"/>
  <c r="G1065" i="3"/>
  <c r="D1065" i="3"/>
  <c r="B1065" i="3"/>
  <c r="S1064" i="3"/>
  <c r="I1064" i="3"/>
  <c r="G1064" i="3"/>
  <c r="D1064" i="3"/>
  <c r="B1064" i="3"/>
  <c r="S1063" i="3"/>
  <c r="I1063" i="3"/>
  <c r="G1063" i="3"/>
  <c r="D1063" i="3"/>
  <c r="B1063" i="3"/>
  <c r="S1062" i="3"/>
  <c r="I1062" i="3"/>
  <c r="G1062" i="3"/>
  <c r="D1062" i="3"/>
  <c r="B1062" i="3"/>
  <c r="S1061" i="3"/>
  <c r="I1061" i="3"/>
  <c r="G1061" i="3"/>
  <c r="D1061" i="3"/>
  <c r="B1061" i="3"/>
  <c r="S1060" i="3"/>
  <c r="I1060" i="3"/>
  <c r="G1060" i="3"/>
  <c r="D1060" i="3"/>
  <c r="B1060" i="3"/>
  <c r="S1059" i="3"/>
  <c r="I1059" i="3"/>
  <c r="G1059" i="3"/>
  <c r="D1059" i="3"/>
  <c r="B1059" i="3"/>
  <c r="S1058" i="3"/>
  <c r="I1058" i="3"/>
  <c r="G1058" i="3"/>
  <c r="D1058" i="3"/>
  <c r="B1058" i="3"/>
  <c r="S1057" i="3"/>
  <c r="I1057" i="3"/>
  <c r="G1057" i="3"/>
  <c r="D1057" i="3"/>
  <c r="B1057" i="3"/>
  <c r="S1056" i="3"/>
  <c r="I1056" i="3"/>
  <c r="G1056" i="3"/>
  <c r="D1056" i="3"/>
  <c r="B1056" i="3"/>
  <c r="S1055" i="3"/>
  <c r="I1055" i="3"/>
  <c r="G1055" i="3"/>
  <c r="D1055" i="3"/>
  <c r="B1055" i="3"/>
  <c r="S1054" i="3"/>
  <c r="I1054" i="3"/>
  <c r="G1054" i="3"/>
  <c r="D1054" i="3"/>
  <c r="B1054" i="3"/>
  <c r="S1053" i="3"/>
  <c r="I1053" i="3"/>
  <c r="G1053" i="3"/>
  <c r="D1053" i="3"/>
  <c r="B1053" i="3"/>
  <c r="S1052" i="3"/>
  <c r="I1052" i="3"/>
  <c r="G1052" i="3"/>
  <c r="D1052" i="3"/>
  <c r="B1052" i="3"/>
  <c r="S1051" i="3"/>
  <c r="I1051" i="3"/>
  <c r="G1051" i="3"/>
  <c r="D1051" i="3"/>
  <c r="B1051" i="3"/>
  <c r="S1050" i="3"/>
  <c r="I1050" i="3"/>
  <c r="G1050" i="3"/>
  <c r="D1050" i="3"/>
  <c r="B1050" i="3"/>
  <c r="S1049" i="3"/>
  <c r="I1049" i="3"/>
  <c r="G1049" i="3"/>
  <c r="D1049" i="3"/>
  <c r="B1049" i="3"/>
  <c r="S1048" i="3"/>
  <c r="I1048" i="3"/>
  <c r="G1048" i="3"/>
  <c r="D1048" i="3"/>
  <c r="B1048" i="3"/>
  <c r="S1047" i="3"/>
  <c r="I1047" i="3"/>
  <c r="G1047" i="3"/>
  <c r="D1047" i="3"/>
  <c r="B1047" i="3"/>
  <c r="S1046" i="3"/>
  <c r="I1046" i="3"/>
  <c r="G1046" i="3"/>
  <c r="D1046" i="3"/>
  <c r="B1046" i="3"/>
  <c r="S1045" i="3"/>
  <c r="I1045" i="3"/>
  <c r="G1045" i="3"/>
  <c r="D1045" i="3"/>
  <c r="B1045" i="3"/>
  <c r="S1044" i="3"/>
  <c r="I1044" i="3"/>
  <c r="G1044" i="3"/>
  <c r="D1044" i="3"/>
  <c r="B1044" i="3"/>
  <c r="S1043" i="3"/>
  <c r="I1043" i="3"/>
  <c r="G1043" i="3"/>
  <c r="D1043" i="3"/>
  <c r="B1043" i="3"/>
  <c r="S1042" i="3"/>
  <c r="I1042" i="3"/>
  <c r="G1042" i="3"/>
  <c r="D1042" i="3"/>
  <c r="B1042" i="3"/>
  <c r="S1041" i="3"/>
  <c r="I1041" i="3"/>
  <c r="G1041" i="3"/>
  <c r="D1041" i="3"/>
  <c r="B1041" i="3"/>
  <c r="S1040" i="3"/>
  <c r="I1040" i="3"/>
  <c r="G1040" i="3"/>
  <c r="D1040" i="3"/>
  <c r="B1040" i="3"/>
  <c r="S1039" i="3"/>
  <c r="I1039" i="3"/>
  <c r="G1039" i="3"/>
  <c r="D1039" i="3"/>
  <c r="B1039" i="3"/>
  <c r="S1038" i="3"/>
  <c r="I1038" i="3"/>
  <c r="G1038" i="3"/>
  <c r="D1038" i="3"/>
  <c r="B1038" i="3"/>
  <c r="S1037" i="3"/>
  <c r="I1037" i="3"/>
  <c r="G1037" i="3"/>
  <c r="D1037" i="3"/>
  <c r="B1037" i="3"/>
  <c r="S1036" i="3"/>
  <c r="I1036" i="3"/>
  <c r="G1036" i="3"/>
  <c r="D1036" i="3"/>
  <c r="B1036" i="3"/>
  <c r="S1035" i="3"/>
  <c r="I1035" i="3"/>
  <c r="G1035" i="3"/>
  <c r="D1035" i="3"/>
  <c r="B1035" i="3"/>
  <c r="S1034" i="3"/>
  <c r="I1034" i="3"/>
  <c r="G1034" i="3"/>
  <c r="D1034" i="3"/>
  <c r="B1034" i="3"/>
  <c r="S1033" i="3"/>
  <c r="I1033" i="3"/>
  <c r="G1033" i="3"/>
  <c r="D1033" i="3"/>
  <c r="B1033" i="3"/>
  <c r="S1032" i="3"/>
  <c r="I1032" i="3"/>
  <c r="G1032" i="3"/>
  <c r="D1032" i="3"/>
  <c r="B1032" i="3"/>
  <c r="S1031" i="3"/>
  <c r="I1031" i="3"/>
  <c r="G1031" i="3"/>
  <c r="D1031" i="3"/>
  <c r="B1031" i="3"/>
  <c r="S1030" i="3"/>
  <c r="I1030" i="3"/>
  <c r="G1030" i="3"/>
  <c r="D1030" i="3"/>
  <c r="B1030" i="3"/>
  <c r="S1029" i="3"/>
  <c r="I1029" i="3"/>
  <c r="G1029" i="3"/>
  <c r="D1029" i="3"/>
  <c r="B1029" i="3"/>
  <c r="S1028" i="3"/>
  <c r="I1028" i="3"/>
  <c r="G1028" i="3"/>
  <c r="D1028" i="3"/>
  <c r="B1028" i="3"/>
  <c r="S1027" i="3"/>
  <c r="I1027" i="3"/>
  <c r="G1027" i="3"/>
  <c r="D1027" i="3"/>
  <c r="B1027" i="3"/>
  <c r="S1026" i="3"/>
  <c r="I1026" i="3"/>
  <c r="G1026" i="3"/>
  <c r="D1026" i="3"/>
  <c r="B1026" i="3"/>
  <c r="S1025" i="3"/>
  <c r="I1025" i="3"/>
  <c r="G1025" i="3"/>
  <c r="D1025" i="3"/>
  <c r="B1025" i="3"/>
  <c r="S1024" i="3"/>
  <c r="I1024" i="3"/>
  <c r="G1024" i="3"/>
  <c r="D1024" i="3"/>
  <c r="B1024" i="3"/>
  <c r="S1023" i="3"/>
  <c r="I1023" i="3"/>
  <c r="G1023" i="3"/>
  <c r="D1023" i="3"/>
  <c r="B1023" i="3"/>
  <c r="S1022" i="3"/>
  <c r="I1022" i="3"/>
  <c r="G1022" i="3"/>
  <c r="D1022" i="3"/>
  <c r="B1022" i="3"/>
  <c r="S1021" i="3"/>
  <c r="I1021" i="3"/>
  <c r="G1021" i="3"/>
  <c r="D1021" i="3"/>
  <c r="B1021" i="3"/>
  <c r="S1020" i="3"/>
  <c r="I1020" i="3"/>
  <c r="G1020" i="3"/>
  <c r="D1020" i="3"/>
  <c r="B1020" i="3"/>
  <c r="S1019" i="3"/>
  <c r="I1019" i="3"/>
  <c r="G1019" i="3"/>
  <c r="D1019" i="3"/>
  <c r="B1019" i="3"/>
  <c r="S1018" i="3"/>
  <c r="I1018" i="3"/>
  <c r="G1018" i="3"/>
  <c r="D1018" i="3"/>
  <c r="B1018" i="3"/>
  <c r="S1017" i="3"/>
  <c r="I1017" i="3"/>
  <c r="G1017" i="3"/>
  <c r="D1017" i="3"/>
  <c r="B1017" i="3"/>
  <c r="S1016" i="3"/>
  <c r="I1016" i="3"/>
  <c r="G1016" i="3"/>
  <c r="D1016" i="3"/>
  <c r="B1016" i="3"/>
  <c r="S1015" i="3"/>
  <c r="I1015" i="3"/>
  <c r="G1015" i="3"/>
  <c r="D1015" i="3"/>
  <c r="B1015" i="3"/>
  <c r="S1014" i="3"/>
  <c r="I1014" i="3"/>
  <c r="G1014" i="3"/>
  <c r="D1014" i="3"/>
  <c r="B1014" i="3"/>
  <c r="S1013" i="3"/>
  <c r="I1013" i="3"/>
  <c r="G1013" i="3"/>
  <c r="D1013" i="3"/>
  <c r="B1013" i="3"/>
  <c r="S1012" i="3"/>
  <c r="I1012" i="3"/>
  <c r="G1012" i="3"/>
  <c r="D1012" i="3"/>
  <c r="B1012" i="3"/>
  <c r="S1011" i="3"/>
  <c r="I1011" i="3"/>
  <c r="G1011" i="3"/>
  <c r="D1011" i="3"/>
  <c r="B1011" i="3"/>
  <c r="S1010" i="3"/>
  <c r="I1010" i="3"/>
  <c r="G1010" i="3"/>
  <c r="D1010" i="3"/>
  <c r="B1010" i="3"/>
  <c r="S1009" i="3"/>
  <c r="I1009" i="3"/>
  <c r="G1009" i="3"/>
  <c r="D1009" i="3"/>
  <c r="B1009" i="3"/>
  <c r="S1008" i="3"/>
  <c r="I1008" i="3"/>
  <c r="G1008" i="3"/>
  <c r="D1008" i="3"/>
  <c r="B1008" i="3"/>
  <c r="S1007" i="3"/>
  <c r="I1007" i="3"/>
  <c r="G1007" i="3"/>
  <c r="D1007" i="3"/>
  <c r="B1007" i="3"/>
  <c r="S1006" i="3"/>
  <c r="I1006" i="3"/>
  <c r="G1006" i="3"/>
  <c r="D1006" i="3"/>
  <c r="B1006" i="3"/>
  <c r="S1005" i="3"/>
  <c r="I1005" i="3"/>
  <c r="G1005" i="3"/>
  <c r="D1005" i="3"/>
  <c r="B1005" i="3"/>
  <c r="S1004" i="3"/>
  <c r="I1004" i="3"/>
  <c r="G1004" i="3"/>
  <c r="D1004" i="3"/>
  <c r="B1004" i="3"/>
  <c r="S1003" i="3"/>
  <c r="I1003" i="3"/>
  <c r="G1003" i="3"/>
  <c r="D1003" i="3"/>
  <c r="B1003" i="3"/>
  <c r="S1002" i="3"/>
  <c r="I1002" i="3"/>
  <c r="G1002" i="3"/>
  <c r="D1002" i="3"/>
  <c r="B1002" i="3"/>
  <c r="S1001" i="3"/>
  <c r="I1001" i="3"/>
  <c r="G1001" i="3"/>
  <c r="D1001" i="3"/>
  <c r="B1001" i="3"/>
  <c r="S1000" i="3"/>
  <c r="I1000" i="3"/>
  <c r="G1000" i="3"/>
  <c r="D1000" i="3"/>
  <c r="B1000" i="3"/>
  <c r="S999" i="3"/>
  <c r="I999" i="3"/>
  <c r="G999" i="3"/>
  <c r="D999" i="3"/>
  <c r="B999" i="3"/>
  <c r="S998" i="3"/>
  <c r="I998" i="3"/>
  <c r="G998" i="3"/>
  <c r="D998" i="3"/>
  <c r="B998" i="3"/>
  <c r="S997" i="3"/>
  <c r="I997" i="3"/>
  <c r="G997" i="3"/>
  <c r="D997" i="3"/>
  <c r="B997" i="3"/>
  <c r="S996" i="3"/>
  <c r="I996" i="3"/>
  <c r="G996" i="3"/>
  <c r="D996" i="3"/>
  <c r="B996" i="3"/>
  <c r="S995" i="3"/>
  <c r="I995" i="3"/>
  <c r="G995" i="3"/>
  <c r="D995" i="3"/>
  <c r="B995" i="3"/>
  <c r="S994" i="3"/>
  <c r="I994" i="3"/>
  <c r="G994" i="3"/>
  <c r="D994" i="3"/>
  <c r="B994" i="3"/>
  <c r="S993" i="3"/>
  <c r="I993" i="3"/>
  <c r="G993" i="3"/>
  <c r="D993" i="3"/>
  <c r="B993" i="3"/>
  <c r="S992" i="3"/>
  <c r="I992" i="3"/>
  <c r="G992" i="3"/>
  <c r="D992" i="3"/>
  <c r="B992" i="3"/>
  <c r="S991" i="3"/>
  <c r="I991" i="3"/>
  <c r="G991" i="3"/>
  <c r="D991" i="3"/>
  <c r="B991" i="3"/>
  <c r="S990" i="3"/>
  <c r="I990" i="3"/>
  <c r="G990" i="3"/>
  <c r="D990" i="3"/>
  <c r="B990" i="3"/>
  <c r="S989" i="3"/>
  <c r="I989" i="3"/>
  <c r="G989" i="3"/>
  <c r="D989" i="3"/>
  <c r="B989" i="3"/>
  <c r="S988" i="3"/>
  <c r="I988" i="3"/>
  <c r="G988" i="3"/>
  <c r="D988" i="3"/>
  <c r="B988" i="3"/>
  <c r="S987" i="3"/>
  <c r="I987" i="3"/>
  <c r="G987" i="3"/>
  <c r="D987" i="3"/>
  <c r="B987" i="3"/>
  <c r="S986" i="3"/>
  <c r="I986" i="3"/>
  <c r="G986" i="3"/>
  <c r="D986" i="3"/>
  <c r="B986" i="3"/>
  <c r="S985" i="3"/>
  <c r="I985" i="3"/>
  <c r="G985" i="3"/>
  <c r="D985" i="3"/>
  <c r="B985" i="3"/>
  <c r="S984" i="3"/>
  <c r="I984" i="3"/>
  <c r="G984" i="3"/>
  <c r="D984" i="3"/>
  <c r="B984" i="3"/>
  <c r="S983" i="3"/>
  <c r="I983" i="3"/>
  <c r="G983" i="3"/>
  <c r="D983" i="3"/>
  <c r="B983" i="3"/>
  <c r="S982" i="3"/>
  <c r="I982" i="3"/>
  <c r="G982" i="3"/>
  <c r="D982" i="3"/>
  <c r="B982" i="3"/>
  <c r="S981" i="3"/>
  <c r="I981" i="3"/>
  <c r="G981" i="3"/>
  <c r="D981" i="3"/>
  <c r="B981" i="3"/>
  <c r="S980" i="3"/>
  <c r="I980" i="3"/>
  <c r="G980" i="3"/>
  <c r="D980" i="3"/>
  <c r="B980" i="3"/>
  <c r="S979" i="3"/>
  <c r="I979" i="3"/>
  <c r="G979" i="3"/>
  <c r="D979" i="3"/>
  <c r="B979" i="3"/>
  <c r="S978" i="3"/>
  <c r="I978" i="3"/>
  <c r="G978" i="3"/>
  <c r="D978" i="3"/>
  <c r="B978" i="3"/>
  <c r="S977" i="3"/>
  <c r="I977" i="3"/>
  <c r="G977" i="3"/>
  <c r="D977" i="3"/>
  <c r="B977" i="3"/>
  <c r="S976" i="3"/>
  <c r="I976" i="3"/>
  <c r="G976" i="3"/>
  <c r="D976" i="3"/>
  <c r="B976" i="3"/>
  <c r="S975" i="3"/>
  <c r="I975" i="3"/>
  <c r="G975" i="3"/>
  <c r="D975" i="3"/>
  <c r="B975" i="3"/>
  <c r="S974" i="3"/>
  <c r="I974" i="3"/>
  <c r="G974" i="3"/>
  <c r="D974" i="3"/>
  <c r="B974" i="3"/>
  <c r="S973" i="3"/>
  <c r="I973" i="3"/>
  <c r="G973" i="3"/>
  <c r="D973" i="3"/>
  <c r="B973" i="3"/>
  <c r="S972" i="3"/>
  <c r="I972" i="3"/>
  <c r="G972" i="3"/>
  <c r="D972" i="3"/>
  <c r="B972" i="3"/>
  <c r="S971" i="3"/>
  <c r="I971" i="3"/>
  <c r="G971" i="3"/>
  <c r="D971" i="3"/>
  <c r="B971" i="3"/>
  <c r="S970" i="3"/>
  <c r="I970" i="3"/>
  <c r="G970" i="3"/>
  <c r="D970" i="3"/>
  <c r="B970" i="3"/>
  <c r="S969" i="3"/>
  <c r="I969" i="3"/>
  <c r="G969" i="3"/>
  <c r="D969" i="3"/>
  <c r="B969" i="3"/>
  <c r="S968" i="3"/>
  <c r="I968" i="3"/>
  <c r="G968" i="3"/>
  <c r="D968" i="3"/>
  <c r="B968" i="3"/>
  <c r="S967" i="3"/>
  <c r="I967" i="3"/>
  <c r="G967" i="3"/>
  <c r="D967" i="3"/>
  <c r="B967" i="3"/>
  <c r="S966" i="3"/>
  <c r="I966" i="3"/>
  <c r="G966" i="3"/>
  <c r="D966" i="3"/>
  <c r="B966" i="3"/>
  <c r="S965" i="3"/>
  <c r="I965" i="3"/>
  <c r="G965" i="3"/>
  <c r="D965" i="3"/>
  <c r="B965" i="3"/>
  <c r="S964" i="3"/>
  <c r="I964" i="3"/>
  <c r="G964" i="3"/>
  <c r="D964" i="3"/>
  <c r="B964" i="3"/>
  <c r="S963" i="3"/>
  <c r="I963" i="3"/>
  <c r="G963" i="3"/>
  <c r="D963" i="3"/>
  <c r="B963" i="3"/>
  <c r="S962" i="3"/>
  <c r="I962" i="3"/>
  <c r="G962" i="3"/>
  <c r="D962" i="3"/>
  <c r="B962" i="3"/>
  <c r="S961" i="3"/>
  <c r="I961" i="3"/>
  <c r="G961" i="3"/>
  <c r="D961" i="3"/>
  <c r="B961" i="3"/>
  <c r="S960" i="3"/>
  <c r="I960" i="3"/>
  <c r="G960" i="3"/>
  <c r="D960" i="3"/>
  <c r="B960" i="3"/>
  <c r="S959" i="3"/>
  <c r="I959" i="3"/>
  <c r="G959" i="3"/>
  <c r="D959" i="3"/>
  <c r="B959" i="3"/>
  <c r="S958" i="3"/>
  <c r="I958" i="3"/>
  <c r="G958" i="3"/>
  <c r="D958" i="3"/>
  <c r="B958" i="3"/>
  <c r="S957" i="3"/>
  <c r="I957" i="3"/>
  <c r="G957" i="3"/>
  <c r="D957" i="3"/>
  <c r="B957" i="3"/>
  <c r="S956" i="3"/>
  <c r="I956" i="3"/>
  <c r="G956" i="3"/>
  <c r="D956" i="3"/>
  <c r="B956" i="3"/>
  <c r="S955" i="3"/>
  <c r="I955" i="3"/>
  <c r="G955" i="3"/>
  <c r="D955" i="3"/>
  <c r="B955" i="3"/>
  <c r="S954" i="3"/>
  <c r="I954" i="3"/>
  <c r="G954" i="3"/>
  <c r="D954" i="3"/>
  <c r="B954" i="3"/>
  <c r="S953" i="3"/>
  <c r="I953" i="3"/>
  <c r="G953" i="3"/>
  <c r="D953" i="3"/>
  <c r="B953" i="3"/>
  <c r="S952" i="3"/>
  <c r="I952" i="3"/>
  <c r="G952" i="3"/>
  <c r="D952" i="3"/>
  <c r="B952" i="3"/>
  <c r="S951" i="3"/>
  <c r="I951" i="3"/>
  <c r="G951" i="3"/>
  <c r="D951" i="3"/>
  <c r="B951" i="3"/>
  <c r="S950" i="3"/>
  <c r="I950" i="3"/>
  <c r="G950" i="3"/>
  <c r="D950" i="3"/>
  <c r="B950" i="3"/>
  <c r="S949" i="3"/>
  <c r="I949" i="3"/>
  <c r="G949" i="3"/>
  <c r="D949" i="3"/>
  <c r="B949" i="3"/>
  <c r="S948" i="3"/>
  <c r="I948" i="3"/>
  <c r="G948" i="3"/>
  <c r="D948" i="3"/>
  <c r="B948" i="3"/>
  <c r="S947" i="3"/>
  <c r="I947" i="3"/>
  <c r="G947" i="3"/>
  <c r="D947" i="3"/>
  <c r="B947" i="3"/>
  <c r="S946" i="3"/>
  <c r="I946" i="3"/>
  <c r="G946" i="3"/>
  <c r="D946" i="3"/>
  <c r="B946" i="3"/>
  <c r="S945" i="3"/>
  <c r="I945" i="3"/>
  <c r="G945" i="3"/>
  <c r="D945" i="3"/>
  <c r="B945" i="3"/>
  <c r="S944" i="3"/>
  <c r="I944" i="3"/>
  <c r="G944" i="3"/>
  <c r="D944" i="3"/>
  <c r="B944" i="3"/>
  <c r="S943" i="3"/>
  <c r="I943" i="3"/>
  <c r="G943" i="3"/>
  <c r="D943" i="3"/>
  <c r="B943" i="3"/>
  <c r="S942" i="3"/>
  <c r="I942" i="3"/>
  <c r="G942" i="3"/>
  <c r="D942" i="3"/>
  <c r="B942" i="3"/>
  <c r="S941" i="3"/>
  <c r="I941" i="3"/>
  <c r="G941" i="3"/>
  <c r="D941" i="3"/>
  <c r="B941" i="3"/>
  <c r="S940" i="3"/>
  <c r="I940" i="3"/>
  <c r="G940" i="3"/>
  <c r="D940" i="3"/>
  <c r="B940" i="3"/>
  <c r="S939" i="3"/>
  <c r="I939" i="3"/>
  <c r="G939" i="3"/>
  <c r="D939" i="3"/>
  <c r="B939" i="3"/>
  <c r="S938" i="3"/>
  <c r="I938" i="3"/>
  <c r="G938" i="3"/>
  <c r="D938" i="3"/>
  <c r="B938" i="3"/>
  <c r="S937" i="3"/>
  <c r="I937" i="3"/>
  <c r="G937" i="3"/>
  <c r="D937" i="3"/>
  <c r="B937" i="3"/>
  <c r="S936" i="3"/>
  <c r="I936" i="3"/>
  <c r="G936" i="3"/>
  <c r="D936" i="3"/>
  <c r="B936" i="3"/>
  <c r="S935" i="3"/>
  <c r="I935" i="3"/>
  <c r="G935" i="3"/>
  <c r="D935" i="3"/>
  <c r="B935" i="3"/>
  <c r="S934" i="3"/>
  <c r="I934" i="3"/>
  <c r="G934" i="3"/>
  <c r="D934" i="3"/>
  <c r="B934" i="3"/>
  <c r="S933" i="3"/>
  <c r="I933" i="3"/>
  <c r="G933" i="3"/>
  <c r="D933" i="3"/>
  <c r="B933" i="3"/>
  <c r="S932" i="3"/>
  <c r="I932" i="3"/>
  <c r="G932" i="3"/>
  <c r="D932" i="3"/>
  <c r="B932" i="3"/>
  <c r="S931" i="3"/>
  <c r="I931" i="3"/>
  <c r="G931" i="3"/>
  <c r="D931" i="3"/>
  <c r="B931" i="3"/>
  <c r="S930" i="3"/>
  <c r="I930" i="3"/>
  <c r="G930" i="3"/>
  <c r="D930" i="3"/>
  <c r="B930" i="3"/>
  <c r="S929" i="3"/>
  <c r="I929" i="3"/>
  <c r="G929" i="3"/>
  <c r="D929" i="3"/>
  <c r="B929" i="3"/>
  <c r="S928" i="3"/>
  <c r="I928" i="3"/>
  <c r="G928" i="3"/>
  <c r="D928" i="3"/>
  <c r="B928" i="3"/>
  <c r="S927" i="3"/>
  <c r="I927" i="3"/>
  <c r="G927" i="3"/>
  <c r="D927" i="3"/>
  <c r="B927" i="3"/>
  <c r="S926" i="3"/>
  <c r="I926" i="3"/>
  <c r="G926" i="3"/>
  <c r="D926" i="3"/>
  <c r="B926" i="3"/>
  <c r="S925" i="3"/>
  <c r="I925" i="3"/>
  <c r="G925" i="3"/>
  <c r="D925" i="3"/>
  <c r="B925" i="3"/>
  <c r="S924" i="3"/>
  <c r="I924" i="3"/>
  <c r="G924" i="3"/>
  <c r="D924" i="3"/>
  <c r="B924" i="3"/>
  <c r="S923" i="3"/>
  <c r="I923" i="3"/>
  <c r="G923" i="3"/>
  <c r="D923" i="3"/>
  <c r="B923" i="3"/>
  <c r="S922" i="3"/>
  <c r="I922" i="3"/>
  <c r="G922" i="3"/>
  <c r="D922" i="3"/>
  <c r="B922" i="3"/>
  <c r="S921" i="3"/>
  <c r="I921" i="3"/>
  <c r="G921" i="3"/>
  <c r="D921" i="3"/>
  <c r="B921" i="3"/>
  <c r="S920" i="3"/>
  <c r="I920" i="3"/>
  <c r="G920" i="3"/>
  <c r="D920" i="3"/>
  <c r="B920" i="3"/>
  <c r="S919" i="3"/>
  <c r="I919" i="3"/>
  <c r="G919" i="3"/>
  <c r="D919" i="3"/>
  <c r="B919" i="3"/>
  <c r="S918" i="3"/>
  <c r="I918" i="3"/>
  <c r="G918" i="3"/>
  <c r="D918" i="3"/>
  <c r="B918" i="3"/>
  <c r="S917" i="3"/>
  <c r="I917" i="3"/>
  <c r="G917" i="3"/>
  <c r="D917" i="3"/>
  <c r="B917" i="3"/>
  <c r="S916" i="3"/>
  <c r="I916" i="3"/>
  <c r="G916" i="3"/>
  <c r="D916" i="3"/>
  <c r="B916" i="3"/>
  <c r="S915" i="3"/>
  <c r="I915" i="3"/>
  <c r="G915" i="3"/>
  <c r="D915" i="3"/>
  <c r="B915" i="3"/>
  <c r="S914" i="3"/>
  <c r="I914" i="3"/>
  <c r="G914" i="3"/>
  <c r="D914" i="3"/>
  <c r="B914" i="3"/>
  <c r="S913" i="3"/>
  <c r="I913" i="3"/>
  <c r="G913" i="3"/>
  <c r="D913" i="3"/>
  <c r="B913" i="3"/>
  <c r="S912" i="3"/>
  <c r="I912" i="3"/>
  <c r="G912" i="3"/>
  <c r="D912" i="3"/>
  <c r="B912" i="3"/>
  <c r="S911" i="3"/>
  <c r="I911" i="3"/>
  <c r="G911" i="3"/>
  <c r="D911" i="3"/>
  <c r="B911" i="3"/>
  <c r="S910" i="3"/>
  <c r="I910" i="3"/>
  <c r="G910" i="3"/>
  <c r="D910" i="3"/>
  <c r="B910" i="3"/>
  <c r="S909" i="3"/>
  <c r="I909" i="3"/>
  <c r="G909" i="3"/>
  <c r="D909" i="3"/>
  <c r="B909" i="3"/>
  <c r="S908" i="3"/>
  <c r="I908" i="3"/>
  <c r="G908" i="3"/>
  <c r="D908" i="3"/>
  <c r="B908" i="3"/>
  <c r="S907" i="3"/>
  <c r="I907" i="3"/>
  <c r="G907" i="3"/>
  <c r="D907" i="3"/>
  <c r="B907" i="3"/>
  <c r="S906" i="3"/>
  <c r="I906" i="3"/>
  <c r="G906" i="3"/>
  <c r="D906" i="3"/>
  <c r="B906" i="3"/>
  <c r="S905" i="3"/>
  <c r="I905" i="3"/>
  <c r="G905" i="3"/>
  <c r="D905" i="3"/>
  <c r="B905" i="3"/>
  <c r="S904" i="3"/>
  <c r="I904" i="3"/>
  <c r="G904" i="3"/>
  <c r="D904" i="3"/>
  <c r="B904" i="3"/>
  <c r="S903" i="3"/>
  <c r="I903" i="3"/>
  <c r="G903" i="3"/>
  <c r="D903" i="3"/>
  <c r="B903" i="3"/>
  <c r="S902" i="3"/>
  <c r="I902" i="3"/>
  <c r="G902" i="3"/>
  <c r="D902" i="3"/>
  <c r="B902" i="3"/>
  <c r="S901" i="3"/>
  <c r="I901" i="3"/>
  <c r="G901" i="3"/>
  <c r="D901" i="3"/>
  <c r="B901" i="3"/>
  <c r="S900" i="3"/>
  <c r="I900" i="3"/>
  <c r="G900" i="3"/>
  <c r="D900" i="3"/>
  <c r="B900" i="3"/>
  <c r="S899" i="3"/>
  <c r="I899" i="3"/>
  <c r="G899" i="3"/>
  <c r="D899" i="3"/>
  <c r="B899" i="3"/>
  <c r="S898" i="3"/>
  <c r="I898" i="3"/>
  <c r="G898" i="3"/>
  <c r="D898" i="3"/>
  <c r="B898" i="3"/>
  <c r="S897" i="3"/>
  <c r="I897" i="3"/>
  <c r="G897" i="3"/>
  <c r="D897" i="3"/>
  <c r="B897" i="3"/>
  <c r="S896" i="3"/>
  <c r="I896" i="3"/>
  <c r="G896" i="3"/>
  <c r="D896" i="3"/>
  <c r="B896" i="3"/>
  <c r="S895" i="3"/>
  <c r="I895" i="3"/>
  <c r="G895" i="3"/>
  <c r="D895" i="3"/>
  <c r="B895" i="3"/>
  <c r="S894" i="3"/>
  <c r="I894" i="3"/>
  <c r="G894" i="3"/>
  <c r="D894" i="3"/>
  <c r="B894" i="3"/>
  <c r="S893" i="3"/>
  <c r="I893" i="3"/>
  <c r="G893" i="3"/>
  <c r="D893" i="3"/>
  <c r="B893" i="3"/>
  <c r="S892" i="3"/>
  <c r="I892" i="3"/>
  <c r="G892" i="3"/>
  <c r="D892" i="3"/>
  <c r="B892" i="3"/>
  <c r="S891" i="3"/>
  <c r="I891" i="3"/>
  <c r="G891" i="3"/>
  <c r="D891" i="3"/>
  <c r="B891" i="3"/>
  <c r="S890" i="3"/>
  <c r="I890" i="3"/>
  <c r="G890" i="3"/>
  <c r="D890" i="3"/>
  <c r="B890" i="3"/>
  <c r="S889" i="3"/>
  <c r="I889" i="3"/>
  <c r="G889" i="3"/>
  <c r="D889" i="3"/>
  <c r="B889" i="3"/>
  <c r="S888" i="3"/>
  <c r="I888" i="3"/>
  <c r="G888" i="3"/>
  <c r="D888" i="3"/>
  <c r="B888" i="3"/>
  <c r="S887" i="3"/>
  <c r="I887" i="3"/>
  <c r="G887" i="3"/>
  <c r="D887" i="3"/>
  <c r="B887" i="3"/>
  <c r="S886" i="3"/>
  <c r="I886" i="3"/>
  <c r="G886" i="3"/>
  <c r="D886" i="3"/>
  <c r="B886" i="3"/>
  <c r="S885" i="3"/>
  <c r="I885" i="3"/>
  <c r="G885" i="3"/>
  <c r="D885" i="3"/>
  <c r="B885" i="3"/>
  <c r="S884" i="3"/>
  <c r="I884" i="3"/>
  <c r="G884" i="3"/>
  <c r="D884" i="3"/>
  <c r="B884" i="3"/>
  <c r="S883" i="3"/>
  <c r="I883" i="3"/>
  <c r="G883" i="3"/>
  <c r="D883" i="3"/>
  <c r="B883" i="3"/>
  <c r="S882" i="3"/>
  <c r="I882" i="3"/>
  <c r="G882" i="3"/>
  <c r="D882" i="3"/>
  <c r="B882" i="3"/>
  <c r="S881" i="3"/>
  <c r="I881" i="3"/>
  <c r="G881" i="3"/>
  <c r="D881" i="3"/>
  <c r="B881" i="3"/>
  <c r="S880" i="3"/>
  <c r="I880" i="3"/>
  <c r="G880" i="3"/>
  <c r="D880" i="3"/>
  <c r="B880" i="3"/>
  <c r="S879" i="3"/>
  <c r="I879" i="3"/>
  <c r="G879" i="3"/>
  <c r="D879" i="3"/>
  <c r="B879" i="3"/>
  <c r="S878" i="3"/>
  <c r="I878" i="3"/>
  <c r="G878" i="3"/>
  <c r="D878" i="3"/>
  <c r="B878" i="3"/>
  <c r="S877" i="3"/>
  <c r="I877" i="3"/>
  <c r="G877" i="3"/>
  <c r="D877" i="3"/>
  <c r="B877" i="3"/>
  <c r="S876" i="3"/>
  <c r="I876" i="3"/>
  <c r="G876" i="3"/>
  <c r="D876" i="3"/>
  <c r="B876" i="3"/>
  <c r="S875" i="3"/>
  <c r="I875" i="3"/>
  <c r="G875" i="3"/>
  <c r="D875" i="3"/>
  <c r="B875" i="3"/>
  <c r="S874" i="3"/>
  <c r="I874" i="3"/>
  <c r="G874" i="3"/>
  <c r="D874" i="3"/>
  <c r="B874" i="3"/>
  <c r="S873" i="3"/>
  <c r="I873" i="3"/>
  <c r="G873" i="3"/>
  <c r="D873" i="3"/>
  <c r="B873" i="3"/>
  <c r="S872" i="3"/>
  <c r="I872" i="3"/>
  <c r="G872" i="3"/>
  <c r="D872" i="3"/>
  <c r="B872" i="3"/>
  <c r="S871" i="3"/>
  <c r="I871" i="3"/>
  <c r="G871" i="3"/>
  <c r="D871" i="3"/>
  <c r="B871" i="3"/>
  <c r="S870" i="3"/>
  <c r="I870" i="3"/>
  <c r="G870" i="3"/>
  <c r="D870" i="3"/>
  <c r="B870" i="3"/>
  <c r="S869" i="3"/>
  <c r="I869" i="3"/>
  <c r="G869" i="3"/>
  <c r="D869" i="3"/>
  <c r="B869" i="3"/>
  <c r="S868" i="3"/>
  <c r="I868" i="3"/>
  <c r="G868" i="3"/>
  <c r="D868" i="3"/>
  <c r="B868" i="3"/>
  <c r="S867" i="3"/>
  <c r="I867" i="3"/>
  <c r="G867" i="3"/>
  <c r="D867" i="3"/>
  <c r="B867" i="3"/>
  <c r="S866" i="3"/>
  <c r="I866" i="3"/>
  <c r="G866" i="3"/>
  <c r="D866" i="3"/>
  <c r="B866" i="3"/>
  <c r="S865" i="3"/>
  <c r="I865" i="3"/>
  <c r="G865" i="3"/>
  <c r="D865" i="3"/>
  <c r="B865" i="3"/>
  <c r="S864" i="3"/>
  <c r="I864" i="3"/>
  <c r="G864" i="3"/>
  <c r="D864" i="3"/>
  <c r="B864" i="3"/>
  <c r="S863" i="3"/>
  <c r="I863" i="3"/>
  <c r="G863" i="3"/>
  <c r="D863" i="3"/>
  <c r="B863" i="3"/>
  <c r="S862" i="3"/>
  <c r="I862" i="3"/>
  <c r="G862" i="3"/>
  <c r="D862" i="3"/>
  <c r="B862" i="3"/>
  <c r="S861" i="3"/>
  <c r="I861" i="3"/>
  <c r="G861" i="3"/>
  <c r="D861" i="3"/>
  <c r="B861" i="3"/>
  <c r="S860" i="3"/>
  <c r="I860" i="3"/>
  <c r="G860" i="3"/>
  <c r="D860" i="3"/>
  <c r="B860" i="3"/>
  <c r="S859" i="3"/>
  <c r="I859" i="3"/>
  <c r="G859" i="3"/>
  <c r="D859" i="3"/>
  <c r="B859" i="3"/>
  <c r="S858" i="3"/>
  <c r="I858" i="3"/>
  <c r="G858" i="3"/>
  <c r="D858" i="3"/>
  <c r="B858" i="3"/>
  <c r="S857" i="3"/>
  <c r="I857" i="3"/>
  <c r="G857" i="3"/>
  <c r="D857" i="3"/>
  <c r="B857" i="3"/>
  <c r="S856" i="3"/>
  <c r="I856" i="3"/>
  <c r="G856" i="3"/>
  <c r="D856" i="3"/>
  <c r="B856" i="3"/>
  <c r="S855" i="3"/>
  <c r="I855" i="3"/>
  <c r="G855" i="3"/>
  <c r="D855" i="3"/>
  <c r="B855" i="3"/>
  <c r="S854" i="3"/>
  <c r="I854" i="3"/>
  <c r="G854" i="3"/>
  <c r="D854" i="3"/>
  <c r="B854" i="3"/>
  <c r="S853" i="3"/>
  <c r="I853" i="3"/>
  <c r="G853" i="3"/>
  <c r="D853" i="3"/>
  <c r="B853" i="3"/>
  <c r="S852" i="3"/>
  <c r="I852" i="3"/>
  <c r="G852" i="3"/>
  <c r="D852" i="3"/>
  <c r="B852" i="3"/>
  <c r="S851" i="3"/>
  <c r="I851" i="3"/>
  <c r="G851" i="3"/>
  <c r="D851" i="3"/>
  <c r="B851" i="3"/>
  <c r="S850" i="3"/>
  <c r="I850" i="3"/>
  <c r="G850" i="3"/>
  <c r="D850" i="3"/>
  <c r="B850" i="3"/>
  <c r="S849" i="3"/>
  <c r="I849" i="3"/>
  <c r="G849" i="3"/>
  <c r="D849" i="3"/>
  <c r="B849" i="3"/>
  <c r="S848" i="3"/>
  <c r="I848" i="3"/>
  <c r="G848" i="3"/>
  <c r="D848" i="3"/>
  <c r="B848" i="3"/>
  <c r="S847" i="3"/>
  <c r="I847" i="3"/>
  <c r="G847" i="3"/>
  <c r="D847" i="3"/>
  <c r="B847" i="3"/>
  <c r="S846" i="3"/>
  <c r="I846" i="3"/>
  <c r="G846" i="3"/>
  <c r="D846" i="3"/>
  <c r="B846" i="3"/>
  <c r="S845" i="3"/>
  <c r="I845" i="3"/>
  <c r="G845" i="3"/>
  <c r="D845" i="3"/>
  <c r="B845" i="3"/>
  <c r="S844" i="3"/>
  <c r="I844" i="3"/>
  <c r="G844" i="3"/>
  <c r="D844" i="3"/>
  <c r="B844" i="3"/>
  <c r="S843" i="3"/>
  <c r="I843" i="3"/>
  <c r="G843" i="3"/>
  <c r="D843" i="3"/>
  <c r="B843" i="3"/>
  <c r="S842" i="3"/>
  <c r="I842" i="3"/>
  <c r="G842" i="3"/>
  <c r="D842" i="3"/>
  <c r="B842" i="3"/>
  <c r="S841" i="3"/>
  <c r="I841" i="3"/>
  <c r="G841" i="3"/>
  <c r="D841" i="3"/>
  <c r="B841" i="3"/>
  <c r="S840" i="3"/>
  <c r="I840" i="3"/>
  <c r="G840" i="3"/>
  <c r="D840" i="3"/>
  <c r="B840" i="3"/>
  <c r="S839" i="3"/>
  <c r="I839" i="3"/>
  <c r="G839" i="3"/>
  <c r="D839" i="3"/>
  <c r="B839" i="3"/>
  <c r="S838" i="3"/>
  <c r="I838" i="3"/>
  <c r="G838" i="3"/>
  <c r="D838" i="3"/>
  <c r="B838" i="3"/>
  <c r="S837" i="3"/>
  <c r="I837" i="3"/>
  <c r="G837" i="3"/>
  <c r="D837" i="3"/>
  <c r="B837" i="3"/>
  <c r="S836" i="3"/>
  <c r="I836" i="3"/>
  <c r="G836" i="3"/>
  <c r="D836" i="3"/>
  <c r="B836" i="3"/>
  <c r="S835" i="3"/>
  <c r="I835" i="3"/>
  <c r="G835" i="3"/>
  <c r="D835" i="3"/>
  <c r="B835" i="3"/>
  <c r="S834" i="3"/>
  <c r="I834" i="3"/>
  <c r="G834" i="3"/>
  <c r="D834" i="3"/>
  <c r="B834" i="3"/>
  <c r="S833" i="3"/>
  <c r="I833" i="3"/>
  <c r="G833" i="3"/>
  <c r="D833" i="3"/>
  <c r="B833" i="3"/>
  <c r="S832" i="3"/>
  <c r="I832" i="3"/>
  <c r="G832" i="3"/>
  <c r="D832" i="3"/>
  <c r="B832" i="3"/>
  <c r="S831" i="3"/>
  <c r="I831" i="3"/>
  <c r="G831" i="3"/>
  <c r="D831" i="3"/>
  <c r="B831" i="3"/>
  <c r="S830" i="3"/>
  <c r="I830" i="3"/>
  <c r="G830" i="3"/>
  <c r="D830" i="3"/>
  <c r="B830" i="3"/>
  <c r="S829" i="3"/>
  <c r="I829" i="3"/>
  <c r="G829" i="3"/>
  <c r="D829" i="3"/>
  <c r="B829" i="3"/>
  <c r="S828" i="3"/>
  <c r="I828" i="3"/>
  <c r="G828" i="3"/>
  <c r="D828" i="3"/>
  <c r="B828" i="3"/>
  <c r="S827" i="3"/>
  <c r="I827" i="3"/>
  <c r="G827" i="3"/>
  <c r="D827" i="3"/>
  <c r="B827" i="3"/>
  <c r="S826" i="3"/>
  <c r="I826" i="3"/>
  <c r="G826" i="3"/>
  <c r="D826" i="3"/>
  <c r="B826" i="3"/>
  <c r="S825" i="3"/>
  <c r="I825" i="3"/>
  <c r="G825" i="3"/>
  <c r="D825" i="3"/>
  <c r="B825" i="3"/>
  <c r="S824" i="3"/>
  <c r="I824" i="3"/>
  <c r="G824" i="3"/>
  <c r="D824" i="3"/>
  <c r="B824" i="3"/>
  <c r="S823" i="3"/>
  <c r="I823" i="3"/>
  <c r="G823" i="3"/>
  <c r="D823" i="3"/>
  <c r="B823" i="3"/>
  <c r="S822" i="3"/>
  <c r="I822" i="3"/>
  <c r="G822" i="3"/>
  <c r="D822" i="3"/>
  <c r="B822" i="3"/>
  <c r="S821" i="3"/>
  <c r="I821" i="3"/>
  <c r="G821" i="3"/>
  <c r="D821" i="3"/>
  <c r="B821" i="3"/>
  <c r="S820" i="3"/>
  <c r="I820" i="3"/>
  <c r="G820" i="3"/>
  <c r="D820" i="3"/>
  <c r="B820" i="3"/>
  <c r="S819" i="3"/>
  <c r="I819" i="3"/>
  <c r="G819" i="3"/>
  <c r="D819" i="3"/>
  <c r="B819" i="3"/>
  <c r="S818" i="3"/>
  <c r="I818" i="3"/>
  <c r="G818" i="3"/>
  <c r="D818" i="3"/>
  <c r="B818" i="3"/>
  <c r="S817" i="3"/>
  <c r="I817" i="3"/>
  <c r="G817" i="3"/>
  <c r="D817" i="3"/>
  <c r="B817" i="3"/>
  <c r="S816" i="3"/>
  <c r="I816" i="3"/>
  <c r="G816" i="3"/>
  <c r="D816" i="3"/>
  <c r="B816" i="3"/>
  <c r="S815" i="3"/>
  <c r="I815" i="3"/>
  <c r="G815" i="3"/>
  <c r="D815" i="3"/>
  <c r="B815" i="3"/>
  <c r="S814" i="3"/>
  <c r="I814" i="3"/>
  <c r="G814" i="3"/>
  <c r="D814" i="3"/>
  <c r="B814" i="3"/>
  <c r="S813" i="3"/>
  <c r="I813" i="3"/>
  <c r="G813" i="3"/>
  <c r="D813" i="3"/>
  <c r="B813" i="3"/>
  <c r="S812" i="3"/>
  <c r="I812" i="3"/>
  <c r="G812" i="3"/>
  <c r="D812" i="3"/>
  <c r="B812" i="3"/>
  <c r="S811" i="3"/>
  <c r="I811" i="3"/>
  <c r="G811" i="3"/>
  <c r="D811" i="3"/>
  <c r="B811" i="3"/>
  <c r="S810" i="3"/>
  <c r="I810" i="3"/>
  <c r="G810" i="3"/>
  <c r="D810" i="3"/>
  <c r="B810" i="3"/>
  <c r="S809" i="3"/>
  <c r="I809" i="3"/>
  <c r="G809" i="3"/>
  <c r="D809" i="3"/>
  <c r="B809" i="3"/>
  <c r="S808" i="3"/>
  <c r="I808" i="3"/>
  <c r="G808" i="3"/>
  <c r="D808" i="3"/>
  <c r="B808" i="3"/>
  <c r="S807" i="3"/>
  <c r="I807" i="3"/>
  <c r="G807" i="3"/>
  <c r="D807" i="3"/>
  <c r="B807" i="3"/>
  <c r="S806" i="3"/>
  <c r="I806" i="3"/>
  <c r="G806" i="3"/>
  <c r="D806" i="3"/>
  <c r="B806" i="3"/>
  <c r="S805" i="3"/>
  <c r="I805" i="3"/>
  <c r="G805" i="3"/>
  <c r="D805" i="3"/>
  <c r="B805" i="3"/>
  <c r="S804" i="3"/>
  <c r="I804" i="3"/>
  <c r="G804" i="3"/>
  <c r="D804" i="3"/>
  <c r="B804" i="3"/>
  <c r="S803" i="3"/>
  <c r="I803" i="3"/>
  <c r="G803" i="3"/>
  <c r="D803" i="3"/>
  <c r="B803" i="3"/>
  <c r="S802" i="3"/>
  <c r="I802" i="3"/>
  <c r="G802" i="3"/>
  <c r="D802" i="3"/>
  <c r="B802" i="3"/>
  <c r="S801" i="3"/>
  <c r="I801" i="3"/>
  <c r="G801" i="3"/>
  <c r="D801" i="3"/>
  <c r="B801" i="3"/>
  <c r="S800" i="3"/>
  <c r="I800" i="3"/>
  <c r="G800" i="3"/>
  <c r="D800" i="3"/>
  <c r="B800" i="3"/>
  <c r="S799" i="3"/>
  <c r="I799" i="3"/>
  <c r="G799" i="3"/>
  <c r="D799" i="3"/>
  <c r="B799" i="3"/>
  <c r="S798" i="3"/>
  <c r="I798" i="3"/>
  <c r="G798" i="3"/>
  <c r="D798" i="3"/>
  <c r="B798" i="3"/>
  <c r="S797" i="3"/>
  <c r="I797" i="3"/>
  <c r="G797" i="3"/>
  <c r="D797" i="3"/>
  <c r="B797" i="3"/>
  <c r="S796" i="3"/>
  <c r="I796" i="3"/>
  <c r="G796" i="3"/>
  <c r="D796" i="3"/>
  <c r="B796" i="3"/>
  <c r="S795" i="3"/>
  <c r="I795" i="3"/>
  <c r="G795" i="3"/>
  <c r="D795" i="3"/>
  <c r="B795" i="3"/>
  <c r="S794" i="3"/>
  <c r="I794" i="3"/>
  <c r="G794" i="3"/>
  <c r="D794" i="3"/>
  <c r="B794" i="3"/>
  <c r="S793" i="3"/>
  <c r="I793" i="3"/>
  <c r="G793" i="3"/>
  <c r="D793" i="3"/>
  <c r="B793" i="3"/>
  <c r="S792" i="3"/>
  <c r="I792" i="3"/>
  <c r="G792" i="3"/>
  <c r="D792" i="3"/>
  <c r="B792" i="3"/>
  <c r="S791" i="3"/>
  <c r="I791" i="3"/>
  <c r="G791" i="3"/>
  <c r="D791" i="3"/>
  <c r="B791" i="3"/>
  <c r="S790" i="3"/>
  <c r="I790" i="3"/>
  <c r="G790" i="3"/>
  <c r="D790" i="3"/>
  <c r="B790" i="3"/>
  <c r="S789" i="3"/>
  <c r="I789" i="3"/>
  <c r="G789" i="3"/>
  <c r="D789" i="3"/>
  <c r="B789" i="3"/>
  <c r="S788" i="3"/>
  <c r="I788" i="3"/>
  <c r="G788" i="3"/>
  <c r="D788" i="3"/>
  <c r="B788" i="3"/>
  <c r="S787" i="3"/>
  <c r="I787" i="3"/>
  <c r="G787" i="3"/>
  <c r="D787" i="3"/>
  <c r="B787" i="3"/>
  <c r="S786" i="3"/>
  <c r="I786" i="3"/>
  <c r="G786" i="3"/>
  <c r="D786" i="3"/>
  <c r="B786" i="3"/>
  <c r="S785" i="3"/>
  <c r="I785" i="3"/>
  <c r="G785" i="3"/>
  <c r="D785" i="3"/>
  <c r="B785" i="3"/>
  <c r="S784" i="3"/>
  <c r="I784" i="3"/>
  <c r="G784" i="3"/>
  <c r="D784" i="3"/>
  <c r="B784" i="3"/>
  <c r="S783" i="3"/>
  <c r="I783" i="3"/>
  <c r="G783" i="3"/>
  <c r="D783" i="3"/>
  <c r="B783" i="3"/>
  <c r="S782" i="3"/>
  <c r="I782" i="3"/>
  <c r="G782" i="3"/>
  <c r="D782" i="3"/>
  <c r="B782" i="3"/>
  <c r="S781" i="3"/>
  <c r="I781" i="3"/>
  <c r="G781" i="3"/>
  <c r="D781" i="3"/>
  <c r="B781" i="3"/>
  <c r="S780" i="3"/>
  <c r="I780" i="3"/>
  <c r="G780" i="3"/>
  <c r="D780" i="3"/>
  <c r="B780" i="3"/>
  <c r="S779" i="3"/>
  <c r="I779" i="3"/>
  <c r="G779" i="3"/>
  <c r="D779" i="3"/>
  <c r="B779" i="3"/>
  <c r="S778" i="3"/>
  <c r="I778" i="3"/>
  <c r="G778" i="3"/>
  <c r="D778" i="3"/>
  <c r="B778" i="3"/>
  <c r="S777" i="3"/>
  <c r="I777" i="3"/>
  <c r="G777" i="3"/>
  <c r="D777" i="3"/>
  <c r="B777" i="3"/>
  <c r="S776" i="3"/>
  <c r="I776" i="3"/>
  <c r="G776" i="3"/>
  <c r="D776" i="3"/>
  <c r="B776" i="3"/>
  <c r="S775" i="3"/>
  <c r="I775" i="3"/>
  <c r="G775" i="3"/>
  <c r="D775" i="3"/>
  <c r="B775" i="3"/>
  <c r="S774" i="3"/>
  <c r="I774" i="3"/>
  <c r="G774" i="3"/>
  <c r="D774" i="3"/>
  <c r="B774" i="3"/>
  <c r="S773" i="3"/>
  <c r="I773" i="3"/>
  <c r="G773" i="3"/>
  <c r="D773" i="3"/>
  <c r="B773" i="3"/>
  <c r="S772" i="3"/>
  <c r="I772" i="3"/>
  <c r="G772" i="3"/>
  <c r="D772" i="3"/>
  <c r="B772" i="3"/>
  <c r="S771" i="3"/>
  <c r="I771" i="3"/>
  <c r="G771" i="3"/>
  <c r="D771" i="3"/>
  <c r="B771" i="3"/>
  <c r="S770" i="3"/>
  <c r="I770" i="3"/>
  <c r="G770" i="3"/>
  <c r="D770" i="3"/>
  <c r="B770" i="3"/>
  <c r="S769" i="3"/>
  <c r="I769" i="3"/>
  <c r="G769" i="3"/>
  <c r="D769" i="3"/>
  <c r="B769" i="3"/>
  <c r="S768" i="3"/>
  <c r="I768" i="3"/>
  <c r="G768" i="3"/>
  <c r="D768" i="3"/>
  <c r="B768" i="3"/>
  <c r="S767" i="3"/>
  <c r="I767" i="3"/>
  <c r="G767" i="3"/>
  <c r="D767" i="3"/>
  <c r="B767" i="3"/>
  <c r="S766" i="3"/>
  <c r="I766" i="3"/>
  <c r="G766" i="3"/>
  <c r="D766" i="3"/>
  <c r="B766" i="3"/>
  <c r="S765" i="3"/>
  <c r="I765" i="3"/>
  <c r="G765" i="3"/>
  <c r="D765" i="3"/>
  <c r="B765" i="3"/>
  <c r="S764" i="3"/>
  <c r="I764" i="3"/>
  <c r="G764" i="3"/>
  <c r="D764" i="3"/>
  <c r="B764" i="3"/>
  <c r="S763" i="3"/>
  <c r="I763" i="3"/>
  <c r="G763" i="3"/>
  <c r="D763" i="3"/>
  <c r="B763" i="3"/>
  <c r="S762" i="3"/>
  <c r="I762" i="3"/>
  <c r="G762" i="3"/>
  <c r="D762" i="3"/>
  <c r="B762" i="3"/>
  <c r="S761" i="3"/>
  <c r="I761" i="3"/>
  <c r="G761" i="3"/>
  <c r="D761" i="3"/>
  <c r="B761" i="3"/>
  <c r="S760" i="3"/>
  <c r="I760" i="3"/>
  <c r="G760" i="3"/>
  <c r="D760" i="3"/>
  <c r="B760" i="3"/>
  <c r="S759" i="3"/>
  <c r="I759" i="3"/>
  <c r="G759" i="3"/>
  <c r="D759" i="3"/>
  <c r="B759" i="3"/>
  <c r="S758" i="3"/>
  <c r="I758" i="3"/>
  <c r="G758" i="3"/>
  <c r="D758" i="3"/>
  <c r="B758" i="3"/>
  <c r="S757" i="3"/>
  <c r="I757" i="3"/>
  <c r="G757" i="3"/>
  <c r="D757" i="3"/>
  <c r="B757" i="3"/>
  <c r="S756" i="3"/>
  <c r="I756" i="3"/>
  <c r="G756" i="3"/>
  <c r="D756" i="3"/>
  <c r="B756" i="3"/>
  <c r="S755" i="3"/>
  <c r="I755" i="3"/>
  <c r="G755" i="3"/>
  <c r="D755" i="3"/>
  <c r="B755" i="3"/>
  <c r="S754" i="3"/>
  <c r="I754" i="3"/>
  <c r="G754" i="3"/>
  <c r="D754" i="3"/>
  <c r="B754" i="3"/>
  <c r="S753" i="3"/>
  <c r="I753" i="3"/>
  <c r="G753" i="3"/>
  <c r="D753" i="3"/>
  <c r="B753" i="3"/>
  <c r="S752" i="3"/>
  <c r="I752" i="3"/>
  <c r="G752" i="3"/>
  <c r="D752" i="3"/>
  <c r="B752" i="3"/>
  <c r="S751" i="3"/>
  <c r="I751" i="3"/>
  <c r="G751" i="3"/>
  <c r="D751" i="3"/>
  <c r="B751" i="3"/>
  <c r="S750" i="3"/>
  <c r="I750" i="3"/>
  <c r="G750" i="3"/>
  <c r="D750" i="3"/>
  <c r="B750" i="3"/>
  <c r="S749" i="3"/>
  <c r="I749" i="3"/>
  <c r="G749" i="3"/>
  <c r="D749" i="3"/>
  <c r="B749" i="3"/>
  <c r="S748" i="3"/>
  <c r="I748" i="3"/>
  <c r="G748" i="3"/>
  <c r="D748" i="3"/>
  <c r="B748" i="3"/>
  <c r="S747" i="3"/>
  <c r="I747" i="3"/>
  <c r="G747" i="3"/>
  <c r="D747" i="3"/>
  <c r="B747" i="3"/>
  <c r="S746" i="3"/>
  <c r="I746" i="3"/>
  <c r="G746" i="3"/>
  <c r="D746" i="3"/>
  <c r="B746" i="3"/>
  <c r="S745" i="3"/>
  <c r="I745" i="3"/>
  <c r="G745" i="3"/>
  <c r="D745" i="3"/>
  <c r="B745" i="3"/>
  <c r="S744" i="3"/>
  <c r="I744" i="3"/>
  <c r="G744" i="3"/>
  <c r="D744" i="3"/>
  <c r="B744" i="3"/>
  <c r="S743" i="3"/>
  <c r="I743" i="3"/>
  <c r="G743" i="3"/>
  <c r="D743" i="3"/>
  <c r="B743" i="3"/>
  <c r="S742" i="3"/>
  <c r="I742" i="3"/>
  <c r="G742" i="3"/>
  <c r="D742" i="3"/>
  <c r="B742" i="3"/>
  <c r="S741" i="3"/>
  <c r="I741" i="3"/>
  <c r="G741" i="3"/>
  <c r="D741" i="3"/>
  <c r="B741" i="3"/>
  <c r="S740" i="3"/>
  <c r="I740" i="3"/>
  <c r="G740" i="3"/>
  <c r="D740" i="3"/>
  <c r="B740" i="3"/>
  <c r="S739" i="3"/>
  <c r="I739" i="3"/>
  <c r="G739" i="3"/>
  <c r="D739" i="3"/>
  <c r="B739" i="3"/>
  <c r="S738" i="3"/>
  <c r="I738" i="3"/>
  <c r="G738" i="3"/>
  <c r="D738" i="3"/>
  <c r="B738" i="3"/>
  <c r="S737" i="3"/>
  <c r="I737" i="3"/>
  <c r="G737" i="3"/>
  <c r="D737" i="3"/>
  <c r="B737" i="3"/>
  <c r="S736" i="3"/>
  <c r="I736" i="3"/>
  <c r="G736" i="3"/>
  <c r="D736" i="3"/>
  <c r="B736" i="3"/>
  <c r="S735" i="3"/>
  <c r="I735" i="3"/>
  <c r="G735" i="3"/>
  <c r="D735" i="3"/>
  <c r="B735" i="3"/>
  <c r="S734" i="3"/>
  <c r="I734" i="3"/>
  <c r="G734" i="3"/>
  <c r="D734" i="3"/>
  <c r="B734" i="3"/>
  <c r="S733" i="3"/>
  <c r="I733" i="3"/>
  <c r="G733" i="3"/>
  <c r="D733" i="3"/>
  <c r="B733" i="3"/>
  <c r="S732" i="3"/>
  <c r="I732" i="3"/>
  <c r="G732" i="3"/>
  <c r="D732" i="3"/>
  <c r="B732" i="3"/>
  <c r="S731" i="3"/>
  <c r="I731" i="3"/>
  <c r="G731" i="3"/>
  <c r="D731" i="3"/>
  <c r="B731" i="3"/>
  <c r="S730" i="3"/>
  <c r="I730" i="3"/>
  <c r="G730" i="3"/>
  <c r="D730" i="3"/>
  <c r="B730" i="3"/>
  <c r="S729" i="3"/>
  <c r="I729" i="3"/>
  <c r="G729" i="3"/>
  <c r="D729" i="3"/>
  <c r="B729" i="3"/>
  <c r="S728" i="3"/>
  <c r="I728" i="3"/>
  <c r="G728" i="3"/>
  <c r="D728" i="3"/>
  <c r="B728" i="3"/>
  <c r="S727" i="3"/>
  <c r="I727" i="3"/>
  <c r="G727" i="3"/>
  <c r="D727" i="3"/>
  <c r="B727" i="3"/>
  <c r="S726" i="3"/>
  <c r="I726" i="3"/>
  <c r="G726" i="3"/>
  <c r="D726" i="3"/>
  <c r="B726" i="3"/>
  <c r="S725" i="3"/>
  <c r="I725" i="3"/>
  <c r="G725" i="3"/>
  <c r="D725" i="3"/>
  <c r="B725" i="3"/>
  <c r="S724" i="3"/>
  <c r="I724" i="3"/>
  <c r="G724" i="3"/>
  <c r="D724" i="3"/>
  <c r="B724" i="3"/>
  <c r="S723" i="3"/>
  <c r="I723" i="3"/>
  <c r="G723" i="3"/>
  <c r="D723" i="3"/>
  <c r="B723" i="3"/>
  <c r="S722" i="3"/>
  <c r="I722" i="3"/>
  <c r="G722" i="3"/>
  <c r="D722" i="3"/>
  <c r="B722" i="3"/>
  <c r="S721" i="3"/>
  <c r="I721" i="3"/>
  <c r="G721" i="3"/>
  <c r="D721" i="3"/>
  <c r="B721" i="3"/>
  <c r="S720" i="3"/>
  <c r="I720" i="3"/>
  <c r="G720" i="3"/>
  <c r="D720" i="3"/>
  <c r="B720" i="3"/>
  <c r="S719" i="3"/>
  <c r="I719" i="3"/>
  <c r="G719" i="3"/>
  <c r="D719" i="3"/>
  <c r="B719" i="3"/>
  <c r="S718" i="3"/>
  <c r="I718" i="3"/>
  <c r="G718" i="3"/>
  <c r="D718" i="3"/>
  <c r="B718" i="3"/>
  <c r="S717" i="3"/>
  <c r="I717" i="3"/>
  <c r="G717" i="3"/>
  <c r="D717" i="3"/>
  <c r="B717" i="3"/>
  <c r="S716" i="3"/>
  <c r="I716" i="3"/>
  <c r="G716" i="3"/>
  <c r="D716" i="3"/>
  <c r="B716" i="3"/>
  <c r="S715" i="3"/>
  <c r="I715" i="3"/>
  <c r="G715" i="3"/>
  <c r="D715" i="3"/>
  <c r="B715" i="3"/>
  <c r="S714" i="3"/>
  <c r="I714" i="3"/>
  <c r="G714" i="3"/>
  <c r="D714" i="3"/>
  <c r="B714" i="3"/>
  <c r="S713" i="3"/>
  <c r="I713" i="3"/>
  <c r="G713" i="3"/>
  <c r="D713" i="3"/>
  <c r="B713" i="3"/>
  <c r="S712" i="3"/>
  <c r="I712" i="3"/>
  <c r="G712" i="3"/>
  <c r="D712" i="3"/>
  <c r="B712" i="3"/>
  <c r="S711" i="3"/>
  <c r="I711" i="3"/>
  <c r="G711" i="3"/>
  <c r="D711" i="3"/>
  <c r="B711" i="3"/>
  <c r="S710" i="3"/>
  <c r="I710" i="3"/>
  <c r="G710" i="3"/>
  <c r="D710" i="3"/>
  <c r="B710" i="3"/>
  <c r="S709" i="3"/>
  <c r="I709" i="3"/>
  <c r="G709" i="3"/>
  <c r="D709" i="3"/>
  <c r="B709" i="3"/>
  <c r="S708" i="3"/>
  <c r="I708" i="3"/>
  <c r="G708" i="3"/>
  <c r="D708" i="3"/>
  <c r="B708" i="3"/>
  <c r="S707" i="3"/>
  <c r="I707" i="3"/>
  <c r="G707" i="3"/>
  <c r="D707" i="3"/>
  <c r="B707" i="3"/>
  <c r="S706" i="3"/>
  <c r="I706" i="3"/>
  <c r="G706" i="3"/>
  <c r="D706" i="3"/>
  <c r="B706" i="3"/>
  <c r="S705" i="3"/>
  <c r="I705" i="3"/>
  <c r="G705" i="3"/>
  <c r="D705" i="3"/>
  <c r="B705" i="3"/>
  <c r="S704" i="3"/>
  <c r="I704" i="3"/>
  <c r="G704" i="3"/>
  <c r="D704" i="3"/>
  <c r="B704" i="3"/>
  <c r="S703" i="3"/>
  <c r="I703" i="3"/>
  <c r="G703" i="3"/>
  <c r="D703" i="3"/>
  <c r="B703" i="3"/>
  <c r="S702" i="3"/>
  <c r="I702" i="3"/>
  <c r="G702" i="3"/>
  <c r="D702" i="3"/>
  <c r="B702" i="3"/>
  <c r="S701" i="3"/>
  <c r="I701" i="3"/>
  <c r="G701" i="3"/>
  <c r="D701" i="3"/>
  <c r="B701" i="3"/>
  <c r="S700" i="3"/>
  <c r="I700" i="3"/>
  <c r="G700" i="3"/>
  <c r="D700" i="3"/>
  <c r="B700" i="3"/>
  <c r="S699" i="3"/>
  <c r="I699" i="3"/>
  <c r="G699" i="3"/>
  <c r="D699" i="3"/>
  <c r="B699" i="3"/>
  <c r="S698" i="3"/>
  <c r="I698" i="3"/>
  <c r="G698" i="3"/>
  <c r="D698" i="3"/>
  <c r="B698" i="3"/>
  <c r="S697" i="3"/>
  <c r="I697" i="3"/>
  <c r="G697" i="3"/>
  <c r="D697" i="3"/>
  <c r="B697" i="3"/>
  <c r="S696" i="3"/>
  <c r="I696" i="3"/>
  <c r="G696" i="3"/>
  <c r="D696" i="3"/>
  <c r="B696" i="3"/>
  <c r="S695" i="3"/>
  <c r="I695" i="3"/>
  <c r="G695" i="3"/>
  <c r="D695" i="3"/>
  <c r="B695" i="3"/>
  <c r="S694" i="3"/>
  <c r="I694" i="3"/>
  <c r="G694" i="3"/>
  <c r="D694" i="3"/>
  <c r="B694" i="3"/>
  <c r="S693" i="3"/>
  <c r="I693" i="3"/>
  <c r="G693" i="3"/>
  <c r="D693" i="3"/>
  <c r="B693" i="3"/>
  <c r="S692" i="3"/>
  <c r="I692" i="3"/>
  <c r="G692" i="3"/>
  <c r="D692" i="3"/>
  <c r="B692" i="3"/>
  <c r="S691" i="3"/>
  <c r="I691" i="3"/>
  <c r="G691" i="3"/>
  <c r="D691" i="3"/>
  <c r="B691" i="3"/>
  <c r="S690" i="3"/>
  <c r="I690" i="3"/>
  <c r="G690" i="3"/>
  <c r="D690" i="3"/>
  <c r="B690" i="3"/>
  <c r="S689" i="3"/>
  <c r="I689" i="3"/>
  <c r="G689" i="3"/>
  <c r="D689" i="3"/>
  <c r="B689" i="3"/>
  <c r="S688" i="3"/>
  <c r="I688" i="3"/>
  <c r="G688" i="3"/>
  <c r="D688" i="3"/>
  <c r="B688" i="3"/>
  <c r="S687" i="3"/>
  <c r="I687" i="3"/>
  <c r="G687" i="3"/>
  <c r="D687" i="3"/>
  <c r="B687" i="3"/>
  <c r="S686" i="3"/>
  <c r="I686" i="3"/>
  <c r="G686" i="3"/>
  <c r="D686" i="3"/>
  <c r="B686" i="3"/>
  <c r="S685" i="3"/>
  <c r="I685" i="3"/>
  <c r="G685" i="3"/>
  <c r="D685" i="3"/>
  <c r="B685" i="3"/>
  <c r="S684" i="3"/>
  <c r="I684" i="3"/>
  <c r="G684" i="3"/>
  <c r="D684" i="3"/>
  <c r="B684" i="3"/>
  <c r="S683" i="3"/>
  <c r="I683" i="3"/>
  <c r="G683" i="3"/>
  <c r="D683" i="3"/>
  <c r="B683" i="3"/>
  <c r="S682" i="3"/>
  <c r="I682" i="3"/>
  <c r="G682" i="3"/>
  <c r="D682" i="3"/>
  <c r="B682" i="3"/>
  <c r="S681" i="3"/>
  <c r="I681" i="3"/>
  <c r="G681" i="3"/>
  <c r="D681" i="3"/>
  <c r="B681" i="3"/>
  <c r="S680" i="3"/>
  <c r="I680" i="3"/>
  <c r="G680" i="3"/>
  <c r="D680" i="3"/>
  <c r="B680" i="3"/>
  <c r="S679" i="3"/>
  <c r="I679" i="3"/>
  <c r="G679" i="3"/>
  <c r="D679" i="3"/>
  <c r="B679" i="3"/>
  <c r="S678" i="3"/>
  <c r="I678" i="3"/>
  <c r="G678" i="3"/>
  <c r="D678" i="3"/>
  <c r="B678" i="3"/>
  <c r="S677" i="3"/>
  <c r="I677" i="3"/>
  <c r="G677" i="3"/>
  <c r="D677" i="3"/>
  <c r="B677" i="3"/>
  <c r="S676" i="3"/>
  <c r="I676" i="3"/>
  <c r="G676" i="3"/>
  <c r="D676" i="3"/>
  <c r="B676" i="3"/>
  <c r="S675" i="3"/>
  <c r="I675" i="3"/>
  <c r="G675" i="3"/>
  <c r="D675" i="3"/>
  <c r="B675" i="3"/>
  <c r="S674" i="3"/>
  <c r="I674" i="3"/>
  <c r="G674" i="3"/>
  <c r="D674" i="3"/>
  <c r="B674" i="3"/>
  <c r="S673" i="3"/>
  <c r="I673" i="3"/>
  <c r="G673" i="3"/>
  <c r="D673" i="3"/>
  <c r="B673" i="3"/>
  <c r="S672" i="3"/>
  <c r="I672" i="3"/>
  <c r="G672" i="3"/>
  <c r="D672" i="3"/>
  <c r="B672" i="3"/>
  <c r="S671" i="3"/>
  <c r="I671" i="3"/>
  <c r="G671" i="3"/>
  <c r="D671" i="3"/>
  <c r="B671" i="3"/>
  <c r="S670" i="3"/>
  <c r="I670" i="3"/>
  <c r="G670" i="3"/>
  <c r="D670" i="3"/>
  <c r="B670" i="3"/>
  <c r="S669" i="3"/>
  <c r="I669" i="3"/>
  <c r="G669" i="3"/>
  <c r="D669" i="3"/>
  <c r="B669" i="3"/>
  <c r="S668" i="3"/>
  <c r="I668" i="3"/>
  <c r="G668" i="3"/>
  <c r="D668" i="3"/>
  <c r="B668" i="3"/>
  <c r="S667" i="3"/>
  <c r="I667" i="3"/>
  <c r="G667" i="3"/>
  <c r="D667" i="3"/>
  <c r="B667" i="3"/>
  <c r="S666" i="3"/>
  <c r="I666" i="3"/>
  <c r="G666" i="3"/>
  <c r="D666" i="3"/>
  <c r="B666" i="3"/>
  <c r="S665" i="3"/>
  <c r="I665" i="3"/>
  <c r="G665" i="3"/>
  <c r="D665" i="3"/>
  <c r="B665" i="3"/>
  <c r="S664" i="3"/>
  <c r="I664" i="3"/>
  <c r="G664" i="3"/>
  <c r="D664" i="3"/>
  <c r="B664" i="3"/>
  <c r="S663" i="3"/>
  <c r="I663" i="3"/>
  <c r="G663" i="3"/>
  <c r="D663" i="3"/>
  <c r="B663" i="3"/>
  <c r="S662" i="3"/>
  <c r="I662" i="3"/>
  <c r="G662" i="3"/>
  <c r="D662" i="3"/>
  <c r="B662" i="3"/>
  <c r="S661" i="3"/>
  <c r="I661" i="3"/>
  <c r="G661" i="3"/>
  <c r="D661" i="3"/>
  <c r="B661" i="3"/>
  <c r="S660" i="3"/>
  <c r="I660" i="3"/>
  <c r="G660" i="3"/>
  <c r="D660" i="3"/>
  <c r="B660" i="3"/>
  <c r="S659" i="3"/>
  <c r="I659" i="3"/>
  <c r="G659" i="3"/>
  <c r="D659" i="3"/>
  <c r="B659" i="3"/>
  <c r="S658" i="3"/>
  <c r="I658" i="3"/>
  <c r="G658" i="3"/>
  <c r="D658" i="3"/>
  <c r="B658" i="3"/>
  <c r="S657" i="3"/>
  <c r="I657" i="3"/>
  <c r="G657" i="3"/>
  <c r="D657" i="3"/>
  <c r="B657" i="3"/>
  <c r="S656" i="3"/>
  <c r="I656" i="3"/>
  <c r="G656" i="3"/>
  <c r="D656" i="3"/>
  <c r="B656" i="3"/>
  <c r="S655" i="3"/>
  <c r="I655" i="3"/>
  <c r="G655" i="3"/>
  <c r="D655" i="3"/>
  <c r="B655" i="3"/>
  <c r="S654" i="3"/>
  <c r="I654" i="3"/>
  <c r="G654" i="3"/>
  <c r="D654" i="3"/>
  <c r="B654" i="3"/>
  <c r="S653" i="3"/>
  <c r="I653" i="3"/>
  <c r="G653" i="3"/>
  <c r="D653" i="3"/>
  <c r="B653" i="3"/>
  <c r="S652" i="3"/>
  <c r="I652" i="3"/>
  <c r="G652" i="3"/>
  <c r="D652" i="3"/>
  <c r="B652" i="3"/>
  <c r="S651" i="3"/>
  <c r="I651" i="3"/>
  <c r="G651" i="3"/>
  <c r="D651" i="3"/>
  <c r="B651" i="3"/>
  <c r="S650" i="3"/>
  <c r="I650" i="3"/>
  <c r="G650" i="3"/>
  <c r="D650" i="3"/>
  <c r="B650" i="3"/>
  <c r="S649" i="3"/>
  <c r="I649" i="3"/>
  <c r="G649" i="3"/>
  <c r="D649" i="3"/>
  <c r="B649" i="3"/>
  <c r="S648" i="3"/>
  <c r="I648" i="3"/>
  <c r="G648" i="3"/>
  <c r="D648" i="3"/>
  <c r="B648" i="3"/>
  <c r="S647" i="3"/>
  <c r="I647" i="3"/>
  <c r="G647" i="3"/>
  <c r="D647" i="3"/>
  <c r="B647" i="3"/>
  <c r="S646" i="3"/>
  <c r="I646" i="3"/>
  <c r="G646" i="3"/>
  <c r="D646" i="3"/>
  <c r="B646" i="3"/>
  <c r="S645" i="3"/>
  <c r="I645" i="3"/>
  <c r="G645" i="3"/>
  <c r="D645" i="3"/>
  <c r="B645" i="3"/>
  <c r="S644" i="3"/>
  <c r="I644" i="3"/>
  <c r="G644" i="3"/>
  <c r="D644" i="3"/>
  <c r="B644" i="3"/>
  <c r="S643" i="3"/>
  <c r="I643" i="3"/>
  <c r="G643" i="3"/>
  <c r="D643" i="3"/>
  <c r="B643" i="3"/>
  <c r="S642" i="3"/>
  <c r="I642" i="3"/>
  <c r="G642" i="3"/>
  <c r="D642" i="3"/>
  <c r="B642" i="3"/>
  <c r="S641" i="3"/>
  <c r="I641" i="3"/>
  <c r="G641" i="3"/>
  <c r="D641" i="3"/>
  <c r="B641" i="3"/>
  <c r="S640" i="3"/>
  <c r="I640" i="3"/>
  <c r="G640" i="3"/>
  <c r="D640" i="3"/>
  <c r="B640" i="3"/>
  <c r="S639" i="3"/>
  <c r="I639" i="3"/>
  <c r="G639" i="3"/>
  <c r="D639" i="3"/>
  <c r="B639" i="3"/>
  <c r="S638" i="3"/>
  <c r="I638" i="3"/>
  <c r="G638" i="3"/>
  <c r="D638" i="3"/>
  <c r="B638" i="3"/>
  <c r="S637" i="3"/>
  <c r="I637" i="3"/>
  <c r="G637" i="3"/>
  <c r="D637" i="3"/>
  <c r="B637" i="3"/>
  <c r="S636" i="3"/>
  <c r="I636" i="3"/>
  <c r="G636" i="3"/>
  <c r="D636" i="3"/>
  <c r="B636" i="3"/>
  <c r="S635" i="3"/>
  <c r="I635" i="3"/>
  <c r="G635" i="3"/>
  <c r="D635" i="3"/>
  <c r="B635" i="3"/>
  <c r="S634" i="3"/>
  <c r="I634" i="3"/>
  <c r="G634" i="3"/>
  <c r="D634" i="3"/>
  <c r="B634" i="3"/>
  <c r="S633" i="3"/>
  <c r="I633" i="3"/>
  <c r="G633" i="3"/>
  <c r="D633" i="3"/>
  <c r="B633" i="3"/>
  <c r="S632" i="3"/>
  <c r="I632" i="3"/>
  <c r="G632" i="3"/>
  <c r="D632" i="3"/>
  <c r="B632" i="3"/>
  <c r="S631" i="3"/>
  <c r="I631" i="3"/>
  <c r="G631" i="3"/>
  <c r="D631" i="3"/>
  <c r="B631" i="3"/>
  <c r="S630" i="3"/>
  <c r="I630" i="3"/>
  <c r="G630" i="3"/>
  <c r="D630" i="3"/>
  <c r="B630" i="3"/>
  <c r="S629" i="3"/>
  <c r="I629" i="3"/>
  <c r="G629" i="3"/>
  <c r="D629" i="3"/>
  <c r="B629" i="3"/>
  <c r="S628" i="3"/>
  <c r="I628" i="3"/>
  <c r="G628" i="3"/>
  <c r="D628" i="3"/>
  <c r="B628" i="3"/>
  <c r="S627" i="3"/>
  <c r="I627" i="3"/>
  <c r="G627" i="3"/>
  <c r="D627" i="3"/>
  <c r="B627" i="3"/>
  <c r="S626" i="3"/>
  <c r="I626" i="3"/>
  <c r="G626" i="3"/>
  <c r="D626" i="3"/>
  <c r="B626" i="3"/>
  <c r="S625" i="3"/>
  <c r="I625" i="3"/>
  <c r="G625" i="3"/>
  <c r="D625" i="3"/>
  <c r="B625" i="3"/>
  <c r="S624" i="3"/>
  <c r="I624" i="3"/>
  <c r="G624" i="3"/>
  <c r="D624" i="3"/>
  <c r="B624" i="3"/>
  <c r="S623" i="3"/>
  <c r="I623" i="3"/>
  <c r="G623" i="3"/>
  <c r="D623" i="3"/>
  <c r="B623" i="3"/>
  <c r="S622" i="3"/>
  <c r="I622" i="3"/>
  <c r="G622" i="3"/>
  <c r="D622" i="3"/>
  <c r="B622" i="3"/>
  <c r="S621" i="3"/>
  <c r="I621" i="3"/>
  <c r="G621" i="3"/>
  <c r="D621" i="3"/>
  <c r="B621" i="3"/>
  <c r="S620" i="3"/>
  <c r="I620" i="3"/>
  <c r="G620" i="3"/>
  <c r="D620" i="3"/>
  <c r="B620" i="3"/>
  <c r="S619" i="3"/>
  <c r="I619" i="3"/>
  <c r="G619" i="3"/>
  <c r="D619" i="3"/>
  <c r="B619" i="3"/>
  <c r="S618" i="3"/>
  <c r="I618" i="3"/>
  <c r="G618" i="3"/>
  <c r="D618" i="3"/>
  <c r="B618" i="3"/>
  <c r="S617" i="3"/>
  <c r="I617" i="3"/>
  <c r="G617" i="3"/>
  <c r="D617" i="3"/>
  <c r="B617" i="3"/>
  <c r="S616" i="3"/>
  <c r="I616" i="3"/>
  <c r="G616" i="3"/>
  <c r="D616" i="3"/>
  <c r="B616" i="3"/>
  <c r="S615" i="3"/>
  <c r="I615" i="3"/>
  <c r="G615" i="3"/>
  <c r="D615" i="3"/>
  <c r="B615" i="3"/>
  <c r="S614" i="3"/>
  <c r="I614" i="3"/>
  <c r="G614" i="3"/>
  <c r="D614" i="3"/>
  <c r="B614" i="3"/>
  <c r="S613" i="3"/>
  <c r="I613" i="3"/>
  <c r="G613" i="3"/>
  <c r="D613" i="3"/>
  <c r="B613" i="3"/>
  <c r="S612" i="3"/>
  <c r="I612" i="3"/>
  <c r="G612" i="3"/>
  <c r="D612" i="3"/>
  <c r="B612" i="3"/>
  <c r="S611" i="3"/>
  <c r="I611" i="3"/>
  <c r="G611" i="3"/>
  <c r="D611" i="3"/>
  <c r="B611" i="3"/>
  <c r="S610" i="3"/>
  <c r="I610" i="3"/>
  <c r="G610" i="3"/>
  <c r="D610" i="3"/>
  <c r="B610" i="3"/>
  <c r="S609" i="3"/>
  <c r="I609" i="3"/>
  <c r="G609" i="3"/>
  <c r="D609" i="3"/>
  <c r="B609" i="3"/>
  <c r="S608" i="3"/>
  <c r="I608" i="3"/>
  <c r="G608" i="3"/>
  <c r="D608" i="3"/>
  <c r="B608" i="3"/>
  <c r="S607" i="3"/>
  <c r="I607" i="3"/>
  <c r="G607" i="3"/>
  <c r="D607" i="3"/>
  <c r="B607" i="3"/>
  <c r="S606" i="3"/>
  <c r="I606" i="3"/>
  <c r="G606" i="3"/>
  <c r="D606" i="3"/>
  <c r="B606" i="3"/>
  <c r="S605" i="3"/>
  <c r="I605" i="3"/>
  <c r="G605" i="3"/>
  <c r="D605" i="3"/>
  <c r="B605" i="3"/>
  <c r="S604" i="3"/>
  <c r="I604" i="3"/>
  <c r="G604" i="3"/>
  <c r="D604" i="3"/>
  <c r="B604" i="3"/>
  <c r="S603" i="3"/>
  <c r="I603" i="3"/>
  <c r="G603" i="3"/>
  <c r="D603" i="3"/>
  <c r="B603" i="3"/>
  <c r="S602" i="3"/>
  <c r="I602" i="3"/>
  <c r="G602" i="3"/>
  <c r="D602" i="3"/>
  <c r="B602" i="3"/>
  <c r="S601" i="3"/>
  <c r="I601" i="3"/>
  <c r="G601" i="3"/>
  <c r="D601" i="3"/>
  <c r="B601" i="3"/>
  <c r="S600" i="3"/>
  <c r="I600" i="3"/>
  <c r="G600" i="3"/>
  <c r="D600" i="3"/>
  <c r="B600" i="3"/>
  <c r="S599" i="3"/>
  <c r="I599" i="3"/>
  <c r="G599" i="3"/>
  <c r="D599" i="3"/>
  <c r="B599" i="3"/>
  <c r="S598" i="3"/>
  <c r="I598" i="3"/>
  <c r="G598" i="3"/>
  <c r="D598" i="3"/>
  <c r="B598" i="3"/>
  <c r="S597" i="3"/>
  <c r="I597" i="3"/>
  <c r="G597" i="3"/>
  <c r="D597" i="3"/>
  <c r="B597" i="3"/>
  <c r="S596" i="3"/>
  <c r="I596" i="3"/>
  <c r="G596" i="3"/>
  <c r="D596" i="3"/>
  <c r="B596" i="3"/>
  <c r="S595" i="3"/>
  <c r="I595" i="3"/>
  <c r="G595" i="3"/>
  <c r="D595" i="3"/>
  <c r="B595" i="3"/>
  <c r="S594" i="3"/>
  <c r="I594" i="3"/>
  <c r="G594" i="3"/>
  <c r="D594" i="3"/>
  <c r="B594" i="3"/>
  <c r="S593" i="3"/>
  <c r="I593" i="3"/>
  <c r="G593" i="3"/>
  <c r="D593" i="3"/>
  <c r="B593" i="3"/>
  <c r="S592" i="3"/>
  <c r="I592" i="3"/>
  <c r="G592" i="3"/>
  <c r="D592" i="3"/>
  <c r="B592" i="3"/>
  <c r="S591" i="3"/>
  <c r="I591" i="3"/>
  <c r="G591" i="3"/>
  <c r="D591" i="3"/>
  <c r="B591" i="3"/>
  <c r="S590" i="3"/>
  <c r="I590" i="3"/>
  <c r="G590" i="3"/>
  <c r="D590" i="3"/>
  <c r="B590" i="3"/>
  <c r="S589" i="3"/>
  <c r="I589" i="3"/>
  <c r="G589" i="3"/>
  <c r="D589" i="3"/>
  <c r="B589" i="3"/>
  <c r="S588" i="3"/>
  <c r="I588" i="3"/>
  <c r="G588" i="3"/>
  <c r="D588" i="3"/>
  <c r="B588" i="3"/>
  <c r="S587" i="3"/>
  <c r="I587" i="3"/>
  <c r="G587" i="3"/>
  <c r="D587" i="3"/>
  <c r="B587" i="3"/>
  <c r="S586" i="3"/>
  <c r="I586" i="3"/>
  <c r="G586" i="3"/>
  <c r="D586" i="3"/>
  <c r="B586" i="3"/>
  <c r="S585" i="3"/>
  <c r="I585" i="3"/>
  <c r="G585" i="3"/>
  <c r="D585" i="3"/>
  <c r="B585" i="3"/>
  <c r="S584" i="3"/>
  <c r="I584" i="3"/>
  <c r="G584" i="3"/>
  <c r="D584" i="3"/>
  <c r="B584" i="3"/>
  <c r="S583" i="3"/>
  <c r="I583" i="3"/>
  <c r="G583" i="3"/>
  <c r="D583" i="3"/>
  <c r="B583" i="3"/>
  <c r="S582" i="3"/>
  <c r="I582" i="3"/>
  <c r="G582" i="3"/>
  <c r="D582" i="3"/>
  <c r="B582" i="3"/>
  <c r="S581" i="3"/>
  <c r="I581" i="3"/>
  <c r="G581" i="3"/>
  <c r="D581" i="3"/>
  <c r="B581" i="3"/>
  <c r="S580" i="3"/>
  <c r="I580" i="3"/>
  <c r="G580" i="3"/>
  <c r="D580" i="3"/>
  <c r="B580" i="3"/>
  <c r="S579" i="3"/>
  <c r="I579" i="3"/>
  <c r="G579" i="3"/>
  <c r="D579" i="3"/>
  <c r="B579" i="3"/>
  <c r="S578" i="3"/>
  <c r="I578" i="3"/>
  <c r="G578" i="3"/>
  <c r="D578" i="3"/>
  <c r="B578" i="3"/>
  <c r="S577" i="3"/>
  <c r="I577" i="3"/>
  <c r="G577" i="3"/>
  <c r="D577" i="3"/>
  <c r="B577" i="3"/>
  <c r="S576" i="3"/>
  <c r="I576" i="3"/>
  <c r="G576" i="3"/>
  <c r="D576" i="3"/>
  <c r="B576" i="3"/>
  <c r="S575" i="3"/>
  <c r="I575" i="3"/>
  <c r="G575" i="3"/>
  <c r="D575" i="3"/>
  <c r="B575" i="3"/>
  <c r="S574" i="3"/>
  <c r="I574" i="3"/>
  <c r="G574" i="3"/>
  <c r="D574" i="3"/>
  <c r="B574" i="3"/>
  <c r="S573" i="3"/>
  <c r="I573" i="3"/>
  <c r="G573" i="3"/>
  <c r="D573" i="3"/>
  <c r="B573" i="3"/>
  <c r="S572" i="3"/>
  <c r="I572" i="3"/>
  <c r="G572" i="3"/>
  <c r="D572" i="3"/>
  <c r="B572" i="3"/>
  <c r="S571" i="3"/>
  <c r="I571" i="3"/>
  <c r="G571" i="3"/>
  <c r="D571" i="3"/>
  <c r="B571" i="3"/>
  <c r="S570" i="3"/>
  <c r="I570" i="3"/>
  <c r="G570" i="3"/>
  <c r="D570" i="3"/>
  <c r="B570" i="3"/>
  <c r="S569" i="3"/>
  <c r="I569" i="3"/>
  <c r="G569" i="3"/>
  <c r="D569" i="3"/>
  <c r="B569" i="3"/>
  <c r="S568" i="3"/>
  <c r="I568" i="3"/>
  <c r="G568" i="3"/>
  <c r="D568" i="3"/>
  <c r="B568" i="3"/>
  <c r="S567" i="3"/>
  <c r="I567" i="3"/>
  <c r="G567" i="3"/>
  <c r="D567" i="3"/>
  <c r="B567" i="3"/>
  <c r="S566" i="3"/>
  <c r="I566" i="3"/>
  <c r="G566" i="3"/>
  <c r="D566" i="3"/>
  <c r="B566" i="3"/>
  <c r="S565" i="3"/>
  <c r="I565" i="3"/>
  <c r="G565" i="3"/>
  <c r="D565" i="3"/>
  <c r="B565" i="3"/>
  <c r="S564" i="3"/>
  <c r="I564" i="3"/>
  <c r="G564" i="3"/>
  <c r="D564" i="3"/>
  <c r="B564" i="3"/>
  <c r="S563" i="3"/>
  <c r="I563" i="3"/>
  <c r="G563" i="3"/>
  <c r="D563" i="3"/>
  <c r="B563" i="3"/>
  <c r="S562" i="3"/>
  <c r="I562" i="3"/>
  <c r="G562" i="3"/>
  <c r="D562" i="3"/>
  <c r="B562" i="3"/>
  <c r="S561" i="3"/>
  <c r="I561" i="3"/>
  <c r="G561" i="3"/>
  <c r="D561" i="3"/>
  <c r="B561" i="3"/>
  <c r="S560" i="3"/>
  <c r="I560" i="3"/>
  <c r="G560" i="3"/>
  <c r="D560" i="3"/>
  <c r="B560" i="3"/>
  <c r="S559" i="3"/>
  <c r="I559" i="3"/>
  <c r="G559" i="3"/>
  <c r="D559" i="3"/>
  <c r="B559" i="3"/>
  <c r="S558" i="3"/>
  <c r="I558" i="3"/>
  <c r="G558" i="3"/>
  <c r="D558" i="3"/>
  <c r="B558" i="3"/>
  <c r="S557" i="3"/>
  <c r="I557" i="3"/>
  <c r="G557" i="3"/>
  <c r="D557" i="3"/>
  <c r="B557" i="3"/>
  <c r="S556" i="3"/>
  <c r="I556" i="3"/>
  <c r="G556" i="3"/>
  <c r="D556" i="3"/>
  <c r="B556" i="3"/>
  <c r="S555" i="3"/>
  <c r="I555" i="3"/>
  <c r="G555" i="3"/>
  <c r="D555" i="3"/>
  <c r="B555" i="3"/>
  <c r="S554" i="3"/>
  <c r="I554" i="3"/>
  <c r="G554" i="3"/>
  <c r="D554" i="3"/>
  <c r="B554" i="3"/>
  <c r="S553" i="3"/>
  <c r="I553" i="3"/>
  <c r="G553" i="3"/>
  <c r="D553" i="3"/>
  <c r="B553" i="3"/>
  <c r="S552" i="3"/>
  <c r="I552" i="3"/>
  <c r="G552" i="3"/>
  <c r="D552" i="3"/>
  <c r="B552" i="3"/>
  <c r="S551" i="3"/>
  <c r="I551" i="3"/>
  <c r="G551" i="3"/>
  <c r="D551" i="3"/>
  <c r="B551" i="3"/>
  <c r="S550" i="3"/>
  <c r="I550" i="3"/>
  <c r="G550" i="3"/>
  <c r="D550" i="3"/>
  <c r="B550" i="3"/>
  <c r="S549" i="3"/>
  <c r="I549" i="3"/>
  <c r="G549" i="3"/>
  <c r="D549" i="3"/>
  <c r="B549" i="3"/>
  <c r="S548" i="3"/>
  <c r="I548" i="3"/>
  <c r="G548" i="3"/>
  <c r="D548" i="3"/>
  <c r="B548" i="3"/>
  <c r="S547" i="3"/>
  <c r="I547" i="3"/>
  <c r="G547" i="3"/>
  <c r="D547" i="3"/>
  <c r="B547" i="3"/>
  <c r="S546" i="3"/>
  <c r="I546" i="3"/>
  <c r="G546" i="3"/>
  <c r="D546" i="3"/>
  <c r="B546" i="3"/>
  <c r="S545" i="3"/>
  <c r="I545" i="3"/>
  <c r="G545" i="3"/>
  <c r="D545" i="3"/>
  <c r="B545" i="3"/>
  <c r="S544" i="3"/>
  <c r="I544" i="3"/>
  <c r="G544" i="3"/>
  <c r="D544" i="3"/>
  <c r="B544" i="3"/>
  <c r="S543" i="3"/>
  <c r="I543" i="3"/>
  <c r="G543" i="3"/>
  <c r="D543" i="3"/>
  <c r="B543" i="3"/>
  <c r="S542" i="3"/>
  <c r="I542" i="3"/>
  <c r="G542" i="3"/>
  <c r="D542" i="3"/>
  <c r="B542" i="3"/>
  <c r="S541" i="3"/>
  <c r="I541" i="3"/>
  <c r="G541" i="3"/>
  <c r="D541" i="3"/>
  <c r="B541" i="3"/>
  <c r="S540" i="3"/>
  <c r="I540" i="3"/>
  <c r="G540" i="3"/>
  <c r="D540" i="3"/>
  <c r="B540" i="3"/>
  <c r="S539" i="3"/>
  <c r="I539" i="3"/>
  <c r="G539" i="3"/>
  <c r="D539" i="3"/>
  <c r="B539" i="3"/>
  <c r="S538" i="3"/>
  <c r="I538" i="3"/>
  <c r="G538" i="3"/>
  <c r="D538" i="3"/>
  <c r="B538" i="3"/>
  <c r="S537" i="3"/>
  <c r="I537" i="3"/>
  <c r="G537" i="3"/>
  <c r="D537" i="3"/>
  <c r="B537" i="3"/>
  <c r="S536" i="3"/>
  <c r="I536" i="3"/>
  <c r="G536" i="3"/>
  <c r="D536" i="3"/>
  <c r="B536" i="3"/>
  <c r="S535" i="3"/>
  <c r="I535" i="3"/>
  <c r="G535" i="3"/>
  <c r="D535" i="3"/>
  <c r="B535" i="3"/>
  <c r="S534" i="3"/>
  <c r="I534" i="3"/>
  <c r="G534" i="3"/>
  <c r="D534" i="3"/>
  <c r="B534" i="3"/>
  <c r="S533" i="3"/>
  <c r="I533" i="3"/>
  <c r="G533" i="3"/>
  <c r="D533" i="3"/>
  <c r="B533" i="3"/>
  <c r="S532" i="3"/>
  <c r="I532" i="3"/>
  <c r="G532" i="3"/>
  <c r="D532" i="3"/>
  <c r="B532" i="3"/>
  <c r="S531" i="3"/>
  <c r="I531" i="3"/>
  <c r="G531" i="3"/>
  <c r="D531" i="3"/>
  <c r="B531" i="3"/>
  <c r="S530" i="3"/>
  <c r="I530" i="3"/>
  <c r="G530" i="3"/>
  <c r="D530" i="3"/>
  <c r="B530" i="3"/>
  <c r="S529" i="3"/>
  <c r="I529" i="3"/>
  <c r="G529" i="3"/>
  <c r="D529" i="3"/>
  <c r="B529" i="3"/>
  <c r="S528" i="3"/>
  <c r="I528" i="3"/>
  <c r="G528" i="3"/>
  <c r="D528" i="3"/>
  <c r="B528" i="3"/>
  <c r="S527" i="3"/>
  <c r="I527" i="3"/>
  <c r="G527" i="3"/>
  <c r="D527" i="3"/>
  <c r="B527" i="3"/>
  <c r="S526" i="3"/>
  <c r="I526" i="3"/>
  <c r="G526" i="3"/>
  <c r="D526" i="3"/>
  <c r="B526" i="3"/>
  <c r="S525" i="3"/>
  <c r="I525" i="3"/>
  <c r="G525" i="3"/>
  <c r="D525" i="3"/>
  <c r="B525" i="3"/>
  <c r="S524" i="3"/>
  <c r="I524" i="3"/>
  <c r="G524" i="3"/>
  <c r="D524" i="3"/>
  <c r="B524" i="3"/>
  <c r="S523" i="3"/>
  <c r="I523" i="3"/>
  <c r="G523" i="3"/>
  <c r="D523" i="3"/>
  <c r="B523" i="3"/>
  <c r="S522" i="3"/>
  <c r="I522" i="3"/>
  <c r="G522" i="3"/>
  <c r="D522" i="3"/>
  <c r="B522" i="3"/>
  <c r="S521" i="3"/>
  <c r="I521" i="3"/>
  <c r="G521" i="3"/>
  <c r="D521" i="3"/>
  <c r="B521" i="3"/>
  <c r="S520" i="3"/>
  <c r="I520" i="3"/>
  <c r="G520" i="3"/>
  <c r="D520" i="3"/>
  <c r="B520" i="3"/>
  <c r="S519" i="3"/>
  <c r="I519" i="3"/>
  <c r="G519" i="3"/>
  <c r="D519" i="3"/>
  <c r="B519" i="3"/>
  <c r="S518" i="3"/>
  <c r="I518" i="3"/>
  <c r="G518" i="3"/>
  <c r="D518" i="3"/>
  <c r="B518" i="3"/>
  <c r="S517" i="3"/>
  <c r="I517" i="3"/>
  <c r="G517" i="3"/>
  <c r="D517" i="3"/>
  <c r="B517" i="3"/>
  <c r="S516" i="3"/>
  <c r="I516" i="3"/>
  <c r="G516" i="3"/>
  <c r="D516" i="3"/>
  <c r="B516" i="3"/>
  <c r="S515" i="3"/>
  <c r="I515" i="3"/>
  <c r="G515" i="3"/>
  <c r="D515" i="3"/>
  <c r="B515" i="3"/>
  <c r="S514" i="3"/>
  <c r="I514" i="3"/>
  <c r="G514" i="3"/>
  <c r="D514" i="3"/>
  <c r="B514" i="3"/>
  <c r="S513" i="3"/>
  <c r="I513" i="3"/>
  <c r="G513" i="3"/>
  <c r="D513" i="3"/>
  <c r="B513" i="3"/>
  <c r="S512" i="3"/>
  <c r="I512" i="3"/>
  <c r="G512" i="3"/>
  <c r="D512" i="3"/>
  <c r="B512" i="3"/>
  <c r="S511" i="3"/>
  <c r="I511" i="3"/>
  <c r="G511" i="3"/>
  <c r="D511" i="3"/>
  <c r="B511" i="3"/>
  <c r="S510" i="3"/>
  <c r="I510" i="3"/>
  <c r="G510" i="3"/>
  <c r="D510" i="3"/>
  <c r="B510" i="3"/>
  <c r="S509" i="3"/>
  <c r="I509" i="3"/>
  <c r="G509" i="3"/>
  <c r="D509" i="3"/>
  <c r="B509" i="3"/>
  <c r="S508" i="3"/>
  <c r="I508" i="3"/>
  <c r="G508" i="3"/>
  <c r="D508" i="3"/>
  <c r="B508" i="3"/>
  <c r="S507" i="3"/>
  <c r="I507" i="3"/>
  <c r="G507" i="3"/>
  <c r="D507" i="3"/>
  <c r="B507" i="3"/>
  <c r="S506" i="3"/>
  <c r="I506" i="3"/>
  <c r="G506" i="3"/>
  <c r="D506" i="3"/>
  <c r="B506" i="3"/>
  <c r="S505" i="3"/>
  <c r="I505" i="3"/>
  <c r="G505" i="3"/>
  <c r="D505" i="3"/>
  <c r="B505" i="3"/>
  <c r="S504" i="3"/>
  <c r="I504" i="3"/>
  <c r="G504" i="3"/>
  <c r="D504" i="3"/>
  <c r="B504" i="3"/>
  <c r="S503" i="3"/>
  <c r="I503" i="3"/>
  <c r="G503" i="3"/>
  <c r="D503" i="3"/>
  <c r="B503" i="3"/>
  <c r="S502" i="3"/>
  <c r="I502" i="3"/>
  <c r="G502" i="3"/>
  <c r="D502" i="3"/>
  <c r="B502" i="3"/>
  <c r="S501" i="3"/>
  <c r="I501" i="3"/>
  <c r="G501" i="3"/>
  <c r="D501" i="3"/>
  <c r="B501" i="3"/>
  <c r="S500" i="3"/>
  <c r="I500" i="3"/>
  <c r="G500" i="3"/>
  <c r="D500" i="3"/>
  <c r="B500" i="3"/>
  <c r="S499" i="3"/>
  <c r="I499" i="3"/>
  <c r="G499" i="3"/>
  <c r="D499" i="3"/>
  <c r="B499" i="3"/>
  <c r="S498" i="3"/>
  <c r="I498" i="3"/>
  <c r="G498" i="3"/>
  <c r="D498" i="3"/>
  <c r="B498" i="3"/>
  <c r="S497" i="3"/>
  <c r="I497" i="3"/>
  <c r="G497" i="3"/>
  <c r="D497" i="3"/>
  <c r="B497" i="3"/>
  <c r="S496" i="3"/>
  <c r="I496" i="3"/>
  <c r="G496" i="3"/>
  <c r="D496" i="3"/>
  <c r="B496" i="3"/>
  <c r="S495" i="3"/>
  <c r="I495" i="3"/>
  <c r="G495" i="3"/>
  <c r="D495" i="3"/>
  <c r="B495" i="3"/>
  <c r="S494" i="3"/>
  <c r="I494" i="3"/>
  <c r="G494" i="3"/>
  <c r="D494" i="3"/>
  <c r="B494" i="3"/>
  <c r="S493" i="3"/>
  <c r="I493" i="3"/>
  <c r="G493" i="3"/>
  <c r="D493" i="3"/>
  <c r="B493" i="3"/>
  <c r="S492" i="3"/>
  <c r="I492" i="3"/>
  <c r="G492" i="3"/>
  <c r="D492" i="3"/>
  <c r="B492" i="3"/>
  <c r="S491" i="3"/>
  <c r="I491" i="3"/>
  <c r="G491" i="3"/>
  <c r="D491" i="3"/>
  <c r="B491" i="3"/>
  <c r="S490" i="3"/>
  <c r="I490" i="3"/>
  <c r="G490" i="3"/>
  <c r="D490" i="3"/>
  <c r="B490" i="3"/>
  <c r="S489" i="3"/>
  <c r="I489" i="3"/>
  <c r="G489" i="3"/>
  <c r="D489" i="3"/>
  <c r="B489" i="3"/>
  <c r="S488" i="3"/>
  <c r="I488" i="3"/>
  <c r="G488" i="3"/>
  <c r="D488" i="3"/>
  <c r="B488" i="3"/>
  <c r="S487" i="3"/>
  <c r="I487" i="3"/>
  <c r="G487" i="3"/>
  <c r="D487" i="3"/>
  <c r="B487" i="3"/>
  <c r="S486" i="3"/>
  <c r="I486" i="3"/>
  <c r="G486" i="3"/>
  <c r="D486" i="3"/>
  <c r="B486" i="3"/>
  <c r="S485" i="3"/>
  <c r="I485" i="3"/>
  <c r="G485" i="3"/>
  <c r="D485" i="3"/>
  <c r="B485" i="3"/>
  <c r="S484" i="3"/>
  <c r="I484" i="3"/>
  <c r="G484" i="3"/>
  <c r="D484" i="3"/>
  <c r="B484" i="3"/>
  <c r="S483" i="3"/>
  <c r="I483" i="3"/>
  <c r="G483" i="3"/>
  <c r="D483" i="3"/>
  <c r="B483" i="3"/>
  <c r="S482" i="3"/>
  <c r="I482" i="3"/>
  <c r="G482" i="3"/>
  <c r="D482" i="3"/>
  <c r="B482" i="3"/>
  <c r="S481" i="3"/>
  <c r="I481" i="3"/>
  <c r="G481" i="3"/>
  <c r="D481" i="3"/>
  <c r="B481" i="3"/>
  <c r="S480" i="3"/>
  <c r="I480" i="3"/>
  <c r="G480" i="3"/>
  <c r="D480" i="3"/>
  <c r="B480" i="3"/>
  <c r="S479" i="3"/>
  <c r="I479" i="3"/>
  <c r="G479" i="3"/>
  <c r="D479" i="3"/>
  <c r="B479" i="3"/>
  <c r="S478" i="3"/>
  <c r="I478" i="3"/>
  <c r="G478" i="3"/>
  <c r="D478" i="3"/>
  <c r="B478" i="3"/>
  <c r="S477" i="3"/>
  <c r="I477" i="3"/>
  <c r="G477" i="3"/>
  <c r="D477" i="3"/>
  <c r="B477" i="3"/>
  <c r="S476" i="3"/>
  <c r="I476" i="3"/>
  <c r="G476" i="3"/>
  <c r="D476" i="3"/>
  <c r="B476" i="3"/>
  <c r="S475" i="3"/>
  <c r="I475" i="3"/>
  <c r="G475" i="3"/>
  <c r="D475" i="3"/>
  <c r="B475" i="3"/>
  <c r="S474" i="3"/>
  <c r="I474" i="3"/>
  <c r="G474" i="3"/>
  <c r="D474" i="3"/>
  <c r="B474" i="3"/>
  <c r="S473" i="3"/>
  <c r="I473" i="3"/>
  <c r="G473" i="3"/>
  <c r="D473" i="3"/>
  <c r="B473" i="3"/>
  <c r="S472" i="3"/>
  <c r="I472" i="3"/>
  <c r="G472" i="3"/>
  <c r="D472" i="3"/>
  <c r="B472" i="3"/>
  <c r="S471" i="3"/>
  <c r="I471" i="3"/>
  <c r="G471" i="3"/>
  <c r="D471" i="3"/>
  <c r="B471" i="3"/>
  <c r="S470" i="3"/>
  <c r="I470" i="3"/>
  <c r="G470" i="3"/>
  <c r="D470" i="3"/>
  <c r="B470" i="3"/>
  <c r="S469" i="3"/>
  <c r="I469" i="3"/>
  <c r="G469" i="3"/>
  <c r="D469" i="3"/>
  <c r="B469" i="3"/>
  <c r="S468" i="3"/>
  <c r="I468" i="3"/>
  <c r="G468" i="3"/>
  <c r="D468" i="3"/>
  <c r="B468" i="3"/>
  <c r="S467" i="3"/>
  <c r="I467" i="3"/>
  <c r="G467" i="3"/>
  <c r="D467" i="3"/>
  <c r="B467" i="3"/>
  <c r="S466" i="3"/>
  <c r="I466" i="3"/>
  <c r="G466" i="3"/>
  <c r="D466" i="3"/>
  <c r="B466" i="3"/>
  <c r="S465" i="3"/>
  <c r="I465" i="3"/>
  <c r="G465" i="3"/>
  <c r="D465" i="3"/>
  <c r="B465" i="3"/>
  <c r="S464" i="3"/>
  <c r="I464" i="3"/>
  <c r="G464" i="3"/>
  <c r="D464" i="3"/>
  <c r="B464" i="3"/>
  <c r="S463" i="3"/>
  <c r="I463" i="3"/>
  <c r="G463" i="3"/>
  <c r="D463" i="3"/>
  <c r="B463" i="3"/>
  <c r="S462" i="3"/>
  <c r="I462" i="3"/>
  <c r="G462" i="3"/>
  <c r="D462" i="3"/>
  <c r="B462" i="3"/>
  <c r="S461" i="3"/>
  <c r="I461" i="3"/>
  <c r="G461" i="3"/>
  <c r="D461" i="3"/>
  <c r="B461" i="3"/>
  <c r="S460" i="3"/>
  <c r="I460" i="3"/>
  <c r="G460" i="3"/>
  <c r="D460" i="3"/>
  <c r="B460" i="3"/>
  <c r="S459" i="3"/>
  <c r="I459" i="3"/>
  <c r="G459" i="3"/>
  <c r="D459" i="3"/>
  <c r="B459" i="3"/>
  <c r="S458" i="3"/>
  <c r="I458" i="3"/>
  <c r="G458" i="3"/>
  <c r="D458" i="3"/>
  <c r="B458" i="3"/>
  <c r="S457" i="3"/>
  <c r="I457" i="3"/>
  <c r="G457" i="3"/>
  <c r="D457" i="3"/>
  <c r="B457" i="3"/>
  <c r="S456" i="3"/>
  <c r="I456" i="3"/>
  <c r="G456" i="3"/>
  <c r="D456" i="3"/>
  <c r="B456" i="3"/>
  <c r="S455" i="3"/>
  <c r="I455" i="3"/>
  <c r="G455" i="3"/>
  <c r="D455" i="3"/>
  <c r="B455" i="3"/>
  <c r="S454" i="3"/>
  <c r="I454" i="3"/>
  <c r="G454" i="3"/>
  <c r="D454" i="3"/>
  <c r="B454" i="3"/>
  <c r="S453" i="3"/>
  <c r="I453" i="3"/>
  <c r="G453" i="3"/>
  <c r="D453" i="3"/>
  <c r="B453" i="3"/>
  <c r="S452" i="3"/>
  <c r="I452" i="3"/>
  <c r="G452" i="3"/>
  <c r="D452" i="3"/>
  <c r="B452" i="3"/>
  <c r="S451" i="3"/>
  <c r="I451" i="3"/>
  <c r="G451" i="3"/>
  <c r="D451" i="3"/>
  <c r="B451" i="3"/>
  <c r="S450" i="3"/>
  <c r="I450" i="3"/>
  <c r="G450" i="3"/>
  <c r="D450" i="3"/>
  <c r="B450" i="3"/>
  <c r="S449" i="3"/>
  <c r="I449" i="3"/>
  <c r="G449" i="3"/>
  <c r="D449" i="3"/>
  <c r="B449" i="3"/>
  <c r="S448" i="3"/>
  <c r="I448" i="3"/>
  <c r="G448" i="3"/>
  <c r="D448" i="3"/>
  <c r="B448" i="3"/>
  <c r="S447" i="3"/>
  <c r="I447" i="3"/>
  <c r="G447" i="3"/>
  <c r="D447" i="3"/>
  <c r="B447" i="3"/>
  <c r="S446" i="3"/>
  <c r="I446" i="3"/>
  <c r="G446" i="3"/>
  <c r="D446" i="3"/>
  <c r="B446" i="3"/>
  <c r="S445" i="3"/>
  <c r="I445" i="3"/>
  <c r="G445" i="3"/>
  <c r="D445" i="3"/>
  <c r="B445" i="3"/>
  <c r="S444" i="3"/>
  <c r="I444" i="3"/>
  <c r="G444" i="3"/>
  <c r="D444" i="3"/>
  <c r="B444" i="3"/>
  <c r="S443" i="3"/>
  <c r="I443" i="3"/>
  <c r="G443" i="3"/>
  <c r="D443" i="3"/>
  <c r="B443" i="3"/>
  <c r="S442" i="3"/>
  <c r="I442" i="3"/>
  <c r="G442" i="3"/>
  <c r="D442" i="3"/>
  <c r="B442" i="3"/>
  <c r="S441" i="3"/>
  <c r="I441" i="3"/>
  <c r="G441" i="3"/>
  <c r="D441" i="3"/>
  <c r="B441" i="3"/>
  <c r="S440" i="3"/>
  <c r="I440" i="3"/>
  <c r="G440" i="3"/>
  <c r="D440" i="3"/>
  <c r="B440" i="3"/>
  <c r="S439" i="3"/>
  <c r="I439" i="3"/>
  <c r="G439" i="3"/>
  <c r="D439" i="3"/>
  <c r="B439" i="3"/>
  <c r="S438" i="3"/>
  <c r="I438" i="3"/>
  <c r="G438" i="3"/>
  <c r="D438" i="3"/>
  <c r="B438" i="3"/>
  <c r="S437" i="3"/>
  <c r="I437" i="3"/>
  <c r="G437" i="3"/>
  <c r="D437" i="3"/>
  <c r="B437" i="3"/>
  <c r="S436" i="3"/>
  <c r="I436" i="3"/>
  <c r="G436" i="3"/>
  <c r="D436" i="3"/>
  <c r="B436" i="3"/>
  <c r="S435" i="3"/>
  <c r="I435" i="3"/>
  <c r="G435" i="3"/>
  <c r="D435" i="3"/>
  <c r="B435" i="3"/>
  <c r="S434" i="3"/>
  <c r="I434" i="3"/>
  <c r="G434" i="3"/>
  <c r="D434" i="3"/>
  <c r="B434" i="3"/>
  <c r="S433" i="3"/>
  <c r="I433" i="3"/>
  <c r="G433" i="3"/>
  <c r="D433" i="3"/>
  <c r="B433" i="3"/>
  <c r="S432" i="3"/>
  <c r="I432" i="3"/>
  <c r="G432" i="3"/>
  <c r="D432" i="3"/>
  <c r="B432" i="3"/>
  <c r="S431" i="3"/>
  <c r="I431" i="3"/>
  <c r="G431" i="3"/>
  <c r="D431" i="3"/>
  <c r="B431" i="3"/>
  <c r="S430" i="3"/>
  <c r="I430" i="3"/>
  <c r="G430" i="3"/>
  <c r="D430" i="3"/>
  <c r="B430" i="3"/>
  <c r="S429" i="3"/>
  <c r="I429" i="3"/>
  <c r="G429" i="3"/>
  <c r="D429" i="3"/>
  <c r="B429" i="3"/>
  <c r="S428" i="3"/>
  <c r="I428" i="3"/>
  <c r="G428" i="3"/>
  <c r="D428" i="3"/>
  <c r="B428" i="3"/>
  <c r="S427" i="3"/>
  <c r="I427" i="3"/>
  <c r="G427" i="3"/>
  <c r="D427" i="3"/>
  <c r="B427" i="3"/>
  <c r="S426" i="3"/>
  <c r="I426" i="3"/>
  <c r="G426" i="3"/>
  <c r="D426" i="3"/>
  <c r="B426" i="3"/>
  <c r="S425" i="3"/>
  <c r="I425" i="3"/>
  <c r="G425" i="3"/>
  <c r="D425" i="3"/>
  <c r="B425" i="3"/>
  <c r="S424" i="3"/>
  <c r="I424" i="3"/>
  <c r="G424" i="3"/>
  <c r="D424" i="3"/>
  <c r="B424" i="3"/>
  <c r="S423" i="3"/>
  <c r="I423" i="3"/>
  <c r="G423" i="3"/>
  <c r="D423" i="3"/>
  <c r="B423" i="3"/>
  <c r="S422" i="3"/>
  <c r="I422" i="3"/>
  <c r="G422" i="3"/>
  <c r="D422" i="3"/>
  <c r="B422" i="3"/>
  <c r="S421" i="3"/>
  <c r="I421" i="3"/>
  <c r="G421" i="3"/>
  <c r="D421" i="3"/>
  <c r="B421" i="3"/>
  <c r="S420" i="3"/>
  <c r="I420" i="3"/>
  <c r="G420" i="3"/>
  <c r="D420" i="3"/>
  <c r="B420" i="3"/>
  <c r="S419" i="3"/>
  <c r="I419" i="3"/>
  <c r="G419" i="3"/>
  <c r="D419" i="3"/>
  <c r="B419" i="3"/>
  <c r="S418" i="3"/>
  <c r="I418" i="3"/>
  <c r="G418" i="3"/>
  <c r="D418" i="3"/>
  <c r="B418" i="3"/>
  <c r="S417" i="3"/>
  <c r="I417" i="3"/>
  <c r="G417" i="3"/>
  <c r="D417" i="3"/>
  <c r="B417" i="3"/>
  <c r="S416" i="3"/>
  <c r="I416" i="3"/>
  <c r="G416" i="3"/>
  <c r="D416" i="3"/>
  <c r="B416" i="3"/>
  <c r="S415" i="3"/>
  <c r="I415" i="3"/>
  <c r="G415" i="3"/>
  <c r="D415" i="3"/>
  <c r="B415" i="3"/>
  <c r="S414" i="3"/>
  <c r="I414" i="3"/>
  <c r="G414" i="3"/>
  <c r="D414" i="3"/>
  <c r="B414" i="3"/>
  <c r="S413" i="3"/>
  <c r="I413" i="3"/>
  <c r="G413" i="3"/>
  <c r="D413" i="3"/>
  <c r="B413" i="3"/>
  <c r="S412" i="3"/>
  <c r="I412" i="3"/>
  <c r="G412" i="3"/>
  <c r="D412" i="3"/>
  <c r="B412" i="3"/>
  <c r="S411" i="3"/>
  <c r="I411" i="3"/>
  <c r="G411" i="3"/>
  <c r="D411" i="3"/>
  <c r="B411" i="3"/>
  <c r="S410" i="3"/>
  <c r="I410" i="3"/>
  <c r="G410" i="3"/>
  <c r="D410" i="3"/>
  <c r="B410" i="3"/>
  <c r="S409" i="3"/>
  <c r="I409" i="3"/>
  <c r="G409" i="3"/>
  <c r="D409" i="3"/>
  <c r="B409" i="3"/>
  <c r="S408" i="3"/>
  <c r="I408" i="3"/>
  <c r="G408" i="3"/>
  <c r="D408" i="3"/>
  <c r="B408" i="3"/>
  <c r="S407" i="3"/>
  <c r="I407" i="3"/>
  <c r="G407" i="3"/>
  <c r="D407" i="3"/>
  <c r="B407" i="3"/>
  <c r="S406" i="3"/>
  <c r="I406" i="3"/>
  <c r="G406" i="3"/>
  <c r="D406" i="3"/>
  <c r="B406" i="3"/>
  <c r="S405" i="3"/>
  <c r="I405" i="3"/>
  <c r="G405" i="3"/>
  <c r="D405" i="3"/>
  <c r="B405" i="3"/>
  <c r="S404" i="3"/>
  <c r="I404" i="3"/>
  <c r="G404" i="3"/>
  <c r="D404" i="3"/>
  <c r="B404" i="3"/>
  <c r="S403" i="3"/>
  <c r="I403" i="3"/>
  <c r="G403" i="3"/>
  <c r="D403" i="3"/>
  <c r="B403" i="3"/>
  <c r="S402" i="3"/>
  <c r="I402" i="3"/>
  <c r="G402" i="3"/>
  <c r="D402" i="3"/>
  <c r="B402" i="3"/>
  <c r="S401" i="3"/>
  <c r="I401" i="3"/>
  <c r="G401" i="3"/>
  <c r="D401" i="3"/>
  <c r="B401" i="3"/>
  <c r="S400" i="3"/>
  <c r="I400" i="3"/>
  <c r="G400" i="3"/>
  <c r="D400" i="3"/>
  <c r="B400" i="3"/>
  <c r="S399" i="3"/>
  <c r="I399" i="3"/>
  <c r="G399" i="3"/>
  <c r="D399" i="3"/>
  <c r="B399" i="3"/>
  <c r="S398" i="3"/>
  <c r="I398" i="3"/>
  <c r="G398" i="3"/>
  <c r="D398" i="3"/>
  <c r="B398" i="3"/>
  <c r="S397" i="3"/>
  <c r="I397" i="3"/>
  <c r="G397" i="3"/>
  <c r="D397" i="3"/>
  <c r="B397" i="3"/>
  <c r="S396" i="3"/>
  <c r="I396" i="3"/>
  <c r="G396" i="3"/>
  <c r="D396" i="3"/>
  <c r="B396" i="3"/>
  <c r="S395" i="3"/>
  <c r="I395" i="3"/>
  <c r="G395" i="3"/>
  <c r="D395" i="3"/>
  <c r="B395" i="3"/>
  <c r="S394" i="3"/>
  <c r="I394" i="3"/>
  <c r="G394" i="3"/>
  <c r="D394" i="3"/>
  <c r="B394" i="3"/>
  <c r="S393" i="3"/>
  <c r="I393" i="3"/>
  <c r="G393" i="3"/>
  <c r="D393" i="3"/>
  <c r="B393" i="3"/>
  <c r="S392" i="3"/>
  <c r="I392" i="3"/>
  <c r="G392" i="3"/>
  <c r="D392" i="3"/>
  <c r="B392" i="3"/>
  <c r="S391" i="3"/>
  <c r="I391" i="3"/>
  <c r="G391" i="3"/>
  <c r="D391" i="3"/>
  <c r="B391" i="3"/>
  <c r="S390" i="3"/>
  <c r="I390" i="3"/>
  <c r="G390" i="3"/>
  <c r="D390" i="3"/>
  <c r="B390" i="3"/>
  <c r="S389" i="3"/>
  <c r="I389" i="3"/>
  <c r="G389" i="3"/>
  <c r="D389" i="3"/>
  <c r="B389" i="3"/>
  <c r="S388" i="3"/>
  <c r="I388" i="3"/>
  <c r="G388" i="3"/>
  <c r="D388" i="3"/>
  <c r="B388" i="3"/>
  <c r="S387" i="3"/>
  <c r="I387" i="3"/>
  <c r="G387" i="3"/>
  <c r="D387" i="3"/>
  <c r="B387" i="3"/>
  <c r="S386" i="3"/>
  <c r="I386" i="3"/>
  <c r="G386" i="3"/>
  <c r="D386" i="3"/>
  <c r="B386" i="3"/>
  <c r="S385" i="3"/>
  <c r="I385" i="3"/>
  <c r="G385" i="3"/>
  <c r="D385" i="3"/>
  <c r="B385" i="3"/>
  <c r="S384" i="3"/>
  <c r="I384" i="3"/>
  <c r="G384" i="3"/>
  <c r="D384" i="3"/>
  <c r="B384" i="3"/>
  <c r="S383" i="3"/>
  <c r="I383" i="3"/>
  <c r="G383" i="3"/>
  <c r="D383" i="3"/>
  <c r="B383" i="3"/>
  <c r="S382" i="3"/>
  <c r="I382" i="3"/>
  <c r="G382" i="3"/>
  <c r="D382" i="3"/>
  <c r="B382" i="3"/>
  <c r="S381" i="3"/>
  <c r="I381" i="3"/>
  <c r="G381" i="3"/>
  <c r="D381" i="3"/>
  <c r="B381" i="3"/>
  <c r="S380" i="3"/>
  <c r="I380" i="3"/>
  <c r="G380" i="3"/>
  <c r="D380" i="3"/>
  <c r="B380" i="3"/>
  <c r="S379" i="3"/>
  <c r="I379" i="3"/>
  <c r="G379" i="3"/>
  <c r="D379" i="3"/>
  <c r="B379" i="3"/>
  <c r="S378" i="3"/>
  <c r="I378" i="3"/>
  <c r="G378" i="3"/>
  <c r="D378" i="3"/>
  <c r="B378" i="3"/>
  <c r="S377" i="3"/>
  <c r="I377" i="3"/>
  <c r="G377" i="3"/>
  <c r="D377" i="3"/>
  <c r="B377" i="3"/>
  <c r="S376" i="3"/>
  <c r="I376" i="3"/>
  <c r="G376" i="3"/>
  <c r="D376" i="3"/>
  <c r="B376" i="3"/>
  <c r="S375" i="3"/>
  <c r="I375" i="3"/>
  <c r="G375" i="3"/>
  <c r="D375" i="3"/>
  <c r="B375" i="3"/>
  <c r="S374" i="3"/>
  <c r="I374" i="3"/>
  <c r="G374" i="3"/>
  <c r="D374" i="3"/>
  <c r="B374" i="3"/>
  <c r="S373" i="3"/>
  <c r="I373" i="3"/>
  <c r="G373" i="3"/>
  <c r="D373" i="3"/>
  <c r="B373" i="3"/>
  <c r="S372" i="3"/>
  <c r="I372" i="3"/>
  <c r="G372" i="3"/>
  <c r="D372" i="3"/>
  <c r="B372" i="3"/>
  <c r="S371" i="3"/>
  <c r="I371" i="3"/>
  <c r="G371" i="3"/>
  <c r="D371" i="3"/>
  <c r="B371" i="3"/>
  <c r="S370" i="3"/>
  <c r="I370" i="3"/>
  <c r="G370" i="3"/>
  <c r="D370" i="3"/>
  <c r="B370" i="3"/>
  <c r="S369" i="3"/>
  <c r="I369" i="3"/>
  <c r="G369" i="3"/>
  <c r="D369" i="3"/>
  <c r="B369" i="3"/>
  <c r="S368" i="3"/>
  <c r="I368" i="3"/>
  <c r="G368" i="3"/>
  <c r="D368" i="3"/>
  <c r="B368" i="3"/>
  <c r="S367" i="3"/>
  <c r="I367" i="3"/>
  <c r="G367" i="3"/>
  <c r="D367" i="3"/>
  <c r="B367" i="3"/>
  <c r="S366" i="3"/>
  <c r="I366" i="3"/>
  <c r="G366" i="3"/>
  <c r="D366" i="3"/>
  <c r="B366" i="3"/>
  <c r="S365" i="3"/>
  <c r="I365" i="3"/>
  <c r="G365" i="3"/>
  <c r="D365" i="3"/>
  <c r="B365" i="3"/>
  <c r="S364" i="3"/>
  <c r="I364" i="3"/>
  <c r="G364" i="3"/>
  <c r="D364" i="3"/>
  <c r="B364" i="3"/>
  <c r="S363" i="3"/>
  <c r="I363" i="3"/>
  <c r="G363" i="3"/>
  <c r="D363" i="3"/>
  <c r="B363" i="3"/>
  <c r="S362" i="3"/>
  <c r="I362" i="3"/>
  <c r="G362" i="3"/>
  <c r="D362" i="3"/>
  <c r="B362" i="3"/>
  <c r="S361" i="3"/>
  <c r="I361" i="3"/>
  <c r="G361" i="3"/>
  <c r="D361" i="3"/>
  <c r="B361" i="3"/>
  <c r="S360" i="3"/>
  <c r="I360" i="3"/>
  <c r="G360" i="3"/>
  <c r="D360" i="3"/>
  <c r="B360" i="3"/>
  <c r="S359" i="3"/>
  <c r="I359" i="3"/>
  <c r="G359" i="3"/>
  <c r="D359" i="3"/>
  <c r="B359" i="3"/>
  <c r="S358" i="3"/>
  <c r="I358" i="3"/>
  <c r="G358" i="3"/>
  <c r="D358" i="3"/>
  <c r="B358" i="3"/>
  <c r="S357" i="3"/>
  <c r="I357" i="3"/>
  <c r="G357" i="3"/>
  <c r="D357" i="3"/>
  <c r="B357" i="3"/>
  <c r="S356" i="3"/>
  <c r="I356" i="3"/>
  <c r="G356" i="3"/>
  <c r="D356" i="3"/>
  <c r="B356" i="3"/>
  <c r="S355" i="3"/>
  <c r="I355" i="3"/>
  <c r="G355" i="3"/>
  <c r="D355" i="3"/>
  <c r="B355" i="3"/>
  <c r="S354" i="3"/>
  <c r="I354" i="3"/>
  <c r="G354" i="3"/>
  <c r="D354" i="3"/>
  <c r="B354" i="3"/>
  <c r="S353" i="3"/>
  <c r="I353" i="3"/>
  <c r="G353" i="3"/>
  <c r="D353" i="3"/>
  <c r="B353" i="3"/>
  <c r="S352" i="3"/>
  <c r="I352" i="3"/>
  <c r="G352" i="3"/>
  <c r="D352" i="3"/>
  <c r="B352" i="3"/>
  <c r="S351" i="3"/>
  <c r="I351" i="3"/>
  <c r="G351" i="3"/>
  <c r="D351" i="3"/>
  <c r="B351" i="3"/>
  <c r="S350" i="3"/>
  <c r="I350" i="3"/>
  <c r="G350" i="3"/>
  <c r="D350" i="3"/>
  <c r="B350" i="3"/>
  <c r="S349" i="3"/>
  <c r="I349" i="3"/>
  <c r="G349" i="3"/>
  <c r="D349" i="3"/>
  <c r="B349" i="3"/>
  <c r="S348" i="3"/>
  <c r="I348" i="3"/>
  <c r="G348" i="3"/>
  <c r="D348" i="3"/>
  <c r="B348" i="3"/>
  <c r="S347" i="3"/>
  <c r="I347" i="3"/>
  <c r="G347" i="3"/>
  <c r="D347" i="3"/>
  <c r="B347" i="3"/>
  <c r="S346" i="3"/>
  <c r="I346" i="3"/>
  <c r="G346" i="3"/>
  <c r="D346" i="3"/>
  <c r="B346" i="3"/>
  <c r="S345" i="3"/>
  <c r="I345" i="3"/>
  <c r="G345" i="3"/>
  <c r="D345" i="3"/>
  <c r="B345" i="3"/>
  <c r="S344" i="3"/>
  <c r="I344" i="3"/>
  <c r="G344" i="3"/>
  <c r="D344" i="3"/>
  <c r="B344" i="3"/>
  <c r="S343" i="3"/>
  <c r="I343" i="3"/>
  <c r="G343" i="3"/>
  <c r="D343" i="3"/>
  <c r="B343" i="3"/>
  <c r="S342" i="3"/>
  <c r="I342" i="3"/>
  <c r="G342" i="3"/>
  <c r="D342" i="3"/>
  <c r="B342" i="3"/>
  <c r="S341" i="3"/>
  <c r="I341" i="3"/>
  <c r="G341" i="3"/>
  <c r="D341" i="3"/>
  <c r="B341" i="3"/>
  <c r="S340" i="3"/>
  <c r="I340" i="3"/>
  <c r="G340" i="3"/>
  <c r="D340" i="3"/>
  <c r="B340" i="3"/>
  <c r="S339" i="3"/>
  <c r="I339" i="3"/>
  <c r="G339" i="3"/>
  <c r="D339" i="3"/>
  <c r="B339" i="3"/>
  <c r="S338" i="3"/>
  <c r="I338" i="3"/>
  <c r="G338" i="3"/>
  <c r="D338" i="3"/>
  <c r="B338" i="3"/>
  <c r="S337" i="3"/>
  <c r="I337" i="3"/>
  <c r="G337" i="3"/>
  <c r="D337" i="3"/>
  <c r="B337" i="3"/>
  <c r="S336" i="3"/>
  <c r="I336" i="3"/>
  <c r="G336" i="3"/>
  <c r="D336" i="3"/>
  <c r="B336" i="3"/>
  <c r="S335" i="3"/>
  <c r="I335" i="3"/>
  <c r="G335" i="3"/>
  <c r="D335" i="3"/>
  <c r="B335" i="3"/>
  <c r="S334" i="3"/>
  <c r="I334" i="3"/>
  <c r="G334" i="3"/>
  <c r="D334" i="3"/>
  <c r="B334" i="3"/>
  <c r="S333" i="3"/>
  <c r="I333" i="3"/>
  <c r="G333" i="3"/>
  <c r="D333" i="3"/>
  <c r="B333" i="3"/>
  <c r="S332" i="3"/>
  <c r="I332" i="3"/>
  <c r="G332" i="3"/>
  <c r="D332" i="3"/>
  <c r="B332" i="3"/>
  <c r="S331" i="3"/>
  <c r="I331" i="3"/>
  <c r="G331" i="3"/>
  <c r="D331" i="3"/>
  <c r="B331" i="3"/>
  <c r="S330" i="3"/>
  <c r="I330" i="3"/>
  <c r="G330" i="3"/>
  <c r="D330" i="3"/>
  <c r="B330" i="3"/>
  <c r="S329" i="3"/>
  <c r="I329" i="3"/>
  <c r="G329" i="3"/>
  <c r="D329" i="3"/>
  <c r="B329" i="3"/>
  <c r="S328" i="3"/>
  <c r="I328" i="3"/>
  <c r="G328" i="3"/>
  <c r="D328" i="3"/>
  <c r="B328" i="3"/>
  <c r="S327" i="3"/>
  <c r="I327" i="3"/>
  <c r="G327" i="3"/>
  <c r="D327" i="3"/>
  <c r="B327" i="3"/>
  <c r="S326" i="3"/>
  <c r="I326" i="3"/>
  <c r="G326" i="3"/>
  <c r="D326" i="3"/>
  <c r="B326" i="3"/>
  <c r="S325" i="3"/>
  <c r="I325" i="3"/>
  <c r="G325" i="3"/>
  <c r="D325" i="3"/>
  <c r="B325" i="3"/>
  <c r="S324" i="3"/>
  <c r="I324" i="3"/>
  <c r="G324" i="3"/>
  <c r="D324" i="3"/>
  <c r="B324" i="3"/>
  <c r="S323" i="3"/>
  <c r="I323" i="3"/>
  <c r="G323" i="3"/>
  <c r="D323" i="3"/>
  <c r="B323" i="3"/>
  <c r="S322" i="3"/>
  <c r="I322" i="3"/>
  <c r="G322" i="3"/>
  <c r="D322" i="3"/>
  <c r="B322" i="3"/>
  <c r="S321" i="3"/>
  <c r="I321" i="3"/>
  <c r="G321" i="3"/>
  <c r="D321" i="3"/>
  <c r="B321" i="3"/>
  <c r="S320" i="3"/>
  <c r="I320" i="3"/>
  <c r="G320" i="3"/>
  <c r="D320" i="3"/>
  <c r="B320" i="3"/>
  <c r="S319" i="3"/>
  <c r="I319" i="3"/>
  <c r="G319" i="3"/>
  <c r="D319" i="3"/>
  <c r="B319" i="3"/>
  <c r="S318" i="3"/>
  <c r="I318" i="3"/>
  <c r="G318" i="3"/>
  <c r="D318" i="3"/>
  <c r="B318" i="3"/>
  <c r="S317" i="3"/>
  <c r="I317" i="3"/>
  <c r="G317" i="3"/>
  <c r="D317" i="3"/>
  <c r="B317" i="3"/>
  <c r="S316" i="3"/>
  <c r="I316" i="3"/>
  <c r="G316" i="3"/>
  <c r="D316" i="3"/>
  <c r="B316" i="3"/>
  <c r="S315" i="3"/>
  <c r="I315" i="3"/>
  <c r="G315" i="3"/>
  <c r="D315" i="3"/>
  <c r="B315" i="3"/>
  <c r="S314" i="3"/>
  <c r="I314" i="3"/>
  <c r="G314" i="3"/>
  <c r="D314" i="3"/>
  <c r="B314" i="3"/>
  <c r="S313" i="3"/>
  <c r="I313" i="3"/>
  <c r="G313" i="3"/>
  <c r="D313" i="3"/>
  <c r="B313" i="3"/>
  <c r="S312" i="3"/>
  <c r="I312" i="3"/>
  <c r="G312" i="3"/>
  <c r="D312" i="3"/>
  <c r="B312" i="3"/>
  <c r="S311" i="3"/>
  <c r="I311" i="3"/>
  <c r="G311" i="3"/>
  <c r="D311" i="3"/>
  <c r="B311" i="3"/>
  <c r="S310" i="3"/>
  <c r="I310" i="3"/>
  <c r="G310" i="3"/>
  <c r="D310" i="3"/>
  <c r="B310" i="3"/>
  <c r="S309" i="3"/>
  <c r="I309" i="3"/>
  <c r="G309" i="3"/>
  <c r="D309" i="3"/>
  <c r="B309" i="3"/>
  <c r="S308" i="3"/>
  <c r="I308" i="3"/>
  <c r="G308" i="3"/>
  <c r="D308" i="3"/>
  <c r="B308" i="3"/>
  <c r="S307" i="3"/>
  <c r="I307" i="3"/>
  <c r="G307" i="3"/>
  <c r="D307" i="3"/>
  <c r="B307" i="3"/>
  <c r="S306" i="3"/>
  <c r="I306" i="3"/>
  <c r="G306" i="3"/>
  <c r="D306" i="3"/>
  <c r="B306" i="3"/>
  <c r="S305" i="3"/>
  <c r="I305" i="3"/>
  <c r="G305" i="3"/>
  <c r="D305" i="3"/>
  <c r="B305" i="3"/>
  <c r="S304" i="3"/>
  <c r="I304" i="3"/>
  <c r="G304" i="3"/>
  <c r="D304" i="3"/>
  <c r="B304" i="3"/>
  <c r="S303" i="3"/>
  <c r="I303" i="3"/>
  <c r="G303" i="3"/>
  <c r="D303" i="3"/>
  <c r="B303" i="3"/>
  <c r="S302" i="3"/>
  <c r="I302" i="3"/>
  <c r="G302" i="3"/>
  <c r="D302" i="3"/>
  <c r="B302" i="3"/>
  <c r="S301" i="3"/>
  <c r="I301" i="3"/>
  <c r="G301" i="3"/>
  <c r="D301" i="3"/>
  <c r="B301" i="3"/>
  <c r="S300" i="3"/>
  <c r="I300" i="3"/>
  <c r="G300" i="3"/>
  <c r="D300" i="3"/>
  <c r="B300" i="3"/>
  <c r="S299" i="3"/>
  <c r="I299" i="3"/>
  <c r="G299" i="3"/>
  <c r="D299" i="3"/>
  <c r="B299" i="3"/>
  <c r="S298" i="3"/>
  <c r="I298" i="3"/>
  <c r="G298" i="3"/>
  <c r="D298" i="3"/>
  <c r="B298" i="3"/>
  <c r="S297" i="3"/>
  <c r="I297" i="3"/>
  <c r="G297" i="3"/>
  <c r="D297" i="3"/>
  <c r="B297" i="3"/>
  <c r="S296" i="3"/>
  <c r="I296" i="3"/>
  <c r="G296" i="3"/>
  <c r="D296" i="3"/>
  <c r="B296" i="3"/>
  <c r="S295" i="3"/>
  <c r="I295" i="3"/>
  <c r="G295" i="3"/>
  <c r="D295" i="3"/>
  <c r="B295" i="3"/>
  <c r="S294" i="3"/>
  <c r="I294" i="3"/>
  <c r="G294" i="3"/>
  <c r="D294" i="3"/>
  <c r="B294" i="3"/>
  <c r="S293" i="3"/>
  <c r="I293" i="3"/>
  <c r="G293" i="3"/>
  <c r="D293" i="3"/>
  <c r="B293" i="3"/>
  <c r="S292" i="3"/>
  <c r="I292" i="3"/>
  <c r="G292" i="3"/>
  <c r="D292" i="3"/>
  <c r="B292" i="3"/>
  <c r="S291" i="3"/>
  <c r="I291" i="3"/>
  <c r="G291" i="3"/>
  <c r="D291" i="3"/>
  <c r="B291" i="3"/>
  <c r="S290" i="3"/>
  <c r="I290" i="3"/>
  <c r="G290" i="3"/>
  <c r="D290" i="3"/>
  <c r="B290" i="3"/>
  <c r="S289" i="3"/>
  <c r="I289" i="3"/>
  <c r="G289" i="3"/>
  <c r="D289" i="3"/>
  <c r="B289" i="3"/>
  <c r="S288" i="3"/>
  <c r="I288" i="3"/>
  <c r="G288" i="3"/>
  <c r="D288" i="3"/>
  <c r="B288" i="3"/>
  <c r="S287" i="3"/>
  <c r="I287" i="3"/>
  <c r="G287" i="3"/>
  <c r="D287" i="3"/>
  <c r="B287" i="3"/>
  <c r="S286" i="3"/>
  <c r="I286" i="3"/>
  <c r="G286" i="3"/>
  <c r="D286" i="3"/>
  <c r="B286" i="3"/>
  <c r="S285" i="3"/>
  <c r="I285" i="3"/>
  <c r="G285" i="3"/>
  <c r="D285" i="3"/>
  <c r="B285" i="3"/>
  <c r="S284" i="3"/>
  <c r="I284" i="3"/>
  <c r="G284" i="3"/>
  <c r="D284" i="3"/>
  <c r="B284" i="3"/>
  <c r="S283" i="3"/>
  <c r="I283" i="3"/>
  <c r="G283" i="3"/>
  <c r="D283" i="3"/>
  <c r="B283" i="3"/>
  <c r="S282" i="3"/>
  <c r="I282" i="3"/>
  <c r="G282" i="3"/>
  <c r="D282" i="3"/>
  <c r="B282" i="3"/>
  <c r="S281" i="3"/>
  <c r="I281" i="3"/>
  <c r="G281" i="3"/>
  <c r="D281" i="3"/>
  <c r="B281" i="3"/>
  <c r="S280" i="3"/>
  <c r="I280" i="3"/>
  <c r="G280" i="3"/>
  <c r="D280" i="3"/>
  <c r="B280" i="3"/>
  <c r="S279" i="3"/>
  <c r="I279" i="3"/>
  <c r="G279" i="3"/>
  <c r="D279" i="3"/>
  <c r="B279" i="3"/>
  <c r="S278" i="3"/>
  <c r="I278" i="3"/>
  <c r="G278" i="3"/>
  <c r="D278" i="3"/>
  <c r="B278" i="3"/>
  <c r="S277" i="3"/>
  <c r="I277" i="3"/>
  <c r="G277" i="3"/>
  <c r="D277" i="3"/>
  <c r="B277" i="3"/>
  <c r="S276" i="3"/>
  <c r="I276" i="3"/>
  <c r="G276" i="3"/>
  <c r="D276" i="3"/>
  <c r="B276" i="3"/>
  <c r="S275" i="3"/>
  <c r="I275" i="3"/>
  <c r="G275" i="3"/>
  <c r="D275" i="3"/>
  <c r="B275" i="3"/>
  <c r="S274" i="3"/>
  <c r="I274" i="3"/>
  <c r="G274" i="3"/>
  <c r="D274" i="3"/>
  <c r="B274" i="3"/>
  <c r="S273" i="3"/>
  <c r="I273" i="3"/>
  <c r="G273" i="3"/>
  <c r="D273" i="3"/>
  <c r="B273" i="3"/>
  <c r="S272" i="3"/>
  <c r="I272" i="3"/>
  <c r="G272" i="3"/>
  <c r="D272" i="3"/>
  <c r="B272" i="3"/>
  <c r="S271" i="3"/>
  <c r="I271" i="3"/>
  <c r="G271" i="3"/>
  <c r="D271" i="3"/>
  <c r="B271" i="3"/>
  <c r="S270" i="3"/>
  <c r="I270" i="3"/>
  <c r="G270" i="3"/>
  <c r="D270" i="3"/>
  <c r="B270" i="3"/>
  <c r="S269" i="3"/>
  <c r="I269" i="3"/>
  <c r="G269" i="3"/>
  <c r="D269" i="3"/>
  <c r="B269" i="3"/>
  <c r="S268" i="3"/>
  <c r="I268" i="3"/>
  <c r="G268" i="3"/>
  <c r="D268" i="3"/>
  <c r="B268" i="3"/>
  <c r="S267" i="3"/>
  <c r="I267" i="3"/>
  <c r="G267" i="3"/>
  <c r="D267" i="3"/>
  <c r="B267" i="3"/>
  <c r="S266" i="3"/>
  <c r="I266" i="3"/>
  <c r="G266" i="3"/>
  <c r="D266" i="3"/>
  <c r="B266" i="3"/>
  <c r="S265" i="3"/>
  <c r="I265" i="3"/>
  <c r="G265" i="3"/>
  <c r="D265" i="3"/>
  <c r="B265" i="3"/>
  <c r="S264" i="3"/>
  <c r="I264" i="3"/>
  <c r="G264" i="3"/>
  <c r="D264" i="3"/>
  <c r="B264" i="3"/>
  <c r="S263" i="3"/>
  <c r="I263" i="3"/>
  <c r="G263" i="3"/>
  <c r="D263" i="3"/>
  <c r="B263" i="3"/>
  <c r="S262" i="3"/>
  <c r="I262" i="3"/>
  <c r="G262" i="3"/>
  <c r="D262" i="3"/>
  <c r="B262" i="3"/>
  <c r="S261" i="3"/>
  <c r="I261" i="3"/>
  <c r="G261" i="3"/>
  <c r="D261" i="3"/>
  <c r="B261" i="3"/>
  <c r="S260" i="3"/>
  <c r="I260" i="3"/>
  <c r="G260" i="3"/>
  <c r="D260" i="3"/>
  <c r="B260" i="3"/>
  <c r="S259" i="3"/>
  <c r="I259" i="3"/>
  <c r="G259" i="3"/>
  <c r="D259" i="3"/>
  <c r="B259" i="3"/>
  <c r="S258" i="3"/>
  <c r="I258" i="3"/>
  <c r="G258" i="3"/>
  <c r="D258" i="3"/>
  <c r="B258" i="3"/>
  <c r="S257" i="3"/>
  <c r="I257" i="3"/>
  <c r="G257" i="3"/>
  <c r="D257" i="3"/>
  <c r="B257" i="3"/>
  <c r="S256" i="3"/>
  <c r="I256" i="3"/>
  <c r="G256" i="3"/>
  <c r="D256" i="3"/>
  <c r="B256" i="3"/>
  <c r="S255" i="3"/>
  <c r="I255" i="3"/>
  <c r="G255" i="3"/>
  <c r="D255" i="3"/>
  <c r="B255" i="3"/>
  <c r="S254" i="3"/>
  <c r="I254" i="3"/>
  <c r="G254" i="3"/>
  <c r="D254" i="3"/>
  <c r="B254" i="3"/>
  <c r="S253" i="3"/>
  <c r="I253" i="3"/>
  <c r="G253" i="3"/>
  <c r="D253" i="3"/>
  <c r="B253" i="3"/>
  <c r="S252" i="3"/>
  <c r="I252" i="3"/>
  <c r="G252" i="3"/>
  <c r="D252" i="3"/>
  <c r="B252" i="3"/>
  <c r="S251" i="3"/>
  <c r="I251" i="3"/>
  <c r="G251" i="3"/>
  <c r="D251" i="3"/>
  <c r="B251" i="3"/>
  <c r="S250" i="3"/>
  <c r="I250" i="3"/>
  <c r="G250" i="3"/>
  <c r="D250" i="3"/>
  <c r="B250" i="3"/>
  <c r="S249" i="3"/>
  <c r="I249" i="3"/>
  <c r="G249" i="3"/>
  <c r="D249" i="3"/>
  <c r="B249" i="3"/>
  <c r="S248" i="3"/>
  <c r="I248" i="3"/>
  <c r="G248" i="3"/>
  <c r="D248" i="3"/>
  <c r="B248" i="3"/>
  <c r="S247" i="3"/>
  <c r="I247" i="3"/>
  <c r="G247" i="3"/>
  <c r="D247" i="3"/>
  <c r="B247" i="3"/>
  <c r="S246" i="3"/>
  <c r="I246" i="3"/>
  <c r="G246" i="3"/>
  <c r="D246" i="3"/>
  <c r="B246" i="3"/>
  <c r="S245" i="3"/>
  <c r="I245" i="3"/>
  <c r="G245" i="3"/>
  <c r="D245" i="3"/>
  <c r="B245" i="3"/>
  <c r="S244" i="3"/>
  <c r="I244" i="3"/>
  <c r="G244" i="3"/>
  <c r="D244" i="3"/>
  <c r="B244" i="3"/>
  <c r="S243" i="3"/>
  <c r="I243" i="3"/>
  <c r="G243" i="3"/>
  <c r="D243" i="3"/>
  <c r="B243" i="3"/>
  <c r="S242" i="3"/>
  <c r="I242" i="3"/>
  <c r="G242" i="3"/>
  <c r="D242" i="3"/>
  <c r="B242" i="3"/>
  <c r="S241" i="3"/>
  <c r="I241" i="3"/>
  <c r="G241" i="3"/>
  <c r="D241" i="3"/>
  <c r="B241" i="3"/>
  <c r="S240" i="3"/>
  <c r="I240" i="3"/>
  <c r="G240" i="3"/>
  <c r="D240" i="3"/>
  <c r="B240" i="3"/>
  <c r="S239" i="3"/>
  <c r="I239" i="3"/>
  <c r="G239" i="3"/>
  <c r="D239" i="3"/>
  <c r="B239" i="3"/>
  <c r="S238" i="3"/>
  <c r="I238" i="3"/>
  <c r="G238" i="3"/>
  <c r="D238" i="3"/>
  <c r="B238" i="3"/>
  <c r="S237" i="3"/>
  <c r="I237" i="3"/>
  <c r="G237" i="3"/>
  <c r="D237" i="3"/>
  <c r="B237" i="3"/>
  <c r="S236" i="3"/>
  <c r="I236" i="3"/>
  <c r="G236" i="3"/>
  <c r="D236" i="3"/>
  <c r="B236" i="3"/>
  <c r="S235" i="3"/>
  <c r="I235" i="3"/>
  <c r="G235" i="3"/>
  <c r="D235" i="3"/>
  <c r="B235" i="3"/>
  <c r="S234" i="3"/>
  <c r="I234" i="3"/>
  <c r="G234" i="3"/>
  <c r="D234" i="3"/>
  <c r="B234" i="3"/>
  <c r="S233" i="3"/>
  <c r="I233" i="3"/>
  <c r="G233" i="3"/>
  <c r="D233" i="3"/>
  <c r="B233" i="3"/>
  <c r="S232" i="3"/>
  <c r="I232" i="3"/>
  <c r="G232" i="3"/>
  <c r="D232" i="3"/>
  <c r="B232" i="3"/>
  <c r="S231" i="3"/>
  <c r="I231" i="3"/>
  <c r="G231" i="3"/>
  <c r="D231" i="3"/>
  <c r="B231" i="3"/>
  <c r="S230" i="3"/>
  <c r="I230" i="3"/>
  <c r="G230" i="3"/>
  <c r="D230" i="3"/>
  <c r="B230" i="3"/>
  <c r="S229" i="3"/>
  <c r="I229" i="3"/>
  <c r="G229" i="3"/>
  <c r="D229" i="3"/>
  <c r="B229" i="3"/>
  <c r="S228" i="3"/>
  <c r="I228" i="3"/>
  <c r="G228" i="3"/>
  <c r="D228" i="3"/>
  <c r="B228" i="3"/>
  <c r="S227" i="3"/>
  <c r="I227" i="3"/>
  <c r="G227" i="3"/>
  <c r="D227" i="3"/>
  <c r="B227" i="3"/>
  <c r="S226" i="3"/>
  <c r="I226" i="3"/>
  <c r="G226" i="3"/>
  <c r="D226" i="3"/>
  <c r="B226" i="3"/>
  <c r="S225" i="3"/>
  <c r="I225" i="3"/>
  <c r="G225" i="3"/>
  <c r="D225" i="3"/>
  <c r="B225" i="3"/>
  <c r="S224" i="3"/>
  <c r="I224" i="3"/>
  <c r="G224" i="3"/>
  <c r="D224" i="3"/>
  <c r="B224" i="3"/>
  <c r="S223" i="3"/>
  <c r="I223" i="3"/>
  <c r="G223" i="3"/>
  <c r="D223" i="3"/>
  <c r="B223" i="3"/>
  <c r="S222" i="3"/>
  <c r="I222" i="3"/>
  <c r="G222" i="3"/>
  <c r="D222" i="3"/>
  <c r="B222" i="3"/>
  <c r="S221" i="3"/>
  <c r="I221" i="3"/>
  <c r="G221" i="3"/>
  <c r="D221" i="3"/>
  <c r="B221" i="3"/>
  <c r="S220" i="3"/>
  <c r="I220" i="3"/>
  <c r="G220" i="3"/>
  <c r="D220" i="3"/>
  <c r="B220" i="3"/>
  <c r="S219" i="3"/>
  <c r="I219" i="3"/>
  <c r="G219" i="3"/>
  <c r="D219" i="3"/>
  <c r="B219" i="3"/>
  <c r="S218" i="3"/>
  <c r="I218" i="3"/>
  <c r="G218" i="3"/>
  <c r="D218" i="3"/>
  <c r="B218" i="3"/>
  <c r="S217" i="3"/>
  <c r="I217" i="3"/>
  <c r="G217" i="3"/>
  <c r="D217" i="3"/>
  <c r="B217" i="3"/>
  <c r="S216" i="3"/>
  <c r="I216" i="3"/>
  <c r="G216" i="3"/>
  <c r="D216" i="3"/>
  <c r="B216" i="3"/>
  <c r="S215" i="3"/>
  <c r="I215" i="3"/>
  <c r="G215" i="3"/>
  <c r="D215" i="3"/>
  <c r="B215" i="3"/>
  <c r="S214" i="3"/>
  <c r="I214" i="3"/>
  <c r="G214" i="3"/>
  <c r="D214" i="3"/>
  <c r="B214" i="3"/>
  <c r="S213" i="3"/>
  <c r="I213" i="3"/>
  <c r="G213" i="3"/>
  <c r="D213" i="3"/>
  <c r="B213" i="3"/>
  <c r="S212" i="3"/>
  <c r="I212" i="3"/>
  <c r="G212" i="3"/>
  <c r="D212" i="3"/>
  <c r="B212" i="3"/>
  <c r="S211" i="3"/>
  <c r="I211" i="3"/>
  <c r="G211" i="3"/>
  <c r="D211" i="3"/>
  <c r="B211" i="3"/>
  <c r="S210" i="3"/>
  <c r="I210" i="3"/>
  <c r="G210" i="3"/>
  <c r="D210" i="3"/>
  <c r="B210" i="3"/>
  <c r="S209" i="3"/>
  <c r="I209" i="3"/>
  <c r="G209" i="3"/>
  <c r="D209" i="3"/>
  <c r="B209" i="3"/>
  <c r="S208" i="3"/>
  <c r="I208" i="3"/>
  <c r="G208" i="3"/>
  <c r="D208" i="3"/>
  <c r="B208" i="3"/>
  <c r="S207" i="3"/>
  <c r="I207" i="3"/>
  <c r="G207" i="3"/>
  <c r="D207" i="3"/>
  <c r="B207" i="3"/>
  <c r="S206" i="3"/>
  <c r="I206" i="3"/>
  <c r="G206" i="3"/>
  <c r="D206" i="3"/>
  <c r="B206" i="3"/>
  <c r="S205" i="3"/>
  <c r="I205" i="3"/>
  <c r="G205" i="3"/>
  <c r="D205" i="3"/>
  <c r="B205" i="3"/>
  <c r="S204" i="3"/>
  <c r="I204" i="3"/>
  <c r="G204" i="3"/>
  <c r="D204" i="3"/>
  <c r="B204" i="3"/>
  <c r="S203" i="3"/>
  <c r="I203" i="3"/>
  <c r="G203" i="3"/>
  <c r="D203" i="3"/>
  <c r="B203" i="3"/>
  <c r="S202" i="3"/>
  <c r="I202" i="3"/>
  <c r="G202" i="3"/>
  <c r="D202" i="3"/>
  <c r="B202" i="3"/>
  <c r="S201" i="3"/>
  <c r="I201" i="3"/>
  <c r="G201" i="3"/>
  <c r="D201" i="3"/>
  <c r="B201" i="3"/>
  <c r="S200" i="3"/>
  <c r="I200" i="3"/>
  <c r="G200" i="3"/>
  <c r="D200" i="3"/>
  <c r="B200" i="3"/>
  <c r="S199" i="3"/>
  <c r="I199" i="3"/>
  <c r="G199" i="3"/>
  <c r="D199" i="3"/>
  <c r="B199" i="3"/>
  <c r="S198" i="3"/>
  <c r="I198" i="3"/>
  <c r="G198" i="3"/>
  <c r="D198" i="3"/>
  <c r="B198" i="3"/>
  <c r="S197" i="3"/>
  <c r="I197" i="3"/>
  <c r="G197" i="3"/>
  <c r="D197" i="3"/>
  <c r="B197" i="3"/>
  <c r="S196" i="3"/>
  <c r="I196" i="3"/>
  <c r="G196" i="3"/>
  <c r="D196" i="3"/>
  <c r="B196" i="3"/>
  <c r="S195" i="3"/>
  <c r="I195" i="3"/>
  <c r="G195" i="3"/>
  <c r="D195" i="3"/>
  <c r="B195" i="3"/>
  <c r="S194" i="3"/>
  <c r="I194" i="3"/>
  <c r="G194" i="3"/>
  <c r="D194" i="3"/>
  <c r="B194" i="3"/>
  <c r="S193" i="3"/>
  <c r="I193" i="3"/>
  <c r="G193" i="3"/>
  <c r="D193" i="3"/>
  <c r="B193" i="3"/>
  <c r="S192" i="3"/>
  <c r="I192" i="3"/>
  <c r="G192" i="3"/>
  <c r="D192" i="3"/>
  <c r="B192" i="3"/>
  <c r="S191" i="3"/>
  <c r="I191" i="3"/>
  <c r="G191" i="3"/>
  <c r="D191" i="3"/>
  <c r="B191" i="3"/>
  <c r="S190" i="3"/>
  <c r="I190" i="3"/>
  <c r="G190" i="3"/>
  <c r="D190" i="3"/>
  <c r="B190" i="3"/>
  <c r="S189" i="3"/>
  <c r="I189" i="3"/>
  <c r="G189" i="3"/>
  <c r="D189" i="3"/>
  <c r="B189" i="3"/>
  <c r="S188" i="3"/>
  <c r="I188" i="3"/>
  <c r="G188" i="3"/>
  <c r="D188" i="3"/>
  <c r="B188" i="3"/>
  <c r="S187" i="3"/>
  <c r="I187" i="3"/>
  <c r="G187" i="3"/>
  <c r="D187" i="3"/>
  <c r="B187" i="3"/>
  <c r="S186" i="3"/>
  <c r="I186" i="3"/>
  <c r="G186" i="3"/>
  <c r="D186" i="3"/>
  <c r="B186" i="3"/>
  <c r="S185" i="3"/>
  <c r="I185" i="3"/>
  <c r="G185" i="3"/>
  <c r="D185" i="3"/>
  <c r="B185" i="3"/>
  <c r="S184" i="3"/>
  <c r="I184" i="3"/>
  <c r="G184" i="3"/>
  <c r="D184" i="3"/>
  <c r="B184" i="3"/>
  <c r="S183" i="3"/>
  <c r="I183" i="3"/>
  <c r="G183" i="3"/>
  <c r="D183" i="3"/>
  <c r="B183" i="3"/>
  <c r="S182" i="3"/>
  <c r="I182" i="3"/>
  <c r="G182" i="3"/>
  <c r="D182" i="3"/>
  <c r="B182" i="3"/>
  <c r="S181" i="3"/>
  <c r="I181" i="3"/>
  <c r="G181" i="3"/>
  <c r="D181" i="3"/>
  <c r="B181" i="3"/>
  <c r="S180" i="3"/>
  <c r="I180" i="3"/>
  <c r="G180" i="3"/>
  <c r="D180" i="3"/>
  <c r="B180" i="3"/>
  <c r="S179" i="3"/>
  <c r="I179" i="3"/>
  <c r="G179" i="3"/>
  <c r="D179" i="3"/>
  <c r="B179" i="3"/>
  <c r="S178" i="3"/>
  <c r="I178" i="3"/>
  <c r="G178" i="3"/>
  <c r="D178" i="3"/>
  <c r="B178" i="3"/>
  <c r="S177" i="3"/>
  <c r="I177" i="3"/>
  <c r="G177" i="3"/>
  <c r="D177" i="3"/>
  <c r="B177" i="3"/>
  <c r="S176" i="3"/>
  <c r="I176" i="3"/>
  <c r="G176" i="3"/>
  <c r="D176" i="3"/>
  <c r="B176" i="3"/>
  <c r="S175" i="3"/>
  <c r="I175" i="3"/>
  <c r="G175" i="3"/>
  <c r="D175" i="3"/>
  <c r="B175" i="3"/>
  <c r="S174" i="3"/>
  <c r="I174" i="3"/>
  <c r="G174" i="3"/>
  <c r="D174" i="3"/>
  <c r="B174" i="3"/>
  <c r="S173" i="3"/>
  <c r="I173" i="3"/>
  <c r="G173" i="3"/>
  <c r="D173" i="3"/>
  <c r="B173" i="3"/>
  <c r="S172" i="3"/>
  <c r="I172" i="3"/>
  <c r="G172" i="3"/>
  <c r="D172" i="3"/>
  <c r="B172" i="3"/>
  <c r="S171" i="3"/>
  <c r="I171" i="3"/>
  <c r="G171" i="3"/>
  <c r="D171" i="3"/>
  <c r="B171" i="3"/>
  <c r="S170" i="3"/>
  <c r="I170" i="3"/>
  <c r="G170" i="3"/>
  <c r="D170" i="3"/>
  <c r="B170" i="3"/>
  <c r="S169" i="3"/>
  <c r="I169" i="3"/>
  <c r="G169" i="3"/>
  <c r="D169" i="3"/>
  <c r="B169" i="3"/>
  <c r="S168" i="3"/>
  <c r="I168" i="3"/>
  <c r="G168" i="3"/>
  <c r="D168" i="3"/>
  <c r="B168" i="3"/>
  <c r="S167" i="3"/>
  <c r="I167" i="3"/>
  <c r="G167" i="3"/>
  <c r="D167" i="3"/>
  <c r="B167" i="3"/>
  <c r="S166" i="3"/>
  <c r="I166" i="3"/>
  <c r="G166" i="3"/>
  <c r="D166" i="3"/>
  <c r="B166" i="3"/>
  <c r="S165" i="3"/>
  <c r="I165" i="3"/>
  <c r="G165" i="3"/>
  <c r="D165" i="3"/>
  <c r="B165" i="3"/>
  <c r="S164" i="3"/>
  <c r="I164" i="3"/>
  <c r="G164" i="3"/>
  <c r="D164" i="3"/>
  <c r="B164" i="3"/>
  <c r="S163" i="3"/>
  <c r="I163" i="3"/>
  <c r="G163" i="3"/>
  <c r="D163" i="3"/>
  <c r="B163" i="3"/>
  <c r="S162" i="3"/>
  <c r="I162" i="3"/>
  <c r="G162" i="3"/>
  <c r="D162" i="3"/>
  <c r="B162" i="3"/>
  <c r="S161" i="3"/>
  <c r="I161" i="3"/>
  <c r="G161" i="3"/>
  <c r="D161" i="3"/>
  <c r="B161" i="3"/>
  <c r="S160" i="3"/>
  <c r="I160" i="3"/>
  <c r="G160" i="3"/>
  <c r="D160" i="3"/>
  <c r="B160" i="3"/>
  <c r="S159" i="3"/>
  <c r="I159" i="3"/>
  <c r="G159" i="3"/>
  <c r="D159" i="3"/>
  <c r="B159" i="3"/>
  <c r="S158" i="3"/>
  <c r="I158" i="3"/>
  <c r="G158" i="3"/>
  <c r="D158" i="3"/>
  <c r="B158" i="3"/>
  <c r="S157" i="3"/>
  <c r="I157" i="3"/>
  <c r="G157" i="3"/>
  <c r="D157" i="3"/>
  <c r="B157" i="3"/>
  <c r="S156" i="3"/>
  <c r="I156" i="3"/>
  <c r="G156" i="3"/>
  <c r="D156" i="3"/>
  <c r="B156" i="3"/>
  <c r="S155" i="3"/>
  <c r="I155" i="3"/>
  <c r="G155" i="3"/>
  <c r="D155" i="3"/>
  <c r="B155" i="3"/>
  <c r="S154" i="3"/>
  <c r="I154" i="3"/>
  <c r="G154" i="3"/>
  <c r="D154" i="3"/>
  <c r="B154" i="3"/>
  <c r="S153" i="3"/>
  <c r="I153" i="3"/>
  <c r="G153" i="3"/>
  <c r="D153" i="3"/>
  <c r="B153" i="3"/>
  <c r="S152" i="3"/>
  <c r="I152" i="3"/>
  <c r="G152" i="3"/>
  <c r="D152" i="3"/>
  <c r="B152" i="3"/>
  <c r="S151" i="3"/>
  <c r="I151" i="3"/>
  <c r="G151" i="3"/>
  <c r="D151" i="3"/>
  <c r="B151" i="3"/>
  <c r="S150" i="3"/>
  <c r="I150" i="3"/>
  <c r="G150" i="3"/>
  <c r="D150" i="3"/>
  <c r="B150" i="3"/>
  <c r="S149" i="3"/>
  <c r="I149" i="3"/>
  <c r="G149" i="3"/>
  <c r="D149" i="3"/>
  <c r="B149" i="3"/>
  <c r="S148" i="3"/>
  <c r="I148" i="3"/>
  <c r="G148" i="3"/>
  <c r="D148" i="3"/>
  <c r="B148" i="3"/>
  <c r="S147" i="3"/>
  <c r="I147" i="3"/>
  <c r="G147" i="3"/>
  <c r="D147" i="3"/>
  <c r="B147" i="3"/>
  <c r="S146" i="3"/>
  <c r="I146" i="3"/>
  <c r="G146" i="3"/>
  <c r="D146" i="3"/>
  <c r="B146" i="3"/>
  <c r="S145" i="3"/>
  <c r="I145" i="3"/>
  <c r="G145" i="3"/>
  <c r="D145" i="3"/>
  <c r="B145" i="3"/>
  <c r="S144" i="3"/>
  <c r="I144" i="3"/>
  <c r="G144" i="3"/>
  <c r="D144" i="3"/>
  <c r="B144" i="3"/>
  <c r="S143" i="3"/>
  <c r="I143" i="3"/>
  <c r="G143" i="3"/>
  <c r="D143" i="3"/>
  <c r="B143" i="3"/>
  <c r="S142" i="3"/>
  <c r="I142" i="3"/>
  <c r="G142" i="3"/>
  <c r="D142" i="3"/>
  <c r="B142" i="3"/>
  <c r="S141" i="3"/>
  <c r="I141" i="3"/>
  <c r="G141" i="3"/>
  <c r="D141" i="3"/>
  <c r="B141" i="3"/>
  <c r="S140" i="3"/>
  <c r="I140" i="3"/>
  <c r="G140" i="3"/>
  <c r="D140" i="3"/>
  <c r="B140" i="3"/>
  <c r="S139" i="3"/>
  <c r="I139" i="3"/>
  <c r="G139" i="3"/>
  <c r="D139" i="3"/>
  <c r="B139" i="3"/>
  <c r="S138" i="3"/>
  <c r="I138" i="3"/>
  <c r="G138" i="3"/>
  <c r="D138" i="3"/>
  <c r="B138" i="3"/>
  <c r="S137" i="3"/>
  <c r="I137" i="3"/>
  <c r="G137" i="3"/>
  <c r="D137" i="3"/>
  <c r="B137" i="3"/>
  <c r="S136" i="3"/>
  <c r="I136" i="3"/>
  <c r="G136" i="3"/>
  <c r="D136" i="3"/>
  <c r="B136" i="3"/>
  <c r="S135" i="3"/>
  <c r="I135" i="3"/>
  <c r="G135" i="3"/>
  <c r="D135" i="3"/>
  <c r="B135" i="3"/>
  <c r="S134" i="3"/>
  <c r="I134" i="3"/>
  <c r="G134" i="3"/>
  <c r="D134" i="3"/>
  <c r="B134" i="3"/>
  <c r="S133" i="3"/>
  <c r="I133" i="3"/>
  <c r="G133" i="3"/>
  <c r="D133" i="3"/>
  <c r="B133" i="3"/>
  <c r="S132" i="3"/>
  <c r="I132" i="3"/>
  <c r="G132" i="3"/>
  <c r="D132" i="3"/>
  <c r="B132" i="3"/>
  <c r="S131" i="3"/>
  <c r="I131" i="3"/>
  <c r="G131" i="3"/>
  <c r="D131" i="3"/>
  <c r="B131" i="3"/>
  <c r="S130" i="3"/>
  <c r="I130" i="3"/>
  <c r="G130" i="3"/>
  <c r="D130" i="3"/>
  <c r="B130" i="3"/>
  <c r="S129" i="3"/>
  <c r="I129" i="3"/>
  <c r="G129" i="3"/>
  <c r="D129" i="3"/>
  <c r="B129" i="3"/>
  <c r="S128" i="3"/>
  <c r="I128" i="3"/>
  <c r="G128" i="3"/>
  <c r="D128" i="3"/>
  <c r="B128" i="3"/>
  <c r="S127" i="3"/>
  <c r="I127" i="3"/>
  <c r="G127" i="3"/>
  <c r="D127" i="3"/>
  <c r="B127" i="3"/>
  <c r="S126" i="3"/>
  <c r="I126" i="3"/>
  <c r="G126" i="3"/>
  <c r="D126" i="3"/>
  <c r="B126" i="3"/>
  <c r="S125" i="3"/>
  <c r="I125" i="3"/>
  <c r="G125" i="3"/>
  <c r="D125" i="3"/>
  <c r="B125" i="3"/>
  <c r="S124" i="3"/>
  <c r="I124" i="3"/>
  <c r="G124" i="3"/>
  <c r="D124" i="3"/>
  <c r="B124" i="3"/>
  <c r="S123" i="3"/>
  <c r="I123" i="3"/>
  <c r="G123" i="3"/>
  <c r="D123" i="3"/>
  <c r="B123" i="3"/>
  <c r="S122" i="3"/>
  <c r="I122" i="3"/>
  <c r="G122" i="3"/>
  <c r="D122" i="3"/>
  <c r="B122" i="3"/>
  <c r="S121" i="3"/>
  <c r="I121" i="3"/>
  <c r="G121" i="3"/>
  <c r="D121" i="3"/>
  <c r="B121" i="3"/>
  <c r="S120" i="3"/>
  <c r="I120" i="3"/>
  <c r="G120" i="3"/>
  <c r="D120" i="3"/>
  <c r="B120" i="3"/>
  <c r="S119" i="3"/>
  <c r="I119" i="3"/>
  <c r="G119" i="3"/>
  <c r="D119" i="3"/>
  <c r="B119" i="3"/>
  <c r="S118" i="3"/>
  <c r="I118" i="3"/>
  <c r="G118" i="3"/>
  <c r="D118" i="3"/>
  <c r="B118" i="3"/>
  <c r="S117" i="3"/>
  <c r="I117" i="3"/>
  <c r="G117" i="3"/>
  <c r="D117" i="3"/>
  <c r="B117" i="3"/>
  <c r="S116" i="3"/>
  <c r="I116" i="3"/>
  <c r="G116" i="3"/>
  <c r="D116" i="3"/>
  <c r="B116" i="3"/>
  <c r="S115" i="3"/>
  <c r="I115" i="3"/>
  <c r="G115" i="3"/>
  <c r="D115" i="3"/>
  <c r="B115" i="3"/>
  <c r="S114" i="3"/>
  <c r="I114" i="3"/>
  <c r="G114" i="3"/>
  <c r="D114" i="3"/>
  <c r="B114" i="3"/>
  <c r="S113" i="3"/>
  <c r="I113" i="3"/>
  <c r="G113" i="3"/>
  <c r="D113" i="3"/>
  <c r="B113" i="3"/>
  <c r="S112" i="3"/>
  <c r="I112" i="3"/>
  <c r="G112" i="3"/>
  <c r="D112" i="3"/>
  <c r="B112" i="3"/>
  <c r="S111" i="3"/>
  <c r="I111" i="3"/>
  <c r="G111" i="3"/>
  <c r="D111" i="3"/>
  <c r="B111" i="3"/>
  <c r="S110" i="3"/>
  <c r="I110" i="3"/>
  <c r="G110" i="3"/>
  <c r="D110" i="3"/>
  <c r="B110" i="3"/>
  <c r="S109" i="3"/>
  <c r="I109" i="3"/>
  <c r="G109" i="3"/>
  <c r="D109" i="3"/>
  <c r="B109" i="3"/>
  <c r="S108" i="3"/>
  <c r="I108" i="3"/>
  <c r="G108" i="3"/>
  <c r="D108" i="3"/>
  <c r="B108" i="3"/>
  <c r="S107" i="3"/>
  <c r="I107" i="3"/>
  <c r="G107" i="3"/>
  <c r="D107" i="3"/>
  <c r="B107" i="3"/>
  <c r="S106" i="3"/>
  <c r="I106" i="3"/>
  <c r="G106" i="3"/>
  <c r="D106" i="3"/>
  <c r="B106" i="3"/>
  <c r="S105" i="3"/>
  <c r="I105" i="3"/>
  <c r="G105" i="3"/>
  <c r="D105" i="3"/>
  <c r="B105" i="3"/>
  <c r="S104" i="3"/>
  <c r="I104" i="3"/>
  <c r="G104" i="3"/>
  <c r="D104" i="3"/>
  <c r="B104" i="3"/>
  <c r="S103" i="3"/>
  <c r="I103" i="3"/>
  <c r="G103" i="3"/>
  <c r="D103" i="3"/>
  <c r="B103" i="3"/>
  <c r="S102" i="3"/>
  <c r="I102" i="3"/>
  <c r="G102" i="3"/>
  <c r="D102" i="3"/>
  <c r="B102" i="3"/>
  <c r="S101" i="3"/>
  <c r="I101" i="3"/>
  <c r="G101" i="3"/>
  <c r="D101" i="3"/>
  <c r="B101" i="3"/>
  <c r="S100" i="3"/>
  <c r="I100" i="3"/>
  <c r="G100" i="3"/>
  <c r="D100" i="3"/>
  <c r="B100" i="3"/>
  <c r="S99" i="3"/>
  <c r="I99" i="3"/>
  <c r="G99" i="3"/>
  <c r="D99" i="3"/>
  <c r="B99" i="3"/>
  <c r="S98" i="3"/>
  <c r="I98" i="3"/>
  <c r="G98" i="3"/>
  <c r="D98" i="3"/>
  <c r="B98" i="3"/>
  <c r="S97" i="3"/>
  <c r="I97" i="3"/>
  <c r="G97" i="3"/>
  <c r="D97" i="3"/>
  <c r="B97" i="3"/>
  <c r="S96" i="3"/>
  <c r="I96" i="3"/>
  <c r="G96" i="3"/>
  <c r="D96" i="3"/>
  <c r="B96" i="3"/>
  <c r="S95" i="3"/>
  <c r="I95" i="3"/>
  <c r="G95" i="3"/>
  <c r="D95" i="3"/>
  <c r="B95" i="3"/>
  <c r="S94" i="3"/>
  <c r="I94" i="3"/>
  <c r="G94" i="3"/>
  <c r="D94" i="3"/>
  <c r="B94" i="3"/>
  <c r="S93" i="3"/>
  <c r="I93" i="3"/>
  <c r="G93" i="3"/>
  <c r="D93" i="3"/>
  <c r="B93" i="3"/>
  <c r="S92" i="3"/>
  <c r="I92" i="3"/>
  <c r="G92" i="3"/>
  <c r="D92" i="3"/>
  <c r="B92" i="3"/>
  <c r="S91" i="3"/>
  <c r="I91" i="3"/>
  <c r="G91" i="3"/>
  <c r="D91" i="3"/>
  <c r="B91" i="3"/>
  <c r="S90" i="3"/>
  <c r="I90" i="3"/>
  <c r="G90" i="3"/>
  <c r="D90" i="3"/>
  <c r="B90" i="3"/>
  <c r="S89" i="3"/>
  <c r="I89" i="3"/>
  <c r="G89" i="3"/>
  <c r="D89" i="3"/>
  <c r="B89" i="3"/>
  <c r="S88" i="3"/>
  <c r="I88" i="3"/>
  <c r="G88" i="3"/>
  <c r="D88" i="3"/>
  <c r="B88" i="3"/>
  <c r="S87" i="3"/>
  <c r="I87" i="3"/>
  <c r="G87" i="3"/>
  <c r="D87" i="3"/>
  <c r="B87" i="3"/>
  <c r="S86" i="3"/>
  <c r="I86" i="3"/>
  <c r="G86" i="3"/>
  <c r="D86" i="3"/>
  <c r="B86" i="3"/>
  <c r="S85" i="3"/>
  <c r="I85" i="3"/>
  <c r="G85" i="3"/>
  <c r="D85" i="3"/>
  <c r="B85" i="3"/>
  <c r="S84" i="3"/>
  <c r="I84" i="3"/>
  <c r="G84" i="3"/>
  <c r="D84" i="3"/>
  <c r="B84" i="3"/>
  <c r="S83" i="3"/>
  <c r="I83" i="3"/>
  <c r="G83" i="3"/>
  <c r="D83" i="3"/>
  <c r="B83" i="3"/>
  <c r="S82" i="3"/>
  <c r="I82" i="3"/>
  <c r="G82" i="3"/>
  <c r="D82" i="3"/>
  <c r="B82" i="3"/>
  <c r="S81" i="3"/>
  <c r="I81" i="3"/>
  <c r="G81" i="3"/>
  <c r="D81" i="3"/>
  <c r="B81" i="3"/>
  <c r="S80" i="3"/>
  <c r="I80" i="3"/>
  <c r="G80" i="3"/>
  <c r="D80" i="3"/>
  <c r="B80" i="3"/>
  <c r="S79" i="3"/>
  <c r="I79" i="3"/>
  <c r="G79" i="3"/>
  <c r="D79" i="3"/>
  <c r="B79" i="3"/>
  <c r="S78" i="3"/>
  <c r="I78" i="3"/>
  <c r="G78" i="3"/>
  <c r="D78" i="3"/>
  <c r="B78" i="3"/>
  <c r="S77" i="3"/>
  <c r="I77" i="3"/>
  <c r="G77" i="3"/>
  <c r="D77" i="3"/>
  <c r="B77" i="3"/>
  <c r="S76" i="3"/>
  <c r="I76" i="3"/>
  <c r="G76" i="3"/>
  <c r="D76" i="3"/>
  <c r="B76" i="3"/>
  <c r="S75" i="3"/>
  <c r="I75" i="3"/>
  <c r="G75" i="3"/>
  <c r="D75" i="3"/>
  <c r="B75" i="3"/>
  <c r="S74" i="3"/>
  <c r="I74" i="3"/>
  <c r="G74" i="3"/>
  <c r="D74" i="3"/>
  <c r="B74" i="3"/>
  <c r="S73" i="3"/>
  <c r="I73" i="3"/>
  <c r="G73" i="3"/>
  <c r="D73" i="3"/>
  <c r="B73" i="3"/>
  <c r="S72" i="3"/>
  <c r="I72" i="3"/>
  <c r="G72" i="3"/>
  <c r="D72" i="3"/>
  <c r="B72" i="3"/>
  <c r="S71" i="3"/>
  <c r="I71" i="3"/>
  <c r="G71" i="3"/>
  <c r="D71" i="3"/>
  <c r="B71" i="3"/>
  <c r="S70" i="3"/>
  <c r="I70" i="3"/>
  <c r="G70" i="3"/>
  <c r="D70" i="3"/>
  <c r="B70" i="3"/>
  <c r="S69" i="3"/>
  <c r="I69" i="3"/>
  <c r="G69" i="3"/>
  <c r="D69" i="3"/>
  <c r="B69" i="3"/>
  <c r="S68" i="3"/>
  <c r="I68" i="3"/>
  <c r="G68" i="3"/>
  <c r="D68" i="3"/>
  <c r="B68" i="3"/>
  <c r="S67" i="3"/>
  <c r="I67" i="3"/>
  <c r="G67" i="3"/>
  <c r="D67" i="3"/>
  <c r="B67" i="3"/>
  <c r="S66" i="3"/>
  <c r="I66" i="3"/>
  <c r="G66" i="3"/>
  <c r="D66" i="3"/>
  <c r="B66" i="3"/>
  <c r="S65" i="3"/>
  <c r="I65" i="3"/>
  <c r="G65" i="3"/>
  <c r="D65" i="3"/>
  <c r="B65" i="3"/>
  <c r="S64" i="3"/>
  <c r="I64" i="3"/>
  <c r="G64" i="3"/>
  <c r="D64" i="3"/>
  <c r="B64" i="3"/>
  <c r="S63" i="3"/>
  <c r="I63" i="3"/>
  <c r="G63" i="3"/>
  <c r="D63" i="3"/>
  <c r="B63" i="3"/>
  <c r="S62" i="3"/>
  <c r="I62" i="3"/>
  <c r="G62" i="3"/>
  <c r="D62" i="3"/>
  <c r="B62" i="3"/>
  <c r="S61" i="3"/>
  <c r="I61" i="3"/>
  <c r="G61" i="3"/>
  <c r="D61" i="3"/>
  <c r="B61" i="3"/>
  <c r="S60" i="3"/>
  <c r="I60" i="3"/>
  <c r="G60" i="3"/>
  <c r="D60" i="3"/>
  <c r="B60" i="3"/>
  <c r="S59" i="3"/>
  <c r="I59" i="3"/>
  <c r="G59" i="3"/>
  <c r="D59" i="3"/>
  <c r="B59" i="3"/>
  <c r="S58" i="3"/>
  <c r="I58" i="3"/>
  <c r="G58" i="3"/>
  <c r="D58" i="3"/>
  <c r="B58" i="3"/>
  <c r="S57" i="3"/>
  <c r="I57" i="3"/>
  <c r="G57" i="3"/>
  <c r="D57" i="3"/>
  <c r="B57" i="3"/>
  <c r="S56" i="3"/>
  <c r="I56" i="3"/>
  <c r="G56" i="3"/>
  <c r="D56" i="3"/>
  <c r="B56" i="3"/>
  <c r="S55" i="3"/>
  <c r="I55" i="3"/>
  <c r="G55" i="3"/>
  <c r="D55" i="3"/>
  <c r="B55" i="3"/>
  <c r="S54" i="3"/>
  <c r="I54" i="3"/>
  <c r="G54" i="3"/>
  <c r="D54" i="3"/>
  <c r="B54" i="3"/>
  <c r="S53" i="3"/>
  <c r="I53" i="3"/>
  <c r="G53" i="3"/>
  <c r="D53" i="3"/>
  <c r="B53" i="3"/>
  <c r="S52" i="3"/>
  <c r="I52" i="3"/>
  <c r="G52" i="3"/>
  <c r="D52" i="3"/>
  <c r="B52" i="3"/>
  <c r="S51" i="3"/>
  <c r="I51" i="3"/>
  <c r="G51" i="3"/>
  <c r="D51" i="3"/>
  <c r="B51" i="3"/>
  <c r="S50" i="3"/>
  <c r="I50" i="3"/>
  <c r="G50" i="3"/>
  <c r="D50" i="3"/>
  <c r="B50" i="3"/>
  <c r="S49" i="3"/>
  <c r="I49" i="3"/>
  <c r="G49" i="3"/>
  <c r="D49" i="3"/>
  <c r="B49" i="3"/>
  <c r="S48" i="3"/>
  <c r="I48" i="3"/>
  <c r="G48" i="3"/>
  <c r="D48" i="3"/>
  <c r="B48" i="3"/>
  <c r="S47" i="3"/>
  <c r="I47" i="3"/>
  <c r="G47" i="3"/>
  <c r="D47" i="3"/>
  <c r="B47" i="3"/>
  <c r="S46" i="3"/>
  <c r="I46" i="3"/>
  <c r="G46" i="3"/>
  <c r="D46" i="3"/>
  <c r="B46" i="3"/>
  <c r="S45" i="3"/>
  <c r="I45" i="3"/>
  <c r="G45" i="3"/>
  <c r="D45" i="3"/>
  <c r="B45" i="3"/>
  <c r="S44" i="3"/>
  <c r="I44" i="3"/>
  <c r="G44" i="3"/>
  <c r="D44" i="3"/>
  <c r="B44" i="3"/>
  <c r="S43" i="3"/>
  <c r="I43" i="3"/>
  <c r="G43" i="3"/>
  <c r="D43" i="3"/>
  <c r="B43" i="3"/>
  <c r="S42" i="3"/>
  <c r="I42" i="3"/>
  <c r="G42" i="3"/>
  <c r="D42" i="3"/>
  <c r="B42" i="3"/>
  <c r="S41" i="3"/>
  <c r="I41" i="3"/>
  <c r="G41" i="3"/>
  <c r="D41" i="3"/>
  <c r="B41" i="3"/>
  <c r="S40" i="3"/>
  <c r="I40" i="3"/>
  <c r="G40" i="3"/>
  <c r="D40" i="3"/>
  <c r="B40" i="3"/>
  <c r="S39" i="3"/>
  <c r="I39" i="3"/>
  <c r="G39" i="3"/>
  <c r="D39" i="3"/>
  <c r="B39" i="3"/>
  <c r="S38" i="3"/>
  <c r="I38" i="3"/>
  <c r="G38" i="3"/>
  <c r="D38" i="3"/>
  <c r="B38" i="3"/>
  <c r="S37" i="3"/>
  <c r="I37" i="3"/>
  <c r="G37" i="3"/>
  <c r="D37" i="3"/>
  <c r="B37" i="3"/>
  <c r="S36" i="3"/>
  <c r="I36" i="3"/>
  <c r="G36" i="3"/>
  <c r="D36" i="3"/>
  <c r="B36" i="3"/>
  <c r="S35" i="3"/>
  <c r="I35" i="3"/>
  <c r="G35" i="3"/>
  <c r="D35" i="3"/>
  <c r="B35" i="3"/>
  <c r="S34" i="3"/>
  <c r="I34" i="3"/>
  <c r="G34" i="3"/>
  <c r="D34" i="3"/>
  <c r="B34" i="3"/>
  <c r="S33" i="3"/>
  <c r="I33" i="3"/>
  <c r="G33" i="3"/>
  <c r="D33" i="3"/>
  <c r="B33" i="3"/>
  <c r="S32" i="3"/>
  <c r="I32" i="3"/>
  <c r="G32" i="3"/>
  <c r="D32" i="3"/>
  <c r="B32" i="3"/>
  <c r="S31" i="3"/>
  <c r="I31" i="3"/>
  <c r="G31" i="3"/>
  <c r="D31" i="3"/>
  <c r="B31" i="3"/>
  <c r="S30" i="3"/>
  <c r="I30" i="3"/>
  <c r="G30" i="3"/>
  <c r="D30" i="3"/>
  <c r="B30" i="3"/>
  <c r="S29" i="3"/>
  <c r="I29" i="3"/>
  <c r="G29" i="3"/>
  <c r="D29" i="3"/>
  <c r="B29" i="3"/>
  <c r="S28" i="3"/>
  <c r="I28" i="3"/>
  <c r="G28" i="3"/>
  <c r="D28" i="3"/>
  <c r="B28" i="3"/>
  <c r="S27" i="3"/>
  <c r="I27" i="3"/>
  <c r="G27" i="3"/>
  <c r="D27" i="3"/>
  <c r="B27" i="3"/>
  <c r="S26" i="3"/>
  <c r="I26" i="3"/>
  <c r="G26" i="3"/>
  <c r="D26" i="3"/>
  <c r="B26" i="3"/>
  <c r="S25" i="3"/>
  <c r="I25" i="3"/>
  <c r="G25" i="3"/>
  <c r="D25" i="3"/>
  <c r="B25" i="3"/>
  <c r="S24" i="3"/>
  <c r="I24" i="3"/>
  <c r="G24" i="3"/>
  <c r="D24" i="3"/>
  <c r="B24" i="3"/>
  <c r="S23" i="3"/>
  <c r="I23" i="3"/>
  <c r="G23" i="3"/>
  <c r="D23" i="3"/>
  <c r="B23" i="3"/>
  <c r="S22" i="3"/>
  <c r="I22" i="3"/>
  <c r="G22" i="3"/>
  <c r="D22" i="3"/>
  <c r="B22" i="3"/>
  <c r="S21" i="3"/>
  <c r="I21" i="3"/>
  <c r="G21" i="3"/>
  <c r="D21" i="3"/>
  <c r="B21" i="3"/>
  <c r="S20" i="3"/>
  <c r="I20" i="3"/>
  <c r="G20" i="3"/>
  <c r="D20" i="3"/>
  <c r="B20" i="3"/>
  <c r="S19" i="3"/>
  <c r="I19" i="3"/>
  <c r="G19" i="3"/>
  <c r="D19" i="3"/>
  <c r="B19" i="3"/>
  <c r="S18" i="3"/>
  <c r="I18" i="3"/>
  <c r="G18" i="3"/>
  <c r="D18" i="3"/>
  <c r="B18" i="3"/>
  <c r="S17" i="3"/>
  <c r="I17" i="3"/>
  <c r="G17" i="3"/>
  <c r="D17" i="3"/>
  <c r="B17" i="3"/>
  <c r="S16" i="3"/>
  <c r="I16" i="3"/>
  <c r="G16" i="3"/>
  <c r="D16" i="3"/>
  <c r="B16" i="3"/>
  <c r="S15" i="3"/>
  <c r="I15" i="3"/>
  <c r="G15" i="3"/>
  <c r="D15" i="3"/>
  <c r="B15" i="3"/>
  <c r="S14" i="3"/>
  <c r="I14" i="3"/>
  <c r="G14" i="3"/>
  <c r="D14" i="3"/>
  <c r="B14" i="3"/>
  <c r="S13" i="3"/>
  <c r="I13" i="3"/>
  <c r="G13" i="3"/>
  <c r="D13" i="3"/>
  <c r="B13" i="3"/>
  <c r="S12" i="3"/>
  <c r="I12" i="3"/>
  <c r="G12" i="3"/>
  <c r="D12" i="3"/>
  <c r="B12" i="3"/>
  <c r="S11" i="3"/>
  <c r="I11" i="3"/>
  <c r="G11" i="3"/>
  <c r="D11" i="3"/>
  <c r="B11" i="3"/>
  <c r="S10" i="3"/>
  <c r="I10" i="3"/>
  <c r="G10" i="3"/>
  <c r="D10" i="3"/>
  <c r="B10" i="3"/>
  <c r="S9" i="3"/>
  <c r="I9" i="3"/>
  <c r="G9" i="3"/>
  <c r="D9" i="3"/>
  <c r="B9" i="3"/>
  <c r="S8" i="3"/>
  <c r="I8" i="3"/>
  <c r="G8" i="3"/>
  <c r="D8" i="3"/>
  <c r="B8" i="3"/>
  <c r="S7" i="3"/>
  <c r="I7" i="3"/>
  <c r="G7" i="3"/>
  <c r="D7" i="3"/>
  <c r="B7" i="3"/>
  <c r="S6" i="3"/>
  <c r="I6" i="3"/>
  <c r="G6" i="3"/>
  <c r="D6" i="3"/>
  <c r="B6" i="3"/>
  <c r="S5" i="3"/>
  <c r="I5" i="3"/>
  <c r="G5" i="3"/>
  <c r="D5" i="3"/>
  <c r="B5" i="3"/>
  <c r="S4" i="3"/>
  <c r="I4" i="3"/>
  <c r="G4" i="3"/>
  <c r="D4" i="3"/>
  <c r="B4" i="3"/>
  <c r="S3" i="3"/>
  <c r="I3" i="3"/>
  <c r="G3" i="3"/>
  <c r="D3" i="3"/>
  <c r="B3" i="3"/>
  <c r="S2" i="3"/>
  <c r="I2" i="3"/>
  <c r="G2" i="3"/>
  <c r="D2" i="3"/>
  <c r="B2" i="3"/>
  <c r="R1337" i="2"/>
  <c r="I1337" i="2"/>
  <c r="G1337" i="2"/>
  <c r="D1337" i="2"/>
  <c r="B1337" i="2"/>
  <c r="R1336" i="2"/>
  <c r="I1336" i="2"/>
  <c r="G1336" i="2"/>
  <c r="D1336" i="2"/>
  <c r="B1336" i="2"/>
  <c r="R1335" i="2"/>
  <c r="I1335" i="2"/>
  <c r="G1335" i="2"/>
  <c r="D1335" i="2"/>
  <c r="B1335" i="2"/>
  <c r="R1334" i="2"/>
  <c r="I1334" i="2"/>
  <c r="G1334" i="2"/>
  <c r="D1334" i="2"/>
  <c r="B1334" i="2"/>
  <c r="R1333" i="2"/>
  <c r="I1333" i="2"/>
  <c r="G1333" i="2"/>
  <c r="D1333" i="2"/>
  <c r="B1333" i="2"/>
  <c r="R1332" i="2"/>
  <c r="I1332" i="2"/>
  <c r="G1332" i="2"/>
  <c r="D1332" i="2"/>
  <c r="B1332" i="2"/>
  <c r="R1331" i="2"/>
  <c r="I1331" i="2"/>
  <c r="G1331" i="2"/>
  <c r="D1331" i="2"/>
  <c r="B1331" i="2"/>
  <c r="R1330" i="2"/>
  <c r="I1330" i="2"/>
  <c r="G1330" i="2"/>
  <c r="D1330" i="2"/>
  <c r="B1330" i="2"/>
  <c r="R1329" i="2"/>
  <c r="I1329" i="2"/>
  <c r="G1329" i="2"/>
  <c r="D1329" i="2"/>
  <c r="B1329" i="2"/>
  <c r="R1328" i="2"/>
  <c r="I1328" i="2"/>
  <c r="G1328" i="2"/>
  <c r="D1328" i="2"/>
  <c r="B1328" i="2"/>
  <c r="R1327" i="2"/>
  <c r="I1327" i="2"/>
  <c r="G1327" i="2"/>
  <c r="D1327" i="2"/>
  <c r="B1327" i="2"/>
  <c r="R1326" i="2"/>
  <c r="I1326" i="2"/>
  <c r="G1326" i="2"/>
  <c r="D1326" i="2"/>
  <c r="B1326" i="2"/>
  <c r="R1325" i="2"/>
  <c r="I1325" i="2"/>
  <c r="G1325" i="2"/>
  <c r="D1325" i="2"/>
  <c r="B1325" i="2"/>
  <c r="R1324" i="2"/>
  <c r="I1324" i="2"/>
  <c r="G1324" i="2"/>
  <c r="D1324" i="2"/>
  <c r="B1324" i="2"/>
  <c r="R1323" i="2"/>
  <c r="I1323" i="2"/>
  <c r="G1323" i="2"/>
  <c r="D1323" i="2"/>
  <c r="B1323" i="2"/>
  <c r="R1322" i="2"/>
  <c r="I1322" i="2"/>
  <c r="G1322" i="2"/>
  <c r="D1322" i="2"/>
  <c r="B1322" i="2"/>
  <c r="R1321" i="2"/>
  <c r="I1321" i="2"/>
  <c r="G1321" i="2"/>
  <c r="D1321" i="2"/>
  <c r="B1321" i="2"/>
  <c r="R1320" i="2"/>
  <c r="I1320" i="2"/>
  <c r="G1320" i="2"/>
  <c r="D1320" i="2"/>
  <c r="B1320" i="2"/>
  <c r="R1319" i="2"/>
  <c r="I1319" i="2"/>
  <c r="G1319" i="2"/>
  <c r="D1319" i="2"/>
  <c r="B1319" i="2"/>
  <c r="R1318" i="2"/>
  <c r="I1318" i="2"/>
  <c r="G1318" i="2"/>
  <c r="D1318" i="2"/>
  <c r="B1318" i="2"/>
  <c r="R1317" i="2"/>
  <c r="I1317" i="2"/>
  <c r="G1317" i="2"/>
  <c r="D1317" i="2"/>
  <c r="B1317" i="2"/>
  <c r="R1316" i="2"/>
  <c r="I1316" i="2"/>
  <c r="G1316" i="2"/>
  <c r="D1316" i="2"/>
  <c r="B1316" i="2"/>
  <c r="R1315" i="2"/>
  <c r="I1315" i="2"/>
  <c r="G1315" i="2"/>
  <c r="D1315" i="2"/>
  <c r="B1315" i="2"/>
  <c r="R1314" i="2"/>
  <c r="I1314" i="2"/>
  <c r="G1314" i="2"/>
  <c r="D1314" i="2"/>
  <c r="B1314" i="2"/>
  <c r="R1313" i="2"/>
  <c r="I1313" i="2"/>
  <c r="G1313" i="2"/>
  <c r="D1313" i="2"/>
  <c r="B1313" i="2"/>
  <c r="R1312" i="2"/>
  <c r="I1312" i="2"/>
  <c r="G1312" i="2"/>
  <c r="D1312" i="2"/>
  <c r="B1312" i="2"/>
  <c r="R1311" i="2"/>
  <c r="I1311" i="2"/>
  <c r="G1311" i="2"/>
  <c r="D1311" i="2"/>
  <c r="B1311" i="2"/>
  <c r="R1310" i="2"/>
  <c r="I1310" i="2"/>
  <c r="G1310" i="2"/>
  <c r="D1310" i="2"/>
  <c r="B1310" i="2"/>
  <c r="R1309" i="2"/>
  <c r="I1309" i="2"/>
  <c r="G1309" i="2"/>
  <c r="D1309" i="2"/>
  <c r="B1309" i="2"/>
  <c r="R1308" i="2"/>
  <c r="I1308" i="2"/>
  <c r="G1308" i="2"/>
  <c r="D1308" i="2"/>
  <c r="B1308" i="2"/>
  <c r="R1307" i="2"/>
  <c r="I1307" i="2"/>
  <c r="G1307" i="2"/>
  <c r="D1307" i="2"/>
  <c r="B1307" i="2"/>
  <c r="R1306" i="2"/>
  <c r="I1306" i="2"/>
  <c r="G1306" i="2"/>
  <c r="D1306" i="2"/>
  <c r="B1306" i="2"/>
  <c r="R1305" i="2"/>
  <c r="I1305" i="2"/>
  <c r="G1305" i="2"/>
  <c r="D1305" i="2"/>
  <c r="B1305" i="2"/>
  <c r="R1304" i="2"/>
  <c r="I1304" i="2"/>
  <c r="G1304" i="2"/>
  <c r="D1304" i="2"/>
  <c r="B1304" i="2"/>
  <c r="R1303" i="2"/>
  <c r="I1303" i="2"/>
  <c r="G1303" i="2"/>
  <c r="D1303" i="2"/>
  <c r="B1303" i="2"/>
  <c r="R1302" i="2"/>
  <c r="I1302" i="2"/>
  <c r="G1302" i="2"/>
  <c r="D1302" i="2"/>
  <c r="B1302" i="2"/>
  <c r="R1301" i="2"/>
  <c r="I1301" i="2"/>
  <c r="G1301" i="2"/>
  <c r="D1301" i="2"/>
  <c r="B1301" i="2"/>
  <c r="R1300" i="2"/>
  <c r="I1300" i="2"/>
  <c r="G1300" i="2"/>
  <c r="D1300" i="2"/>
  <c r="B1300" i="2"/>
  <c r="R1299" i="2"/>
  <c r="I1299" i="2"/>
  <c r="G1299" i="2"/>
  <c r="D1299" i="2"/>
  <c r="B1299" i="2"/>
  <c r="R1298" i="2"/>
  <c r="I1298" i="2"/>
  <c r="G1298" i="2"/>
  <c r="D1298" i="2"/>
  <c r="B1298" i="2"/>
  <c r="R1297" i="2"/>
  <c r="I1297" i="2"/>
  <c r="G1297" i="2"/>
  <c r="D1297" i="2"/>
  <c r="B1297" i="2"/>
  <c r="R1296" i="2"/>
  <c r="I1296" i="2"/>
  <c r="G1296" i="2"/>
  <c r="D1296" i="2"/>
  <c r="B1296" i="2"/>
  <c r="R1295" i="2"/>
  <c r="I1295" i="2"/>
  <c r="G1295" i="2"/>
  <c r="D1295" i="2"/>
  <c r="B1295" i="2"/>
  <c r="R1294" i="2"/>
  <c r="I1294" i="2"/>
  <c r="G1294" i="2"/>
  <c r="D1294" i="2"/>
  <c r="B1294" i="2"/>
  <c r="R1293" i="2"/>
  <c r="I1293" i="2"/>
  <c r="G1293" i="2"/>
  <c r="D1293" i="2"/>
  <c r="B1293" i="2"/>
  <c r="R1292" i="2"/>
  <c r="I1292" i="2"/>
  <c r="G1292" i="2"/>
  <c r="D1292" i="2"/>
  <c r="B1292" i="2"/>
  <c r="R1291" i="2"/>
  <c r="I1291" i="2"/>
  <c r="G1291" i="2"/>
  <c r="D1291" i="2"/>
  <c r="B1291" i="2"/>
  <c r="R1290" i="2"/>
  <c r="I1290" i="2"/>
  <c r="G1290" i="2"/>
  <c r="D1290" i="2"/>
  <c r="B1290" i="2"/>
  <c r="R1289" i="2"/>
  <c r="I1289" i="2"/>
  <c r="G1289" i="2"/>
  <c r="D1289" i="2"/>
  <c r="B1289" i="2"/>
  <c r="R1288" i="2"/>
  <c r="I1288" i="2"/>
  <c r="G1288" i="2"/>
  <c r="D1288" i="2"/>
  <c r="B1288" i="2"/>
  <c r="R1287" i="2"/>
  <c r="I1287" i="2"/>
  <c r="G1287" i="2"/>
  <c r="D1287" i="2"/>
  <c r="B1287" i="2"/>
  <c r="R1286" i="2"/>
  <c r="I1286" i="2"/>
  <c r="G1286" i="2"/>
  <c r="D1286" i="2"/>
  <c r="B1286" i="2"/>
  <c r="R1285" i="2"/>
  <c r="I1285" i="2"/>
  <c r="G1285" i="2"/>
  <c r="D1285" i="2"/>
  <c r="B1285" i="2"/>
  <c r="R1284" i="2"/>
  <c r="I1284" i="2"/>
  <c r="G1284" i="2"/>
  <c r="D1284" i="2"/>
  <c r="B1284" i="2"/>
  <c r="R1283" i="2"/>
  <c r="I1283" i="2"/>
  <c r="G1283" i="2"/>
  <c r="D1283" i="2"/>
  <c r="B1283" i="2"/>
  <c r="R1282" i="2"/>
  <c r="I1282" i="2"/>
  <c r="G1282" i="2"/>
  <c r="D1282" i="2"/>
  <c r="B1282" i="2"/>
  <c r="R1281" i="2"/>
  <c r="I1281" i="2"/>
  <c r="G1281" i="2"/>
  <c r="D1281" i="2"/>
  <c r="B1281" i="2"/>
  <c r="R1280" i="2"/>
  <c r="I1280" i="2"/>
  <c r="G1280" i="2"/>
  <c r="D1280" i="2"/>
  <c r="B1280" i="2"/>
  <c r="R1279" i="2"/>
  <c r="I1279" i="2"/>
  <c r="G1279" i="2"/>
  <c r="D1279" i="2"/>
  <c r="B1279" i="2"/>
  <c r="R1278" i="2"/>
  <c r="I1278" i="2"/>
  <c r="G1278" i="2"/>
  <c r="D1278" i="2"/>
  <c r="B1278" i="2"/>
  <c r="R1277" i="2"/>
  <c r="I1277" i="2"/>
  <c r="G1277" i="2"/>
  <c r="D1277" i="2"/>
  <c r="B1277" i="2"/>
  <c r="R1276" i="2"/>
  <c r="I1276" i="2"/>
  <c r="G1276" i="2"/>
  <c r="D1276" i="2"/>
  <c r="B1276" i="2"/>
  <c r="R1275" i="2"/>
  <c r="I1275" i="2"/>
  <c r="G1275" i="2"/>
  <c r="D1275" i="2"/>
  <c r="B1275" i="2"/>
  <c r="R1274" i="2"/>
  <c r="I1274" i="2"/>
  <c r="G1274" i="2"/>
  <c r="D1274" i="2"/>
  <c r="B1274" i="2"/>
  <c r="R1273" i="2"/>
  <c r="I1273" i="2"/>
  <c r="G1273" i="2"/>
  <c r="D1273" i="2"/>
  <c r="B1273" i="2"/>
  <c r="R1272" i="2"/>
  <c r="I1272" i="2"/>
  <c r="G1272" i="2"/>
  <c r="D1272" i="2"/>
  <c r="B1272" i="2"/>
  <c r="R1271" i="2"/>
  <c r="I1271" i="2"/>
  <c r="G1271" i="2"/>
  <c r="D1271" i="2"/>
  <c r="B1271" i="2"/>
  <c r="R1270" i="2"/>
  <c r="I1270" i="2"/>
  <c r="G1270" i="2"/>
  <c r="D1270" i="2"/>
  <c r="B1270" i="2"/>
  <c r="R1269" i="2"/>
  <c r="I1269" i="2"/>
  <c r="G1269" i="2"/>
  <c r="D1269" i="2"/>
  <c r="B1269" i="2"/>
  <c r="R1268" i="2"/>
  <c r="I1268" i="2"/>
  <c r="G1268" i="2"/>
  <c r="D1268" i="2"/>
  <c r="B1268" i="2"/>
  <c r="R1267" i="2"/>
  <c r="I1267" i="2"/>
  <c r="G1267" i="2"/>
  <c r="D1267" i="2"/>
  <c r="B1267" i="2"/>
  <c r="R1266" i="2"/>
  <c r="I1266" i="2"/>
  <c r="G1266" i="2"/>
  <c r="D1266" i="2"/>
  <c r="B1266" i="2"/>
  <c r="R1265" i="2"/>
  <c r="I1265" i="2"/>
  <c r="G1265" i="2"/>
  <c r="D1265" i="2"/>
  <c r="B1265" i="2"/>
  <c r="R1264" i="2"/>
  <c r="I1264" i="2"/>
  <c r="G1264" i="2"/>
  <c r="D1264" i="2"/>
  <c r="B1264" i="2"/>
  <c r="R1263" i="2"/>
  <c r="I1263" i="2"/>
  <c r="G1263" i="2"/>
  <c r="D1263" i="2"/>
  <c r="B1263" i="2"/>
  <c r="R1262" i="2"/>
  <c r="I1262" i="2"/>
  <c r="G1262" i="2"/>
  <c r="D1262" i="2"/>
  <c r="B1262" i="2"/>
  <c r="R1261" i="2"/>
  <c r="I1261" i="2"/>
  <c r="G1261" i="2"/>
  <c r="D1261" i="2"/>
  <c r="B1261" i="2"/>
  <c r="R1260" i="2"/>
  <c r="I1260" i="2"/>
  <c r="G1260" i="2"/>
  <c r="D1260" i="2"/>
  <c r="B1260" i="2"/>
  <c r="R1259" i="2"/>
  <c r="I1259" i="2"/>
  <c r="G1259" i="2"/>
  <c r="D1259" i="2"/>
  <c r="B1259" i="2"/>
  <c r="R1258" i="2"/>
  <c r="I1258" i="2"/>
  <c r="G1258" i="2"/>
  <c r="D1258" i="2"/>
  <c r="B1258" i="2"/>
  <c r="R1257" i="2"/>
  <c r="I1257" i="2"/>
  <c r="G1257" i="2"/>
  <c r="D1257" i="2"/>
  <c r="B1257" i="2"/>
  <c r="R1256" i="2"/>
  <c r="I1256" i="2"/>
  <c r="G1256" i="2"/>
  <c r="D1256" i="2"/>
  <c r="B1256" i="2"/>
  <c r="R1255" i="2"/>
  <c r="I1255" i="2"/>
  <c r="G1255" i="2"/>
  <c r="D1255" i="2"/>
  <c r="B1255" i="2"/>
  <c r="R1254" i="2"/>
  <c r="I1254" i="2"/>
  <c r="G1254" i="2"/>
  <c r="D1254" i="2"/>
  <c r="B1254" i="2"/>
  <c r="R1253" i="2"/>
  <c r="I1253" i="2"/>
  <c r="G1253" i="2"/>
  <c r="D1253" i="2"/>
  <c r="B1253" i="2"/>
  <c r="R1252" i="2"/>
  <c r="I1252" i="2"/>
  <c r="G1252" i="2"/>
  <c r="D1252" i="2"/>
  <c r="B1252" i="2"/>
  <c r="R1251" i="2"/>
  <c r="I1251" i="2"/>
  <c r="G1251" i="2"/>
  <c r="D1251" i="2"/>
  <c r="B1251" i="2"/>
  <c r="R1250" i="2"/>
  <c r="I1250" i="2"/>
  <c r="G1250" i="2"/>
  <c r="D1250" i="2"/>
  <c r="B1250" i="2"/>
  <c r="R1249" i="2"/>
  <c r="I1249" i="2"/>
  <c r="G1249" i="2"/>
  <c r="D1249" i="2"/>
  <c r="B1249" i="2"/>
  <c r="R1248" i="2"/>
  <c r="I1248" i="2"/>
  <c r="G1248" i="2"/>
  <c r="D1248" i="2"/>
  <c r="B1248" i="2"/>
  <c r="R1247" i="2"/>
  <c r="I1247" i="2"/>
  <c r="G1247" i="2"/>
  <c r="D1247" i="2"/>
  <c r="B1247" i="2"/>
  <c r="R1246" i="2"/>
  <c r="I1246" i="2"/>
  <c r="G1246" i="2"/>
  <c r="D1246" i="2"/>
  <c r="B1246" i="2"/>
  <c r="R1245" i="2"/>
  <c r="I1245" i="2"/>
  <c r="G1245" i="2"/>
  <c r="D1245" i="2"/>
  <c r="B1245" i="2"/>
  <c r="R1244" i="2"/>
  <c r="I1244" i="2"/>
  <c r="G1244" i="2"/>
  <c r="D1244" i="2"/>
  <c r="B1244" i="2"/>
  <c r="R1243" i="2"/>
  <c r="I1243" i="2"/>
  <c r="G1243" i="2"/>
  <c r="D1243" i="2"/>
  <c r="B1243" i="2"/>
  <c r="R1242" i="2"/>
  <c r="I1242" i="2"/>
  <c r="G1242" i="2"/>
  <c r="D1242" i="2"/>
  <c r="B1242" i="2"/>
  <c r="R1241" i="2"/>
  <c r="I1241" i="2"/>
  <c r="G1241" i="2"/>
  <c r="D1241" i="2"/>
  <c r="B1241" i="2"/>
  <c r="R1240" i="2"/>
  <c r="I1240" i="2"/>
  <c r="G1240" i="2"/>
  <c r="D1240" i="2"/>
  <c r="B1240" i="2"/>
  <c r="R1239" i="2"/>
  <c r="I1239" i="2"/>
  <c r="G1239" i="2"/>
  <c r="D1239" i="2"/>
  <c r="B1239" i="2"/>
  <c r="R1238" i="2"/>
  <c r="I1238" i="2"/>
  <c r="G1238" i="2"/>
  <c r="D1238" i="2"/>
  <c r="B1238" i="2"/>
  <c r="R1237" i="2"/>
  <c r="I1237" i="2"/>
  <c r="G1237" i="2"/>
  <c r="D1237" i="2"/>
  <c r="B1237" i="2"/>
  <c r="R1236" i="2"/>
  <c r="I1236" i="2"/>
  <c r="G1236" i="2"/>
  <c r="D1236" i="2"/>
  <c r="B1236" i="2"/>
  <c r="R1235" i="2"/>
  <c r="I1235" i="2"/>
  <c r="G1235" i="2"/>
  <c r="D1235" i="2"/>
  <c r="B1235" i="2"/>
  <c r="R1234" i="2"/>
  <c r="I1234" i="2"/>
  <c r="G1234" i="2"/>
  <c r="D1234" i="2"/>
  <c r="B1234" i="2"/>
  <c r="R1233" i="2"/>
  <c r="I1233" i="2"/>
  <c r="G1233" i="2"/>
  <c r="D1233" i="2"/>
  <c r="B1233" i="2"/>
  <c r="R1232" i="2"/>
  <c r="I1232" i="2"/>
  <c r="G1232" i="2"/>
  <c r="D1232" i="2"/>
  <c r="B1232" i="2"/>
  <c r="R1231" i="2"/>
  <c r="I1231" i="2"/>
  <c r="G1231" i="2"/>
  <c r="D1231" i="2"/>
  <c r="B1231" i="2"/>
  <c r="R1230" i="2"/>
  <c r="I1230" i="2"/>
  <c r="G1230" i="2"/>
  <c r="D1230" i="2"/>
  <c r="B1230" i="2"/>
  <c r="R1229" i="2"/>
  <c r="I1229" i="2"/>
  <c r="G1229" i="2"/>
  <c r="D1229" i="2"/>
  <c r="B1229" i="2"/>
  <c r="R1228" i="2"/>
  <c r="I1228" i="2"/>
  <c r="G1228" i="2"/>
  <c r="D1228" i="2"/>
  <c r="B1228" i="2"/>
  <c r="R1227" i="2"/>
  <c r="I1227" i="2"/>
  <c r="G1227" i="2"/>
  <c r="D1227" i="2"/>
  <c r="B1227" i="2"/>
  <c r="R1226" i="2"/>
  <c r="I1226" i="2"/>
  <c r="G1226" i="2"/>
  <c r="D1226" i="2"/>
  <c r="B1226" i="2"/>
  <c r="R1225" i="2"/>
  <c r="I1225" i="2"/>
  <c r="G1225" i="2"/>
  <c r="D1225" i="2"/>
  <c r="B1225" i="2"/>
  <c r="R1224" i="2"/>
  <c r="I1224" i="2"/>
  <c r="G1224" i="2"/>
  <c r="D1224" i="2"/>
  <c r="B1224" i="2"/>
  <c r="R1223" i="2"/>
  <c r="I1223" i="2"/>
  <c r="G1223" i="2"/>
  <c r="D1223" i="2"/>
  <c r="B1223" i="2"/>
  <c r="R1222" i="2"/>
  <c r="I1222" i="2"/>
  <c r="G1222" i="2"/>
  <c r="D1222" i="2"/>
  <c r="B1222" i="2"/>
  <c r="R1221" i="2"/>
  <c r="I1221" i="2"/>
  <c r="G1221" i="2"/>
  <c r="D1221" i="2"/>
  <c r="B1221" i="2"/>
  <c r="R1220" i="2"/>
  <c r="I1220" i="2"/>
  <c r="G1220" i="2"/>
  <c r="D1220" i="2"/>
  <c r="B1220" i="2"/>
  <c r="R1219" i="2"/>
  <c r="I1219" i="2"/>
  <c r="G1219" i="2"/>
  <c r="D1219" i="2"/>
  <c r="B1219" i="2"/>
  <c r="R1218" i="2"/>
  <c r="I1218" i="2"/>
  <c r="G1218" i="2"/>
  <c r="D1218" i="2"/>
  <c r="B1218" i="2"/>
  <c r="R1217" i="2"/>
  <c r="I1217" i="2"/>
  <c r="G1217" i="2"/>
  <c r="D1217" i="2"/>
  <c r="B1217" i="2"/>
  <c r="R1216" i="2"/>
  <c r="I1216" i="2"/>
  <c r="G1216" i="2"/>
  <c r="D1216" i="2"/>
  <c r="B1216" i="2"/>
  <c r="R1215" i="2"/>
  <c r="I1215" i="2"/>
  <c r="G1215" i="2"/>
  <c r="D1215" i="2"/>
  <c r="B1215" i="2"/>
  <c r="R1214" i="2"/>
  <c r="I1214" i="2"/>
  <c r="G1214" i="2"/>
  <c r="D1214" i="2"/>
  <c r="B1214" i="2"/>
  <c r="R1213" i="2"/>
  <c r="I1213" i="2"/>
  <c r="G1213" i="2"/>
  <c r="D1213" i="2"/>
  <c r="B1213" i="2"/>
  <c r="R1212" i="2"/>
  <c r="I1212" i="2"/>
  <c r="G1212" i="2"/>
  <c r="D1212" i="2"/>
  <c r="B1212" i="2"/>
  <c r="R1211" i="2"/>
  <c r="I1211" i="2"/>
  <c r="G1211" i="2"/>
  <c r="D1211" i="2"/>
  <c r="B1211" i="2"/>
  <c r="R1210" i="2"/>
  <c r="I1210" i="2"/>
  <c r="G1210" i="2"/>
  <c r="D1210" i="2"/>
  <c r="B1210" i="2"/>
  <c r="R1209" i="2"/>
  <c r="I1209" i="2"/>
  <c r="G1209" i="2"/>
  <c r="D1209" i="2"/>
  <c r="B1209" i="2"/>
  <c r="R1208" i="2"/>
  <c r="I1208" i="2"/>
  <c r="G1208" i="2"/>
  <c r="D1208" i="2"/>
  <c r="B1208" i="2"/>
  <c r="R1207" i="2"/>
  <c r="I1207" i="2"/>
  <c r="G1207" i="2"/>
  <c r="D1207" i="2"/>
  <c r="B1207" i="2"/>
  <c r="R1206" i="2"/>
  <c r="I1206" i="2"/>
  <c r="G1206" i="2"/>
  <c r="D1206" i="2"/>
  <c r="B1206" i="2"/>
  <c r="R1205" i="2"/>
  <c r="I1205" i="2"/>
  <c r="G1205" i="2"/>
  <c r="D1205" i="2"/>
  <c r="B1205" i="2"/>
  <c r="R1204" i="2"/>
  <c r="I1204" i="2"/>
  <c r="G1204" i="2"/>
  <c r="D1204" i="2"/>
  <c r="B1204" i="2"/>
  <c r="R1203" i="2"/>
  <c r="I1203" i="2"/>
  <c r="G1203" i="2"/>
  <c r="D1203" i="2"/>
  <c r="B1203" i="2"/>
  <c r="R1202" i="2"/>
  <c r="I1202" i="2"/>
  <c r="G1202" i="2"/>
  <c r="D1202" i="2"/>
  <c r="B1202" i="2"/>
  <c r="R1201" i="2"/>
  <c r="I1201" i="2"/>
  <c r="G1201" i="2"/>
  <c r="D1201" i="2"/>
  <c r="B1201" i="2"/>
  <c r="R1200" i="2"/>
  <c r="I1200" i="2"/>
  <c r="G1200" i="2"/>
  <c r="D1200" i="2"/>
  <c r="B1200" i="2"/>
  <c r="R1199" i="2"/>
  <c r="I1199" i="2"/>
  <c r="G1199" i="2"/>
  <c r="D1199" i="2"/>
  <c r="B1199" i="2"/>
  <c r="R1198" i="2"/>
  <c r="I1198" i="2"/>
  <c r="G1198" i="2"/>
  <c r="D1198" i="2"/>
  <c r="B1198" i="2"/>
  <c r="R1197" i="2"/>
  <c r="I1197" i="2"/>
  <c r="G1197" i="2"/>
  <c r="D1197" i="2"/>
  <c r="B1197" i="2"/>
  <c r="R1196" i="2"/>
  <c r="I1196" i="2"/>
  <c r="G1196" i="2"/>
  <c r="D1196" i="2"/>
  <c r="B1196" i="2"/>
  <c r="R1195" i="2"/>
  <c r="I1195" i="2"/>
  <c r="G1195" i="2"/>
  <c r="D1195" i="2"/>
  <c r="B1195" i="2"/>
  <c r="R1194" i="2"/>
  <c r="I1194" i="2"/>
  <c r="G1194" i="2"/>
  <c r="D1194" i="2"/>
  <c r="B1194" i="2"/>
  <c r="R1193" i="2"/>
  <c r="I1193" i="2"/>
  <c r="G1193" i="2"/>
  <c r="D1193" i="2"/>
  <c r="B1193" i="2"/>
  <c r="R1192" i="2"/>
  <c r="I1192" i="2"/>
  <c r="G1192" i="2"/>
  <c r="D1192" i="2"/>
  <c r="B1192" i="2"/>
  <c r="R1191" i="2"/>
  <c r="I1191" i="2"/>
  <c r="G1191" i="2"/>
  <c r="D1191" i="2"/>
  <c r="B1191" i="2"/>
  <c r="R1190" i="2"/>
  <c r="I1190" i="2"/>
  <c r="G1190" i="2"/>
  <c r="D1190" i="2"/>
  <c r="B1190" i="2"/>
  <c r="R1189" i="2"/>
  <c r="I1189" i="2"/>
  <c r="G1189" i="2"/>
  <c r="D1189" i="2"/>
  <c r="B1189" i="2"/>
  <c r="R1188" i="2"/>
  <c r="I1188" i="2"/>
  <c r="G1188" i="2"/>
  <c r="D1188" i="2"/>
  <c r="B1188" i="2"/>
  <c r="R1187" i="2"/>
  <c r="I1187" i="2"/>
  <c r="G1187" i="2"/>
  <c r="D1187" i="2"/>
  <c r="B1187" i="2"/>
  <c r="R1186" i="2"/>
  <c r="I1186" i="2"/>
  <c r="G1186" i="2"/>
  <c r="D1186" i="2"/>
  <c r="B1186" i="2"/>
  <c r="R1185" i="2"/>
  <c r="I1185" i="2"/>
  <c r="G1185" i="2"/>
  <c r="D1185" i="2"/>
  <c r="B1185" i="2"/>
  <c r="R1184" i="2"/>
  <c r="I1184" i="2"/>
  <c r="G1184" i="2"/>
  <c r="D1184" i="2"/>
  <c r="B1184" i="2"/>
  <c r="R1183" i="2"/>
  <c r="I1183" i="2"/>
  <c r="G1183" i="2"/>
  <c r="D1183" i="2"/>
  <c r="B1183" i="2"/>
  <c r="R1182" i="2"/>
  <c r="I1182" i="2"/>
  <c r="G1182" i="2"/>
  <c r="D1182" i="2"/>
  <c r="B1182" i="2"/>
  <c r="R1181" i="2"/>
  <c r="I1181" i="2"/>
  <c r="G1181" i="2"/>
  <c r="D1181" i="2"/>
  <c r="B1181" i="2"/>
  <c r="R1180" i="2"/>
  <c r="I1180" i="2"/>
  <c r="G1180" i="2"/>
  <c r="D1180" i="2"/>
  <c r="B1180" i="2"/>
  <c r="R1179" i="2"/>
  <c r="I1179" i="2"/>
  <c r="G1179" i="2"/>
  <c r="D1179" i="2"/>
  <c r="B1179" i="2"/>
  <c r="R1178" i="2"/>
  <c r="I1178" i="2"/>
  <c r="G1178" i="2"/>
  <c r="D1178" i="2"/>
  <c r="B1178" i="2"/>
  <c r="R1177" i="2"/>
  <c r="I1177" i="2"/>
  <c r="G1177" i="2"/>
  <c r="D1177" i="2"/>
  <c r="B1177" i="2"/>
  <c r="R1176" i="2"/>
  <c r="I1176" i="2"/>
  <c r="G1176" i="2"/>
  <c r="D1176" i="2"/>
  <c r="B1176" i="2"/>
  <c r="R1175" i="2"/>
  <c r="I1175" i="2"/>
  <c r="G1175" i="2"/>
  <c r="D1175" i="2"/>
  <c r="B1175" i="2"/>
  <c r="R1174" i="2"/>
  <c r="I1174" i="2"/>
  <c r="G1174" i="2"/>
  <c r="D1174" i="2"/>
  <c r="B1174" i="2"/>
  <c r="R1173" i="2"/>
  <c r="I1173" i="2"/>
  <c r="G1173" i="2"/>
  <c r="D1173" i="2"/>
  <c r="B1173" i="2"/>
  <c r="R1172" i="2"/>
  <c r="I1172" i="2"/>
  <c r="G1172" i="2"/>
  <c r="D1172" i="2"/>
  <c r="B1172" i="2"/>
  <c r="R1171" i="2"/>
  <c r="I1171" i="2"/>
  <c r="G1171" i="2"/>
  <c r="D1171" i="2"/>
  <c r="B1171" i="2"/>
  <c r="R1170" i="2"/>
  <c r="I1170" i="2"/>
  <c r="G1170" i="2"/>
  <c r="D1170" i="2"/>
  <c r="B1170" i="2"/>
  <c r="R1169" i="2"/>
  <c r="I1169" i="2"/>
  <c r="G1169" i="2"/>
  <c r="D1169" i="2"/>
  <c r="B1169" i="2"/>
  <c r="R1168" i="2"/>
  <c r="I1168" i="2"/>
  <c r="G1168" i="2"/>
  <c r="D1168" i="2"/>
  <c r="B1168" i="2"/>
  <c r="R1167" i="2"/>
  <c r="I1167" i="2"/>
  <c r="G1167" i="2"/>
  <c r="D1167" i="2"/>
  <c r="B1167" i="2"/>
  <c r="R1166" i="2"/>
  <c r="I1166" i="2"/>
  <c r="G1166" i="2"/>
  <c r="D1166" i="2"/>
  <c r="B1166" i="2"/>
  <c r="R1165" i="2"/>
  <c r="I1165" i="2"/>
  <c r="G1165" i="2"/>
  <c r="D1165" i="2"/>
  <c r="B1165" i="2"/>
  <c r="R1164" i="2"/>
  <c r="I1164" i="2"/>
  <c r="G1164" i="2"/>
  <c r="D1164" i="2"/>
  <c r="B1164" i="2"/>
  <c r="R1163" i="2"/>
  <c r="I1163" i="2"/>
  <c r="G1163" i="2"/>
  <c r="D1163" i="2"/>
  <c r="B1163" i="2"/>
  <c r="R1162" i="2"/>
  <c r="I1162" i="2"/>
  <c r="G1162" i="2"/>
  <c r="D1162" i="2"/>
  <c r="B1162" i="2"/>
  <c r="R1161" i="2"/>
  <c r="I1161" i="2"/>
  <c r="G1161" i="2"/>
  <c r="D1161" i="2"/>
  <c r="B1161" i="2"/>
  <c r="R1160" i="2"/>
  <c r="I1160" i="2"/>
  <c r="G1160" i="2"/>
  <c r="D1160" i="2"/>
  <c r="B1160" i="2"/>
  <c r="R1159" i="2"/>
  <c r="I1159" i="2"/>
  <c r="G1159" i="2"/>
  <c r="D1159" i="2"/>
  <c r="B1159" i="2"/>
  <c r="R1158" i="2"/>
  <c r="I1158" i="2"/>
  <c r="G1158" i="2"/>
  <c r="D1158" i="2"/>
  <c r="B1158" i="2"/>
  <c r="R1157" i="2"/>
  <c r="I1157" i="2"/>
  <c r="G1157" i="2"/>
  <c r="D1157" i="2"/>
  <c r="B1157" i="2"/>
  <c r="R1156" i="2"/>
  <c r="I1156" i="2"/>
  <c r="G1156" i="2"/>
  <c r="D1156" i="2"/>
  <c r="B1156" i="2"/>
  <c r="R1155" i="2"/>
  <c r="I1155" i="2"/>
  <c r="G1155" i="2"/>
  <c r="D1155" i="2"/>
  <c r="B1155" i="2"/>
  <c r="R1154" i="2"/>
  <c r="I1154" i="2"/>
  <c r="G1154" i="2"/>
  <c r="D1154" i="2"/>
  <c r="B1154" i="2"/>
  <c r="R1153" i="2"/>
  <c r="I1153" i="2"/>
  <c r="G1153" i="2"/>
  <c r="D1153" i="2"/>
  <c r="B1153" i="2"/>
  <c r="R1152" i="2"/>
  <c r="I1152" i="2"/>
  <c r="G1152" i="2"/>
  <c r="D1152" i="2"/>
  <c r="B1152" i="2"/>
  <c r="R1151" i="2"/>
  <c r="I1151" i="2"/>
  <c r="G1151" i="2"/>
  <c r="D1151" i="2"/>
  <c r="B1151" i="2"/>
  <c r="R1150" i="2"/>
  <c r="I1150" i="2"/>
  <c r="G1150" i="2"/>
  <c r="D1150" i="2"/>
  <c r="B1150" i="2"/>
  <c r="R1149" i="2"/>
  <c r="I1149" i="2"/>
  <c r="G1149" i="2"/>
  <c r="D1149" i="2"/>
  <c r="B1149" i="2"/>
  <c r="R1148" i="2"/>
  <c r="I1148" i="2"/>
  <c r="G1148" i="2"/>
  <c r="D1148" i="2"/>
  <c r="B1148" i="2"/>
  <c r="R1147" i="2"/>
  <c r="I1147" i="2"/>
  <c r="G1147" i="2"/>
  <c r="D1147" i="2"/>
  <c r="B1147" i="2"/>
  <c r="R1146" i="2"/>
  <c r="I1146" i="2"/>
  <c r="G1146" i="2"/>
  <c r="D1146" i="2"/>
  <c r="B1146" i="2"/>
  <c r="R1145" i="2"/>
  <c r="I1145" i="2"/>
  <c r="G1145" i="2"/>
  <c r="D1145" i="2"/>
  <c r="B1145" i="2"/>
  <c r="R1144" i="2"/>
  <c r="I1144" i="2"/>
  <c r="G1144" i="2"/>
  <c r="D1144" i="2"/>
  <c r="B1144" i="2"/>
  <c r="R1143" i="2"/>
  <c r="I1143" i="2"/>
  <c r="G1143" i="2"/>
  <c r="D1143" i="2"/>
  <c r="B1143" i="2"/>
  <c r="R1142" i="2"/>
  <c r="I1142" i="2"/>
  <c r="G1142" i="2"/>
  <c r="D1142" i="2"/>
  <c r="B1142" i="2"/>
  <c r="R1141" i="2"/>
  <c r="I1141" i="2"/>
  <c r="G1141" i="2"/>
  <c r="D1141" i="2"/>
  <c r="B1141" i="2"/>
  <c r="R1140" i="2"/>
  <c r="I1140" i="2"/>
  <c r="G1140" i="2"/>
  <c r="D1140" i="2"/>
  <c r="B1140" i="2"/>
  <c r="R1139" i="2"/>
  <c r="I1139" i="2"/>
  <c r="G1139" i="2"/>
  <c r="D1139" i="2"/>
  <c r="B1139" i="2"/>
  <c r="R1138" i="2"/>
  <c r="I1138" i="2"/>
  <c r="G1138" i="2"/>
  <c r="D1138" i="2"/>
  <c r="B1138" i="2"/>
  <c r="R1137" i="2"/>
  <c r="I1137" i="2"/>
  <c r="G1137" i="2"/>
  <c r="D1137" i="2"/>
  <c r="B1137" i="2"/>
  <c r="R1136" i="2"/>
  <c r="I1136" i="2"/>
  <c r="G1136" i="2"/>
  <c r="D1136" i="2"/>
  <c r="B1136" i="2"/>
  <c r="R1135" i="2"/>
  <c r="I1135" i="2"/>
  <c r="G1135" i="2"/>
  <c r="D1135" i="2"/>
  <c r="B1135" i="2"/>
  <c r="R1134" i="2"/>
  <c r="I1134" i="2"/>
  <c r="G1134" i="2"/>
  <c r="D1134" i="2"/>
  <c r="B1134" i="2"/>
  <c r="R1133" i="2"/>
  <c r="I1133" i="2"/>
  <c r="G1133" i="2"/>
  <c r="D1133" i="2"/>
  <c r="B1133" i="2"/>
  <c r="R1132" i="2"/>
  <c r="I1132" i="2"/>
  <c r="G1132" i="2"/>
  <c r="D1132" i="2"/>
  <c r="B1132" i="2"/>
  <c r="R1131" i="2"/>
  <c r="I1131" i="2"/>
  <c r="G1131" i="2"/>
  <c r="D1131" i="2"/>
  <c r="B1131" i="2"/>
  <c r="R1130" i="2"/>
  <c r="I1130" i="2"/>
  <c r="G1130" i="2"/>
  <c r="D1130" i="2"/>
  <c r="B1130" i="2"/>
  <c r="R1129" i="2"/>
  <c r="I1129" i="2"/>
  <c r="G1129" i="2"/>
  <c r="D1129" i="2"/>
  <c r="B1129" i="2"/>
  <c r="R1128" i="2"/>
  <c r="I1128" i="2"/>
  <c r="G1128" i="2"/>
  <c r="D1128" i="2"/>
  <c r="B1128" i="2"/>
  <c r="R1127" i="2"/>
  <c r="I1127" i="2"/>
  <c r="G1127" i="2"/>
  <c r="D1127" i="2"/>
  <c r="B1127" i="2"/>
  <c r="R1126" i="2"/>
  <c r="I1126" i="2"/>
  <c r="G1126" i="2"/>
  <c r="D1126" i="2"/>
  <c r="B1126" i="2"/>
  <c r="R1125" i="2"/>
  <c r="I1125" i="2"/>
  <c r="G1125" i="2"/>
  <c r="D1125" i="2"/>
  <c r="B1125" i="2"/>
  <c r="R1124" i="2"/>
  <c r="I1124" i="2"/>
  <c r="G1124" i="2"/>
  <c r="D1124" i="2"/>
  <c r="B1124" i="2"/>
  <c r="R1123" i="2"/>
  <c r="I1123" i="2"/>
  <c r="G1123" i="2"/>
  <c r="D1123" i="2"/>
  <c r="B1123" i="2"/>
  <c r="R1122" i="2"/>
  <c r="I1122" i="2"/>
  <c r="G1122" i="2"/>
  <c r="D1122" i="2"/>
  <c r="B1122" i="2"/>
  <c r="R1121" i="2"/>
  <c r="I1121" i="2"/>
  <c r="G1121" i="2"/>
  <c r="D1121" i="2"/>
  <c r="B1121" i="2"/>
  <c r="R1120" i="2"/>
  <c r="I1120" i="2"/>
  <c r="G1120" i="2"/>
  <c r="D1120" i="2"/>
  <c r="B1120" i="2"/>
  <c r="R1119" i="2"/>
  <c r="I1119" i="2"/>
  <c r="G1119" i="2"/>
  <c r="D1119" i="2"/>
  <c r="B1119" i="2"/>
  <c r="R1118" i="2"/>
  <c r="I1118" i="2"/>
  <c r="G1118" i="2"/>
  <c r="D1118" i="2"/>
  <c r="B1118" i="2"/>
  <c r="R1117" i="2"/>
  <c r="I1117" i="2"/>
  <c r="G1117" i="2"/>
  <c r="D1117" i="2"/>
  <c r="B1117" i="2"/>
  <c r="R1116" i="2"/>
  <c r="I1116" i="2"/>
  <c r="G1116" i="2"/>
  <c r="D1116" i="2"/>
  <c r="B1116" i="2"/>
  <c r="R1115" i="2"/>
  <c r="I1115" i="2"/>
  <c r="G1115" i="2"/>
  <c r="D1115" i="2"/>
  <c r="B1115" i="2"/>
  <c r="R1114" i="2"/>
  <c r="I1114" i="2"/>
  <c r="G1114" i="2"/>
  <c r="D1114" i="2"/>
  <c r="B1114" i="2"/>
  <c r="R1113" i="2"/>
  <c r="I1113" i="2"/>
  <c r="G1113" i="2"/>
  <c r="D1113" i="2"/>
  <c r="B1113" i="2"/>
  <c r="R1112" i="2"/>
  <c r="I1112" i="2"/>
  <c r="G1112" i="2"/>
  <c r="D1112" i="2"/>
  <c r="B1112" i="2"/>
  <c r="R1111" i="2"/>
  <c r="I1111" i="2"/>
  <c r="G1111" i="2"/>
  <c r="D1111" i="2"/>
  <c r="B1111" i="2"/>
  <c r="R1110" i="2"/>
  <c r="I1110" i="2"/>
  <c r="G1110" i="2"/>
  <c r="D1110" i="2"/>
  <c r="B1110" i="2"/>
  <c r="R1109" i="2"/>
  <c r="I1109" i="2"/>
  <c r="G1109" i="2"/>
  <c r="D1109" i="2"/>
  <c r="B1109" i="2"/>
  <c r="R1108" i="2"/>
  <c r="I1108" i="2"/>
  <c r="G1108" i="2"/>
  <c r="D1108" i="2"/>
  <c r="B1108" i="2"/>
  <c r="R1107" i="2"/>
  <c r="I1107" i="2"/>
  <c r="G1107" i="2"/>
  <c r="D1107" i="2"/>
  <c r="B1107" i="2"/>
  <c r="R1106" i="2"/>
  <c r="I1106" i="2"/>
  <c r="G1106" i="2"/>
  <c r="D1106" i="2"/>
  <c r="B1106" i="2"/>
  <c r="R1105" i="2"/>
  <c r="I1105" i="2"/>
  <c r="G1105" i="2"/>
  <c r="D1105" i="2"/>
  <c r="B1105" i="2"/>
  <c r="R1104" i="2"/>
  <c r="I1104" i="2"/>
  <c r="G1104" i="2"/>
  <c r="D1104" i="2"/>
  <c r="B1104" i="2"/>
  <c r="R1103" i="2"/>
  <c r="I1103" i="2"/>
  <c r="G1103" i="2"/>
  <c r="D1103" i="2"/>
  <c r="B1103" i="2"/>
  <c r="R1102" i="2"/>
  <c r="I1102" i="2"/>
  <c r="G1102" i="2"/>
  <c r="D1102" i="2"/>
  <c r="B1102" i="2"/>
  <c r="R1101" i="2"/>
  <c r="I1101" i="2"/>
  <c r="G1101" i="2"/>
  <c r="D1101" i="2"/>
  <c r="B1101" i="2"/>
  <c r="R1100" i="2"/>
  <c r="I1100" i="2"/>
  <c r="G1100" i="2"/>
  <c r="D1100" i="2"/>
  <c r="B1100" i="2"/>
  <c r="R1099" i="2"/>
  <c r="I1099" i="2"/>
  <c r="G1099" i="2"/>
  <c r="D1099" i="2"/>
  <c r="B1099" i="2"/>
  <c r="R1098" i="2"/>
  <c r="I1098" i="2"/>
  <c r="G1098" i="2"/>
  <c r="D1098" i="2"/>
  <c r="B1098" i="2"/>
  <c r="R1097" i="2"/>
  <c r="I1097" i="2"/>
  <c r="G1097" i="2"/>
  <c r="D1097" i="2"/>
  <c r="B1097" i="2"/>
  <c r="R1096" i="2"/>
  <c r="I1096" i="2"/>
  <c r="G1096" i="2"/>
  <c r="D1096" i="2"/>
  <c r="B1096" i="2"/>
  <c r="R1095" i="2"/>
  <c r="I1095" i="2"/>
  <c r="G1095" i="2"/>
  <c r="D1095" i="2"/>
  <c r="B1095" i="2"/>
  <c r="R1094" i="2"/>
  <c r="I1094" i="2"/>
  <c r="G1094" i="2"/>
  <c r="D1094" i="2"/>
  <c r="B1094" i="2"/>
  <c r="R1093" i="2"/>
  <c r="I1093" i="2"/>
  <c r="G1093" i="2"/>
  <c r="D1093" i="2"/>
  <c r="B1093" i="2"/>
  <c r="R1092" i="2"/>
  <c r="I1092" i="2"/>
  <c r="G1092" i="2"/>
  <c r="D1092" i="2"/>
  <c r="B1092" i="2"/>
  <c r="R1091" i="2"/>
  <c r="I1091" i="2"/>
  <c r="G1091" i="2"/>
  <c r="D1091" i="2"/>
  <c r="B1091" i="2"/>
  <c r="R1090" i="2"/>
  <c r="I1090" i="2"/>
  <c r="G1090" i="2"/>
  <c r="D1090" i="2"/>
  <c r="B1090" i="2"/>
  <c r="R1089" i="2"/>
  <c r="I1089" i="2"/>
  <c r="G1089" i="2"/>
  <c r="D1089" i="2"/>
  <c r="B1089" i="2"/>
  <c r="R1088" i="2"/>
  <c r="I1088" i="2"/>
  <c r="G1088" i="2"/>
  <c r="D1088" i="2"/>
  <c r="B1088" i="2"/>
  <c r="R1087" i="2"/>
  <c r="I1087" i="2"/>
  <c r="G1087" i="2"/>
  <c r="D1087" i="2"/>
  <c r="B1087" i="2"/>
  <c r="R1086" i="2"/>
  <c r="I1086" i="2"/>
  <c r="G1086" i="2"/>
  <c r="D1086" i="2"/>
  <c r="B1086" i="2"/>
  <c r="R1085" i="2"/>
  <c r="I1085" i="2"/>
  <c r="G1085" i="2"/>
  <c r="D1085" i="2"/>
  <c r="B1085" i="2"/>
  <c r="R1084" i="2"/>
  <c r="I1084" i="2"/>
  <c r="G1084" i="2"/>
  <c r="D1084" i="2"/>
  <c r="B1084" i="2"/>
  <c r="R1083" i="2"/>
  <c r="I1083" i="2"/>
  <c r="G1083" i="2"/>
  <c r="D1083" i="2"/>
  <c r="B1083" i="2"/>
  <c r="R1082" i="2"/>
  <c r="I1082" i="2"/>
  <c r="G1082" i="2"/>
  <c r="D1082" i="2"/>
  <c r="B1082" i="2"/>
  <c r="R1081" i="2"/>
  <c r="I1081" i="2"/>
  <c r="G1081" i="2"/>
  <c r="D1081" i="2"/>
  <c r="B1081" i="2"/>
  <c r="R1080" i="2"/>
  <c r="I1080" i="2"/>
  <c r="G1080" i="2"/>
  <c r="D1080" i="2"/>
  <c r="B1080" i="2"/>
  <c r="R1079" i="2"/>
  <c r="I1079" i="2"/>
  <c r="G1079" i="2"/>
  <c r="D1079" i="2"/>
  <c r="B1079" i="2"/>
  <c r="R1078" i="2"/>
  <c r="I1078" i="2"/>
  <c r="G1078" i="2"/>
  <c r="D1078" i="2"/>
  <c r="B1078" i="2"/>
  <c r="R1077" i="2"/>
  <c r="I1077" i="2"/>
  <c r="G1077" i="2"/>
  <c r="D1077" i="2"/>
  <c r="B1077" i="2"/>
  <c r="R1076" i="2"/>
  <c r="I1076" i="2"/>
  <c r="G1076" i="2"/>
  <c r="D1076" i="2"/>
  <c r="B1076" i="2"/>
  <c r="R1075" i="2"/>
  <c r="I1075" i="2"/>
  <c r="G1075" i="2"/>
  <c r="D1075" i="2"/>
  <c r="B1075" i="2"/>
  <c r="R1074" i="2"/>
  <c r="I1074" i="2"/>
  <c r="G1074" i="2"/>
  <c r="D1074" i="2"/>
  <c r="B1074" i="2"/>
  <c r="R1073" i="2"/>
  <c r="I1073" i="2"/>
  <c r="G1073" i="2"/>
  <c r="D1073" i="2"/>
  <c r="B1073" i="2"/>
  <c r="R1072" i="2"/>
  <c r="I1072" i="2"/>
  <c r="G1072" i="2"/>
  <c r="D1072" i="2"/>
  <c r="B1072" i="2"/>
  <c r="R1071" i="2"/>
  <c r="I1071" i="2"/>
  <c r="G1071" i="2"/>
  <c r="D1071" i="2"/>
  <c r="B1071" i="2"/>
  <c r="R1070" i="2"/>
  <c r="I1070" i="2"/>
  <c r="G1070" i="2"/>
  <c r="D1070" i="2"/>
  <c r="B1070" i="2"/>
  <c r="R1069" i="2"/>
  <c r="I1069" i="2"/>
  <c r="G1069" i="2"/>
  <c r="D1069" i="2"/>
  <c r="B1069" i="2"/>
  <c r="R1068" i="2"/>
  <c r="I1068" i="2"/>
  <c r="G1068" i="2"/>
  <c r="D1068" i="2"/>
  <c r="B1068" i="2"/>
  <c r="R1067" i="2"/>
  <c r="I1067" i="2"/>
  <c r="G1067" i="2"/>
  <c r="D1067" i="2"/>
  <c r="B1067" i="2"/>
  <c r="R1066" i="2"/>
  <c r="I1066" i="2"/>
  <c r="G1066" i="2"/>
  <c r="D1066" i="2"/>
  <c r="B1066" i="2"/>
  <c r="R1065" i="2"/>
  <c r="I1065" i="2"/>
  <c r="G1065" i="2"/>
  <c r="D1065" i="2"/>
  <c r="B1065" i="2"/>
  <c r="R1064" i="2"/>
  <c r="I1064" i="2"/>
  <c r="G1064" i="2"/>
  <c r="D1064" i="2"/>
  <c r="B1064" i="2"/>
  <c r="R1063" i="2"/>
  <c r="I1063" i="2"/>
  <c r="G1063" i="2"/>
  <c r="D1063" i="2"/>
  <c r="B1063" i="2"/>
  <c r="R1062" i="2"/>
  <c r="I1062" i="2"/>
  <c r="G1062" i="2"/>
  <c r="D1062" i="2"/>
  <c r="B1062" i="2"/>
  <c r="R1061" i="2"/>
  <c r="I1061" i="2"/>
  <c r="G1061" i="2"/>
  <c r="D1061" i="2"/>
  <c r="B1061" i="2"/>
  <c r="R1060" i="2"/>
  <c r="I1060" i="2"/>
  <c r="G1060" i="2"/>
  <c r="D1060" i="2"/>
  <c r="B1060" i="2"/>
  <c r="R1059" i="2"/>
  <c r="I1059" i="2"/>
  <c r="G1059" i="2"/>
  <c r="D1059" i="2"/>
  <c r="B1059" i="2"/>
  <c r="R1058" i="2"/>
  <c r="I1058" i="2"/>
  <c r="G1058" i="2"/>
  <c r="D1058" i="2"/>
  <c r="B1058" i="2"/>
  <c r="R1057" i="2"/>
  <c r="I1057" i="2"/>
  <c r="G1057" i="2"/>
  <c r="D1057" i="2"/>
  <c r="B1057" i="2"/>
  <c r="R1056" i="2"/>
  <c r="I1056" i="2"/>
  <c r="G1056" i="2"/>
  <c r="D1056" i="2"/>
  <c r="B1056" i="2"/>
  <c r="R1055" i="2"/>
  <c r="I1055" i="2"/>
  <c r="G1055" i="2"/>
  <c r="D1055" i="2"/>
  <c r="B1055" i="2"/>
  <c r="R1054" i="2"/>
  <c r="I1054" i="2"/>
  <c r="G1054" i="2"/>
  <c r="D1054" i="2"/>
  <c r="B1054" i="2"/>
  <c r="R1053" i="2"/>
  <c r="I1053" i="2"/>
  <c r="G1053" i="2"/>
  <c r="D1053" i="2"/>
  <c r="B1053" i="2"/>
  <c r="R1052" i="2"/>
  <c r="I1052" i="2"/>
  <c r="G1052" i="2"/>
  <c r="D1052" i="2"/>
  <c r="B1052" i="2"/>
  <c r="R1051" i="2"/>
  <c r="I1051" i="2"/>
  <c r="G1051" i="2"/>
  <c r="D1051" i="2"/>
  <c r="B1051" i="2"/>
  <c r="R1050" i="2"/>
  <c r="I1050" i="2"/>
  <c r="G1050" i="2"/>
  <c r="D1050" i="2"/>
  <c r="B1050" i="2"/>
  <c r="R1049" i="2"/>
  <c r="I1049" i="2"/>
  <c r="G1049" i="2"/>
  <c r="D1049" i="2"/>
  <c r="B1049" i="2"/>
  <c r="R1048" i="2"/>
  <c r="I1048" i="2"/>
  <c r="G1048" i="2"/>
  <c r="D1048" i="2"/>
  <c r="B1048" i="2"/>
  <c r="R1047" i="2"/>
  <c r="I1047" i="2"/>
  <c r="G1047" i="2"/>
  <c r="D1047" i="2"/>
  <c r="B1047" i="2"/>
  <c r="R1046" i="2"/>
  <c r="I1046" i="2"/>
  <c r="G1046" i="2"/>
  <c r="D1046" i="2"/>
  <c r="B1046" i="2"/>
  <c r="R1045" i="2"/>
  <c r="I1045" i="2"/>
  <c r="G1045" i="2"/>
  <c r="D1045" i="2"/>
  <c r="B1045" i="2"/>
  <c r="R1044" i="2"/>
  <c r="I1044" i="2"/>
  <c r="G1044" i="2"/>
  <c r="D1044" i="2"/>
  <c r="B1044" i="2"/>
  <c r="R1043" i="2"/>
  <c r="I1043" i="2"/>
  <c r="G1043" i="2"/>
  <c r="D1043" i="2"/>
  <c r="B1043" i="2"/>
  <c r="R1042" i="2"/>
  <c r="I1042" i="2"/>
  <c r="G1042" i="2"/>
  <c r="D1042" i="2"/>
  <c r="B1042" i="2"/>
  <c r="R1041" i="2"/>
  <c r="I1041" i="2"/>
  <c r="G1041" i="2"/>
  <c r="D1041" i="2"/>
  <c r="B1041" i="2"/>
  <c r="R1040" i="2"/>
  <c r="I1040" i="2"/>
  <c r="G1040" i="2"/>
  <c r="D1040" i="2"/>
  <c r="B1040" i="2"/>
  <c r="R1039" i="2"/>
  <c r="I1039" i="2"/>
  <c r="G1039" i="2"/>
  <c r="D1039" i="2"/>
  <c r="B1039" i="2"/>
  <c r="R1038" i="2"/>
  <c r="I1038" i="2"/>
  <c r="G1038" i="2"/>
  <c r="D1038" i="2"/>
  <c r="B1038" i="2"/>
  <c r="R1037" i="2"/>
  <c r="I1037" i="2"/>
  <c r="G1037" i="2"/>
  <c r="D1037" i="2"/>
  <c r="B1037" i="2"/>
  <c r="R1036" i="2"/>
  <c r="I1036" i="2"/>
  <c r="G1036" i="2"/>
  <c r="D1036" i="2"/>
  <c r="B1036" i="2"/>
  <c r="R1035" i="2"/>
  <c r="I1035" i="2"/>
  <c r="G1035" i="2"/>
  <c r="D1035" i="2"/>
  <c r="B1035" i="2"/>
  <c r="R1034" i="2"/>
  <c r="I1034" i="2"/>
  <c r="G1034" i="2"/>
  <c r="D1034" i="2"/>
  <c r="B1034" i="2"/>
  <c r="R1033" i="2"/>
  <c r="I1033" i="2"/>
  <c r="G1033" i="2"/>
  <c r="D1033" i="2"/>
  <c r="B1033" i="2"/>
  <c r="R1032" i="2"/>
  <c r="I1032" i="2"/>
  <c r="G1032" i="2"/>
  <c r="D1032" i="2"/>
  <c r="B1032" i="2"/>
  <c r="R1031" i="2"/>
  <c r="I1031" i="2"/>
  <c r="G1031" i="2"/>
  <c r="D1031" i="2"/>
  <c r="B1031" i="2"/>
  <c r="R1030" i="2"/>
  <c r="I1030" i="2"/>
  <c r="G1030" i="2"/>
  <c r="D1030" i="2"/>
  <c r="B1030" i="2"/>
  <c r="R1029" i="2"/>
  <c r="I1029" i="2"/>
  <c r="G1029" i="2"/>
  <c r="D1029" i="2"/>
  <c r="B1029" i="2"/>
  <c r="R1028" i="2"/>
  <c r="I1028" i="2"/>
  <c r="G1028" i="2"/>
  <c r="D1028" i="2"/>
  <c r="B1028" i="2"/>
  <c r="R1027" i="2"/>
  <c r="I1027" i="2"/>
  <c r="G1027" i="2"/>
  <c r="D1027" i="2"/>
  <c r="B1027" i="2"/>
  <c r="R1026" i="2"/>
  <c r="I1026" i="2"/>
  <c r="G1026" i="2"/>
  <c r="D1026" i="2"/>
  <c r="B1026" i="2"/>
  <c r="R1025" i="2"/>
  <c r="I1025" i="2"/>
  <c r="G1025" i="2"/>
  <c r="D1025" i="2"/>
  <c r="B1025" i="2"/>
  <c r="R1024" i="2"/>
  <c r="I1024" i="2"/>
  <c r="G1024" i="2"/>
  <c r="D1024" i="2"/>
  <c r="B1024" i="2"/>
  <c r="R1023" i="2"/>
  <c r="I1023" i="2"/>
  <c r="G1023" i="2"/>
  <c r="D1023" i="2"/>
  <c r="B1023" i="2"/>
  <c r="R1022" i="2"/>
  <c r="I1022" i="2"/>
  <c r="G1022" i="2"/>
  <c r="D1022" i="2"/>
  <c r="B1022" i="2"/>
  <c r="R1021" i="2"/>
  <c r="I1021" i="2"/>
  <c r="G1021" i="2"/>
  <c r="D1021" i="2"/>
  <c r="B1021" i="2"/>
  <c r="R1020" i="2"/>
  <c r="I1020" i="2"/>
  <c r="G1020" i="2"/>
  <c r="D1020" i="2"/>
  <c r="B1020" i="2"/>
  <c r="R1019" i="2"/>
  <c r="I1019" i="2"/>
  <c r="G1019" i="2"/>
  <c r="D1019" i="2"/>
  <c r="B1019" i="2"/>
  <c r="R1018" i="2"/>
  <c r="I1018" i="2"/>
  <c r="G1018" i="2"/>
  <c r="D1018" i="2"/>
  <c r="B1018" i="2"/>
  <c r="R1017" i="2"/>
  <c r="I1017" i="2"/>
  <c r="G1017" i="2"/>
  <c r="D1017" i="2"/>
  <c r="B1017" i="2"/>
  <c r="R1016" i="2"/>
  <c r="I1016" i="2"/>
  <c r="G1016" i="2"/>
  <c r="D1016" i="2"/>
  <c r="B1016" i="2"/>
  <c r="R1015" i="2"/>
  <c r="I1015" i="2"/>
  <c r="G1015" i="2"/>
  <c r="D1015" i="2"/>
  <c r="B1015" i="2"/>
  <c r="R1014" i="2"/>
  <c r="I1014" i="2"/>
  <c r="G1014" i="2"/>
  <c r="D1014" i="2"/>
  <c r="B1014" i="2"/>
  <c r="R1013" i="2"/>
  <c r="I1013" i="2"/>
  <c r="G1013" i="2"/>
  <c r="D1013" i="2"/>
  <c r="B1013" i="2"/>
  <c r="R1012" i="2"/>
  <c r="I1012" i="2"/>
  <c r="G1012" i="2"/>
  <c r="D1012" i="2"/>
  <c r="B1012" i="2"/>
  <c r="R1011" i="2"/>
  <c r="I1011" i="2"/>
  <c r="G1011" i="2"/>
  <c r="D1011" i="2"/>
  <c r="B1011" i="2"/>
  <c r="R1010" i="2"/>
  <c r="I1010" i="2"/>
  <c r="G1010" i="2"/>
  <c r="D1010" i="2"/>
  <c r="B1010" i="2"/>
  <c r="R1009" i="2"/>
  <c r="I1009" i="2"/>
  <c r="G1009" i="2"/>
  <c r="D1009" i="2"/>
  <c r="B1009" i="2"/>
  <c r="R1008" i="2"/>
  <c r="I1008" i="2"/>
  <c r="G1008" i="2"/>
  <c r="D1008" i="2"/>
  <c r="B1008" i="2"/>
  <c r="R1007" i="2"/>
  <c r="I1007" i="2"/>
  <c r="G1007" i="2"/>
  <c r="D1007" i="2"/>
  <c r="B1007" i="2"/>
  <c r="R1006" i="2"/>
  <c r="I1006" i="2"/>
  <c r="G1006" i="2"/>
  <c r="D1006" i="2"/>
  <c r="B1006" i="2"/>
  <c r="R1005" i="2"/>
  <c r="I1005" i="2"/>
  <c r="G1005" i="2"/>
  <c r="D1005" i="2"/>
  <c r="B1005" i="2"/>
  <c r="R1004" i="2"/>
  <c r="I1004" i="2"/>
  <c r="G1004" i="2"/>
  <c r="D1004" i="2"/>
  <c r="B1004" i="2"/>
  <c r="R1003" i="2"/>
  <c r="I1003" i="2"/>
  <c r="G1003" i="2"/>
  <c r="D1003" i="2"/>
  <c r="B1003" i="2"/>
  <c r="R1002" i="2"/>
  <c r="I1002" i="2"/>
  <c r="G1002" i="2"/>
  <c r="D1002" i="2"/>
  <c r="B1002" i="2"/>
  <c r="R1001" i="2"/>
  <c r="I1001" i="2"/>
  <c r="G1001" i="2"/>
  <c r="D1001" i="2"/>
  <c r="B1001" i="2"/>
  <c r="R1000" i="2"/>
  <c r="I1000" i="2"/>
  <c r="G1000" i="2"/>
  <c r="D1000" i="2"/>
  <c r="B1000" i="2"/>
  <c r="R999" i="2"/>
  <c r="I999" i="2"/>
  <c r="G999" i="2"/>
  <c r="D999" i="2"/>
  <c r="B999" i="2"/>
  <c r="R998" i="2"/>
  <c r="I998" i="2"/>
  <c r="G998" i="2"/>
  <c r="D998" i="2"/>
  <c r="B998" i="2"/>
  <c r="R997" i="2"/>
  <c r="I997" i="2"/>
  <c r="G997" i="2"/>
  <c r="D997" i="2"/>
  <c r="B997" i="2"/>
  <c r="R996" i="2"/>
  <c r="I996" i="2"/>
  <c r="G996" i="2"/>
  <c r="D996" i="2"/>
  <c r="B996" i="2"/>
  <c r="R995" i="2"/>
  <c r="I995" i="2"/>
  <c r="G995" i="2"/>
  <c r="D995" i="2"/>
  <c r="B995" i="2"/>
  <c r="R994" i="2"/>
  <c r="I994" i="2"/>
  <c r="G994" i="2"/>
  <c r="D994" i="2"/>
  <c r="B994" i="2"/>
  <c r="R993" i="2"/>
  <c r="I993" i="2"/>
  <c r="G993" i="2"/>
  <c r="D993" i="2"/>
  <c r="B993" i="2"/>
  <c r="R992" i="2"/>
  <c r="I992" i="2"/>
  <c r="G992" i="2"/>
  <c r="D992" i="2"/>
  <c r="B992" i="2"/>
  <c r="R991" i="2"/>
  <c r="I991" i="2"/>
  <c r="G991" i="2"/>
  <c r="D991" i="2"/>
  <c r="B991" i="2"/>
  <c r="R990" i="2"/>
  <c r="I990" i="2"/>
  <c r="G990" i="2"/>
  <c r="D990" i="2"/>
  <c r="B990" i="2"/>
  <c r="R989" i="2"/>
  <c r="I989" i="2"/>
  <c r="G989" i="2"/>
  <c r="D989" i="2"/>
  <c r="B989" i="2"/>
  <c r="R988" i="2"/>
  <c r="I988" i="2"/>
  <c r="G988" i="2"/>
  <c r="D988" i="2"/>
  <c r="B988" i="2"/>
  <c r="R987" i="2"/>
  <c r="I987" i="2"/>
  <c r="G987" i="2"/>
  <c r="D987" i="2"/>
  <c r="B987" i="2"/>
  <c r="R986" i="2"/>
  <c r="I986" i="2"/>
  <c r="G986" i="2"/>
  <c r="D986" i="2"/>
  <c r="B986" i="2"/>
  <c r="R985" i="2"/>
  <c r="I985" i="2"/>
  <c r="G985" i="2"/>
  <c r="D985" i="2"/>
  <c r="B985" i="2"/>
  <c r="R984" i="2"/>
  <c r="I984" i="2"/>
  <c r="G984" i="2"/>
  <c r="D984" i="2"/>
  <c r="B984" i="2"/>
  <c r="R983" i="2"/>
  <c r="I983" i="2"/>
  <c r="G983" i="2"/>
  <c r="D983" i="2"/>
  <c r="B983" i="2"/>
  <c r="R982" i="2"/>
  <c r="I982" i="2"/>
  <c r="G982" i="2"/>
  <c r="D982" i="2"/>
  <c r="B982" i="2"/>
  <c r="R981" i="2"/>
  <c r="I981" i="2"/>
  <c r="G981" i="2"/>
  <c r="D981" i="2"/>
  <c r="B981" i="2"/>
  <c r="R980" i="2"/>
  <c r="I980" i="2"/>
  <c r="G980" i="2"/>
  <c r="D980" i="2"/>
  <c r="B980" i="2"/>
  <c r="R979" i="2"/>
  <c r="I979" i="2"/>
  <c r="G979" i="2"/>
  <c r="D979" i="2"/>
  <c r="B979" i="2"/>
  <c r="R978" i="2"/>
  <c r="I978" i="2"/>
  <c r="G978" i="2"/>
  <c r="D978" i="2"/>
  <c r="B978" i="2"/>
  <c r="R977" i="2"/>
  <c r="I977" i="2"/>
  <c r="G977" i="2"/>
  <c r="D977" i="2"/>
  <c r="B977" i="2"/>
  <c r="R976" i="2"/>
  <c r="I976" i="2"/>
  <c r="G976" i="2"/>
  <c r="D976" i="2"/>
  <c r="B976" i="2"/>
  <c r="R975" i="2"/>
  <c r="I975" i="2"/>
  <c r="G975" i="2"/>
  <c r="D975" i="2"/>
  <c r="B975" i="2"/>
  <c r="R974" i="2"/>
  <c r="I974" i="2"/>
  <c r="G974" i="2"/>
  <c r="D974" i="2"/>
  <c r="B974" i="2"/>
  <c r="R973" i="2"/>
  <c r="I973" i="2"/>
  <c r="G973" i="2"/>
  <c r="D973" i="2"/>
  <c r="B973" i="2"/>
  <c r="R972" i="2"/>
  <c r="I972" i="2"/>
  <c r="G972" i="2"/>
  <c r="D972" i="2"/>
  <c r="B972" i="2"/>
  <c r="R971" i="2"/>
  <c r="I971" i="2"/>
  <c r="G971" i="2"/>
  <c r="D971" i="2"/>
  <c r="B971" i="2"/>
  <c r="R970" i="2"/>
  <c r="I970" i="2"/>
  <c r="G970" i="2"/>
  <c r="D970" i="2"/>
  <c r="B970" i="2"/>
  <c r="R969" i="2"/>
  <c r="I969" i="2"/>
  <c r="G969" i="2"/>
  <c r="D969" i="2"/>
  <c r="B969" i="2"/>
  <c r="R968" i="2"/>
  <c r="I968" i="2"/>
  <c r="G968" i="2"/>
  <c r="D968" i="2"/>
  <c r="B968" i="2"/>
  <c r="R967" i="2"/>
  <c r="I967" i="2"/>
  <c r="G967" i="2"/>
  <c r="D967" i="2"/>
  <c r="B967" i="2"/>
  <c r="R966" i="2"/>
  <c r="I966" i="2"/>
  <c r="G966" i="2"/>
  <c r="D966" i="2"/>
  <c r="B966" i="2"/>
  <c r="R965" i="2"/>
  <c r="I965" i="2"/>
  <c r="G965" i="2"/>
  <c r="D965" i="2"/>
  <c r="B965" i="2"/>
  <c r="R964" i="2"/>
  <c r="I964" i="2"/>
  <c r="G964" i="2"/>
  <c r="D964" i="2"/>
  <c r="B964" i="2"/>
  <c r="R963" i="2"/>
  <c r="I963" i="2"/>
  <c r="G963" i="2"/>
  <c r="D963" i="2"/>
  <c r="B963" i="2"/>
  <c r="R962" i="2"/>
  <c r="I962" i="2"/>
  <c r="G962" i="2"/>
  <c r="D962" i="2"/>
  <c r="B962" i="2"/>
  <c r="R961" i="2"/>
  <c r="I961" i="2"/>
  <c r="G961" i="2"/>
  <c r="D961" i="2"/>
  <c r="B961" i="2"/>
  <c r="R960" i="2"/>
  <c r="I960" i="2"/>
  <c r="G960" i="2"/>
  <c r="D960" i="2"/>
  <c r="B960" i="2"/>
  <c r="R959" i="2"/>
  <c r="I959" i="2"/>
  <c r="G959" i="2"/>
  <c r="D959" i="2"/>
  <c r="B959" i="2"/>
  <c r="R958" i="2"/>
  <c r="I958" i="2"/>
  <c r="G958" i="2"/>
  <c r="D958" i="2"/>
  <c r="B958" i="2"/>
  <c r="R957" i="2"/>
  <c r="I957" i="2"/>
  <c r="G957" i="2"/>
  <c r="D957" i="2"/>
  <c r="B957" i="2"/>
  <c r="R956" i="2"/>
  <c r="I956" i="2"/>
  <c r="G956" i="2"/>
  <c r="D956" i="2"/>
  <c r="B956" i="2"/>
  <c r="R955" i="2"/>
  <c r="I955" i="2"/>
  <c r="G955" i="2"/>
  <c r="D955" i="2"/>
  <c r="B955" i="2"/>
  <c r="R954" i="2"/>
  <c r="I954" i="2"/>
  <c r="G954" i="2"/>
  <c r="D954" i="2"/>
  <c r="B954" i="2"/>
  <c r="R953" i="2"/>
  <c r="I953" i="2"/>
  <c r="G953" i="2"/>
  <c r="D953" i="2"/>
  <c r="B953" i="2"/>
  <c r="R952" i="2"/>
  <c r="I952" i="2"/>
  <c r="G952" i="2"/>
  <c r="D952" i="2"/>
  <c r="B952" i="2"/>
  <c r="R951" i="2"/>
  <c r="I951" i="2"/>
  <c r="G951" i="2"/>
  <c r="D951" i="2"/>
  <c r="B951" i="2"/>
  <c r="R950" i="2"/>
  <c r="I950" i="2"/>
  <c r="G950" i="2"/>
  <c r="D950" i="2"/>
  <c r="B950" i="2"/>
  <c r="R949" i="2"/>
  <c r="I949" i="2"/>
  <c r="G949" i="2"/>
  <c r="D949" i="2"/>
  <c r="B949" i="2"/>
  <c r="R948" i="2"/>
  <c r="I948" i="2"/>
  <c r="G948" i="2"/>
  <c r="D948" i="2"/>
  <c r="B948" i="2"/>
  <c r="R947" i="2"/>
  <c r="I947" i="2"/>
  <c r="G947" i="2"/>
  <c r="D947" i="2"/>
  <c r="B947" i="2"/>
  <c r="R946" i="2"/>
  <c r="I946" i="2"/>
  <c r="G946" i="2"/>
  <c r="D946" i="2"/>
  <c r="B946" i="2"/>
  <c r="R945" i="2"/>
  <c r="I945" i="2"/>
  <c r="G945" i="2"/>
  <c r="D945" i="2"/>
  <c r="B945" i="2"/>
  <c r="R944" i="2"/>
  <c r="I944" i="2"/>
  <c r="G944" i="2"/>
  <c r="D944" i="2"/>
  <c r="B944" i="2"/>
  <c r="R943" i="2"/>
  <c r="I943" i="2"/>
  <c r="G943" i="2"/>
  <c r="D943" i="2"/>
  <c r="B943" i="2"/>
  <c r="R942" i="2"/>
  <c r="I942" i="2"/>
  <c r="G942" i="2"/>
  <c r="D942" i="2"/>
  <c r="B942" i="2"/>
  <c r="R941" i="2"/>
  <c r="I941" i="2"/>
  <c r="G941" i="2"/>
  <c r="D941" i="2"/>
  <c r="B941" i="2"/>
  <c r="R940" i="2"/>
  <c r="I940" i="2"/>
  <c r="G940" i="2"/>
  <c r="D940" i="2"/>
  <c r="B940" i="2"/>
  <c r="R939" i="2"/>
  <c r="I939" i="2"/>
  <c r="G939" i="2"/>
  <c r="D939" i="2"/>
  <c r="B939" i="2"/>
  <c r="R938" i="2"/>
  <c r="I938" i="2"/>
  <c r="G938" i="2"/>
  <c r="D938" i="2"/>
  <c r="B938" i="2"/>
  <c r="R937" i="2"/>
  <c r="I937" i="2"/>
  <c r="G937" i="2"/>
  <c r="D937" i="2"/>
  <c r="B937" i="2"/>
  <c r="R936" i="2"/>
  <c r="I936" i="2"/>
  <c r="G936" i="2"/>
  <c r="D936" i="2"/>
  <c r="B936" i="2"/>
  <c r="R935" i="2"/>
  <c r="I935" i="2"/>
  <c r="G935" i="2"/>
  <c r="D935" i="2"/>
  <c r="B935" i="2"/>
  <c r="R934" i="2"/>
  <c r="I934" i="2"/>
  <c r="G934" i="2"/>
  <c r="D934" i="2"/>
  <c r="B934" i="2"/>
  <c r="R933" i="2"/>
  <c r="I933" i="2"/>
  <c r="G933" i="2"/>
  <c r="D933" i="2"/>
  <c r="B933" i="2"/>
  <c r="R932" i="2"/>
  <c r="I932" i="2"/>
  <c r="G932" i="2"/>
  <c r="D932" i="2"/>
  <c r="B932" i="2"/>
  <c r="R931" i="2"/>
  <c r="I931" i="2"/>
  <c r="G931" i="2"/>
  <c r="D931" i="2"/>
  <c r="B931" i="2"/>
  <c r="R930" i="2"/>
  <c r="I930" i="2"/>
  <c r="G930" i="2"/>
  <c r="D930" i="2"/>
  <c r="B930" i="2"/>
  <c r="R929" i="2"/>
  <c r="I929" i="2"/>
  <c r="G929" i="2"/>
  <c r="D929" i="2"/>
  <c r="B929" i="2"/>
  <c r="R928" i="2"/>
  <c r="I928" i="2"/>
  <c r="G928" i="2"/>
  <c r="D928" i="2"/>
  <c r="B928" i="2"/>
  <c r="R927" i="2"/>
  <c r="I927" i="2"/>
  <c r="G927" i="2"/>
  <c r="D927" i="2"/>
  <c r="B927" i="2"/>
  <c r="R926" i="2"/>
  <c r="I926" i="2"/>
  <c r="G926" i="2"/>
  <c r="D926" i="2"/>
  <c r="B926" i="2"/>
  <c r="R925" i="2"/>
  <c r="I925" i="2"/>
  <c r="G925" i="2"/>
  <c r="D925" i="2"/>
  <c r="B925" i="2"/>
  <c r="R924" i="2"/>
  <c r="I924" i="2"/>
  <c r="G924" i="2"/>
  <c r="D924" i="2"/>
  <c r="B924" i="2"/>
  <c r="R923" i="2"/>
  <c r="I923" i="2"/>
  <c r="G923" i="2"/>
  <c r="D923" i="2"/>
  <c r="B923" i="2"/>
  <c r="R922" i="2"/>
  <c r="I922" i="2"/>
  <c r="G922" i="2"/>
  <c r="D922" i="2"/>
  <c r="B922" i="2"/>
  <c r="R921" i="2"/>
  <c r="I921" i="2"/>
  <c r="G921" i="2"/>
  <c r="D921" i="2"/>
  <c r="B921" i="2"/>
  <c r="R920" i="2"/>
  <c r="I920" i="2"/>
  <c r="G920" i="2"/>
  <c r="D920" i="2"/>
  <c r="B920" i="2"/>
  <c r="R919" i="2"/>
  <c r="I919" i="2"/>
  <c r="G919" i="2"/>
  <c r="D919" i="2"/>
  <c r="B919" i="2"/>
  <c r="R918" i="2"/>
  <c r="I918" i="2"/>
  <c r="G918" i="2"/>
  <c r="D918" i="2"/>
  <c r="B918" i="2"/>
  <c r="R917" i="2"/>
  <c r="I917" i="2"/>
  <c r="G917" i="2"/>
  <c r="D917" i="2"/>
  <c r="B917" i="2"/>
  <c r="R916" i="2"/>
  <c r="I916" i="2"/>
  <c r="G916" i="2"/>
  <c r="D916" i="2"/>
  <c r="B916" i="2"/>
  <c r="R915" i="2"/>
  <c r="I915" i="2"/>
  <c r="G915" i="2"/>
  <c r="D915" i="2"/>
  <c r="B915" i="2"/>
  <c r="R914" i="2"/>
  <c r="I914" i="2"/>
  <c r="G914" i="2"/>
  <c r="D914" i="2"/>
  <c r="B914" i="2"/>
  <c r="R913" i="2"/>
  <c r="I913" i="2"/>
  <c r="G913" i="2"/>
  <c r="D913" i="2"/>
  <c r="B913" i="2"/>
  <c r="R912" i="2"/>
  <c r="I912" i="2"/>
  <c r="G912" i="2"/>
  <c r="D912" i="2"/>
  <c r="B912" i="2"/>
  <c r="R911" i="2"/>
  <c r="I911" i="2"/>
  <c r="G911" i="2"/>
  <c r="D911" i="2"/>
  <c r="B911" i="2"/>
  <c r="R910" i="2"/>
  <c r="I910" i="2"/>
  <c r="G910" i="2"/>
  <c r="D910" i="2"/>
  <c r="B910" i="2"/>
  <c r="R909" i="2"/>
  <c r="I909" i="2"/>
  <c r="G909" i="2"/>
  <c r="D909" i="2"/>
  <c r="B909" i="2"/>
  <c r="R908" i="2"/>
  <c r="I908" i="2"/>
  <c r="G908" i="2"/>
  <c r="D908" i="2"/>
  <c r="B908" i="2"/>
  <c r="R907" i="2"/>
  <c r="I907" i="2"/>
  <c r="G907" i="2"/>
  <c r="D907" i="2"/>
  <c r="B907" i="2"/>
  <c r="R906" i="2"/>
  <c r="I906" i="2"/>
  <c r="G906" i="2"/>
  <c r="D906" i="2"/>
  <c r="B906" i="2"/>
  <c r="R905" i="2"/>
  <c r="I905" i="2"/>
  <c r="G905" i="2"/>
  <c r="D905" i="2"/>
  <c r="B905" i="2"/>
  <c r="R904" i="2"/>
  <c r="I904" i="2"/>
  <c r="G904" i="2"/>
  <c r="D904" i="2"/>
  <c r="B904" i="2"/>
  <c r="R903" i="2"/>
  <c r="I903" i="2"/>
  <c r="G903" i="2"/>
  <c r="D903" i="2"/>
  <c r="B903" i="2"/>
  <c r="R902" i="2"/>
  <c r="I902" i="2"/>
  <c r="G902" i="2"/>
  <c r="D902" i="2"/>
  <c r="B902" i="2"/>
  <c r="R901" i="2"/>
  <c r="I901" i="2"/>
  <c r="G901" i="2"/>
  <c r="D901" i="2"/>
  <c r="B901" i="2"/>
  <c r="R900" i="2"/>
  <c r="I900" i="2"/>
  <c r="G900" i="2"/>
  <c r="D900" i="2"/>
  <c r="B900" i="2"/>
  <c r="R899" i="2"/>
  <c r="I899" i="2"/>
  <c r="G899" i="2"/>
  <c r="D899" i="2"/>
  <c r="B899" i="2"/>
  <c r="R898" i="2"/>
  <c r="I898" i="2"/>
  <c r="G898" i="2"/>
  <c r="D898" i="2"/>
  <c r="B898" i="2"/>
  <c r="R897" i="2"/>
  <c r="I897" i="2"/>
  <c r="G897" i="2"/>
  <c r="D897" i="2"/>
  <c r="B897" i="2"/>
  <c r="R896" i="2"/>
  <c r="I896" i="2"/>
  <c r="G896" i="2"/>
  <c r="D896" i="2"/>
  <c r="B896" i="2"/>
  <c r="R895" i="2"/>
  <c r="I895" i="2"/>
  <c r="G895" i="2"/>
  <c r="D895" i="2"/>
  <c r="B895" i="2"/>
  <c r="R894" i="2"/>
  <c r="I894" i="2"/>
  <c r="G894" i="2"/>
  <c r="D894" i="2"/>
  <c r="B894" i="2"/>
  <c r="R893" i="2"/>
  <c r="I893" i="2"/>
  <c r="G893" i="2"/>
  <c r="D893" i="2"/>
  <c r="B893" i="2"/>
  <c r="R892" i="2"/>
  <c r="I892" i="2"/>
  <c r="G892" i="2"/>
  <c r="D892" i="2"/>
  <c r="B892" i="2"/>
  <c r="R891" i="2"/>
  <c r="I891" i="2"/>
  <c r="G891" i="2"/>
  <c r="D891" i="2"/>
  <c r="B891" i="2"/>
  <c r="R890" i="2"/>
  <c r="I890" i="2"/>
  <c r="G890" i="2"/>
  <c r="D890" i="2"/>
  <c r="B890" i="2"/>
  <c r="R889" i="2"/>
  <c r="I889" i="2"/>
  <c r="G889" i="2"/>
  <c r="D889" i="2"/>
  <c r="B889" i="2"/>
  <c r="R888" i="2"/>
  <c r="I888" i="2"/>
  <c r="G888" i="2"/>
  <c r="D888" i="2"/>
  <c r="B888" i="2"/>
  <c r="R887" i="2"/>
  <c r="I887" i="2"/>
  <c r="G887" i="2"/>
  <c r="D887" i="2"/>
  <c r="B887" i="2"/>
  <c r="R886" i="2"/>
  <c r="I886" i="2"/>
  <c r="G886" i="2"/>
  <c r="D886" i="2"/>
  <c r="B886" i="2"/>
  <c r="R885" i="2"/>
  <c r="I885" i="2"/>
  <c r="G885" i="2"/>
  <c r="D885" i="2"/>
  <c r="B885" i="2"/>
  <c r="R884" i="2"/>
  <c r="I884" i="2"/>
  <c r="G884" i="2"/>
  <c r="D884" i="2"/>
  <c r="B884" i="2"/>
  <c r="R883" i="2"/>
  <c r="I883" i="2"/>
  <c r="G883" i="2"/>
  <c r="D883" i="2"/>
  <c r="B883" i="2"/>
  <c r="R882" i="2"/>
  <c r="I882" i="2"/>
  <c r="G882" i="2"/>
  <c r="D882" i="2"/>
  <c r="B882" i="2"/>
  <c r="R881" i="2"/>
  <c r="I881" i="2"/>
  <c r="G881" i="2"/>
  <c r="D881" i="2"/>
  <c r="B881" i="2"/>
  <c r="R880" i="2"/>
  <c r="I880" i="2"/>
  <c r="G880" i="2"/>
  <c r="D880" i="2"/>
  <c r="B880" i="2"/>
  <c r="R879" i="2"/>
  <c r="I879" i="2"/>
  <c r="G879" i="2"/>
  <c r="D879" i="2"/>
  <c r="B879" i="2"/>
  <c r="R878" i="2"/>
  <c r="I878" i="2"/>
  <c r="G878" i="2"/>
  <c r="D878" i="2"/>
  <c r="B878" i="2"/>
  <c r="R877" i="2"/>
  <c r="I877" i="2"/>
  <c r="G877" i="2"/>
  <c r="D877" i="2"/>
  <c r="B877" i="2"/>
  <c r="R876" i="2"/>
  <c r="I876" i="2"/>
  <c r="G876" i="2"/>
  <c r="D876" i="2"/>
  <c r="B876" i="2"/>
  <c r="R875" i="2"/>
  <c r="I875" i="2"/>
  <c r="G875" i="2"/>
  <c r="D875" i="2"/>
  <c r="B875" i="2"/>
  <c r="R874" i="2"/>
  <c r="I874" i="2"/>
  <c r="G874" i="2"/>
  <c r="D874" i="2"/>
  <c r="B874" i="2"/>
  <c r="R873" i="2"/>
  <c r="I873" i="2"/>
  <c r="G873" i="2"/>
  <c r="D873" i="2"/>
  <c r="B873" i="2"/>
  <c r="R872" i="2"/>
  <c r="I872" i="2"/>
  <c r="G872" i="2"/>
  <c r="D872" i="2"/>
  <c r="B872" i="2"/>
  <c r="R871" i="2"/>
  <c r="I871" i="2"/>
  <c r="G871" i="2"/>
  <c r="D871" i="2"/>
  <c r="B871" i="2"/>
  <c r="R870" i="2"/>
  <c r="I870" i="2"/>
  <c r="G870" i="2"/>
  <c r="D870" i="2"/>
  <c r="B870" i="2"/>
  <c r="R869" i="2"/>
  <c r="I869" i="2"/>
  <c r="G869" i="2"/>
  <c r="D869" i="2"/>
  <c r="B869" i="2"/>
  <c r="R868" i="2"/>
  <c r="I868" i="2"/>
  <c r="G868" i="2"/>
  <c r="D868" i="2"/>
  <c r="B868" i="2"/>
  <c r="R867" i="2"/>
  <c r="I867" i="2"/>
  <c r="G867" i="2"/>
  <c r="D867" i="2"/>
  <c r="B867" i="2"/>
  <c r="R866" i="2"/>
  <c r="I866" i="2"/>
  <c r="G866" i="2"/>
  <c r="D866" i="2"/>
  <c r="B866" i="2"/>
  <c r="R865" i="2"/>
  <c r="I865" i="2"/>
  <c r="G865" i="2"/>
  <c r="D865" i="2"/>
  <c r="B865" i="2"/>
  <c r="R864" i="2"/>
  <c r="I864" i="2"/>
  <c r="G864" i="2"/>
  <c r="D864" i="2"/>
  <c r="B864" i="2"/>
  <c r="R863" i="2"/>
  <c r="I863" i="2"/>
  <c r="G863" i="2"/>
  <c r="D863" i="2"/>
  <c r="B863" i="2"/>
  <c r="R862" i="2"/>
  <c r="I862" i="2"/>
  <c r="G862" i="2"/>
  <c r="D862" i="2"/>
  <c r="B862" i="2"/>
  <c r="R861" i="2"/>
  <c r="I861" i="2"/>
  <c r="G861" i="2"/>
  <c r="D861" i="2"/>
  <c r="B861" i="2"/>
  <c r="R860" i="2"/>
  <c r="I860" i="2"/>
  <c r="G860" i="2"/>
  <c r="D860" i="2"/>
  <c r="B860" i="2"/>
  <c r="R859" i="2"/>
  <c r="I859" i="2"/>
  <c r="G859" i="2"/>
  <c r="D859" i="2"/>
  <c r="B859" i="2"/>
  <c r="R858" i="2"/>
  <c r="I858" i="2"/>
  <c r="G858" i="2"/>
  <c r="D858" i="2"/>
  <c r="B858" i="2"/>
  <c r="R857" i="2"/>
  <c r="I857" i="2"/>
  <c r="G857" i="2"/>
  <c r="D857" i="2"/>
  <c r="B857" i="2"/>
  <c r="R856" i="2"/>
  <c r="I856" i="2"/>
  <c r="G856" i="2"/>
  <c r="D856" i="2"/>
  <c r="B856" i="2"/>
  <c r="R855" i="2"/>
  <c r="I855" i="2"/>
  <c r="G855" i="2"/>
  <c r="D855" i="2"/>
  <c r="B855" i="2"/>
  <c r="R854" i="2"/>
  <c r="I854" i="2"/>
  <c r="G854" i="2"/>
  <c r="D854" i="2"/>
  <c r="B854" i="2"/>
  <c r="R853" i="2"/>
  <c r="I853" i="2"/>
  <c r="G853" i="2"/>
  <c r="D853" i="2"/>
  <c r="B853" i="2"/>
  <c r="R852" i="2"/>
  <c r="I852" i="2"/>
  <c r="G852" i="2"/>
  <c r="D852" i="2"/>
  <c r="B852" i="2"/>
  <c r="R851" i="2"/>
  <c r="I851" i="2"/>
  <c r="G851" i="2"/>
  <c r="D851" i="2"/>
  <c r="B851" i="2"/>
  <c r="R850" i="2"/>
  <c r="I850" i="2"/>
  <c r="G850" i="2"/>
  <c r="D850" i="2"/>
  <c r="B850" i="2"/>
  <c r="R849" i="2"/>
  <c r="I849" i="2"/>
  <c r="G849" i="2"/>
  <c r="D849" i="2"/>
  <c r="B849" i="2"/>
  <c r="R848" i="2"/>
  <c r="I848" i="2"/>
  <c r="G848" i="2"/>
  <c r="D848" i="2"/>
  <c r="B848" i="2"/>
  <c r="R847" i="2"/>
  <c r="I847" i="2"/>
  <c r="G847" i="2"/>
  <c r="D847" i="2"/>
  <c r="B847" i="2"/>
  <c r="R846" i="2"/>
  <c r="I846" i="2"/>
  <c r="G846" i="2"/>
  <c r="D846" i="2"/>
  <c r="B846" i="2"/>
  <c r="R845" i="2"/>
  <c r="I845" i="2"/>
  <c r="G845" i="2"/>
  <c r="D845" i="2"/>
  <c r="B845" i="2"/>
  <c r="R844" i="2"/>
  <c r="I844" i="2"/>
  <c r="G844" i="2"/>
  <c r="D844" i="2"/>
  <c r="B844" i="2"/>
  <c r="R843" i="2"/>
  <c r="I843" i="2"/>
  <c r="G843" i="2"/>
  <c r="D843" i="2"/>
  <c r="B843" i="2"/>
  <c r="R842" i="2"/>
  <c r="I842" i="2"/>
  <c r="G842" i="2"/>
  <c r="D842" i="2"/>
  <c r="B842" i="2"/>
  <c r="R841" i="2"/>
  <c r="I841" i="2"/>
  <c r="G841" i="2"/>
  <c r="D841" i="2"/>
  <c r="B841" i="2"/>
  <c r="R840" i="2"/>
  <c r="I840" i="2"/>
  <c r="G840" i="2"/>
  <c r="D840" i="2"/>
  <c r="B840" i="2"/>
  <c r="R839" i="2"/>
  <c r="I839" i="2"/>
  <c r="G839" i="2"/>
  <c r="D839" i="2"/>
  <c r="B839" i="2"/>
  <c r="R838" i="2"/>
  <c r="I838" i="2"/>
  <c r="G838" i="2"/>
  <c r="D838" i="2"/>
  <c r="B838" i="2"/>
  <c r="R837" i="2"/>
  <c r="I837" i="2"/>
  <c r="G837" i="2"/>
  <c r="D837" i="2"/>
  <c r="B837" i="2"/>
  <c r="R836" i="2"/>
  <c r="I836" i="2"/>
  <c r="G836" i="2"/>
  <c r="D836" i="2"/>
  <c r="B836" i="2"/>
  <c r="R835" i="2"/>
  <c r="I835" i="2"/>
  <c r="G835" i="2"/>
  <c r="D835" i="2"/>
  <c r="B835" i="2"/>
  <c r="R834" i="2"/>
  <c r="I834" i="2"/>
  <c r="G834" i="2"/>
  <c r="D834" i="2"/>
  <c r="B834" i="2"/>
  <c r="R833" i="2"/>
  <c r="I833" i="2"/>
  <c r="G833" i="2"/>
  <c r="D833" i="2"/>
  <c r="B833" i="2"/>
  <c r="R832" i="2"/>
  <c r="I832" i="2"/>
  <c r="G832" i="2"/>
  <c r="D832" i="2"/>
  <c r="B832" i="2"/>
  <c r="R831" i="2"/>
  <c r="I831" i="2"/>
  <c r="G831" i="2"/>
  <c r="D831" i="2"/>
  <c r="B831" i="2"/>
  <c r="R830" i="2"/>
  <c r="I830" i="2"/>
  <c r="G830" i="2"/>
  <c r="D830" i="2"/>
  <c r="B830" i="2"/>
  <c r="R829" i="2"/>
  <c r="I829" i="2"/>
  <c r="G829" i="2"/>
  <c r="D829" i="2"/>
  <c r="B829" i="2"/>
  <c r="R828" i="2"/>
  <c r="I828" i="2"/>
  <c r="G828" i="2"/>
  <c r="D828" i="2"/>
  <c r="B828" i="2"/>
  <c r="R827" i="2"/>
  <c r="I827" i="2"/>
  <c r="G827" i="2"/>
  <c r="D827" i="2"/>
  <c r="B827" i="2"/>
  <c r="R826" i="2"/>
  <c r="I826" i="2"/>
  <c r="G826" i="2"/>
  <c r="D826" i="2"/>
  <c r="B826" i="2"/>
  <c r="R825" i="2"/>
  <c r="I825" i="2"/>
  <c r="G825" i="2"/>
  <c r="D825" i="2"/>
  <c r="B825" i="2"/>
  <c r="R824" i="2"/>
  <c r="I824" i="2"/>
  <c r="G824" i="2"/>
  <c r="D824" i="2"/>
  <c r="B824" i="2"/>
  <c r="R823" i="2"/>
  <c r="I823" i="2"/>
  <c r="G823" i="2"/>
  <c r="D823" i="2"/>
  <c r="B823" i="2"/>
  <c r="R822" i="2"/>
  <c r="I822" i="2"/>
  <c r="G822" i="2"/>
  <c r="D822" i="2"/>
  <c r="B822" i="2"/>
  <c r="R821" i="2"/>
  <c r="I821" i="2"/>
  <c r="G821" i="2"/>
  <c r="D821" i="2"/>
  <c r="B821" i="2"/>
  <c r="R820" i="2"/>
  <c r="I820" i="2"/>
  <c r="G820" i="2"/>
  <c r="D820" i="2"/>
  <c r="B820" i="2"/>
  <c r="R819" i="2"/>
  <c r="I819" i="2"/>
  <c r="G819" i="2"/>
  <c r="D819" i="2"/>
  <c r="B819" i="2"/>
  <c r="R818" i="2"/>
  <c r="I818" i="2"/>
  <c r="G818" i="2"/>
  <c r="D818" i="2"/>
  <c r="B818" i="2"/>
  <c r="R817" i="2"/>
  <c r="I817" i="2"/>
  <c r="G817" i="2"/>
  <c r="D817" i="2"/>
  <c r="B817" i="2"/>
  <c r="R816" i="2"/>
  <c r="I816" i="2"/>
  <c r="G816" i="2"/>
  <c r="D816" i="2"/>
  <c r="B816" i="2"/>
  <c r="R815" i="2"/>
  <c r="I815" i="2"/>
  <c r="G815" i="2"/>
  <c r="D815" i="2"/>
  <c r="B815" i="2"/>
  <c r="R814" i="2"/>
  <c r="I814" i="2"/>
  <c r="G814" i="2"/>
  <c r="D814" i="2"/>
  <c r="B814" i="2"/>
  <c r="R813" i="2"/>
  <c r="I813" i="2"/>
  <c r="G813" i="2"/>
  <c r="D813" i="2"/>
  <c r="B813" i="2"/>
  <c r="R812" i="2"/>
  <c r="I812" i="2"/>
  <c r="G812" i="2"/>
  <c r="D812" i="2"/>
  <c r="B812" i="2"/>
  <c r="R811" i="2"/>
  <c r="I811" i="2"/>
  <c r="G811" i="2"/>
  <c r="D811" i="2"/>
  <c r="B811" i="2"/>
  <c r="R810" i="2"/>
  <c r="I810" i="2"/>
  <c r="G810" i="2"/>
  <c r="D810" i="2"/>
  <c r="B810" i="2"/>
  <c r="R809" i="2"/>
  <c r="I809" i="2"/>
  <c r="G809" i="2"/>
  <c r="D809" i="2"/>
  <c r="B809" i="2"/>
  <c r="R808" i="2"/>
  <c r="I808" i="2"/>
  <c r="G808" i="2"/>
  <c r="D808" i="2"/>
  <c r="B808" i="2"/>
  <c r="R807" i="2"/>
  <c r="I807" i="2"/>
  <c r="G807" i="2"/>
  <c r="D807" i="2"/>
  <c r="B807" i="2"/>
  <c r="R806" i="2"/>
  <c r="I806" i="2"/>
  <c r="G806" i="2"/>
  <c r="D806" i="2"/>
  <c r="B806" i="2"/>
  <c r="R805" i="2"/>
  <c r="I805" i="2"/>
  <c r="G805" i="2"/>
  <c r="D805" i="2"/>
  <c r="B805" i="2"/>
  <c r="R804" i="2"/>
  <c r="I804" i="2"/>
  <c r="G804" i="2"/>
  <c r="D804" i="2"/>
  <c r="B804" i="2"/>
  <c r="R803" i="2"/>
  <c r="I803" i="2"/>
  <c r="G803" i="2"/>
  <c r="D803" i="2"/>
  <c r="B803" i="2"/>
  <c r="R802" i="2"/>
  <c r="I802" i="2"/>
  <c r="G802" i="2"/>
  <c r="D802" i="2"/>
  <c r="B802" i="2"/>
  <c r="R801" i="2"/>
  <c r="I801" i="2"/>
  <c r="G801" i="2"/>
  <c r="D801" i="2"/>
  <c r="B801" i="2"/>
  <c r="R800" i="2"/>
  <c r="I800" i="2"/>
  <c r="G800" i="2"/>
  <c r="D800" i="2"/>
  <c r="B800" i="2"/>
  <c r="R799" i="2"/>
  <c r="I799" i="2"/>
  <c r="G799" i="2"/>
  <c r="D799" i="2"/>
  <c r="B799" i="2"/>
  <c r="R798" i="2"/>
  <c r="I798" i="2"/>
  <c r="G798" i="2"/>
  <c r="D798" i="2"/>
  <c r="B798" i="2"/>
  <c r="R797" i="2"/>
  <c r="I797" i="2"/>
  <c r="G797" i="2"/>
  <c r="D797" i="2"/>
  <c r="B797" i="2"/>
  <c r="R796" i="2"/>
  <c r="I796" i="2"/>
  <c r="G796" i="2"/>
  <c r="D796" i="2"/>
  <c r="B796" i="2"/>
  <c r="R795" i="2"/>
  <c r="I795" i="2"/>
  <c r="G795" i="2"/>
  <c r="D795" i="2"/>
  <c r="B795" i="2"/>
  <c r="R794" i="2"/>
  <c r="I794" i="2"/>
  <c r="G794" i="2"/>
  <c r="D794" i="2"/>
  <c r="B794" i="2"/>
  <c r="R793" i="2"/>
  <c r="I793" i="2"/>
  <c r="G793" i="2"/>
  <c r="D793" i="2"/>
  <c r="B793" i="2"/>
  <c r="R792" i="2"/>
  <c r="I792" i="2"/>
  <c r="G792" i="2"/>
  <c r="D792" i="2"/>
  <c r="B792" i="2"/>
  <c r="R791" i="2"/>
  <c r="I791" i="2"/>
  <c r="G791" i="2"/>
  <c r="D791" i="2"/>
  <c r="B791" i="2"/>
  <c r="R790" i="2"/>
  <c r="I790" i="2"/>
  <c r="G790" i="2"/>
  <c r="D790" i="2"/>
  <c r="B790" i="2"/>
  <c r="R789" i="2"/>
  <c r="I789" i="2"/>
  <c r="G789" i="2"/>
  <c r="D789" i="2"/>
  <c r="B789" i="2"/>
  <c r="R788" i="2"/>
  <c r="I788" i="2"/>
  <c r="G788" i="2"/>
  <c r="D788" i="2"/>
  <c r="B788" i="2"/>
  <c r="R787" i="2"/>
  <c r="I787" i="2"/>
  <c r="G787" i="2"/>
  <c r="D787" i="2"/>
  <c r="B787" i="2"/>
  <c r="R786" i="2"/>
  <c r="I786" i="2"/>
  <c r="G786" i="2"/>
  <c r="D786" i="2"/>
  <c r="B786" i="2"/>
  <c r="R785" i="2"/>
  <c r="I785" i="2"/>
  <c r="G785" i="2"/>
  <c r="D785" i="2"/>
  <c r="B785" i="2"/>
  <c r="R784" i="2"/>
  <c r="I784" i="2"/>
  <c r="G784" i="2"/>
  <c r="D784" i="2"/>
  <c r="B784" i="2"/>
  <c r="R783" i="2"/>
  <c r="I783" i="2"/>
  <c r="G783" i="2"/>
  <c r="D783" i="2"/>
  <c r="B783" i="2"/>
  <c r="R782" i="2"/>
  <c r="I782" i="2"/>
  <c r="G782" i="2"/>
  <c r="D782" i="2"/>
  <c r="B782" i="2"/>
  <c r="R781" i="2"/>
  <c r="I781" i="2"/>
  <c r="G781" i="2"/>
  <c r="D781" i="2"/>
  <c r="B781" i="2"/>
  <c r="R780" i="2"/>
  <c r="I780" i="2"/>
  <c r="G780" i="2"/>
  <c r="D780" i="2"/>
  <c r="B780" i="2"/>
  <c r="R779" i="2"/>
  <c r="I779" i="2"/>
  <c r="G779" i="2"/>
  <c r="D779" i="2"/>
  <c r="B779" i="2"/>
  <c r="R778" i="2"/>
  <c r="I778" i="2"/>
  <c r="G778" i="2"/>
  <c r="D778" i="2"/>
  <c r="B778" i="2"/>
  <c r="R777" i="2"/>
  <c r="I777" i="2"/>
  <c r="G777" i="2"/>
  <c r="D777" i="2"/>
  <c r="B777" i="2"/>
  <c r="R776" i="2"/>
  <c r="I776" i="2"/>
  <c r="G776" i="2"/>
  <c r="D776" i="2"/>
  <c r="B776" i="2"/>
  <c r="R775" i="2"/>
  <c r="I775" i="2"/>
  <c r="G775" i="2"/>
  <c r="D775" i="2"/>
  <c r="B775" i="2"/>
  <c r="R774" i="2"/>
  <c r="I774" i="2"/>
  <c r="G774" i="2"/>
  <c r="D774" i="2"/>
  <c r="B774" i="2"/>
  <c r="R773" i="2"/>
  <c r="I773" i="2"/>
  <c r="G773" i="2"/>
  <c r="D773" i="2"/>
  <c r="B773" i="2"/>
  <c r="R772" i="2"/>
  <c r="I772" i="2"/>
  <c r="G772" i="2"/>
  <c r="D772" i="2"/>
  <c r="B772" i="2"/>
  <c r="R771" i="2"/>
  <c r="I771" i="2"/>
  <c r="G771" i="2"/>
  <c r="D771" i="2"/>
  <c r="B771" i="2"/>
  <c r="R770" i="2"/>
  <c r="I770" i="2"/>
  <c r="G770" i="2"/>
  <c r="D770" i="2"/>
  <c r="B770" i="2"/>
  <c r="R769" i="2"/>
  <c r="I769" i="2"/>
  <c r="G769" i="2"/>
  <c r="D769" i="2"/>
  <c r="B769" i="2"/>
  <c r="R768" i="2"/>
  <c r="I768" i="2"/>
  <c r="G768" i="2"/>
  <c r="D768" i="2"/>
  <c r="B768" i="2"/>
  <c r="R767" i="2"/>
  <c r="I767" i="2"/>
  <c r="G767" i="2"/>
  <c r="D767" i="2"/>
  <c r="B767" i="2"/>
  <c r="R766" i="2"/>
  <c r="I766" i="2"/>
  <c r="G766" i="2"/>
  <c r="D766" i="2"/>
  <c r="B766" i="2"/>
  <c r="R765" i="2"/>
  <c r="I765" i="2"/>
  <c r="G765" i="2"/>
  <c r="D765" i="2"/>
  <c r="B765" i="2"/>
  <c r="R764" i="2"/>
  <c r="I764" i="2"/>
  <c r="G764" i="2"/>
  <c r="D764" i="2"/>
  <c r="B764" i="2"/>
  <c r="R763" i="2"/>
  <c r="I763" i="2"/>
  <c r="G763" i="2"/>
  <c r="D763" i="2"/>
  <c r="B763" i="2"/>
  <c r="R762" i="2"/>
  <c r="I762" i="2"/>
  <c r="G762" i="2"/>
  <c r="D762" i="2"/>
  <c r="B762" i="2"/>
  <c r="R761" i="2"/>
  <c r="I761" i="2"/>
  <c r="G761" i="2"/>
  <c r="D761" i="2"/>
  <c r="B761" i="2"/>
  <c r="R760" i="2"/>
  <c r="I760" i="2"/>
  <c r="G760" i="2"/>
  <c r="D760" i="2"/>
  <c r="B760" i="2"/>
  <c r="R759" i="2"/>
  <c r="I759" i="2"/>
  <c r="G759" i="2"/>
  <c r="D759" i="2"/>
  <c r="B759" i="2"/>
  <c r="R758" i="2"/>
  <c r="I758" i="2"/>
  <c r="G758" i="2"/>
  <c r="D758" i="2"/>
  <c r="B758" i="2"/>
  <c r="R757" i="2"/>
  <c r="I757" i="2"/>
  <c r="G757" i="2"/>
  <c r="D757" i="2"/>
  <c r="B757" i="2"/>
  <c r="R756" i="2"/>
  <c r="I756" i="2"/>
  <c r="G756" i="2"/>
  <c r="D756" i="2"/>
  <c r="B756" i="2"/>
  <c r="R755" i="2"/>
  <c r="I755" i="2"/>
  <c r="G755" i="2"/>
  <c r="D755" i="2"/>
  <c r="B755" i="2"/>
  <c r="R754" i="2"/>
  <c r="I754" i="2"/>
  <c r="G754" i="2"/>
  <c r="D754" i="2"/>
  <c r="B754" i="2"/>
  <c r="R753" i="2"/>
  <c r="I753" i="2"/>
  <c r="G753" i="2"/>
  <c r="D753" i="2"/>
  <c r="B753" i="2"/>
  <c r="R752" i="2"/>
  <c r="I752" i="2"/>
  <c r="G752" i="2"/>
  <c r="D752" i="2"/>
  <c r="B752" i="2"/>
  <c r="R751" i="2"/>
  <c r="I751" i="2"/>
  <c r="G751" i="2"/>
  <c r="D751" i="2"/>
  <c r="B751" i="2"/>
  <c r="R750" i="2"/>
  <c r="I750" i="2"/>
  <c r="G750" i="2"/>
  <c r="D750" i="2"/>
  <c r="B750" i="2"/>
  <c r="R749" i="2"/>
  <c r="I749" i="2"/>
  <c r="G749" i="2"/>
  <c r="D749" i="2"/>
  <c r="B749" i="2"/>
  <c r="R748" i="2"/>
  <c r="I748" i="2"/>
  <c r="G748" i="2"/>
  <c r="D748" i="2"/>
  <c r="B748" i="2"/>
  <c r="R747" i="2"/>
  <c r="I747" i="2"/>
  <c r="G747" i="2"/>
  <c r="D747" i="2"/>
  <c r="B747" i="2"/>
  <c r="R746" i="2"/>
  <c r="I746" i="2"/>
  <c r="G746" i="2"/>
  <c r="D746" i="2"/>
  <c r="B746" i="2"/>
  <c r="R745" i="2"/>
  <c r="I745" i="2"/>
  <c r="G745" i="2"/>
  <c r="D745" i="2"/>
  <c r="B745" i="2"/>
  <c r="R744" i="2"/>
  <c r="I744" i="2"/>
  <c r="G744" i="2"/>
  <c r="D744" i="2"/>
  <c r="B744" i="2"/>
  <c r="R743" i="2"/>
  <c r="I743" i="2"/>
  <c r="G743" i="2"/>
  <c r="D743" i="2"/>
  <c r="B743" i="2"/>
  <c r="R742" i="2"/>
  <c r="I742" i="2"/>
  <c r="G742" i="2"/>
  <c r="D742" i="2"/>
  <c r="B742" i="2"/>
  <c r="R741" i="2"/>
  <c r="I741" i="2"/>
  <c r="G741" i="2"/>
  <c r="D741" i="2"/>
  <c r="B741" i="2"/>
  <c r="R740" i="2"/>
  <c r="I740" i="2"/>
  <c r="G740" i="2"/>
  <c r="D740" i="2"/>
  <c r="B740" i="2"/>
  <c r="R739" i="2"/>
  <c r="I739" i="2"/>
  <c r="G739" i="2"/>
  <c r="D739" i="2"/>
  <c r="B739" i="2"/>
  <c r="R738" i="2"/>
  <c r="I738" i="2"/>
  <c r="G738" i="2"/>
  <c r="D738" i="2"/>
  <c r="B738" i="2"/>
  <c r="R737" i="2"/>
  <c r="I737" i="2"/>
  <c r="G737" i="2"/>
  <c r="D737" i="2"/>
  <c r="B737" i="2"/>
  <c r="R736" i="2"/>
  <c r="I736" i="2"/>
  <c r="G736" i="2"/>
  <c r="D736" i="2"/>
  <c r="B736" i="2"/>
  <c r="R735" i="2"/>
  <c r="I735" i="2"/>
  <c r="G735" i="2"/>
  <c r="D735" i="2"/>
  <c r="B735" i="2"/>
  <c r="R734" i="2"/>
  <c r="I734" i="2"/>
  <c r="G734" i="2"/>
  <c r="D734" i="2"/>
  <c r="B734" i="2"/>
  <c r="R733" i="2"/>
  <c r="I733" i="2"/>
  <c r="G733" i="2"/>
  <c r="D733" i="2"/>
  <c r="B733" i="2"/>
  <c r="R732" i="2"/>
  <c r="I732" i="2"/>
  <c r="G732" i="2"/>
  <c r="D732" i="2"/>
  <c r="B732" i="2"/>
  <c r="R731" i="2"/>
  <c r="I731" i="2"/>
  <c r="G731" i="2"/>
  <c r="D731" i="2"/>
  <c r="B731" i="2"/>
  <c r="R730" i="2"/>
  <c r="I730" i="2"/>
  <c r="G730" i="2"/>
  <c r="D730" i="2"/>
  <c r="B730" i="2"/>
  <c r="R729" i="2"/>
  <c r="I729" i="2"/>
  <c r="G729" i="2"/>
  <c r="D729" i="2"/>
  <c r="B729" i="2"/>
  <c r="R728" i="2"/>
  <c r="I728" i="2"/>
  <c r="G728" i="2"/>
  <c r="D728" i="2"/>
  <c r="B728" i="2"/>
  <c r="R727" i="2"/>
  <c r="I727" i="2"/>
  <c r="G727" i="2"/>
  <c r="D727" i="2"/>
  <c r="B727" i="2"/>
  <c r="R726" i="2"/>
  <c r="I726" i="2"/>
  <c r="G726" i="2"/>
  <c r="D726" i="2"/>
  <c r="B726" i="2"/>
  <c r="R725" i="2"/>
  <c r="I725" i="2"/>
  <c r="G725" i="2"/>
  <c r="D725" i="2"/>
  <c r="B725" i="2"/>
  <c r="R724" i="2"/>
  <c r="I724" i="2"/>
  <c r="G724" i="2"/>
  <c r="D724" i="2"/>
  <c r="B724" i="2"/>
  <c r="R723" i="2"/>
  <c r="I723" i="2"/>
  <c r="G723" i="2"/>
  <c r="D723" i="2"/>
  <c r="B723" i="2"/>
  <c r="R722" i="2"/>
  <c r="I722" i="2"/>
  <c r="G722" i="2"/>
  <c r="D722" i="2"/>
  <c r="B722" i="2"/>
  <c r="R721" i="2"/>
  <c r="I721" i="2"/>
  <c r="G721" i="2"/>
  <c r="D721" i="2"/>
  <c r="B721" i="2"/>
  <c r="R720" i="2"/>
  <c r="I720" i="2"/>
  <c r="G720" i="2"/>
  <c r="D720" i="2"/>
  <c r="B720" i="2"/>
  <c r="R719" i="2"/>
  <c r="I719" i="2"/>
  <c r="G719" i="2"/>
  <c r="D719" i="2"/>
  <c r="B719" i="2"/>
  <c r="R718" i="2"/>
  <c r="I718" i="2"/>
  <c r="G718" i="2"/>
  <c r="D718" i="2"/>
  <c r="B718" i="2"/>
  <c r="R717" i="2"/>
  <c r="I717" i="2"/>
  <c r="G717" i="2"/>
  <c r="D717" i="2"/>
  <c r="B717" i="2"/>
  <c r="R716" i="2"/>
  <c r="I716" i="2"/>
  <c r="G716" i="2"/>
  <c r="D716" i="2"/>
  <c r="B716" i="2"/>
  <c r="R715" i="2"/>
  <c r="I715" i="2"/>
  <c r="G715" i="2"/>
  <c r="D715" i="2"/>
  <c r="B715" i="2"/>
  <c r="R714" i="2"/>
  <c r="I714" i="2"/>
  <c r="G714" i="2"/>
  <c r="D714" i="2"/>
  <c r="B714" i="2"/>
  <c r="R713" i="2"/>
  <c r="I713" i="2"/>
  <c r="G713" i="2"/>
  <c r="D713" i="2"/>
  <c r="B713" i="2"/>
  <c r="R712" i="2"/>
  <c r="I712" i="2"/>
  <c r="G712" i="2"/>
  <c r="D712" i="2"/>
  <c r="B712" i="2"/>
  <c r="R711" i="2"/>
  <c r="I711" i="2"/>
  <c r="G711" i="2"/>
  <c r="D711" i="2"/>
  <c r="B711" i="2"/>
  <c r="R710" i="2"/>
  <c r="I710" i="2"/>
  <c r="G710" i="2"/>
  <c r="D710" i="2"/>
  <c r="B710" i="2"/>
  <c r="R709" i="2"/>
  <c r="I709" i="2"/>
  <c r="G709" i="2"/>
  <c r="D709" i="2"/>
  <c r="B709" i="2"/>
  <c r="R708" i="2"/>
  <c r="I708" i="2"/>
  <c r="G708" i="2"/>
  <c r="D708" i="2"/>
  <c r="B708" i="2"/>
  <c r="R707" i="2"/>
  <c r="I707" i="2"/>
  <c r="G707" i="2"/>
  <c r="D707" i="2"/>
  <c r="B707" i="2"/>
  <c r="R706" i="2"/>
  <c r="I706" i="2"/>
  <c r="G706" i="2"/>
  <c r="D706" i="2"/>
  <c r="B706" i="2"/>
  <c r="R705" i="2"/>
  <c r="I705" i="2"/>
  <c r="G705" i="2"/>
  <c r="D705" i="2"/>
  <c r="B705" i="2"/>
  <c r="R704" i="2"/>
  <c r="I704" i="2"/>
  <c r="G704" i="2"/>
  <c r="D704" i="2"/>
  <c r="B704" i="2"/>
  <c r="R703" i="2"/>
  <c r="I703" i="2"/>
  <c r="G703" i="2"/>
  <c r="D703" i="2"/>
  <c r="B703" i="2"/>
  <c r="R702" i="2"/>
  <c r="I702" i="2"/>
  <c r="G702" i="2"/>
  <c r="D702" i="2"/>
  <c r="B702" i="2"/>
  <c r="R701" i="2"/>
  <c r="I701" i="2"/>
  <c r="G701" i="2"/>
  <c r="D701" i="2"/>
  <c r="B701" i="2"/>
  <c r="R700" i="2"/>
  <c r="I700" i="2"/>
  <c r="G700" i="2"/>
  <c r="D700" i="2"/>
  <c r="B700" i="2"/>
  <c r="R699" i="2"/>
  <c r="I699" i="2"/>
  <c r="G699" i="2"/>
  <c r="D699" i="2"/>
  <c r="B699" i="2"/>
  <c r="R698" i="2"/>
  <c r="I698" i="2"/>
  <c r="G698" i="2"/>
  <c r="D698" i="2"/>
  <c r="B698" i="2"/>
  <c r="R697" i="2"/>
  <c r="I697" i="2"/>
  <c r="G697" i="2"/>
  <c r="D697" i="2"/>
  <c r="B697" i="2"/>
  <c r="R696" i="2"/>
  <c r="I696" i="2"/>
  <c r="G696" i="2"/>
  <c r="D696" i="2"/>
  <c r="B696" i="2"/>
  <c r="R695" i="2"/>
  <c r="I695" i="2"/>
  <c r="G695" i="2"/>
  <c r="D695" i="2"/>
  <c r="B695" i="2"/>
  <c r="R694" i="2"/>
  <c r="I694" i="2"/>
  <c r="G694" i="2"/>
  <c r="D694" i="2"/>
  <c r="B694" i="2"/>
  <c r="R693" i="2"/>
  <c r="I693" i="2"/>
  <c r="G693" i="2"/>
  <c r="D693" i="2"/>
  <c r="B693" i="2"/>
  <c r="R692" i="2"/>
  <c r="I692" i="2"/>
  <c r="G692" i="2"/>
  <c r="D692" i="2"/>
  <c r="B692" i="2"/>
  <c r="R691" i="2"/>
  <c r="I691" i="2"/>
  <c r="G691" i="2"/>
  <c r="D691" i="2"/>
  <c r="B691" i="2"/>
  <c r="R690" i="2"/>
  <c r="I690" i="2"/>
  <c r="G690" i="2"/>
  <c r="D690" i="2"/>
  <c r="B690" i="2"/>
  <c r="R689" i="2"/>
  <c r="I689" i="2"/>
  <c r="G689" i="2"/>
  <c r="D689" i="2"/>
  <c r="B689" i="2"/>
  <c r="R688" i="2"/>
  <c r="I688" i="2"/>
  <c r="G688" i="2"/>
  <c r="D688" i="2"/>
  <c r="B688" i="2"/>
  <c r="R687" i="2"/>
  <c r="I687" i="2"/>
  <c r="G687" i="2"/>
  <c r="D687" i="2"/>
  <c r="B687" i="2"/>
  <c r="R686" i="2"/>
  <c r="I686" i="2"/>
  <c r="G686" i="2"/>
  <c r="D686" i="2"/>
  <c r="B686" i="2"/>
  <c r="R685" i="2"/>
  <c r="I685" i="2"/>
  <c r="G685" i="2"/>
  <c r="D685" i="2"/>
  <c r="B685" i="2"/>
  <c r="R684" i="2"/>
  <c r="I684" i="2"/>
  <c r="G684" i="2"/>
  <c r="D684" i="2"/>
  <c r="B684" i="2"/>
  <c r="R683" i="2"/>
  <c r="I683" i="2"/>
  <c r="G683" i="2"/>
  <c r="D683" i="2"/>
  <c r="B683" i="2"/>
  <c r="R682" i="2"/>
  <c r="I682" i="2"/>
  <c r="G682" i="2"/>
  <c r="D682" i="2"/>
  <c r="B682" i="2"/>
  <c r="R681" i="2"/>
  <c r="I681" i="2"/>
  <c r="G681" i="2"/>
  <c r="D681" i="2"/>
  <c r="B681" i="2"/>
  <c r="R680" i="2"/>
  <c r="I680" i="2"/>
  <c r="G680" i="2"/>
  <c r="D680" i="2"/>
  <c r="B680" i="2"/>
  <c r="R679" i="2"/>
  <c r="I679" i="2"/>
  <c r="G679" i="2"/>
  <c r="D679" i="2"/>
  <c r="B679" i="2"/>
  <c r="R678" i="2"/>
  <c r="I678" i="2"/>
  <c r="G678" i="2"/>
  <c r="D678" i="2"/>
  <c r="B678" i="2"/>
  <c r="R677" i="2"/>
  <c r="I677" i="2"/>
  <c r="G677" i="2"/>
  <c r="D677" i="2"/>
  <c r="B677" i="2"/>
  <c r="R676" i="2"/>
  <c r="I676" i="2"/>
  <c r="G676" i="2"/>
  <c r="D676" i="2"/>
  <c r="B676" i="2"/>
  <c r="R675" i="2"/>
  <c r="I675" i="2"/>
  <c r="G675" i="2"/>
  <c r="D675" i="2"/>
  <c r="B675" i="2"/>
  <c r="R674" i="2"/>
  <c r="I674" i="2"/>
  <c r="G674" i="2"/>
  <c r="D674" i="2"/>
  <c r="B674" i="2"/>
  <c r="R673" i="2"/>
  <c r="I673" i="2"/>
  <c r="G673" i="2"/>
  <c r="D673" i="2"/>
  <c r="B673" i="2"/>
  <c r="R672" i="2"/>
  <c r="I672" i="2"/>
  <c r="G672" i="2"/>
  <c r="D672" i="2"/>
  <c r="B672" i="2"/>
  <c r="R671" i="2"/>
  <c r="I671" i="2"/>
  <c r="G671" i="2"/>
  <c r="D671" i="2"/>
  <c r="B671" i="2"/>
  <c r="R670" i="2"/>
  <c r="I670" i="2"/>
  <c r="G670" i="2"/>
  <c r="D670" i="2"/>
  <c r="B670" i="2"/>
  <c r="R669" i="2"/>
  <c r="I669" i="2"/>
  <c r="G669" i="2"/>
  <c r="D669" i="2"/>
  <c r="B669" i="2"/>
  <c r="R668" i="2"/>
  <c r="I668" i="2"/>
  <c r="G668" i="2"/>
  <c r="D668" i="2"/>
  <c r="B668" i="2"/>
  <c r="R667" i="2"/>
  <c r="I667" i="2"/>
  <c r="G667" i="2"/>
  <c r="D667" i="2"/>
  <c r="B667" i="2"/>
  <c r="R666" i="2"/>
  <c r="I666" i="2"/>
  <c r="G666" i="2"/>
  <c r="D666" i="2"/>
  <c r="B666" i="2"/>
  <c r="R665" i="2"/>
  <c r="I665" i="2"/>
  <c r="G665" i="2"/>
  <c r="D665" i="2"/>
  <c r="B665" i="2"/>
  <c r="R664" i="2"/>
  <c r="I664" i="2"/>
  <c r="G664" i="2"/>
  <c r="D664" i="2"/>
  <c r="B664" i="2"/>
  <c r="R663" i="2"/>
  <c r="I663" i="2"/>
  <c r="G663" i="2"/>
  <c r="D663" i="2"/>
  <c r="B663" i="2"/>
  <c r="R662" i="2"/>
  <c r="I662" i="2"/>
  <c r="G662" i="2"/>
  <c r="D662" i="2"/>
  <c r="B662" i="2"/>
  <c r="R661" i="2"/>
  <c r="I661" i="2"/>
  <c r="G661" i="2"/>
  <c r="D661" i="2"/>
  <c r="B661" i="2"/>
  <c r="R660" i="2"/>
  <c r="I660" i="2"/>
  <c r="G660" i="2"/>
  <c r="D660" i="2"/>
  <c r="B660" i="2"/>
  <c r="R659" i="2"/>
  <c r="I659" i="2"/>
  <c r="G659" i="2"/>
  <c r="D659" i="2"/>
  <c r="B659" i="2"/>
  <c r="R658" i="2"/>
  <c r="I658" i="2"/>
  <c r="G658" i="2"/>
  <c r="D658" i="2"/>
  <c r="B658" i="2"/>
  <c r="R657" i="2"/>
  <c r="I657" i="2"/>
  <c r="G657" i="2"/>
  <c r="D657" i="2"/>
  <c r="B657" i="2"/>
  <c r="R656" i="2"/>
  <c r="I656" i="2"/>
  <c r="G656" i="2"/>
  <c r="D656" i="2"/>
  <c r="B656" i="2"/>
  <c r="R655" i="2"/>
  <c r="I655" i="2"/>
  <c r="G655" i="2"/>
  <c r="D655" i="2"/>
  <c r="B655" i="2"/>
  <c r="R654" i="2"/>
  <c r="I654" i="2"/>
  <c r="G654" i="2"/>
  <c r="D654" i="2"/>
  <c r="B654" i="2"/>
  <c r="R653" i="2"/>
  <c r="I653" i="2"/>
  <c r="G653" i="2"/>
  <c r="D653" i="2"/>
  <c r="B653" i="2"/>
  <c r="R652" i="2"/>
  <c r="I652" i="2"/>
  <c r="G652" i="2"/>
  <c r="D652" i="2"/>
  <c r="B652" i="2"/>
  <c r="R651" i="2"/>
  <c r="I651" i="2"/>
  <c r="G651" i="2"/>
  <c r="D651" i="2"/>
  <c r="B651" i="2"/>
  <c r="R650" i="2"/>
  <c r="I650" i="2"/>
  <c r="G650" i="2"/>
  <c r="D650" i="2"/>
  <c r="B650" i="2"/>
  <c r="R649" i="2"/>
  <c r="I649" i="2"/>
  <c r="G649" i="2"/>
  <c r="D649" i="2"/>
  <c r="B649" i="2"/>
  <c r="R648" i="2"/>
  <c r="I648" i="2"/>
  <c r="G648" i="2"/>
  <c r="D648" i="2"/>
  <c r="B648" i="2"/>
  <c r="R647" i="2"/>
  <c r="I647" i="2"/>
  <c r="G647" i="2"/>
  <c r="D647" i="2"/>
  <c r="B647" i="2"/>
  <c r="R646" i="2"/>
  <c r="I646" i="2"/>
  <c r="G646" i="2"/>
  <c r="D646" i="2"/>
  <c r="B646" i="2"/>
  <c r="R645" i="2"/>
  <c r="I645" i="2"/>
  <c r="G645" i="2"/>
  <c r="D645" i="2"/>
  <c r="B645" i="2"/>
  <c r="R644" i="2"/>
  <c r="I644" i="2"/>
  <c r="G644" i="2"/>
  <c r="D644" i="2"/>
  <c r="B644" i="2"/>
  <c r="R643" i="2"/>
  <c r="I643" i="2"/>
  <c r="G643" i="2"/>
  <c r="D643" i="2"/>
  <c r="B643" i="2"/>
  <c r="R642" i="2"/>
  <c r="I642" i="2"/>
  <c r="G642" i="2"/>
  <c r="D642" i="2"/>
  <c r="B642" i="2"/>
  <c r="R641" i="2"/>
  <c r="I641" i="2"/>
  <c r="G641" i="2"/>
  <c r="D641" i="2"/>
  <c r="B641" i="2"/>
  <c r="R640" i="2"/>
  <c r="I640" i="2"/>
  <c r="G640" i="2"/>
  <c r="D640" i="2"/>
  <c r="B640" i="2"/>
  <c r="R639" i="2"/>
  <c r="I639" i="2"/>
  <c r="G639" i="2"/>
  <c r="D639" i="2"/>
  <c r="B639" i="2"/>
  <c r="R638" i="2"/>
  <c r="I638" i="2"/>
  <c r="G638" i="2"/>
  <c r="D638" i="2"/>
  <c r="B638" i="2"/>
  <c r="R637" i="2"/>
  <c r="I637" i="2"/>
  <c r="G637" i="2"/>
  <c r="D637" i="2"/>
  <c r="B637" i="2"/>
  <c r="R636" i="2"/>
  <c r="I636" i="2"/>
  <c r="G636" i="2"/>
  <c r="D636" i="2"/>
  <c r="B636" i="2"/>
  <c r="R635" i="2"/>
  <c r="I635" i="2"/>
  <c r="G635" i="2"/>
  <c r="D635" i="2"/>
  <c r="B635" i="2"/>
  <c r="R634" i="2"/>
  <c r="I634" i="2"/>
  <c r="G634" i="2"/>
  <c r="D634" i="2"/>
  <c r="B634" i="2"/>
  <c r="R633" i="2"/>
  <c r="I633" i="2"/>
  <c r="G633" i="2"/>
  <c r="D633" i="2"/>
  <c r="B633" i="2"/>
  <c r="R632" i="2"/>
  <c r="I632" i="2"/>
  <c r="G632" i="2"/>
  <c r="D632" i="2"/>
  <c r="B632" i="2"/>
  <c r="R631" i="2"/>
  <c r="I631" i="2"/>
  <c r="G631" i="2"/>
  <c r="D631" i="2"/>
  <c r="B631" i="2"/>
  <c r="R630" i="2"/>
  <c r="I630" i="2"/>
  <c r="G630" i="2"/>
  <c r="D630" i="2"/>
  <c r="B630" i="2"/>
  <c r="R629" i="2"/>
  <c r="I629" i="2"/>
  <c r="G629" i="2"/>
  <c r="D629" i="2"/>
  <c r="B629" i="2"/>
  <c r="R628" i="2"/>
  <c r="I628" i="2"/>
  <c r="G628" i="2"/>
  <c r="D628" i="2"/>
  <c r="B628" i="2"/>
  <c r="R627" i="2"/>
  <c r="I627" i="2"/>
  <c r="G627" i="2"/>
  <c r="D627" i="2"/>
  <c r="B627" i="2"/>
  <c r="R626" i="2"/>
  <c r="I626" i="2"/>
  <c r="G626" i="2"/>
  <c r="D626" i="2"/>
  <c r="B626" i="2"/>
  <c r="R625" i="2"/>
  <c r="I625" i="2"/>
  <c r="G625" i="2"/>
  <c r="D625" i="2"/>
  <c r="B625" i="2"/>
  <c r="R624" i="2"/>
  <c r="I624" i="2"/>
  <c r="G624" i="2"/>
  <c r="D624" i="2"/>
  <c r="B624" i="2"/>
  <c r="R623" i="2"/>
  <c r="I623" i="2"/>
  <c r="G623" i="2"/>
  <c r="D623" i="2"/>
  <c r="B623" i="2"/>
  <c r="R622" i="2"/>
  <c r="I622" i="2"/>
  <c r="G622" i="2"/>
  <c r="D622" i="2"/>
  <c r="B622" i="2"/>
  <c r="R621" i="2"/>
  <c r="I621" i="2"/>
  <c r="G621" i="2"/>
  <c r="D621" i="2"/>
  <c r="B621" i="2"/>
  <c r="R620" i="2"/>
  <c r="I620" i="2"/>
  <c r="G620" i="2"/>
  <c r="D620" i="2"/>
  <c r="B620" i="2"/>
  <c r="R619" i="2"/>
  <c r="I619" i="2"/>
  <c r="G619" i="2"/>
  <c r="D619" i="2"/>
  <c r="B619" i="2"/>
  <c r="R618" i="2"/>
  <c r="I618" i="2"/>
  <c r="G618" i="2"/>
  <c r="D618" i="2"/>
  <c r="B618" i="2"/>
  <c r="R617" i="2"/>
  <c r="I617" i="2"/>
  <c r="G617" i="2"/>
  <c r="D617" i="2"/>
  <c r="B617" i="2"/>
  <c r="R616" i="2"/>
  <c r="I616" i="2"/>
  <c r="G616" i="2"/>
  <c r="D616" i="2"/>
  <c r="B616" i="2"/>
  <c r="R615" i="2"/>
  <c r="I615" i="2"/>
  <c r="G615" i="2"/>
  <c r="D615" i="2"/>
  <c r="B615" i="2"/>
  <c r="R614" i="2"/>
  <c r="I614" i="2"/>
  <c r="G614" i="2"/>
  <c r="D614" i="2"/>
  <c r="B614" i="2"/>
  <c r="R613" i="2"/>
  <c r="I613" i="2"/>
  <c r="G613" i="2"/>
  <c r="D613" i="2"/>
  <c r="B613" i="2"/>
  <c r="R612" i="2"/>
  <c r="I612" i="2"/>
  <c r="G612" i="2"/>
  <c r="D612" i="2"/>
  <c r="B612" i="2"/>
  <c r="R611" i="2"/>
  <c r="I611" i="2"/>
  <c r="G611" i="2"/>
  <c r="D611" i="2"/>
  <c r="B611" i="2"/>
  <c r="R610" i="2"/>
  <c r="I610" i="2"/>
  <c r="G610" i="2"/>
  <c r="D610" i="2"/>
  <c r="B610" i="2"/>
  <c r="R609" i="2"/>
  <c r="I609" i="2"/>
  <c r="G609" i="2"/>
  <c r="D609" i="2"/>
  <c r="B609" i="2"/>
  <c r="R608" i="2"/>
  <c r="I608" i="2"/>
  <c r="G608" i="2"/>
  <c r="D608" i="2"/>
  <c r="B608" i="2"/>
  <c r="R607" i="2"/>
  <c r="I607" i="2"/>
  <c r="G607" i="2"/>
  <c r="D607" i="2"/>
  <c r="B607" i="2"/>
  <c r="R606" i="2"/>
  <c r="I606" i="2"/>
  <c r="G606" i="2"/>
  <c r="D606" i="2"/>
  <c r="B606" i="2"/>
  <c r="R605" i="2"/>
  <c r="I605" i="2"/>
  <c r="G605" i="2"/>
  <c r="D605" i="2"/>
  <c r="B605" i="2"/>
  <c r="R604" i="2"/>
  <c r="I604" i="2"/>
  <c r="G604" i="2"/>
  <c r="D604" i="2"/>
  <c r="B604" i="2"/>
  <c r="R603" i="2"/>
  <c r="I603" i="2"/>
  <c r="G603" i="2"/>
  <c r="D603" i="2"/>
  <c r="B603" i="2"/>
  <c r="R602" i="2"/>
  <c r="I602" i="2"/>
  <c r="G602" i="2"/>
  <c r="D602" i="2"/>
  <c r="B602" i="2"/>
  <c r="R601" i="2"/>
  <c r="I601" i="2"/>
  <c r="G601" i="2"/>
  <c r="D601" i="2"/>
  <c r="B601" i="2"/>
  <c r="R600" i="2"/>
  <c r="I600" i="2"/>
  <c r="G600" i="2"/>
  <c r="D600" i="2"/>
  <c r="B600" i="2"/>
  <c r="R599" i="2"/>
  <c r="I599" i="2"/>
  <c r="G599" i="2"/>
  <c r="D599" i="2"/>
  <c r="B599" i="2"/>
  <c r="R598" i="2"/>
  <c r="I598" i="2"/>
  <c r="G598" i="2"/>
  <c r="D598" i="2"/>
  <c r="B598" i="2"/>
  <c r="R597" i="2"/>
  <c r="I597" i="2"/>
  <c r="G597" i="2"/>
  <c r="D597" i="2"/>
  <c r="B597" i="2"/>
  <c r="R596" i="2"/>
  <c r="I596" i="2"/>
  <c r="G596" i="2"/>
  <c r="D596" i="2"/>
  <c r="B596" i="2"/>
  <c r="R595" i="2"/>
  <c r="I595" i="2"/>
  <c r="G595" i="2"/>
  <c r="D595" i="2"/>
  <c r="B595" i="2"/>
  <c r="R594" i="2"/>
  <c r="I594" i="2"/>
  <c r="G594" i="2"/>
  <c r="D594" i="2"/>
  <c r="B594" i="2"/>
  <c r="R593" i="2"/>
  <c r="I593" i="2"/>
  <c r="G593" i="2"/>
  <c r="D593" i="2"/>
  <c r="B593" i="2"/>
  <c r="R592" i="2"/>
  <c r="I592" i="2"/>
  <c r="G592" i="2"/>
  <c r="D592" i="2"/>
  <c r="B592" i="2"/>
  <c r="R591" i="2"/>
  <c r="I591" i="2"/>
  <c r="G591" i="2"/>
  <c r="D591" i="2"/>
  <c r="B591" i="2"/>
  <c r="R590" i="2"/>
  <c r="I590" i="2"/>
  <c r="G590" i="2"/>
  <c r="D590" i="2"/>
  <c r="B590" i="2"/>
  <c r="R589" i="2"/>
  <c r="I589" i="2"/>
  <c r="G589" i="2"/>
  <c r="D589" i="2"/>
  <c r="B589" i="2"/>
  <c r="R588" i="2"/>
  <c r="I588" i="2"/>
  <c r="G588" i="2"/>
  <c r="D588" i="2"/>
  <c r="B588" i="2"/>
  <c r="R587" i="2"/>
  <c r="I587" i="2"/>
  <c r="G587" i="2"/>
  <c r="D587" i="2"/>
  <c r="B587" i="2"/>
  <c r="R586" i="2"/>
  <c r="I586" i="2"/>
  <c r="G586" i="2"/>
  <c r="D586" i="2"/>
  <c r="B586" i="2"/>
  <c r="R585" i="2"/>
  <c r="I585" i="2"/>
  <c r="G585" i="2"/>
  <c r="D585" i="2"/>
  <c r="B585" i="2"/>
  <c r="R584" i="2"/>
  <c r="I584" i="2"/>
  <c r="G584" i="2"/>
  <c r="D584" i="2"/>
  <c r="B584" i="2"/>
  <c r="R583" i="2"/>
  <c r="I583" i="2"/>
  <c r="G583" i="2"/>
  <c r="D583" i="2"/>
  <c r="B583" i="2"/>
  <c r="R582" i="2"/>
  <c r="I582" i="2"/>
  <c r="G582" i="2"/>
  <c r="D582" i="2"/>
  <c r="B582" i="2"/>
  <c r="R581" i="2"/>
  <c r="I581" i="2"/>
  <c r="G581" i="2"/>
  <c r="D581" i="2"/>
  <c r="B581" i="2"/>
  <c r="R580" i="2"/>
  <c r="I580" i="2"/>
  <c r="G580" i="2"/>
  <c r="D580" i="2"/>
  <c r="B580" i="2"/>
  <c r="R579" i="2"/>
  <c r="I579" i="2"/>
  <c r="G579" i="2"/>
  <c r="D579" i="2"/>
  <c r="B579" i="2"/>
  <c r="R578" i="2"/>
  <c r="I578" i="2"/>
  <c r="G578" i="2"/>
  <c r="D578" i="2"/>
  <c r="B578" i="2"/>
  <c r="R577" i="2"/>
  <c r="I577" i="2"/>
  <c r="G577" i="2"/>
  <c r="D577" i="2"/>
  <c r="B577" i="2"/>
  <c r="R576" i="2"/>
  <c r="I576" i="2"/>
  <c r="G576" i="2"/>
  <c r="D576" i="2"/>
  <c r="B576" i="2"/>
  <c r="R575" i="2"/>
  <c r="I575" i="2"/>
  <c r="G575" i="2"/>
  <c r="D575" i="2"/>
  <c r="B575" i="2"/>
  <c r="R574" i="2"/>
  <c r="I574" i="2"/>
  <c r="G574" i="2"/>
  <c r="D574" i="2"/>
  <c r="B574" i="2"/>
  <c r="R573" i="2"/>
  <c r="I573" i="2"/>
  <c r="G573" i="2"/>
  <c r="D573" i="2"/>
  <c r="B573" i="2"/>
  <c r="R572" i="2"/>
  <c r="I572" i="2"/>
  <c r="G572" i="2"/>
  <c r="D572" i="2"/>
  <c r="B572" i="2"/>
  <c r="R571" i="2"/>
  <c r="I571" i="2"/>
  <c r="G571" i="2"/>
  <c r="D571" i="2"/>
  <c r="B571" i="2"/>
  <c r="R570" i="2"/>
  <c r="I570" i="2"/>
  <c r="G570" i="2"/>
  <c r="D570" i="2"/>
  <c r="B570" i="2"/>
  <c r="R569" i="2"/>
  <c r="I569" i="2"/>
  <c r="G569" i="2"/>
  <c r="D569" i="2"/>
  <c r="B569" i="2"/>
  <c r="R568" i="2"/>
  <c r="I568" i="2"/>
  <c r="G568" i="2"/>
  <c r="D568" i="2"/>
  <c r="B568" i="2"/>
  <c r="R567" i="2"/>
  <c r="I567" i="2"/>
  <c r="G567" i="2"/>
  <c r="D567" i="2"/>
  <c r="B567" i="2"/>
  <c r="R566" i="2"/>
  <c r="I566" i="2"/>
  <c r="G566" i="2"/>
  <c r="D566" i="2"/>
  <c r="B566" i="2"/>
  <c r="R565" i="2"/>
  <c r="I565" i="2"/>
  <c r="G565" i="2"/>
  <c r="D565" i="2"/>
  <c r="B565" i="2"/>
  <c r="R564" i="2"/>
  <c r="I564" i="2"/>
  <c r="G564" i="2"/>
  <c r="D564" i="2"/>
  <c r="B564" i="2"/>
  <c r="R563" i="2"/>
  <c r="I563" i="2"/>
  <c r="G563" i="2"/>
  <c r="D563" i="2"/>
  <c r="B563" i="2"/>
  <c r="R562" i="2"/>
  <c r="I562" i="2"/>
  <c r="G562" i="2"/>
  <c r="D562" i="2"/>
  <c r="B562" i="2"/>
  <c r="R561" i="2"/>
  <c r="I561" i="2"/>
  <c r="G561" i="2"/>
  <c r="D561" i="2"/>
  <c r="B561" i="2"/>
  <c r="R560" i="2"/>
  <c r="I560" i="2"/>
  <c r="G560" i="2"/>
  <c r="D560" i="2"/>
  <c r="B560" i="2"/>
  <c r="R559" i="2"/>
  <c r="I559" i="2"/>
  <c r="G559" i="2"/>
  <c r="D559" i="2"/>
  <c r="B559" i="2"/>
  <c r="R558" i="2"/>
  <c r="I558" i="2"/>
  <c r="G558" i="2"/>
  <c r="D558" i="2"/>
  <c r="B558" i="2"/>
  <c r="R557" i="2"/>
  <c r="I557" i="2"/>
  <c r="G557" i="2"/>
  <c r="D557" i="2"/>
  <c r="B557" i="2"/>
  <c r="R556" i="2"/>
  <c r="I556" i="2"/>
  <c r="G556" i="2"/>
  <c r="D556" i="2"/>
  <c r="B556" i="2"/>
  <c r="R555" i="2"/>
  <c r="I555" i="2"/>
  <c r="G555" i="2"/>
  <c r="D555" i="2"/>
  <c r="B555" i="2"/>
  <c r="R554" i="2"/>
  <c r="I554" i="2"/>
  <c r="G554" i="2"/>
  <c r="D554" i="2"/>
  <c r="B554" i="2"/>
  <c r="R553" i="2"/>
  <c r="I553" i="2"/>
  <c r="G553" i="2"/>
  <c r="D553" i="2"/>
  <c r="B553" i="2"/>
  <c r="R552" i="2"/>
  <c r="I552" i="2"/>
  <c r="G552" i="2"/>
  <c r="D552" i="2"/>
  <c r="B552" i="2"/>
  <c r="R551" i="2"/>
  <c r="I551" i="2"/>
  <c r="G551" i="2"/>
  <c r="D551" i="2"/>
  <c r="B551" i="2"/>
  <c r="R550" i="2"/>
  <c r="I550" i="2"/>
  <c r="G550" i="2"/>
  <c r="D550" i="2"/>
  <c r="B550" i="2"/>
  <c r="R549" i="2"/>
  <c r="I549" i="2"/>
  <c r="G549" i="2"/>
  <c r="D549" i="2"/>
  <c r="B549" i="2"/>
  <c r="R548" i="2"/>
  <c r="I548" i="2"/>
  <c r="G548" i="2"/>
  <c r="D548" i="2"/>
  <c r="B548" i="2"/>
  <c r="R547" i="2"/>
  <c r="I547" i="2"/>
  <c r="G547" i="2"/>
  <c r="D547" i="2"/>
  <c r="B547" i="2"/>
  <c r="R546" i="2"/>
  <c r="I546" i="2"/>
  <c r="G546" i="2"/>
  <c r="D546" i="2"/>
  <c r="B546" i="2"/>
  <c r="R545" i="2"/>
  <c r="I545" i="2"/>
  <c r="G545" i="2"/>
  <c r="D545" i="2"/>
  <c r="B545" i="2"/>
  <c r="R544" i="2"/>
  <c r="I544" i="2"/>
  <c r="G544" i="2"/>
  <c r="D544" i="2"/>
  <c r="B544" i="2"/>
  <c r="R543" i="2"/>
  <c r="I543" i="2"/>
  <c r="G543" i="2"/>
  <c r="D543" i="2"/>
  <c r="B543" i="2"/>
  <c r="R542" i="2"/>
  <c r="I542" i="2"/>
  <c r="G542" i="2"/>
  <c r="D542" i="2"/>
  <c r="B542" i="2"/>
  <c r="R541" i="2"/>
  <c r="I541" i="2"/>
  <c r="G541" i="2"/>
  <c r="D541" i="2"/>
  <c r="B541" i="2"/>
  <c r="R540" i="2"/>
  <c r="I540" i="2"/>
  <c r="G540" i="2"/>
  <c r="D540" i="2"/>
  <c r="B540" i="2"/>
  <c r="R539" i="2"/>
  <c r="I539" i="2"/>
  <c r="G539" i="2"/>
  <c r="D539" i="2"/>
  <c r="B539" i="2"/>
  <c r="R538" i="2"/>
  <c r="I538" i="2"/>
  <c r="G538" i="2"/>
  <c r="D538" i="2"/>
  <c r="B538" i="2"/>
  <c r="R537" i="2"/>
  <c r="I537" i="2"/>
  <c r="G537" i="2"/>
  <c r="D537" i="2"/>
  <c r="B537" i="2"/>
  <c r="R536" i="2"/>
  <c r="I536" i="2"/>
  <c r="G536" i="2"/>
  <c r="D536" i="2"/>
  <c r="B536" i="2"/>
  <c r="R535" i="2"/>
  <c r="I535" i="2"/>
  <c r="G535" i="2"/>
  <c r="D535" i="2"/>
  <c r="B535" i="2"/>
  <c r="R534" i="2"/>
  <c r="I534" i="2"/>
  <c r="G534" i="2"/>
  <c r="D534" i="2"/>
  <c r="B534" i="2"/>
  <c r="R533" i="2"/>
  <c r="I533" i="2"/>
  <c r="G533" i="2"/>
  <c r="D533" i="2"/>
  <c r="B533" i="2"/>
  <c r="R532" i="2"/>
  <c r="I532" i="2"/>
  <c r="G532" i="2"/>
  <c r="D532" i="2"/>
  <c r="B532" i="2"/>
  <c r="R531" i="2"/>
  <c r="I531" i="2"/>
  <c r="G531" i="2"/>
  <c r="D531" i="2"/>
  <c r="B531" i="2"/>
  <c r="R530" i="2"/>
  <c r="I530" i="2"/>
  <c r="G530" i="2"/>
  <c r="D530" i="2"/>
  <c r="B530" i="2"/>
  <c r="R529" i="2"/>
  <c r="I529" i="2"/>
  <c r="G529" i="2"/>
  <c r="D529" i="2"/>
  <c r="B529" i="2"/>
  <c r="R528" i="2"/>
  <c r="I528" i="2"/>
  <c r="G528" i="2"/>
  <c r="D528" i="2"/>
  <c r="B528" i="2"/>
  <c r="R527" i="2"/>
  <c r="I527" i="2"/>
  <c r="G527" i="2"/>
  <c r="D527" i="2"/>
  <c r="B527" i="2"/>
  <c r="R526" i="2"/>
  <c r="I526" i="2"/>
  <c r="G526" i="2"/>
  <c r="D526" i="2"/>
  <c r="B526" i="2"/>
  <c r="R525" i="2"/>
  <c r="I525" i="2"/>
  <c r="G525" i="2"/>
  <c r="D525" i="2"/>
  <c r="B525" i="2"/>
  <c r="R524" i="2"/>
  <c r="I524" i="2"/>
  <c r="G524" i="2"/>
  <c r="D524" i="2"/>
  <c r="B524" i="2"/>
  <c r="R523" i="2"/>
  <c r="I523" i="2"/>
  <c r="G523" i="2"/>
  <c r="D523" i="2"/>
  <c r="B523" i="2"/>
  <c r="R522" i="2"/>
  <c r="I522" i="2"/>
  <c r="G522" i="2"/>
  <c r="D522" i="2"/>
  <c r="B522" i="2"/>
  <c r="R521" i="2"/>
  <c r="I521" i="2"/>
  <c r="G521" i="2"/>
  <c r="D521" i="2"/>
  <c r="B521" i="2"/>
  <c r="R520" i="2"/>
  <c r="I520" i="2"/>
  <c r="G520" i="2"/>
  <c r="D520" i="2"/>
  <c r="B520" i="2"/>
  <c r="R519" i="2"/>
  <c r="I519" i="2"/>
  <c r="G519" i="2"/>
  <c r="D519" i="2"/>
  <c r="B519" i="2"/>
  <c r="R518" i="2"/>
  <c r="I518" i="2"/>
  <c r="G518" i="2"/>
  <c r="D518" i="2"/>
  <c r="B518" i="2"/>
  <c r="R517" i="2"/>
  <c r="I517" i="2"/>
  <c r="G517" i="2"/>
  <c r="D517" i="2"/>
  <c r="B517" i="2"/>
  <c r="R516" i="2"/>
  <c r="I516" i="2"/>
  <c r="G516" i="2"/>
  <c r="D516" i="2"/>
  <c r="B516" i="2"/>
  <c r="R515" i="2"/>
  <c r="I515" i="2"/>
  <c r="G515" i="2"/>
  <c r="D515" i="2"/>
  <c r="B515" i="2"/>
  <c r="R514" i="2"/>
  <c r="I514" i="2"/>
  <c r="G514" i="2"/>
  <c r="D514" i="2"/>
  <c r="B514" i="2"/>
  <c r="R513" i="2"/>
  <c r="I513" i="2"/>
  <c r="G513" i="2"/>
  <c r="D513" i="2"/>
  <c r="B513" i="2"/>
  <c r="R512" i="2"/>
  <c r="I512" i="2"/>
  <c r="G512" i="2"/>
  <c r="D512" i="2"/>
  <c r="B512" i="2"/>
  <c r="R511" i="2"/>
  <c r="I511" i="2"/>
  <c r="G511" i="2"/>
  <c r="D511" i="2"/>
  <c r="B511" i="2"/>
  <c r="R510" i="2"/>
  <c r="I510" i="2"/>
  <c r="G510" i="2"/>
  <c r="D510" i="2"/>
  <c r="B510" i="2"/>
  <c r="R509" i="2"/>
  <c r="I509" i="2"/>
  <c r="G509" i="2"/>
  <c r="D509" i="2"/>
  <c r="B509" i="2"/>
  <c r="R508" i="2"/>
  <c r="I508" i="2"/>
  <c r="G508" i="2"/>
  <c r="D508" i="2"/>
  <c r="B508" i="2"/>
  <c r="R507" i="2"/>
  <c r="I507" i="2"/>
  <c r="G507" i="2"/>
  <c r="D507" i="2"/>
  <c r="B507" i="2"/>
  <c r="R506" i="2"/>
  <c r="I506" i="2"/>
  <c r="G506" i="2"/>
  <c r="D506" i="2"/>
  <c r="B506" i="2"/>
  <c r="R505" i="2"/>
  <c r="I505" i="2"/>
  <c r="G505" i="2"/>
  <c r="D505" i="2"/>
  <c r="B505" i="2"/>
  <c r="R504" i="2"/>
  <c r="I504" i="2"/>
  <c r="G504" i="2"/>
  <c r="D504" i="2"/>
  <c r="B504" i="2"/>
  <c r="R503" i="2"/>
  <c r="I503" i="2"/>
  <c r="G503" i="2"/>
  <c r="D503" i="2"/>
  <c r="B503" i="2"/>
  <c r="R502" i="2"/>
  <c r="I502" i="2"/>
  <c r="G502" i="2"/>
  <c r="D502" i="2"/>
  <c r="B502" i="2"/>
  <c r="R501" i="2"/>
  <c r="I501" i="2"/>
  <c r="G501" i="2"/>
  <c r="D501" i="2"/>
  <c r="B501" i="2"/>
  <c r="R500" i="2"/>
  <c r="I500" i="2"/>
  <c r="G500" i="2"/>
  <c r="D500" i="2"/>
  <c r="B500" i="2"/>
  <c r="R499" i="2"/>
  <c r="I499" i="2"/>
  <c r="G499" i="2"/>
  <c r="D499" i="2"/>
  <c r="B499" i="2"/>
  <c r="R498" i="2"/>
  <c r="I498" i="2"/>
  <c r="G498" i="2"/>
  <c r="D498" i="2"/>
  <c r="B498" i="2"/>
  <c r="R497" i="2"/>
  <c r="I497" i="2"/>
  <c r="G497" i="2"/>
  <c r="D497" i="2"/>
  <c r="B497" i="2"/>
  <c r="R496" i="2"/>
  <c r="I496" i="2"/>
  <c r="G496" i="2"/>
  <c r="D496" i="2"/>
  <c r="B496" i="2"/>
  <c r="R495" i="2"/>
  <c r="I495" i="2"/>
  <c r="G495" i="2"/>
  <c r="D495" i="2"/>
  <c r="B495" i="2"/>
  <c r="R494" i="2"/>
  <c r="I494" i="2"/>
  <c r="G494" i="2"/>
  <c r="D494" i="2"/>
  <c r="B494" i="2"/>
  <c r="R493" i="2"/>
  <c r="I493" i="2"/>
  <c r="G493" i="2"/>
  <c r="D493" i="2"/>
  <c r="B493" i="2"/>
  <c r="R492" i="2"/>
  <c r="I492" i="2"/>
  <c r="G492" i="2"/>
  <c r="D492" i="2"/>
  <c r="B492" i="2"/>
  <c r="R491" i="2"/>
  <c r="I491" i="2"/>
  <c r="G491" i="2"/>
  <c r="D491" i="2"/>
  <c r="B491" i="2"/>
  <c r="R490" i="2"/>
  <c r="I490" i="2"/>
  <c r="G490" i="2"/>
  <c r="D490" i="2"/>
  <c r="B490" i="2"/>
  <c r="R489" i="2"/>
  <c r="I489" i="2"/>
  <c r="G489" i="2"/>
  <c r="D489" i="2"/>
  <c r="B489" i="2"/>
  <c r="R488" i="2"/>
  <c r="I488" i="2"/>
  <c r="G488" i="2"/>
  <c r="D488" i="2"/>
  <c r="B488" i="2"/>
  <c r="R487" i="2"/>
  <c r="I487" i="2"/>
  <c r="G487" i="2"/>
  <c r="D487" i="2"/>
  <c r="B487" i="2"/>
  <c r="R486" i="2"/>
  <c r="I486" i="2"/>
  <c r="G486" i="2"/>
  <c r="D486" i="2"/>
  <c r="B486" i="2"/>
  <c r="R485" i="2"/>
  <c r="I485" i="2"/>
  <c r="G485" i="2"/>
  <c r="D485" i="2"/>
  <c r="B485" i="2"/>
  <c r="R484" i="2"/>
  <c r="I484" i="2"/>
  <c r="G484" i="2"/>
  <c r="D484" i="2"/>
  <c r="B484" i="2"/>
  <c r="R483" i="2"/>
  <c r="I483" i="2"/>
  <c r="G483" i="2"/>
  <c r="D483" i="2"/>
  <c r="B483" i="2"/>
  <c r="R482" i="2"/>
  <c r="I482" i="2"/>
  <c r="G482" i="2"/>
  <c r="D482" i="2"/>
  <c r="B482" i="2"/>
  <c r="R481" i="2"/>
  <c r="I481" i="2"/>
  <c r="G481" i="2"/>
  <c r="D481" i="2"/>
  <c r="B481" i="2"/>
  <c r="R480" i="2"/>
  <c r="I480" i="2"/>
  <c r="G480" i="2"/>
  <c r="D480" i="2"/>
  <c r="B480" i="2"/>
  <c r="R479" i="2"/>
  <c r="I479" i="2"/>
  <c r="G479" i="2"/>
  <c r="D479" i="2"/>
  <c r="B479" i="2"/>
  <c r="R478" i="2"/>
  <c r="I478" i="2"/>
  <c r="G478" i="2"/>
  <c r="D478" i="2"/>
  <c r="B478" i="2"/>
  <c r="R477" i="2"/>
  <c r="I477" i="2"/>
  <c r="G477" i="2"/>
  <c r="D477" i="2"/>
  <c r="B477" i="2"/>
  <c r="R476" i="2"/>
  <c r="I476" i="2"/>
  <c r="G476" i="2"/>
  <c r="D476" i="2"/>
  <c r="B476" i="2"/>
  <c r="R475" i="2"/>
  <c r="I475" i="2"/>
  <c r="G475" i="2"/>
  <c r="D475" i="2"/>
  <c r="B475" i="2"/>
  <c r="R474" i="2"/>
  <c r="I474" i="2"/>
  <c r="G474" i="2"/>
  <c r="D474" i="2"/>
  <c r="B474" i="2"/>
  <c r="R473" i="2"/>
  <c r="I473" i="2"/>
  <c r="G473" i="2"/>
  <c r="D473" i="2"/>
  <c r="B473" i="2"/>
  <c r="R472" i="2"/>
  <c r="I472" i="2"/>
  <c r="G472" i="2"/>
  <c r="D472" i="2"/>
  <c r="B472" i="2"/>
  <c r="R471" i="2"/>
  <c r="I471" i="2"/>
  <c r="G471" i="2"/>
  <c r="D471" i="2"/>
  <c r="B471" i="2"/>
  <c r="R470" i="2"/>
  <c r="I470" i="2"/>
  <c r="G470" i="2"/>
  <c r="D470" i="2"/>
  <c r="B470" i="2"/>
  <c r="R469" i="2"/>
  <c r="I469" i="2"/>
  <c r="G469" i="2"/>
  <c r="D469" i="2"/>
  <c r="B469" i="2"/>
  <c r="R468" i="2"/>
  <c r="I468" i="2"/>
  <c r="G468" i="2"/>
  <c r="D468" i="2"/>
  <c r="B468" i="2"/>
  <c r="R467" i="2"/>
  <c r="I467" i="2"/>
  <c r="G467" i="2"/>
  <c r="D467" i="2"/>
  <c r="B467" i="2"/>
  <c r="R466" i="2"/>
  <c r="I466" i="2"/>
  <c r="G466" i="2"/>
  <c r="D466" i="2"/>
  <c r="B466" i="2"/>
  <c r="R465" i="2"/>
  <c r="I465" i="2"/>
  <c r="G465" i="2"/>
  <c r="D465" i="2"/>
  <c r="B465" i="2"/>
  <c r="R464" i="2"/>
  <c r="I464" i="2"/>
  <c r="G464" i="2"/>
  <c r="D464" i="2"/>
  <c r="B464" i="2"/>
  <c r="R463" i="2"/>
  <c r="I463" i="2"/>
  <c r="G463" i="2"/>
  <c r="D463" i="2"/>
  <c r="B463" i="2"/>
  <c r="R462" i="2"/>
  <c r="I462" i="2"/>
  <c r="G462" i="2"/>
  <c r="D462" i="2"/>
  <c r="B462" i="2"/>
  <c r="R461" i="2"/>
  <c r="I461" i="2"/>
  <c r="G461" i="2"/>
  <c r="D461" i="2"/>
  <c r="B461" i="2"/>
  <c r="R460" i="2"/>
  <c r="I460" i="2"/>
  <c r="G460" i="2"/>
  <c r="D460" i="2"/>
  <c r="B460" i="2"/>
  <c r="R459" i="2"/>
  <c r="I459" i="2"/>
  <c r="G459" i="2"/>
  <c r="D459" i="2"/>
  <c r="B459" i="2"/>
  <c r="R458" i="2"/>
  <c r="I458" i="2"/>
  <c r="G458" i="2"/>
  <c r="D458" i="2"/>
  <c r="B458" i="2"/>
  <c r="R457" i="2"/>
  <c r="I457" i="2"/>
  <c r="G457" i="2"/>
  <c r="D457" i="2"/>
  <c r="B457" i="2"/>
  <c r="R456" i="2"/>
  <c r="I456" i="2"/>
  <c r="G456" i="2"/>
  <c r="D456" i="2"/>
  <c r="B456" i="2"/>
  <c r="R455" i="2"/>
  <c r="I455" i="2"/>
  <c r="G455" i="2"/>
  <c r="D455" i="2"/>
  <c r="B455" i="2"/>
  <c r="R454" i="2"/>
  <c r="I454" i="2"/>
  <c r="G454" i="2"/>
  <c r="D454" i="2"/>
  <c r="B454" i="2"/>
  <c r="R453" i="2"/>
  <c r="I453" i="2"/>
  <c r="G453" i="2"/>
  <c r="D453" i="2"/>
  <c r="B453" i="2"/>
  <c r="R452" i="2"/>
  <c r="I452" i="2"/>
  <c r="G452" i="2"/>
  <c r="D452" i="2"/>
  <c r="B452" i="2"/>
  <c r="R451" i="2"/>
  <c r="I451" i="2"/>
  <c r="G451" i="2"/>
  <c r="D451" i="2"/>
  <c r="B451" i="2"/>
  <c r="R450" i="2"/>
  <c r="I450" i="2"/>
  <c r="G450" i="2"/>
  <c r="D450" i="2"/>
  <c r="B450" i="2"/>
  <c r="R449" i="2"/>
  <c r="I449" i="2"/>
  <c r="G449" i="2"/>
  <c r="D449" i="2"/>
  <c r="B449" i="2"/>
  <c r="R448" i="2"/>
  <c r="I448" i="2"/>
  <c r="G448" i="2"/>
  <c r="D448" i="2"/>
  <c r="B448" i="2"/>
  <c r="R447" i="2"/>
  <c r="I447" i="2"/>
  <c r="G447" i="2"/>
  <c r="D447" i="2"/>
  <c r="B447" i="2"/>
  <c r="R446" i="2"/>
  <c r="I446" i="2"/>
  <c r="G446" i="2"/>
  <c r="D446" i="2"/>
  <c r="B446" i="2"/>
  <c r="R445" i="2"/>
  <c r="I445" i="2"/>
  <c r="G445" i="2"/>
  <c r="D445" i="2"/>
  <c r="B445" i="2"/>
  <c r="R444" i="2"/>
  <c r="I444" i="2"/>
  <c r="G444" i="2"/>
  <c r="D444" i="2"/>
  <c r="B444" i="2"/>
  <c r="R443" i="2"/>
  <c r="I443" i="2"/>
  <c r="G443" i="2"/>
  <c r="D443" i="2"/>
  <c r="B443" i="2"/>
  <c r="R442" i="2"/>
  <c r="I442" i="2"/>
  <c r="G442" i="2"/>
  <c r="D442" i="2"/>
  <c r="B442" i="2"/>
  <c r="R441" i="2"/>
  <c r="I441" i="2"/>
  <c r="G441" i="2"/>
  <c r="D441" i="2"/>
  <c r="B441" i="2"/>
  <c r="R440" i="2"/>
  <c r="I440" i="2"/>
  <c r="G440" i="2"/>
  <c r="D440" i="2"/>
  <c r="B440" i="2"/>
  <c r="R439" i="2"/>
  <c r="I439" i="2"/>
  <c r="G439" i="2"/>
  <c r="D439" i="2"/>
  <c r="B439" i="2"/>
  <c r="R438" i="2"/>
  <c r="I438" i="2"/>
  <c r="G438" i="2"/>
  <c r="D438" i="2"/>
  <c r="B438" i="2"/>
  <c r="R437" i="2"/>
  <c r="I437" i="2"/>
  <c r="G437" i="2"/>
  <c r="D437" i="2"/>
  <c r="B437" i="2"/>
  <c r="R436" i="2"/>
  <c r="I436" i="2"/>
  <c r="G436" i="2"/>
  <c r="D436" i="2"/>
  <c r="B436" i="2"/>
  <c r="R435" i="2"/>
  <c r="I435" i="2"/>
  <c r="G435" i="2"/>
  <c r="D435" i="2"/>
  <c r="B435" i="2"/>
  <c r="R434" i="2"/>
  <c r="I434" i="2"/>
  <c r="G434" i="2"/>
  <c r="D434" i="2"/>
  <c r="B434" i="2"/>
  <c r="R433" i="2"/>
  <c r="I433" i="2"/>
  <c r="G433" i="2"/>
  <c r="D433" i="2"/>
  <c r="B433" i="2"/>
  <c r="R432" i="2"/>
  <c r="I432" i="2"/>
  <c r="G432" i="2"/>
  <c r="D432" i="2"/>
  <c r="B432" i="2"/>
  <c r="R431" i="2"/>
  <c r="I431" i="2"/>
  <c r="G431" i="2"/>
  <c r="D431" i="2"/>
  <c r="B431" i="2"/>
  <c r="R430" i="2"/>
  <c r="I430" i="2"/>
  <c r="G430" i="2"/>
  <c r="D430" i="2"/>
  <c r="B430" i="2"/>
  <c r="R429" i="2"/>
  <c r="I429" i="2"/>
  <c r="G429" i="2"/>
  <c r="D429" i="2"/>
  <c r="B429" i="2"/>
  <c r="R428" i="2"/>
  <c r="I428" i="2"/>
  <c r="G428" i="2"/>
  <c r="D428" i="2"/>
  <c r="B428" i="2"/>
  <c r="R427" i="2"/>
  <c r="I427" i="2"/>
  <c r="G427" i="2"/>
  <c r="D427" i="2"/>
  <c r="B427" i="2"/>
  <c r="R426" i="2"/>
  <c r="I426" i="2"/>
  <c r="G426" i="2"/>
  <c r="D426" i="2"/>
  <c r="B426" i="2"/>
  <c r="R425" i="2"/>
  <c r="I425" i="2"/>
  <c r="G425" i="2"/>
  <c r="D425" i="2"/>
  <c r="B425" i="2"/>
  <c r="R424" i="2"/>
  <c r="I424" i="2"/>
  <c r="G424" i="2"/>
  <c r="D424" i="2"/>
  <c r="B424" i="2"/>
  <c r="R423" i="2"/>
  <c r="I423" i="2"/>
  <c r="G423" i="2"/>
  <c r="D423" i="2"/>
  <c r="B423" i="2"/>
  <c r="R422" i="2"/>
  <c r="I422" i="2"/>
  <c r="G422" i="2"/>
  <c r="D422" i="2"/>
  <c r="B422" i="2"/>
  <c r="R421" i="2"/>
  <c r="I421" i="2"/>
  <c r="G421" i="2"/>
  <c r="D421" i="2"/>
  <c r="B421" i="2"/>
  <c r="R420" i="2"/>
  <c r="I420" i="2"/>
  <c r="G420" i="2"/>
  <c r="D420" i="2"/>
  <c r="B420" i="2"/>
  <c r="R419" i="2"/>
  <c r="I419" i="2"/>
  <c r="G419" i="2"/>
  <c r="D419" i="2"/>
  <c r="B419" i="2"/>
  <c r="R418" i="2"/>
  <c r="I418" i="2"/>
  <c r="G418" i="2"/>
  <c r="D418" i="2"/>
  <c r="B418" i="2"/>
  <c r="R417" i="2"/>
  <c r="I417" i="2"/>
  <c r="G417" i="2"/>
  <c r="D417" i="2"/>
  <c r="B417" i="2"/>
  <c r="R416" i="2"/>
  <c r="I416" i="2"/>
  <c r="G416" i="2"/>
  <c r="D416" i="2"/>
  <c r="B416" i="2"/>
  <c r="R415" i="2"/>
  <c r="I415" i="2"/>
  <c r="G415" i="2"/>
  <c r="D415" i="2"/>
  <c r="B415" i="2"/>
  <c r="R414" i="2"/>
  <c r="I414" i="2"/>
  <c r="G414" i="2"/>
  <c r="D414" i="2"/>
  <c r="B414" i="2"/>
  <c r="R413" i="2"/>
  <c r="I413" i="2"/>
  <c r="G413" i="2"/>
  <c r="D413" i="2"/>
  <c r="B413" i="2"/>
  <c r="R412" i="2"/>
  <c r="I412" i="2"/>
  <c r="G412" i="2"/>
  <c r="D412" i="2"/>
  <c r="B412" i="2"/>
  <c r="R411" i="2"/>
  <c r="I411" i="2"/>
  <c r="G411" i="2"/>
  <c r="D411" i="2"/>
  <c r="B411" i="2"/>
  <c r="R410" i="2"/>
  <c r="I410" i="2"/>
  <c r="G410" i="2"/>
  <c r="D410" i="2"/>
  <c r="B410" i="2"/>
  <c r="R409" i="2"/>
  <c r="I409" i="2"/>
  <c r="G409" i="2"/>
  <c r="D409" i="2"/>
  <c r="B409" i="2"/>
  <c r="R408" i="2"/>
  <c r="I408" i="2"/>
  <c r="G408" i="2"/>
  <c r="D408" i="2"/>
  <c r="B408" i="2"/>
  <c r="R407" i="2"/>
  <c r="I407" i="2"/>
  <c r="G407" i="2"/>
  <c r="D407" i="2"/>
  <c r="B407" i="2"/>
  <c r="R406" i="2"/>
  <c r="I406" i="2"/>
  <c r="G406" i="2"/>
  <c r="D406" i="2"/>
  <c r="B406" i="2"/>
  <c r="R405" i="2"/>
  <c r="I405" i="2"/>
  <c r="G405" i="2"/>
  <c r="D405" i="2"/>
  <c r="B405" i="2"/>
  <c r="R404" i="2"/>
  <c r="I404" i="2"/>
  <c r="G404" i="2"/>
  <c r="D404" i="2"/>
  <c r="B404" i="2"/>
  <c r="R403" i="2"/>
  <c r="I403" i="2"/>
  <c r="G403" i="2"/>
  <c r="D403" i="2"/>
  <c r="B403" i="2"/>
  <c r="R402" i="2"/>
  <c r="I402" i="2"/>
  <c r="G402" i="2"/>
  <c r="D402" i="2"/>
  <c r="B402" i="2"/>
  <c r="R401" i="2"/>
  <c r="I401" i="2"/>
  <c r="G401" i="2"/>
  <c r="D401" i="2"/>
  <c r="B401" i="2"/>
  <c r="R400" i="2"/>
  <c r="I400" i="2"/>
  <c r="G400" i="2"/>
  <c r="D400" i="2"/>
  <c r="B400" i="2"/>
  <c r="R399" i="2"/>
  <c r="I399" i="2"/>
  <c r="G399" i="2"/>
  <c r="D399" i="2"/>
  <c r="B399" i="2"/>
  <c r="R398" i="2"/>
  <c r="I398" i="2"/>
  <c r="G398" i="2"/>
  <c r="D398" i="2"/>
  <c r="B398" i="2"/>
  <c r="R397" i="2"/>
  <c r="I397" i="2"/>
  <c r="G397" i="2"/>
  <c r="D397" i="2"/>
  <c r="B397" i="2"/>
  <c r="R396" i="2"/>
  <c r="I396" i="2"/>
  <c r="G396" i="2"/>
  <c r="D396" i="2"/>
  <c r="B396" i="2"/>
  <c r="R395" i="2"/>
  <c r="I395" i="2"/>
  <c r="G395" i="2"/>
  <c r="D395" i="2"/>
  <c r="B395" i="2"/>
  <c r="R394" i="2"/>
  <c r="I394" i="2"/>
  <c r="G394" i="2"/>
  <c r="D394" i="2"/>
  <c r="B394" i="2"/>
  <c r="R393" i="2"/>
  <c r="I393" i="2"/>
  <c r="G393" i="2"/>
  <c r="D393" i="2"/>
  <c r="B393" i="2"/>
  <c r="R392" i="2"/>
  <c r="I392" i="2"/>
  <c r="G392" i="2"/>
  <c r="D392" i="2"/>
  <c r="B392" i="2"/>
  <c r="R391" i="2"/>
  <c r="I391" i="2"/>
  <c r="G391" i="2"/>
  <c r="D391" i="2"/>
  <c r="B391" i="2"/>
  <c r="R390" i="2"/>
  <c r="I390" i="2"/>
  <c r="G390" i="2"/>
  <c r="D390" i="2"/>
  <c r="B390" i="2"/>
  <c r="R389" i="2"/>
  <c r="I389" i="2"/>
  <c r="G389" i="2"/>
  <c r="D389" i="2"/>
  <c r="B389" i="2"/>
  <c r="R388" i="2"/>
  <c r="I388" i="2"/>
  <c r="G388" i="2"/>
  <c r="D388" i="2"/>
  <c r="B388" i="2"/>
  <c r="R387" i="2"/>
  <c r="I387" i="2"/>
  <c r="G387" i="2"/>
  <c r="D387" i="2"/>
  <c r="B387" i="2"/>
  <c r="R386" i="2"/>
  <c r="I386" i="2"/>
  <c r="G386" i="2"/>
  <c r="D386" i="2"/>
  <c r="B386" i="2"/>
  <c r="R385" i="2"/>
  <c r="I385" i="2"/>
  <c r="G385" i="2"/>
  <c r="D385" i="2"/>
  <c r="B385" i="2"/>
  <c r="R384" i="2"/>
  <c r="I384" i="2"/>
  <c r="G384" i="2"/>
  <c r="D384" i="2"/>
  <c r="B384" i="2"/>
  <c r="R383" i="2"/>
  <c r="I383" i="2"/>
  <c r="G383" i="2"/>
  <c r="D383" i="2"/>
  <c r="B383" i="2"/>
  <c r="R382" i="2"/>
  <c r="I382" i="2"/>
  <c r="G382" i="2"/>
  <c r="D382" i="2"/>
  <c r="B382" i="2"/>
  <c r="R381" i="2"/>
  <c r="I381" i="2"/>
  <c r="G381" i="2"/>
  <c r="D381" i="2"/>
  <c r="B381" i="2"/>
  <c r="R380" i="2"/>
  <c r="I380" i="2"/>
  <c r="G380" i="2"/>
  <c r="D380" i="2"/>
  <c r="B380" i="2"/>
  <c r="R379" i="2"/>
  <c r="I379" i="2"/>
  <c r="G379" i="2"/>
  <c r="D379" i="2"/>
  <c r="B379" i="2"/>
  <c r="R378" i="2"/>
  <c r="I378" i="2"/>
  <c r="G378" i="2"/>
  <c r="D378" i="2"/>
  <c r="B378" i="2"/>
  <c r="R377" i="2"/>
  <c r="I377" i="2"/>
  <c r="G377" i="2"/>
  <c r="D377" i="2"/>
  <c r="B377" i="2"/>
  <c r="R376" i="2"/>
  <c r="I376" i="2"/>
  <c r="G376" i="2"/>
  <c r="D376" i="2"/>
  <c r="B376" i="2"/>
  <c r="R375" i="2"/>
  <c r="I375" i="2"/>
  <c r="G375" i="2"/>
  <c r="D375" i="2"/>
  <c r="B375" i="2"/>
  <c r="R374" i="2"/>
  <c r="I374" i="2"/>
  <c r="G374" i="2"/>
  <c r="D374" i="2"/>
  <c r="B374" i="2"/>
  <c r="R373" i="2"/>
  <c r="I373" i="2"/>
  <c r="G373" i="2"/>
  <c r="D373" i="2"/>
  <c r="B373" i="2"/>
  <c r="R372" i="2"/>
  <c r="I372" i="2"/>
  <c r="G372" i="2"/>
  <c r="D372" i="2"/>
  <c r="B372" i="2"/>
  <c r="R371" i="2"/>
  <c r="I371" i="2"/>
  <c r="G371" i="2"/>
  <c r="D371" i="2"/>
  <c r="B371" i="2"/>
  <c r="R370" i="2"/>
  <c r="I370" i="2"/>
  <c r="G370" i="2"/>
  <c r="D370" i="2"/>
  <c r="B370" i="2"/>
  <c r="R369" i="2"/>
  <c r="I369" i="2"/>
  <c r="G369" i="2"/>
  <c r="D369" i="2"/>
  <c r="B369" i="2"/>
  <c r="R368" i="2"/>
  <c r="I368" i="2"/>
  <c r="G368" i="2"/>
  <c r="D368" i="2"/>
  <c r="B368" i="2"/>
  <c r="R367" i="2"/>
  <c r="I367" i="2"/>
  <c r="G367" i="2"/>
  <c r="D367" i="2"/>
  <c r="B367" i="2"/>
  <c r="R366" i="2"/>
  <c r="I366" i="2"/>
  <c r="G366" i="2"/>
  <c r="D366" i="2"/>
  <c r="B366" i="2"/>
  <c r="R365" i="2"/>
  <c r="I365" i="2"/>
  <c r="G365" i="2"/>
  <c r="D365" i="2"/>
  <c r="B365" i="2"/>
  <c r="R364" i="2"/>
  <c r="I364" i="2"/>
  <c r="G364" i="2"/>
  <c r="D364" i="2"/>
  <c r="B364" i="2"/>
  <c r="R363" i="2"/>
  <c r="I363" i="2"/>
  <c r="G363" i="2"/>
  <c r="D363" i="2"/>
  <c r="B363" i="2"/>
  <c r="R362" i="2"/>
  <c r="I362" i="2"/>
  <c r="G362" i="2"/>
  <c r="D362" i="2"/>
  <c r="B362" i="2"/>
  <c r="R361" i="2"/>
  <c r="I361" i="2"/>
  <c r="G361" i="2"/>
  <c r="D361" i="2"/>
  <c r="B361" i="2"/>
  <c r="R360" i="2"/>
  <c r="I360" i="2"/>
  <c r="G360" i="2"/>
  <c r="D360" i="2"/>
  <c r="B360" i="2"/>
  <c r="R359" i="2"/>
  <c r="I359" i="2"/>
  <c r="G359" i="2"/>
  <c r="D359" i="2"/>
  <c r="B359" i="2"/>
  <c r="R358" i="2"/>
  <c r="I358" i="2"/>
  <c r="G358" i="2"/>
  <c r="D358" i="2"/>
  <c r="B358" i="2"/>
  <c r="R357" i="2"/>
  <c r="I357" i="2"/>
  <c r="G357" i="2"/>
  <c r="D357" i="2"/>
  <c r="B357" i="2"/>
  <c r="R356" i="2"/>
  <c r="I356" i="2"/>
  <c r="G356" i="2"/>
  <c r="D356" i="2"/>
  <c r="B356" i="2"/>
  <c r="R355" i="2"/>
  <c r="I355" i="2"/>
  <c r="G355" i="2"/>
  <c r="D355" i="2"/>
  <c r="B355" i="2"/>
  <c r="R354" i="2"/>
  <c r="I354" i="2"/>
  <c r="G354" i="2"/>
  <c r="D354" i="2"/>
  <c r="B354" i="2"/>
  <c r="R353" i="2"/>
  <c r="I353" i="2"/>
  <c r="G353" i="2"/>
  <c r="D353" i="2"/>
  <c r="B353" i="2"/>
  <c r="R352" i="2"/>
  <c r="I352" i="2"/>
  <c r="G352" i="2"/>
  <c r="D352" i="2"/>
  <c r="B352" i="2"/>
  <c r="R351" i="2"/>
  <c r="I351" i="2"/>
  <c r="G351" i="2"/>
  <c r="D351" i="2"/>
  <c r="B351" i="2"/>
  <c r="R350" i="2"/>
  <c r="I350" i="2"/>
  <c r="G350" i="2"/>
  <c r="D350" i="2"/>
  <c r="B350" i="2"/>
  <c r="R349" i="2"/>
  <c r="I349" i="2"/>
  <c r="G349" i="2"/>
  <c r="D349" i="2"/>
  <c r="B349" i="2"/>
  <c r="R348" i="2"/>
  <c r="I348" i="2"/>
  <c r="G348" i="2"/>
  <c r="D348" i="2"/>
  <c r="B348" i="2"/>
  <c r="R347" i="2"/>
  <c r="I347" i="2"/>
  <c r="G347" i="2"/>
  <c r="D347" i="2"/>
  <c r="B347" i="2"/>
  <c r="R346" i="2"/>
  <c r="I346" i="2"/>
  <c r="G346" i="2"/>
  <c r="D346" i="2"/>
  <c r="B346" i="2"/>
  <c r="R345" i="2"/>
  <c r="I345" i="2"/>
  <c r="G345" i="2"/>
  <c r="D345" i="2"/>
  <c r="B345" i="2"/>
  <c r="R344" i="2"/>
  <c r="I344" i="2"/>
  <c r="G344" i="2"/>
  <c r="D344" i="2"/>
  <c r="B344" i="2"/>
  <c r="R343" i="2"/>
  <c r="I343" i="2"/>
  <c r="G343" i="2"/>
  <c r="D343" i="2"/>
  <c r="B343" i="2"/>
  <c r="R342" i="2"/>
  <c r="I342" i="2"/>
  <c r="G342" i="2"/>
  <c r="D342" i="2"/>
  <c r="B342" i="2"/>
  <c r="R341" i="2"/>
  <c r="I341" i="2"/>
  <c r="G341" i="2"/>
  <c r="D341" i="2"/>
  <c r="B341" i="2"/>
  <c r="R340" i="2"/>
  <c r="I340" i="2"/>
  <c r="G340" i="2"/>
  <c r="D340" i="2"/>
  <c r="B340" i="2"/>
  <c r="R339" i="2"/>
  <c r="I339" i="2"/>
  <c r="G339" i="2"/>
  <c r="D339" i="2"/>
  <c r="B339" i="2"/>
  <c r="R338" i="2"/>
  <c r="I338" i="2"/>
  <c r="G338" i="2"/>
  <c r="D338" i="2"/>
  <c r="B338" i="2"/>
  <c r="R337" i="2"/>
  <c r="I337" i="2"/>
  <c r="G337" i="2"/>
  <c r="D337" i="2"/>
  <c r="B337" i="2"/>
  <c r="R336" i="2"/>
  <c r="I336" i="2"/>
  <c r="G336" i="2"/>
  <c r="D336" i="2"/>
  <c r="B336" i="2"/>
  <c r="R335" i="2"/>
  <c r="I335" i="2"/>
  <c r="G335" i="2"/>
  <c r="D335" i="2"/>
  <c r="B335" i="2"/>
  <c r="R334" i="2"/>
  <c r="I334" i="2"/>
  <c r="G334" i="2"/>
  <c r="D334" i="2"/>
  <c r="B334" i="2"/>
  <c r="R333" i="2"/>
  <c r="I333" i="2"/>
  <c r="G333" i="2"/>
  <c r="D333" i="2"/>
  <c r="B333" i="2"/>
  <c r="R332" i="2"/>
  <c r="I332" i="2"/>
  <c r="G332" i="2"/>
  <c r="D332" i="2"/>
  <c r="B332" i="2"/>
  <c r="R331" i="2"/>
  <c r="I331" i="2"/>
  <c r="G331" i="2"/>
  <c r="D331" i="2"/>
  <c r="B331" i="2"/>
  <c r="R330" i="2"/>
  <c r="I330" i="2"/>
  <c r="G330" i="2"/>
  <c r="D330" i="2"/>
  <c r="B330" i="2"/>
  <c r="R329" i="2"/>
  <c r="I329" i="2"/>
  <c r="G329" i="2"/>
  <c r="D329" i="2"/>
  <c r="B329" i="2"/>
  <c r="R328" i="2"/>
  <c r="I328" i="2"/>
  <c r="G328" i="2"/>
  <c r="D328" i="2"/>
  <c r="B328" i="2"/>
  <c r="R327" i="2"/>
  <c r="I327" i="2"/>
  <c r="G327" i="2"/>
  <c r="D327" i="2"/>
  <c r="B327" i="2"/>
  <c r="R326" i="2"/>
  <c r="I326" i="2"/>
  <c r="G326" i="2"/>
  <c r="D326" i="2"/>
  <c r="B326" i="2"/>
  <c r="R325" i="2"/>
  <c r="I325" i="2"/>
  <c r="G325" i="2"/>
  <c r="D325" i="2"/>
  <c r="B325" i="2"/>
  <c r="R324" i="2"/>
  <c r="I324" i="2"/>
  <c r="G324" i="2"/>
  <c r="D324" i="2"/>
  <c r="B324" i="2"/>
  <c r="R323" i="2"/>
  <c r="I323" i="2"/>
  <c r="G323" i="2"/>
  <c r="D323" i="2"/>
  <c r="B323" i="2"/>
  <c r="R322" i="2"/>
  <c r="I322" i="2"/>
  <c r="G322" i="2"/>
  <c r="D322" i="2"/>
  <c r="B322" i="2"/>
  <c r="R321" i="2"/>
  <c r="I321" i="2"/>
  <c r="G321" i="2"/>
  <c r="D321" i="2"/>
  <c r="B321" i="2"/>
  <c r="R320" i="2"/>
  <c r="I320" i="2"/>
  <c r="G320" i="2"/>
  <c r="D320" i="2"/>
  <c r="B320" i="2"/>
  <c r="R319" i="2"/>
  <c r="I319" i="2"/>
  <c r="G319" i="2"/>
  <c r="D319" i="2"/>
  <c r="B319" i="2"/>
  <c r="R318" i="2"/>
  <c r="I318" i="2"/>
  <c r="G318" i="2"/>
  <c r="D318" i="2"/>
  <c r="B318" i="2"/>
  <c r="R317" i="2"/>
  <c r="I317" i="2"/>
  <c r="G317" i="2"/>
  <c r="D317" i="2"/>
  <c r="B317" i="2"/>
  <c r="R316" i="2"/>
  <c r="I316" i="2"/>
  <c r="G316" i="2"/>
  <c r="D316" i="2"/>
  <c r="B316" i="2"/>
  <c r="R315" i="2"/>
  <c r="I315" i="2"/>
  <c r="G315" i="2"/>
  <c r="D315" i="2"/>
  <c r="B315" i="2"/>
  <c r="R314" i="2"/>
  <c r="I314" i="2"/>
  <c r="G314" i="2"/>
  <c r="D314" i="2"/>
  <c r="B314" i="2"/>
  <c r="R313" i="2"/>
  <c r="I313" i="2"/>
  <c r="G313" i="2"/>
  <c r="D313" i="2"/>
  <c r="B313" i="2"/>
  <c r="R312" i="2"/>
  <c r="I312" i="2"/>
  <c r="G312" i="2"/>
  <c r="D312" i="2"/>
  <c r="B312" i="2"/>
  <c r="R311" i="2"/>
  <c r="I311" i="2"/>
  <c r="G311" i="2"/>
  <c r="D311" i="2"/>
  <c r="B311" i="2"/>
  <c r="R310" i="2"/>
  <c r="I310" i="2"/>
  <c r="G310" i="2"/>
  <c r="D310" i="2"/>
  <c r="B310" i="2"/>
  <c r="R309" i="2"/>
  <c r="I309" i="2"/>
  <c r="G309" i="2"/>
  <c r="D309" i="2"/>
  <c r="B309" i="2"/>
  <c r="R308" i="2"/>
  <c r="I308" i="2"/>
  <c r="G308" i="2"/>
  <c r="D308" i="2"/>
  <c r="B308" i="2"/>
  <c r="R307" i="2"/>
  <c r="I307" i="2"/>
  <c r="G307" i="2"/>
  <c r="D307" i="2"/>
  <c r="B307" i="2"/>
  <c r="R306" i="2"/>
  <c r="I306" i="2"/>
  <c r="G306" i="2"/>
  <c r="D306" i="2"/>
  <c r="B306" i="2"/>
  <c r="R305" i="2"/>
  <c r="I305" i="2"/>
  <c r="G305" i="2"/>
  <c r="D305" i="2"/>
  <c r="B305" i="2"/>
  <c r="R304" i="2"/>
  <c r="I304" i="2"/>
  <c r="G304" i="2"/>
  <c r="D304" i="2"/>
  <c r="B304" i="2"/>
  <c r="R303" i="2"/>
  <c r="I303" i="2"/>
  <c r="G303" i="2"/>
  <c r="D303" i="2"/>
  <c r="B303" i="2"/>
  <c r="R302" i="2"/>
  <c r="I302" i="2"/>
  <c r="G302" i="2"/>
  <c r="D302" i="2"/>
  <c r="B302" i="2"/>
  <c r="R301" i="2"/>
  <c r="I301" i="2"/>
  <c r="G301" i="2"/>
  <c r="D301" i="2"/>
  <c r="B301" i="2"/>
  <c r="R300" i="2"/>
  <c r="I300" i="2"/>
  <c r="G300" i="2"/>
  <c r="D300" i="2"/>
  <c r="B300" i="2"/>
  <c r="R299" i="2"/>
  <c r="I299" i="2"/>
  <c r="G299" i="2"/>
  <c r="D299" i="2"/>
  <c r="B299" i="2"/>
  <c r="R298" i="2"/>
  <c r="I298" i="2"/>
  <c r="G298" i="2"/>
  <c r="D298" i="2"/>
  <c r="B298" i="2"/>
  <c r="R297" i="2"/>
  <c r="I297" i="2"/>
  <c r="G297" i="2"/>
  <c r="D297" i="2"/>
  <c r="B297" i="2"/>
  <c r="R296" i="2"/>
  <c r="I296" i="2"/>
  <c r="G296" i="2"/>
  <c r="D296" i="2"/>
  <c r="B296" i="2"/>
  <c r="R295" i="2"/>
  <c r="I295" i="2"/>
  <c r="G295" i="2"/>
  <c r="D295" i="2"/>
  <c r="B295" i="2"/>
  <c r="R294" i="2"/>
  <c r="I294" i="2"/>
  <c r="G294" i="2"/>
  <c r="D294" i="2"/>
  <c r="B294" i="2"/>
  <c r="R293" i="2"/>
  <c r="I293" i="2"/>
  <c r="G293" i="2"/>
  <c r="D293" i="2"/>
  <c r="B293" i="2"/>
  <c r="R292" i="2"/>
  <c r="I292" i="2"/>
  <c r="G292" i="2"/>
  <c r="D292" i="2"/>
  <c r="B292" i="2"/>
  <c r="R291" i="2"/>
  <c r="I291" i="2"/>
  <c r="G291" i="2"/>
  <c r="D291" i="2"/>
  <c r="B291" i="2"/>
  <c r="R290" i="2"/>
  <c r="I290" i="2"/>
  <c r="G290" i="2"/>
  <c r="D290" i="2"/>
  <c r="B290" i="2"/>
  <c r="R289" i="2"/>
  <c r="I289" i="2"/>
  <c r="G289" i="2"/>
  <c r="D289" i="2"/>
  <c r="B289" i="2"/>
  <c r="R288" i="2"/>
  <c r="I288" i="2"/>
  <c r="G288" i="2"/>
  <c r="D288" i="2"/>
  <c r="B288" i="2"/>
  <c r="R287" i="2"/>
  <c r="I287" i="2"/>
  <c r="G287" i="2"/>
  <c r="D287" i="2"/>
  <c r="B287" i="2"/>
  <c r="R286" i="2"/>
  <c r="I286" i="2"/>
  <c r="G286" i="2"/>
  <c r="D286" i="2"/>
  <c r="B286" i="2"/>
  <c r="R285" i="2"/>
  <c r="I285" i="2"/>
  <c r="G285" i="2"/>
  <c r="D285" i="2"/>
  <c r="B285" i="2"/>
  <c r="R284" i="2"/>
  <c r="I284" i="2"/>
  <c r="G284" i="2"/>
  <c r="D284" i="2"/>
  <c r="B284" i="2"/>
  <c r="R283" i="2"/>
  <c r="I283" i="2"/>
  <c r="G283" i="2"/>
  <c r="D283" i="2"/>
  <c r="B283" i="2"/>
  <c r="R282" i="2"/>
  <c r="I282" i="2"/>
  <c r="G282" i="2"/>
  <c r="D282" i="2"/>
  <c r="B282" i="2"/>
  <c r="R281" i="2"/>
  <c r="I281" i="2"/>
  <c r="G281" i="2"/>
  <c r="D281" i="2"/>
  <c r="B281" i="2"/>
  <c r="R280" i="2"/>
  <c r="I280" i="2"/>
  <c r="G280" i="2"/>
  <c r="D280" i="2"/>
  <c r="B280" i="2"/>
  <c r="R279" i="2"/>
  <c r="I279" i="2"/>
  <c r="G279" i="2"/>
  <c r="D279" i="2"/>
  <c r="B279" i="2"/>
  <c r="R278" i="2"/>
  <c r="I278" i="2"/>
  <c r="G278" i="2"/>
  <c r="D278" i="2"/>
  <c r="B278" i="2"/>
  <c r="R277" i="2"/>
  <c r="I277" i="2"/>
  <c r="G277" i="2"/>
  <c r="D277" i="2"/>
  <c r="B277" i="2"/>
  <c r="R276" i="2"/>
  <c r="I276" i="2"/>
  <c r="G276" i="2"/>
  <c r="D276" i="2"/>
  <c r="B276" i="2"/>
  <c r="R275" i="2"/>
  <c r="I275" i="2"/>
  <c r="G275" i="2"/>
  <c r="D275" i="2"/>
  <c r="B275" i="2"/>
  <c r="R274" i="2"/>
  <c r="I274" i="2"/>
  <c r="G274" i="2"/>
  <c r="D274" i="2"/>
  <c r="B274" i="2"/>
  <c r="R273" i="2"/>
  <c r="I273" i="2"/>
  <c r="G273" i="2"/>
  <c r="D273" i="2"/>
  <c r="B273" i="2"/>
  <c r="R272" i="2"/>
  <c r="I272" i="2"/>
  <c r="G272" i="2"/>
  <c r="D272" i="2"/>
  <c r="B272" i="2"/>
  <c r="R271" i="2"/>
  <c r="I271" i="2"/>
  <c r="G271" i="2"/>
  <c r="D271" i="2"/>
  <c r="B271" i="2"/>
  <c r="R270" i="2"/>
  <c r="I270" i="2"/>
  <c r="G270" i="2"/>
  <c r="D270" i="2"/>
  <c r="B270" i="2"/>
  <c r="R269" i="2"/>
  <c r="I269" i="2"/>
  <c r="G269" i="2"/>
  <c r="D269" i="2"/>
  <c r="B269" i="2"/>
  <c r="R268" i="2"/>
  <c r="I268" i="2"/>
  <c r="G268" i="2"/>
  <c r="D268" i="2"/>
  <c r="B268" i="2"/>
  <c r="R267" i="2"/>
  <c r="I267" i="2"/>
  <c r="G267" i="2"/>
  <c r="D267" i="2"/>
  <c r="B267" i="2"/>
  <c r="R266" i="2"/>
  <c r="I266" i="2"/>
  <c r="G266" i="2"/>
  <c r="D266" i="2"/>
  <c r="B266" i="2"/>
  <c r="R265" i="2"/>
  <c r="I265" i="2"/>
  <c r="G265" i="2"/>
  <c r="D265" i="2"/>
  <c r="B265" i="2"/>
  <c r="R264" i="2"/>
  <c r="I264" i="2"/>
  <c r="G264" i="2"/>
  <c r="D264" i="2"/>
  <c r="B264" i="2"/>
  <c r="R263" i="2"/>
  <c r="I263" i="2"/>
  <c r="G263" i="2"/>
  <c r="D263" i="2"/>
  <c r="B263" i="2"/>
  <c r="R262" i="2"/>
  <c r="I262" i="2"/>
  <c r="G262" i="2"/>
  <c r="D262" i="2"/>
  <c r="B262" i="2"/>
  <c r="R261" i="2"/>
  <c r="I261" i="2"/>
  <c r="G261" i="2"/>
  <c r="D261" i="2"/>
  <c r="B261" i="2"/>
  <c r="R260" i="2"/>
  <c r="I260" i="2"/>
  <c r="G260" i="2"/>
  <c r="D260" i="2"/>
  <c r="B260" i="2"/>
  <c r="R259" i="2"/>
  <c r="I259" i="2"/>
  <c r="G259" i="2"/>
  <c r="D259" i="2"/>
  <c r="B259" i="2"/>
  <c r="R258" i="2"/>
  <c r="I258" i="2"/>
  <c r="G258" i="2"/>
  <c r="D258" i="2"/>
  <c r="B258" i="2"/>
  <c r="R257" i="2"/>
  <c r="I257" i="2"/>
  <c r="G257" i="2"/>
  <c r="D257" i="2"/>
  <c r="B257" i="2"/>
  <c r="R256" i="2"/>
  <c r="I256" i="2"/>
  <c r="G256" i="2"/>
  <c r="D256" i="2"/>
  <c r="B256" i="2"/>
  <c r="R255" i="2"/>
  <c r="I255" i="2"/>
  <c r="G255" i="2"/>
  <c r="D255" i="2"/>
  <c r="B255" i="2"/>
  <c r="R254" i="2"/>
  <c r="I254" i="2"/>
  <c r="G254" i="2"/>
  <c r="D254" i="2"/>
  <c r="B254" i="2"/>
  <c r="R253" i="2"/>
  <c r="I253" i="2"/>
  <c r="G253" i="2"/>
  <c r="D253" i="2"/>
  <c r="B253" i="2"/>
  <c r="R252" i="2"/>
  <c r="I252" i="2"/>
  <c r="G252" i="2"/>
  <c r="D252" i="2"/>
  <c r="B252" i="2"/>
  <c r="R251" i="2"/>
  <c r="I251" i="2"/>
  <c r="G251" i="2"/>
  <c r="D251" i="2"/>
  <c r="B251" i="2"/>
  <c r="R250" i="2"/>
  <c r="I250" i="2"/>
  <c r="G250" i="2"/>
  <c r="D250" i="2"/>
  <c r="B250" i="2"/>
  <c r="R249" i="2"/>
  <c r="I249" i="2"/>
  <c r="G249" i="2"/>
  <c r="D249" i="2"/>
  <c r="B249" i="2"/>
  <c r="R248" i="2"/>
  <c r="I248" i="2"/>
  <c r="G248" i="2"/>
  <c r="D248" i="2"/>
  <c r="B248" i="2"/>
  <c r="R247" i="2"/>
  <c r="I247" i="2"/>
  <c r="G247" i="2"/>
  <c r="D247" i="2"/>
  <c r="B247" i="2"/>
  <c r="R246" i="2"/>
  <c r="I246" i="2"/>
  <c r="G246" i="2"/>
  <c r="D246" i="2"/>
  <c r="B246" i="2"/>
  <c r="R245" i="2"/>
  <c r="I245" i="2"/>
  <c r="G245" i="2"/>
  <c r="D245" i="2"/>
  <c r="B245" i="2"/>
  <c r="R244" i="2"/>
  <c r="I244" i="2"/>
  <c r="G244" i="2"/>
  <c r="D244" i="2"/>
  <c r="B244" i="2"/>
  <c r="R243" i="2"/>
  <c r="I243" i="2"/>
  <c r="G243" i="2"/>
  <c r="D243" i="2"/>
  <c r="B243" i="2"/>
  <c r="R242" i="2"/>
  <c r="I242" i="2"/>
  <c r="G242" i="2"/>
  <c r="D242" i="2"/>
  <c r="B242" i="2"/>
  <c r="R241" i="2"/>
  <c r="I241" i="2"/>
  <c r="G241" i="2"/>
  <c r="D241" i="2"/>
  <c r="B241" i="2"/>
  <c r="R240" i="2"/>
  <c r="I240" i="2"/>
  <c r="G240" i="2"/>
  <c r="D240" i="2"/>
  <c r="B240" i="2"/>
  <c r="R239" i="2"/>
  <c r="I239" i="2"/>
  <c r="G239" i="2"/>
  <c r="D239" i="2"/>
  <c r="B239" i="2"/>
  <c r="R238" i="2"/>
  <c r="I238" i="2"/>
  <c r="G238" i="2"/>
  <c r="D238" i="2"/>
  <c r="B238" i="2"/>
  <c r="R237" i="2"/>
  <c r="I237" i="2"/>
  <c r="G237" i="2"/>
  <c r="D237" i="2"/>
  <c r="B237" i="2"/>
  <c r="R236" i="2"/>
  <c r="I236" i="2"/>
  <c r="G236" i="2"/>
  <c r="D236" i="2"/>
  <c r="B236" i="2"/>
  <c r="R235" i="2"/>
  <c r="I235" i="2"/>
  <c r="G235" i="2"/>
  <c r="D235" i="2"/>
  <c r="B235" i="2"/>
  <c r="R234" i="2"/>
  <c r="I234" i="2"/>
  <c r="G234" i="2"/>
  <c r="D234" i="2"/>
  <c r="B234" i="2"/>
  <c r="R233" i="2"/>
  <c r="I233" i="2"/>
  <c r="G233" i="2"/>
  <c r="D233" i="2"/>
  <c r="B233" i="2"/>
  <c r="R232" i="2"/>
  <c r="I232" i="2"/>
  <c r="G232" i="2"/>
  <c r="D232" i="2"/>
  <c r="B232" i="2"/>
  <c r="R231" i="2"/>
  <c r="I231" i="2"/>
  <c r="G231" i="2"/>
  <c r="D231" i="2"/>
  <c r="B231" i="2"/>
  <c r="R230" i="2"/>
  <c r="I230" i="2"/>
  <c r="G230" i="2"/>
  <c r="D230" i="2"/>
  <c r="B230" i="2"/>
  <c r="R229" i="2"/>
  <c r="I229" i="2"/>
  <c r="G229" i="2"/>
  <c r="D229" i="2"/>
  <c r="B229" i="2"/>
  <c r="R228" i="2"/>
  <c r="I228" i="2"/>
  <c r="G228" i="2"/>
  <c r="D228" i="2"/>
  <c r="B228" i="2"/>
  <c r="R227" i="2"/>
  <c r="I227" i="2"/>
  <c r="G227" i="2"/>
  <c r="D227" i="2"/>
  <c r="B227" i="2"/>
  <c r="R226" i="2"/>
  <c r="I226" i="2"/>
  <c r="G226" i="2"/>
  <c r="D226" i="2"/>
  <c r="B226" i="2"/>
  <c r="R225" i="2"/>
  <c r="I225" i="2"/>
  <c r="G225" i="2"/>
  <c r="D225" i="2"/>
  <c r="B225" i="2"/>
  <c r="R224" i="2"/>
  <c r="I224" i="2"/>
  <c r="G224" i="2"/>
  <c r="D224" i="2"/>
  <c r="B224" i="2"/>
  <c r="R223" i="2"/>
  <c r="I223" i="2"/>
  <c r="G223" i="2"/>
  <c r="D223" i="2"/>
  <c r="B223" i="2"/>
  <c r="R222" i="2"/>
  <c r="I222" i="2"/>
  <c r="G222" i="2"/>
  <c r="D222" i="2"/>
  <c r="B222" i="2"/>
  <c r="R221" i="2"/>
  <c r="I221" i="2"/>
  <c r="G221" i="2"/>
  <c r="D221" i="2"/>
  <c r="B221" i="2"/>
  <c r="R220" i="2"/>
  <c r="I220" i="2"/>
  <c r="G220" i="2"/>
  <c r="D220" i="2"/>
  <c r="B220" i="2"/>
  <c r="R219" i="2"/>
  <c r="I219" i="2"/>
  <c r="G219" i="2"/>
  <c r="D219" i="2"/>
  <c r="B219" i="2"/>
  <c r="R218" i="2"/>
  <c r="I218" i="2"/>
  <c r="G218" i="2"/>
  <c r="D218" i="2"/>
  <c r="B218" i="2"/>
  <c r="R217" i="2"/>
  <c r="I217" i="2"/>
  <c r="G217" i="2"/>
  <c r="D217" i="2"/>
  <c r="B217" i="2"/>
  <c r="R216" i="2"/>
  <c r="I216" i="2"/>
  <c r="G216" i="2"/>
  <c r="D216" i="2"/>
  <c r="B216" i="2"/>
  <c r="R215" i="2"/>
  <c r="I215" i="2"/>
  <c r="G215" i="2"/>
  <c r="D215" i="2"/>
  <c r="B215" i="2"/>
  <c r="R214" i="2"/>
  <c r="I214" i="2"/>
  <c r="G214" i="2"/>
  <c r="D214" i="2"/>
  <c r="B214" i="2"/>
  <c r="R213" i="2"/>
  <c r="I213" i="2"/>
  <c r="G213" i="2"/>
  <c r="D213" i="2"/>
  <c r="B213" i="2"/>
  <c r="R212" i="2"/>
  <c r="I212" i="2"/>
  <c r="G212" i="2"/>
  <c r="D212" i="2"/>
  <c r="B212" i="2"/>
  <c r="R211" i="2"/>
  <c r="I211" i="2"/>
  <c r="G211" i="2"/>
  <c r="D211" i="2"/>
  <c r="B211" i="2"/>
  <c r="R210" i="2"/>
  <c r="I210" i="2"/>
  <c r="G210" i="2"/>
  <c r="D210" i="2"/>
  <c r="B210" i="2"/>
  <c r="R209" i="2"/>
  <c r="I209" i="2"/>
  <c r="G209" i="2"/>
  <c r="D209" i="2"/>
  <c r="B209" i="2"/>
  <c r="R208" i="2"/>
  <c r="I208" i="2"/>
  <c r="G208" i="2"/>
  <c r="D208" i="2"/>
  <c r="B208" i="2"/>
  <c r="R207" i="2"/>
  <c r="I207" i="2"/>
  <c r="G207" i="2"/>
  <c r="D207" i="2"/>
  <c r="B207" i="2"/>
  <c r="R206" i="2"/>
  <c r="I206" i="2"/>
  <c r="G206" i="2"/>
  <c r="D206" i="2"/>
  <c r="B206" i="2"/>
  <c r="R205" i="2"/>
  <c r="I205" i="2"/>
  <c r="G205" i="2"/>
  <c r="D205" i="2"/>
  <c r="B205" i="2"/>
  <c r="R204" i="2"/>
  <c r="I204" i="2"/>
  <c r="G204" i="2"/>
  <c r="D204" i="2"/>
  <c r="B204" i="2"/>
  <c r="R203" i="2"/>
  <c r="I203" i="2"/>
  <c r="G203" i="2"/>
  <c r="D203" i="2"/>
  <c r="B203" i="2"/>
  <c r="R202" i="2"/>
  <c r="I202" i="2"/>
  <c r="G202" i="2"/>
  <c r="D202" i="2"/>
  <c r="B202" i="2"/>
  <c r="R201" i="2"/>
  <c r="I201" i="2"/>
  <c r="G201" i="2"/>
  <c r="D201" i="2"/>
  <c r="B201" i="2"/>
  <c r="R200" i="2"/>
  <c r="I200" i="2"/>
  <c r="G200" i="2"/>
  <c r="D200" i="2"/>
  <c r="B200" i="2"/>
  <c r="R199" i="2"/>
  <c r="I199" i="2"/>
  <c r="G199" i="2"/>
  <c r="D199" i="2"/>
  <c r="B199" i="2"/>
  <c r="R198" i="2"/>
  <c r="I198" i="2"/>
  <c r="G198" i="2"/>
  <c r="D198" i="2"/>
  <c r="B198" i="2"/>
  <c r="R197" i="2"/>
  <c r="I197" i="2"/>
  <c r="G197" i="2"/>
  <c r="D197" i="2"/>
  <c r="B197" i="2"/>
  <c r="R196" i="2"/>
  <c r="I196" i="2"/>
  <c r="G196" i="2"/>
  <c r="D196" i="2"/>
  <c r="B196" i="2"/>
  <c r="R195" i="2"/>
  <c r="I195" i="2"/>
  <c r="G195" i="2"/>
  <c r="D195" i="2"/>
  <c r="B195" i="2"/>
  <c r="R194" i="2"/>
  <c r="I194" i="2"/>
  <c r="G194" i="2"/>
  <c r="D194" i="2"/>
  <c r="B194" i="2"/>
  <c r="R193" i="2"/>
  <c r="I193" i="2"/>
  <c r="G193" i="2"/>
  <c r="D193" i="2"/>
  <c r="B193" i="2"/>
  <c r="R192" i="2"/>
  <c r="I192" i="2"/>
  <c r="G192" i="2"/>
  <c r="D192" i="2"/>
  <c r="B192" i="2"/>
  <c r="R191" i="2"/>
  <c r="I191" i="2"/>
  <c r="G191" i="2"/>
  <c r="D191" i="2"/>
  <c r="B191" i="2"/>
  <c r="R190" i="2"/>
  <c r="I190" i="2"/>
  <c r="G190" i="2"/>
  <c r="D190" i="2"/>
  <c r="B190" i="2"/>
  <c r="R189" i="2"/>
  <c r="I189" i="2"/>
  <c r="G189" i="2"/>
  <c r="D189" i="2"/>
  <c r="B189" i="2"/>
  <c r="R188" i="2"/>
  <c r="I188" i="2"/>
  <c r="G188" i="2"/>
  <c r="D188" i="2"/>
  <c r="B188" i="2"/>
  <c r="R187" i="2"/>
  <c r="I187" i="2"/>
  <c r="G187" i="2"/>
  <c r="D187" i="2"/>
  <c r="B187" i="2"/>
  <c r="R186" i="2"/>
  <c r="I186" i="2"/>
  <c r="G186" i="2"/>
  <c r="D186" i="2"/>
  <c r="B186" i="2"/>
  <c r="R185" i="2"/>
  <c r="I185" i="2"/>
  <c r="G185" i="2"/>
  <c r="D185" i="2"/>
  <c r="B185" i="2"/>
  <c r="R184" i="2"/>
  <c r="I184" i="2"/>
  <c r="G184" i="2"/>
  <c r="D184" i="2"/>
  <c r="B184" i="2"/>
  <c r="R183" i="2"/>
  <c r="I183" i="2"/>
  <c r="G183" i="2"/>
  <c r="D183" i="2"/>
  <c r="B183" i="2"/>
  <c r="R182" i="2"/>
  <c r="I182" i="2"/>
  <c r="G182" i="2"/>
  <c r="D182" i="2"/>
  <c r="B182" i="2"/>
  <c r="R181" i="2"/>
  <c r="I181" i="2"/>
  <c r="G181" i="2"/>
  <c r="D181" i="2"/>
  <c r="B181" i="2"/>
  <c r="R180" i="2"/>
  <c r="I180" i="2"/>
  <c r="G180" i="2"/>
  <c r="D180" i="2"/>
  <c r="B180" i="2"/>
  <c r="R179" i="2"/>
  <c r="I179" i="2"/>
  <c r="G179" i="2"/>
  <c r="D179" i="2"/>
  <c r="B179" i="2"/>
  <c r="R178" i="2"/>
  <c r="I178" i="2"/>
  <c r="G178" i="2"/>
  <c r="D178" i="2"/>
  <c r="B178" i="2"/>
  <c r="R177" i="2"/>
  <c r="I177" i="2"/>
  <c r="G177" i="2"/>
  <c r="D177" i="2"/>
  <c r="B177" i="2"/>
  <c r="R176" i="2"/>
  <c r="I176" i="2"/>
  <c r="G176" i="2"/>
  <c r="D176" i="2"/>
  <c r="B176" i="2"/>
  <c r="R175" i="2"/>
  <c r="I175" i="2"/>
  <c r="G175" i="2"/>
  <c r="D175" i="2"/>
  <c r="B175" i="2"/>
  <c r="R174" i="2"/>
  <c r="I174" i="2"/>
  <c r="G174" i="2"/>
  <c r="D174" i="2"/>
  <c r="B174" i="2"/>
  <c r="R173" i="2"/>
  <c r="I173" i="2"/>
  <c r="G173" i="2"/>
  <c r="D173" i="2"/>
  <c r="B173" i="2"/>
  <c r="R172" i="2"/>
  <c r="I172" i="2"/>
  <c r="G172" i="2"/>
  <c r="D172" i="2"/>
  <c r="B172" i="2"/>
  <c r="R171" i="2"/>
  <c r="I171" i="2"/>
  <c r="G171" i="2"/>
  <c r="D171" i="2"/>
  <c r="B171" i="2"/>
  <c r="R170" i="2"/>
  <c r="I170" i="2"/>
  <c r="G170" i="2"/>
  <c r="D170" i="2"/>
  <c r="B170" i="2"/>
  <c r="R169" i="2"/>
  <c r="I169" i="2"/>
  <c r="G169" i="2"/>
  <c r="D169" i="2"/>
  <c r="B169" i="2"/>
  <c r="R168" i="2"/>
  <c r="I168" i="2"/>
  <c r="G168" i="2"/>
  <c r="D168" i="2"/>
  <c r="B168" i="2"/>
  <c r="R167" i="2"/>
  <c r="I167" i="2"/>
  <c r="G167" i="2"/>
  <c r="D167" i="2"/>
  <c r="B167" i="2"/>
  <c r="R166" i="2"/>
  <c r="I166" i="2"/>
  <c r="G166" i="2"/>
  <c r="D166" i="2"/>
  <c r="B166" i="2"/>
  <c r="R165" i="2"/>
  <c r="I165" i="2"/>
  <c r="G165" i="2"/>
  <c r="D165" i="2"/>
  <c r="B165" i="2"/>
  <c r="R164" i="2"/>
  <c r="I164" i="2"/>
  <c r="G164" i="2"/>
  <c r="D164" i="2"/>
  <c r="B164" i="2"/>
  <c r="R163" i="2"/>
  <c r="I163" i="2"/>
  <c r="G163" i="2"/>
  <c r="D163" i="2"/>
  <c r="B163" i="2"/>
  <c r="R162" i="2"/>
  <c r="I162" i="2"/>
  <c r="G162" i="2"/>
  <c r="D162" i="2"/>
  <c r="B162" i="2"/>
  <c r="R161" i="2"/>
  <c r="I161" i="2"/>
  <c r="G161" i="2"/>
  <c r="D161" i="2"/>
  <c r="B161" i="2"/>
  <c r="R160" i="2"/>
  <c r="I160" i="2"/>
  <c r="G160" i="2"/>
  <c r="D160" i="2"/>
  <c r="B160" i="2"/>
  <c r="R159" i="2"/>
  <c r="I159" i="2"/>
  <c r="G159" i="2"/>
  <c r="D159" i="2"/>
  <c r="B159" i="2"/>
  <c r="R158" i="2"/>
  <c r="I158" i="2"/>
  <c r="G158" i="2"/>
  <c r="D158" i="2"/>
  <c r="B158" i="2"/>
  <c r="R157" i="2"/>
  <c r="I157" i="2"/>
  <c r="G157" i="2"/>
  <c r="D157" i="2"/>
  <c r="B157" i="2"/>
  <c r="R156" i="2"/>
  <c r="I156" i="2"/>
  <c r="G156" i="2"/>
  <c r="D156" i="2"/>
  <c r="B156" i="2"/>
  <c r="R155" i="2"/>
  <c r="I155" i="2"/>
  <c r="G155" i="2"/>
  <c r="D155" i="2"/>
  <c r="B155" i="2"/>
  <c r="R154" i="2"/>
  <c r="I154" i="2"/>
  <c r="G154" i="2"/>
  <c r="D154" i="2"/>
  <c r="B154" i="2"/>
  <c r="R153" i="2"/>
  <c r="I153" i="2"/>
  <c r="G153" i="2"/>
  <c r="D153" i="2"/>
  <c r="B153" i="2"/>
  <c r="R152" i="2"/>
  <c r="I152" i="2"/>
  <c r="G152" i="2"/>
  <c r="D152" i="2"/>
  <c r="B152" i="2"/>
  <c r="R151" i="2"/>
  <c r="I151" i="2"/>
  <c r="G151" i="2"/>
  <c r="D151" i="2"/>
  <c r="B151" i="2"/>
  <c r="R150" i="2"/>
  <c r="I150" i="2"/>
  <c r="G150" i="2"/>
  <c r="D150" i="2"/>
  <c r="B150" i="2"/>
  <c r="R149" i="2"/>
  <c r="I149" i="2"/>
  <c r="G149" i="2"/>
  <c r="D149" i="2"/>
  <c r="B149" i="2"/>
  <c r="R148" i="2"/>
  <c r="I148" i="2"/>
  <c r="G148" i="2"/>
  <c r="D148" i="2"/>
  <c r="B148" i="2"/>
  <c r="R147" i="2"/>
  <c r="I147" i="2"/>
  <c r="G147" i="2"/>
  <c r="D147" i="2"/>
  <c r="B147" i="2"/>
  <c r="R146" i="2"/>
  <c r="I146" i="2"/>
  <c r="G146" i="2"/>
  <c r="D146" i="2"/>
  <c r="B146" i="2"/>
  <c r="R145" i="2"/>
  <c r="I145" i="2"/>
  <c r="G145" i="2"/>
  <c r="D145" i="2"/>
  <c r="B145" i="2"/>
  <c r="R144" i="2"/>
  <c r="I144" i="2"/>
  <c r="G144" i="2"/>
  <c r="D144" i="2"/>
  <c r="B144" i="2"/>
  <c r="R143" i="2"/>
  <c r="I143" i="2"/>
  <c r="G143" i="2"/>
  <c r="D143" i="2"/>
  <c r="B143" i="2"/>
  <c r="R142" i="2"/>
  <c r="I142" i="2"/>
  <c r="G142" i="2"/>
  <c r="D142" i="2"/>
  <c r="B142" i="2"/>
  <c r="R141" i="2"/>
  <c r="I141" i="2"/>
  <c r="G141" i="2"/>
  <c r="D141" i="2"/>
  <c r="B141" i="2"/>
  <c r="R140" i="2"/>
  <c r="I140" i="2"/>
  <c r="G140" i="2"/>
  <c r="D140" i="2"/>
  <c r="B140" i="2"/>
  <c r="R139" i="2"/>
  <c r="I139" i="2"/>
  <c r="G139" i="2"/>
  <c r="D139" i="2"/>
  <c r="B139" i="2"/>
  <c r="R138" i="2"/>
  <c r="I138" i="2"/>
  <c r="G138" i="2"/>
  <c r="D138" i="2"/>
  <c r="B138" i="2"/>
  <c r="R137" i="2"/>
  <c r="I137" i="2"/>
  <c r="G137" i="2"/>
  <c r="D137" i="2"/>
  <c r="B137" i="2"/>
  <c r="R136" i="2"/>
  <c r="I136" i="2"/>
  <c r="G136" i="2"/>
  <c r="D136" i="2"/>
  <c r="B136" i="2"/>
  <c r="R135" i="2"/>
  <c r="I135" i="2"/>
  <c r="G135" i="2"/>
  <c r="D135" i="2"/>
  <c r="B135" i="2"/>
  <c r="R134" i="2"/>
  <c r="I134" i="2"/>
  <c r="G134" i="2"/>
  <c r="D134" i="2"/>
  <c r="B134" i="2"/>
  <c r="R133" i="2"/>
  <c r="I133" i="2"/>
  <c r="G133" i="2"/>
  <c r="D133" i="2"/>
  <c r="B133" i="2"/>
  <c r="R132" i="2"/>
  <c r="I132" i="2"/>
  <c r="G132" i="2"/>
  <c r="D132" i="2"/>
  <c r="B132" i="2"/>
  <c r="R131" i="2"/>
  <c r="I131" i="2"/>
  <c r="G131" i="2"/>
  <c r="D131" i="2"/>
  <c r="B131" i="2"/>
  <c r="R130" i="2"/>
  <c r="I130" i="2"/>
  <c r="G130" i="2"/>
  <c r="D130" i="2"/>
  <c r="B130" i="2"/>
  <c r="R129" i="2"/>
  <c r="I129" i="2"/>
  <c r="G129" i="2"/>
  <c r="D129" i="2"/>
  <c r="B129" i="2"/>
  <c r="R128" i="2"/>
  <c r="I128" i="2"/>
  <c r="G128" i="2"/>
  <c r="D128" i="2"/>
  <c r="B128" i="2"/>
  <c r="R127" i="2"/>
  <c r="I127" i="2"/>
  <c r="G127" i="2"/>
  <c r="D127" i="2"/>
  <c r="B127" i="2"/>
  <c r="R126" i="2"/>
  <c r="I126" i="2"/>
  <c r="G126" i="2"/>
  <c r="D126" i="2"/>
  <c r="B126" i="2"/>
  <c r="R125" i="2"/>
  <c r="I125" i="2"/>
  <c r="G125" i="2"/>
  <c r="D125" i="2"/>
  <c r="B125" i="2"/>
  <c r="R124" i="2"/>
  <c r="I124" i="2"/>
  <c r="G124" i="2"/>
  <c r="D124" i="2"/>
  <c r="B124" i="2"/>
  <c r="R123" i="2"/>
  <c r="I123" i="2"/>
  <c r="G123" i="2"/>
  <c r="D123" i="2"/>
  <c r="B123" i="2"/>
  <c r="R122" i="2"/>
  <c r="I122" i="2"/>
  <c r="G122" i="2"/>
  <c r="D122" i="2"/>
  <c r="B122" i="2"/>
  <c r="R121" i="2"/>
  <c r="I121" i="2"/>
  <c r="G121" i="2"/>
  <c r="D121" i="2"/>
  <c r="B121" i="2"/>
  <c r="R120" i="2"/>
  <c r="I120" i="2"/>
  <c r="G120" i="2"/>
  <c r="D120" i="2"/>
  <c r="B120" i="2"/>
  <c r="R119" i="2"/>
  <c r="I119" i="2"/>
  <c r="G119" i="2"/>
  <c r="D119" i="2"/>
  <c r="B119" i="2"/>
  <c r="R118" i="2"/>
  <c r="I118" i="2"/>
  <c r="G118" i="2"/>
  <c r="D118" i="2"/>
  <c r="B118" i="2"/>
  <c r="R117" i="2"/>
  <c r="I117" i="2"/>
  <c r="G117" i="2"/>
  <c r="D117" i="2"/>
  <c r="B117" i="2"/>
  <c r="R116" i="2"/>
  <c r="I116" i="2"/>
  <c r="G116" i="2"/>
  <c r="D116" i="2"/>
  <c r="B116" i="2"/>
  <c r="R115" i="2"/>
  <c r="I115" i="2"/>
  <c r="G115" i="2"/>
  <c r="D115" i="2"/>
  <c r="B115" i="2"/>
  <c r="R114" i="2"/>
  <c r="I114" i="2"/>
  <c r="G114" i="2"/>
  <c r="D114" i="2"/>
  <c r="B114" i="2"/>
  <c r="R113" i="2"/>
  <c r="I113" i="2"/>
  <c r="G113" i="2"/>
  <c r="D113" i="2"/>
  <c r="B113" i="2"/>
  <c r="R112" i="2"/>
  <c r="I112" i="2"/>
  <c r="G112" i="2"/>
  <c r="D112" i="2"/>
  <c r="B112" i="2"/>
  <c r="R111" i="2"/>
  <c r="I111" i="2"/>
  <c r="G111" i="2"/>
  <c r="D111" i="2"/>
  <c r="B111" i="2"/>
  <c r="R110" i="2"/>
  <c r="I110" i="2"/>
  <c r="G110" i="2"/>
  <c r="D110" i="2"/>
  <c r="B110" i="2"/>
  <c r="R109" i="2"/>
  <c r="I109" i="2"/>
  <c r="G109" i="2"/>
  <c r="D109" i="2"/>
  <c r="B109" i="2"/>
  <c r="R108" i="2"/>
  <c r="I108" i="2"/>
  <c r="G108" i="2"/>
  <c r="D108" i="2"/>
  <c r="B108" i="2"/>
  <c r="R107" i="2"/>
  <c r="I107" i="2"/>
  <c r="G107" i="2"/>
  <c r="D107" i="2"/>
  <c r="B107" i="2"/>
  <c r="R106" i="2"/>
  <c r="I106" i="2"/>
  <c r="G106" i="2"/>
  <c r="D106" i="2"/>
  <c r="B106" i="2"/>
  <c r="R105" i="2"/>
  <c r="I105" i="2"/>
  <c r="G105" i="2"/>
  <c r="D105" i="2"/>
  <c r="B105" i="2"/>
  <c r="R104" i="2"/>
  <c r="I104" i="2"/>
  <c r="G104" i="2"/>
  <c r="D104" i="2"/>
  <c r="B104" i="2"/>
  <c r="R103" i="2"/>
  <c r="I103" i="2"/>
  <c r="G103" i="2"/>
  <c r="D103" i="2"/>
  <c r="B103" i="2"/>
  <c r="R102" i="2"/>
  <c r="I102" i="2"/>
  <c r="G102" i="2"/>
  <c r="D102" i="2"/>
  <c r="B102" i="2"/>
  <c r="R101" i="2"/>
  <c r="I101" i="2"/>
  <c r="G101" i="2"/>
  <c r="D101" i="2"/>
  <c r="B101" i="2"/>
  <c r="R100" i="2"/>
  <c r="I100" i="2"/>
  <c r="G100" i="2"/>
  <c r="D100" i="2"/>
  <c r="B100" i="2"/>
  <c r="R99" i="2"/>
  <c r="I99" i="2"/>
  <c r="G99" i="2"/>
  <c r="D99" i="2"/>
  <c r="B99" i="2"/>
  <c r="R98" i="2"/>
  <c r="I98" i="2"/>
  <c r="G98" i="2"/>
  <c r="D98" i="2"/>
  <c r="B98" i="2"/>
  <c r="R97" i="2"/>
  <c r="I97" i="2"/>
  <c r="G97" i="2"/>
  <c r="D97" i="2"/>
  <c r="B97" i="2"/>
  <c r="R96" i="2"/>
  <c r="I96" i="2"/>
  <c r="G96" i="2"/>
  <c r="D96" i="2"/>
  <c r="B96" i="2"/>
  <c r="R95" i="2"/>
  <c r="I95" i="2"/>
  <c r="G95" i="2"/>
  <c r="D95" i="2"/>
  <c r="B95" i="2"/>
  <c r="R94" i="2"/>
  <c r="I94" i="2"/>
  <c r="G94" i="2"/>
  <c r="D94" i="2"/>
  <c r="B94" i="2"/>
  <c r="R93" i="2"/>
  <c r="I93" i="2"/>
  <c r="G93" i="2"/>
  <c r="D93" i="2"/>
  <c r="B93" i="2"/>
  <c r="R92" i="2"/>
  <c r="I92" i="2"/>
  <c r="G92" i="2"/>
  <c r="D92" i="2"/>
  <c r="B92" i="2"/>
  <c r="R91" i="2"/>
  <c r="I91" i="2"/>
  <c r="G91" i="2"/>
  <c r="D91" i="2"/>
  <c r="B91" i="2"/>
  <c r="R90" i="2"/>
  <c r="I90" i="2"/>
  <c r="G90" i="2"/>
  <c r="D90" i="2"/>
  <c r="B90" i="2"/>
  <c r="R89" i="2"/>
  <c r="I89" i="2"/>
  <c r="G89" i="2"/>
  <c r="D89" i="2"/>
  <c r="B89" i="2"/>
  <c r="R88" i="2"/>
  <c r="I88" i="2"/>
  <c r="G88" i="2"/>
  <c r="D88" i="2"/>
  <c r="B88" i="2"/>
  <c r="R87" i="2"/>
  <c r="I87" i="2"/>
  <c r="G87" i="2"/>
  <c r="D87" i="2"/>
  <c r="B87" i="2"/>
  <c r="R86" i="2"/>
  <c r="I86" i="2"/>
  <c r="G86" i="2"/>
  <c r="D86" i="2"/>
  <c r="B86" i="2"/>
  <c r="R85" i="2"/>
  <c r="I85" i="2"/>
  <c r="G85" i="2"/>
  <c r="D85" i="2"/>
  <c r="B85" i="2"/>
  <c r="R84" i="2"/>
  <c r="I84" i="2"/>
  <c r="G84" i="2"/>
  <c r="D84" i="2"/>
  <c r="B84" i="2"/>
  <c r="R83" i="2"/>
  <c r="I83" i="2"/>
  <c r="G83" i="2"/>
  <c r="D83" i="2"/>
  <c r="B83" i="2"/>
  <c r="R82" i="2"/>
  <c r="I82" i="2"/>
  <c r="G82" i="2"/>
  <c r="D82" i="2"/>
  <c r="B82" i="2"/>
  <c r="R81" i="2"/>
  <c r="I81" i="2"/>
  <c r="G81" i="2"/>
  <c r="D81" i="2"/>
  <c r="B81" i="2"/>
  <c r="R80" i="2"/>
  <c r="I80" i="2"/>
  <c r="G80" i="2"/>
  <c r="D80" i="2"/>
  <c r="B80" i="2"/>
  <c r="R79" i="2"/>
  <c r="I79" i="2"/>
  <c r="G79" i="2"/>
  <c r="D79" i="2"/>
  <c r="B79" i="2"/>
  <c r="R78" i="2"/>
  <c r="I78" i="2"/>
  <c r="G78" i="2"/>
  <c r="D78" i="2"/>
  <c r="B78" i="2"/>
  <c r="R77" i="2"/>
  <c r="I77" i="2"/>
  <c r="G77" i="2"/>
  <c r="D77" i="2"/>
  <c r="B77" i="2"/>
  <c r="R76" i="2"/>
  <c r="I76" i="2"/>
  <c r="G76" i="2"/>
  <c r="D76" i="2"/>
  <c r="B76" i="2"/>
  <c r="R75" i="2"/>
  <c r="I75" i="2"/>
  <c r="G75" i="2"/>
  <c r="D75" i="2"/>
  <c r="B75" i="2"/>
  <c r="R74" i="2"/>
  <c r="I74" i="2"/>
  <c r="G74" i="2"/>
  <c r="D74" i="2"/>
  <c r="B74" i="2"/>
  <c r="R73" i="2"/>
  <c r="I73" i="2"/>
  <c r="G73" i="2"/>
  <c r="D73" i="2"/>
  <c r="B73" i="2"/>
  <c r="R72" i="2"/>
  <c r="I72" i="2"/>
  <c r="G72" i="2"/>
  <c r="D72" i="2"/>
  <c r="B72" i="2"/>
  <c r="R71" i="2"/>
  <c r="I71" i="2"/>
  <c r="G71" i="2"/>
  <c r="D71" i="2"/>
  <c r="B71" i="2"/>
  <c r="R70" i="2"/>
  <c r="I70" i="2"/>
  <c r="G70" i="2"/>
  <c r="D70" i="2"/>
  <c r="B70" i="2"/>
  <c r="R69" i="2"/>
  <c r="I69" i="2"/>
  <c r="G69" i="2"/>
  <c r="D69" i="2"/>
  <c r="B69" i="2"/>
  <c r="R68" i="2"/>
  <c r="I68" i="2"/>
  <c r="G68" i="2"/>
  <c r="D68" i="2"/>
  <c r="B68" i="2"/>
  <c r="R67" i="2"/>
  <c r="I67" i="2"/>
  <c r="G67" i="2"/>
  <c r="D67" i="2"/>
  <c r="B67" i="2"/>
  <c r="R66" i="2"/>
  <c r="I66" i="2"/>
  <c r="G66" i="2"/>
  <c r="D66" i="2"/>
  <c r="B66" i="2"/>
  <c r="R65" i="2"/>
  <c r="I65" i="2"/>
  <c r="G65" i="2"/>
  <c r="D65" i="2"/>
  <c r="B65" i="2"/>
  <c r="R64" i="2"/>
  <c r="I64" i="2"/>
  <c r="G64" i="2"/>
  <c r="D64" i="2"/>
  <c r="B64" i="2"/>
  <c r="R63" i="2"/>
  <c r="I63" i="2"/>
  <c r="G63" i="2"/>
  <c r="D63" i="2"/>
  <c r="B63" i="2"/>
  <c r="R62" i="2"/>
  <c r="I62" i="2"/>
  <c r="G62" i="2"/>
  <c r="D62" i="2"/>
  <c r="B62" i="2"/>
  <c r="R61" i="2"/>
  <c r="I61" i="2"/>
  <c r="G61" i="2"/>
  <c r="D61" i="2"/>
  <c r="B61" i="2"/>
  <c r="R60" i="2"/>
  <c r="I60" i="2"/>
  <c r="G60" i="2"/>
  <c r="D60" i="2"/>
  <c r="B60" i="2"/>
  <c r="R59" i="2"/>
  <c r="I59" i="2"/>
  <c r="G59" i="2"/>
  <c r="D59" i="2"/>
  <c r="B59" i="2"/>
  <c r="R58" i="2"/>
  <c r="I58" i="2"/>
  <c r="G58" i="2"/>
  <c r="D58" i="2"/>
  <c r="B58" i="2"/>
  <c r="R57" i="2"/>
  <c r="I57" i="2"/>
  <c r="G57" i="2"/>
  <c r="D57" i="2"/>
  <c r="B57" i="2"/>
  <c r="R56" i="2"/>
  <c r="I56" i="2"/>
  <c r="G56" i="2"/>
  <c r="D56" i="2"/>
  <c r="B56" i="2"/>
  <c r="R55" i="2"/>
  <c r="I55" i="2"/>
  <c r="G55" i="2"/>
  <c r="D55" i="2"/>
  <c r="B55" i="2"/>
  <c r="R54" i="2"/>
  <c r="I54" i="2"/>
  <c r="G54" i="2"/>
  <c r="D54" i="2"/>
  <c r="B54" i="2"/>
  <c r="R53" i="2"/>
  <c r="I53" i="2"/>
  <c r="G53" i="2"/>
  <c r="D53" i="2"/>
  <c r="B53" i="2"/>
  <c r="R52" i="2"/>
  <c r="I52" i="2"/>
  <c r="G52" i="2"/>
  <c r="D52" i="2"/>
  <c r="B52" i="2"/>
  <c r="R51" i="2"/>
  <c r="I51" i="2"/>
  <c r="G51" i="2"/>
  <c r="D51" i="2"/>
  <c r="B51" i="2"/>
  <c r="R50" i="2"/>
  <c r="I50" i="2"/>
  <c r="G50" i="2"/>
  <c r="D50" i="2"/>
  <c r="B50" i="2"/>
  <c r="R49" i="2"/>
  <c r="I49" i="2"/>
  <c r="G49" i="2"/>
  <c r="D49" i="2"/>
  <c r="B49" i="2"/>
  <c r="R48" i="2"/>
  <c r="I48" i="2"/>
  <c r="G48" i="2"/>
  <c r="D48" i="2"/>
  <c r="B48" i="2"/>
  <c r="R47" i="2"/>
  <c r="I47" i="2"/>
  <c r="G47" i="2"/>
  <c r="D47" i="2"/>
  <c r="B47" i="2"/>
  <c r="R46" i="2"/>
  <c r="I46" i="2"/>
  <c r="G46" i="2"/>
  <c r="D46" i="2"/>
  <c r="B46" i="2"/>
  <c r="R45" i="2"/>
  <c r="I45" i="2"/>
  <c r="G45" i="2"/>
  <c r="D45" i="2"/>
  <c r="B45" i="2"/>
  <c r="R44" i="2"/>
  <c r="I44" i="2"/>
  <c r="G44" i="2"/>
  <c r="D44" i="2"/>
  <c r="B44" i="2"/>
  <c r="R43" i="2"/>
  <c r="I43" i="2"/>
  <c r="G43" i="2"/>
  <c r="D43" i="2"/>
  <c r="B43" i="2"/>
  <c r="R42" i="2"/>
  <c r="I42" i="2"/>
  <c r="G42" i="2"/>
  <c r="D42" i="2"/>
  <c r="B42" i="2"/>
  <c r="R41" i="2"/>
  <c r="I41" i="2"/>
  <c r="G41" i="2"/>
  <c r="D41" i="2"/>
  <c r="B41" i="2"/>
  <c r="R40" i="2"/>
  <c r="I40" i="2"/>
  <c r="G40" i="2"/>
  <c r="D40" i="2"/>
  <c r="B40" i="2"/>
  <c r="R39" i="2"/>
  <c r="I39" i="2"/>
  <c r="G39" i="2"/>
  <c r="D39" i="2"/>
  <c r="B39" i="2"/>
  <c r="R38" i="2"/>
  <c r="I38" i="2"/>
  <c r="G38" i="2"/>
  <c r="D38" i="2"/>
  <c r="B38" i="2"/>
  <c r="R37" i="2"/>
  <c r="I37" i="2"/>
  <c r="G37" i="2"/>
  <c r="D37" i="2"/>
  <c r="B37" i="2"/>
  <c r="R36" i="2"/>
  <c r="I36" i="2"/>
  <c r="G36" i="2"/>
  <c r="D36" i="2"/>
  <c r="B36" i="2"/>
  <c r="R35" i="2"/>
  <c r="I35" i="2"/>
  <c r="G35" i="2"/>
  <c r="D35" i="2"/>
  <c r="B35" i="2"/>
  <c r="R34" i="2"/>
  <c r="I34" i="2"/>
  <c r="G34" i="2"/>
  <c r="D34" i="2"/>
  <c r="B34" i="2"/>
  <c r="R33" i="2"/>
  <c r="I33" i="2"/>
  <c r="G33" i="2"/>
  <c r="D33" i="2"/>
  <c r="B33" i="2"/>
  <c r="R32" i="2"/>
  <c r="I32" i="2"/>
  <c r="G32" i="2"/>
  <c r="D32" i="2"/>
  <c r="B32" i="2"/>
  <c r="R31" i="2"/>
  <c r="I31" i="2"/>
  <c r="G31" i="2"/>
  <c r="D31" i="2"/>
  <c r="B31" i="2"/>
  <c r="R30" i="2"/>
  <c r="I30" i="2"/>
  <c r="G30" i="2"/>
  <c r="D30" i="2"/>
  <c r="B30" i="2"/>
  <c r="R29" i="2"/>
  <c r="I29" i="2"/>
  <c r="G29" i="2"/>
  <c r="D29" i="2"/>
  <c r="B29" i="2"/>
  <c r="R28" i="2"/>
  <c r="I28" i="2"/>
  <c r="G28" i="2"/>
  <c r="D28" i="2"/>
  <c r="B28" i="2"/>
  <c r="R27" i="2"/>
  <c r="I27" i="2"/>
  <c r="G27" i="2"/>
  <c r="D27" i="2"/>
  <c r="B27" i="2"/>
  <c r="R26" i="2"/>
  <c r="I26" i="2"/>
  <c r="G26" i="2"/>
  <c r="D26" i="2"/>
  <c r="B26" i="2"/>
  <c r="R25" i="2"/>
  <c r="I25" i="2"/>
  <c r="G25" i="2"/>
  <c r="D25" i="2"/>
  <c r="B25" i="2"/>
  <c r="R24" i="2"/>
  <c r="I24" i="2"/>
  <c r="G24" i="2"/>
  <c r="D24" i="2"/>
  <c r="B24" i="2"/>
  <c r="R23" i="2"/>
  <c r="I23" i="2"/>
  <c r="G23" i="2"/>
  <c r="D23" i="2"/>
  <c r="B23" i="2"/>
  <c r="R22" i="2"/>
  <c r="I22" i="2"/>
  <c r="G22" i="2"/>
  <c r="D22" i="2"/>
  <c r="B22" i="2"/>
  <c r="R21" i="2"/>
  <c r="I21" i="2"/>
  <c r="G21" i="2"/>
  <c r="D21" i="2"/>
  <c r="B21" i="2"/>
  <c r="R20" i="2"/>
  <c r="I20" i="2"/>
  <c r="G20" i="2"/>
  <c r="D20" i="2"/>
  <c r="B20" i="2"/>
  <c r="R19" i="2"/>
  <c r="I19" i="2"/>
  <c r="G19" i="2"/>
  <c r="D19" i="2"/>
  <c r="B19" i="2"/>
  <c r="R18" i="2"/>
  <c r="I18" i="2"/>
  <c r="G18" i="2"/>
  <c r="D18" i="2"/>
  <c r="B18" i="2"/>
  <c r="R17" i="2"/>
  <c r="I17" i="2"/>
  <c r="G17" i="2"/>
  <c r="D17" i="2"/>
  <c r="B17" i="2"/>
  <c r="R16" i="2"/>
  <c r="I16" i="2"/>
  <c r="G16" i="2"/>
  <c r="D16" i="2"/>
  <c r="B16" i="2"/>
  <c r="R15" i="2"/>
  <c r="I15" i="2"/>
  <c r="G15" i="2"/>
  <c r="D15" i="2"/>
  <c r="B15" i="2"/>
  <c r="R14" i="2"/>
  <c r="I14" i="2"/>
  <c r="G14" i="2"/>
  <c r="D14" i="2"/>
  <c r="B14" i="2"/>
  <c r="R13" i="2"/>
  <c r="I13" i="2"/>
  <c r="G13" i="2"/>
  <c r="D13" i="2"/>
  <c r="B13" i="2"/>
  <c r="R12" i="2"/>
  <c r="I12" i="2"/>
  <c r="G12" i="2"/>
  <c r="D12" i="2"/>
  <c r="B12" i="2"/>
  <c r="R11" i="2"/>
  <c r="I11" i="2"/>
  <c r="G11" i="2"/>
  <c r="D11" i="2"/>
  <c r="B11" i="2"/>
  <c r="R10" i="2"/>
  <c r="I10" i="2"/>
  <c r="G10" i="2"/>
  <c r="D10" i="2"/>
  <c r="B10" i="2"/>
  <c r="R9" i="2"/>
  <c r="I9" i="2"/>
  <c r="G9" i="2"/>
  <c r="D9" i="2"/>
  <c r="B9" i="2"/>
  <c r="R8" i="2"/>
  <c r="I8" i="2"/>
  <c r="G8" i="2"/>
  <c r="D8" i="2"/>
  <c r="B8" i="2"/>
  <c r="R7" i="2"/>
  <c r="I7" i="2"/>
  <c r="G7" i="2"/>
  <c r="D7" i="2"/>
  <c r="B7" i="2"/>
  <c r="R6" i="2"/>
  <c r="I6" i="2"/>
  <c r="G6" i="2"/>
  <c r="D6" i="2"/>
  <c r="B6" i="2"/>
  <c r="R5" i="2"/>
  <c r="I5" i="2"/>
  <c r="G5" i="2"/>
  <c r="D5" i="2"/>
  <c r="B5" i="2"/>
  <c r="R4" i="2"/>
  <c r="I4" i="2"/>
  <c r="G4" i="2"/>
  <c r="D4" i="2"/>
  <c r="B4" i="2"/>
  <c r="R3" i="2"/>
  <c r="I3" i="2"/>
  <c r="G3" i="2"/>
  <c r="D3" i="2"/>
  <c r="B3" i="2"/>
  <c r="R2" i="2"/>
  <c r="I2" i="2"/>
  <c r="G2" i="2"/>
  <c r="D2" i="2"/>
  <c r="B2" i="2"/>
  <c r="R1113" i="1"/>
  <c r="I1113" i="1"/>
  <c r="G1113" i="1"/>
  <c r="D1113" i="1"/>
  <c r="B1113" i="1"/>
  <c r="R1112" i="1"/>
  <c r="I1112" i="1"/>
  <c r="G1112" i="1"/>
  <c r="D1112" i="1"/>
  <c r="B1112" i="1"/>
  <c r="R1111" i="1"/>
  <c r="I1111" i="1"/>
  <c r="G1111" i="1"/>
  <c r="D1111" i="1"/>
  <c r="B1111" i="1"/>
  <c r="R1110" i="1"/>
  <c r="I1110" i="1"/>
  <c r="G1110" i="1"/>
  <c r="D1110" i="1"/>
  <c r="B1110" i="1"/>
  <c r="R1109" i="1"/>
  <c r="I1109" i="1"/>
  <c r="G1109" i="1"/>
  <c r="D1109" i="1"/>
  <c r="B1109" i="1"/>
  <c r="R1108" i="1"/>
  <c r="I1108" i="1"/>
  <c r="G1108" i="1"/>
  <c r="D1108" i="1"/>
  <c r="B1108" i="1"/>
  <c r="R1107" i="1"/>
  <c r="I1107" i="1"/>
  <c r="G1107" i="1"/>
  <c r="D1107" i="1"/>
  <c r="B1107" i="1"/>
  <c r="R1106" i="1"/>
  <c r="I1106" i="1"/>
  <c r="G1106" i="1"/>
  <c r="D1106" i="1"/>
  <c r="B1106" i="1"/>
  <c r="R1105" i="1"/>
  <c r="I1105" i="1"/>
  <c r="G1105" i="1"/>
  <c r="D1105" i="1"/>
  <c r="B1105" i="1"/>
  <c r="R1104" i="1"/>
  <c r="I1104" i="1"/>
  <c r="G1104" i="1"/>
  <c r="D1104" i="1"/>
  <c r="B1104" i="1"/>
  <c r="R1103" i="1"/>
  <c r="I1103" i="1"/>
  <c r="G1103" i="1"/>
  <c r="D1103" i="1"/>
  <c r="B1103" i="1"/>
  <c r="R1102" i="1"/>
  <c r="I1102" i="1"/>
  <c r="G1102" i="1"/>
  <c r="D1102" i="1"/>
  <c r="B1102" i="1"/>
  <c r="R1101" i="1"/>
  <c r="I1101" i="1"/>
  <c r="G1101" i="1"/>
  <c r="D1101" i="1"/>
  <c r="B1101" i="1"/>
  <c r="R1100" i="1"/>
  <c r="I1100" i="1"/>
  <c r="G1100" i="1"/>
  <c r="D1100" i="1"/>
  <c r="B1100" i="1"/>
  <c r="R1099" i="1"/>
  <c r="I1099" i="1"/>
  <c r="G1099" i="1"/>
  <c r="D1099" i="1"/>
  <c r="B1099" i="1"/>
  <c r="R1098" i="1"/>
  <c r="I1098" i="1"/>
  <c r="G1098" i="1"/>
  <c r="D1098" i="1"/>
  <c r="B1098" i="1"/>
  <c r="R1097" i="1"/>
  <c r="I1097" i="1"/>
  <c r="G1097" i="1"/>
  <c r="D1097" i="1"/>
  <c r="B1097" i="1"/>
  <c r="R1096" i="1"/>
  <c r="I1096" i="1"/>
  <c r="G1096" i="1"/>
  <c r="D1096" i="1"/>
  <c r="B1096" i="1"/>
  <c r="R1095" i="1"/>
  <c r="I1095" i="1"/>
  <c r="G1095" i="1"/>
  <c r="D1095" i="1"/>
  <c r="B1095" i="1"/>
  <c r="R1094" i="1"/>
  <c r="I1094" i="1"/>
  <c r="G1094" i="1"/>
  <c r="D1094" i="1"/>
  <c r="B1094" i="1"/>
  <c r="R1093" i="1"/>
  <c r="I1093" i="1"/>
  <c r="G1093" i="1"/>
  <c r="D1093" i="1"/>
  <c r="B1093" i="1"/>
  <c r="R1092" i="1"/>
  <c r="I1092" i="1"/>
  <c r="G1092" i="1"/>
  <c r="D1092" i="1"/>
  <c r="B1092" i="1"/>
  <c r="R1091" i="1"/>
  <c r="I1091" i="1"/>
  <c r="G1091" i="1"/>
  <c r="D1091" i="1"/>
  <c r="B1091" i="1"/>
  <c r="R1090" i="1"/>
  <c r="I1090" i="1"/>
  <c r="G1090" i="1"/>
  <c r="D1090" i="1"/>
  <c r="B1090" i="1"/>
  <c r="R1089" i="1"/>
  <c r="I1089" i="1"/>
  <c r="G1089" i="1"/>
  <c r="D1089" i="1"/>
  <c r="B1089" i="1"/>
  <c r="R1088" i="1"/>
  <c r="I1088" i="1"/>
  <c r="G1088" i="1"/>
  <c r="D1088" i="1"/>
  <c r="B1088" i="1"/>
  <c r="R1087" i="1"/>
  <c r="I1087" i="1"/>
  <c r="G1087" i="1"/>
  <c r="D1087" i="1"/>
  <c r="B1087" i="1"/>
  <c r="R1086" i="1"/>
  <c r="I1086" i="1"/>
  <c r="G1086" i="1"/>
  <c r="D1086" i="1"/>
  <c r="B1086" i="1"/>
  <c r="R1085" i="1"/>
  <c r="I1085" i="1"/>
  <c r="G1085" i="1"/>
  <c r="D1085" i="1"/>
  <c r="B1085" i="1"/>
  <c r="R1084" i="1"/>
  <c r="I1084" i="1"/>
  <c r="G1084" i="1"/>
  <c r="D1084" i="1"/>
  <c r="B1084" i="1"/>
  <c r="R1083" i="1"/>
  <c r="I1083" i="1"/>
  <c r="G1083" i="1"/>
  <c r="D1083" i="1"/>
  <c r="B1083" i="1"/>
  <c r="R1082" i="1"/>
  <c r="I1082" i="1"/>
  <c r="G1082" i="1"/>
  <c r="D1082" i="1"/>
  <c r="B1082" i="1"/>
  <c r="R1081" i="1"/>
  <c r="I1081" i="1"/>
  <c r="G1081" i="1"/>
  <c r="D1081" i="1"/>
  <c r="B1081" i="1"/>
  <c r="R1080" i="1"/>
  <c r="I1080" i="1"/>
  <c r="G1080" i="1"/>
  <c r="D1080" i="1"/>
  <c r="B1080" i="1"/>
  <c r="R1079" i="1"/>
  <c r="I1079" i="1"/>
  <c r="G1079" i="1"/>
  <c r="D1079" i="1"/>
  <c r="B1079" i="1"/>
  <c r="R1078" i="1"/>
  <c r="I1078" i="1"/>
  <c r="G1078" i="1"/>
  <c r="D1078" i="1"/>
  <c r="B1078" i="1"/>
  <c r="R1077" i="1"/>
  <c r="I1077" i="1"/>
  <c r="G1077" i="1"/>
  <c r="D1077" i="1"/>
  <c r="B1077" i="1"/>
  <c r="R1076" i="1"/>
  <c r="I1076" i="1"/>
  <c r="G1076" i="1"/>
  <c r="D1076" i="1"/>
  <c r="B1076" i="1"/>
  <c r="R1075" i="1"/>
  <c r="I1075" i="1"/>
  <c r="G1075" i="1"/>
  <c r="D1075" i="1"/>
  <c r="B1075" i="1"/>
  <c r="R1074" i="1"/>
  <c r="I1074" i="1"/>
  <c r="G1074" i="1"/>
  <c r="D1074" i="1"/>
  <c r="B1074" i="1"/>
  <c r="R1073" i="1"/>
  <c r="I1073" i="1"/>
  <c r="G1073" i="1"/>
  <c r="D1073" i="1"/>
  <c r="B1073" i="1"/>
  <c r="R1072" i="1"/>
  <c r="I1072" i="1"/>
  <c r="G1072" i="1"/>
  <c r="D1072" i="1"/>
  <c r="B1072" i="1"/>
  <c r="R1071" i="1"/>
  <c r="I1071" i="1"/>
  <c r="G1071" i="1"/>
  <c r="D1071" i="1"/>
  <c r="B1071" i="1"/>
  <c r="R1070" i="1"/>
  <c r="I1070" i="1"/>
  <c r="G1070" i="1"/>
  <c r="D1070" i="1"/>
  <c r="B1070" i="1"/>
  <c r="R1069" i="1"/>
  <c r="I1069" i="1"/>
  <c r="G1069" i="1"/>
  <c r="D1069" i="1"/>
  <c r="B1069" i="1"/>
  <c r="R1068" i="1"/>
  <c r="I1068" i="1"/>
  <c r="G1068" i="1"/>
  <c r="D1068" i="1"/>
  <c r="B1068" i="1"/>
  <c r="R1067" i="1"/>
  <c r="I1067" i="1"/>
  <c r="G1067" i="1"/>
  <c r="D1067" i="1"/>
  <c r="B1067" i="1"/>
  <c r="R1066" i="1"/>
  <c r="I1066" i="1"/>
  <c r="G1066" i="1"/>
  <c r="D1066" i="1"/>
  <c r="B1066" i="1"/>
  <c r="R1065" i="1"/>
  <c r="I1065" i="1"/>
  <c r="G1065" i="1"/>
  <c r="D1065" i="1"/>
  <c r="B1065" i="1"/>
  <c r="R1064" i="1"/>
  <c r="I1064" i="1"/>
  <c r="G1064" i="1"/>
  <c r="D1064" i="1"/>
  <c r="B1064" i="1"/>
  <c r="R1063" i="1"/>
  <c r="I1063" i="1"/>
  <c r="G1063" i="1"/>
  <c r="D1063" i="1"/>
  <c r="B1063" i="1"/>
  <c r="R1062" i="1"/>
  <c r="I1062" i="1"/>
  <c r="G1062" i="1"/>
  <c r="D1062" i="1"/>
  <c r="B1062" i="1"/>
  <c r="R1061" i="1"/>
  <c r="I1061" i="1"/>
  <c r="G1061" i="1"/>
  <c r="D1061" i="1"/>
  <c r="B1061" i="1"/>
  <c r="R1060" i="1"/>
  <c r="I1060" i="1"/>
  <c r="G1060" i="1"/>
  <c r="D1060" i="1"/>
  <c r="B1060" i="1"/>
  <c r="R1059" i="1"/>
  <c r="I1059" i="1"/>
  <c r="G1059" i="1"/>
  <c r="D1059" i="1"/>
  <c r="B1059" i="1"/>
  <c r="R1058" i="1"/>
  <c r="I1058" i="1"/>
  <c r="G1058" i="1"/>
  <c r="D1058" i="1"/>
  <c r="B1058" i="1"/>
  <c r="R1057" i="1"/>
  <c r="I1057" i="1"/>
  <c r="G1057" i="1"/>
  <c r="D1057" i="1"/>
  <c r="B1057" i="1"/>
  <c r="R1056" i="1"/>
  <c r="I1056" i="1"/>
  <c r="G1056" i="1"/>
  <c r="D1056" i="1"/>
  <c r="B1056" i="1"/>
  <c r="R1055" i="1"/>
  <c r="I1055" i="1"/>
  <c r="G1055" i="1"/>
  <c r="D1055" i="1"/>
  <c r="B1055" i="1"/>
  <c r="R1054" i="1"/>
  <c r="I1054" i="1"/>
  <c r="G1054" i="1"/>
  <c r="D1054" i="1"/>
  <c r="B1054" i="1"/>
  <c r="R1053" i="1"/>
  <c r="I1053" i="1"/>
  <c r="G1053" i="1"/>
  <c r="D1053" i="1"/>
  <c r="B1053" i="1"/>
  <c r="R1052" i="1"/>
  <c r="I1052" i="1"/>
  <c r="G1052" i="1"/>
  <c r="D1052" i="1"/>
  <c r="B1052" i="1"/>
  <c r="R1051" i="1"/>
  <c r="I1051" i="1"/>
  <c r="G1051" i="1"/>
  <c r="D1051" i="1"/>
  <c r="B1051" i="1"/>
  <c r="R1050" i="1"/>
  <c r="I1050" i="1"/>
  <c r="G1050" i="1"/>
  <c r="D1050" i="1"/>
  <c r="B1050" i="1"/>
  <c r="R1049" i="1"/>
  <c r="I1049" i="1"/>
  <c r="G1049" i="1"/>
  <c r="D1049" i="1"/>
  <c r="B1049" i="1"/>
  <c r="R1048" i="1"/>
  <c r="I1048" i="1"/>
  <c r="G1048" i="1"/>
  <c r="D1048" i="1"/>
  <c r="B1048" i="1"/>
  <c r="R1047" i="1"/>
  <c r="I1047" i="1"/>
  <c r="G1047" i="1"/>
  <c r="D1047" i="1"/>
  <c r="B1047" i="1"/>
  <c r="R1046" i="1"/>
  <c r="I1046" i="1"/>
  <c r="G1046" i="1"/>
  <c r="D1046" i="1"/>
  <c r="B1046" i="1"/>
  <c r="R1045" i="1"/>
  <c r="I1045" i="1"/>
  <c r="G1045" i="1"/>
  <c r="D1045" i="1"/>
  <c r="B1045" i="1"/>
  <c r="R1044" i="1"/>
  <c r="I1044" i="1"/>
  <c r="G1044" i="1"/>
  <c r="D1044" i="1"/>
  <c r="B1044" i="1"/>
  <c r="R1043" i="1"/>
  <c r="I1043" i="1"/>
  <c r="G1043" i="1"/>
  <c r="D1043" i="1"/>
  <c r="B1043" i="1"/>
  <c r="R1042" i="1"/>
  <c r="I1042" i="1"/>
  <c r="G1042" i="1"/>
  <c r="D1042" i="1"/>
  <c r="B1042" i="1"/>
  <c r="R1041" i="1"/>
  <c r="I1041" i="1"/>
  <c r="G1041" i="1"/>
  <c r="D1041" i="1"/>
  <c r="B1041" i="1"/>
  <c r="R1040" i="1"/>
  <c r="I1040" i="1"/>
  <c r="G1040" i="1"/>
  <c r="D1040" i="1"/>
  <c r="B1040" i="1"/>
  <c r="R1039" i="1"/>
  <c r="I1039" i="1"/>
  <c r="G1039" i="1"/>
  <c r="D1039" i="1"/>
  <c r="B1039" i="1"/>
  <c r="R1038" i="1"/>
  <c r="I1038" i="1"/>
  <c r="G1038" i="1"/>
  <c r="D1038" i="1"/>
  <c r="B1038" i="1"/>
  <c r="R1037" i="1"/>
  <c r="I1037" i="1"/>
  <c r="G1037" i="1"/>
  <c r="D1037" i="1"/>
  <c r="B1037" i="1"/>
  <c r="R1036" i="1"/>
  <c r="I1036" i="1"/>
  <c r="G1036" i="1"/>
  <c r="D1036" i="1"/>
  <c r="B1036" i="1"/>
  <c r="R1035" i="1"/>
  <c r="I1035" i="1"/>
  <c r="G1035" i="1"/>
  <c r="D1035" i="1"/>
  <c r="B1035" i="1"/>
  <c r="R1034" i="1"/>
  <c r="I1034" i="1"/>
  <c r="G1034" i="1"/>
  <c r="D1034" i="1"/>
  <c r="B1034" i="1"/>
  <c r="R1033" i="1"/>
  <c r="I1033" i="1"/>
  <c r="G1033" i="1"/>
  <c r="D1033" i="1"/>
  <c r="B1033" i="1"/>
  <c r="R1032" i="1"/>
  <c r="I1032" i="1"/>
  <c r="G1032" i="1"/>
  <c r="D1032" i="1"/>
  <c r="B1032" i="1"/>
  <c r="R1031" i="1"/>
  <c r="I1031" i="1"/>
  <c r="G1031" i="1"/>
  <c r="D1031" i="1"/>
  <c r="B1031" i="1"/>
  <c r="R1030" i="1"/>
  <c r="I1030" i="1"/>
  <c r="G1030" i="1"/>
  <c r="D1030" i="1"/>
  <c r="B1030" i="1"/>
  <c r="R1029" i="1"/>
  <c r="I1029" i="1"/>
  <c r="G1029" i="1"/>
  <c r="D1029" i="1"/>
  <c r="B1029" i="1"/>
  <c r="R1028" i="1"/>
  <c r="I1028" i="1"/>
  <c r="G1028" i="1"/>
  <c r="D1028" i="1"/>
  <c r="B1028" i="1"/>
  <c r="R1027" i="1"/>
  <c r="I1027" i="1"/>
  <c r="G1027" i="1"/>
  <c r="D1027" i="1"/>
  <c r="B1027" i="1"/>
  <c r="R1026" i="1"/>
  <c r="I1026" i="1"/>
  <c r="G1026" i="1"/>
  <c r="D1026" i="1"/>
  <c r="B1026" i="1"/>
  <c r="R1025" i="1"/>
  <c r="I1025" i="1"/>
  <c r="G1025" i="1"/>
  <c r="D1025" i="1"/>
  <c r="B1025" i="1"/>
  <c r="R1024" i="1"/>
  <c r="I1024" i="1"/>
  <c r="G1024" i="1"/>
  <c r="D1024" i="1"/>
  <c r="B1024" i="1"/>
  <c r="R1023" i="1"/>
  <c r="I1023" i="1"/>
  <c r="G1023" i="1"/>
  <c r="D1023" i="1"/>
  <c r="B1023" i="1"/>
  <c r="R1022" i="1"/>
  <c r="I1022" i="1"/>
  <c r="G1022" i="1"/>
  <c r="D1022" i="1"/>
  <c r="B1022" i="1"/>
  <c r="R1021" i="1"/>
  <c r="I1021" i="1"/>
  <c r="G1021" i="1"/>
  <c r="D1021" i="1"/>
  <c r="B1021" i="1"/>
  <c r="R1020" i="1"/>
  <c r="I1020" i="1"/>
  <c r="G1020" i="1"/>
  <c r="D1020" i="1"/>
  <c r="B1020" i="1"/>
  <c r="R1019" i="1"/>
  <c r="I1019" i="1"/>
  <c r="G1019" i="1"/>
  <c r="D1019" i="1"/>
  <c r="B1019" i="1"/>
  <c r="R1018" i="1"/>
  <c r="I1018" i="1"/>
  <c r="G1018" i="1"/>
  <c r="D1018" i="1"/>
  <c r="B1018" i="1"/>
  <c r="R1017" i="1"/>
  <c r="I1017" i="1"/>
  <c r="G1017" i="1"/>
  <c r="D1017" i="1"/>
  <c r="B1017" i="1"/>
  <c r="R1016" i="1"/>
  <c r="I1016" i="1"/>
  <c r="G1016" i="1"/>
  <c r="D1016" i="1"/>
  <c r="B1016" i="1"/>
  <c r="R1015" i="1"/>
  <c r="I1015" i="1"/>
  <c r="G1015" i="1"/>
  <c r="D1015" i="1"/>
  <c r="B1015" i="1"/>
  <c r="R1014" i="1"/>
  <c r="I1014" i="1"/>
  <c r="G1014" i="1"/>
  <c r="D1014" i="1"/>
  <c r="B1014" i="1"/>
  <c r="R1013" i="1"/>
  <c r="I1013" i="1"/>
  <c r="G1013" i="1"/>
  <c r="D1013" i="1"/>
  <c r="B1013" i="1"/>
  <c r="R1012" i="1"/>
  <c r="I1012" i="1"/>
  <c r="G1012" i="1"/>
  <c r="D1012" i="1"/>
  <c r="B1012" i="1"/>
  <c r="R1011" i="1"/>
  <c r="I1011" i="1"/>
  <c r="G1011" i="1"/>
  <c r="D1011" i="1"/>
  <c r="B1011" i="1"/>
  <c r="R1010" i="1"/>
  <c r="I1010" i="1"/>
  <c r="G1010" i="1"/>
  <c r="D1010" i="1"/>
  <c r="B1010" i="1"/>
  <c r="R1009" i="1"/>
  <c r="I1009" i="1"/>
  <c r="G1009" i="1"/>
  <c r="D1009" i="1"/>
  <c r="B1009" i="1"/>
  <c r="R1008" i="1"/>
  <c r="I1008" i="1"/>
  <c r="G1008" i="1"/>
  <c r="D1008" i="1"/>
  <c r="B1008" i="1"/>
  <c r="R1007" i="1"/>
  <c r="I1007" i="1"/>
  <c r="G1007" i="1"/>
  <c r="D1007" i="1"/>
  <c r="B1007" i="1"/>
  <c r="R1006" i="1"/>
  <c r="I1006" i="1"/>
  <c r="G1006" i="1"/>
  <c r="D1006" i="1"/>
  <c r="B1006" i="1"/>
  <c r="R1005" i="1"/>
  <c r="I1005" i="1"/>
  <c r="G1005" i="1"/>
  <c r="D1005" i="1"/>
  <c r="B1005" i="1"/>
  <c r="R1004" i="1"/>
  <c r="I1004" i="1"/>
  <c r="G1004" i="1"/>
  <c r="D1004" i="1"/>
  <c r="B1004" i="1"/>
  <c r="R1003" i="1"/>
  <c r="I1003" i="1"/>
  <c r="G1003" i="1"/>
  <c r="D1003" i="1"/>
  <c r="B1003" i="1"/>
  <c r="R1002" i="1"/>
  <c r="I1002" i="1"/>
  <c r="G1002" i="1"/>
  <c r="D1002" i="1"/>
  <c r="B1002" i="1"/>
  <c r="R1001" i="1"/>
  <c r="I1001" i="1"/>
  <c r="G1001" i="1"/>
  <c r="D1001" i="1"/>
  <c r="B1001" i="1"/>
  <c r="R1000" i="1"/>
  <c r="I1000" i="1"/>
  <c r="G1000" i="1"/>
  <c r="D1000" i="1"/>
  <c r="B1000" i="1"/>
  <c r="R999" i="1"/>
  <c r="I999" i="1"/>
  <c r="G999" i="1"/>
  <c r="D999" i="1"/>
  <c r="B999" i="1"/>
  <c r="R998" i="1"/>
  <c r="I998" i="1"/>
  <c r="G998" i="1"/>
  <c r="D998" i="1"/>
  <c r="B998" i="1"/>
  <c r="R997" i="1"/>
  <c r="I997" i="1"/>
  <c r="G997" i="1"/>
  <c r="D997" i="1"/>
  <c r="B997" i="1"/>
  <c r="R996" i="1"/>
  <c r="I996" i="1"/>
  <c r="G996" i="1"/>
  <c r="D996" i="1"/>
  <c r="B996" i="1"/>
  <c r="R995" i="1"/>
  <c r="I995" i="1"/>
  <c r="G995" i="1"/>
  <c r="D995" i="1"/>
  <c r="B995" i="1"/>
  <c r="R994" i="1"/>
  <c r="I994" i="1"/>
  <c r="G994" i="1"/>
  <c r="D994" i="1"/>
  <c r="B994" i="1"/>
  <c r="R993" i="1"/>
  <c r="I993" i="1"/>
  <c r="G993" i="1"/>
  <c r="D993" i="1"/>
  <c r="B993" i="1"/>
  <c r="R992" i="1"/>
  <c r="I992" i="1"/>
  <c r="G992" i="1"/>
  <c r="D992" i="1"/>
  <c r="B992" i="1"/>
  <c r="R991" i="1"/>
  <c r="I991" i="1"/>
  <c r="G991" i="1"/>
  <c r="D991" i="1"/>
  <c r="B991" i="1"/>
  <c r="R990" i="1"/>
  <c r="I990" i="1"/>
  <c r="G990" i="1"/>
  <c r="D990" i="1"/>
  <c r="B990" i="1"/>
  <c r="R989" i="1"/>
  <c r="I989" i="1"/>
  <c r="G989" i="1"/>
  <c r="D989" i="1"/>
  <c r="B989" i="1"/>
  <c r="R988" i="1"/>
  <c r="I988" i="1"/>
  <c r="G988" i="1"/>
  <c r="D988" i="1"/>
  <c r="B988" i="1"/>
  <c r="R987" i="1"/>
  <c r="I987" i="1"/>
  <c r="G987" i="1"/>
  <c r="D987" i="1"/>
  <c r="B987" i="1"/>
  <c r="R986" i="1"/>
  <c r="I986" i="1"/>
  <c r="G986" i="1"/>
  <c r="D986" i="1"/>
  <c r="B986" i="1"/>
  <c r="R985" i="1"/>
  <c r="I985" i="1"/>
  <c r="G985" i="1"/>
  <c r="D985" i="1"/>
  <c r="B985" i="1"/>
  <c r="R984" i="1"/>
  <c r="I984" i="1"/>
  <c r="G984" i="1"/>
  <c r="D984" i="1"/>
  <c r="B984" i="1"/>
  <c r="R983" i="1"/>
  <c r="I983" i="1"/>
  <c r="G983" i="1"/>
  <c r="D983" i="1"/>
  <c r="B983" i="1"/>
  <c r="R982" i="1"/>
  <c r="I982" i="1"/>
  <c r="G982" i="1"/>
  <c r="D982" i="1"/>
  <c r="B982" i="1"/>
  <c r="R981" i="1"/>
  <c r="I981" i="1"/>
  <c r="G981" i="1"/>
  <c r="D981" i="1"/>
  <c r="B981" i="1"/>
  <c r="R980" i="1"/>
  <c r="I980" i="1"/>
  <c r="G980" i="1"/>
  <c r="D980" i="1"/>
  <c r="B980" i="1"/>
  <c r="R979" i="1"/>
  <c r="I979" i="1"/>
  <c r="G979" i="1"/>
  <c r="D979" i="1"/>
  <c r="B979" i="1"/>
  <c r="R978" i="1"/>
  <c r="I978" i="1"/>
  <c r="G978" i="1"/>
  <c r="D978" i="1"/>
  <c r="B978" i="1"/>
  <c r="R977" i="1"/>
  <c r="I977" i="1"/>
  <c r="G977" i="1"/>
  <c r="D977" i="1"/>
  <c r="B977" i="1"/>
  <c r="R976" i="1"/>
  <c r="I976" i="1"/>
  <c r="G976" i="1"/>
  <c r="D976" i="1"/>
  <c r="B976" i="1"/>
  <c r="R975" i="1"/>
  <c r="I975" i="1"/>
  <c r="G975" i="1"/>
  <c r="D975" i="1"/>
  <c r="B975" i="1"/>
  <c r="R974" i="1"/>
  <c r="I974" i="1"/>
  <c r="G974" i="1"/>
  <c r="D974" i="1"/>
  <c r="B974" i="1"/>
  <c r="R973" i="1"/>
  <c r="I973" i="1"/>
  <c r="G973" i="1"/>
  <c r="D973" i="1"/>
  <c r="B973" i="1"/>
  <c r="R972" i="1"/>
  <c r="I972" i="1"/>
  <c r="G972" i="1"/>
  <c r="D972" i="1"/>
  <c r="B972" i="1"/>
  <c r="R971" i="1"/>
  <c r="I971" i="1"/>
  <c r="G971" i="1"/>
  <c r="D971" i="1"/>
  <c r="B971" i="1"/>
  <c r="R970" i="1"/>
  <c r="I970" i="1"/>
  <c r="G970" i="1"/>
  <c r="D970" i="1"/>
  <c r="B970" i="1"/>
  <c r="R969" i="1"/>
  <c r="I969" i="1"/>
  <c r="G969" i="1"/>
  <c r="D969" i="1"/>
  <c r="B969" i="1"/>
  <c r="R968" i="1"/>
  <c r="I968" i="1"/>
  <c r="G968" i="1"/>
  <c r="D968" i="1"/>
  <c r="B968" i="1"/>
  <c r="R967" i="1"/>
  <c r="I967" i="1"/>
  <c r="G967" i="1"/>
  <c r="D967" i="1"/>
  <c r="B967" i="1"/>
  <c r="R966" i="1"/>
  <c r="I966" i="1"/>
  <c r="G966" i="1"/>
  <c r="D966" i="1"/>
  <c r="B966" i="1"/>
  <c r="R965" i="1"/>
  <c r="I965" i="1"/>
  <c r="G965" i="1"/>
  <c r="D965" i="1"/>
  <c r="B965" i="1"/>
  <c r="R964" i="1"/>
  <c r="I964" i="1"/>
  <c r="G964" i="1"/>
  <c r="D964" i="1"/>
  <c r="B964" i="1"/>
  <c r="R963" i="1"/>
  <c r="I963" i="1"/>
  <c r="G963" i="1"/>
  <c r="D963" i="1"/>
  <c r="B963" i="1"/>
  <c r="R962" i="1"/>
  <c r="I962" i="1"/>
  <c r="G962" i="1"/>
  <c r="D962" i="1"/>
  <c r="B962" i="1"/>
  <c r="R961" i="1"/>
  <c r="I961" i="1"/>
  <c r="G961" i="1"/>
  <c r="D961" i="1"/>
  <c r="B961" i="1"/>
  <c r="R960" i="1"/>
  <c r="I960" i="1"/>
  <c r="G960" i="1"/>
  <c r="D960" i="1"/>
  <c r="B960" i="1"/>
  <c r="R959" i="1"/>
  <c r="I959" i="1"/>
  <c r="G959" i="1"/>
  <c r="D959" i="1"/>
  <c r="B959" i="1"/>
  <c r="R958" i="1"/>
  <c r="I958" i="1"/>
  <c r="G958" i="1"/>
  <c r="D958" i="1"/>
  <c r="B958" i="1"/>
  <c r="R957" i="1"/>
  <c r="I957" i="1"/>
  <c r="G957" i="1"/>
  <c r="D957" i="1"/>
  <c r="B957" i="1"/>
  <c r="R956" i="1"/>
  <c r="I956" i="1"/>
  <c r="G956" i="1"/>
  <c r="D956" i="1"/>
  <c r="B956" i="1"/>
  <c r="R955" i="1"/>
  <c r="I955" i="1"/>
  <c r="G955" i="1"/>
  <c r="D955" i="1"/>
  <c r="B955" i="1"/>
  <c r="R954" i="1"/>
  <c r="I954" i="1"/>
  <c r="G954" i="1"/>
  <c r="D954" i="1"/>
  <c r="B954" i="1"/>
  <c r="R953" i="1"/>
  <c r="I953" i="1"/>
  <c r="G953" i="1"/>
  <c r="D953" i="1"/>
  <c r="B953" i="1"/>
  <c r="R952" i="1"/>
  <c r="I952" i="1"/>
  <c r="G952" i="1"/>
  <c r="D952" i="1"/>
  <c r="B952" i="1"/>
  <c r="R951" i="1"/>
  <c r="I951" i="1"/>
  <c r="G951" i="1"/>
  <c r="D951" i="1"/>
  <c r="B951" i="1"/>
  <c r="R950" i="1"/>
  <c r="I950" i="1"/>
  <c r="G950" i="1"/>
  <c r="D950" i="1"/>
  <c r="B950" i="1"/>
  <c r="R949" i="1"/>
  <c r="I949" i="1"/>
  <c r="G949" i="1"/>
  <c r="D949" i="1"/>
  <c r="B949" i="1"/>
  <c r="R948" i="1"/>
  <c r="I948" i="1"/>
  <c r="G948" i="1"/>
  <c r="D948" i="1"/>
  <c r="B948" i="1"/>
  <c r="R947" i="1"/>
  <c r="I947" i="1"/>
  <c r="G947" i="1"/>
  <c r="D947" i="1"/>
  <c r="B947" i="1"/>
  <c r="R946" i="1"/>
  <c r="I946" i="1"/>
  <c r="G946" i="1"/>
  <c r="D946" i="1"/>
  <c r="B946" i="1"/>
  <c r="R945" i="1"/>
  <c r="I945" i="1"/>
  <c r="G945" i="1"/>
  <c r="D945" i="1"/>
  <c r="B945" i="1"/>
  <c r="R944" i="1"/>
  <c r="I944" i="1"/>
  <c r="G944" i="1"/>
  <c r="D944" i="1"/>
  <c r="B944" i="1"/>
  <c r="R943" i="1"/>
  <c r="I943" i="1"/>
  <c r="G943" i="1"/>
  <c r="D943" i="1"/>
  <c r="B943" i="1"/>
  <c r="R942" i="1"/>
  <c r="I942" i="1"/>
  <c r="G942" i="1"/>
  <c r="D942" i="1"/>
  <c r="B942" i="1"/>
  <c r="R941" i="1"/>
  <c r="I941" i="1"/>
  <c r="G941" i="1"/>
  <c r="D941" i="1"/>
  <c r="B941" i="1"/>
  <c r="R940" i="1"/>
  <c r="I940" i="1"/>
  <c r="G940" i="1"/>
  <c r="D940" i="1"/>
  <c r="B940" i="1"/>
  <c r="R939" i="1"/>
  <c r="I939" i="1"/>
  <c r="G939" i="1"/>
  <c r="D939" i="1"/>
  <c r="B939" i="1"/>
  <c r="R938" i="1"/>
  <c r="I938" i="1"/>
  <c r="G938" i="1"/>
  <c r="D938" i="1"/>
  <c r="B938" i="1"/>
  <c r="R937" i="1"/>
  <c r="I937" i="1"/>
  <c r="G937" i="1"/>
  <c r="D937" i="1"/>
  <c r="B937" i="1"/>
  <c r="R936" i="1"/>
  <c r="I936" i="1"/>
  <c r="G936" i="1"/>
  <c r="D936" i="1"/>
  <c r="B936" i="1"/>
  <c r="R935" i="1"/>
  <c r="I935" i="1"/>
  <c r="G935" i="1"/>
  <c r="D935" i="1"/>
  <c r="B935" i="1"/>
  <c r="R934" i="1"/>
  <c r="I934" i="1"/>
  <c r="G934" i="1"/>
  <c r="D934" i="1"/>
  <c r="B934" i="1"/>
  <c r="R933" i="1"/>
  <c r="I933" i="1"/>
  <c r="G933" i="1"/>
  <c r="D933" i="1"/>
  <c r="B933" i="1"/>
  <c r="R932" i="1"/>
  <c r="I932" i="1"/>
  <c r="G932" i="1"/>
  <c r="D932" i="1"/>
  <c r="B932" i="1"/>
  <c r="R931" i="1"/>
  <c r="I931" i="1"/>
  <c r="G931" i="1"/>
  <c r="D931" i="1"/>
  <c r="B931" i="1"/>
  <c r="R930" i="1"/>
  <c r="I930" i="1"/>
  <c r="G930" i="1"/>
  <c r="D930" i="1"/>
  <c r="B930" i="1"/>
  <c r="R929" i="1"/>
  <c r="I929" i="1"/>
  <c r="G929" i="1"/>
  <c r="D929" i="1"/>
  <c r="B929" i="1"/>
  <c r="R928" i="1"/>
  <c r="I928" i="1"/>
  <c r="G928" i="1"/>
  <c r="D928" i="1"/>
  <c r="B928" i="1"/>
  <c r="R927" i="1"/>
  <c r="I927" i="1"/>
  <c r="G927" i="1"/>
  <c r="D927" i="1"/>
  <c r="B927" i="1"/>
  <c r="R926" i="1"/>
  <c r="I926" i="1"/>
  <c r="G926" i="1"/>
  <c r="D926" i="1"/>
  <c r="B926" i="1"/>
  <c r="R925" i="1"/>
  <c r="I925" i="1"/>
  <c r="G925" i="1"/>
  <c r="D925" i="1"/>
  <c r="B925" i="1"/>
  <c r="R924" i="1"/>
  <c r="I924" i="1"/>
  <c r="G924" i="1"/>
  <c r="D924" i="1"/>
  <c r="B924" i="1"/>
  <c r="R923" i="1"/>
  <c r="I923" i="1"/>
  <c r="G923" i="1"/>
  <c r="D923" i="1"/>
  <c r="B923" i="1"/>
  <c r="R922" i="1"/>
  <c r="I922" i="1"/>
  <c r="G922" i="1"/>
  <c r="D922" i="1"/>
  <c r="B922" i="1"/>
  <c r="R921" i="1"/>
  <c r="I921" i="1"/>
  <c r="G921" i="1"/>
  <c r="D921" i="1"/>
  <c r="B921" i="1"/>
  <c r="R920" i="1"/>
  <c r="I920" i="1"/>
  <c r="G920" i="1"/>
  <c r="D920" i="1"/>
  <c r="B920" i="1"/>
  <c r="R919" i="1"/>
  <c r="I919" i="1"/>
  <c r="G919" i="1"/>
  <c r="D919" i="1"/>
  <c r="B919" i="1"/>
  <c r="R918" i="1"/>
  <c r="I918" i="1"/>
  <c r="G918" i="1"/>
  <c r="D918" i="1"/>
  <c r="B918" i="1"/>
  <c r="R917" i="1"/>
  <c r="I917" i="1"/>
  <c r="G917" i="1"/>
  <c r="D917" i="1"/>
  <c r="B917" i="1"/>
  <c r="R916" i="1"/>
  <c r="I916" i="1"/>
  <c r="G916" i="1"/>
  <c r="D916" i="1"/>
  <c r="B916" i="1"/>
  <c r="R915" i="1"/>
  <c r="I915" i="1"/>
  <c r="G915" i="1"/>
  <c r="D915" i="1"/>
  <c r="B915" i="1"/>
  <c r="R914" i="1"/>
  <c r="I914" i="1"/>
  <c r="G914" i="1"/>
  <c r="D914" i="1"/>
  <c r="B914" i="1"/>
  <c r="R913" i="1"/>
  <c r="I913" i="1"/>
  <c r="G913" i="1"/>
  <c r="D913" i="1"/>
  <c r="B913" i="1"/>
  <c r="R912" i="1"/>
  <c r="I912" i="1"/>
  <c r="G912" i="1"/>
  <c r="D912" i="1"/>
  <c r="B912" i="1"/>
  <c r="R911" i="1"/>
  <c r="I911" i="1"/>
  <c r="G911" i="1"/>
  <c r="D911" i="1"/>
  <c r="B911" i="1"/>
  <c r="R910" i="1"/>
  <c r="I910" i="1"/>
  <c r="G910" i="1"/>
  <c r="D910" i="1"/>
  <c r="B910" i="1"/>
  <c r="R909" i="1"/>
  <c r="I909" i="1"/>
  <c r="G909" i="1"/>
  <c r="D909" i="1"/>
  <c r="B909" i="1"/>
  <c r="R908" i="1"/>
  <c r="I908" i="1"/>
  <c r="G908" i="1"/>
  <c r="D908" i="1"/>
  <c r="B908" i="1"/>
  <c r="R907" i="1"/>
  <c r="I907" i="1"/>
  <c r="G907" i="1"/>
  <c r="D907" i="1"/>
  <c r="B907" i="1"/>
  <c r="R906" i="1"/>
  <c r="I906" i="1"/>
  <c r="G906" i="1"/>
  <c r="D906" i="1"/>
  <c r="B906" i="1"/>
  <c r="R905" i="1"/>
  <c r="I905" i="1"/>
  <c r="G905" i="1"/>
  <c r="D905" i="1"/>
  <c r="B905" i="1"/>
  <c r="R904" i="1"/>
  <c r="I904" i="1"/>
  <c r="G904" i="1"/>
  <c r="D904" i="1"/>
  <c r="B904" i="1"/>
  <c r="R903" i="1"/>
  <c r="I903" i="1"/>
  <c r="G903" i="1"/>
  <c r="D903" i="1"/>
  <c r="B903" i="1"/>
  <c r="R902" i="1"/>
  <c r="I902" i="1"/>
  <c r="G902" i="1"/>
  <c r="D902" i="1"/>
  <c r="B902" i="1"/>
  <c r="R901" i="1"/>
  <c r="I901" i="1"/>
  <c r="G901" i="1"/>
  <c r="D901" i="1"/>
  <c r="B901" i="1"/>
  <c r="R900" i="1"/>
  <c r="I900" i="1"/>
  <c r="G900" i="1"/>
  <c r="D900" i="1"/>
  <c r="B900" i="1"/>
  <c r="R899" i="1"/>
  <c r="I899" i="1"/>
  <c r="G899" i="1"/>
  <c r="D899" i="1"/>
  <c r="B899" i="1"/>
  <c r="R898" i="1"/>
  <c r="I898" i="1"/>
  <c r="G898" i="1"/>
  <c r="D898" i="1"/>
  <c r="B898" i="1"/>
  <c r="R897" i="1"/>
  <c r="I897" i="1"/>
  <c r="G897" i="1"/>
  <c r="D897" i="1"/>
  <c r="B897" i="1"/>
  <c r="R896" i="1"/>
  <c r="I896" i="1"/>
  <c r="G896" i="1"/>
  <c r="D896" i="1"/>
  <c r="B896" i="1"/>
  <c r="R895" i="1"/>
  <c r="I895" i="1"/>
  <c r="G895" i="1"/>
  <c r="D895" i="1"/>
  <c r="B895" i="1"/>
  <c r="R894" i="1"/>
  <c r="I894" i="1"/>
  <c r="G894" i="1"/>
  <c r="D894" i="1"/>
  <c r="B894" i="1"/>
  <c r="R893" i="1"/>
  <c r="I893" i="1"/>
  <c r="G893" i="1"/>
  <c r="D893" i="1"/>
  <c r="B893" i="1"/>
  <c r="R892" i="1"/>
  <c r="I892" i="1"/>
  <c r="G892" i="1"/>
  <c r="D892" i="1"/>
  <c r="B892" i="1"/>
  <c r="R891" i="1"/>
  <c r="I891" i="1"/>
  <c r="G891" i="1"/>
  <c r="D891" i="1"/>
  <c r="B891" i="1"/>
  <c r="R890" i="1"/>
  <c r="I890" i="1"/>
  <c r="G890" i="1"/>
  <c r="D890" i="1"/>
  <c r="B890" i="1"/>
  <c r="R889" i="1"/>
  <c r="I889" i="1"/>
  <c r="G889" i="1"/>
  <c r="D889" i="1"/>
  <c r="B889" i="1"/>
  <c r="R888" i="1"/>
  <c r="I888" i="1"/>
  <c r="G888" i="1"/>
  <c r="D888" i="1"/>
  <c r="B888" i="1"/>
  <c r="R887" i="1"/>
  <c r="I887" i="1"/>
  <c r="G887" i="1"/>
  <c r="D887" i="1"/>
  <c r="B887" i="1"/>
  <c r="R886" i="1"/>
  <c r="I886" i="1"/>
  <c r="G886" i="1"/>
  <c r="D886" i="1"/>
  <c r="B886" i="1"/>
  <c r="R885" i="1"/>
  <c r="I885" i="1"/>
  <c r="G885" i="1"/>
  <c r="D885" i="1"/>
  <c r="B885" i="1"/>
  <c r="R884" i="1"/>
  <c r="I884" i="1"/>
  <c r="G884" i="1"/>
  <c r="D884" i="1"/>
  <c r="B884" i="1"/>
  <c r="R883" i="1"/>
  <c r="I883" i="1"/>
  <c r="G883" i="1"/>
  <c r="D883" i="1"/>
  <c r="B883" i="1"/>
  <c r="R882" i="1"/>
  <c r="I882" i="1"/>
  <c r="G882" i="1"/>
  <c r="D882" i="1"/>
  <c r="B882" i="1"/>
  <c r="R881" i="1"/>
  <c r="I881" i="1"/>
  <c r="G881" i="1"/>
  <c r="D881" i="1"/>
  <c r="B881" i="1"/>
  <c r="R880" i="1"/>
  <c r="I880" i="1"/>
  <c r="G880" i="1"/>
  <c r="D880" i="1"/>
  <c r="B880" i="1"/>
  <c r="R879" i="1"/>
  <c r="I879" i="1"/>
  <c r="G879" i="1"/>
  <c r="D879" i="1"/>
  <c r="B879" i="1"/>
  <c r="R878" i="1"/>
  <c r="I878" i="1"/>
  <c r="G878" i="1"/>
  <c r="D878" i="1"/>
  <c r="B878" i="1"/>
  <c r="R877" i="1"/>
  <c r="I877" i="1"/>
  <c r="G877" i="1"/>
  <c r="D877" i="1"/>
  <c r="B877" i="1"/>
  <c r="R876" i="1"/>
  <c r="I876" i="1"/>
  <c r="G876" i="1"/>
  <c r="D876" i="1"/>
  <c r="B876" i="1"/>
  <c r="R875" i="1"/>
  <c r="I875" i="1"/>
  <c r="G875" i="1"/>
  <c r="D875" i="1"/>
  <c r="B875" i="1"/>
  <c r="R874" i="1"/>
  <c r="I874" i="1"/>
  <c r="G874" i="1"/>
  <c r="D874" i="1"/>
  <c r="B874" i="1"/>
  <c r="R873" i="1"/>
  <c r="I873" i="1"/>
  <c r="G873" i="1"/>
  <c r="D873" i="1"/>
  <c r="B873" i="1"/>
  <c r="R872" i="1"/>
  <c r="I872" i="1"/>
  <c r="G872" i="1"/>
  <c r="D872" i="1"/>
  <c r="B872" i="1"/>
  <c r="R871" i="1"/>
  <c r="I871" i="1"/>
  <c r="G871" i="1"/>
  <c r="D871" i="1"/>
  <c r="B871" i="1"/>
  <c r="R870" i="1"/>
  <c r="I870" i="1"/>
  <c r="G870" i="1"/>
  <c r="D870" i="1"/>
  <c r="B870" i="1"/>
  <c r="R869" i="1"/>
  <c r="I869" i="1"/>
  <c r="G869" i="1"/>
  <c r="D869" i="1"/>
  <c r="B869" i="1"/>
  <c r="R868" i="1"/>
  <c r="I868" i="1"/>
  <c r="G868" i="1"/>
  <c r="D868" i="1"/>
  <c r="B868" i="1"/>
  <c r="R867" i="1"/>
  <c r="I867" i="1"/>
  <c r="G867" i="1"/>
  <c r="D867" i="1"/>
  <c r="B867" i="1"/>
  <c r="R866" i="1"/>
  <c r="I866" i="1"/>
  <c r="G866" i="1"/>
  <c r="D866" i="1"/>
  <c r="B866" i="1"/>
  <c r="R865" i="1"/>
  <c r="I865" i="1"/>
  <c r="G865" i="1"/>
  <c r="D865" i="1"/>
  <c r="B865" i="1"/>
  <c r="R864" i="1"/>
  <c r="I864" i="1"/>
  <c r="G864" i="1"/>
  <c r="D864" i="1"/>
  <c r="B864" i="1"/>
  <c r="R863" i="1"/>
  <c r="I863" i="1"/>
  <c r="G863" i="1"/>
  <c r="D863" i="1"/>
  <c r="B863" i="1"/>
  <c r="R862" i="1"/>
  <c r="I862" i="1"/>
  <c r="G862" i="1"/>
  <c r="D862" i="1"/>
  <c r="B862" i="1"/>
  <c r="R861" i="1"/>
  <c r="I861" i="1"/>
  <c r="G861" i="1"/>
  <c r="D861" i="1"/>
  <c r="B861" i="1"/>
  <c r="R860" i="1"/>
  <c r="I860" i="1"/>
  <c r="G860" i="1"/>
  <c r="D860" i="1"/>
  <c r="B860" i="1"/>
  <c r="R859" i="1"/>
  <c r="I859" i="1"/>
  <c r="G859" i="1"/>
  <c r="D859" i="1"/>
  <c r="B859" i="1"/>
  <c r="R858" i="1"/>
  <c r="I858" i="1"/>
  <c r="G858" i="1"/>
  <c r="D858" i="1"/>
  <c r="B858" i="1"/>
  <c r="R857" i="1"/>
  <c r="I857" i="1"/>
  <c r="G857" i="1"/>
  <c r="D857" i="1"/>
  <c r="B857" i="1"/>
  <c r="R856" i="1"/>
  <c r="I856" i="1"/>
  <c r="G856" i="1"/>
  <c r="D856" i="1"/>
  <c r="B856" i="1"/>
  <c r="R855" i="1"/>
  <c r="I855" i="1"/>
  <c r="G855" i="1"/>
  <c r="D855" i="1"/>
  <c r="B855" i="1"/>
  <c r="R854" i="1"/>
  <c r="I854" i="1"/>
  <c r="G854" i="1"/>
  <c r="D854" i="1"/>
  <c r="B854" i="1"/>
  <c r="R853" i="1"/>
  <c r="I853" i="1"/>
  <c r="G853" i="1"/>
  <c r="D853" i="1"/>
  <c r="B853" i="1"/>
  <c r="R852" i="1"/>
  <c r="I852" i="1"/>
  <c r="G852" i="1"/>
  <c r="D852" i="1"/>
  <c r="B852" i="1"/>
  <c r="R851" i="1"/>
  <c r="I851" i="1"/>
  <c r="G851" i="1"/>
  <c r="D851" i="1"/>
  <c r="B851" i="1"/>
  <c r="R850" i="1"/>
  <c r="I850" i="1"/>
  <c r="G850" i="1"/>
  <c r="D850" i="1"/>
  <c r="B850" i="1"/>
  <c r="R849" i="1"/>
  <c r="I849" i="1"/>
  <c r="G849" i="1"/>
  <c r="D849" i="1"/>
  <c r="B849" i="1"/>
  <c r="R848" i="1"/>
  <c r="I848" i="1"/>
  <c r="G848" i="1"/>
  <c r="D848" i="1"/>
  <c r="B848" i="1"/>
  <c r="R847" i="1"/>
  <c r="I847" i="1"/>
  <c r="G847" i="1"/>
  <c r="D847" i="1"/>
  <c r="B847" i="1"/>
  <c r="R846" i="1"/>
  <c r="I846" i="1"/>
  <c r="G846" i="1"/>
  <c r="D846" i="1"/>
  <c r="B846" i="1"/>
  <c r="R845" i="1"/>
  <c r="I845" i="1"/>
  <c r="G845" i="1"/>
  <c r="D845" i="1"/>
  <c r="B845" i="1"/>
  <c r="R844" i="1"/>
  <c r="I844" i="1"/>
  <c r="G844" i="1"/>
  <c r="D844" i="1"/>
  <c r="B844" i="1"/>
  <c r="R843" i="1"/>
  <c r="I843" i="1"/>
  <c r="G843" i="1"/>
  <c r="D843" i="1"/>
  <c r="B843" i="1"/>
  <c r="R842" i="1"/>
  <c r="I842" i="1"/>
  <c r="G842" i="1"/>
  <c r="D842" i="1"/>
  <c r="B842" i="1"/>
  <c r="R841" i="1"/>
  <c r="I841" i="1"/>
  <c r="G841" i="1"/>
  <c r="D841" i="1"/>
  <c r="B841" i="1"/>
  <c r="R840" i="1"/>
  <c r="I840" i="1"/>
  <c r="G840" i="1"/>
  <c r="D840" i="1"/>
  <c r="B840" i="1"/>
  <c r="R839" i="1"/>
  <c r="I839" i="1"/>
  <c r="G839" i="1"/>
  <c r="D839" i="1"/>
  <c r="B839" i="1"/>
  <c r="R838" i="1"/>
  <c r="I838" i="1"/>
  <c r="G838" i="1"/>
  <c r="D838" i="1"/>
  <c r="B838" i="1"/>
  <c r="R837" i="1"/>
  <c r="I837" i="1"/>
  <c r="G837" i="1"/>
  <c r="D837" i="1"/>
  <c r="B837" i="1"/>
  <c r="R836" i="1"/>
  <c r="I836" i="1"/>
  <c r="G836" i="1"/>
  <c r="D836" i="1"/>
  <c r="B836" i="1"/>
  <c r="R835" i="1"/>
  <c r="I835" i="1"/>
  <c r="G835" i="1"/>
  <c r="D835" i="1"/>
  <c r="B835" i="1"/>
  <c r="R834" i="1"/>
  <c r="I834" i="1"/>
  <c r="G834" i="1"/>
  <c r="D834" i="1"/>
  <c r="B834" i="1"/>
  <c r="R833" i="1"/>
  <c r="I833" i="1"/>
  <c r="G833" i="1"/>
  <c r="D833" i="1"/>
  <c r="B833" i="1"/>
  <c r="R832" i="1"/>
  <c r="I832" i="1"/>
  <c r="G832" i="1"/>
  <c r="D832" i="1"/>
  <c r="B832" i="1"/>
  <c r="R831" i="1"/>
  <c r="I831" i="1"/>
  <c r="G831" i="1"/>
  <c r="D831" i="1"/>
  <c r="B831" i="1"/>
  <c r="R830" i="1"/>
  <c r="I830" i="1"/>
  <c r="G830" i="1"/>
  <c r="D830" i="1"/>
  <c r="B830" i="1"/>
  <c r="R829" i="1"/>
  <c r="I829" i="1"/>
  <c r="G829" i="1"/>
  <c r="D829" i="1"/>
  <c r="B829" i="1"/>
  <c r="R828" i="1"/>
  <c r="I828" i="1"/>
  <c r="G828" i="1"/>
  <c r="D828" i="1"/>
  <c r="B828" i="1"/>
  <c r="R827" i="1"/>
  <c r="I827" i="1"/>
  <c r="G827" i="1"/>
  <c r="D827" i="1"/>
  <c r="B827" i="1"/>
  <c r="R826" i="1"/>
  <c r="I826" i="1"/>
  <c r="G826" i="1"/>
  <c r="D826" i="1"/>
  <c r="B826" i="1"/>
  <c r="R825" i="1"/>
  <c r="I825" i="1"/>
  <c r="G825" i="1"/>
  <c r="D825" i="1"/>
  <c r="B825" i="1"/>
  <c r="R824" i="1"/>
  <c r="I824" i="1"/>
  <c r="G824" i="1"/>
  <c r="D824" i="1"/>
  <c r="B824" i="1"/>
  <c r="R823" i="1"/>
  <c r="I823" i="1"/>
  <c r="G823" i="1"/>
  <c r="D823" i="1"/>
  <c r="B823" i="1"/>
  <c r="R822" i="1"/>
  <c r="I822" i="1"/>
  <c r="G822" i="1"/>
  <c r="D822" i="1"/>
  <c r="B822" i="1"/>
  <c r="R821" i="1"/>
  <c r="I821" i="1"/>
  <c r="G821" i="1"/>
  <c r="D821" i="1"/>
  <c r="B821" i="1"/>
  <c r="R820" i="1"/>
  <c r="I820" i="1"/>
  <c r="G820" i="1"/>
  <c r="D820" i="1"/>
  <c r="B820" i="1"/>
  <c r="R819" i="1"/>
  <c r="I819" i="1"/>
  <c r="G819" i="1"/>
  <c r="D819" i="1"/>
  <c r="B819" i="1"/>
  <c r="R818" i="1"/>
  <c r="I818" i="1"/>
  <c r="G818" i="1"/>
  <c r="D818" i="1"/>
  <c r="B818" i="1"/>
  <c r="R817" i="1"/>
  <c r="I817" i="1"/>
  <c r="G817" i="1"/>
  <c r="D817" i="1"/>
  <c r="B817" i="1"/>
  <c r="R816" i="1"/>
  <c r="I816" i="1"/>
  <c r="G816" i="1"/>
  <c r="D816" i="1"/>
  <c r="B816" i="1"/>
  <c r="R815" i="1"/>
  <c r="I815" i="1"/>
  <c r="G815" i="1"/>
  <c r="D815" i="1"/>
  <c r="B815" i="1"/>
  <c r="R814" i="1"/>
  <c r="I814" i="1"/>
  <c r="G814" i="1"/>
  <c r="D814" i="1"/>
  <c r="B814" i="1"/>
  <c r="R813" i="1"/>
  <c r="I813" i="1"/>
  <c r="G813" i="1"/>
  <c r="D813" i="1"/>
  <c r="B813" i="1"/>
  <c r="R812" i="1"/>
  <c r="I812" i="1"/>
  <c r="G812" i="1"/>
  <c r="D812" i="1"/>
  <c r="B812" i="1"/>
  <c r="R811" i="1"/>
  <c r="I811" i="1"/>
  <c r="G811" i="1"/>
  <c r="D811" i="1"/>
  <c r="B811" i="1"/>
  <c r="R810" i="1"/>
  <c r="I810" i="1"/>
  <c r="G810" i="1"/>
  <c r="D810" i="1"/>
  <c r="B810" i="1"/>
  <c r="R809" i="1"/>
  <c r="I809" i="1"/>
  <c r="G809" i="1"/>
  <c r="D809" i="1"/>
  <c r="B809" i="1"/>
  <c r="R808" i="1"/>
  <c r="I808" i="1"/>
  <c r="G808" i="1"/>
  <c r="D808" i="1"/>
  <c r="B808" i="1"/>
  <c r="R807" i="1"/>
  <c r="I807" i="1"/>
  <c r="G807" i="1"/>
  <c r="D807" i="1"/>
  <c r="B807" i="1"/>
  <c r="R806" i="1"/>
  <c r="I806" i="1"/>
  <c r="G806" i="1"/>
  <c r="D806" i="1"/>
  <c r="B806" i="1"/>
  <c r="R805" i="1"/>
  <c r="I805" i="1"/>
  <c r="G805" i="1"/>
  <c r="D805" i="1"/>
  <c r="B805" i="1"/>
  <c r="R804" i="1"/>
  <c r="I804" i="1"/>
  <c r="G804" i="1"/>
  <c r="D804" i="1"/>
  <c r="B804" i="1"/>
  <c r="R803" i="1"/>
  <c r="I803" i="1"/>
  <c r="G803" i="1"/>
  <c r="D803" i="1"/>
  <c r="B803" i="1"/>
  <c r="R802" i="1"/>
  <c r="I802" i="1"/>
  <c r="G802" i="1"/>
  <c r="D802" i="1"/>
  <c r="B802" i="1"/>
  <c r="R801" i="1"/>
  <c r="I801" i="1"/>
  <c r="G801" i="1"/>
  <c r="D801" i="1"/>
  <c r="B801" i="1"/>
  <c r="R800" i="1"/>
  <c r="I800" i="1"/>
  <c r="G800" i="1"/>
  <c r="D800" i="1"/>
  <c r="B800" i="1"/>
  <c r="R799" i="1"/>
  <c r="I799" i="1"/>
  <c r="G799" i="1"/>
  <c r="D799" i="1"/>
  <c r="B799" i="1"/>
  <c r="R798" i="1"/>
  <c r="I798" i="1"/>
  <c r="G798" i="1"/>
  <c r="D798" i="1"/>
  <c r="B798" i="1"/>
  <c r="R797" i="1"/>
  <c r="I797" i="1"/>
  <c r="G797" i="1"/>
  <c r="D797" i="1"/>
  <c r="B797" i="1"/>
  <c r="R796" i="1"/>
  <c r="I796" i="1"/>
  <c r="G796" i="1"/>
  <c r="D796" i="1"/>
  <c r="B796" i="1"/>
  <c r="R795" i="1"/>
  <c r="I795" i="1"/>
  <c r="G795" i="1"/>
  <c r="D795" i="1"/>
  <c r="B795" i="1"/>
  <c r="R794" i="1"/>
  <c r="I794" i="1"/>
  <c r="G794" i="1"/>
  <c r="D794" i="1"/>
  <c r="B794" i="1"/>
  <c r="R793" i="1"/>
  <c r="I793" i="1"/>
  <c r="G793" i="1"/>
  <c r="D793" i="1"/>
  <c r="B793" i="1"/>
  <c r="R792" i="1"/>
  <c r="I792" i="1"/>
  <c r="G792" i="1"/>
  <c r="D792" i="1"/>
  <c r="B792" i="1"/>
  <c r="R791" i="1"/>
  <c r="I791" i="1"/>
  <c r="G791" i="1"/>
  <c r="D791" i="1"/>
  <c r="B791" i="1"/>
  <c r="R790" i="1"/>
  <c r="I790" i="1"/>
  <c r="G790" i="1"/>
  <c r="D790" i="1"/>
  <c r="B790" i="1"/>
  <c r="R789" i="1"/>
  <c r="I789" i="1"/>
  <c r="G789" i="1"/>
  <c r="D789" i="1"/>
  <c r="B789" i="1"/>
  <c r="R788" i="1"/>
  <c r="I788" i="1"/>
  <c r="G788" i="1"/>
  <c r="D788" i="1"/>
  <c r="B788" i="1"/>
  <c r="R787" i="1"/>
  <c r="I787" i="1"/>
  <c r="G787" i="1"/>
  <c r="D787" i="1"/>
  <c r="B787" i="1"/>
  <c r="R786" i="1"/>
  <c r="I786" i="1"/>
  <c r="G786" i="1"/>
  <c r="D786" i="1"/>
  <c r="B786" i="1"/>
  <c r="R785" i="1"/>
  <c r="I785" i="1"/>
  <c r="G785" i="1"/>
  <c r="D785" i="1"/>
  <c r="B785" i="1"/>
  <c r="R784" i="1"/>
  <c r="I784" i="1"/>
  <c r="G784" i="1"/>
  <c r="D784" i="1"/>
  <c r="B784" i="1"/>
  <c r="R783" i="1"/>
  <c r="I783" i="1"/>
  <c r="G783" i="1"/>
  <c r="D783" i="1"/>
  <c r="B783" i="1"/>
  <c r="R782" i="1"/>
  <c r="I782" i="1"/>
  <c r="G782" i="1"/>
  <c r="D782" i="1"/>
  <c r="B782" i="1"/>
  <c r="R781" i="1"/>
  <c r="I781" i="1"/>
  <c r="G781" i="1"/>
  <c r="D781" i="1"/>
  <c r="B781" i="1"/>
  <c r="R780" i="1"/>
  <c r="I780" i="1"/>
  <c r="G780" i="1"/>
  <c r="D780" i="1"/>
  <c r="B780" i="1"/>
  <c r="R779" i="1"/>
  <c r="I779" i="1"/>
  <c r="G779" i="1"/>
  <c r="D779" i="1"/>
  <c r="B779" i="1"/>
  <c r="R778" i="1"/>
  <c r="I778" i="1"/>
  <c r="G778" i="1"/>
  <c r="D778" i="1"/>
  <c r="B778" i="1"/>
  <c r="R777" i="1"/>
  <c r="I777" i="1"/>
  <c r="G777" i="1"/>
  <c r="D777" i="1"/>
  <c r="B777" i="1"/>
  <c r="R776" i="1"/>
  <c r="I776" i="1"/>
  <c r="G776" i="1"/>
  <c r="D776" i="1"/>
  <c r="B776" i="1"/>
  <c r="R775" i="1"/>
  <c r="I775" i="1"/>
  <c r="G775" i="1"/>
  <c r="D775" i="1"/>
  <c r="B775" i="1"/>
  <c r="R774" i="1"/>
  <c r="I774" i="1"/>
  <c r="G774" i="1"/>
  <c r="D774" i="1"/>
  <c r="B774" i="1"/>
  <c r="R773" i="1"/>
  <c r="I773" i="1"/>
  <c r="G773" i="1"/>
  <c r="D773" i="1"/>
  <c r="B773" i="1"/>
  <c r="R772" i="1"/>
  <c r="I772" i="1"/>
  <c r="G772" i="1"/>
  <c r="D772" i="1"/>
  <c r="B772" i="1"/>
  <c r="R771" i="1"/>
  <c r="I771" i="1"/>
  <c r="G771" i="1"/>
  <c r="D771" i="1"/>
  <c r="B771" i="1"/>
  <c r="R770" i="1"/>
  <c r="I770" i="1"/>
  <c r="G770" i="1"/>
  <c r="D770" i="1"/>
  <c r="B770" i="1"/>
  <c r="R769" i="1"/>
  <c r="I769" i="1"/>
  <c r="G769" i="1"/>
  <c r="D769" i="1"/>
  <c r="B769" i="1"/>
  <c r="R768" i="1"/>
  <c r="I768" i="1"/>
  <c r="G768" i="1"/>
  <c r="D768" i="1"/>
  <c r="B768" i="1"/>
  <c r="R767" i="1"/>
  <c r="I767" i="1"/>
  <c r="G767" i="1"/>
  <c r="D767" i="1"/>
  <c r="B767" i="1"/>
  <c r="R766" i="1"/>
  <c r="I766" i="1"/>
  <c r="G766" i="1"/>
  <c r="D766" i="1"/>
  <c r="B766" i="1"/>
  <c r="R765" i="1"/>
  <c r="I765" i="1"/>
  <c r="G765" i="1"/>
  <c r="D765" i="1"/>
  <c r="B765" i="1"/>
  <c r="R764" i="1"/>
  <c r="I764" i="1"/>
  <c r="G764" i="1"/>
  <c r="D764" i="1"/>
  <c r="B764" i="1"/>
  <c r="R763" i="1"/>
  <c r="I763" i="1"/>
  <c r="G763" i="1"/>
  <c r="D763" i="1"/>
  <c r="B763" i="1"/>
  <c r="R762" i="1"/>
  <c r="I762" i="1"/>
  <c r="G762" i="1"/>
  <c r="D762" i="1"/>
  <c r="B762" i="1"/>
  <c r="R761" i="1"/>
  <c r="I761" i="1"/>
  <c r="G761" i="1"/>
  <c r="D761" i="1"/>
  <c r="B761" i="1"/>
  <c r="R760" i="1"/>
  <c r="I760" i="1"/>
  <c r="G760" i="1"/>
  <c r="D760" i="1"/>
  <c r="B760" i="1"/>
  <c r="R759" i="1"/>
  <c r="I759" i="1"/>
  <c r="G759" i="1"/>
  <c r="D759" i="1"/>
  <c r="B759" i="1"/>
  <c r="R758" i="1"/>
  <c r="I758" i="1"/>
  <c r="G758" i="1"/>
  <c r="D758" i="1"/>
  <c r="B758" i="1"/>
  <c r="R757" i="1"/>
  <c r="I757" i="1"/>
  <c r="G757" i="1"/>
  <c r="D757" i="1"/>
  <c r="B757" i="1"/>
  <c r="R756" i="1"/>
  <c r="I756" i="1"/>
  <c r="G756" i="1"/>
  <c r="D756" i="1"/>
  <c r="B756" i="1"/>
  <c r="R755" i="1"/>
  <c r="I755" i="1"/>
  <c r="G755" i="1"/>
  <c r="D755" i="1"/>
  <c r="B755" i="1"/>
  <c r="R754" i="1"/>
  <c r="I754" i="1"/>
  <c r="G754" i="1"/>
  <c r="D754" i="1"/>
  <c r="B754" i="1"/>
  <c r="R753" i="1"/>
  <c r="I753" i="1"/>
  <c r="G753" i="1"/>
  <c r="D753" i="1"/>
  <c r="B753" i="1"/>
  <c r="R752" i="1"/>
  <c r="I752" i="1"/>
  <c r="G752" i="1"/>
  <c r="D752" i="1"/>
  <c r="B752" i="1"/>
  <c r="R751" i="1"/>
  <c r="I751" i="1"/>
  <c r="G751" i="1"/>
  <c r="D751" i="1"/>
  <c r="B751" i="1"/>
  <c r="R750" i="1"/>
  <c r="I750" i="1"/>
  <c r="G750" i="1"/>
  <c r="D750" i="1"/>
  <c r="B750" i="1"/>
  <c r="R749" i="1"/>
  <c r="I749" i="1"/>
  <c r="G749" i="1"/>
  <c r="D749" i="1"/>
  <c r="B749" i="1"/>
  <c r="R748" i="1"/>
  <c r="I748" i="1"/>
  <c r="G748" i="1"/>
  <c r="D748" i="1"/>
  <c r="B748" i="1"/>
  <c r="R747" i="1"/>
  <c r="I747" i="1"/>
  <c r="G747" i="1"/>
  <c r="D747" i="1"/>
  <c r="B747" i="1"/>
  <c r="R746" i="1"/>
  <c r="I746" i="1"/>
  <c r="G746" i="1"/>
  <c r="D746" i="1"/>
  <c r="B746" i="1"/>
  <c r="R745" i="1"/>
  <c r="I745" i="1"/>
  <c r="G745" i="1"/>
  <c r="D745" i="1"/>
  <c r="B745" i="1"/>
  <c r="R744" i="1"/>
  <c r="I744" i="1"/>
  <c r="G744" i="1"/>
  <c r="D744" i="1"/>
  <c r="B744" i="1"/>
  <c r="R743" i="1"/>
  <c r="I743" i="1"/>
  <c r="G743" i="1"/>
  <c r="D743" i="1"/>
  <c r="B743" i="1"/>
  <c r="R742" i="1"/>
  <c r="I742" i="1"/>
  <c r="G742" i="1"/>
  <c r="D742" i="1"/>
  <c r="B742" i="1"/>
  <c r="R741" i="1"/>
  <c r="I741" i="1"/>
  <c r="G741" i="1"/>
  <c r="D741" i="1"/>
  <c r="B741" i="1"/>
  <c r="R740" i="1"/>
  <c r="I740" i="1"/>
  <c r="G740" i="1"/>
  <c r="D740" i="1"/>
  <c r="B740" i="1"/>
  <c r="R739" i="1"/>
  <c r="I739" i="1"/>
  <c r="G739" i="1"/>
  <c r="D739" i="1"/>
  <c r="B739" i="1"/>
  <c r="R738" i="1"/>
  <c r="I738" i="1"/>
  <c r="G738" i="1"/>
  <c r="D738" i="1"/>
  <c r="B738" i="1"/>
  <c r="R737" i="1"/>
  <c r="I737" i="1"/>
  <c r="G737" i="1"/>
  <c r="D737" i="1"/>
  <c r="B737" i="1"/>
  <c r="R736" i="1"/>
  <c r="I736" i="1"/>
  <c r="G736" i="1"/>
  <c r="D736" i="1"/>
  <c r="B736" i="1"/>
  <c r="R735" i="1"/>
  <c r="I735" i="1"/>
  <c r="G735" i="1"/>
  <c r="D735" i="1"/>
  <c r="B735" i="1"/>
  <c r="R734" i="1"/>
  <c r="I734" i="1"/>
  <c r="G734" i="1"/>
  <c r="D734" i="1"/>
  <c r="B734" i="1"/>
  <c r="R733" i="1"/>
  <c r="I733" i="1"/>
  <c r="G733" i="1"/>
  <c r="D733" i="1"/>
  <c r="B733" i="1"/>
  <c r="R732" i="1"/>
  <c r="I732" i="1"/>
  <c r="G732" i="1"/>
  <c r="D732" i="1"/>
  <c r="B732" i="1"/>
  <c r="R731" i="1"/>
  <c r="I731" i="1"/>
  <c r="G731" i="1"/>
  <c r="D731" i="1"/>
  <c r="B731" i="1"/>
  <c r="R730" i="1"/>
  <c r="I730" i="1"/>
  <c r="G730" i="1"/>
  <c r="D730" i="1"/>
  <c r="B730" i="1"/>
  <c r="R729" i="1"/>
  <c r="I729" i="1"/>
  <c r="G729" i="1"/>
  <c r="D729" i="1"/>
  <c r="B729" i="1"/>
  <c r="R728" i="1"/>
  <c r="I728" i="1"/>
  <c r="G728" i="1"/>
  <c r="D728" i="1"/>
  <c r="B728" i="1"/>
  <c r="R727" i="1"/>
  <c r="I727" i="1"/>
  <c r="G727" i="1"/>
  <c r="D727" i="1"/>
  <c r="B727" i="1"/>
  <c r="R726" i="1"/>
  <c r="I726" i="1"/>
  <c r="G726" i="1"/>
  <c r="D726" i="1"/>
  <c r="B726" i="1"/>
  <c r="R725" i="1"/>
  <c r="I725" i="1"/>
  <c r="G725" i="1"/>
  <c r="D725" i="1"/>
  <c r="B725" i="1"/>
  <c r="R724" i="1"/>
  <c r="I724" i="1"/>
  <c r="G724" i="1"/>
  <c r="D724" i="1"/>
  <c r="B724" i="1"/>
  <c r="R723" i="1"/>
  <c r="I723" i="1"/>
  <c r="G723" i="1"/>
  <c r="D723" i="1"/>
  <c r="B723" i="1"/>
  <c r="R722" i="1"/>
  <c r="I722" i="1"/>
  <c r="G722" i="1"/>
  <c r="D722" i="1"/>
  <c r="B722" i="1"/>
  <c r="R721" i="1"/>
  <c r="I721" i="1"/>
  <c r="G721" i="1"/>
  <c r="D721" i="1"/>
  <c r="B721" i="1"/>
  <c r="R720" i="1"/>
  <c r="I720" i="1"/>
  <c r="G720" i="1"/>
  <c r="D720" i="1"/>
  <c r="B720" i="1"/>
  <c r="R719" i="1"/>
  <c r="I719" i="1"/>
  <c r="G719" i="1"/>
  <c r="D719" i="1"/>
  <c r="B719" i="1"/>
  <c r="R718" i="1"/>
  <c r="I718" i="1"/>
  <c r="G718" i="1"/>
  <c r="D718" i="1"/>
  <c r="B718" i="1"/>
  <c r="R717" i="1"/>
  <c r="I717" i="1"/>
  <c r="G717" i="1"/>
  <c r="D717" i="1"/>
  <c r="B717" i="1"/>
  <c r="R716" i="1"/>
  <c r="I716" i="1"/>
  <c r="G716" i="1"/>
  <c r="D716" i="1"/>
  <c r="B716" i="1"/>
  <c r="R715" i="1"/>
  <c r="I715" i="1"/>
  <c r="G715" i="1"/>
  <c r="D715" i="1"/>
  <c r="B715" i="1"/>
  <c r="R714" i="1"/>
  <c r="I714" i="1"/>
  <c r="G714" i="1"/>
  <c r="D714" i="1"/>
  <c r="B714" i="1"/>
  <c r="R713" i="1"/>
  <c r="I713" i="1"/>
  <c r="G713" i="1"/>
  <c r="D713" i="1"/>
  <c r="B713" i="1"/>
  <c r="R712" i="1"/>
  <c r="I712" i="1"/>
  <c r="G712" i="1"/>
  <c r="D712" i="1"/>
  <c r="B712" i="1"/>
  <c r="R711" i="1"/>
  <c r="I711" i="1"/>
  <c r="G711" i="1"/>
  <c r="D711" i="1"/>
  <c r="B711" i="1"/>
  <c r="R710" i="1"/>
  <c r="I710" i="1"/>
  <c r="G710" i="1"/>
  <c r="D710" i="1"/>
  <c r="B710" i="1"/>
  <c r="R709" i="1"/>
  <c r="I709" i="1"/>
  <c r="G709" i="1"/>
  <c r="D709" i="1"/>
  <c r="B709" i="1"/>
  <c r="R708" i="1"/>
  <c r="I708" i="1"/>
  <c r="G708" i="1"/>
  <c r="D708" i="1"/>
  <c r="B708" i="1"/>
  <c r="R707" i="1"/>
  <c r="I707" i="1"/>
  <c r="G707" i="1"/>
  <c r="D707" i="1"/>
  <c r="B707" i="1"/>
  <c r="R706" i="1"/>
  <c r="I706" i="1"/>
  <c r="G706" i="1"/>
  <c r="D706" i="1"/>
  <c r="B706" i="1"/>
  <c r="R705" i="1"/>
  <c r="I705" i="1"/>
  <c r="G705" i="1"/>
  <c r="D705" i="1"/>
  <c r="B705" i="1"/>
  <c r="R704" i="1"/>
  <c r="I704" i="1"/>
  <c r="G704" i="1"/>
  <c r="D704" i="1"/>
  <c r="B704" i="1"/>
  <c r="R703" i="1"/>
  <c r="I703" i="1"/>
  <c r="G703" i="1"/>
  <c r="D703" i="1"/>
  <c r="B703" i="1"/>
  <c r="R702" i="1"/>
  <c r="I702" i="1"/>
  <c r="G702" i="1"/>
  <c r="D702" i="1"/>
  <c r="B702" i="1"/>
  <c r="R701" i="1"/>
  <c r="I701" i="1"/>
  <c r="G701" i="1"/>
  <c r="D701" i="1"/>
  <c r="B701" i="1"/>
  <c r="R700" i="1"/>
  <c r="I700" i="1"/>
  <c r="G700" i="1"/>
  <c r="D700" i="1"/>
  <c r="B700" i="1"/>
  <c r="R699" i="1"/>
  <c r="I699" i="1"/>
  <c r="G699" i="1"/>
  <c r="D699" i="1"/>
  <c r="B699" i="1"/>
  <c r="R698" i="1"/>
  <c r="I698" i="1"/>
  <c r="G698" i="1"/>
  <c r="D698" i="1"/>
  <c r="B698" i="1"/>
  <c r="R697" i="1"/>
  <c r="I697" i="1"/>
  <c r="G697" i="1"/>
  <c r="D697" i="1"/>
  <c r="B697" i="1"/>
  <c r="R696" i="1"/>
  <c r="I696" i="1"/>
  <c r="G696" i="1"/>
  <c r="D696" i="1"/>
  <c r="B696" i="1"/>
  <c r="R695" i="1"/>
  <c r="I695" i="1"/>
  <c r="G695" i="1"/>
  <c r="D695" i="1"/>
  <c r="B695" i="1"/>
  <c r="R694" i="1"/>
  <c r="I694" i="1"/>
  <c r="G694" i="1"/>
  <c r="D694" i="1"/>
  <c r="B694" i="1"/>
  <c r="R693" i="1"/>
  <c r="I693" i="1"/>
  <c r="G693" i="1"/>
  <c r="D693" i="1"/>
  <c r="B693" i="1"/>
  <c r="R692" i="1"/>
  <c r="I692" i="1"/>
  <c r="G692" i="1"/>
  <c r="D692" i="1"/>
  <c r="B692" i="1"/>
  <c r="R691" i="1"/>
  <c r="I691" i="1"/>
  <c r="G691" i="1"/>
  <c r="D691" i="1"/>
  <c r="B691" i="1"/>
  <c r="R690" i="1"/>
  <c r="I690" i="1"/>
  <c r="G690" i="1"/>
  <c r="D690" i="1"/>
  <c r="B690" i="1"/>
  <c r="R689" i="1"/>
  <c r="I689" i="1"/>
  <c r="G689" i="1"/>
  <c r="D689" i="1"/>
  <c r="B689" i="1"/>
  <c r="R688" i="1"/>
  <c r="I688" i="1"/>
  <c r="G688" i="1"/>
  <c r="D688" i="1"/>
  <c r="B688" i="1"/>
  <c r="R687" i="1"/>
  <c r="I687" i="1"/>
  <c r="G687" i="1"/>
  <c r="D687" i="1"/>
  <c r="B687" i="1"/>
  <c r="R686" i="1"/>
  <c r="I686" i="1"/>
  <c r="G686" i="1"/>
  <c r="D686" i="1"/>
  <c r="B686" i="1"/>
  <c r="R685" i="1"/>
  <c r="I685" i="1"/>
  <c r="G685" i="1"/>
  <c r="D685" i="1"/>
  <c r="B685" i="1"/>
  <c r="R684" i="1"/>
  <c r="I684" i="1"/>
  <c r="G684" i="1"/>
  <c r="D684" i="1"/>
  <c r="B684" i="1"/>
  <c r="R683" i="1"/>
  <c r="I683" i="1"/>
  <c r="G683" i="1"/>
  <c r="D683" i="1"/>
  <c r="B683" i="1"/>
  <c r="R682" i="1"/>
  <c r="I682" i="1"/>
  <c r="G682" i="1"/>
  <c r="D682" i="1"/>
  <c r="B682" i="1"/>
  <c r="R681" i="1"/>
  <c r="I681" i="1"/>
  <c r="G681" i="1"/>
  <c r="D681" i="1"/>
  <c r="B681" i="1"/>
  <c r="R680" i="1"/>
  <c r="I680" i="1"/>
  <c r="G680" i="1"/>
  <c r="D680" i="1"/>
  <c r="B680" i="1"/>
  <c r="R679" i="1"/>
  <c r="I679" i="1"/>
  <c r="G679" i="1"/>
  <c r="D679" i="1"/>
  <c r="B679" i="1"/>
  <c r="R678" i="1"/>
  <c r="I678" i="1"/>
  <c r="G678" i="1"/>
  <c r="D678" i="1"/>
  <c r="B678" i="1"/>
  <c r="R677" i="1"/>
  <c r="I677" i="1"/>
  <c r="G677" i="1"/>
  <c r="D677" i="1"/>
  <c r="B677" i="1"/>
  <c r="R676" i="1"/>
  <c r="I676" i="1"/>
  <c r="G676" i="1"/>
  <c r="D676" i="1"/>
  <c r="B676" i="1"/>
  <c r="R675" i="1"/>
  <c r="I675" i="1"/>
  <c r="G675" i="1"/>
  <c r="D675" i="1"/>
  <c r="B675" i="1"/>
  <c r="R674" i="1"/>
  <c r="I674" i="1"/>
  <c r="G674" i="1"/>
  <c r="D674" i="1"/>
  <c r="B674" i="1"/>
  <c r="R673" i="1"/>
  <c r="I673" i="1"/>
  <c r="G673" i="1"/>
  <c r="D673" i="1"/>
  <c r="B673" i="1"/>
  <c r="R672" i="1"/>
  <c r="I672" i="1"/>
  <c r="G672" i="1"/>
  <c r="D672" i="1"/>
  <c r="B672" i="1"/>
  <c r="R671" i="1"/>
  <c r="I671" i="1"/>
  <c r="G671" i="1"/>
  <c r="D671" i="1"/>
  <c r="B671" i="1"/>
  <c r="R670" i="1"/>
  <c r="I670" i="1"/>
  <c r="G670" i="1"/>
  <c r="D670" i="1"/>
  <c r="B670" i="1"/>
  <c r="R669" i="1"/>
  <c r="I669" i="1"/>
  <c r="G669" i="1"/>
  <c r="D669" i="1"/>
  <c r="B669" i="1"/>
  <c r="R668" i="1"/>
  <c r="I668" i="1"/>
  <c r="G668" i="1"/>
  <c r="D668" i="1"/>
  <c r="B668" i="1"/>
  <c r="R667" i="1"/>
  <c r="I667" i="1"/>
  <c r="G667" i="1"/>
  <c r="D667" i="1"/>
  <c r="B667" i="1"/>
  <c r="R666" i="1"/>
  <c r="I666" i="1"/>
  <c r="G666" i="1"/>
  <c r="D666" i="1"/>
  <c r="B666" i="1"/>
  <c r="R665" i="1"/>
  <c r="I665" i="1"/>
  <c r="G665" i="1"/>
  <c r="D665" i="1"/>
  <c r="B665" i="1"/>
  <c r="R664" i="1"/>
  <c r="I664" i="1"/>
  <c r="G664" i="1"/>
  <c r="D664" i="1"/>
  <c r="B664" i="1"/>
  <c r="R663" i="1"/>
  <c r="I663" i="1"/>
  <c r="G663" i="1"/>
  <c r="D663" i="1"/>
  <c r="B663" i="1"/>
  <c r="R662" i="1"/>
  <c r="I662" i="1"/>
  <c r="G662" i="1"/>
  <c r="D662" i="1"/>
  <c r="B662" i="1"/>
  <c r="R661" i="1"/>
  <c r="I661" i="1"/>
  <c r="G661" i="1"/>
  <c r="D661" i="1"/>
  <c r="B661" i="1"/>
  <c r="R660" i="1"/>
  <c r="I660" i="1"/>
  <c r="G660" i="1"/>
  <c r="D660" i="1"/>
  <c r="B660" i="1"/>
  <c r="R659" i="1"/>
  <c r="I659" i="1"/>
  <c r="G659" i="1"/>
  <c r="D659" i="1"/>
  <c r="B659" i="1"/>
  <c r="R658" i="1"/>
  <c r="I658" i="1"/>
  <c r="G658" i="1"/>
  <c r="D658" i="1"/>
  <c r="B658" i="1"/>
  <c r="R657" i="1"/>
  <c r="I657" i="1"/>
  <c r="G657" i="1"/>
  <c r="D657" i="1"/>
  <c r="B657" i="1"/>
  <c r="R656" i="1"/>
  <c r="I656" i="1"/>
  <c r="G656" i="1"/>
  <c r="D656" i="1"/>
  <c r="B656" i="1"/>
  <c r="R655" i="1"/>
  <c r="I655" i="1"/>
  <c r="G655" i="1"/>
  <c r="D655" i="1"/>
  <c r="B655" i="1"/>
  <c r="R654" i="1"/>
  <c r="I654" i="1"/>
  <c r="G654" i="1"/>
  <c r="D654" i="1"/>
  <c r="B654" i="1"/>
  <c r="R653" i="1"/>
  <c r="I653" i="1"/>
  <c r="G653" i="1"/>
  <c r="D653" i="1"/>
  <c r="B653" i="1"/>
  <c r="R652" i="1"/>
  <c r="I652" i="1"/>
  <c r="G652" i="1"/>
  <c r="D652" i="1"/>
  <c r="B652" i="1"/>
  <c r="R651" i="1"/>
  <c r="I651" i="1"/>
  <c r="G651" i="1"/>
  <c r="D651" i="1"/>
  <c r="B651" i="1"/>
  <c r="R650" i="1"/>
  <c r="I650" i="1"/>
  <c r="G650" i="1"/>
  <c r="D650" i="1"/>
  <c r="B650" i="1"/>
  <c r="R649" i="1"/>
  <c r="I649" i="1"/>
  <c r="G649" i="1"/>
  <c r="D649" i="1"/>
  <c r="B649" i="1"/>
  <c r="R648" i="1"/>
  <c r="I648" i="1"/>
  <c r="G648" i="1"/>
  <c r="D648" i="1"/>
  <c r="B648" i="1"/>
  <c r="R647" i="1"/>
  <c r="I647" i="1"/>
  <c r="G647" i="1"/>
  <c r="D647" i="1"/>
  <c r="B647" i="1"/>
  <c r="R646" i="1"/>
  <c r="I646" i="1"/>
  <c r="G646" i="1"/>
  <c r="D646" i="1"/>
  <c r="B646" i="1"/>
  <c r="R645" i="1"/>
  <c r="I645" i="1"/>
  <c r="G645" i="1"/>
  <c r="D645" i="1"/>
  <c r="B645" i="1"/>
  <c r="R644" i="1"/>
  <c r="I644" i="1"/>
  <c r="G644" i="1"/>
  <c r="D644" i="1"/>
  <c r="B644" i="1"/>
  <c r="R643" i="1"/>
  <c r="I643" i="1"/>
  <c r="G643" i="1"/>
  <c r="D643" i="1"/>
  <c r="B643" i="1"/>
  <c r="R642" i="1"/>
  <c r="I642" i="1"/>
  <c r="G642" i="1"/>
  <c r="D642" i="1"/>
  <c r="B642" i="1"/>
  <c r="R641" i="1"/>
  <c r="I641" i="1"/>
  <c r="G641" i="1"/>
  <c r="D641" i="1"/>
  <c r="B641" i="1"/>
  <c r="R640" i="1"/>
  <c r="I640" i="1"/>
  <c r="G640" i="1"/>
  <c r="D640" i="1"/>
  <c r="B640" i="1"/>
  <c r="R639" i="1"/>
  <c r="I639" i="1"/>
  <c r="G639" i="1"/>
  <c r="D639" i="1"/>
  <c r="B639" i="1"/>
  <c r="R638" i="1"/>
  <c r="I638" i="1"/>
  <c r="G638" i="1"/>
  <c r="D638" i="1"/>
  <c r="B638" i="1"/>
  <c r="R637" i="1"/>
  <c r="I637" i="1"/>
  <c r="G637" i="1"/>
  <c r="D637" i="1"/>
  <c r="B637" i="1"/>
  <c r="R636" i="1"/>
  <c r="I636" i="1"/>
  <c r="G636" i="1"/>
  <c r="D636" i="1"/>
  <c r="B636" i="1"/>
  <c r="R635" i="1"/>
  <c r="I635" i="1"/>
  <c r="G635" i="1"/>
  <c r="D635" i="1"/>
  <c r="B635" i="1"/>
  <c r="R634" i="1"/>
  <c r="I634" i="1"/>
  <c r="G634" i="1"/>
  <c r="D634" i="1"/>
  <c r="B634" i="1"/>
  <c r="R633" i="1"/>
  <c r="I633" i="1"/>
  <c r="G633" i="1"/>
  <c r="D633" i="1"/>
  <c r="B633" i="1"/>
  <c r="R632" i="1"/>
  <c r="I632" i="1"/>
  <c r="G632" i="1"/>
  <c r="D632" i="1"/>
  <c r="B632" i="1"/>
  <c r="R631" i="1"/>
  <c r="I631" i="1"/>
  <c r="G631" i="1"/>
  <c r="D631" i="1"/>
  <c r="B631" i="1"/>
  <c r="R630" i="1"/>
  <c r="I630" i="1"/>
  <c r="G630" i="1"/>
  <c r="D630" i="1"/>
  <c r="B630" i="1"/>
  <c r="R629" i="1"/>
  <c r="I629" i="1"/>
  <c r="G629" i="1"/>
  <c r="D629" i="1"/>
  <c r="B629" i="1"/>
  <c r="R628" i="1"/>
  <c r="I628" i="1"/>
  <c r="G628" i="1"/>
  <c r="D628" i="1"/>
  <c r="B628" i="1"/>
  <c r="R627" i="1"/>
  <c r="I627" i="1"/>
  <c r="G627" i="1"/>
  <c r="D627" i="1"/>
  <c r="B627" i="1"/>
  <c r="R626" i="1"/>
  <c r="I626" i="1"/>
  <c r="G626" i="1"/>
  <c r="D626" i="1"/>
  <c r="B626" i="1"/>
  <c r="R625" i="1"/>
  <c r="I625" i="1"/>
  <c r="G625" i="1"/>
  <c r="D625" i="1"/>
  <c r="B625" i="1"/>
  <c r="R624" i="1"/>
  <c r="I624" i="1"/>
  <c r="G624" i="1"/>
  <c r="D624" i="1"/>
  <c r="B624" i="1"/>
  <c r="R623" i="1"/>
  <c r="I623" i="1"/>
  <c r="G623" i="1"/>
  <c r="D623" i="1"/>
  <c r="B623" i="1"/>
  <c r="R622" i="1"/>
  <c r="I622" i="1"/>
  <c r="G622" i="1"/>
  <c r="D622" i="1"/>
  <c r="B622" i="1"/>
  <c r="R621" i="1"/>
  <c r="I621" i="1"/>
  <c r="G621" i="1"/>
  <c r="D621" i="1"/>
  <c r="B621" i="1"/>
  <c r="R620" i="1"/>
  <c r="I620" i="1"/>
  <c r="G620" i="1"/>
  <c r="D620" i="1"/>
  <c r="B620" i="1"/>
  <c r="R619" i="1"/>
  <c r="I619" i="1"/>
  <c r="G619" i="1"/>
  <c r="D619" i="1"/>
  <c r="B619" i="1"/>
  <c r="R618" i="1"/>
  <c r="I618" i="1"/>
  <c r="G618" i="1"/>
  <c r="D618" i="1"/>
  <c r="B618" i="1"/>
  <c r="R617" i="1"/>
  <c r="I617" i="1"/>
  <c r="G617" i="1"/>
  <c r="D617" i="1"/>
  <c r="B617" i="1"/>
  <c r="R616" i="1"/>
  <c r="I616" i="1"/>
  <c r="G616" i="1"/>
  <c r="D616" i="1"/>
  <c r="B616" i="1"/>
  <c r="R615" i="1"/>
  <c r="I615" i="1"/>
  <c r="G615" i="1"/>
  <c r="D615" i="1"/>
  <c r="B615" i="1"/>
  <c r="R614" i="1"/>
  <c r="I614" i="1"/>
  <c r="G614" i="1"/>
  <c r="D614" i="1"/>
  <c r="B614" i="1"/>
  <c r="R613" i="1"/>
  <c r="I613" i="1"/>
  <c r="G613" i="1"/>
  <c r="D613" i="1"/>
  <c r="B613" i="1"/>
  <c r="R612" i="1"/>
  <c r="I612" i="1"/>
  <c r="G612" i="1"/>
  <c r="D612" i="1"/>
  <c r="B612" i="1"/>
  <c r="R611" i="1"/>
  <c r="I611" i="1"/>
  <c r="G611" i="1"/>
  <c r="D611" i="1"/>
  <c r="B611" i="1"/>
  <c r="R610" i="1"/>
  <c r="I610" i="1"/>
  <c r="G610" i="1"/>
  <c r="D610" i="1"/>
  <c r="B610" i="1"/>
  <c r="R609" i="1"/>
  <c r="I609" i="1"/>
  <c r="G609" i="1"/>
  <c r="D609" i="1"/>
  <c r="B609" i="1"/>
  <c r="R608" i="1"/>
  <c r="I608" i="1"/>
  <c r="G608" i="1"/>
  <c r="D608" i="1"/>
  <c r="B608" i="1"/>
  <c r="R607" i="1"/>
  <c r="I607" i="1"/>
  <c r="G607" i="1"/>
  <c r="D607" i="1"/>
  <c r="B607" i="1"/>
  <c r="R606" i="1"/>
  <c r="I606" i="1"/>
  <c r="G606" i="1"/>
  <c r="D606" i="1"/>
  <c r="B606" i="1"/>
  <c r="R605" i="1"/>
  <c r="I605" i="1"/>
  <c r="G605" i="1"/>
  <c r="D605" i="1"/>
  <c r="B605" i="1"/>
  <c r="R604" i="1"/>
  <c r="I604" i="1"/>
  <c r="G604" i="1"/>
  <c r="D604" i="1"/>
  <c r="B604" i="1"/>
  <c r="R603" i="1"/>
  <c r="I603" i="1"/>
  <c r="G603" i="1"/>
  <c r="D603" i="1"/>
  <c r="B603" i="1"/>
  <c r="R602" i="1"/>
  <c r="I602" i="1"/>
  <c r="G602" i="1"/>
  <c r="D602" i="1"/>
  <c r="B602" i="1"/>
  <c r="R601" i="1"/>
  <c r="I601" i="1"/>
  <c r="G601" i="1"/>
  <c r="D601" i="1"/>
  <c r="B601" i="1"/>
  <c r="R600" i="1"/>
  <c r="I600" i="1"/>
  <c r="G600" i="1"/>
  <c r="D600" i="1"/>
  <c r="B600" i="1"/>
  <c r="R599" i="1"/>
  <c r="I599" i="1"/>
  <c r="G599" i="1"/>
  <c r="D599" i="1"/>
  <c r="B599" i="1"/>
  <c r="R598" i="1"/>
  <c r="I598" i="1"/>
  <c r="G598" i="1"/>
  <c r="D598" i="1"/>
  <c r="B598" i="1"/>
  <c r="R597" i="1"/>
  <c r="I597" i="1"/>
  <c r="G597" i="1"/>
  <c r="D597" i="1"/>
  <c r="B597" i="1"/>
  <c r="R596" i="1"/>
  <c r="I596" i="1"/>
  <c r="G596" i="1"/>
  <c r="D596" i="1"/>
  <c r="B596" i="1"/>
  <c r="R595" i="1"/>
  <c r="I595" i="1"/>
  <c r="G595" i="1"/>
  <c r="D595" i="1"/>
  <c r="B595" i="1"/>
  <c r="R594" i="1"/>
  <c r="I594" i="1"/>
  <c r="G594" i="1"/>
  <c r="D594" i="1"/>
  <c r="B594" i="1"/>
  <c r="R593" i="1"/>
  <c r="I593" i="1"/>
  <c r="G593" i="1"/>
  <c r="D593" i="1"/>
  <c r="B593" i="1"/>
  <c r="R592" i="1"/>
  <c r="I592" i="1"/>
  <c r="G592" i="1"/>
  <c r="D592" i="1"/>
  <c r="B592" i="1"/>
  <c r="R591" i="1"/>
  <c r="I591" i="1"/>
  <c r="G591" i="1"/>
  <c r="D591" i="1"/>
  <c r="B591" i="1"/>
  <c r="R590" i="1"/>
  <c r="I590" i="1"/>
  <c r="G590" i="1"/>
  <c r="D590" i="1"/>
  <c r="B590" i="1"/>
  <c r="R589" i="1"/>
  <c r="I589" i="1"/>
  <c r="G589" i="1"/>
  <c r="D589" i="1"/>
  <c r="B589" i="1"/>
  <c r="R588" i="1"/>
  <c r="I588" i="1"/>
  <c r="G588" i="1"/>
  <c r="D588" i="1"/>
  <c r="B588" i="1"/>
  <c r="R587" i="1"/>
  <c r="I587" i="1"/>
  <c r="G587" i="1"/>
  <c r="D587" i="1"/>
  <c r="B587" i="1"/>
  <c r="R586" i="1"/>
  <c r="I586" i="1"/>
  <c r="G586" i="1"/>
  <c r="D586" i="1"/>
  <c r="B586" i="1"/>
  <c r="R585" i="1"/>
  <c r="I585" i="1"/>
  <c r="G585" i="1"/>
  <c r="D585" i="1"/>
  <c r="B585" i="1"/>
  <c r="R584" i="1"/>
  <c r="I584" i="1"/>
  <c r="G584" i="1"/>
  <c r="D584" i="1"/>
  <c r="B584" i="1"/>
  <c r="R583" i="1"/>
  <c r="I583" i="1"/>
  <c r="G583" i="1"/>
  <c r="D583" i="1"/>
  <c r="B583" i="1"/>
  <c r="R582" i="1"/>
  <c r="I582" i="1"/>
  <c r="G582" i="1"/>
  <c r="D582" i="1"/>
  <c r="B582" i="1"/>
  <c r="R581" i="1"/>
  <c r="I581" i="1"/>
  <c r="G581" i="1"/>
  <c r="D581" i="1"/>
  <c r="B581" i="1"/>
  <c r="R580" i="1"/>
  <c r="I580" i="1"/>
  <c r="G580" i="1"/>
  <c r="D580" i="1"/>
  <c r="B580" i="1"/>
  <c r="R579" i="1"/>
  <c r="I579" i="1"/>
  <c r="G579" i="1"/>
  <c r="D579" i="1"/>
  <c r="B579" i="1"/>
  <c r="R578" i="1"/>
  <c r="I578" i="1"/>
  <c r="G578" i="1"/>
  <c r="D578" i="1"/>
  <c r="B578" i="1"/>
  <c r="R577" i="1"/>
  <c r="I577" i="1"/>
  <c r="G577" i="1"/>
  <c r="D577" i="1"/>
  <c r="B577" i="1"/>
  <c r="R576" i="1"/>
  <c r="I576" i="1"/>
  <c r="G576" i="1"/>
  <c r="D576" i="1"/>
  <c r="B576" i="1"/>
  <c r="R575" i="1"/>
  <c r="I575" i="1"/>
  <c r="G575" i="1"/>
  <c r="D575" i="1"/>
  <c r="B575" i="1"/>
  <c r="R574" i="1"/>
  <c r="I574" i="1"/>
  <c r="G574" i="1"/>
  <c r="D574" i="1"/>
  <c r="B574" i="1"/>
  <c r="R573" i="1"/>
  <c r="I573" i="1"/>
  <c r="G573" i="1"/>
  <c r="D573" i="1"/>
  <c r="B573" i="1"/>
  <c r="R572" i="1"/>
  <c r="I572" i="1"/>
  <c r="G572" i="1"/>
  <c r="D572" i="1"/>
  <c r="B572" i="1"/>
  <c r="R571" i="1"/>
  <c r="I571" i="1"/>
  <c r="G571" i="1"/>
  <c r="D571" i="1"/>
  <c r="B571" i="1"/>
  <c r="R570" i="1"/>
  <c r="I570" i="1"/>
  <c r="G570" i="1"/>
  <c r="D570" i="1"/>
  <c r="B570" i="1"/>
  <c r="R569" i="1"/>
  <c r="I569" i="1"/>
  <c r="G569" i="1"/>
  <c r="D569" i="1"/>
  <c r="B569" i="1"/>
  <c r="R568" i="1"/>
  <c r="I568" i="1"/>
  <c r="G568" i="1"/>
  <c r="D568" i="1"/>
  <c r="B568" i="1"/>
  <c r="R567" i="1"/>
  <c r="I567" i="1"/>
  <c r="G567" i="1"/>
  <c r="D567" i="1"/>
  <c r="B567" i="1"/>
  <c r="R566" i="1"/>
  <c r="I566" i="1"/>
  <c r="G566" i="1"/>
  <c r="D566" i="1"/>
  <c r="B566" i="1"/>
  <c r="R565" i="1"/>
  <c r="I565" i="1"/>
  <c r="G565" i="1"/>
  <c r="D565" i="1"/>
  <c r="B565" i="1"/>
  <c r="R564" i="1"/>
  <c r="I564" i="1"/>
  <c r="G564" i="1"/>
  <c r="D564" i="1"/>
  <c r="B564" i="1"/>
  <c r="R563" i="1"/>
  <c r="I563" i="1"/>
  <c r="G563" i="1"/>
  <c r="D563" i="1"/>
  <c r="B563" i="1"/>
  <c r="R562" i="1"/>
  <c r="I562" i="1"/>
  <c r="G562" i="1"/>
  <c r="D562" i="1"/>
  <c r="B562" i="1"/>
  <c r="R561" i="1"/>
  <c r="I561" i="1"/>
  <c r="G561" i="1"/>
  <c r="D561" i="1"/>
  <c r="B561" i="1"/>
  <c r="R560" i="1"/>
  <c r="I560" i="1"/>
  <c r="G560" i="1"/>
  <c r="D560" i="1"/>
  <c r="B560" i="1"/>
  <c r="R559" i="1"/>
  <c r="I559" i="1"/>
  <c r="G559" i="1"/>
  <c r="D559" i="1"/>
  <c r="B559" i="1"/>
  <c r="R558" i="1"/>
  <c r="I558" i="1"/>
  <c r="G558" i="1"/>
  <c r="D558" i="1"/>
  <c r="B558" i="1"/>
  <c r="R557" i="1"/>
  <c r="I557" i="1"/>
  <c r="G557" i="1"/>
  <c r="D557" i="1"/>
  <c r="B557" i="1"/>
  <c r="R556" i="1"/>
  <c r="I556" i="1"/>
  <c r="G556" i="1"/>
  <c r="D556" i="1"/>
  <c r="B556" i="1"/>
  <c r="R555" i="1"/>
  <c r="I555" i="1"/>
  <c r="G555" i="1"/>
  <c r="D555" i="1"/>
  <c r="B555" i="1"/>
  <c r="R554" i="1"/>
  <c r="I554" i="1"/>
  <c r="G554" i="1"/>
  <c r="D554" i="1"/>
  <c r="B554" i="1"/>
  <c r="R553" i="1"/>
  <c r="I553" i="1"/>
  <c r="G553" i="1"/>
  <c r="D553" i="1"/>
  <c r="B553" i="1"/>
  <c r="R552" i="1"/>
  <c r="I552" i="1"/>
  <c r="G552" i="1"/>
  <c r="D552" i="1"/>
  <c r="B552" i="1"/>
  <c r="R551" i="1"/>
  <c r="I551" i="1"/>
  <c r="G551" i="1"/>
  <c r="D551" i="1"/>
  <c r="B551" i="1"/>
  <c r="R550" i="1"/>
  <c r="I550" i="1"/>
  <c r="G550" i="1"/>
  <c r="D550" i="1"/>
  <c r="B550" i="1"/>
  <c r="R549" i="1"/>
  <c r="I549" i="1"/>
  <c r="G549" i="1"/>
  <c r="D549" i="1"/>
  <c r="B549" i="1"/>
  <c r="R548" i="1"/>
  <c r="I548" i="1"/>
  <c r="G548" i="1"/>
  <c r="D548" i="1"/>
  <c r="B548" i="1"/>
  <c r="R547" i="1"/>
  <c r="I547" i="1"/>
  <c r="G547" i="1"/>
  <c r="D547" i="1"/>
  <c r="B547" i="1"/>
  <c r="R546" i="1"/>
  <c r="I546" i="1"/>
  <c r="G546" i="1"/>
  <c r="D546" i="1"/>
  <c r="B546" i="1"/>
  <c r="R545" i="1"/>
  <c r="I545" i="1"/>
  <c r="G545" i="1"/>
  <c r="D545" i="1"/>
  <c r="B545" i="1"/>
  <c r="R544" i="1"/>
  <c r="I544" i="1"/>
  <c r="G544" i="1"/>
  <c r="D544" i="1"/>
  <c r="B544" i="1"/>
  <c r="R543" i="1"/>
  <c r="I543" i="1"/>
  <c r="G543" i="1"/>
  <c r="D543" i="1"/>
  <c r="B543" i="1"/>
  <c r="R542" i="1"/>
  <c r="I542" i="1"/>
  <c r="G542" i="1"/>
  <c r="D542" i="1"/>
  <c r="B542" i="1"/>
  <c r="R541" i="1"/>
  <c r="I541" i="1"/>
  <c r="G541" i="1"/>
  <c r="D541" i="1"/>
  <c r="B541" i="1"/>
  <c r="R540" i="1"/>
  <c r="I540" i="1"/>
  <c r="G540" i="1"/>
  <c r="D540" i="1"/>
  <c r="B540" i="1"/>
  <c r="R539" i="1"/>
  <c r="I539" i="1"/>
  <c r="G539" i="1"/>
  <c r="D539" i="1"/>
  <c r="B539" i="1"/>
  <c r="R538" i="1"/>
  <c r="I538" i="1"/>
  <c r="G538" i="1"/>
  <c r="D538" i="1"/>
  <c r="B538" i="1"/>
  <c r="R537" i="1"/>
  <c r="I537" i="1"/>
  <c r="G537" i="1"/>
  <c r="D537" i="1"/>
  <c r="B537" i="1"/>
  <c r="R536" i="1"/>
  <c r="I536" i="1"/>
  <c r="G536" i="1"/>
  <c r="D536" i="1"/>
  <c r="B536" i="1"/>
  <c r="R535" i="1"/>
  <c r="I535" i="1"/>
  <c r="G535" i="1"/>
  <c r="D535" i="1"/>
  <c r="B535" i="1"/>
  <c r="R534" i="1"/>
  <c r="I534" i="1"/>
  <c r="G534" i="1"/>
  <c r="D534" i="1"/>
  <c r="B534" i="1"/>
  <c r="R533" i="1"/>
  <c r="I533" i="1"/>
  <c r="G533" i="1"/>
  <c r="D533" i="1"/>
  <c r="B533" i="1"/>
  <c r="R532" i="1"/>
  <c r="I532" i="1"/>
  <c r="G532" i="1"/>
  <c r="D532" i="1"/>
  <c r="B532" i="1"/>
  <c r="R531" i="1"/>
  <c r="I531" i="1"/>
  <c r="G531" i="1"/>
  <c r="D531" i="1"/>
  <c r="B531" i="1"/>
  <c r="R530" i="1"/>
  <c r="I530" i="1"/>
  <c r="G530" i="1"/>
  <c r="D530" i="1"/>
  <c r="B530" i="1"/>
  <c r="R529" i="1"/>
  <c r="I529" i="1"/>
  <c r="G529" i="1"/>
  <c r="D529" i="1"/>
  <c r="B529" i="1"/>
  <c r="R528" i="1"/>
  <c r="I528" i="1"/>
  <c r="G528" i="1"/>
  <c r="D528" i="1"/>
  <c r="B528" i="1"/>
  <c r="R527" i="1"/>
  <c r="I527" i="1"/>
  <c r="G527" i="1"/>
  <c r="D527" i="1"/>
  <c r="B527" i="1"/>
  <c r="R526" i="1"/>
  <c r="I526" i="1"/>
  <c r="G526" i="1"/>
  <c r="D526" i="1"/>
  <c r="B526" i="1"/>
  <c r="R525" i="1"/>
  <c r="I525" i="1"/>
  <c r="G525" i="1"/>
  <c r="D525" i="1"/>
  <c r="B525" i="1"/>
  <c r="R524" i="1"/>
  <c r="I524" i="1"/>
  <c r="G524" i="1"/>
  <c r="D524" i="1"/>
  <c r="B524" i="1"/>
  <c r="R523" i="1"/>
  <c r="I523" i="1"/>
  <c r="G523" i="1"/>
  <c r="D523" i="1"/>
  <c r="B523" i="1"/>
  <c r="R522" i="1"/>
  <c r="I522" i="1"/>
  <c r="G522" i="1"/>
  <c r="D522" i="1"/>
  <c r="B522" i="1"/>
  <c r="R521" i="1"/>
  <c r="I521" i="1"/>
  <c r="G521" i="1"/>
  <c r="D521" i="1"/>
  <c r="B521" i="1"/>
  <c r="R520" i="1"/>
  <c r="I520" i="1"/>
  <c r="G520" i="1"/>
  <c r="D520" i="1"/>
  <c r="B520" i="1"/>
  <c r="R519" i="1"/>
  <c r="I519" i="1"/>
  <c r="G519" i="1"/>
  <c r="D519" i="1"/>
  <c r="B519" i="1"/>
  <c r="R518" i="1"/>
  <c r="I518" i="1"/>
  <c r="G518" i="1"/>
  <c r="D518" i="1"/>
  <c r="B518" i="1"/>
  <c r="R517" i="1"/>
  <c r="I517" i="1"/>
  <c r="G517" i="1"/>
  <c r="D517" i="1"/>
  <c r="B517" i="1"/>
  <c r="R516" i="1"/>
  <c r="I516" i="1"/>
  <c r="G516" i="1"/>
  <c r="D516" i="1"/>
  <c r="B516" i="1"/>
  <c r="R515" i="1"/>
  <c r="I515" i="1"/>
  <c r="G515" i="1"/>
  <c r="D515" i="1"/>
  <c r="B515" i="1"/>
  <c r="R514" i="1"/>
  <c r="I514" i="1"/>
  <c r="G514" i="1"/>
  <c r="D514" i="1"/>
  <c r="B514" i="1"/>
  <c r="R513" i="1"/>
  <c r="I513" i="1"/>
  <c r="G513" i="1"/>
  <c r="D513" i="1"/>
  <c r="B513" i="1"/>
  <c r="R512" i="1"/>
  <c r="I512" i="1"/>
  <c r="G512" i="1"/>
  <c r="D512" i="1"/>
  <c r="B512" i="1"/>
  <c r="R511" i="1"/>
  <c r="I511" i="1"/>
  <c r="G511" i="1"/>
  <c r="D511" i="1"/>
  <c r="B511" i="1"/>
  <c r="R510" i="1"/>
  <c r="I510" i="1"/>
  <c r="G510" i="1"/>
  <c r="D510" i="1"/>
  <c r="B510" i="1"/>
  <c r="R509" i="1"/>
  <c r="I509" i="1"/>
  <c r="G509" i="1"/>
  <c r="D509" i="1"/>
  <c r="B509" i="1"/>
  <c r="R508" i="1"/>
  <c r="I508" i="1"/>
  <c r="G508" i="1"/>
  <c r="D508" i="1"/>
  <c r="B508" i="1"/>
  <c r="R507" i="1"/>
  <c r="I507" i="1"/>
  <c r="G507" i="1"/>
  <c r="D507" i="1"/>
  <c r="B507" i="1"/>
  <c r="R506" i="1"/>
  <c r="I506" i="1"/>
  <c r="G506" i="1"/>
  <c r="D506" i="1"/>
  <c r="B506" i="1"/>
  <c r="R505" i="1"/>
  <c r="I505" i="1"/>
  <c r="G505" i="1"/>
  <c r="D505" i="1"/>
  <c r="B505" i="1"/>
  <c r="R504" i="1"/>
  <c r="I504" i="1"/>
  <c r="G504" i="1"/>
  <c r="D504" i="1"/>
  <c r="B504" i="1"/>
  <c r="R503" i="1"/>
  <c r="I503" i="1"/>
  <c r="G503" i="1"/>
  <c r="D503" i="1"/>
  <c r="B503" i="1"/>
  <c r="R502" i="1"/>
  <c r="I502" i="1"/>
  <c r="G502" i="1"/>
  <c r="D502" i="1"/>
  <c r="B502" i="1"/>
  <c r="R501" i="1"/>
  <c r="I501" i="1"/>
  <c r="G501" i="1"/>
  <c r="D501" i="1"/>
  <c r="B501" i="1"/>
  <c r="R500" i="1"/>
  <c r="I500" i="1"/>
  <c r="G500" i="1"/>
  <c r="D500" i="1"/>
  <c r="B500" i="1"/>
  <c r="R499" i="1"/>
  <c r="I499" i="1"/>
  <c r="G499" i="1"/>
  <c r="D499" i="1"/>
  <c r="B499" i="1"/>
  <c r="R498" i="1"/>
  <c r="I498" i="1"/>
  <c r="G498" i="1"/>
  <c r="D498" i="1"/>
  <c r="B498" i="1"/>
  <c r="R497" i="1"/>
  <c r="I497" i="1"/>
  <c r="G497" i="1"/>
  <c r="D497" i="1"/>
  <c r="B497" i="1"/>
  <c r="R496" i="1"/>
  <c r="I496" i="1"/>
  <c r="G496" i="1"/>
  <c r="D496" i="1"/>
  <c r="B496" i="1"/>
  <c r="R495" i="1"/>
  <c r="I495" i="1"/>
  <c r="G495" i="1"/>
  <c r="D495" i="1"/>
  <c r="B495" i="1"/>
  <c r="R494" i="1"/>
  <c r="I494" i="1"/>
  <c r="G494" i="1"/>
  <c r="D494" i="1"/>
  <c r="B494" i="1"/>
  <c r="R493" i="1"/>
  <c r="I493" i="1"/>
  <c r="G493" i="1"/>
  <c r="D493" i="1"/>
  <c r="B493" i="1"/>
  <c r="R492" i="1"/>
  <c r="I492" i="1"/>
  <c r="G492" i="1"/>
  <c r="D492" i="1"/>
  <c r="B492" i="1"/>
  <c r="R491" i="1"/>
  <c r="I491" i="1"/>
  <c r="G491" i="1"/>
  <c r="D491" i="1"/>
  <c r="B491" i="1"/>
  <c r="R490" i="1"/>
  <c r="I490" i="1"/>
  <c r="G490" i="1"/>
  <c r="D490" i="1"/>
  <c r="B490" i="1"/>
  <c r="R489" i="1"/>
  <c r="I489" i="1"/>
  <c r="G489" i="1"/>
  <c r="D489" i="1"/>
  <c r="B489" i="1"/>
  <c r="R488" i="1"/>
  <c r="I488" i="1"/>
  <c r="G488" i="1"/>
  <c r="D488" i="1"/>
  <c r="B488" i="1"/>
  <c r="R487" i="1"/>
  <c r="I487" i="1"/>
  <c r="G487" i="1"/>
  <c r="D487" i="1"/>
  <c r="B487" i="1"/>
  <c r="R486" i="1"/>
  <c r="I486" i="1"/>
  <c r="G486" i="1"/>
  <c r="D486" i="1"/>
  <c r="B486" i="1"/>
  <c r="R485" i="1"/>
  <c r="I485" i="1"/>
  <c r="G485" i="1"/>
  <c r="D485" i="1"/>
  <c r="B485" i="1"/>
  <c r="R484" i="1"/>
  <c r="I484" i="1"/>
  <c r="G484" i="1"/>
  <c r="D484" i="1"/>
  <c r="B484" i="1"/>
  <c r="R483" i="1"/>
  <c r="I483" i="1"/>
  <c r="G483" i="1"/>
  <c r="D483" i="1"/>
  <c r="B483" i="1"/>
  <c r="R482" i="1"/>
  <c r="I482" i="1"/>
  <c r="G482" i="1"/>
  <c r="D482" i="1"/>
  <c r="B482" i="1"/>
  <c r="R481" i="1"/>
  <c r="I481" i="1"/>
  <c r="G481" i="1"/>
  <c r="D481" i="1"/>
  <c r="B481" i="1"/>
  <c r="R480" i="1"/>
  <c r="I480" i="1"/>
  <c r="G480" i="1"/>
  <c r="D480" i="1"/>
  <c r="B480" i="1"/>
  <c r="R479" i="1"/>
  <c r="I479" i="1"/>
  <c r="G479" i="1"/>
  <c r="D479" i="1"/>
  <c r="B479" i="1"/>
  <c r="R478" i="1"/>
  <c r="I478" i="1"/>
  <c r="G478" i="1"/>
  <c r="D478" i="1"/>
  <c r="B478" i="1"/>
  <c r="R477" i="1"/>
  <c r="I477" i="1"/>
  <c r="G477" i="1"/>
  <c r="D477" i="1"/>
  <c r="B477" i="1"/>
  <c r="R476" i="1"/>
  <c r="I476" i="1"/>
  <c r="G476" i="1"/>
  <c r="D476" i="1"/>
  <c r="B476" i="1"/>
  <c r="R475" i="1"/>
  <c r="I475" i="1"/>
  <c r="G475" i="1"/>
  <c r="D475" i="1"/>
  <c r="B475" i="1"/>
  <c r="R474" i="1"/>
  <c r="I474" i="1"/>
  <c r="G474" i="1"/>
  <c r="D474" i="1"/>
  <c r="B474" i="1"/>
  <c r="R473" i="1"/>
  <c r="I473" i="1"/>
  <c r="G473" i="1"/>
  <c r="D473" i="1"/>
  <c r="B473" i="1"/>
  <c r="R472" i="1"/>
  <c r="I472" i="1"/>
  <c r="G472" i="1"/>
  <c r="D472" i="1"/>
  <c r="B472" i="1"/>
  <c r="R471" i="1"/>
  <c r="I471" i="1"/>
  <c r="G471" i="1"/>
  <c r="D471" i="1"/>
  <c r="B471" i="1"/>
  <c r="R470" i="1"/>
  <c r="I470" i="1"/>
  <c r="G470" i="1"/>
  <c r="D470" i="1"/>
  <c r="B470" i="1"/>
  <c r="R469" i="1"/>
  <c r="I469" i="1"/>
  <c r="G469" i="1"/>
  <c r="D469" i="1"/>
  <c r="B469" i="1"/>
  <c r="R468" i="1"/>
  <c r="I468" i="1"/>
  <c r="G468" i="1"/>
  <c r="D468" i="1"/>
  <c r="B468" i="1"/>
  <c r="R467" i="1"/>
  <c r="I467" i="1"/>
  <c r="G467" i="1"/>
  <c r="D467" i="1"/>
  <c r="B467" i="1"/>
  <c r="R466" i="1"/>
  <c r="I466" i="1"/>
  <c r="G466" i="1"/>
  <c r="D466" i="1"/>
  <c r="B466" i="1"/>
  <c r="R465" i="1"/>
  <c r="I465" i="1"/>
  <c r="G465" i="1"/>
  <c r="D465" i="1"/>
  <c r="B465" i="1"/>
  <c r="R464" i="1"/>
  <c r="I464" i="1"/>
  <c r="G464" i="1"/>
  <c r="D464" i="1"/>
  <c r="B464" i="1"/>
  <c r="R463" i="1"/>
  <c r="I463" i="1"/>
  <c r="G463" i="1"/>
  <c r="D463" i="1"/>
  <c r="B463" i="1"/>
  <c r="R462" i="1"/>
  <c r="I462" i="1"/>
  <c r="G462" i="1"/>
  <c r="D462" i="1"/>
  <c r="B462" i="1"/>
  <c r="R461" i="1"/>
  <c r="I461" i="1"/>
  <c r="G461" i="1"/>
  <c r="D461" i="1"/>
  <c r="B461" i="1"/>
  <c r="R460" i="1"/>
  <c r="I460" i="1"/>
  <c r="G460" i="1"/>
  <c r="D460" i="1"/>
  <c r="B460" i="1"/>
  <c r="R459" i="1"/>
  <c r="I459" i="1"/>
  <c r="G459" i="1"/>
  <c r="D459" i="1"/>
  <c r="B459" i="1"/>
  <c r="R458" i="1"/>
  <c r="I458" i="1"/>
  <c r="G458" i="1"/>
  <c r="D458" i="1"/>
  <c r="B458" i="1"/>
  <c r="R457" i="1"/>
  <c r="I457" i="1"/>
  <c r="G457" i="1"/>
  <c r="D457" i="1"/>
  <c r="B457" i="1"/>
  <c r="R456" i="1"/>
  <c r="I456" i="1"/>
  <c r="G456" i="1"/>
  <c r="D456" i="1"/>
  <c r="B456" i="1"/>
  <c r="R455" i="1"/>
  <c r="I455" i="1"/>
  <c r="G455" i="1"/>
  <c r="D455" i="1"/>
  <c r="B455" i="1"/>
  <c r="R454" i="1"/>
  <c r="I454" i="1"/>
  <c r="G454" i="1"/>
  <c r="D454" i="1"/>
  <c r="B454" i="1"/>
  <c r="R453" i="1"/>
  <c r="I453" i="1"/>
  <c r="G453" i="1"/>
  <c r="D453" i="1"/>
  <c r="B453" i="1"/>
  <c r="R452" i="1"/>
  <c r="I452" i="1"/>
  <c r="G452" i="1"/>
  <c r="D452" i="1"/>
  <c r="B452" i="1"/>
  <c r="R451" i="1"/>
  <c r="I451" i="1"/>
  <c r="G451" i="1"/>
  <c r="D451" i="1"/>
  <c r="B451" i="1"/>
  <c r="R450" i="1"/>
  <c r="I450" i="1"/>
  <c r="G450" i="1"/>
  <c r="D450" i="1"/>
  <c r="B450" i="1"/>
  <c r="R449" i="1"/>
  <c r="I449" i="1"/>
  <c r="G449" i="1"/>
  <c r="D449" i="1"/>
  <c r="B449" i="1"/>
  <c r="R448" i="1"/>
  <c r="I448" i="1"/>
  <c r="G448" i="1"/>
  <c r="D448" i="1"/>
  <c r="B448" i="1"/>
  <c r="R447" i="1"/>
  <c r="I447" i="1"/>
  <c r="G447" i="1"/>
  <c r="D447" i="1"/>
  <c r="B447" i="1"/>
  <c r="R446" i="1"/>
  <c r="I446" i="1"/>
  <c r="G446" i="1"/>
  <c r="D446" i="1"/>
  <c r="B446" i="1"/>
  <c r="R445" i="1"/>
  <c r="I445" i="1"/>
  <c r="G445" i="1"/>
  <c r="D445" i="1"/>
  <c r="B445" i="1"/>
  <c r="R444" i="1"/>
  <c r="I444" i="1"/>
  <c r="G444" i="1"/>
  <c r="D444" i="1"/>
  <c r="B444" i="1"/>
  <c r="R443" i="1"/>
  <c r="I443" i="1"/>
  <c r="G443" i="1"/>
  <c r="D443" i="1"/>
  <c r="B443" i="1"/>
  <c r="R442" i="1"/>
  <c r="I442" i="1"/>
  <c r="G442" i="1"/>
  <c r="D442" i="1"/>
  <c r="B442" i="1"/>
  <c r="R441" i="1"/>
  <c r="I441" i="1"/>
  <c r="G441" i="1"/>
  <c r="D441" i="1"/>
  <c r="B441" i="1"/>
  <c r="R440" i="1"/>
  <c r="I440" i="1"/>
  <c r="G440" i="1"/>
  <c r="D440" i="1"/>
  <c r="B440" i="1"/>
  <c r="R439" i="1"/>
  <c r="I439" i="1"/>
  <c r="G439" i="1"/>
  <c r="D439" i="1"/>
  <c r="B439" i="1"/>
  <c r="R438" i="1"/>
  <c r="I438" i="1"/>
  <c r="G438" i="1"/>
  <c r="D438" i="1"/>
  <c r="B438" i="1"/>
  <c r="R437" i="1"/>
  <c r="I437" i="1"/>
  <c r="G437" i="1"/>
  <c r="D437" i="1"/>
  <c r="B437" i="1"/>
  <c r="R436" i="1"/>
  <c r="I436" i="1"/>
  <c r="G436" i="1"/>
  <c r="D436" i="1"/>
  <c r="B436" i="1"/>
  <c r="R435" i="1"/>
  <c r="I435" i="1"/>
  <c r="G435" i="1"/>
  <c r="D435" i="1"/>
  <c r="B435" i="1"/>
  <c r="R434" i="1"/>
  <c r="I434" i="1"/>
  <c r="G434" i="1"/>
  <c r="D434" i="1"/>
  <c r="B434" i="1"/>
  <c r="R433" i="1"/>
  <c r="I433" i="1"/>
  <c r="G433" i="1"/>
  <c r="D433" i="1"/>
  <c r="B433" i="1"/>
  <c r="R432" i="1"/>
  <c r="I432" i="1"/>
  <c r="G432" i="1"/>
  <c r="D432" i="1"/>
  <c r="B432" i="1"/>
  <c r="R431" i="1"/>
  <c r="I431" i="1"/>
  <c r="G431" i="1"/>
  <c r="D431" i="1"/>
  <c r="B431" i="1"/>
  <c r="R430" i="1"/>
  <c r="I430" i="1"/>
  <c r="G430" i="1"/>
  <c r="D430" i="1"/>
  <c r="B430" i="1"/>
  <c r="R429" i="1"/>
  <c r="I429" i="1"/>
  <c r="G429" i="1"/>
  <c r="D429" i="1"/>
  <c r="B429" i="1"/>
  <c r="R428" i="1"/>
  <c r="I428" i="1"/>
  <c r="G428" i="1"/>
  <c r="D428" i="1"/>
  <c r="B428" i="1"/>
  <c r="R427" i="1"/>
  <c r="I427" i="1"/>
  <c r="G427" i="1"/>
  <c r="D427" i="1"/>
  <c r="B427" i="1"/>
  <c r="R426" i="1"/>
  <c r="I426" i="1"/>
  <c r="G426" i="1"/>
  <c r="D426" i="1"/>
  <c r="B426" i="1"/>
  <c r="R425" i="1"/>
  <c r="I425" i="1"/>
  <c r="G425" i="1"/>
  <c r="D425" i="1"/>
  <c r="B425" i="1"/>
  <c r="R424" i="1"/>
  <c r="I424" i="1"/>
  <c r="G424" i="1"/>
  <c r="D424" i="1"/>
  <c r="B424" i="1"/>
  <c r="R423" i="1"/>
  <c r="I423" i="1"/>
  <c r="G423" i="1"/>
  <c r="D423" i="1"/>
  <c r="B423" i="1"/>
  <c r="R422" i="1"/>
  <c r="I422" i="1"/>
  <c r="G422" i="1"/>
  <c r="D422" i="1"/>
  <c r="B422" i="1"/>
  <c r="R421" i="1"/>
  <c r="I421" i="1"/>
  <c r="G421" i="1"/>
  <c r="D421" i="1"/>
  <c r="B421" i="1"/>
  <c r="R420" i="1"/>
  <c r="I420" i="1"/>
  <c r="G420" i="1"/>
  <c r="D420" i="1"/>
  <c r="B420" i="1"/>
  <c r="R419" i="1"/>
  <c r="I419" i="1"/>
  <c r="G419" i="1"/>
  <c r="D419" i="1"/>
  <c r="B419" i="1"/>
  <c r="R418" i="1"/>
  <c r="I418" i="1"/>
  <c r="G418" i="1"/>
  <c r="D418" i="1"/>
  <c r="B418" i="1"/>
  <c r="R417" i="1"/>
  <c r="I417" i="1"/>
  <c r="G417" i="1"/>
  <c r="D417" i="1"/>
  <c r="B417" i="1"/>
  <c r="R416" i="1"/>
  <c r="I416" i="1"/>
  <c r="G416" i="1"/>
  <c r="D416" i="1"/>
  <c r="B416" i="1"/>
  <c r="R415" i="1"/>
  <c r="I415" i="1"/>
  <c r="G415" i="1"/>
  <c r="D415" i="1"/>
  <c r="B415" i="1"/>
  <c r="R414" i="1"/>
  <c r="I414" i="1"/>
  <c r="G414" i="1"/>
  <c r="D414" i="1"/>
  <c r="B414" i="1"/>
  <c r="R413" i="1"/>
  <c r="I413" i="1"/>
  <c r="G413" i="1"/>
  <c r="D413" i="1"/>
  <c r="B413" i="1"/>
  <c r="R412" i="1"/>
  <c r="I412" i="1"/>
  <c r="G412" i="1"/>
  <c r="D412" i="1"/>
  <c r="B412" i="1"/>
  <c r="R411" i="1"/>
  <c r="I411" i="1"/>
  <c r="G411" i="1"/>
  <c r="D411" i="1"/>
  <c r="B411" i="1"/>
  <c r="R410" i="1"/>
  <c r="I410" i="1"/>
  <c r="G410" i="1"/>
  <c r="D410" i="1"/>
  <c r="B410" i="1"/>
  <c r="R409" i="1"/>
  <c r="I409" i="1"/>
  <c r="G409" i="1"/>
  <c r="D409" i="1"/>
  <c r="B409" i="1"/>
  <c r="R408" i="1"/>
  <c r="I408" i="1"/>
  <c r="G408" i="1"/>
  <c r="D408" i="1"/>
  <c r="B408" i="1"/>
  <c r="R407" i="1"/>
  <c r="I407" i="1"/>
  <c r="G407" i="1"/>
  <c r="D407" i="1"/>
  <c r="B407" i="1"/>
  <c r="R406" i="1"/>
  <c r="I406" i="1"/>
  <c r="G406" i="1"/>
  <c r="D406" i="1"/>
  <c r="B406" i="1"/>
  <c r="R405" i="1"/>
  <c r="I405" i="1"/>
  <c r="G405" i="1"/>
  <c r="D405" i="1"/>
  <c r="B405" i="1"/>
  <c r="R404" i="1"/>
  <c r="I404" i="1"/>
  <c r="G404" i="1"/>
  <c r="D404" i="1"/>
  <c r="B404" i="1"/>
  <c r="R403" i="1"/>
  <c r="I403" i="1"/>
  <c r="G403" i="1"/>
  <c r="D403" i="1"/>
  <c r="B403" i="1"/>
  <c r="R402" i="1"/>
  <c r="I402" i="1"/>
  <c r="G402" i="1"/>
  <c r="D402" i="1"/>
  <c r="B402" i="1"/>
  <c r="R401" i="1"/>
  <c r="I401" i="1"/>
  <c r="G401" i="1"/>
  <c r="D401" i="1"/>
  <c r="B401" i="1"/>
  <c r="R400" i="1"/>
  <c r="I400" i="1"/>
  <c r="G400" i="1"/>
  <c r="D400" i="1"/>
  <c r="B400" i="1"/>
  <c r="R399" i="1"/>
  <c r="I399" i="1"/>
  <c r="G399" i="1"/>
  <c r="D399" i="1"/>
  <c r="B399" i="1"/>
  <c r="R398" i="1"/>
  <c r="I398" i="1"/>
  <c r="G398" i="1"/>
  <c r="D398" i="1"/>
  <c r="B398" i="1"/>
  <c r="R397" i="1"/>
  <c r="I397" i="1"/>
  <c r="G397" i="1"/>
  <c r="D397" i="1"/>
  <c r="B397" i="1"/>
  <c r="R396" i="1"/>
  <c r="I396" i="1"/>
  <c r="G396" i="1"/>
  <c r="D396" i="1"/>
  <c r="B396" i="1"/>
  <c r="R395" i="1"/>
  <c r="I395" i="1"/>
  <c r="G395" i="1"/>
  <c r="D395" i="1"/>
  <c r="B395" i="1"/>
  <c r="R394" i="1"/>
  <c r="I394" i="1"/>
  <c r="G394" i="1"/>
  <c r="D394" i="1"/>
  <c r="B394" i="1"/>
  <c r="R393" i="1"/>
  <c r="I393" i="1"/>
  <c r="G393" i="1"/>
  <c r="D393" i="1"/>
  <c r="B393" i="1"/>
  <c r="R392" i="1"/>
  <c r="I392" i="1"/>
  <c r="G392" i="1"/>
  <c r="D392" i="1"/>
  <c r="B392" i="1"/>
  <c r="R391" i="1"/>
  <c r="I391" i="1"/>
  <c r="G391" i="1"/>
  <c r="D391" i="1"/>
  <c r="B391" i="1"/>
  <c r="R390" i="1"/>
  <c r="I390" i="1"/>
  <c r="G390" i="1"/>
  <c r="D390" i="1"/>
  <c r="B390" i="1"/>
  <c r="R389" i="1"/>
  <c r="I389" i="1"/>
  <c r="G389" i="1"/>
  <c r="D389" i="1"/>
  <c r="B389" i="1"/>
  <c r="R388" i="1"/>
  <c r="I388" i="1"/>
  <c r="G388" i="1"/>
  <c r="D388" i="1"/>
  <c r="B388" i="1"/>
  <c r="R387" i="1"/>
  <c r="I387" i="1"/>
  <c r="G387" i="1"/>
  <c r="D387" i="1"/>
  <c r="B387" i="1"/>
  <c r="R386" i="1"/>
  <c r="I386" i="1"/>
  <c r="G386" i="1"/>
  <c r="D386" i="1"/>
  <c r="B386" i="1"/>
  <c r="R385" i="1"/>
  <c r="I385" i="1"/>
  <c r="G385" i="1"/>
  <c r="D385" i="1"/>
  <c r="B385" i="1"/>
  <c r="R384" i="1"/>
  <c r="I384" i="1"/>
  <c r="G384" i="1"/>
  <c r="D384" i="1"/>
  <c r="B384" i="1"/>
  <c r="R383" i="1"/>
  <c r="I383" i="1"/>
  <c r="G383" i="1"/>
  <c r="D383" i="1"/>
  <c r="B383" i="1"/>
  <c r="R382" i="1"/>
  <c r="I382" i="1"/>
  <c r="G382" i="1"/>
  <c r="D382" i="1"/>
  <c r="B382" i="1"/>
  <c r="R381" i="1"/>
  <c r="I381" i="1"/>
  <c r="G381" i="1"/>
  <c r="D381" i="1"/>
  <c r="B381" i="1"/>
  <c r="R380" i="1"/>
  <c r="I380" i="1"/>
  <c r="G380" i="1"/>
  <c r="D380" i="1"/>
  <c r="B380" i="1"/>
  <c r="R379" i="1"/>
  <c r="I379" i="1"/>
  <c r="G379" i="1"/>
  <c r="D379" i="1"/>
  <c r="B379" i="1"/>
  <c r="R378" i="1"/>
  <c r="I378" i="1"/>
  <c r="G378" i="1"/>
  <c r="D378" i="1"/>
  <c r="B378" i="1"/>
  <c r="R377" i="1"/>
  <c r="I377" i="1"/>
  <c r="G377" i="1"/>
  <c r="D377" i="1"/>
  <c r="B377" i="1"/>
  <c r="R376" i="1"/>
  <c r="I376" i="1"/>
  <c r="G376" i="1"/>
  <c r="D376" i="1"/>
  <c r="B376" i="1"/>
  <c r="R375" i="1"/>
  <c r="I375" i="1"/>
  <c r="G375" i="1"/>
  <c r="D375" i="1"/>
  <c r="B375" i="1"/>
  <c r="R374" i="1"/>
  <c r="I374" i="1"/>
  <c r="G374" i="1"/>
  <c r="D374" i="1"/>
  <c r="B374" i="1"/>
  <c r="R373" i="1"/>
  <c r="I373" i="1"/>
  <c r="G373" i="1"/>
  <c r="D373" i="1"/>
  <c r="B373" i="1"/>
  <c r="R372" i="1"/>
  <c r="I372" i="1"/>
  <c r="G372" i="1"/>
  <c r="D372" i="1"/>
  <c r="B372" i="1"/>
  <c r="R371" i="1"/>
  <c r="I371" i="1"/>
  <c r="G371" i="1"/>
  <c r="D371" i="1"/>
  <c r="B371" i="1"/>
  <c r="R370" i="1"/>
  <c r="I370" i="1"/>
  <c r="G370" i="1"/>
  <c r="D370" i="1"/>
  <c r="B370" i="1"/>
  <c r="R369" i="1"/>
  <c r="I369" i="1"/>
  <c r="G369" i="1"/>
  <c r="D369" i="1"/>
  <c r="B369" i="1"/>
  <c r="R368" i="1"/>
  <c r="I368" i="1"/>
  <c r="G368" i="1"/>
  <c r="D368" i="1"/>
  <c r="B368" i="1"/>
  <c r="R367" i="1"/>
  <c r="I367" i="1"/>
  <c r="G367" i="1"/>
  <c r="D367" i="1"/>
  <c r="B367" i="1"/>
  <c r="R366" i="1"/>
  <c r="I366" i="1"/>
  <c r="G366" i="1"/>
  <c r="D366" i="1"/>
  <c r="B366" i="1"/>
  <c r="R365" i="1"/>
  <c r="I365" i="1"/>
  <c r="G365" i="1"/>
  <c r="D365" i="1"/>
  <c r="B365" i="1"/>
  <c r="R364" i="1"/>
  <c r="I364" i="1"/>
  <c r="G364" i="1"/>
  <c r="D364" i="1"/>
  <c r="B364" i="1"/>
  <c r="R363" i="1"/>
  <c r="I363" i="1"/>
  <c r="G363" i="1"/>
  <c r="D363" i="1"/>
  <c r="B363" i="1"/>
  <c r="R362" i="1"/>
  <c r="I362" i="1"/>
  <c r="G362" i="1"/>
  <c r="D362" i="1"/>
  <c r="B362" i="1"/>
  <c r="R361" i="1"/>
  <c r="I361" i="1"/>
  <c r="G361" i="1"/>
  <c r="D361" i="1"/>
  <c r="B361" i="1"/>
  <c r="R360" i="1"/>
  <c r="I360" i="1"/>
  <c r="G360" i="1"/>
  <c r="D360" i="1"/>
  <c r="B360" i="1"/>
  <c r="R359" i="1"/>
  <c r="I359" i="1"/>
  <c r="G359" i="1"/>
  <c r="D359" i="1"/>
  <c r="B359" i="1"/>
  <c r="R358" i="1"/>
  <c r="I358" i="1"/>
  <c r="G358" i="1"/>
  <c r="D358" i="1"/>
  <c r="B358" i="1"/>
  <c r="R357" i="1"/>
  <c r="I357" i="1"/>
  <c r="G357" i="1"/>
  <c r="D357" i="1"/>
  <c r="B357" i="1"/>
  <c r="R356" i="1"/>
  <c r="I356" i="1"/>
  <c r="G356" i="1"/>
  <c r="D356" i="1"/>
  <c r="B356" i="1"/>
  <c r="R355" i="1"/>
  <c r="I355" i="1"/>
  <c r="G355" i="1"/>
  <c r="D355" i="1"/>
  <c r="B355" i="1"/>
  <c r="R354" i="1"/>
  <c r="I354" i="1"/>
  <c r="G354" i="1"/>
  <c r="D354" i="1"/>
  <c r="B354" i="1"/>
  <c r="R353" i="1"/>
  <c r="I353" i="1"/>
  <c r="G353" i="1"/>
  <c r="D353" i="1"/>
  <c r="B353" i="1"/>
  <c r="R352" i="1"/>
  <c r="I352" i="1"/>
  <c r="G352" i="1"/>
  <c r="D352" i="1"/>
  <c r="B352" i="1"/>
  <c r="R351" i="1"/>
  <c r="I351" i="1"/>
  <c r="G351" i="1"/>
  <c r="D351" i="1"/>
  <c r="B351" i="1"/>
  <c r="R350" i="1"/>
  <c r="I350" i="1"/>
  <c r="G350" i="1"/>
  <c r="D350" i="1"/>
  <c r="B350" i="1"/>
  <c r="R349" i="1"/>
  <c r="I349" i="1"/>
  <c r="G349" i="1"/>
  <c r="D349" i="1"/>
  <c r="B349" i="1"/>
  <c r="R348" i="1"/>
  <c r="I348" i="1"/>
  <c r="G348" i="1"/>
  <c r="D348" i="1"/>
  <c r="B348" i="1"/>
  <c r="R347" i="1"/>
  <c r="I347" i="1"/>
  <c r="G347" i="1"/>
  <c r="D347" i="1"/>
  <c r="B347" i="1"/>
  <c r="R346" i="1"/>
  <c r="I346" i="1"/>
  <c r="G346" i="1"/>
  <c r="D346" i="1"/>
  <c r="B346" i="1"/>
  <c r="R345" i="1"/>
  <c r="I345" i="1"/>
  <c r="G345" i="1"/>
  <c r="D345" i="1"/>
  <c r="B345" i="1"/>
  <c r="R344" i="1"/>
  <c r="I344" i="1"/>
  <c r="G344" i="1"/>
  <c r="D344" i="1"/>
  <c r="B344" i="1"/>
  <c r="R343" i="1"/>
  <c r="I343" i="1"/>
  <c r="G343" i="1"/>
  <c r="D343" i="1"/>
  <c r="B343" i="1"/>
  <c r="R342" i="1"/>
  <c r="I342" i="1"/>
  <c r="G342" i="1"/>
  <c r="D342" i="1"/>
  <c r="B342" i="1"/>
  <c r="R341" i="1"/>
  <c r="I341" i="1"/>
  <c r="G341" i="1"/>
  <c r="D341" i="1"/>
  <c r="B341" i="1"/>
  <c r="R340" i="1"/>
  <c r="I340" i="1"/>
  <c r="G340" i="1"/>
  <c r="D340" i="1"/>
  <c r="B340" i="1"/>
  <c r="R339" i="1"/>
  <c r="I339" i="1"/>
  <c r="G339" i="1"/>
  <c r="D339" i="1"/>
  <c r="B339" i="1"/>
  <c r="R338" i="1"/>
  <c r="I338" i="1"/>
  <c r="G338" i="1"/>
  <c r="D338" i="1"/>
  <c r="B338" i="1"/>
  <c r="R337" i="1"/>
  <c r="I337" i="1"/>
  <c r="G337" i="1"/>
  <c r="D337" i="1"/>
  <c r="B337" i="1"/>
  <c r="R336" i="1"/>
  <c r="I336" i="1"/>
  <c r="G336" i="1"/>
  <c r="D336" i="1"/>
  <c r="B336" i="1"/>
  <c r="R335" i="1"/>
  <c r="I335" i="1"/>
  <c r="G335" i="1"/>
  <c r="D335" i="1"/>
  <c r="B335" i="1"/>
  <c r="R334" i="1"/>
  <c r="I334" i="1"/>
  <c r="G334" i="1"/>
  <c r="D334" i="1"/>
  <c r="B334" i="1"/>
  <c r="R333" i="1"/>
  <c r="I333" i="1"/>
  <c r="G333" i="1"/>
  <c r="D333" i="1"/>
  <c r="B333" i="1"/>
  <c r="R332" i="1"/>
  <c r="I332" i="1"/>
  <c r="G332" i="1"/>
  <c r="D332" i="1"/>
  <c r="B332" i="1"/>
  <c r="R331" i="1"/>
  <c r="I331" i="1"/>
  <c r="G331" i="1"/>
  <c r="D331" i="1"/>
  <c r="B331" i="1"/>
  <c r="R330" i="1"/>
  <c r="I330" i="1"/>
  <c r="G330" i="1"/>
  <c r="D330" i="1"/>
  <c r="B330" i="1"/>
  <c r="R329" i="1"/>
  <c r="I329" i="1"/>
  <c r="G329" i="1"/>
  <c r="D329" i="1"/>
  <c r="B329" i="1"/>
  <c r="R328" i="1"/>
  <c r="I328" i="1"/>
  <c r="G328" i="1"/>
  <c r="D328" i="1"/>
  <c r="B328" i="1"/>
  <c r="R327" i="1"/>
  <c r="I327" i="1"/>
  <c r="G327" i="1"/>
  <c r="D327" i="1"/>
  <c r="B327" i="1"/>
  <c r="R326" i="1"/>
  <c r="I326" i="1"/>
  <c r="G326" i="1"/>
  <c r="D326" i="1"/>
  <c r="B326" i="1"/>
  <c r="R325" i="1"/>
  <c r="I325" i="1"/>
  <c r="G325" i="1"/>
  <c r="D325" i="1"/>
  <c r="B325" i="1"/>
  <c r="R324" i="1"/>
  <c r="I324" i="1"/>
  <c r="G324" i="1"/>
  <c r="D324" i="1"/>
  <c r="B324" i="1"/>
  <c r="R323" i="1"/>
  <c r="I323" i="1"/>
  <c r="G323" i="1"/>
  <c r="D323" i="1"/>
  <c r="B323" i="1"/>
  <c r="R322" i="1"/>
  <c r="I322" i="1"/>
  <c r="G322" i="1"/>
  <c r="D322" i="1"/>
  <c r="B322" i="1"/>
  <c r="R321" i="1"/>
  <c r="I321" i="1"/>
  <c r="G321" i="1"/>
  <c r="D321" i="1"/>
  <c r="B321" i="1"/>
  <c r="R320" i="1"/>
  <c r="I320" i="1"/>
  <c r="G320" i="1"/>
  <c r="D320" i="1"/>
  <c r="B320" i="1"/>
  <c r="R319" i="1"/>
  <c r="I319" i="1"/>
  <c r="G319" i="1"/>
  <c r="D319" i="1"/>
  <c r="B319" i="1"/>
  <c r="R318" i="1"/>
  <c r="I318" i="1"/>
  <c r="G318" i="1"/>
  <c r="D318" i="1"/>
  <c r="B318" i="1"/>
  <c r="R317" i="1"/>
  <c r="I317" i="1"/>
  <c r="G317" i="1"/>
  <c r="D317" i="1"/>
  <c r="B317" i="1"/>
  <c r="R316" i="1"/>
  <c r="I316" i="1"/>
  <c r="G316" i="1"/>
  <c r="D316" i="1"/>
  <c r="B316" i="1"/>
  <c r="R315" i="1"/>
  <c r="I315" i="1"/>
  <c r="G315" i="1"/>
  <c r="D315" i="1"/>
  <c r="B315" i="1"/>
  <c r="R314" i="1"/>
  <c r="I314" i="1"/>
  <c r="G314" i="1"/>
  <c r="D314" i="1"/>
  <c r="B314" i="1"/>
  <c r="R313" i="1"/>
  <c r="I313" i="1"/>
  <c r="G313" i="1"/>
  <c r="D313" i="1"/>
  <c r="B313" i="1"/>
  <c r="R312" i="1"/>
  <c r="I312" i="1"/>
  <c r="G312" i="1"/>
  <c r="D312" i="1"/>
  <c r="B312" i="1"/>
  <c r="R311" i="1"/>
  <c r="I311" i="1"/>
  <c r="G311" i="1"/>
  <c r="D311" i="1"/>
  <c r="B311" i="1"/>
  <c r="R310" i="1"/>
  <c r="I310" i="1"/>
  <c r="G310" i="1"/>
  <c r="D310" i="1"/>
  <c r="B310" i="1"/>
  <c r="R309" i="1"/>
  <c r="I309" i="1"/>
  <c r="G309" i="1"/>
  <c r="D309" i="1"/>
  <c r="B309" i="1"/>
  <c r="R308" i="1"/>
  <c r="I308" i="1"/>
  <c r="G308" i="1"/>
  <c r="D308" i="1"/>
  <c r="B308" i="1"/>
  <c r="R307" i="1"/>
  <c r="I307" i="1"/>
  <c r="G307" i="1"/>
  <c r="D307" i="1"/>
  <c r="B307" i="1"/>
  <c r="R306" i="1"/>
  <c r="I306" i="1"/>
  <c r="G306" i="1"/>
  <c r="D306" i="1"/>
  <c r="B306" i="1"/>
  <c r="R305" i="1"/>
  <c r="I305" i="1"/>
  <c r="G305" i="1"/>
  <c r="D305" i="1"/>
  <c r="B305" i="1"/>
  <c r="R304" i="1"/>
  <c r="I304" i="1"/>
  <c r="G304" i="1"/>
  <c r="D304" i="1"/>
  <c r="B304" i="1"/>
  <c r="R303" i="1"/>
  <c r="I303" i="1"/>
  <c r="G303" i="1"/>
  <c r="D303" i="1"/>
  <c r="B303" i="1"/>
  <c r="R302" i="1"/>
  <c r="I302" i="1"/>
  <c r="G302" i="1"/>
  <c r="D302" i="1"/>
  <c r="B302" i="1"/>
  <c r="R301" i="1"/>
  <c r="I301" i="1"/>
  <c r="G301" i="1"/>
  <c r="D301" i="1"/>
  <c r="B301" i="1"/>
  <c r="R300" i="1"/>
  <c r="I300" i="1"/>
  <c r="G300" i="1"/>
  <c r="D300" i="1"/>
  <c r="B300" i="1"/>
  <c r="R299" i="1"/>
  <c r="I299" i="1"/>
  <c r="G299" i="1"/>
  <c r="D299" i="1"/>
  <c r="B299" i="1"/>
  <c r="R298" i="1"/>
  <c r="I298" i="1"/>
  <c r="G298" i="1"/>
  <c r="D298" i="1"/>
  <c r="B298" i="1"/>
  <c r="R297" i="1"/>
  <c r="I297" i="1"/>
  <c r="G297" i="1"/>
  <c r="D297" i="1"/>
  <c r="B297" i="1"/>
  <c r="R296" i="1"/>
  <c r="I296" i="1"/>
  <c r="G296" i="1"/>
  <c r="D296" i="1"/>
  <c r="B296" i="1"/>
  <c r="R295" i="1"/>
  <c r="I295" i="1"/>
  <c r="G295" i="1"/>
  <c r="D295" i="1"/>
  <c r="B295" i="1"/>
  <c r="R294" i="1"/>
  <c r="I294" i="1"/>
  <c r="G294" i="1"/>
  <c r="D294" i="1"/>
  <c r="B294" i="1"/>
  <c r="R293" i="1"/>
  <c r="I293" i="1"/>
  <c r="G293" i="1"/>
  <c r="D293" i="1"/>
  <c r="B293" i="1"/>
  <c r="R292" i="1"/>
  <c r="I292" i="1"/>
  <c r="G292" i="1"/>
  <c r="D292" i="1"/>
  <c r="B292" i="1"/>
  <c r="R291" i="1"/>
  <c r="I291" i="1"/>
  <c r="G291" i="1"/>
  <c r="D291" i="1"/>
  <c r="B291" i="1"/>
  <c r="R290" i="1"/>
  <c r="I290" i="1"/>
  <c r="G290" i="1"/>
  <c r="D290" i="1"/>
  <c r="B290" i="1"/>
  <c r="R289" i="1"/>
  <c r="I289" i="1"/>
  <c r="G289" i="1"/>
  <c r="D289" i="1"/>
  <c r="B289" i="1"/>
  <c r="R288" i="1"/>
  <c r="I288" i="1"/>
  <c r="G288" i="1"/>
  <c r="D288" i="1"/>
  <c r="B288" i="1"/>
  <c r="R287" i="1"/>
  <c r="I287" i="1"/>
  <c r="G287" i="1"/>
  <c r="D287" i="1"/>
  <c r="B287" i="1"/>
  <c r="R286" i="1"/>
  <c r="I286" i="1"/>
  <c r="G286" i="1"/>
  <c r="D286" i="1"/>
  <c r="B286" i="1"/>
  <c r="R285" i="1"/>
  <c r="I285" i="1"/>
  <c r="G285" i="1"/>
  <c r="D285" i="1"/>
  <c r="B285" i="1"/>
  <c r="R284" i="1"/>
  <c r="I284" i="1"/>
  <c r="G284" i="1"/>
  <c r="D284" i="1"/>
  <c r="B284" i="1"/>
  <c r="R283" i="1"/>
  <c r="I283" i="1"/>
  <c r="G283" i="1"/>
  <c r="D283" i="1"/>
  <c r="B283" i="1"/>
  <c r="R282" i="1"/>
  <c r="I282" i="1"/>
  <c r="G282" i="1"/>
  <c r="D282" i="1"/>
  <c r="B282" i="1"/>
  <c r="R281" i="1"/>
  <c r="I281" i="1"/>
  <c r="G281" i="1"/>
  <c r="D281" i="1"/>
  <c r="B281" i="1"/>
  <c r="R280" i="1"/>
  <c r="I280" i="1"/>
  <c r="G280" i="1"/>
  <c r="D280" i="1"/>
  <c r="B280" i="1"/>
  <c r="R279" i="1"/>
  <c r="I279" i="1"/>
  <c r="G279" i="1"/>
  <c r="D279" i="1"/>
  <c r="B279" i="1"/>
  <c r="R278" i="1"/>
  <c r="I278" i="1"/>
  <c r="G278" i="1"/>
  <c r="D278" i="1"/>
  <c r="B278" i="1"/>
  <c r="R277" i="1"/>
  <c r="I277" i="1"/>
  <c r="G277" i="1"/>
  <c r="D277" i="1"/>
  <c r="B277" i="1"/>
  <c r="R276" i="1"/>
  <c r="I276" i="1"/>
  <c r="G276" i="1"/>
  <c r="D276" i="1"/>
  <c r="B276" i="1"/>
  <c r="R275" i="1"/>
  <c r="I275" i="1"/>
  <c r="G275" i="1"/>
  <c r="D275" i="1"/>
  <c r="B275" i="1"/>
  <c r="R274" i="1"/>
  <c r="I274" i="1"/>
  <c r="G274" i="1"/>
  <c r="D274" i="1"/>
  <c r="B274" i="1"/>
  <c r="R273" i="1"/>
  <c r="I273" i="1"/>
  <c r="G273" i="1"/>
  <c r="D273" i="1"/>
  <c r="B273" i="1"/>
  <c r="R272" i="1"/>
  <c r="I272" i="1"/>
  <c r="G272" i="1"/>
  <c r="D272" i="1"/>
  <c r="B272" i="1"/>
  <c r="R271" i="1"/>
  <c r="I271" i="1"/>
  <c r="G271" i="1"/>
  <c r="D271" i="1"/>
  <c r="B271" i="1"/>
  <c r="R270" i="1"/>
  <c r="I270" i="1"/>
  <c r="G270" i="1"/>
  <c r="D270" i="1"/>
  <c r="B270" i="1"/>
  <c r="R269" i="1"/>
  <c r="I269" i="1"/>
  <c r="G269" i="1"/>
  <c r="D269" i="1"/>
  <c r="B269" i="1"/>
  <c r="R268" i="1"/>
  <c r="I268" i="1"/>
  <c r="G268" i="1"/>
  <c r="D268" i="1"/>
  <c r="B268" i="1"/>
  <c r="R267" i="1"/>
  <c r="I267" i="1"/>
  <c r="G267" i="1"/>
  <c r="D267" i="1"/>
  <c r="B267" i="1"/>
  <c r="R266" i="1"/>
  <c r="I266" i="1"/>
  <c r="G266" i="1"/>
  <c r="D266" i="1"/>
  <c r="B266" i="1"/>
  <c r="R265" i="1"/>
  <c r="I265" i="1"/>
  <c r="G265" i="1"/>
  <c r="D265" i="1"/>
  <c r="B265" i="1"/>
  <c r="R264" i="1"/>
  <c r="I264" i="1"/>
  <c r="G264" i="1"/>
  <c r="D264" i="1"/>
  <c r="B264" i="1"/>
  <c r="R263" i="1"/>
  <c r="I263" i="1"/>
  <c r="G263" i="1"/>
  <c r="D263" i="1"/>
  <c r="B263" i="1"/>
  <c r="R262" i="1"/>
  <c r="I262" i="1"/>
  <c r="G262" i="1"/>
  <c r="D262" i="1"/>
  <c r="B262" i="1"/>
  <c r="R261" i="1"/>
  <c r="I261" i="1"/>
  <c r="G261" i="1"/>
  <c r="D261" i="1"/>
  <c r="B261" i="1"/>
  <c r="R260" i="1"/>
  <c r="I260" i="1"/>
  <c r="G260" i="1"/>
  <c r="D260" i="1"/>
  <c r="B260" i="1"/>
  <c r="R259" i="1"/>
  <c r="I259" i="1"/>
  <c r="G259" i="1"/>
  <c r="D259" i="1"/>
  <c r="B259" i="1"/>
  <c r="R258" i="1"/>
  <c r="I258" i="1"/>
  <c r="G258" i="1"/>
  <c r="D258" i="1"/>
  <c r="B258" i="1"/>
  <c r="R257" i="1"/>
  <c r="I257" i="1"/>
  <c r="G257" i="1"/>
  <c r="D257" i="1"/>
  <c r="B257" i="1"/>
  <c r="R256" i="1"/>
  <c r="I256" i="1"/>
  <c r="G256" i="1"/>
  <c r="D256" i="1"/>
  <c r="B256" i="1"/>
  <c r="R255" i="1"/>
  <c r="I255" i="1"/>
  <c r="G255" i="1"/>
  <c r="D255" i="1"/>
  <c r="B255" i="1"/>
  <c r="R254" i="1"/>
  <c r="I254" i="1"/>
  <c r="G254" i="1"/>
  <c r="D254" i="1"/>
  <c r="B254" i="1"/>
  <c r="R253" i="1"/>
  <c r="I253" i="1"/>
  <c r="G253" i="1"/>
  <c r="D253" i="1"/>
  <c r="B253" i="1"/>
  <c r="R252" i="1"/>
  <c r="I252" i="1"/>
  <c r="G252" i="1"/>
  <c r="D252" i="1"/>
  <c r="B252" i="1"/>
  <c r="R251" i="1"/>
  <c r="I251" i="1"/>
  <c r="G251" i="1"/>
  <c r="D251" i="1"/>
  <c r="B251" i="1"/>
  <c r="R250" i="1"/>
  <c r="I250" i="1"/>
  <c r="G250" i="1"/>
  <c r="D250" i="1"/>
  <c r="B250" i="1"/>
  <c r="R249" i="1"/>
  <c r="I249" i="1"/>
  <c r="G249" i="1"/>
  <c r="D249" i="1"/>
  <c r="B249" i="1"/>
  <c r="R248" i="1"/>
  <c r="I248" i="1"/>
  <c r="G248" i="1"/>
  <c r="D248" i="1"/>
  <c r="B248" i="1"/>
  <c r="R247" i="1"/>
  <c r="I247" i="1"/>
  <c r="G247" i="1"/>
  <c r="D247" i="1"/>
  <c r="B247" i="1"/>
  <c r="R246" i="1"/>
  <c r="I246" i="1"/>
  <c r="G246" i="1"/>
  <c r="D246" i="1"/>
  <c r="B246" i="1"/>
  <c r="R245" i="1"/>
  <c r="I245" i="1"/>
  <c r="G245" i="1"/>
  <c r="D245" i="1"/>
  <c r="B245" i="1"/>
  <c r="R244" i="1"/>
  <c r="I244" i="1"/>
  <c r="G244" i="1"/>
  <c r="D244" i="1"/>
  <c r="B244" i="1"/>
  <c r="R243" i="1"/>
  <c r="I243" i="1"/>
  <c r="G243" i="1"/>
  <c r="D243" i="1"/>
  <c r="B243" i="1"/>
  <c r="R242" i="1"/>
  <c r="I242" i="1"/>
  <c r="G242" i="1"/>
  <c r="D242" i="1"/>
  <c r="B242" i="1"/>
  <c r="R241" i="1"/>
  <c r="I241" i="1"/>
  <c r="G241" i="1"/>
  <c r="D241" i="1"/>
  <c r="B241" i="1"/>
  <c r="R240" i="1"/>
  <c r="I240" i="1"/>
  <c r="G240" i="1"/>
  <c r="D240" i="1"/>
  <c r="B240" i="1"/>
  <c r="R239" i="1"/>
  <c r="I239" i="1"/>
  <c r="G239" i="1"/>
  <c r="D239" i="1"/>
  <c r="B239" i="1"/>
  <c r="R238" i="1"/>
  <c r="I238" i="1"/>
  <c r="G238" i="1"/>
  <c r="D238" i="1"/>
  <c r="B238" i="1"/>
  <c r="R237" i="1"/>
  <c r="I237" i="1"/>
  <c r="G237" i="1"/>
  <c r="D237" i="1"/>
  <c r="B237" i="1"/>
  <c r="R236" i="1"/>
  <c r="I236" i="1"/>
  <c r="G236" i="1"/>
  <c r="D236" i="1"/>
  <c r="B236" i="1"/>
  <c r="R235" i="1"/>
  <c r="I235" i="1"/>
  <c r="G235" i="1"/>
  <c r="D235" i="1"/>
  <c r="B235" i="1"/>
  <c r="R234" i="1"/>
  <c r="I234" i="1"/>
  <c r="G234" i="1"/>
  <c r="D234" i="1"/>
  <c r="B234" i="1"/>
  <c r="R233" i="1"/>
  <c r="I233" i="1"/>
  <c r="G233" i="1"/>
  <c r="D233" i="1"/>
  <c r="B233" i="1"/>
  <c r="R232" i="1"/>
  <c r="I232" i="1"/>
  <c r="G232" i="1"/>
  <c r="D232" i="1"/>
  <c r="B232" i="1"/>
  <c r="R231" i="1"/>
  <c r="I231" i="1"/>
  <c r="G231" i="1"/>
  <c r="D231" i="1"/>
  <c r="B231" i="1"/>
  <c r="R230" i="1"/>
  <c r="I230" i="1"/>
  <c r="G230" i="1"/>
  <c r="D230" i="1"/>
  <c r="B230" i="1"/>
  <c r="R229" i="1"/>
  <c r="I229" i="1"/>
  <c r="G229" i="1"/>
  <c r="D229" i="1"/>
  <c r="B229" i="1"/>
  <c r="R228" i="1"/>
  <c r="I228" i="1"/>
  <c r="G228" i="1"/>
  <c r="D228" i="1"/>
  <c r="B228" i="1"/>
  <c r="R227" i="1"/>
  <c r="I227" i="1"/>
  <c r="G227" i="1"/>
  <c r="D227" i="1"/>
  <c r="B227" i="1"/>
  <c r="R226" i="1"/>
  <c r="I226" i="1"/>
  <c r="G226" i="1"/>
  <c r="D226" i="1"/>
  <c r="B226" i="1"/>
  <c r="R225" i="1"/>
  <c r="I225" i="1"/>
  <c r="G225" i="1"/>
  <c r="D225" i="1"/>
  <c r="B225" i="1"/>
  <c r="R224" i="1"/>
  <c r="I224" i="1"/>
  <c r="G224" i="1"/>
  <c r="D224" i="1"/>
  <c r="B224" i="1"/>
  <c r="R223" i="1"/>
  <c r="I223" i="1"/>
  <c r="G223" i="1"/>
  <c r="D223" i="1"/>
  <c r="B223" i="1"/>
  <c r="R222" i="1"/>
  <c r="I222" i="1"/>
  <c r="G222" i="1"/>
  <c r="D222" i="1"/>
  <c r="B222" i="1"/>
  <c r="R221" i="1"/>
  <c r="I221" i="1"/>
  <c r="G221" i="1"/>
  <c r="D221" i="1"/>
  <c r="B221" i="1"/>
  <c r="R220" i="1"/>
  <c r="I220" i="1"/>
  <c r="G220" i="1"/>
  <c r="D220" i="1"/>
  <c r="B220" i="1"/>
  <c r="R219" i="1"/>
  <c r="I219" i="1"/>
  <c r="G219" i="1"/>
  <c r="D219" i="1"/>
  <c r="B219" i="1"/>
  <c r="R218" i="1"/>
  <c r="I218" i="1"/>
  <c r="G218" i="1"/>
  <c r="D218" i="1"/>
  <c r="B218" i="1"/>
  <c r="R217" i="1"/>
  <c r="I217" i="1"/>
  <c r="G217" i="1"/>
  <c r="D217" i="1"/>
  <c r="B217" i="1"/>
  <c r="R216" i="1"/>
  <c r="I216" i="1"/>
  <c r="G216" i="1"/>
  <c r="D216" i="1"/>
  <c r="B216" i="1"/>
  <c r="R215" i="1"/>
  <c r="I215" i="1"/>
  <c r="G215" i="1"/>
  <c r="D215" i="1"/>
  <c r="B215" i="1"/>
  <c r="R214" i="1"/>
  <c r="I214" i="1"/>
  <c r="G214" i="1"/>
  <c r="D214" i="1"/>
  <c r="B214" i="1"/>
  <c r="R213" i="1"/>
  <c r="I213" i="1"/>
  <c r="G213" i="1"/>
  <c r="D213" i="1"/>
  <c r="B213" i="1"/>
  <c r="R212" i="1"/>
  <c r="I212" i="1"/>
  <c r="G212" i="1"/>
  <c r="D212" i="1"/>
  <c r="B212" i="1"/>
  <c r="R211" i="1"/>
  <c r="I211" i="1"/>
  <c r="G211" i="1"/>
  <c r="D211" i="1"/>
  <c r="B211" i="1"/>
  <c r="R210" i="1"/>
  <c r="I210" i="1"/>
  <c r="G210" i="1"/>
  <c r="D210" i="1"/>
  <c r="B210" i="1"/>
  <c r="R209" i="1"/>
  <c r="I209" i="1"/>
  <c r="G209" i="1"/>
  <c r="D209" i="1"/>
  <c r="B209" i="1"/>
  <c r="R208" i="1"/>
  <c r="I208" i="1"/>
  <c r="G208" i="1"/>
  <c r="D208" i="1"/>
  <c r="B208" i="1"/>
  <c r="R207" i="1"/>
  <c r="I207" i="1"/>
  <c r="G207" i="1"/>
  <c r="D207" i="1"/>
  <c r="B207" i="1"/>
  <c r="R206" i="1"/>
  <c r="I206" i="1"/>
  <c r="G206" i="1"/>
  <c r="D206" i="1"/>
  <c r="B206" i="1"/>
  <c r="R205" i="1"/>
  <c r="I205" i="1"/>
  <c r="G205" i="1"/>
  <c r="D205" i="1"/>
  <c r="B205" i="1"/>
  <c r="R204" i="1"/>
  <c r="I204" i="1"/>
  <c r="G204" i="1"/>
  <c r="D204" i="1"/>
  <c r="B204" i="1"/>
  <c r="R203" i="1"/>
  <c r="I203" i="1"/>
  <c r="G203" i="1"/>
  <c r="D203" i="1"/>
  <c r="B203" i="1"/>
  <c r="R202" i="1"/>
  <c r="I202" i="1"/>
  <c r="G202" i="1"/>
  <c r="D202" i="1"/>
  <c r="B202" i="1"/>
  <c r="R201" i="1"/>
  <c r="I201" i="1"/>
  <c r="G201" i="1"/>
  <c r="D201" i="1"/>
  <c r="B201" i="1"/>
  <c r="R200" i="1"/>
  <c r="I200" i="1"/>
  <c r="G200" i="1"/>
  <c r="D200" i="1"/>
  <c r="B200" i="1"/>
  <c r="R199" i="1"/>
  <c r="I199" i="1"/>
  <c r="G199" i="1"/>
  <c r="D199" i="1"/>
  <c r="B199" i="1"/>
  <c r="R198" i="1"/>
  <c r="I198" i="1"/>
  <c r="G198" i="1"/>
  <c r="D198" i="1"/>
  <c r="B198" i="1"/>
  <c r="R197" i="1"/>
  <c r="I197" i="1"/>
  <c r="G197" i="1"/>
  <c r="D197" i="1"/>
  <c r="B197" i="1"/>
  <c r="R196" i="1"/>
  <c r="I196" i="1"/>
  <c r="G196" i="1"/>
  <c r="D196" i="1"/>
  <c r="B196" i="1"/>
  <c r="R195" i="1"/>
  <c r="I195" i="1"/>
  <c r="G195" i="1"/>
  <c r="D195" i="1"/>
  <c r="B195" i="1"/>
  <c r="R194" i="1"/>
  <c r="I194" i="1"/>
  <c r="G194" i="1"/>
  <c r="D194" i="1"/>
  <c r="B194" i="1"/>
  <c r="R193" i="1"/>
  <c r="I193" i="1"/>
  <c r="G193" i="1"/>
  <c r="D193" i="1"/>
  <c r="B193" i="1"/>
  <c r="R192" i="1"/>
  <c r="I192" i="1"/>
  <c r="G192" i="1"/>
  <c r="D192" i="1"/>
  <c r="B192" i="1"/>
  <c r="R191" i="1"/>
  <c r="I191" i="1"/>
  <c r="G191" i="1"/>
  <c r="D191" i="1"/>
  <c r="B191" i="1"/>
  <c r="R190" i="1"/>
  <c r="I190" i="1"/>
  <c r="G190" i="1"/>
  <c r="D190" i="1"/>
  <c r="B190" i="1"/>
  <c r="R189" i="1"/>
  <c r="I189" i="1"/>
  <c r="G189" i="1"/>
  <c r="D189" i="1"/>
  <c r="B189" i="1"/>
  <c r="R188" i="1"/>
  <c r="I188" i="1"/>
  <c r="G188" i="1"/>
  <c r="D188" i="1"/>
  <c r="B188" i="1"/>
  <c r="R187" i="1"/>
  <c r="I187" i="1"/>
  <c r="G187" i="1"/>
  <c r="D187" i="1"/>
  <c r="B187" i="1"/>
  <c r="R186" i="1"/>
  <c r="I186" i="1"/>
  <c r="G186" i="1"/>
  <c r="D186" i="1"/>
  <c r="B186" i="1"/>
  <c r="R185" i="1"/>
  <c r="I185" i="1"/>
  <c r="G185" i="1"/>
  <c r="D185" i="1"/>
  <c r="B185" i="1"/>
  <c r="R184" i="1"/>
  <c r="I184" i="1"/>
  <c r="G184" i="1"/>
  <c r="D184" i="1"/>
  <c r="B184" i="1"/>
  <c r="R183" i="1"/>
  <c r="I183" i="1"/>
  <c r="G183" i="1"/>
  <c r="D183" i="1"/>
  <c r="B183" i="1"/>
  <c r="R182" i="1"/>
  <c r="I182" i="1"/>
  <c r="G182" i="1"/>
  <c r="D182" i="1"/>
  <c r="B182" i="1"/>
  <c r="R181" i="1"/>
  <c r="I181" i="1"/>
  <c r="G181" i="1"/>
  <c r="D181" i="1"/>
  <c r="B181" i="1"/>
  <c r="R180" i="1"/>
  <c r="I180" i="1"/>
  <c r="G180" i="1"/>
  <c r="D180" i="1"/>
  <c r="B180" i="1"/>
  <c r="R179" i="1"/>
  <c r="I179" i="1"/>
  <c r="G179" i="1"/>
  <c r="D179" i="1"/>
  <c r="B179" i="1"/>
  <c r="R178" i="1"/>
  <c r="I178" i="1"/>
  <c r="G178" i="1"/>
  <c r="D178" i="1"/>
  <c r="B178" i="1"/>
  <c r="R177" i="1"/>
  <c r="I177" i="1"/>
  <c r="G177" i="1"/>
  <c r="D177" i="1"/>
  <c r="B177" i="1"/>
  <c r="R176" i="1"/>
  <c r="I176" i="1"/>
  <c r="G176" i="1"/>
  <c r="D176" i="1"/>
  <c r="B176" i="1"/>
  <c r="R175" i="1"/>
  <c r="I175" i="1"/>
  <c r="G175" i="1"/>
  <c r="D175" i="1"/>
  <c r="B175" i="1"/>
  <c r="R174" i="1"/>
  <c r="I174" i="1"/>
  <c r="G174" i="1"/>
  <c r="D174" i="1"/>
  <c r="B174" i="1"/>
  <c r="R173" i="1"/>
  <c r="I173" i="1"/>
  <c r="G173" i="1"/>
  <c r="D173" i="1"/>
  <c r="B173" i="1"/>
  <c r="R172" i="1"/>
  <c r="I172" i="1"/>
  <c r="G172" i="1"/>
  <c r="D172" i="1"/>
  <c r="B172" i="1"/>
  <c r="R171" i="1"/>
  <c r="I171" i="1"/>
  <c r="G171" i="1"/>
  <c r="D171" i="1"/>
  <c r="B171" i="1"/>
  <c r="R170" i="1"/>
  <c r="I170" i="1"/>
  <c r="G170" i="1"/>
  <c r="D170" i="1"/>
  <c r="B170" i="1"/>
  <c r="R169" i="1"/>
  <c r="I169" i="1"/>
  <c r="G169" i="1"/>
  <c r="D169" i="1"/>
  <c r="B169" i="1"/>
  <c r="R168" i="1"/>
  <c r="I168" i="1"/>
  <c r="G168" i="1"/>
  <c r="D168" i="1"/>
  <c r="B168" i="1"/>
  <c r="R167" i="1"/>
  <c r="I167" i="1"/>
  <c r="G167" i="1"/>
  <c r="D167" i="1"/>
  <c r="B167" i="1"/>
  <c r="R166" i="1"/>
  <c r="I166" i="1"/>
  <c r="G166" i="1"/>
  <c r="D166" i="1"/>
  <c r="B166" i="1"/>
  <c r="R165" i="1"/>
  <c r="I165" i="1"/>
  <c r="G165" i="1"/>
  <c r="D165" i="1"/>
  <c r="B165" i="1"/>
  <c r="R164" i="1"/>
  <c r="I164" i="1"/>
  <c r="G164" i="1"/>
  <c r="D164" i="1"/>
  <c r="B164" i="1"/>
  <c r="R163" i="1"/>
  <c r="I163" i="1"/>
  <c r="G163" i="1"/>
  <c r="D163" i="1"/>
  <c r="B163" i="1"/>
  <c r="R162" i="1"/>
  <c r="I162" i="1"/>
  <c r="G162" i="1"/>
  <c r="D162" i="1"/>
  <c r="B162" i="1"/>
  <c r="R161" i="1"/>
  <c r="I161" i="1"/>
  <c r="G161" i="1"/>
  <c r="D161" i="1"/>
  <c r="B161" i="1"/>
  <c r="R160" i="1"/>
  <c r="I160" i="1"/>
  <c r="G160" i="1"/>
  <c r="D160" i="1"/>
  <c r="B160" i="1"/>
  <c r="R159" i="1"/>
  <c r="I159" i="1"/>
  <c r="G159" i="1"/>
  <c r="D159" i="1"/>
  <c r="B159" i="1"/>
  <c r="R158" i="1"/>
  <c r="I158" i="1"/>
  <c r="G158" i="1"/>
  <c r="D158" i="1"/>
  <c r="B158" i="1"/>
  <c r="R157" i="1"/>
  <c r="I157" i="1"/>
  <c r="G157" i="1"/>
  <c r="D157" i="1"/>
  <c r="B157" i="1"/>
  <c r="R156" i="1"/>
  <c r="I156" i="1"/>
  <c r="G156" i="1"/>
  <c r="D156" i="1"/>
  <c r="B156" i="1"/>
  <c r="R155" i="1"/>
  <c r="I155" i="1"/>
  <c r="G155" i="1"/>
  <c r="D155" i="1"/>
  <c r="B155" i="1"/>
  <c r="R154" i="1"/>
  <c r="I154" i="1"/>
  <c r="G154" i="1"/>
  <c r="D154" i="1"/>
  <c r="B154" i="1"/>
  <c r="R153" i="1"/>
  <c r="I153" i="1"/>
  <c r="G153" i="1"/>
  <c r="D153" i="1"/>
  <c r="B153" i="1"/>
  <c r="R152" i="1"/>
  <c r="I152" i="1"/>
  <c r="G152" i="1"/>
  <c r="D152" i="1"/>
  <c r="B152" i="1"/>
  <c r="R151" i="1"/>
  <c r="I151" i="1"/>
  <c r="G151" i="1"/>
  <c r="D151" i="1"/>
  <c r="B151" i="1"/>
  <c r="R150" i="1"/>
  <c r="I150" i="1"/>
  <c r="G150" i="1"/>
  <c r="D150" i="1"/>
  <c r="B150" i="1"/>
  <c r="R149" i="1"/>
  <c r="I149" i="1"/>
  <c r="G149" i="1"/>
  <c r="D149" i="1"/>
  <c r="B149" i="1"/>
  <c r="R148" i="1"/>
  <c r="I148" i="1"/>
  <c r="G148" i="1"/>
  <c r="D148" i="1"/>
  <c r="B148" i="1"/>
  <c r="R147" i="1"/>
  <c r="I147" i="1"/>
  <c r="G147" i="1"/>
  <c r="D147" i="1"/>
  <c r="B147" i="1"/>
  <c r="R146" i="1"/>
  <c r="I146" i="1"/>
  <c r="G146" i="1"/>
  <c r="D146" i="1"/>
  <c r="B146" i="1"/>
  <c r="R145" i="1"/>
  <c r="I145" i="1"/>
  <c r="G145" i="1"/>
  <c r="D145" i="1"/>
  <c r="B145" i="1"/>
  <c r="R144" i="1"/>
  <c r="I144" i="1"/>
  <c r="G144" i="1"/>
  <c r="D144" i="1"/>
  <c r="B144" i="1"/>
  <c r="R143" i="1"/>
  <c r="I143" i="1"/>
  <c r="G143" i="1"/>
  <c r="D143" i="1"/>
  <c r="B143" i="1"/>
  <c r="R142" i="1"/>
  <c r="I142" i="1"/>
  <c r="G142" i="1"/>
  <c r="D142" i="1"/>
  <c r="B142" i="1"/>
  <c r="R141" i="1"/>
  <c r="I141" i="1"/>
  <c r="G141" i="1"/>
  <c r="D141" i="1"/>
  <c r="B141" i="1"/>
  <c r="R140" i="1"/>
  <c r="I140" i="1"/>
  <c r="G140" i="1"/>
  <c r="D140" i="1"/>
  <c r="B140" i="1"/>
  <c r="R139" i="1"/>
  <c r="I139" i="1"/>
  <c r="G139" i="1"/>
  <c r="D139" i="1"/>
  <c r="B139" i="1"/>
  <c r="R138" i="1"/>
  <c r="I138" i="1"/>
  <c r="G138" i="1"/>
  <c r="D138" i="1"/>
  <c r="B138" i="1"/>
  <c r="R137" i="1"/>
  <c r="I137" i="1"/>
  <c r="G137" i="1"/>
  <c r="D137" i="1"/>
  <c r="B137" i="1"/>
  <c r="R136" i="1"/>
  <c r="I136" i="1"/>
  <c r="G136" i="1"/>
  <c r="D136" i="1"/>
  <c r="B136" i="1"/>
  <c r="R135" i="1"/>
  <c r="I135" i="1"/>
  <c r="G135" i="1"/>
  <c r="D135" i="1"/>
  <c r="B135" i="1"/>
  <c r="R134" i="1"/>
  <c r="I134" i="1"/>
  <c r="G134" i="1"/>
  <c r="D134" i="1"/>
  <c r="B134" i="1"/>
  <c r="R133" i="1"/>
  <c r="I133" i="1"/>
  <c r="G133" i="1"/>
  <c r="D133" i="1"/>
  <c r="B133" i="1"/>
  <c r="R132" i="1"/>
  <c r="I132" i="1"/>
  <c r="G132" i="1"/>
  <c r="D132" i="1"/>
  <c r="B132" i="1"/>
  <c r="R131" i="1"/>
  <c r="I131" i="1"/>
  <c r="G131" i="1"/>
  <c r="D131" i="1"/>
  <c r="B131" i="1"/>
  <c r="R130" i="1"/>
  <c r="I130" i="1"/>
  <c r="G130" i="1"/>
  <c r="D130" i="1"/>
  <c r="B130" i="1"/>
  <c r="R129" i="1"/>
  <c r="I129" i="1"/>
  <c r="G129" i="1"/>
  <c r="D129" i="1"/>
  <c r="B129" i="1"/>
  <c r="R128" i="1"/>
  <c r="I128" i="1"/>
  <c r="G128" i="1"/>
  <c r="D128" i="1"/>
  <c r="B128" i="1"/>
  <c r="R127" i="1"/>
  <c r="I127" i="1"/>
  <c r="G127" i="1"/>
  <c r="D127" i="1"/>
  <c r="B127" i="1"/>
  <c r="R126" i="1"/>
  <c r="I126" i="1"/>
  <c r="G126" i="1"/>
  <c r="D126" i="1"/>
  <c r="B126" i="1"/>
  <c r="R125" i="1"/>
  <c r="I125" i="1"/>
  <c r="G125" i="1"/>
  <c r="D125" i="1"/>
  <c r="B125" i="1"/>
  <c r="R124" i="1"/>
  <c r="I124" i="1"/>
  <c r="G124" i="1"/>
  <c r="D124" i="1"/>
  <c r="B124" i="1"/>
  <c r="R123" i="1"/>
  <c r="I123" i="1"/>
  <c r="G123" i="1"/>
  <c r="D123" i="1"/>
  <c r="B123" i="1"/>
  <c r="R122" i="1"/>
  <c r="I122" i="1"/>
  <c r="G122" i="1"/>
  <c r="D122" i="1"/>
  <c r="B122" i="1"/>
  <c r="R121" i="1"/>
  <c r="I121" i="1"/>
  <c r="G121" i="1"/>
  <c r="D121" i="1"/>
  <c r="B121" i="1"/>
  <c r="R120" i="1"/>
  <c r="I120" i="1"/>
  <c r="G120" i="1"/>
  <c r="D120" i="1"/>
  <c r="B120" i="1"/>
  <c r="R119" i="1"/>
  <c r="I119" i="1"/>
  <c r="G119" i="1"/>
  <c r="D119" i="1"/>
  <c r="B119" i="1"/>
  <c r="R118" i="1"/>
  <c r="I118" i="1"/>
  <c r="G118" i="1"/>
  <c r="D118" i="1"/>
  <c r="B118" i="1"/>
  <c r="R117" i="1"/>
  <c r="I117" i="1"/>
  <c r="G117" i="1"/>
  <c r="D117" i="1"/>
  <c r="B117" i="1"/>
  <c r="R116" i="1"/>
  <c r="I116" i="1"/>
  <c r="G116" i="1"/>
  <c r="D116" i="1"/>
  <c r="B116" i="1"/>
  <c r="R115" i="1"/>
  <c r="I115" i="1"/>
  <c r="G115" i="1"/>
  <c r="D115" i="1"/>
  <c r="B115" i="1"/>
  <c r="R114" i="1"/>
  <c r="I114" i="1"/>
  <c r="G114" i="1"/>
  <c r="D114" i="1"/>
  <c r="B114" i="1"/>
  <c r="R113" i="1"/>
  <c r="I113" i="1"/>
  <c r="G113" i="1"/>
  <c r="D113" i="1"/>
  <c r="B113" i="1"/>
  <c r="R112" i="1"/>
  <c r="I112" i="1"/>
  <c r="G112" i="1"/>
  <c r="D112" i="1"/>
  <c r="B112" i="1"/>
  <c r="R111" i="1"/>
  <c r="I111" i="1"/>
  <c r="G111" i="1"/>
  <c r="D111" i="1"/>
  <c r="B111" i="1"/>
  <c r="R110" i="1"/>
  <c r="I110" i="1"/>
  <c r="G110" i="1"/>
  <c r="D110" i="1"/>
  <c r="B110" i="1"/>
  <c r="R109" i="1"/>
  <c r="I109" i="1"/>
  <c r="G109" i="1"/>
  <c r="D109" i="1"/>
  <c r="B109" i="1"/>
  <c r="R108" i="1"/>
  <c r="I108" i="1"/>
  <c r="G108" i="1"/>
  <c r="D108" i="1"/>
  <c r="B108" i="1"/>
  <c r="R107" i="1"/>
  <c r="I107" i="1"/>
  <c r="G107" i="1"/>
  <c r="D107" i="1"/>
  <c r="B107" i="1"/>
  <c r="R106" i="1"/>
  <c r="I106" i="1"/>
  <c r="G106" i="1"/>
  <c r="D106" i="1"/>
  <c r="B106" i="1"/>
  <c r="R105" i="1"/>
  <c r="I105" i="1"/>
  <c r="G105" i="1"/>
  <c r="D105" i="1"/>
  <c r="B105" i="1"/>
  <c r="R104" i="1"/>
  <c r="I104" i="1"/>
  <c r="G104" i="1"/>
  <c r="D104" i="1"/>
  <c r="B104" i="1"/>
  <c r="R103" i="1"/>
  <c r="I103" i="1"/>
  <c r="G103" i="1"/>
  <c r="D103" i="1"/>
  <c r="B103" i="1"/>
  <c r="R102" i="1"/>
  <c r="I102" i="1"/>
  <c r="G102" i="1"/>
  <c r="D102" i="1"/>
  <c r="B102" i="1"/>
  <c r="R101" i="1"/>
  <c r="I101" i="1"/>
  <c r="G101" i="1"/>
  <c r="D101" i="1"/>
  <c r="B101" i="1"/>
  <c r="R100" i="1"/>
  <c r="I100" i="1"/>
  <c r="G100" i="1"/>
  <c r="D100" i="1"/>
  <c r="B100" i="1"/>
  <c r="R99" i="1"/>
  <c r="I99" i="1"/>
  <c r="G99" i="1"/>
  <c r="D99" i="1"/>
  <c r="B99" i="1"/>
  <c r="R98" i="1"/>
  <c r="I98" i="1"/>
  <c r="G98" i="1"/>
  <c r="D98" i="1"/>
  <c r="B98" i="1"/>
  <c r="R97" i="1"/>
  <c r="I97" i="1"/>
  <c r="G97" i="1"/>
  <c r="D97" i="1"/>
  <c r="B97" i="1"/>
  <c r="R96" i="1"/>
  <c r="I96" i="1"/>
  <c r="G96" i="1"/>
  <c r="D96" i="1"/>
  <c r="B96" i="1"/>
  <c r="R95" i="1"/>
  <c r="I95" i="1"/>
  <c r="G95" i="1"/>
  <c r="D95" i="1"/>
  <c r="B95" i="1"/>
  <c r="R94" i="1"/>
  <c r="I94" i="1"/>
  <c r="G94" i="1"/>
  <c r="D94" i="1"/>
  <c r="B94" i="1"/>
  <c r="R93" i="1"/>
  <c r="I93" i="1"/>
  <c r="G93" i="1"/>
  <c r="D93" i="1"/>
  <c r="B93" i="1"/>
  <c r="R92" i="1"/>
  <c r="I92" i="1"/>
  <c r="G92" i="1"/>
  <c r="D92" i="1"/>
  <c r="B92" i="1"/>
  <c r="R91" i="1"/>
  <c r="I91" i="1"/>
  <c r="G91" i="1"/>
  <c r="D91" i="1"/>
  <c r="B91" i="1"/>
  <c r="R90" i="1"/>
  <c r="I90" i="1"/>
  <c r="G90" i="1"/>
  <c r="D90" i="1"/>
  <c r="B90" i="1"/>
  <c r="R89" i="1"/>
  <c r="I89" i="1"/>
  <c r="G89" i="1"/>
  <c r="D89" i="1"/>
  <c r="B89" i="1"/>
  <c r="R88" i="1"/>
  <c r="I88" i="1"/>
  <c r="G88" i="1"/>
  <c r="D88" i="1"/>
  <c r="B88" i="1"/>
  <c r="R87" i="1"/>
  <c r="I87" i="1"/>
  <c r="G87" i="1"/>
  <c r="D87" i="1"/>
  <c r="B87" i="1"/>
  <c r="R86" i="1"/>
  <c r="I86" i="1"/>
  <c r="G86" i="1"/>
  <c r="D86" i="1"/>
  <c r="B86" i="1"/>
  <c r="R85" i="1"/>
  <c r="I85" i="1"/>
  <c r="G85" i="1"/>
  <c r="D85" i="1"/>
  <c r="B85" i="1"/>
  <c r="R84" i="1"/>
  <c r="I84" i="1"/>
  <c r="G84" i="1"/>
  <c r="D84" i="1"/>
  <c r="B84" i="1"/>
  <c r="R83" i="1"/>
  <c r="I83" i="1"/>
  <c r="G83" i="1"/>
  <c r="D83" i="1"/>
  <c r="B83" i="1"/>
  <c r="R82" i="1"/>
  <c r="I82" i="1"/>
  <c r="G82" i="1"/>
  <c r="D82" i="1"/>
  <c r="B82" i="1"/>
  <c r="R81" i="1"/>
  <c r="I81" i="1"/>
  <c r="G81" i="1"/>
  <c r="D81" i="1"/>
  <c r="B81" i="1"/>
  <c r="R80" i="1"/>
  <c r="I80" i="1"/>
  <c r="G80" i="1"/>
  <c r="D80" i="1"/>
  <c r="B80" i="1"/>
  <c r="R79" i="1"/>
  <c r="I79" i="1"/>
  <c r="G79" i="1"/>
  <c r="D79" i="1"/>
  <c r="B79" i="1"/>
  <c r="R78" i="1"/>
  <c r="I78" i="1"/>
  <c r="G78" i="1"/>
  <c r="D78" i="1"/>
  <c r="B78" i="1"/>
  <c r="R77" i="1"/>
  <c r="I77" i="1"/>
  <c r="G77" i="1"/>
  <c r="D77" i="1"/>
  <c r="B77" i="1"/>
  <c r="R76" i="1"/>
  <c r="I76" i="1"/>
  <c r="G76" i="1"/>
  <c r="D76" i="1"/>
  <c r="B76" i="1"/>
  <c r="R75" i="1"/>
  <c r="I75" i="1"/>
  <c r="G75" i="1"/>
  <c r="D75" i="1"/>
  <c r="B75" i="1"/>
  <c r="R74" i="1"/>
  <c r="I74" i="1"/>
  <c r="G74" i="1"/>
  <c r="D74" i="1"/>
  <c r="B74" i="1"/>
  <c r="R73" i="1"/>
  <c r="I73" i="1"/>
  <c r="G73" i="1"/>
  <c r="D73" i="1"/>
  <c r="B73" i="1"/>
  <c r="R72" i="1"/>
  <c r="I72" i="1"/>
  <c r="G72" i="1"/>
  <c r="D72" i="1"/>
  <c r="B72" i="1"/>
  <c r="R71" i="1"/>
  <c r="I71" i="1"/>
  <c r="G71" i="1"/>
  <c r="D71" i="1"/>
  <c r="B71" i="1"/>
  <c r="R70" i="1"/>
  <c r="I70" i="1"/>
  <c r="G70" i="1"/>
  <c r="D70" i="1"/>
  <c r="B70" i="1"/>
  <c r="R69" i="1"/>
  <c r="I69" i="1"/>
  <c r="G69" i="1"/>
  <c r="D69" i="1"/>
  <c r="B69" i="1"/>
  <c r="R68" i="1"/>
  <c r="I68" i="1"/>
  <c r="G68" i="1"/>
  <c r="D68" i="1"/>
  <c r="B68" i="1"/>
  <c r="R67" i="1"/>
  <c r="I67" i="1"/>
  <c r="G67" i="1"/>
  <c r="D67" i="1"/>
  <c r="B67" i="1"/>
  <c r="R66" i="1"/>
  <c r="I66" i="1"/>
  <c r="G66" i="1"/>
  <c r="D66" i="1"/>
  <c r="B66" i="1"/>
  <c r="R65" i="1"/>
  <c r="I65" i="1"/>
  <c r="G65" i="1"/>
  <c r="D65" i="1"/>
  <c r="B65" i="1"/>
  <c r="R64" i="1"/>
  <c r="I64" i="1"/>
  <c r="G64" i="1"/>
  <c r="D64" i="1"/>
  <c r="B64" i="1"/>
  <c r="R63" i="1"/>
  <c r="I63" i="1"/>
  <c r="G63" i="1"/>
  <c r="D63" i="1"/>
  <c r="B63" i="1"/>
  <c r="R62" i="1"/>
  <c r="I62" i="1"/>
  <c r="G62" i="1"/>
  <c r="D62" i="1"/>
  <c r="B62" i="1"/>
  <c r="R61" i="1"/>
  <c r="I61" i="1"/>
  <c r="G61" i="1"/>
  <c r="D61" i="1"/>
  <c r="B61" i="1"/>
  <c r="R60" i="1"/>
  <c r="I60" i="1"/>
  <c r="G60" i="1"/>
  <c r="D60" i="1"/>
  <c r="B60" i="1"/>
  <c r="R59" i="1"/>
  <c r="I59" i="1"/>
  <c r="G59" i="1"/>
  <c r="D59" i="1"/>
  <c r="B59" i="1"/>
  <c r="R58" i="1"/>
  <c r="I58" i="1"/>
  <c r="G58" i="1"/>
  <c r="D58" i="1"/>
  <c r="B58" i="1"/>
  <c r="R57" i="1"/>
  <c r="I57" i="1"/>
  <c r="G57" i="1"/>
  <c r="D57" i="1"/>
  <c r="B57" i="1"/>
  <c r="R56" i="1"/>
  <c r="I56" i="1"/>
  <c r="G56" i="1"/>
  <c r="D56" i="1"/>
  <c r="B56" i="1"/>
  <c r="R55" i="1"/>
  <c r="I55" i="1"/>
  <c r="G55" i="1"/>
  <c r="D55" i="1"/>
  <c r="B55" i="1"/>
  <c r="R54" i="1"/>
  <c r="I54" i="1"/>
  <c r="G54" i="1"/>
  <c r="D54" i="1"/>
  <c r="B54" i="1"/>
  <c r="R53" i="1"/>
  <c r="I53" i="1"/>
  <c r="G53" i="1"/>
  <c r="D53" i="1"/>
  <c r="B53" i="1"/>
  <c r="R52" i="1"/>
  <c r="I52" i="1"/>
  <c r="G52" i="1"/>
  <c r="D52" i="1"/>
  <c r="B52" i="1"/>
  <c r="R51" i="1"/>
  <c r="I51" i="1"/>
  <c r="G51" i="1"/>
  <c r="D51" i="1"/>
  <c r="B51" i="1"/>
  <c r="R50" i="1"/>
  <c r="I50" i="1"/>
  <c r="G50" i="1"/>
  <c r="D50" i="1"/>
  <c r="B50" i="1"/>
  <c r="R49" i="1"/>
  <c r="I49" i="1"/>
  <c r="G49" i="1"/>
  <c r="D49" i="1"/>
  <c r="B49" i="1"/>
  <c r="R48" i="1"/>
  <c r="I48" i="1"/>
  <c r="G48" i="1"/>
  <c r="D48" i="1"/>
  <c r="B48" i="1"/>
  <c r="R47" i="1"/>
  <c r="I47" i="1"/>
  <c r="G47" i="1"/>
  <c r="D47" i="1"/>
  <c r="B47" i="1"/>
  <c r="R46" i="1"/>
  <c r="I46" i="1"/>
  <c r="G46" i="1"/>
  <c r="D46" i="1"/>
  <c r="B46" i="1"/>
  <c r="R45" i="1"/>
  <c r="I45" i="1"/>
  <c r="G45" i="1"/>
  <c r="D45" i="1"/>
  <c r="B45" i="1"/>
  <c r="R44" i="1"/>
  <c r="I44" i="1"/>
  <c r="G44" i="1"/>
  <c r="D44" i="1"/>
  <c r="B44" i="1"/>
  <c r="R43" i="1"/>
  <c r="I43" i="1"/>
  <c r="G43" i="1"/>
  <c r="D43" i="1"/>
  <c r="B43" i="1"/>
  <c r="R42" i="1"/>
  <c r="I42" i="1"/>
  <c r="G42" i="1"/>
  <c r="D42" i="1"/>
  <c r="B42" i="1"/>
  <c r="R41" i="1"/>
  <c r="I41" i="1"/>
  <c r="G41" i="1"/>
  <c r="D41" i="1"/>
  <c r="B41" i="1"/>
  <c r="R40" i="1"/>
  <c r="I40" i="1"/>
  <c r="G40" i="1"/>
  <c r="D40" i="1"/>
  <c r="B40" i="1"/>
  <c r="R39" i="1"/>
  <c r="I39" i="1"/>
  <c r="G39" i="1"/>
  <c r="D39" i="1"/>
  <c r="B39" i="1"/>
  <c r="R38" i="1"/>
  <c r="I38" i="1"/>
  <c r="G38" i="1"/>
  <c r="D38" i="1"/>
  <c r="B38" i="1"/>
  <c r="R37" i="1"/>
  <c r="I37" i="1"/>
  <c r="G37" i="1"/>
  <c r="D37" i="1"/>
  <c r="B37" i="1"/>
  <c r="R36" i="1"/>
  <c r="I36" i="1"/>
  <c r="G36" i="1"/>
  <c r="D36" i="1"/>
  <c r="B36" i="1"/>
  <c r="R35" i="1"/>
  <c r="I35" i="1"/>
  <c r="G35" i="1"/>
  <c r="D35" i="1"/>
  <c r="B35" i="1"/>
  <c r="R34" i="1"/>
  <c r="I34" i="1"/>
  <c r="G34" i="1"/>
  <c r="D34" i="1"/>
  <c r="B34" i="1"/>
  <c r="R33" i="1"/>
  <c r="I33" i="1"/>
  <c r="G33" i="1"/>
  <c r="D33" i="1"/>
  <c r="B33" i="1"/>
  <c r="R32" i="1"/>
  <c r="I32" i="1"/>
  <c r="G32" i="1"/>
  <c r="D32" i="1"/>
  <c r="B32" i="1"/>
  <c r="R31" i="1"/>
  <c r="I31" i="1"/>
  <c r="G31" i="1"/>
  <c r="D31" i="1"/>
  <c r="B31" i="1"/>
  <c r="R30" i="1"/>
  <c r="I30" i="1"/>
  <c r="G30" i="1"/>
  <c r="D30" i="1"/>
  <c r="B30" i="1"/>
  <c r="R29" i="1"/>
  <c r="I29" i="1"/>
  <c r="G29" i="1"/>
  <c r="D29" i="1"/>
  <c r="B29" i="1"/>
  <c r="R28" i="1"/>
  <c r="I28" i="1"/>
  <c r="G28" i="1"/>
  <c r="D28" i="1"/>
  <c r="B28" i="1"/>
  <c r="R27" i="1"/>
  <c r="I27" i="1"/>
  <c r="G27" i="1"/>
  <c r="D27" i="1"/>
  <c r="B27" i="1"/>
  <c r="R26" i="1"/>
  <c r="I26" i="1"/>
  <c r="G26" i="1"/>
  <c r="D26" i="1"/>
  <c r="B26" i="1"/>
  <c r="R25" i="1"/>
  <c r="I25" i="1"/>
  <c r="G25" i="1"/>
  <c r="D25" i="1"/>
  <c r="B25" i="1"/>
  <c r="R24" i="1"/>
  <c r="I24" i="1"/>
  <c r="G24" i="1"/>
  <c r="D24" i="1"/>
  <c r="B24" i="1"/>
  <c r="R23" i="1"/>
  <c r="I23" i="1"/>
  <c r="G23" i="1"/>
  <c r="D23" i="1"/>
  <c r="B23" i="1"/>
  <c r="R22" i="1"/>
  <c r="I22" i="1"/>
  <c r="G22" i="1"/>
  <c r="D22" i="1"/>
  <c r="B22" i="1"/>
  <c r="R21" i="1"/>
  <c r="I21" i="1"/>
  <c r="G21" i="1"/>
  <c r="D21" i="1"/>
  <c r="B21" i="1"/>
  <c r="R20" i="1"/>
  <c r="I20" i="1"/>
  <c r="G20" i="1"/>
  <c r="D20" i="1"/>
  <c r="B20" i="1"/>
  <c r="R19" i="1"/>
  <c r="I19" i="1"/>
  <c r="G19" i="1"/>
  <c r="D19" i="1"/>
  <c r="B19" i="1"/>
  <c r="R18" i="1"/>
  <c r="I18" i="1"/>
  <c r="G18" i="1"/>
  <c r="D18" i="1"/>
  <c r="B18" i="1"/>
  <c r="R17" i="1"/>
  <c r="I17" i="1"/>
  <c r="G17" i="1"/>
  <c r="D17" i="1"/>
  <c r="B17" i="1"/>
  <c r="R16" i="1"/>
  <c r="I16" i="1"/>
  <c r="G16" i="1"/>
  <c r="D16" i="1"/>
  <c r="B16" i="1"/>
  <c r="R15" i="1"/>
  <c r="I15" i="1"/>
  <c r="G15" i="1"/>
  <c r="D15" i="1"/>
  <c r="B15" i="1"/>
  <c r="R14" i="1"/>
  <c r="I14" i="1"/>
  <c r="G14" i="1"/>
  <c r="D14" i="1"/>
  <c r="B14" i="1"/>
  <c r="R13" i="1"/>
  <c r="I13" i="1"/>
  <c r="G13" i="1"/>
  <c r="D13" i="1"/>
  <c r="B13" i="1"/>
  <c r="R12" i="1"/>
  <c r="I12" i="1"/>
  <c r="G12" i="1"/>
  <c r="D12" i="1"/>
  <c r="B12" i="1"/>
  <c r="R11" i="1"/>
  <c r="I11" i="1"/>
  <c r="G11" i="1"/>
  <c r="D11" i="1"/>
  <c r="B11" i="1"/>
  <c r="R10" i="1"/>
  <c r="I10" i="1"/>
  <c r="G10" i="1"/>
  <c r="D10" i="1"/>
  <c r="B10" i="1"/>
  <c r="R9" i="1"/>
  <c r="I9" i="1"/>
  <c r="G9" i="1"/>
  <c r="D9" i="1"/>
  <c r="B9" i="1"/>
  <c r="R8" i="1"/>
  <c r="I8" i="1"/>
  <c r="G8" i="1"/>
  <c r="D8" i="1"/>
  <c r="B8" i="1"/>
  <c r="R7" i="1"/>
  <c r="I7" i="1"/>
  <c r="G7" i="1"/>
  <c r="D7" i="1"/>
  <c r="B7" i="1"/>
  <c r="R6" i="1"/>
  <c r="I6" i="1"/>
  <c r="G6" i="1"/>
  <c r="D6" i="1"/>
  <c r="B6" i="1"/>
  <c r="R5" i="1"/>
  <c r="I5" i="1"/>
  <c r="G5" i="1"/>
  <c r="D5" i="1"/>
  <c r="B5" i="1"/>
  <c r="R4" i="1"/>
  <c r="I4" i="1"/>
  <c r="G4" i="1"/>
  <c r="D4" i="1"/>
  <c r="B4" i="1"/>
  <c r="R3" i="1"/>
  <c r="I3" i="1"/>
  <c r="G3" i="1"/>
  <c r="D3" i="1"/>
  <c r="B3" i="1"/>
  <c r="R2" i="1"/>
  <c r="I2" i="1"/>
  <c r="G2" i="1"/>
  <c r="D2" i="1"/>
</calcChain>
</file>

<file path=xl/sharedStrings.xml><?xml version="1.0" encoding="utf-8"?>
<sst xmlns="http://schemas.openxmlformats.org/spreadsheetml/2006/main" count="67093" uniqueCount="1396">
  <si>
    <t>Data Version</t>
  </si>
  <si>
    <t>NCBI Accession</t>
  </si>
  <si>
    <t>Protein Count</t>
  </si>
  <si>
    <t>Species Tax ID</t>
  </si>
  <si>
    <t>Taxonomic Group</t>
  </si>
  <si>
    <t>Filtered Taxonomic Group</t>
  </si>
  <si>
    <t>Scientific Name</t>
  </si>
  <si>
    <t>Common Name</t>
  </si>
  <si>
    <t>Protein Name</t>
  </si>
  <si>
    <t>BLASTp Bitscore</t>
  </si>
  <si>
    <t>Ortholog Candidate</t>
  </si>
  <si>
    <t>Ortholog Count</t>
  </si>
  <si>
    <t>Cut-off</t>
  </si>
  <si>
    <t>Percent Similarity</t>
  </si>
  <si>
    <t>Susceptibility Prediction</t>
  </si>
  <si>
    <t>Analysis Completed</t>
  </si>
  <si>
    <t>Eukaryote</t>
  </si>
  <si>
    <t>ECOTOX</t>
  </si>
  <si>
    <t>Mammalia</t>
  </si>
  <si>
    <t>Human</t>
  </si>
  <si>
    <t>Y</t>
  </si>
  <si>
    <t>2021 07 19 13:08:23</t>
  </si>
  <si>
    <t>Chimpanzee</t>
  </si>
  <si>
    <t>Pygmy chimpanzee</t>
  </si>
  <si>
    <t>Western lowland gorilla</t>
  </si>
  <si>
    <t>N</t>
  </si>
  <si>
    <t>Silvery gibbon</t>
  </si>
  <si>
    <t>Northern white-cheeked gibbon</t>
  </si>
  <si>
    <t>Sumatran orangutan</t>
  </si>
  <si>
    <t>Rhesus monkey</t>
  </si>
  <si>
    <t>Pig-tailed macaque</t>
  </si>
  <si>
    <t>Crab-eating macaque</t>
  </si>
  <si>
    <t>Angolan colobus</t>
  </si>
  <si>
    <t>Ugandan red Colobus</t>
  </si>
  <si>
    <t>Black snub-nosed monkey</t>
  </si>
  <si>
    <t>Francois's langur</t>
  </si>
  <si>
    <t>Golden snub-nosed monkey</t>
  </si>
  <si>
    <t>Giant panda</t>
  </si>
  <si>
    <t>Olive baboon</t>
  </si>
  <si>
    <t>Raccoon dog</t>
  </si>
  <si>
    <t>Red fox</t>
  </si>
  <si>
    <t>Gelada</t>
  </si>
  <si>
    <t>Wolverine</t>
  </si>
  <si>
    <t>Drill</t>
  </si>
  <si>
    <t>Striped hyena</t>
  </si>
  <si>
    <t>Brown bear</t>
  </si>
  <si>
    <t>Harbor seal</t>
  </si>
  <si>
    <t>Northern American river otter</t>
  </si>
  <si>
    <t>Domestic ferret</t>
  </si>
  <si>
    <t>Weddell seal</t>
  </si>
  <si>
    <t>Hawaiian monk seal</t>
  </si>
  <si>
    <t>Ermine</t>
  </si>
  <si>
    <t>Green monkey</t>
  </si>
  <si>
    <t>Dingo</t>
  </si>
  <si>
    <t>Dog</t>
  </si>
  <si>
    <t>Pig</t>
  </si>
  <si>
    <t>Chinese pangolin</t>
  </si>
  <si>
    <t>Meerkat</t>
  </si>
  <si>
    <t>Southern elephant seal</t>
  </si>
  <si>
    <t>Northern fur seal</t>
  </si>
  <si>
    <t>Domestic cat</t>
  </si>
  <si>
    <t>Steller sea lion</t>
  </si>
  <si>
    <t>Cheetah</t>
  </si>
  <si>
    <t>Canada lynx</t>
  </si>
  <si>
    <t>Puma</t>
  </si>
  <si>
    <t>Ma's night monkey</t>
  </si>
  <si>
    <t>Jaguarundi</t>
  </si>
  <si>
    <t>California sea lion</t>
  </si>
  <si>
    <t>Gray seal</t>
  </si>
  <si>
    <t>Philippine tarsier</t>
  </si>
  <si>
    <t>Chinese tree shrew</t>
  </si>
  <si>
    <t>Sea otter</t>
  </si>
  <si>
    <t>Spanish lynx</t>
  </si>
  <si>
    <t>Bolivian squirrel monkey</t>
  </si>
  <si>
    <t>Amur tiger</t>
  </si>
  <si>
    <t>Leopard</t>
  </si>
  <si>
    <t>Yellow-bellied marmot</t>
  </si>
  <si>
    <t>Common bats</t>
  </si>
  <si>
    <t>Thirteen-lined ground squirrel</t>
  </si>
  <si>
    <t>White-tufted-ear marmoset</t>
  </si>
  <si>
    <t>Woodchuck</t>
  </si>
  <si>
    <t>Alpine marmot</t>
  </si>
  <si>
    <t>Great roundleaf bat</t>
  </si>
  <si>
    <t>Pacific walrus</t>
  </si>
  <si>
    <t>Arctic ground squirrel</t>
  </si>
  <si>
    <t>Panamanian white-faced capuchin</t>
  </si>
  <si>
    <t>Tufted capuchin</t>
  </si>
  <si>
    <t>Malayan pangolin</t>
  </si>
  <si>
    <t>Small-eared galago</t>
  </si>
  <si>
    <t>Greater horseshoe bat</t>
  </si>
  <si>
    <t>Aardvark</t>
  </si>
  <si>
    <t>Lesser Egyptian jerboa</t>
  </si>
  <si>
    <t>Kuhl's pipistrelle</t>
  </si>
  <si>
    <t>Gray mouse lemur</t>
  </si>
  <si>
    <t>Little brown bat</t>
  </si>
  <si>
    <t>Brandt's bat</t>
  </si>
  <si>
    <t>Wild Bactrian camel</t>
  </si>
  <si>
    <t>Bactrian camel</t>
  </si>
  <si>
    <t>Pale spear-nosed bat</t>
  </si>
  <si>
    <t>Big brown bat</t>
  </si>
  <si>
    <t>Black flying fox</t>
  </si>
  <si>
    <t>White-tailed deer</t>
  </si>
  <si>
    <t>Upper Galilee mountains blind mole rat</t>
  </si>
  <si>
    <t>Indian flying fox</t>
  </si>
  <si>
    <t>Yarkand deer</t>
  </si>
  <si>
    <t>Western European hedgehog</t>
  </si>
  <si>
    <t>Degu</t>
  </si>
  <si>
    <t>Ord's kangaroo rat</t>
  </si>
  <si>
    <t>Goat</t>
  </si>
  <si>
    <t>Jamaican fruit-eating bat</t>
  </si>
  <si>
    <t>Star-nosed mole</t>
  </si>
  <si>
    <t>Leaf-nosed bats</t>
  </si>
  <si>
    <t>Pallas's mastiff bat</t>
  </si>
  <si>
    <t>Water buffalo</t>
  </si>
  <si>
    <t>Small Madagascar hedgehog</t>
  </si>
  <si>
    <t>Arabian camel</t>
  </si>
  <si>
    <t>Scimitar-horned oryx</t>
  </si>
  <si>
    <t>Wild yak</t>
  </si>
  <si>
    <t>American bison</t>
  </si>
  <si>
    <t>House mouse</t>
  </si>
  <si>
    <t>African savanna elephant</t>
  </si>
  <si>
    <t>Hybrid cattle</t>
  </si>
  <si>
    <t>Tasmanian devil</t>
  </si>
  <si>
    <t>Cattle</t>
  </si>
  <si>
    <t>Cape golden mole</t>
  </si>
  <si>
    <t>Florida manatee</t>
  </si>
  <si>
    <t>Ryukyu mouse</t>
  </si>
  <si>
    <t>Southern multimammate mouse</t>
  </si>
  <si>
    <t>White-footed mouse</t>
  </si>
  <si>
    <t>Sheep</t>
  </si>
  <si>
    <t>African grass rat</t>
  </si>
  <si>
    <t>Common vampire bat</t>
  </si>
  <si>
    <t>Shrew mouse</t>
  </si>
  <si>
    <t>African thicket rats</t>
  </si>
  <si>
    <t>Amphibia</t>
  </si>
  <si>
    <t>Mimic poison frog</t>
  </si>
  <si>
    <t>Norway rat</t>
  </si>
  <si>
    <t>Southern grasshopper mouse</t>
  </si>
  <si>
    <t>Black rat</t>
  </si>
  <si>
    <t>Sperm whale</t>
  </si>
  <si>
    <t>Desert woodrat</t>
  </si>
  <si>
    <t>Prairie vole</t>
  </si>
  <si>
    <t>Domestic guinea pig</t>
  </si>
  <si>
    <t>Iberian mole</t>
  </si>
  <si>
    <t>Naked mole-rat</t>
  </si>
  <si>
    <t>Eurasian water vole</t>
  </si>
  <si>
    <t>Zebu cattle</t>
  </si>
  <si>
    <t>Southern two-toed sloth</t>
  </si>
  <si>
    <t>Mongolian gerbil</t>
  </si>
  <si>
    <t>Chinese hamster</t>
  </si>
  <si>
    <t>Common brushtail</t>
  </si>
  <si>
    <t>Cape elephant shrew</t>
  </si>
  <si>
    <t>Beluga whale</t>
  </si>
  <si>
    <t>Narwhal</t>
  </si>
  <si>
    <t>Common bottlenose dolphin</t>
  </si>
  <si>
    <t>Killer whale</t>
  </si>
  <si>
    <t>Long-tailed chinchilla</t>
  </si>
  <si>
    <t>Prairie deer mouse</t>
  </si>
  <si>
    <t>Long-finned pilot whale</t>
  </si>
  <si>
    <t>Pacific white-sided dolphin</t>
  </si>
  <si>
    <t>Golden hamster</t>
  </si>
  <si>
    <t>Polar bear</t>
  </si>
  <si>
    <t>Nine-banded armadillo</t>
  </si>
  <si>
    <t>Damara mole-rat</t>
  </si>
  <si>
    <t>Spotted hyena</t>
  </si>
  <si>
    <t>Yangtze River dolphin</t>
  </si>
  <si>
    <t>Australian echidna</t>
  </si>
  <si>
    <t>Aves</t>
  </si>
  <si>
    <t>Indigo-banded kingfisher</t>
  </si>
  <si>
    <t>Grey whale</t>
  </si>
  <si>
    <t>Egyptian rousette</t>
  </si>
  <si>
    <t>Northern fulmar</t>
  </si>
  <si>
    <t>Platypus</t>
  </si>
  <si>
    <t>Wedge-rumped storm-petrel</t>
  </si>
  <si>
    <t>Cuckoo roller</t>
  </si>
  <si>
    <t>Yangtze finless porpoise</t>
  </si>
  <si>
    <t>Macqueen's bustard</t>
  </si>
  <si>
    <t>Vaquita</t>
  </si>
  <si>
    <t>Bar-tailed godwit</t>
  </si>
  <si>
    <t>Petrels and albatrosses</t>
  </si>
  <si>
    <t>Rifleman</t>
  </si>
  <si>
    <t>Common wombat</t>
  </si>
  <si>
    <t>Bustards</t>
  </si>
  <si>
    <t>Rabbit</t>
  </si>
  <si>
    <t>Cuckoos</t>
  </si>
  <si>
    <t>Shorebirds and others</t>
  </si>
  <si>
    <t>Cory's shearwater</t>
  </si>
  <si>
    <t>Ruddy turnstone</t>
  </si>
  <si>
    <t>King penguin</t>
  </si>
  <si>
    <t>White-bellied storm-petrel</t>
  </si>
  <si>
    <t>Blue whale</t>
  </si>
  <si>
    <t>Red-throated loon</t>
  </si>
  <si>
    <t>Collared puffbird</t>
  </si>
  <si>
    <t>Pied barbet</t>
  </si>
  <si>
    <t>Emperor penguin</t>
  </si>
  <si>
    <t>European shrew</t>
  </si>
  <si>
    <t>Tinamous</t>
  </si>
  <si>
    <t>Brown roatelo</t>
  </si>
  <si>
    <t>Sunbittern</t>
  </si>
  <si>
    <t>Boat-billed heron</t>
  </si>
  <si>
    <t>Chestnut-crowned babbler</t>
  </si>
  <si>
    <t>Ruff</t>
  </si>
  <si>
    <t>Razorbill</t>
  </si>
  <si>
    <t>Common murre</t>
  </si>
  <si>
    <t>American flamingo</t>
  </si>
  <si>
    <t>Magellanic plover</t>
  </si>
  <si>
    <t>Song birds</t>
  </si>
  <si>
    <t>Turkey vulture</t>
  </si>
  <si>
    <t>Rails</t>
  </si>
  <si>
    <t>North Island brown kiwi</t>
  </si>
  <si>
    <t>Brown-hooded gull</t>
  </si>
  <si>
    <t>Adelie penguin</t>
  </si>
  <si>
    <t>Black skimmer</t>
  </si>
  <si>
    <t>Frigatebirds</t>
  </si>
  <si>
    <t>Okarito brown kiwi</t>
  </si>
  <si>
    <t>Northern chowchilla</t>
  </si>
  <si>
    <t>Inaccessible Island rail</t>
  </si>
  <si>
    <t>Storks and others</t>
  </si>
  <si>
    <t>American herring gull</t>
  </si>
  <si>
    <t>Anna's hummingbird</t>
  </si>
  <si>
    <t>Crested ibis</t>
  </si>
  <si>
    <t>Sungrebe</t>
  </si>
  <si>
    <t>Wilson's storm-petrel</t>
  </si>
  <si>
    <t>Nicobar pigeon</t>
  </si>
  <si>
    <t>Scrub jay</t>
  </si>
  <si>
    <t>American pygmy kingfisher</t>
  </si>
  <si>
    <t>Common trumpeter</t>
  </si>
  <si>
    <t>Hawks and eagles</t>
  </si>
  <si>
    <t>Mousebirds</t>
  </si>
  <si>
    <t>Kingfishers</t>
  </si>
  <si>
    <t>Kea</t>
  </si>
  <si>
    <t>Jacamars</t>
  </si>
  <si>
    <t>Rufous potoo</t>
  </si>
  <si>
    <t>Nightjars and others</t>
  </si>
  <si>
    <t>Eurasian hoopoe</t>
  </si>
  <si>
    <t>Short-legged ground-roller</t>
  </si>
  <si>
    <t>Lepidosauria</t>
  </si>
  <si>
    <t>Burmese python</t>
  </si>
  <si>
    <t>Kingfishers and others</t>
  </si>
  <si>
    <t>Falcons and others</t>
  </si>
  <si>
    <t>Owls</t>
  </si>
  <si>
    <t>Minke whale</t>
  </si>
  <si>
    <t>Hummingbirds</t>
  </si>
  <si>
    <t>Common scimitar-bill</t>
  </si>
  <si>
    <t>Babblers</t>
  </si>
  <si>
    <t>Carmine bee-eater</t>
  </si>
  <si>
    <t>Common cuckoo</t>
  </si>
  <si>
    <t>Erect-crested penguin</t>
  </si>
  <si>
    <t>Humboldt's penguin</t>
  </si>
  <si>
    <t>Rockhopper penguin</t>
  </si>
  <si>
    <t>Barn owl</t>
  </si>
  <si>
    <t>Jackass penguin</t>
  </si>
  <si>
    <t>Snares penguin</t>
  </si>
  <si>
    <t>Ferruginous pygmy-owl</t>
  </si>
  <si>
    <t>Lesser coucal</t>
  </si>
  <si>
    <t>Magellanic penguin</t>
  </si>
  <si>
    <t>Royal penguin</t>
  </si>
  <si>
    <t>Northern rockhopper penguin</t>
  </si>
  <si>
    <t>Killdeer</t>
  </si>
  <si>
    <t>Southern rockhopper penguin</t>
  </si>
  <si>
    <t>Galapagos penguin</t>
  </si>
  <si>
    <t>Fiordland penguin</t>
  </si>
  <si>
    <t>Woodpeckers and others</t>
  </si>
  <si>
    <t>Oilbird</t>
  </si>
  <si>
    <t>Pygmy drongo</t>
  </si>
  <si>
    <t>White-tailed tropicbird</t>
  </si>
  <si>
    <t>Masked booby</t>
  </si>
  <si>
    <t>Landfowls</t>
  </si>
  <si>
    <t>New Caledonian crow</t>
  </si>
  <si>
    <t>Dalmatian pelican</t>
  </si>
  <si>
    <t>Large-billed tern</t>
  </si>
  <si>
    <t>Hamerkop</t>
  </si>
  <si>
    <t>Macaroni penguin</t>
  </si>
  <si>
    <t>Ruddy duck</t>
  </si>
  <si>
    <t>Great crested grebe</t>
  </si>
  <si>
    <t>Burrowing owl</t>
  </si>
  <si>
    <t>Swan goose</t>
  </si>
  <si>
    <t>Yellow-eyed penguin</t>
  </si>
  <si>
    <t>Double-banded courser</t>
  </si>
  <si>
    <t>Black-legged seriema</t>
  </si>
  <si>
    <t>Varied sittella</t>
  </si>
  <si>
    <t>Little blue penguin</t>
  </si>
  <si>
    <t>Red-legged seriema</t>
  </si>
  <si>
    <t>Chinstrap penguin</t>
  </si>
  <si>
    <t>Australian little penguin</t>
  </si>
  <si>
    <t>Little egret</t>
  </si>
  <si>
    <t>Plains-wanderer</t>
  </si>
  <si>
    <t>Atlantic yellow-nosed albatross</t>
  </si>
  <si>
    <t>Gentoo penguin</t>
  </si>
  <si>
    <t>White-flippered penguin</t>
  </si>
  <si>
    <t>Kagu</t>
  </si>
  <si>
    <t>Golden eagle</t>
  </si>
  <si>
    <t>Black hawk-eagle</t>
  </si>
  <si>
    <t>Satin bowerbird</t>
  </si>
  <si>
    <t>American crow</t>
  </si>
  <si>
    <t>Squirrel cuckoo</t>
  </si>
  <si>
    <t>Tree swifts</t>
  </si>
  <si>
    <t>American anhinga</t>
  </si>
  <si>
    <t>Hooded crow</t>
  </si>
  <si>
    <t>Chimney swift</t>
  </si>
  <si>
    <t>Chuck-will's-widow</t>
  </si>
  <si>
    <t>Rhinoceros hornbill</t>
  </si>
  <si>
    <t>Black-whiskered vireo</t>
  </si>
  <si>
    <t>Cuckoos and others</t>
  </si>
  <si>
    <t>Black-chested snake-eagle</t>
  </si>
  <si>
    <t>Puerto rican tody</t>
  </si>
  <si>
    <t>Swainson's thrush</t>
  </si>
  <si>
    <t>East African grey crowned-crane</t>
  </si>
  <si>
    <t>Tawny frogmouth</t>
  </si>
  <si>
    <t>Yellow-belllied whistler</t>
  </si>
  <si>
    <t>Abyssinian ground-hornbill</t>
  </si>
  <si>
    <t>Crossley's babbler</t>
  </si>
  <si>
    <t>Eastern shriketit</t>
  </si>
  <si>
    <t>Rock pigeon</t>
  </si>
  <si>
    <t>Western bronze ground-dove</t>
  </si>
  <si>
    <t>Red-crested turaco</t>
  </si>
  <si>
    <t>Greater painted-snipe</t>
  </si>
  <si>
    <t>Waterfowl</t>
  </si>
  <si>
    <t>Australian choughs</t>
  </si>
  <si>
    <t>Tufted duck</t>
  </si>
  <si>
    <t>Black-legged kittiwake</t>
  </si>
  <si>
    <t>Testudines</t>
  </si>
  <si>
    <t>Three-toed box turtle</t>
  </si>
  <si>
    <t>McConnell's flycatcher</t>
  </si>
  <si>
    <t>Osprey</t>
  </si>
  <si>
    <t>Titmice</t>
  </si>
  <si>
    <t>Australian magpie</t>
  </si>
  <si>
    <t>Shrikes</t>
  </si>
  <si>
    <t>Mute swan</t>
  </si>
  <si>
    <t>Superb lyrebird</t>
  </si>
  <si>
    <t>Abingdon island giant tortoise</t>
  </si>
  <si>
    <t>Spotted pardalote</t>
  </si>
  <si>
    <t>Rufous-naped whistler</t>
  </si>
  <si>
    <t>Komodo dragon</t>
  </si>
  <si>
    <t>Bald eagle</t>
  </si>
  <si>
    <t>North Island kokako</t>
  </si>
  <si>
    <t>Emu</t>
  </si>
  <si>
    <t>White-tailed eagle</t>
  </si>
  <si>
    <t>Amphibians</t>
  </si>
  <si>
    <t>Wattled jacana</t>
  </si>
  <si>
    <t>Bar-tailed trogon</t>
  </si>
  <si>
    <t>Common starling</t>
  </si>
  <si>
    <t>Western painted turtle</t>
  </si>
  <si>
    <t>Red-eared slider turtle</t>
  </si>
  <si>
    <t>Limpkin</t>
  </si>
  <si>
    <t>Magpie goose</t>
  </si>
  <si>
    <t>Amazonian umbrellabird</t>
  </si>
  <si>
    <t>African darter</t>
  </si>
  <si>
    <t>Band-tailed pigeon</t>
  </si>
  <si>
    <t>Green sea turtle</t>
  </si>
  <si>
    <t>Black-lipped pika</t>
  </si>
  <si>
    <t>Australasian robins</t>
  </si>
  <si>
    <t>Bulbuls</t>
  </si>
  <si>
    <t>Great cormorant</t>
  </si>
  <si>
    <t>Bali myna</t>
  </si>
  <si>
    <t>Black-tailed trogon</t>
  </si>
  <si>
    <t>Black swan</t>
  </si>
  <si>
    <t>Saffron-crested tyrant-manakin</t>
  </si>
  <si>
    <t>Mallard</t>
  </si>
  <si>
    <t>Big-headed turtle</t>
  </si>
  <si>
    <t>Broad-billed sapayoa</t>
  </si>
  <si>
    <t>Leatherback sea turtle</t>
  </si>
  <si>
    <t>Reeves's turtle</t>
  </si>
  <si>
    <t>Eurasian golden-oriole</t>
  </si>
  <si>
    <t>Fork-tailed flycatcher</t>
  </si>
  <si>
    <t>Tit berrypecker</t>
  </si>
  <si>
    <t>Wattled ploughbill</t>
  </si>
  <si>
    <t>Japanese quail</t>
  </si>
  <si>
    <t>Fan-tailed berrypecker</t>
  </si>
  <si>
    <t>Honeyeaters</t>
  </si>
  <si>
    <t>African ostrich</t>
  </si>
  <si>
    <t>Crocodylia</t>
  </si>
  <si>
    <t>American alligator</t>
  </si>
  <si>
    <t>Karoo scrub-robin</t>
  </si>
  <si>
    <t>White-throated Oxylabes</t>
  </si>
  <si>
    <t>Blue-capped ifrita</t>
  </si>
  <si>
    <t>Chinese alligator</t>
  </si>
  <si>
    <t>Hoatzin</t>
  </si>
  <si>
    <t>Old World flycatchers</t>
  </si>
  <si>
    <t>Wood nuthatch</t>
  </si>
  <si>
    <t>Song sparrow</t>
  </si>
  <si>
    <t>Ass</t>
  </si>
  <si>
    <t>Przewalski's horse</t>
  </si>
  <si>
    <t>Asian short-toed lark</t>
  </si>
  <si>
    <t>Actinopteri</t>
  </si>
  <si>
    <t>Atlantic herring</t>
  </si>
  <si>
    <t>Chinese soft-shelled turtle</t>
  </si>
  <si>
    <t>Chicken</t>
  </si>
  <si>
    <t>Horse</t>
  </si>
  <si>
    <t>White-winged piprites</t>
  </si>
  <si>
    <t>Spotted wren-babbler</t>
  </si>
  <si>
    <t>Axolotl</t>
  </si>
  <si>
    <t>Sand lizard</t>
  </si>
  <si>
    <t>Two-lined caecilian</t>
  </si>
  <si>
    <t>Collared flycatcher</t>
  </si>
  <si>
    <t>Old World warblers</t>
  </si>
  <si>
    <t>Kakapo</t>
  </si>
  <si>
    <t>Ring-necked pheasant</t>
  </si>
  <si>
    <t>Goodes thornscrub tortoise</t>
  </si>
  <si>
    <t>Shoebill</t>
  </si>
  <si>
    <t>Variegated antpitta</t>
  </si>
  <si>
    <t>Common lizard</t>
  </si>
  <si>
    <t>Middendorff's grasshopper-warbler</t>
  </si>
  <si>
    <t>Willow flycatcher</t>
  </si>
  <si>
    <t>Elegant woodcreeper</t>
  </si>
  <si>
    <t>Eurasian tree sparrow</t>
  </si>
  <si>
    <t>Picui ground-dove</t>
  </si>
  <si>
    <t>Marbled wood quail</t>
  </si>
  <si>
    <t>Australian saltwater crocodile</t>
  </si>
  <si>
    <t>Tibetan ground-tit</t>
  </si>
  <si>
    <t>Loria's bird-of-paradise</t>
  </si>
  <si>
    <t>Medium ground-finch</t>
  </si>
  <si>
    <t>White-throated tinamou</t>
  </si>
  <si>
    <t>Northern wheatear</t>
  </si>
  <si>
    <t>Tanagers</t>
  </si>
  <si>
    <t>Budgerigar</t>
  </si>
  <si>
    <t>American beaver</t>
  </si>
  <si>
    <t>American pika</t>
  </si>
  <si>
    <t>Tapaculos</t>
  </si>
  <si>
    <t>Bohemian waxwing</t>
  </si>
  <si>
    <t>Common wall lizard</t>
  </si>
  <si>
    <t>Barn swallow</t>
  </si>
  <si>
    <t>Grey go-away-bird</t>
  </si>
  <si>
    <t>Black-capped chickadee</t>
  </si>
  <si>
    <t>Parrots</t>
  </si>
  <si>
    <t>Northern cardinal</t>
  </si>
  <si>
    <t>Red-winged blackbird</t>
  </si>
  <si>
    <t>Red-billed oxpecker</t>
  </si>
  <si>
    <t>Great-tailed grackle</t>
  </si>
  <si>
    <t>Buntings</t>
  </si>
  <si>
    <t>New World blackbirds, orioles and allies</t>
  </si>
  <si>
    <t>Cape sugarbird</t>
  </si>
  <si>
    <t>Saker falcon</t>
  </si>
  <si>
    <t>Lesser kestrel</t>
  </si>
  <si>
    <t>Green crombec</t>
  </si>
  <si>
    <t>Peregrine falcon</t>
  </si>
  <si>
    <t>Tawny-throated leaftosser</t>
  </si>
  <si>
    <t>Gyrfalcon</t>
  </si>
  <si>
    <t>Rufous rock-jumper</t>
  </si>
  <si>
    <t>Great reed warbler</t>
  </si>
  <si>
    <t>Icterine warbler</t>
  </si>
  <si>
    <t>Green broadbill</t>
  </si>
  <si>
    <t>European robin</t>
  </si>
  <si>
    <t>Silver-breasted broadbill</t>
  </si>
  <si>
    <t>White-breasted antbird</t>
  </si>
  <si>
    <t>Blue-fronted amazon</t>
  </si>
  <si>
    <t>Zebra finch</t>
  </si>
  <si>
    <t>Bengalese finch</t>
  </si>
  <si>
    <t>Great Tit</t>
  </si>
  <si>
    <t>White-eyes</t>
  </si>
  <si>
    <t>White wagtail</t>
  </si>
  <si>
    <t>Fairy bluebird</t>
  </si>
  <si>
    <t>Hooded pitta</t>
  </si>
  <si>
    <t>Gharial</t>
  </si>
  <si>
    <t>Helmeted guineafowl</t>
  </si>
  <si>
    <t>Blue tit</t>
  </si>
  <si>
    <t>White-winged crossbill</t>
  </si>
  <si>
    <t>Fichtenkreuzschnabel</t>
  </si>
  <si>
    <t>Chinese bamboo-partridge</t>
  </si>
  <si>
    <t>Blackcap</t>
  </si>
  <si>
    <t>Eurasian tree-creeper</t>
  </si>
  <si>
    <t>Gouldian finch</t>
  </si>
  <si>
    <t>Blue-crowned manakin</t>
  </si>
  <si>
    <t>Kirtland's warbler</t>
  </si>
  <si>
    <t>Red-whiskered bulbul</t>
  </si>
  <si>
    <t>White-throated sparrow</t>
  </si>
  <si>
    <t>Sharpbill</t>
  </si>
  <si>
    <t>Sparrows</t>
  </si>
  <si>
    <t>Tropical clawed frog</t>
  </si>
  <si>
    <t>Brown accentor</t>
  </si>
  <si>
    <t>Black-headed bulbul</t>
  </si>
  <si>
    <t>Short-toed tree-creeper</t>
  </si>
  <si>
    <t>Koala</t>
  </si>
  <si>
    <t>African clawed frog</t>
  </si>
  <si>
    <t>Green anole</t>
  </si>
  <si>
    <t>Indo-pacific humpbacked dolphin</t>
  </si>
  <si>
    <t>Northern long-tailed tit</t>
  </si>
  <si>
    <t>Common canary</t>
  </si>
  <si>
    <t>Wire-tailed manakin</t>
  </si>
  <si>
    <t>Sockeye salmon</t>
  </si>
  <si>
    <t>Lake trout</t>
  </si>
  <si>
    <t>Lumpfish</t>
  </si>
  <si>
    <t>Rainbow trout</t>
  </si>
  <si>
    <t>Arctic char</t>
  </si>
  <si>
    <t>Lance-tailed manakin</t>
  </si>
  <si>
    <t>Elegant crested-tinamou</t>
  </si>
  <si>
    <t>Green hylia</t>
  </si>
  <si>
    <t>Carolina wren</t>
  </si>
  <si>
    <t>Golden-collared manakin</t>
  </si>
  <si>
    <t>Northern pike</t>
  </si>
  <si>
    <t>Atlantic salmon</t>
  </si>
  <si>
    <t>River trout</t>
  </si>
  <si>
    <t>Chum salmon</t>
  </si>
  <si>
    <t>White-ruffed manakin</t>
  </si>
  <si>
    <t>Whitefishes</t>
  </si>
  <si>
    <t>Rufous treecreeper</t>
  </si>
  <si>
    <t>Olive warbler</t>
  </si>
  <si>
    <t>Palm cockatoo</t>
  </si>
  <si>
    <t>Allis shad</t>
  </si>
  <si>
    <t>Tiger tail seahorse</t>
  </si>
  <si>
    <t>Chinook salmon</t>
  </si>
  <si>
    <t>Coho salmon</t>
  </si>
  <si>
    <t>Whistlers</t>
  </si>
  <si>
    <t>Crow tit</t>
  </si>
  <si>
    <t>Yellow-throated sandgrouse</t>
  </si>
  <si>
    <t>Rufous bristle-bird</t>
  </si>
  <si>
    <t>Denticle herring</t>
  </si>
  <si>
    <t>Tambaqui</t>
  </si>
  <si>
    <t>Mexican tetra</t>
  </si>
  <si>
    <t>Pallas's sandgrouse</t>
  </si>
  <si>
    <t>Red-bellied piranha</t>
  </si>
  <si>
    <t>Indo-Pacific finless porpoise</t>
  </si>
  <si>
    <t>Sterlet</t>
  </si>
  <si>
    <t>Fathead minnow</t>
  </si>
  <si>
    <t>Storks</t>
  </si>
  <si>
    <t>Giant grouper</t>
  </si>
  <si>
    <t>Rohu</t>
  </si>
  <si>
    <t>Black rhinoceros</t>
  </si>
  <si>
    <t>Goldfish</t>
  </si>
  <si>
    <t>Mandarin fish</t>
  </si>
  <si>
    <t>New World rivulines</t>
  </si>
  <si>
    <t>Great blue-spotted mudskipper</t>
  </si>
  <si>
    <t>Cladistia</t>
  </si>
  <si>
    <t>Reedfish</t>
  </si>
  <si>
    <t>Pacific halibut</t>
  </si>
  <si>
    <t>Clown anemonefish</t>
  </si>
  <si>
    <t>Wattled asity</t>
  </si>
  <si>
    <t>Senegalese sole</t>
  </si>
  <si>
    <t>Big head croaker</t>
  </si>
  <si>
    <t>Carps and others</t>
  </si>
  <si>
    <t>Greater pipefish</t>
  </si>
  <si>
    <t>Banded archerfish</t>
  </si>
  <si>
    <t>Barramundi perch</t>
  </si>
  <si>
    <t>Pinecone soldierfish</t>
  </si>
  <si>
    <t>Jewelled blenny</t>
  </si>
  <si>
    <t>Zebrafish</t>
  </si>
  <si>
    <t>Wolf-eel</t>
  </si>
  <si>
    <t>Spotted gar</t>
  </si>
  <si>
    <t>Atlantic halibut</t>
  </si>
  <si>
    <t>Pikeperch</t>
  </si>
  <si>
    <t>Zig-zag eel</t>
  </si>
  <si>
    <t>Largemouth bass</t>
  </si>
  <si>
    <t>Tanaka's snailfish</t>
  </si>
  <si>
    <t>Japanese seabass</t>
  </si>
  <si>
    <t>Arkansas darter</t>
  </si>
  <si>
    <t>Yellow perch</t>
  </si>
  <si>
    <t>Bicolor damselfish</t>
  </si>
  <si>
    <t>Swamp eel</t>
  </si>
  <si>
    <t>Red-winged fairywren</t>
  </si>
  <si>
    <t>Indian glassy fish</t>
  </si>
  <si>
    <t>Chondrichthyes</t>
  </si>
  <si>
    <t>Brownbanded bambooshark</t>
  </si>
  <si>
    <t>Greater roadrunner</t>
  </si>
  <si>
    <t>Climbing perch</t>
  </si>
  <si>
    <t>Gray bichir</t>
  </si>
  <si>
    <t>Striped sea-bass</t>
  </si>
  <si>
    <t>Turquoise killifish</t>
  </si>
  <si>
    <t>Large yellow croaker</t>
  </si>
  <si>
    <t>Orange-spotted grouper</t>
  </si>
  <si>
    <t>Groove-billed ani</t>
  </si>
  <si>
    <t>Southern white rhinoceros</t>
  </si>
  <si>
    <t>Orbiculate cardinalfish</t>
  </si>
  <si>
    <t>Striped catfish</t>
  </si>
  <si>
    <t>Japanese flounder</t>
  </si>
  <si>
    <t>Indo-Pacific tarpon</t>
  </si>
  <si>
    <t>Rio pearlfish</t>
  </si>
  <si>
    <t>Atlantic cod</t>
  </si>
  <si>
    <t>Gilthead seabream</t>
  </si>
  <si>
    <t>Orangethroat darter</t>
  </si>
  <si>
    <t>Western mosquitofish</t>
  </si>
  <si>
    <t>Yellowfin seabream</t>
  </si>
  <si>
    <t>Mummichog</t>
  </si>
  <si>
    <t>New Zealand spotty</t>
  </si>
  <si>
    <t>Swordfish</t>
  </si>
  <si>
    <t>Southern cassowary</t>
  </si>
  <si>
    <t>Thornfishes</t>
  </si>
  <si>
    <t>South Georgia icefish</t>
  </si>
  <si>
    <t>Antarctic dragonfishes</t>
  </si>
  <si>
    <t>American bullfrog</t>
  </si>
  <si>
    <t>Common toad</t>
  </si>
  <si>
    <t>Tongue sole</t>
  </si>
  <si>
    <t>Whooping crane</t>
  </si>
  <si>
    <t>European perch</t>
  </si>
  <si>
    <t>Mangrove rivulus</t>
  </si>
  <si>
    <t>Greater amberjack</t>
  </si>
  <si>
    <t>Galah</t>
  </si>
  <si>
    <t>Blunt-snouted clingfish</t>
  </si>
  <si>
    <t>Antarctic toothfish</t>
  </si>
  <si>
    <t>Live sharksucker</t>
  </si>
  <si>
    <t>Black-winged stilt</t>
  </si>
  <si>
    <t>Turkey</t>
  </si>
  <si>
    <t>Yellowtail amberjack</t>
  </si>
  <si>
    <t>Siamese fighting fish</t>
  </si>
  <si>
    <t>Channel catfish</t>
  </si>
  <si>
    <t>Gobies</t>
  </si>
  <si>
    <t>Turbot</t>
  </si>
  <si>
    <t>Sheepshead minnow</t>
  </si>
  <si>
    <t>Killifishes</t>
  </si>
  <si>
    <t>Black rockcod</t>
  </si>
  <si>
    <t>Sooty mangabey</t>
  </si>
  <si>
    <t>Sailfin molly</t>
  </si>
  <si>
    <t>Whale shark</t>
  </si>
  <si>
    <t>Sheatfishes</t>
  </si>
  <si>
    <t>Emerald rockcod</t>
  </si>
  <si>
    <t>Grebes</t>
  </si>
  <si>
    <t>Three-spined stickleback</t>
  </si>
  <si>
    <t>Electric eel</t>
  </si>
  <si>
    <t>Common frog</t>
  </si>
  <si>
    <t>Elephant shark</t>
  </si>
  <si>
    <t>Poison toadfishes</t>
  </si>
  <si>
    <t>Lesser nighthawk</t>
  </si>
  <si>
    <t>Honeycomb rockfish</t>
  </si>
  <si>
    <t>Plateau loaches</t>
  </si>
  <si>
    <t>Amazon molly</t>
  </si>
  <si>
    <t>Smaller spotted catshark</t>
  </si>
  <si>
    <t>Shortfin molly</t>
  </si>
  <si>
    <t>Yellow catfish</t>
  </si>
  <si>
    <t>Ninespine stickleback</t>
  </si>
  <si>
    <t>Central bearded dragon</t>
  </si>
  <si>
    <t>European eel</t>
  </si>
  <si>
    <t>Green swordtail</t>
  </si>
  <si>
    <t>Monterrey platyfish</t>
  </si>
  <si>
    <t>Flier cichlid</t>
  </si>
  <si>
    <t>Ballan wrasse</t>
  </si>
  <si>
    <t>Southern platyfish</t>
  </si>
  <si>
    <t>Common carp</t>
  </si>
  <si>
    <t>Blue tilapia</t>
  </si>
  <si>
    <t>Asian bonytongue</t>
  </si>
  <si>
    <t>Nile tilapia</t>
  </si>
  <si>
    <t>Sansaifugu</t>
  </si>
  <si>
    <t>Torafugu</t>
  </si>
  <si>
    <t>Guppy</t>
  </si>
  <si>
    <t>Alligator gar</t>
  </si>
  <si>
    <t>Thorny skate</t>
  </si>
  <si>
    <t>Northern bobwhite</t>
  </si>
  <si>
    <t>Lyretail cichlid</t>
  </si>
  <si>
    <t>Cloudy catshark</t>
  </si>
  <si>
    <t>Cichlids</t>
  </si>
  <si>
    <t>Gray short-tailed opossum</t>
  </si>
  <si>
    <t>Burton's mouthbrooder</t>
  </si>
  <si>
    <t>Eastern happy</t>
  </si>
  <si>
    <t>Zebra mbuna</t>
  </si>
  <si>
    <t>Frogs and toads</t>
  </si>
  <si>
    <t>Javanese ricefish</t>
  </si>
  <si>
    <t>Japanese medaka</t>
  </si>
  <si>
    <t>Indian medaka</t>
  </si>
  <si>
    <t>Coelacanthiformes</t>
  </si>
  <si>
    <t>Coelacanth</t>
  </si>
  <si>
    <t>Sunda flying lemur</t>
  </si>
  <si>
    <t>Gabon caecilian</t>
  </si>
  <si>
    <t>Geckos</t>
  </si>
  <si>
    <t>Elephantfishes</t>
  </si>
  <si>
    <t>Coquerel's sifaka</t>
  </si>
  <si>
    <t>Colubrid snakes</t>
  </si>
  <si>
    <t>Western terrestrial garter snake</t>
  </si>
  <si>
    <t>Chinese habu</t>
  </si>
  <si>
    <t>Mainland tiger snake</t>
  </si>
  <si>
    <t>Eastern brown snake</t>
  </si>
  <si>
    <t>Milkfish</t>
  </si>
  <si>
    <t>Derbio</t>
  </si>
  <si>
    <t>Tiger rattlesnake</t>
  </si>
  <si>
    <t>Veery</t>
  </si>
  <si>
    <t>Grass carp</t>
  </si>
  <si>
    <t>Black bullhead</t>
  </si>
  <si>
    <t>Red-billed leiothrix</t>
  </si>
  <si>
    <t>Narrowmouthed catshark</t>
  </si>
  <si>
    <t>Streak-breasted scimitar babbler</t>
  </si>
  <si>
    <t>Sablefish</t>
  </si>
  <si>
    <t>Rufous-bellied thrush</t>
  </si>
  <si>
    <t>Golden-crowned kinglet</t>
  </si>
  <si>
    <t>Goonch</t>
  </si>
  <si>
    <t>European flounder</t>
  </si>
  <si>
    <t>Blackcap illadopsis</t>
  </si>
  <si>
    <t>Blue catfish</t>
  </si>
  <si>
    <t>Spotted honeyguide</t>
  </si>
  <si>
    <t>Puffers</t>
  </si>
  <si>
    <t>Argentine toad</t>
  </si>
  <si>
    <t>Iguanian lizards</t>
  </si>
  <si>
    <t>Javeline goby</t>
  </si>
  <si>
    <t>Long-wiskered catfishes</t>
  </si>
  <si>
    <t>Hyperoartia</t>
  </si>
  <si>
    <t>Sea lamprey</t>
  </si>
  <si>
    <t>Snakehead murrel</t>
  </si>
  <si>
    <t>Northern snakehead</t>
  </si>
  <si>
    <t>Malabar grouper</t>
  </si>
  <si>
    <t>Sea basses</t>
  </si>
  <si>
    <t>Chinese medaka</t>
  </si>
  <si>
    <t>Dipnomorpha</t>
  </si>
  <si>
    <t>South American lungfish</t>
  </si>
  <si>
    <t>Goose</t>
  </si>
  <si>
    <t>Black porgy</t>
  </si>
  <si>
    <t>Ascidiacea</t>
  </si>
  <si>
    <t>Warty sea squirt</t>
  </si>
  <si>
    <t>Sea squirts</t>
  </si>
  <si>
    <t>Mississippi paddlefish</t>
  </si>
  <si>
    <t>Vase tunicate</t>
  </si>
  <si>
    <t>Myxini</t>
  </si>
  <si>
    <t>Atlantic hagfish</t>
  </si>
  <si>
    <t>Insecta</t>
  </si>
  <si>
    <t>Bean bug</t>
  </si>
  <si>
    <t>Arachnida</t>
  </si>
  <si>
    <t>Mites and ticks</t>
  </si>
  <si>
    <t>Store product mites</t>
  </si>
  <si>
    <t>Asian tiger mosquito</t>
  </si>
  <si>
    <t>Asteroidea</t>
  </si>
  <si>
    <t>European starfish</t>
  </si>
  <si>
    <t>Crown-of-thorns starfish</t>
  </si>
  <si>
    <t>Bulb mites</t>
  </si>
  <si>
    <t>Snowberry fruit fly</t>
  </si>
  <si>
    <t>Bivalvia</t>
  </si>
  <si>
    <t>Yesso scallop</t>
  </si>
  <si>
    <t>European house dust mite</t>
  </si>
  <si>
    <t>Yellow fever mosquito</t>
  </si>
  <si>
    <t>Tarnished plant bug</t>
  </si>
  <si>
    <t>Beetle mites</t>
  </si>
  <si>
    <t>Branchiopoda</t>
  </si>
  <si>
    <t>Common water flea</t>
  </si>
  <si>
    <t>Common water fleas</t>
  </si>
  <si>
    <t>Damp wood termites</t>
  </si>
  <si>
    <t>Bat star</t>
  </si>
  <si>
    <t>Priapulimorpha</t>
  </si>
  <si>
    <t>Priapulids</t>
  </si>
  <si>
    <t>Orb weavers</t>
  </si>
  <si>
    <t>Northern house mosquito</t>
  </si>
  <si>
    <t>Southern house mosquito</t>
  </si>
  <si>
    <t>Leptocardii</t>
  </si>
  <si>
    <t>Belcher's lancelet</t>
  </si>
  <si>
    <t>Florida lancelet</t>
  </si>
  <si>
    <t>Walking sticks</t>
  </si>
  <si>
    <t>Plant bugs</t>
  </si>
  <si>
    <t>Small minnow mayflies</t>
  </si>
  <si>
    <t>American house dust mite</t>
  </si>
  <si>
    <t>Formosan subterranean termite</t>
  </si>
  <si>
    <t>Powder-post termites</t>
  </si>
  <si>
    <t>Migratory locust</t>
  </si>
  <si>
    <t>Coleseed sawfly</t>
  </si>
  <si>
    <t>Asiatic honeybee</t>
  </si>
  <si>
    <t>Brown planthopper</t>
  </si>
  <si>
    <t>Desert locust</t>
  </si>
  <si>
    <t>Brown marmorated stink bug</t>
  </si>
  <si>
    <t>Scallops</t>
  </si>
  <si>
    <t>Soldier flies</t>
  </si>
  <si>
    <t>Malacostraca</t>
  </si>
  <si>
    <t>Black tiger shrimp</t>
  </si>
  <si>
    <t>Pacific white shrimp</t>
  </si>
  <si>
    <t>Mediterranean mussel</t>
  </si>
  <si>
    <t>Eutardigrada</t>
  </si>
  <si>
    <t>Water bears</t>
  </si>
  <si>
    <t>Rhabditophora</t>
  </si>
  <si>
    <t>Flatworms</t>
  </si>
  <si>
    <t>Common eastern bumble bee</t>
  </si>
  <si>
    <t>Bagworm moths</t>
  </si>
  <si>
    <t>California timema</t>
  </si>
  <si>
    <t>Fruit flies</t>
  </si>
  <si>
    <t>Eight-eyed spiders</t>
  </si>
  <si>
    <t>Wasps, ants, and bees</t>
  </si>
  <si>
    <t>Parasitic wood wasps</t>
  </si>
  <si>
    <t>Brown legged grain mite</t>
  </si>
  <si>
    <t>Mosquitos</t>
  </si>
  <si>
    <t>Bark scorpion</t>
  </si>
  <si>
    <t>Hexanauplia</t>
  </si>
  <si>
    <t>Acorn barnacles</t>
  </si>
  <si>
    <t>Stalk-eyed flies</t>
  </si>
  <si>
    <t>Gastropoda</t>
  </si>
  <si>
    <t>California sea hare</t>
  </si>
  <si>
    <t>Collembola</t>
  </si>
  <si>
    <t>Springtails</t>
  </si>
  <si>
    <t>Carpenter bees</t>
  </si>
  <si>
    <t>Crinoidea</t>
  </si>
  <si>
    <t>Crinoids</t>
  </si>
  <si>
    <t>Buff-tailed bumblebee</t>
  </si>
  <si>
    <t>Alfalfa leafcutting bee</t>
  </si>
  <si>
    <t>Redheaded pine sawfly</t>
  </si>
  <si>
    <t>Beach hoppers, scuds and well shrimps</t>
  </si>
  <si>
    <t>Black fungus gnats</t>
  </si>
  <si>
    <t>Florida carpenter ant</t>
  </si>
  <si>
    <t>Bumble bees</t>
  </si>
  <si>
    <t>Digger bees</t>
  </si>
  <si>
    <t>Copepods</t>
  </si>
  <si>
    <t>House-dust mites</t>
  </si>
  <si>
    <t>Cat flea</t>
  </si>
  <si>
    <t>European paper wasp</t>
  </si>
  <si>
    <t>African malaria mosquito</t>
  </si>
  <si>
    <t>Asian malaria mosquito</t>
  </si>
  <si>
    <t>Orchard mason bee</t>
  </si>
  <si>
    <t>American cockroach</t>
  </si>
  <si>
    <t>Cephalopoda</t>
  </si>
  <si>
    <t>East Asian common octopus</t>
  </si>
  <si>
    <t>Red harvester ant</t>
  </si>
  <si>
    <t>Swede midge</t>
  </si>
  <si>
    <t>Fleshy prawn</t>
  </si>
  <si>
    <t>Argentine ant</t>
  </si>
  <si>
    <t>Crustaceans</t>
  </si>
  <si>
    <t>Trematoda</t>
  </si>
  <si>
    <t>Blood flukes</t>
  </si>
  <si>
    <t>Tidepool copepod</t>
  </si>
  <si>
    <t>Wolf spiders</t>
  </si>
  <si>
    <t>Lingulata</t>
  </si>
  <si>
    <t>Lampshells</t>
  </si>
  <si>
    <t>Sweet potato whitefly</t>
  </si>
  <si>
    <t>Hornets and yellowjackets</t>
  </si>
  <si>
    <t>Bed bug</t>
  </si>
  <si>
    <t>Enoplea</t>
  </si>
  <si>
    <t>Roundworms</t>
  </si>
  <si>
    <t>Smooth springtails</t>
  </si>
  <si>
    <t>Tsetse fly</t>
  </si>
  <si>
    <t>Merostomata</t>
  </si>
  <si>
    <t>Atlantic horseshoe crab</t>
  </si>
  <si>
    <t>Red mason bee</t>
  </si>
  <si>
    <t>Mediterranean fruit fly</t>
  </si>
  <si>
    <t>Alkali bee</t>
  </si>
  <si>
    <t>Echinoidea</t>
  </si>
  <si>
    <t>Purple sea urchin</t>
  </si>
  <si>
    <t>Clonal raider ant</t>
  </si>
  <si>
    <t>Grey fleshfly</t>
  </si>
  <si>
    <t>Jerdon's jumping ant</t>
  </si>
  <si>
    <t>Stalked barnacles</t>
  </si>
  <si>
    <t>Appendicularia</t>
  </si>
  <si>
    <t>Appendicularians</t>
  </si>
  <si>
    <t>Western yellowjacket</t>
  </si>
  <si>
    <t>Palaemonid shrimps</t>
  </si>
  <si>
    <t>Panamanian leafcutter ant</t>
  </si>
  <si>
    <t>Polychaeta</t>
  </si>
  <si>
    <t>Polychaetes</t>
  </si>
  <si>
    <t>Snout moths</t>
  </si>
  <si>
    <t>Fig wasps</t>
  </si>
  <si>
    <t>Holothuroidea</t>
  </si>
  <si>
    <t>Japanese sea cucumber</t>
  </si>
  <si>
    <t>Chinese mitten crab</t>
  </si>
  <si>
    <t>Yellow sugarcane aphid</t>
  </si>
  <si>
    <t>Asian giant hornet</t>
  </si>
  <si>
    <t>Orchid bees</t>
  </si>
  <si>
    <t>Australian sheep blowfly</t>
  </si>
  <si>
    <t>Penaeid shrimps</t>
  </si>
  <si>
    <t>Cephalopods</t>
  </si>
  <si>
    <t>Stingless bees</t>
  </si>
  <si>
    <t>Australian red claw crayfish</t>
  </si>
  <si>
    <t>Common green bottle fly</t>
  </si>
  <si>
    <t>Cotton aphid</t>
  </si>
  <si>
    <t>Owl limpet</t>
  </si>
  <si>
    <t>European seabass</t>
  </si>
  <si>
    <t>Apple maggot</t>
  </si>
  <si>
    <t>Small brown planthopper</t>
  </si>
  <si>
    <t>Little fire ant</t>
  </si>
  <si>
    <t>Ringlet</t>
  </si>
  <si>
    <t>Corn leaf aphid</t>
  </si>
  <si>
    <t>Pomace flies</t>
  </si>
  <si>
    <t>Aphids</t>
  </si>
  <si>
    <t>Leaf cutting ants</t>
  </si>
  <si>
    <t>Trichogrammid wasps</t>
  </si>
  <si>
    <t>House fly</t>
  </si>
  <si>
    <t>Green mud crab</t>
  </si>
  <si>
    <t>Two-spotted spider mite</t>
  </si>
  <si>
    <t>Paper wasps</t>
  </si>
  <si>
    <t>Common eastern firefly</t>
  </si>
  <si>
    <t>Eurotatoria</t>
  </si>
  <si>
    <t>Rotifers</t>
  </si>
  <si>
    <t>Click beetles</t>
  </si>
  <si>
    <t>Signal crayfish</t>
  </si>
  <si>
    <t>Swimming crab</t>
  </si>
  <si>
    <t>Sweat bees</t>
  </si>
  <si>
    <t>Enteropneusta</t>
  </si>
  <si>
    <t>Acorn worms</t>
  </si>
  <si>
    <t>Oak gall wasps</t>
  </si>
  <si>
    <t>Trichoplacidae</t>
  </si>
  <si>
    <t>Placozoans</t>
  </si>
  <si>
    <t>Colorado potato beetle</t>
  </si>
  <si>
    <t>Common house spider</t>
  </si>
  <si>
    <t>Cosmet moths</t>
  </si>
  <si>
    <t>Chromadorea</t>
  </si>
  <si>
    <t>Common yellow swallowtail</t>
  </si>
  <si>
    <t>Hardbacked ticks</t>
  </si>
  <si>
    <t>Southern cattle tick</t>
  </si>
  <si>
    <t>Snow crab</t>
  </si>
  <si>
    <t>Jewel wasp</t>
  </si>
  <si>
    <t>Pacific oyster</t>
  </si>
  <si>
    <t>Western corn rootworm</t>
  </si>
  <si>
    <t>Rice weevil</t>
  </si>
  <si>
    <t>Asian longhorned beetle</t>
  </si>
  <si>
    <t>Cowpea weevil</t>
  </si>
  <si>
    <t>Dung beetles &amp; tumblebugs</t>
  </si>
  <si>
    <t>Common Mormon</t>
  </si>
  <si>
    <t>Topmouth culter</t>
  </si>
  <si>
    <t>Wheat stem sawfly</t>
  </si>
  <si>
    <t>Oriental river prawn</t>
  </si>
  <si>
    <t>Green peach aphid</t>
  </si>
  <si>
    <t>Japanese eel</t>
  </si>
  <si>
    <t>Pea aphid</t>
  </si>
  <si>
    <t>Eastern oyster</t>
  </si>
  <si>
    <t>Stable fly</t>
  </si>
  <si>
    <t>King cobra</t>
  </si>
  <si>
    <t>Diamondback moth</t>
  </si>
  <si>
    <t>Fireflies</t>
  </si>
  <si>
    <t>Pig whipworm</t>
  </si>
  <si>
    <t>Cowpea aphid</t>
  </si>
  <si>
    <t>Brown dog tick</t>
  </si>
  <si>
    <t>Japanese oak silkmoth</t>
  </si>
  <si>
    <t>Flukes</t>
  </si>
  <si>
    <t>Red palm weevil</t>
  </si>
  <si>
    <t>Eastern emerald elysia</t>
  </si>
  <si>
    <t>Tropical bont tick</t>
  </si>
  <si>
    <t>Monarch butterfly</t>
  </si>
  <si>
    <t>Tobacco budworm</t>
  </si>
  <si>
    <t>Bird nasal schistosome</t>
  </si>
  <si>
    <t>Tiger moths</t>
  </si>
  <si>
    <t>Nonbiting midges</t>
  </si>
  <si>
    <t>Mice</t>
  </si>
  <si>
    <t>Cestoda</t>
  </si>
  <si>
    <t>Tapeworms</t>
  </si>
  <si>
    <t>Squinting bush brown</t>
  </si>
  <si>
    <t>Taiga tick</t>
  </si>
  <si>
    <t>Asian citrus psyllid</t>
  </si>
  <si>
    <t>Red swamp crayfish</t>
  </si>
  <si>
    <t>Western European house mouse</t>
  </si>
  <si>
    <t>Queensland fruit fly</t>
  </si>
  <si>
    <t>Tobacco hornworm</t>
  </si>
  <si>
    <t>Oriental fruit fly</t>
  </si>
  <si>
    <t>Salmon louse</t>
  </si>
  <si>
    <t>Russian wheat aphid</t>
  </si>
  <si>
    <t>Bloodfluke planorb</t>
  </si>
  <si>
    <t>Rainbow smelt</t>
  </si>
  <si>
    <t>Small hive beetle</t>
  </si>
  <si>
    <t>Pine wood nematodes</t>
  </si>
  <si>
    <t>Asian swallowtail</t>
  </si>
  <si>
    <t>Olive fruit fly</t>
  </si>
  <si>
    <t>Rat tapeworm</t>
  </si>
  <si>
    <t>Domestic silkworm</t>
  </si>
  <si>
    <t>Wild silkworm</t>
  </si>
  <si>
    <t>Longfin inshore squid</t>
  </si>
  <si>
    <t>Sordariomycetes</t>
  </si>
  <si>
    <t>Ascomycetes</t>
  </si>
  <si>
    <t>Emerald ash borer</t>
  </si>
  <si>
    <t>Cotton bollworm</t>
  </si>
  <si>
    <t>Fall armyworm</t>
  </si>
  <si>
    <t>Barber pole worm</t>
  </si>
  <si>
    <t>Sexton beetles</t>
  </si>
  <si>
    <t>Plains spadefoot toad</t>
  </si>
  <si>
    <t>Greater wax moth</t>
  </si>
  <si>
    <t>Red flour beetle</t>
  </si>
  <si>
    <t>Melon fly</t>
  </si>
  <si>
    <t>Morning glory sphinx moth</t>
  </si>
  <si>
    <t>White, yellow and sulphur butterflies</t>
  </si>
  <si>
    <t>Longtooth grouper</t>
  </si>
  <si>
    <t>Mexican spadefoot toad</t>
  </si>
  <si>
    <t>Fruit fly</t>
  </si>
  <si>
    <t>Pine wood nematode</t>
  </si>
  <si>
    <t>Gastropods</t>
  </si>
  <si>
    <t>Human pinworm</t>
  </si>
  <si>
    <t>Couch's spadefoot toad</t>
  </si>
  <si>
    <t>Eastern spadefoot toad</t>
  </si>
  <si>
    <t>Cobia</t>
  </si>
  <si>
    <t>Whites</t>
  </si>
  <si>
    <t>Specked wood butterfly</t>
  </si>
  <si>
    <t>Black-legged tick</t>
  </si>
  <si>
    <t>Honeybee mite</t>
  </si>
  <si>
    <t>Red seabream</t>
  </si>
  <si>
    <t>Dogface butterfly</t>
  </si>
  <si>
    <t>Rhinoceros beetles, hercules beetles &amp; elephant beetles</t>
  </si>
  <si>
    <t>Soybean aphid</t>
  </si>
  <si>
    <t>Human body louse</t>
  </si>
  <si>
    <t>Pillbugs</t>
  </si>
  <si>
    <t>Dog hookworm</t>
  </si>
  <si>
    <t>Tortoiseshells, admirals &amp;c.</t>
  </si>
  <si>
    <t>Liver fluke</t>
  </si>
  <si>
    <t>Bees</t>
  </si>
  <si>
    <t>2021 07 19 13:46:17</t>
  </si>
  <si>
    <t>Hamadryas baboon</t>
  </si>
  <si>
    <t>Brown lemur</t>
  </si>
  <si>
    <t>Chinese forest musk deer</t>
  </si>
  <si>
    <t>Eurasian lynx</t>
  </si>
  <si>
    <t>Western roe deer</t>
  </si>
  <si>
    <t>Alpaca</t>
  </si>
  <si>
    <t>Large flying fox</t>
  </si>
  <si>
    <t>Sika deer</t>
  </si>
  <si>
    <t>Terrapins</t>
  </si>
  <si>
    <t>Japanese wrinkled frog</t>
  </si>
  <si>
    <t>Scaled quail</t>
  </si>
  <si>
    <t>Black-faced sheathbill</t>
  </si>
  <si>
    <t>Fin whale</t>
  </si>
  <si>
    <t>Oriental fire-bellied newt</t>
  </si>
  <si>
    <t>Ibis, herons and pelicans</t>
  </si>
  <si>
    <t>Southern screamer</t>
  </si>
  <si>
    <t>Downy woodpecker</t>
  </si>
  <si>
    <t>Habu</t>
  </si>
  <si>
    <t>Starlings</t>
  </si>
  <si>
    <t>Black-pencilled marmoset</t>
  </si>
  <si>
    <t>Wied's marmoset</t>
  </si>
  <si>
    <t>Cuckooshrikes</t>
  </si>
  <si>
    <t>Australian brush-turkey</t>
  </si>
  <si>
    <t>Garden warbler</t>
  </si>
  <si>
    <t>Japanese four-lined ratsnake</t>
  </si>
  <si>
    <t>Golden lion tamarin</t>
  </si>
  <si>
    <t>Goeldi's marmoset</t>
  </si>
  <si>
    <t>Midas tamarin</t>
  </si>
  <si>
    <t>Menado coelacanth</t>
  </si>
  <si>
    <t>Buerger's frog</t>
  </si>
  <si>
    <t>Great blue turaco</t>
  </si>
  <si>
    <t>Bowfin</t>
  </si>
  <si>
    <t>Australian shortfin eel</t>
  </si>
  <si>
    <t>Silver crucian carp</t>
  </si>
  <si>
    <t>Toothed Cuban cusk-eel</t>
  </si>
  <si>
    <t>Pengze crucian carp</t>
  </si>
  <si>
    <t>Spiny chromis</t>
  </si>
  <si>
    <t>Little skate</t>
  </si>
  <si>
    <t>Amur sturgeon</t>
  </si>
  <si>
    <t>Atlantic croaker</t>
  </si>
  <si>
    <t>Bulatmai barbel</t>
  </si>
  <si>
    <t>Spiny dogfish</t>
  </si>
  <si>
    <t>Humphead wrasse</t>
  </si>
  <si>
    <t>Bambooleaf wrasse</t>
  </si>
  <si>
    <t>West African lungfish</t>
  </si>
  <si>
    <t>Medakas</t>
  </si>
  <si>
    <t>Bester</t>
  </si>
  <si>
    <t>Four-eyed sleeper</t>
  </si>
  <si>
    <t>Reeves' butterfly lizard</t>
  </si>
  <si>
    <t>Murray River rainbowfish</t>
  </si>
  <si>
    <t>Plainfin midshipman</t>
  </si>
  <si>
    <t>Threespot wrasse</t>
  </si>
  <si>
    <t>Wood frog</t>
  </si>
  <si>
    <t>Roach minnow</t>
  </si>
  <si>
    <t>Spotted green pufferfish</t>
  </si>
  <si>
    <t>Big-belly seahorse</t>
  </si>
  <si>
    <t>Northern leopard frog</t>
  </si>
  <si>
    <t>Australian lungfish</t>
  </si>
  <si>
    <t>Silver arawana</t>
  </si>
  <si>
    <t>Ringneck dove</t>
  </si>
  <si>
    <t>Common gibbon</t>
  </si>
  <si>
    <t>Barbary ape</t>
  </si>
  <si>
    <t>Bornean orangutan</t>
  </si>
  <si>
    <t>Western gorilla</t>
  </si>
  <si>
    <t>Grivet</t>
  </si>
  <si>
    <t>Spotted snakehead</t>
  </si>
  <si>
    <t>Mantled guereza</t>
  </si>
  <si>
    <t>Dusky leaf-monkey</t>
  </si>
  <si>
    <t>Red-headed barbet</t>
  </si>
  <si>
    <t>Riparian frogs</t>
  </si>
  <si>
    <t>Bald-faced saki</t>
  </si>
  <si>
    <t>Little buttonquail</t>
  </si>
  <si>
    <t>Speckled mousebird</t>
  </si>
  <si>
    <t>Black spider monkey</t>
  </si>
  <si>
    <t>Little striped whiptail</t>
  </si>
  <si>
    <t>Tropical gar</t>
  </si>
  <si>
    <t>Silver catfish</t>
  </si>
  <si>
    <t>Scats</t>
  </si>
  <si>
    <t>Siamese crocodile</t>
  </si>
  <si>
    <t>Common squirrel monkey</t>
  </si>
  <si>
    <t>Freshwater butterflyfish</t>
  </si>
  <si>
    <t>Cotton-top tamarin</t>
  </si>
  <si>
    <t>Yellowtail clownfish</t>
  </si>
  <si>
    <t>Northern tree shrew</t>
  </si>
  <si>
    <t>Mundakanni</t>
  </si>
  <si>
    <t>Mozambique tilapia</t>
  </si>
  <si>
    <t>Cunner</t>
  </si>
  <si>
    <t>Japanese firebelly newt</t>
  </si>
  <si>
    <t>Pejerrey</t>
  </si>
  <si>
    <t>Japanese grenadier anchovy</t>
  </si>
  <si>
    <t>Ayu</t>
  </si>
  <si>
    <t>Maraena whitefish</t>
  </si>
  <si>
    <t>Pufferfishes and others</t>
  </si>
  <si>
    <t>Barred buttonquail</t>
  </si>
  <si>
    <t>Red-headed bunting</t>
  </si>
  <si>
    <t>Red drum</t>
  </si>
  <si>
    <t>Airbreathing catfishes</t>
  </si>
  <si>
    <t>Whiptails</t>
  </si>
  <si>
    <t>Mud carp</t>
  </si>
  <si>
    <t>Chinese sturgeon</t>
  </si>
  <si>
    <t>Dark-spotted frog</t>
  </si>
  <si>
    <t>Pacific redfin</t>
  </si>
  <si>
    <t>Mefugu</t>
  </si>
  <si>
    <t>Gulf toadfish</t>
  </si>
  <si>
    <t>Split-tongued squamates</t>
  </si>
  <si>
    <t>Trouts, salmons &amp; chars</t>
  </si>
  <si>
    <t>Walrus</t>
  </si>
  <si>
    <t>Atlantic stingray</t>
  </si>
  <si>
    <t>Atlantic sharpnose shark</t>
  </si>
  <si>
    <t>Stripe-faced dunnart</t>
  </si>
  <si>
    <t>House sparrow</t>
  </si>
  <si>
    <t>White-backed vulture</t>
  </si>
  <si>
    <t>Lappet-faced vulture</t>
  </si>
  <si>
    <t>Pacific ridley</t>
  </si>
  <si>
    <t>Arctic lamprey</t>
  </si>
  <si>
    <t>California condor</t>
  </si>
  <si>
    <t>Raucous toad</t>
  </si>
  <si>
    <t>Spectacled caiman</t>
  </si>
  <si>
    <t>Diamondback terrapin</t>
  </si>
  <si>
    <t>Slender lungfish</t>
  </si>
  <si>
    <t>Greater Indian rhinoceros</t>
  </si>
  <si>
    <t>Portugese oyster</t>
  </si>
  <si>
    <t>Nile crocodile</t>
  </si>
  <si>
    <t>Tokyo salamander</t>
  </si>
  <si>
    <t>Painted turtle</t>
  </si>
  <si>
    <t>Chinese giant salamander</t>
  </si>
  <si>
    <t>Japanese giant salamander</t>
  </si>
  <si>
    <t>Iberian ribbed newt</t>
  </si>
  <si>
    <t>Bivalves</t>
  </si>
  <si>
    <t>Sydney rock oyster</t>
  </si>
  <si>
    <t>Inshore hagfish</t>
  </si>
  <si>
    <t>North African catfish</t>
  </si>
  <si>
    <t>German cockroach</t>
  </si>
  <si>
    <t>Eurasian beaver</t>
  </si>
  <si>
    <t>Schlegel's black rockfish</t>
  </si>
  <si>
    <t>Blue mussel</t>
  </si>
  <si>
    <t>Chinese wrasse</t>
  </si>
  <si>
    <t>Domestic yak</t>
  </si>
  <si>
    <t>Lake Candidus dace</t>
  </si>
  <si>
    <t>Wrasses</t>
  </si>
  <si>
    <t>White cloud mountain minnow</t>
  </si>
  <si>
    <t>Viviparous blenny</t>
  </si>
  <si>
    <t>Yellowfin goby</t>
  </si>
  <si>
    <t>Japanese amberjack</t>
  </si>
  <si>
    <t>Skinks</t>
  </si>
  <si>
    <t>Korean striped bitterling</t>
  </si>
  <si>
    <t>Bullhead</t>
  </si>
  <si>
    <t>Cutthroat trout</t>
  </si>
  <si>
    <t>Bluegill</t>
  </si>
  <si>
    <t>Farrer's scallop</t>
  </si>
  <si>
    <t>Red fire ant</t>
  </si>
  <si>
    <t>Taiwan shoveljaw carp</t>
  </si>
  <si>
    <t>Stump-tailed macaque</t>
  </si>
  <si>
    <t>Little honeybee</t>
  </si>
  <si>
    <t>Giant honeybee</t>
  </si>
  <si>
    <t>Honey bee</t>
  </si>
  <si>
    <t>Red deer</t>
  </si>
  <si>
    <t>Bolivian titi</t>
  </si>
  <si>
    <t>Brown-headed spider monkey</t>
  </si>
  <si>
    <t>Western predatory mite</t>
  </si>
  <si>
    <t>White-faced saki</t>
  </si>
  <si>
    <t>Loaches</t>
  </si>
  <si>
    <t>Flathead mullet</t>
  </si>
  <si>
    <t>Pharaoh ant</t>
  </si>
  <si>
    <t>Fire clownfish</t>
  </si>
  <si>
    <t>Ostracoda</t>
  </si>
  <si>
    <t>Seed shrimps &amp; mussel shrimps</t>
  </si>
  <si>
    <t>Giant freshwater prawn</t>
  </si>
  <si>
    <t>Edible Chinese black ant</t>
  </si>
  <si>
    <t>Great pond snail</t>
  </si>
  <si>
    <t>European brook lamprey</t>
  </si>
  <si>
    <t>Sand goby</t>
  </si>
  <si>
    <t>Sandworms</t>
  </si>
  <si>
    <t>Emma field cricket</t>
  </si>
  <si>
    <t>Mountain pine beetle</t>
  </si>
  <si>
    <t>Common sole</t>
  </si>
  <si>
    <t>Chinese horseshoe crab</t>
  </si>
  <si>
    <t>True thrips</t>
  </si>
  <si>
    <t>Western flower thrips</t>
  </si>
  <si>
    <t>Eastern spruce budworm</t>
  </si>
  <si>
    <t>Water fleas</t>
  </si>
  <si>
    <t>Black cutworm moth</t>
  </si>
  <si>
    <t>Owlet moths</t>
  </si>
  <si>
    <t>Dry bark beetles</t>
  </si>
  <si>
    <t>Asian corn borer</t>
  </si>
  <si>
    <t>Common pillbug</t>
  </si>
  <si>
    <t>Striped riceborer</t>
  </si>
  <si>
    <t>Clitellata</t>
  </si>
  <si>
    <t>Common brandling worm</t>
  </si>
  <si>
    <t>Leeches</t>
  </si>
  <si>
    <t>Cabbage looper</t>
  </si>
  <si>
    <t>Oriental fire-bellied toad</t>
  </si>
  <si>
    <t>Cuttlefish</t>
  </si>
  <si>
    <t>Whitespotted conger</t>
  </si>
  <si>
    <t>Japanese spineless cuttlefish</t>
  </si>
  <si>
    <t>Bamboo borer</t>
  </si>
  <si>
    <t>Chinese oak silkmoth</t>
  </si>
  <si>
    <t>Cabbage white</t>
  </si>
  <si>
    <t>Common octopus</t>
  </si>
  <si>
    <t>African cotton leafworm</t>
  </si>
  <si>
    <t>Smaller tea tortrix</t>
  </si>
  <si>
    <t>Manila clam</t>
  </si>
  <si>
    <t>Blood clam</t>
  </si>
  <si>
    <t>Sea urchins</t>
  </si>
  <si>
    <t>Indianmeal moth</t>
  </si>
  <si>
    <t>Amphioxus</t>
  </si>
  <si>
    <t>Litch fruit borer</t>
  </si>
  <si>
    <t>Grass moths</t>
  </si>
  <si>
    <t>Beet armyworm</t>
  </si>
  <si>
    <t>Oriental weatherfish</t>
  </si>
  <si>
    <t>Gypsy moth</t>
  </si>
  <si>
    <t>Mediterranean corn borer</t>
  </si>
  <si>
    <t>Oriental fruit moth</t>
  </si>
  <si>
    <t>Pycnogonida</t>
  </si>
  <si>
    <t>Sea spiders</t>
  </si>
  <si>
    <t>Magnoliopsida</t>
  </si>
  <si>
    <t>Silver malletwood</t>
  </si>
  <si>
    <t>Anthozoa</t>
  </si>
  <si>
    <t>Starlet sea anemone</t>
  </si>
  <si>
    <t>Rhopaluridae</t>
  </si>
  <si>
    <t>Metazoans</t>
  </si>
  <si>
    <t>Velvet mites</t>
  </si>
  <si>
    <t>American malaria mosquito</t>
  </si>
  <si>
    <t>Citrus red mite</t>
  </si>
  <si>
    <t>Scrub typhus mite</t>
  </si>
  <si>
    <t>Gymnolaemata</t>
  </si>
  <si>
    <t>Bryozoans</t>
  </si>
  <si>
    <t>Atlantic bluefin tuna</t>
  </si>
  <si>
    <t>Soft corals</t>
  </si>
  <si>
    <t>Carmine spider mite</t>
  </si>
  <si>
    <t>Japanese pine sawyer</t>
  </si>
  <si>
    <t>Xenoturbellidae</t>
  </si>
  <si>
    <t>Common burrower mayflies</t>
  </si>
  <si>
    <t>Australian red waratah sea anemone</t>
  </si>
  <si>
    <t>Cauliflower coral</t>
  </si>
  <si>
    <t>Stony corals</t>
  </si>
  <si>
    <t>Dumeril's clam worm</t>
  </si>
  <si>
    <t>Darkling ground beetles</t>
  </si>
  <si>
    <t>Scorpions</t>
  </si>
  <si>
    <t>False killer whale</t>
  </si>
  <si>
    <t>Chilopoda</t>
  </si>
  <si>
    <t>Centipedes</t>
  </si>
  <si>
    <t>Sea cucumbers</t>
  </si>
  <si>
    <t>Staghorn corals</t>
  </si>
  <si>
    <t>Rhynchonellata</t>
  </si>
  <si>
    <t>Pacific beetle cockroach</t>
  </si>
  <si>
    <t>Chinese razor clam</t>
  </si>
  <si>
    <t>Sea anemones</t>
  </si>
  <si>
    <t>Hydrozoa</t>
  </si>
  <si>
    <t>Swiftwater hydra</t>
  </si>
  <si>
    <t>Wuchang bream</t>
  </si>
  <si>
    <t>Thelaziosis nematode</t>
  </si>
  <si>
    <t>Parassi mullet</t>
  </si>
  <si>
    <t>Enopla</t>
  </si>
  <si>
    <t>Ribbon worms</t>
  </si>
  <si>
    <t>Abalones</t>
  </si>
  <si>
    <t>Green crab</t>
  </si>
  <si>
    <t>Blue crab</t>
  </si>
  <si>
    <t>Orange wheat blossom midge</t>
  </si>
  <si>
    <t>American lobster</t>
  </si>
  <si>
    <t>Cubozoa</t>
  </si>
  <si>
    <t>Sea wasps</t>
  </si>
  <si>
    <t>Agent of lymphatic filariasis</t>
  </si>
  <si>
    <t>American rat lungworm</t>
  </si>
  <si>
    <t>Yellow mealworm</t>
  </si>
  <si>
    <t>White-spotted rabbitfish</t>
  </si>
  <si>
    <t>Muscovy duck</t>
  </si>
  <si>
    <t>Tongueless frogs</t>
  </si>
  <si>
    <t>Winter moth</t>
  </si>
  <si>
    <t>Phoronopsis</t>
  </si>
  <si>
    <t>Phoronid worms</t>
  </si>
  <si>
    <t>Dog heartworm nematode</t>
  </si>
  <si>
    <t>Ironclad beetles</t>
  </si>
  <si>
    <t>Roundworm</t>
  </si>
  <si>
    <t>Arrow goby</t>
  </si>
  <si>
    <t>Tiger beetles</t>
  </si>
  <si>
    <t>American mink</t>
  </si>
  <si>
    <t>Ladybird beetles</t>
  </si>
  <si>
    <t>Polyplacophora</t>
  </si>
  <si>
    <t>Chitons</t>
  </si>
  <si>
    <t>Marsh beetles</t>
  </si>
  <si>
    <t>Beetles</t>
  </si>
  <si>
    <t>Russian sturgeon</t>
  </si>
  <si>
    <t>Siberian chipmunk</t>
  </si>
  <si>
    <t>Common limpet</t>
  </si>
  <si>
    <t>Giant mud crab</t>
  </si>
  <si>
    <t>Blister beetles</t>
  </si>
  <si>
    <t>Common quail</t>
  </si>
  <si>
    <t>Eastern newt</t>
  </si>
  <si>
    <t>Lone Star tick</t>
  </si>
  <si>
    <t>Walking catfish</t>
  </si>
  <si>
    <t>Hydrozoans</t>
  </si>
  <si>
    <t>Smallmouth bass</t>
  </si>
  <si>
    <t>Striped dolphin</t>
  </si>
  <si>
    <t>Domain Name</t>
  </si>
  <si>
    <t xml:space="preserve"> NR_LBD_AR</t>
  </si>
  <si>
    <t>2021 11 09 13:32:28</t>
  </si>
  <si>
    <t>Kaka</t>
  </si>
  <si>
    <t>Cockatiel</t>
  </si>
  <si>
    <t>Tungara frog</t>
  </si>
  <si>
    <t>Spined loach</t>
  </si>
  <si>
    <t>False kelpfish</t>
  </si>
  <si>
    <t>Chipping sparrow</t>
  </si>
  <si>
    <t>Rats</t>
  </si>
  <si>
    <t>Cherry salmon</t>
  </si>
  <si>
    <t>Thicklip grey mullet</t>
  </si>
  <si>
    <t>Tammar wallaby</t>
  </si>
  <si>
    <t>Garden lizard</t>
  </si>
  <si>
    <t>Great Basin spotted frog</t>
  </si>
  <si>
    <t>Greater whitethroat</t>
  </si>
  <si>
    <t>Eurasian skylark</t>
  </si>
  <si>
    <t>White sturgeon</t>
  </si>
  <si>
    <t>Italian wall lizard</t>
  </si>
  <si>
    <t>Black tetra</t>
  </si>
  <si>
    <t>African bonytongue</t>
  </si>
  <si>
    <t>Pumpkinseed sunfish</t>
  </si>
  <si>
    <t>Pirapitinga</t>
  </si>
  <si>
    <t>Nurse shark</t>
  </si>
  <si>
    <t>Kloss's gibbon</t>
  </si>
  <si>
    <t>Siberian sturgeon</t>
  </si>
  <si>
    <t>New Zealand longfin eel</t>
  </si>
  <si>
    <t>Shorthorn sculpin</t>
  </si>
  <si>
    <t>Swamp wallaby</t>
  </si>
  <si>
    <t>Creek chub</t>
  </si>
  <si>
    <t>Plains viscacha rat</t>
  </si>
  <si>
    <t>Leopard gecko</t>
  </si>
  <si>
    <t>Pacific hagfish</t>
  </si>
  <si>
    <t>Amami-oshima island spiny rat</t>
  </si>
  <si>
    <t>Yellow-necked field mouse</t>
  </si>
  <si>
    <t>Tarek</t>
  </si>
  <si>
    <t>Eastern mosquitofish</t>
  </si>
  <si>
    <t>Bluehead</t>
  </si>
  <si>
    <t>Job Name</t>
  </si>
  <si>
    <t>Similar Susceptibility as Template</t>
  </si>
  <si>
    <t>Position 1</t>
  </si>
  <si>
    <t>Amino Acid 1</t>
  </si>
  <si>
    <t>Total Match 1</t>
  </si>
  <si>
    <t>Position 2</t>
  </si>
  <si>
    <t>Amino Acid 2</t>
  </si>
  <si>
    <t>Total Match 2</t>
  </si>
  <si>
    <t>Position 3</t>
  </si>
  <si>
    <t>Amino Acid 3</t>
  </si>
  <si>
    <t>Total Match 3</t>
  </si>
  <si>
    <t>Position 4</t>
  </si>
  <si>
    <t>Amino Acid 4</t>
  </si>
  <si>
    <t>Total Match 4</t>
  </si>
  <si>
    <t>2021 11 09 14:03:38</t>
  </si>
  <si>
    <t>Q</t>
  </si>
  <si>
    <t>R</t>
  </si>
  <si>
    <t>T</t>
  </si>
  <si>
    <t>H</t>
  </si>
  <si>
    <t>-</t>
  </si>
  <si>
    <t>A</t>
  </si>
  <si>
    <t>Franciscana</t>
  </si>
  <si>
    <t>2021 11 09 14:07:18</t>
  </si>
  <si>
    <t>2021 11 09 14:05:22</t>
  </si>
  <si>
    <t>2021 11 09 14:04:18</t>
  </si>
  <si>
    <t>2021 11 09 14:14:41</t>
  </si>
  <si>
    <t>G</t>
  </si>
  <si>
    <t>2021 11 09 14:06:09</t>
  </si>
  <si>
    <t>2021 11 09 14:23:54</t>
  </si>
  <si>
    <t>2021 11 09 14:28:29</t>
  </si>
  <si>
    <t>2021 11 09 14:28:50</t>
  </si>
  <si>
    <t>2021 11 09 14:29:59</t>
  </si>
  <si>
    <t>S</t>
  </si>
  <si>
    <t>2021 11 09 14:42:22</t>
  </si>
  <si>
    <t>Direct Match 1</t>
  </si>
  <si>
    <t>Side Chain 1</t>
  </si>
  <si>
    <t>Side Chain Match 1</t>
  </si>
  <si>
    <t>MW 1</t>
  </si>
  <si>
    <t>MW Match 1</t>
  </si>
  <si>
    <t>Direct Match 2</t>
  </si>
  <si>
    <t>Side Chain 2</t>
  </si>
  <si>
    <t>Side Chain Match 2</t>
  </si>
  <si>
    <t>MW 2</t>
  </si>
  <si>
    <t>MW Match 2</t>
  </si>
  <si>
    <t>Direct Match 3</t>
  </si>
  <si>
    <t>Side Chain 3</t>
  </si>
  <si>
    <t>Side Chain Match 3</t>
  </si>
  <si>
    <t>MW 3</t>
  </si>
  <si>
    <t>MW Match 3</t>
  </si>
  <si>
    <t>Direct Match 4</t>
  </si>
  <si>
    <t>Side Chain 4</t>
  </si>
  <si>
    <t>Side Chain Match 4</t>
  </si>
  <si>
    <t>MW 4</t>
  </si>
  <si>
    <t>MW Match 4</t>
  </si>
  <si>
    <t>Amidic</t>
  </si>
  <si>
    <t>Basic</t>
  </si>
  <si>
    <t>Hydroxylic</t>
  </si>
  <si>
    <t>Aliphatic</t>
  </si>
  <si>
    <t>Number of Species</t>
  </si>
  <si>
    <t>Mean Percent Similarity</t>
  </si>
  <si>
    <t>Median Percent Similarity</t>
  </si>
  <si>
    <t>Majority Similar Susceptibility as Template</t>
  </si>
  <si>
    <t>Number Y</t>
  </si>
  <si>
    <t>Number N</t>
  </si>
  <si>
    <t>Position 1 AminoAcid(s)</t>
  </si>
  <si>
    <t>Position 2 AminoAcid(s)</t>
  </si>
  <si>
    <t>Position 3 AminoAcid(s)</t>
  </si>
  <si>
    <t>Position 4 AminoAcid(s)</t>
  </si>
  <si>
    <t>-, N</t>
  </si>
  <si>
    <t>-, H, Q</t>
  </si>
  <si>
    <t>-, A, R</t>
  </si>
  <si>
    <t>-, T</t>
  </si>
  <si>
    <t>-, Q</t>
  </si>
  <si>
    <t>-, G, R</t>
  </si>
  <si>
    <t>H, Q</t>
  </si>
  <si>
    <t>-, A, T</t>
  </si>
  <si>
    <t>S, T</t>
  </si>
  <si>
    <t>-, F, I, L, M, V</t>
  </si>
  <si>
    <t>I, V</t>
  </si>
  <si>
    <t>F, I, L, M, T, V</t>
  </si>
  <si>
    <t>I, T, V</t>
  </si>
  <si>
    <t>V</t>
  </si>
  <si>
    <t>F</t>
  </si>
  <si>
    <t>2021 12 28 14:27:22</t>
  </si>
  <si>
    <t>L</t>
  </si>
  <si>
    <t>I</t>
  </si>
  <si>
    <t>M</t>
  </si>
  <si>
    <t>2021 12 28 14:28:16</t>
  </si>
  <si>
    <t>2021 12 28 14:32:56</t>
  </si>
  <si>
    <t>2021 12 28 14:33:23</t>
  </si>
  <si>
    <t>2021 12 28 14:34:19</t>
  </si>
  <si>
    <t>2021 12 28 14:35:27</t>
  </si>
  <si>
    <t>2021 12 28 14:38:40</t>
  </si>
  <si>
    <t>2021 12 28 14:39:21</t>
  </si>
  <si>
    <t>2021 12 28 14:40:14</t>
  </si>
  <si>
    <t>2021 12 28 14:41:41</t>
  </si>
  <si>
    <t>Aromatic</t>
  </si>
  <si>
    <t>Sulfur-Containing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</si>
</sst>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7D45B-8AC9-48EF-B269-D776210E560A}">
  <dimension ref="A1:R1113"/>
  <sheetViews>
    <sheetView workbookViewId="0">
      <selection activeCell="F11" sqref="F11"/>
    </sheetView>
  </sheetViews>
  <sheetFormatPr defaultRowHeight="15" x14ac:dyDescent="0.25"/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>
        <v>6</v>
      </c>
      <c r="B2" s="1" t="str">
        <f>HYPERLINK("http://www.ncbi.nlm.nih.gov/protein/NP_001434.1","NP_001434.1")</f>
        <v>NP_001434.1</v>
      </c>
      <c r="C2">
        <v>2603582</v>
      </c>
      <c r="D2" t="str">
        <f>HYPERLINK("http://www.ncbi.nlm.nih.gov/Taxonomy/Browser/wwwtax.cgi?mode=Info&amp;id=9606&amp;lvl=3&amp;lin=f&amp;keep=1&amp;srchmode=1&amp;unlock","9606")</f>
        <v>9606</v>
      </c>
      <c r="E2" t="s">
        <v>18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HYPERLINK("http://www.ncbi.nlm.nih.gov/protein/NP_001434.1","fatty acid-binding protein, liver")</f>
        <v>fatty acid-binding protein, liver</v>
      </c>
      <c r="J2">
        <v>252.29</v>
      </c>
      <c r="K2" t="s">
        <v>20</v>
      </c>
      <c r="L2">
        <v>139</v>
      </c>
      <c r="M2">
        <v>50.68</v>
      </c>
      <c r="N2">
        <v>100</v>
      </c>
      <c r="O2" t="s">
        <v>20</v>
      </c>
      <c r="P2" t="s">
        <v>21</v>
      </c>
      <c r="Q2" t="s">
        <v>20</v>
      </c>
      <c r="R2" t="str">
        <f>HYPERLINK("https://cfpub.epa.gov/ecotox/explore.cfm?ncbi=9606","Explore in ECOTOX")</f>
        <v>Explore in ECOTOX</v>
      </c>
    </row>
    <row r="3" spans="1:18" x14ac:dyDescent="0.25">
      <c r="A3">
        <v>6</v>
      </c>
      <c r="B3" t="str">
        <f>HYPERLINK("http://www.ncbi.nlm.nih.gov/protein/XP_001140263.1","XP_001140263.1")</f>
        <v>XP_001140263.1</v>
      </c>
      <c r="C3">
        <v>171683</v>
      </c>
      <c r="D3" t="str">
        <f>HYPERLINK("http://www.ncbi.nlm.nih.gov/Taxonomy/Browser/wwwtax.cgi?mode=Info&amp;id=9598&amp;lvl=3&amp;lin=f&amp;keep=1&amp;srchmode=1&amp;unlock","9598")</f>
        <v>9598</v>
      </c>
      <c r="E3" t="s">
        <v>18</v>
      </c>
      <c r="F3" t="s">
        <v>18</v>
      </c>
      <c r="G3" t="str">
        <f>HYPERLINK("http://www.ncbi.nlm.nih.gov/Taxonomy/Browser/wwwtax.cgi?mode=Info&amp;id=9598&amp;lvl=3&amp;lin=f&amp;keep=1&amp;srchmode=1&amp;unlock","Pan troglodytes")</f>
        <v>Pan troglodytes</v>
      </c>
      <c r="H3" t="s">
        <v>22</v>
      </c>
      <c r="I3" t="str">
        <f>HYPERLINK("http://www.ncbi.nlm.nih.gov/protein/XP_001140263.1","fatty acid-binding protein, liver")</f>
        <v>fatty acid-binding protein, liver</v>
      </c>
      <c r="J3">
        <v>252.29</v>
      </c>
      <c r="K3" t="s">
        <v>20</v>
      </c>
      <c r="L3">
        <v>139</v>
      </c>
      <c r="M3">
        <v>50.68</v>
      </c>
      <c r="N3">
        <v>100</v>
      </c>
      <c r="O3" t="s">
        <v>20</v>
      </c>
      <c r="P3" t="s">
        <v>21</v>
      </c>
      <c r="Q3" t="s">
        <v>20</v>
      </c>
      <c r="R3" t="str">
        <f>HYPERLINK("https://cfpub.epa.gov/ecotox/explore.cfm?ncbi=9598","Explore in ECOTOX")</f>
        <v>Explore in ECOTOX</v>
      </c>
    </row>
    <row r="4" spans="1:18" x14ac:dyDescent="0.25">
      <c r="A4">
        <v>6</v>
      </c>
      <c r="B4" t="str">
        <f>HYPERLINK("http://www.ncbi.nlm.nih.gov/protein/XP_003805902.1","XP_003805902.1")</f>
        <v>XP_003805902.1</v>
      </c>
      <c r="C4">
        <v>71982</v>
      </c>
      <c r="D4" t="str">
        <f>HYPERLINK("http://www.ncbi.nlm.nih.gov/Taxonomy/Browser/wwwtax.cgi?mode=Info&amp;id=9597&amp;lvl=3&amp;lin=f&amp;keep=1&amp;srchmode=1&amp;unlock","9597")</f>
        <v>9597</v>
      </c>
      <c r="E4" t="s">
        <v>18</v>
      </c>
      <c r="F4" t="s">
        <v>18</v>
      </c>
      <c r="G4" t="str">
        <f>HYPERLINK("http://www.ncbi.nlm.nih.gov/Taxonomy/Browser/wwwtax.cgi?mode=Info&amp;id=9597&amp;lvl=3&amp;lin=f&amp;keep=1&amp;srchmode=1&amp;unlock","Pan paniscus")</f>
        <v>Pan paniscus</v>
      </c>
      <c r="H4" t="s">
        <v>23</v>
      </c>
      <c r="I4" t="str">
        <f>HYPERLINK("http://www.ncbi.nlm.nih.gov/protein/XP_003805902.1","fatty acid-binding protein, liver isoform X1")</f>
        <v>fatty acid-binding protein, liver isoform X1</v>
      </c>
      <c r="J4">
        <v>252.29</v>
      </c>
      <c r="K4" t="s">
        <v>20</v>
      </c>
      <c r="L4">
        <v>139</v>
      </c>
      <c r="M4">
        <v>50.68</v>
      </c>
      <c r="N4">
        <v>100</v>
      </c>
      <c r="O4" t="s">
        <v>20</v>
      </c>
      <c r="P4" t="s">
        <v>21</v>
      </c>
      <c r="Q4" t="s">
        <v>20</v>
      </c>
      <c r="R4" t="str">
        <f>HYPERLINK("https://cfpub.epa.gov/ecotox/explore.cfm?ncbi=9597","Explore in ECOTOX")</f>
        <v>Explore in ECOTOX</v>
      </c>
    </row>
    <row r="5" spans="1:18" x14ac:dyDescent="0.25">
      <c r="A5">
        <v>6</v>
      </c>
      <c r="B5" t="str">
        <f>HYPERLINK("http://www.ncbi.nlm.nih.gov/protein/XP_004029642.1","XP_004029642.1")</f>
        <v>XP_004029642.1</v>
      </c>
      <c r="C5">
        <v>52137</v>
      </c>
      <c r="D5" t="str">
        <f>HYPERLINK("http://www.ncbi.nlm.nih.gov/Taxonomy/Browser/wwwtax.cgi?mode=Info&amp;id=9595&amp;lvl=3&amp;lin=f&amp;keep=1&amp;srchmode=1&amp;unlock","9595")</f>
        <v>9595</v>
      </c>
      <c r="E5" t="s">
        <v>18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HYPERLINK("http://www.ncbi.nlm.nih.gov/protein/XP_004029642.1","fatty acid-binding protein, liver")</f>
        <v>fatty acid-binding protein, liver</v>
      </c>
      <c r="J5">
        <v>250.75</v>
      </c>
      <c r="K5" t="s">
        <v>25</v>
      </c>
      <c r="L5">
        <v>139</v>
      </c>
      <c r="M5">
        <v>50.68</v>
      </c>
      <c r="N5">
        <v>99.39</v>
      </c>
      <c r="O5" t="s">
        <v>20</v>
      </c>
      <c r="P5" t="s">
        <v>21</v>
      </c>
      <c r="Q5" t="s">
        <v>20</v>
      </c>
      <c r="R5" t="str">
        <f>HYPERLINK("https://cfpub.epa.gov/ecotox/explore.cfm?ncbi=9595","Explore in ECOTOX")</f>
        <v>Explore in ECOTOX</v>
      </c>
    </row>
    <row r="6" spans="1:18" x14ac:dyDescent="0.25">
      <c r="A6">
        <v>6</v>
      </c>
      <c r="B6" t="str">
        <f>HYPERLINK("http://www.ncbi.nlm.nih.gov/protein/XP_032033286.1","XP_032033286.1")</f>
        <v>XP_032033286.1</v>
      </c>
      <c r="C6">
        <v>54538</v>
      </c>
      <c r="D6" t="str">
        <f>HYPERLINK("http://www.ncbi.nlm.nih.gov/Taxonomy/Browser/wwwtax.cgi?mode=Info&amp;id=81572&amp;lvl=3&amp;lin=f&amp;keep=1&amp;srchmode=1&amp;unlock","81572")</f>
        <v>81572</v>
      </c>
      <c r="E6" t="s">
        <v>18</v>
      </c>
      <c r="F6" t="s">
        <v>18</v>
      </c>
      <c r="G6" t="str">
        <f>HYPERLINK("http://www.ncbi.nlm.nih.gov/Taxonomy/Browser/wwwtax.cgi?mode=Info&amp;id=81572&amp;lvl=3&amp;lin=f&amp;keep=1&amp;srchmode=1&amp;unlock","Hylobates moloch")</f>
        <v>Hylobates moloch</v>
      </c>
      <c r="H6" t="s">
        <v>26</v>
      </c>
      <c r="I6" t="str">
        <f>HYPERLINK("http://www.ncbi.nlm.nih.gov/protein/XP_032033286.1","fatty acid-binding protein, liver")</f>
        <v>fatty acid-binding protein, liver</v>
      </c>
      <c r="J6">
        <v>248.82</v>
      </c>
      <c r="K6" t="s">
        <v>25</v>
      </c>
      <c r="L6">
        <v>139</v>
      </c>
      <c r="M6">
        <v>50.68</v>
      </c>
      <c r="N6">
        <v>98.63</v>
      </c>
      <c r="O6" t="s">
        <v>20</v>
      </c>
      <c r="P6" t="s">
        <v>21</v>
      </c>
      <c r="Q6" t="s">
        <v>20</v>
      </c>
      <c r="R6" t="str">
        <f>HYPERLINK("https://cfpub.epa.gov/ecotox/explore.cfm?ncbi=81572","Explore in ECOTOX")</f>
        <v>Explore in ECOTOX</v>
      </c>
    </row>
    <row r="7" spans="1:18" x14ac:dyDescent="0.25">
      <c r="A7">
        <v>6</v>
      </c>
      <c r="B7" t="str">
        <f>HYPERLINK("http://www.ncbi.nlm.nih.gov/protein/XP_003268834.1","XP_003268834.1")</f>
        <v>XP_003268834.1</v>
      </c>
      <c r="C7">
        <v>51657</v>
      </c>
      <c r="D7" t="str">
        <f>HYPERLINK("http://www.ncbi.nlm.nih.gov/Taxonomy/Browser/wwwtax.cgi?mode=Info&amp;id=61853&amp;lvl=3&amp;lin=f&amp;keep=1&amp;srchmode=1&amp;unlock","61853")</f>
        <v>61853</v>
      </c>
      <c r="E7" t="s">
        <v>18</v>
      </c>
      <c r="F7" t="s">
        <v>18</v>
      </c>
      <c r="G7" t="str">
        <f>HYPERLINK("http://www.ncbi.nlm.nih.gov/Taxonomy/Browser/wwwtax.cgi?mode=Info&amp;id=61853&amp;lvl=3&amp;lin=f&amp;keep=1&amp;srchmode=1&amp;unlock","Nomascus leucogenys")</f>
        <v>Nomascus leucogenys</v>
      </c>
      <c r="H7" t="s">
        <v>27</v>
      </c>
      <c r="I7" t="str">
        <f>HYPERLINK("http://www.ncbi.nlm.nih.gov/protein/XP_003268834.1","fatty acid-binding protein, liver")</f>
        <v>fatty acid-binding protein, liver</v>
      </c>
      <c r="J7">
        <v>248.82</v>
      </c>
      <c r="K7" t="s">
        <v>25</v>
      </c>
      <c r="L7">
        <v>139</v>
      </c>
      <c r="M7">
        <v>50.68</v>
      </c>
      <c r="N7">
        <v>98.63</v>
      </c>
      <c r="O7" t="s">
        <v>20</v>
      </c>
      <c r="P7" t="s">
        <v>21</v>
      </c>
      <c r="Q7" t="s">
        <v>20</v>
      </c>
      <c r="R7" t="str">
        <f>HYPERLINK("https://cfpub.epa.gov/ecotox/explore.cfm?ncbi=61853","Explore in ECOTOX")</f>
        <v>Explore in ECOTOX</v>
      </c>
    </row>
    <row r="8" spans="1:18" x14ac:dyDescent="0.25">
      <c r="A8">
        <v>6</v>
      </c>
      <c r="B8" t="str">
        <f>HYPERLINK("http://www.ncbi.nlm.nih.gov/protein/NP_001125017.1","NP_001125017.1")</f>
        <v>NP_001125017.1</v>
      </c>
      <c r="C8">
        <v>141069</v>
      </c>
      <c r="D8" t="str">
        <f>HYPERLINK("http://www.ncbi.nlm.nih.gov/Taxonomy/Browser/wwwtax.cgi?mode=Info&amp;id=9601&amp;lvl=3&amp;lin=f&amp;keep=1&amp;srchmode=1&amp;unlock","9601")</f>
        <v>9601</v>
      </c>
      <c r="E8" t="s">
        <v>18</v>
      </c>
      <c r="F8" t="s">
        <v>18</v>
      </c>
      <c r="G8" t="str">
        <f>HYPERLINK("http://www.ncbi.nlm.nih.gov/Taxonomy/Browser/wwwtax.cgi?mode=Info&amp;id=9601&amp;lvl=3&amp;lin=f&amp;keep=1&amp;srchmode=1&amp;unlock","Pongo abelii")</f>
        <v>Pongo abelii</v>
      </c>
      <c r="H8" t="s">
        <v>28</v>
      </c>
      <c r="I8" t="str">
        <f>HYPERLINK("http://www.ncbi.nlm.nih.gov/protein/NP_001125017.1","fatty acid-binding protein, liver")</f>
        <v>fatty acid-binding protein, liver</v>
      </c>
      <c r="J8">
        <v>246.51</v>
      </c>
      <c r="K8" t="s">
        <v>20</v>
      </c>
      <c r="L8">
        <v>139</v>
      </c>
      <c r="M8">
        <v>50.68</v>
      </c>
      <c r="N8">
        <v>97.71</v>
      </c>
      <c r="O8" t="s">
        <v>20</v>
      </c>
      <c r="P8" t="s">
        <v>21</v>
      </c>
      <c r="Q8" t="s">
        <v>20</v>
      </c>
      <c r="R8" t="str">
        <f>HYPERLINK("https://cfpub.epa.gov/ecotox/explore.cfm?ncbi=9601","Explore in ECOTOX")</f>
        <v>Explore in ECOTOX</v>
      </c>
    </row>
    <row r="9" spans="1:18" x14ac:dyDescent="0.25">
      <c r="A9">
        <v>6</v>
      </c>
      <c r="B9" t="str">
        <f>HYPERLINK("http://www.ncbi.nlm.nih.gov/protein/XP_014968302.1","XP_014968302.1")</f>
        <v>XP_014968302.1</v>
      </c>
      <c r="C9">
        <v>177851</v>
      </c>
      <c r="D9" t="str">
        <f>HYPERLINK("http://www.ncbi.nlm.nih.gov/Taxonomy/Browser/wwwtax.cgi?mode=Info&amp;id=9544&amp;lvl=3&amp;lin=f&amp;keep=1&amp;srchmode=1&amp;unlock","9544")</f>
        <v>9544</v>
      </c>
      <c r="E9" t="s">
        <v>18</v>
      </c>
      <c r="F9" t="s">
        <v>18</v>
      </c>
      <c r="G9" t="str">
        <f>HYPERLINK("http://www.ncbi.nlm.nih.gov/Taxonomy/Browser/wwwtax.cgi?mode=Info&amp;id=9544&amp;lvl=3&amp;lin=f&amp;keep=1&amp;srchmode=1&amp;unlock","Macaca mulatta")</f>
        <v>Macaca mulatta</v>
      </c>
      <c r="H9" t="s">
        <v>29</v>
      </c>
      <c r="I9" t="str">
        <f>HYPERLINK("http://www.ncbi.nlm.nih.gov/protein/XP_014968302.1","fatty acid-binding protein, liver")</f>
        <v>fatty acid-binding protein, liver</v>
      </c>
      <c r="J9">
        <v>242.28</v>
      </c>
      <c r="K9" t="s">
        <v>20</v>
      </c>
      <c r="L9">
        <v>139</v>
      </c>
      <c r="M9">
        <v>50.68</v>
      </c>
      <c r="N9">
        <v>96.03</v>
      </c>
      <c r="O9" t="s">
        <v>20</v>
      </c>
      <c r="P9" t="s">
        <v>21</v>
      </c>
      <c r="Q9" t="s">
        <v>20</v>
      </c>
      <c r="R9" t="str">
        <f>HYPERLINK("https://cfpub.epa.gov/ecotox/explore.cfm?ncbi=9544","Explore in ECOTOX")</f>
        <v>Explore in ECOTOX</v>
      </c>
    </row>
    <row r="10" spans="1:18" x14ac:dyDescent="0.25">
      <c r="A10">
        <v>6</v>
      </c>
      <c r="B10" t="str">
        <f>HYPERLINK("http://www.ncbi.nlm.nih.gov/protein/XP_011764356.1","XP_011764356.1")</f>
        <v>XP_011764356.1</v>
      </c>
      <c r="C10">
        <v>68712</v>
      </c>
      <c r="D10" t="str">
        <f>HYPERLINK("http://www.ncbi.nlm.nih.gov/Taxonomy/Browser/wwwtax.cgi?mode=Info&amp;id=9545&amp;lvl=3&amp;lin=f&amp;keep=1&amp;srchmode=1&amp;unlock","9545")</f>
        <v>9545</v>
      </c>
      <c r="E10" t="s">
        <v>18</v>
      </c>
      <c r="F10" t="s">
        <v>18</v>
      </c>
      <c r="G10" t="str">
        <f>HYPERLINK("http://www.ncbi.nlm.nih.gov/Taxonomy/Browser/wwwtax.cgi?mode=Info&amp;id=9545&amp;lvl=3&amp;lin=f&amp;keep=1&amp;srchmode=1&amp;unlock","Macaca nemestrina")</f>
        <v>Macaca nemestrina</v>
      </c>
      <c r="H10" t="s">
        <v>30</v>
      </c>
      <c r="I10" t="str">
        <f>HYPERLINK("http://www.ncbi.nlm.nih.gov/protein/XP_011764356.1","fatty acid-binding protein, liver")</f>
        <v>fatty acid-binding protein, liver</v>
      </c>
      <c r="J10">
        <v>242.28</v>
      </c>
      <c r="K10" t="s">
        <v>20</v>
      </c>
      <c r="L10">
        <v>139</v>
      </c>
      <c r="M10">
        <v>50.68</v>
      </c>
      <c r="N10">
        <v>96.03</v>
      </c>
      <c r="O10" t="s">
        <v>20</v>
      </c>
      <c r="P10" t="s">
        <v>21</v>
      </c>
      <c r="Q10" t="s">
        <v>20</v>
      </c>
      <c r="R10" t="str">
        <f>HYPERLINK("https://cfpub.epa.gov/ecotox/explore.cfm?ncbi=9545","Explore in ECOTOX")</f>
        <v>Explore in ECOTOX</v>
      </c>
    </row>
    <row r="11" spans="1:18" x14ac:dyDescent="0.25">
      <c r="A11">
        <v>6</v>
      </c>
      <c r="B11" t="str">
        <f>HYPERLINK("http://www.ncbi.nlm.nih.gov/protein/XP_005575408.1","XP_005575408.1")</f>
        <v>XP_005575408.1</v>
      </c>
      <c r="C11">
        <v>98680</v>
      </c>
      <c r="D11" t="str">
        <f>HYPERLINK("http://www.ncbi.nlm.nih.gov/Taxonomy/Browser/wwwtax.cgi?mode=Info&amp;id=9541&amp;lvl=3&amp;lin=f&amp;keep=1&amp;srchmode=1&amp;unlock","9541")</f>
        <v>9541</v>
      </c>
      <c r="E11" t="s">
        <v>18</v>
      </c>
      <c r="F11" t="s">
        <v>18</v>
      </c>
      <c r="G11" t="str">
        <f>HYPERLINK("http://www.ncbi.nlm.nih.gov/Taxonomy/Browser/wwwtax.cgi?mode=Info&amp;id=9541&amp;lvl=3&amp;lin=f&amp;keep=1&amp;srchmode=1&amp;unlock","Macaca fascicularis")</f>
        <v>Macaca fascicularis</v>
      </c>
      <c r="H11" t="s">
        <v>31</v>
      </c>
      <c r="I11" t="str">
        <f>HYPERLINK("http://www.ncbi.nlm.nih.gov/protein/XP_005575408.1","PREDICTED: fatty acid-binding protein, liver")</f>
        <v>PREDICTED: fatty acid-binding protein, liver</v>
      </c>
      <c r="J11">
        <v>242.28</v>
      </c>
      <c r="K11" t="s">
        <v>20</v>
      </c>
      <c r="L11">
        <v>139</v>
      </c>
      <c r="M11">
        <v>50.68</v>
      </c>
      <c r="N11">
        <v>96.03</v>
      </c>
      <c r="O11" t="s">
        <v>20</v>
      </c>
      <c r="P11" t="s">
        <v>21</v>
      </c>
      <c r="Q11" t="s">
        <v>20</v>
      </c>
      <c r="R11" t="str">
        <f>HYPERLINK("https://cfpub.epa.gov/ecotox/explore.cfm?ncbi=9541","Explore in ECOTOX")</f>
        <v>Explore in ECOTOX</v>
      </c>
    </row>
    <row r="12" spans="1:18" x14ac:dyDescent="0.25">
      <c r="A12">
        <v>6</v>
      </c>
      <c r="B12" t="str">
        <f>HYPERLINK("http://www.ncbi.nlm.nih.gov/protein/XP_011808498.1","XP_011808498.1")</f>
        <v>XP_011808498.1</v>
      </c>
      <c r="C12">
        <v>38676</v>
      </c>
      <c r="D12" t="str">
        <f>HYPERLINK("http://www.ncbi.nlm.nih.gov/Taxonomy/Browser/wwwtax.cgi?mode=Info&amp;id=336983&amp;lvl=3&amp;lin=f&amp;keep=1&amp;srchmode=1&amp;unlock","336983")</f>
        <v>336983</v>
      </c>
      <c r="E12" t="s">
        <v>18</v>
      </c>
      <c r="F12" t="s">
        <v>18</v>
      </c>
      <c r="G12" t="str">
        <f>HYPERLINK("http://www.ncbi.nlm.nih.gov/Taxonomy/Browser/wwwtax.cgi?mode=Info&amp;id=336983&amp;lvl=3&amp;lin=f&amp;keep=1&amp;srchmode=1&amp;unlock","Colobus angolensis palliatus")</f>
        <v>Colobus angolensis palliatus</v>
      </c>
      <c r="H12" t="s">
        <v>32</v>
      </c>
      <c r="I12" t="str">
        <f>HYPERLINK("http://www.ncbi.nlm.nih.gov/protein/XP_011808498.1","PREDICTED: fatty acid-binding protein, liver")</f>
        <v>PREDICTED: fatty acid-binding protein, liver</v>
      </c>
      <c r="J12">
        <v>240.74</v>
      </c>
      <c r="K12" t="s">
        <v>20</v>
      </c>
      <c r="L12">
        <v>139</v>
      </c>
      <c r="M12">
        <v>50.68</v>
      </c>
      <c r="N12">
        <v>95.42</v>
      </c>
      <c r="O12" t="s">
        <v>20</v>
      </c>
      <c r="P12" t="s">
        <v>21</v>
      </c>
      <c r="Q12" t="s">
        <v>20</v>
      </c>
      <c r="R12" t="str">
        <f>HYPERLINK("https://cfpub.epa.gov/ecotox/explore.cfm?ncbi=336983","Explore in ECOTOX")</f>
        <v>Explore in ECOTOX</v>
      </c>
    </row>
    <row r="13" spans="1:18" x14ac:dyDescent="0.25">
      <c r="A13">
        <v>6</v>
      </c>
      <c r="B13" t="str">
        <f>HYPERLINK("http://www.ncbi.nlm.nih.gov/protein/XP_023050665.1","XP_023050665.1")</f>
        <v>XP_023050665.1</v>
      </c>
      <c r="C13">
        <v>55467</v>
      </c>
      <c r="D13" t="str">
        <f>HYPERLINK("http://www.ncbi.nlm.nih.gov/Taxonomy/Browser/wwwtax.cgi?mode=Info&amp;id=591936&amp;lvl=3&amp;lin=f&amp;keep=1&amp;srchmode=1&amp;unlock","591936")</f>
        <v>591936</v>
      </c>
      <c r="E13" t="s">
        <v>18</v>
      </c>
      <c r="F13" t="s">
        <v>18</v>
      </c>
      <c r="G13" t="str">
        <f>HYPERLINK("http://www.ncbi.nlm.nih.gov/Taxonomy/Browser/wwwtax.cgi?mode=Info&amp;id=591936&amp;lvl=3&amp;lin=f&amp;keep=1&amp;srchmode=1&amp;unlock","Piliocolobus tephrosceles")</f>
        <v>Piliocolobus tephrosceles</v>
      </c>
      <c r="H13" t="s">
        <v>33</v>
      </c>
      <c r="I13" t="str">
        <f>HYPERLINK("http://www.ncbi.nlm.nih.gov/protein/XP_023050665.1","fatty acid-binding protein, liver")</f>
        <v>fatty acid-binding protein, liver</v>
      </c>
      <c r="J13">
        <v>240.74</v>
      </c>
      <c r="K13" t="s">
        <v>20</v>
      </c>
      <c r="L13">
        <v>139</v>
      </c>
      <c r="M13">
        <v>50.68</v>
      </c>
      <c r="N13">
        <v>95.42</v>
      </c>
      <c r="O13" t="s">
        <v>20</v>
      </c>
      <c r="P13" t="s">
        <v>21</v>
      </c>
      <c r="Q13" t="s">
        <v>20</v>
      </c>
      <c r="R13" t="str">
        <f>HYPERLINK("https://cfpub.epa.gov/ecotox/explore.cfm?ncbi=591936","Explore in ECOTOX")</f>
        <v>Explore in ECOTOX</v>
      </c>
    </row>
    <row r="14" spans="1:18" x14ac:dyDescent="0.25">
      <c r="A14">
        <v>6</v>
      </c>
      <c r="B14" t="str">
        <f>HYPERLINK("http://www.ncbi.nlm.nih.gov/protein/XP_017713075.1","XP_017713075.1")</f>
        <v>XP_017713075.1</v>
      </c>
      <c r="C14">
        <v>49685</v>
      </c>
      <c r="D14" t="str">
        <f>HYPERLINK("http://www.ncbi.nlm.nih.gov/Taxonomy/Browser/wwwtax.cgi?mode=Info&amp;id=61621&amp;lvl=3&amp;lin=f&amp;keep=1&amp;srchmode=1&amp;unlock","61621")</f>
        <v>61621</v>
      </c>
      <c r="E14" t="s">
        <v>18</v>
      </c>
      <c r="F14" t="s">
        <v>18</v>
      </c>
      <c r="G14" t="str">
        <f>HYPERLINK("http://www.ncbi.nlm.nih.gov/Taxonomy/Browser/wwwtax.cgi?mode=Info&amp;id=61621&amp;lvl=3&amp;lin=f&amp;keep=1&amp;srchmode=1&amp;unlock","Rhinopithecus bieti")</f>
        <v>Rhinopithecus bieti</v>
      </c>
      <c r="H14" t="s">
        <v>34</v>
      </c>
      <c r="I14" t="str">
        <f>HYPERLINK("http://www.ncbi.nlm.nih.gov/protein/XP_017713075.1","PREDICTED: fatty acid-binding protein, liver")</f>
        <v>PREDICTED: fatty acid-binding protein, liver</v>
      </c>
      <c r="J14">
        <v>238.42</v>
      </c>
      <c r="K14" t="s">
        <v>20</v>
      </c>
      <c r="L14">
        <v>139</v>
      </c>
      <c r="M14">
        <v>50.68</v>
      </c>
      <c r="N14">
        <v>94.5</v>
      </c>
      <c r="O14" t="s">
        <v>20</v>
      </c>
      <c r="P14" t="s">
        <v>21</v>
      </c>
      <c r="Q14" t="s">
        <v>20</v>
      </c>
      <c r="R14" t="str">
        <f>HYPERLINK("https://cfpub.epa.gov/ecotox/explore.cfm?ncbi=61621","Explore in ECOTOX")</f>
        <v>Explore in ECOTOX</v>
      </c>
    </row>
    <row r="15" spans="1:18" x14ac:dyDescent="0.25">
      <c r="A15">
        <v>6</v>
      </c>
      <c r="B15" t="str">
        <f>HYPERLINK("http://www.ncbi.nlm.nih.gov/protein/XP_033031288.1","XP_033031288.1")</f>
        <v>XP_033031288.1</v>
      </c>
      <c r="C15">
        <v>64510</v>
      </c>
      <c r="D15" t="str">
        <f>HYPERLINK("http://www.ncbi.nlm.nih.gov/Taxonomy/Browser/wwwtax.cgi?mode=Info&amp;id=54180&amp;lvl=3&amp;lin=f&amp;keep=1&amp;srchmode=1&amp;unlock","54180")</f>
        <v>54180</v>
      </c>
      <c r="E15" t="s">
        <v>18</v>
      </c>
      <c r="F15" t="s">
        <v>18</v>
      </c>
      <c r="G15" t="str">
        <f>HYPERLINK("http://www.ncbi.nlm.nih.gov/Taxonomy/Browser/wwwtax.cgi?mode=Info&amp;id=54180&amp;lvl=3&amp;lin=f&amp;keep=1&amp;srchmode=1&amp;unlock","Trachypithecus francoisi")</f>
        <v>Trachypithecus francoisi</v>
      </c>
      <c r="H15" t="s">
        <v>35</v>
      </c>
      <c r="I15" t="str">
        <f>HYPERLINK("http://www.ncbi.nlm.nih.gov/protein/XP_033031288.1","fatty acid-binding protein, liver")</f>
        <v>fatty acid-binding protein, liver</v>
      </c>
      <c r="J15">
        <v>238.42</v>
      </c>
      <c r="K15" t="s">
        <v>20</v>
      </c>
      <c r="L15">
        <v>139</v>
      </c>
      <c r="M15">
        <v>50.68</v>
      </c>
      <c r="N15">
        <v>94.5</v>
      </c>
      <c r="O15" t="s">
        <v>20</v>
      </c>
      <c r="P15" t="s">
        <v>21</v>
      </c>
      <c r="Q15" t="s">
        <v>20</v>
      </c>
      <c r="R15" t="str">
        <f>HYPERLINK("https://cfpub.epa.gov/ecotox/explore.cfm?ncbi=54180","Explore in ECOTOX")</f>
        <v>Explore in ECOTOX</v>
      </c>
    </row>
    <row r="16" spans="1:18" x14ac:dyDescent="0.25">
      <c r="A16">
        <v>6</v>
      </c>
      <c r="B16" t="str">
        <f>HYPERLINK("http://www.ncbi.nlm.nih.gov/protein/XP_010376732.1","XP_010376732.1")</f>
        <v>XP_010376732.1</v>
      </c>
      <c r="C16">
        <v>53902</v>
      </c>
      <c r="D16" t="str">
        <f>HYPERLINK("http://www.ncbi.nlm.nih.gov/Taxonomy/Browser/wwwtax.cgi?mode=Info&amp;id=61622&amp;lvl=3&amp;lin=f&amp;keep=1&amp;srchmode=1&amp;unlock","61622")</f>
        <v>61622</v>
      </c>
      <c r="E16" t="s">
        <v>18</v>
      </c>
      <c r="F16" t="s">
        <v>18</v>
      </c>
      <c r="G16" t="str">
        <f>HYPERLINK("http://www.ncbi.nlm.nih.gov/Taxonomy/Browser/wwwtax.cgi?mode=Info&amp;id=61622&amp;lvl=3&amp;lin=f&amp;keep=1&amp;srchmode=1&amp;unlock","Rhinopithecus roxellana")</f>
        <v>Rhinopithecus roxellana</v>
      </c>
      <c r="H16" t="s">
        <v>36</v>
      </c>
      <c r="I16" t="str">
        <f>HYPERLINK("http://www.ncbi.nlm.nih.gov/protein/XP_010376732.1","fatty acid-binding protein, liver")</f>
        <v>fatty acid-binding protein, liver</v>
      </c>
      <c r="J16">
        <v>238.42</v>
      </c>
      <c r="K16" t="s">
        <v>20</v>
      </c>
      <c r="L16">
        <v>139</v>
      </c>
      <c r="M16">
        <v>50.68</v>
      </c>
      <c r="N16">
        <v>94.5</v>
      </c>
      <c r="O16" t="s">
        <v>20</v>
      </c>
      <c r="P16" t="s">
        <v>21</v>
      </c>
      <c r="Q16" t="s">
        <v>20</v>
      </c>
      <c r="R16" t="str">
        <f>HYPERLINK("https://cfpub.epa.gov/ecotox/explore.cfm?ncbi=61622","Explore in ECOTOX")</f>
        <v>Explore in ECOTOX</v>
      </c>
    </row>
    <row r="17" spans="1:18" x14ac:dyDescent="0.25">
      <c r="A17">
        <v>6</v>
      </c>
      <c r="B17" t="str">
        <f>HYPERLINK("http://www.ncbi.nlm.nih.gov/protein/XP_002922387.1","XP_002922387.1")</f>
        <v>XP_002922387.1</v>
      </c>
      <c r="C17">
        <v>73410</v>
      </c>
      <c r="D17" t="str">
        <f>HYPERLINK("http://www.ncbi.nlm.nih.gov/Taxonomy/Browser/wwwtax.cgi?mode=Info&amp;id=9646&amp;lvl=3&amp;lin=f&amp;keep=1&amp;srchmode=1&amp;unlock","9646")</f>
        <v>9646</v>
      </c>
      <c r="E17" t="s">
        <v>18</v>
      </c>
      <c r="F17" t="s">
        <v>18</v>
      </c>
      <c r="G17" t="str">
        <f>HYPERLINK("http://www.ncbi.nlm.nih.gov/Taxonomy/Browser/wwwtax.cgi?mode=Info&amp;id=9646&amp;lvl=3&amp;lin=f&amp;keep=1&amp;srchmode=1&amp;unlock","Ailuropoda melanoleuca")</f>
        <v>Ailuropoda melanoleuca</v>
      </c>
      <c r="H17" t="s">
        <v>37</v>
      </c>
      <c r="I17" t="str">
        <f>HYPERLINK("http://www.ncbi.nlm.nih.gov/protein/XP_002922387.1","fatty acid-binding protein, liver")</f>
        <v>fatty acid-binding protein, liver</v>
      </c>
      <c r="J17">
        <v>238.04</v>
      </c>
      <c r="K17" t="s">
        <v>25</v>
      </c>
      <c r="L17">
        <v>139</v>
      </c>
      <c r="M17">
        <v>50.68</v>
      </c>
      <c r="N17">
        <v>94.35</v>
      </c>
      <c r="O17" t="s">
        <v>20</v>
      </c>
      <c r="P17" t="s">
        <v>21</v>
      </c>
      <c r="Q17" t="s">
        <v>20</v>
      </c>
      <c r="R17" t="str">
        <f>HYPERLINK("https://cfpub.epa.gov/ecotox/explore.cfm?ncbi=9646","Explore in ECOTOX")</f>
        <v>Explore in ECOTOX</v>
      </c>
    </row>
    <row r="18" spans="1:18" x14ac:dyDescent="0.25">
      <c r="A18">
        <v>6</v>
      </c>
      <c r="B18" t="str">
        <f>HYPERLINK("http://www.ncbi.nlm.nih.gov/protein/XP_003908995.2","XP_003908995.2")</f>
        <v>XP_003908995.2</v>
      </c>
      <c r="C18">
        <v>73528</v>
      </c>
      <c r="D18" t="str">
        <f>HYPERLINK("http://www.ncbi.nlm.nih.gov/Taxonomy/Browser/wwwtax.cgi?mode=Info&amp;id=9555&amp;lvl=3&amp;lin=f&amp;keep=1&amp;srchmode=1&amp;unlock","9555")</f>
        <v>9555</v>
      </c>
      <c r="E18" t="s">
        <v>18</v>
      </c>
      <c r="F18" t="s">
        <v>18</v>
      </c>
      <c r="G18" t="str">
        <f>HYPERLINK("http://www.ncbi.nlm.nih.gov/Taxonomy/Browser/wwwtax.cgi?mode=Info&amp;id=9555&amp;lvl=3&amp;lin=f&amp;keep=1&amp;srchmode=1&amp;unlock","Papio anubis")</f>
        <v>Papio anubis</v>
      </c>
      <c r="H18" t="s">
        <v>38</v>
      </c>
      <c r="I18" t="str">
        <f>HYPERLINK("http://www.ncbi.nlm.nih.gov/protein/XP_003908995.2","fatty acid-binding protein, liver")</f>
        <v>fatty acid-binding protein, liver</v>
      </c>
      <c r="J18">
        <v>237.65</v>
      </c>
      <c r="K18" t="s">
        <v>20</v>
      </c>
      <c r="L18">
        <v>139</v>
      </c>
      <c r="M18">
        <v>50.68</v>
      </c>
      <c r="N18">
        <v>94.2</v>
      </c>
      <c r="O18" t="s">
        <v>20</v>
      </c>
      <c r="P18" t="s">
        <v>21</v>
      </c>
      <c r="Q18" t="s">
        <v>20</v>
      </c>
      <c r="R18" t="str">
        <f>HYPERLINK("https://cfpub.epa.gov/ecotox/explore.cfm?ncbi=9555","Explore in ECOTOX")</f>
        <v>Explore in ECOTOX</v>
      </c>
    </row>
    <row r="19" spans="1:18" x14ac:dyDescent="0.25">
      <c r="A19">
        <v>6</v>
      </c>
      <c r="B19" t="str">
        <f>HYPERLINK("http://www.ncbi.nlm.nih.gov/protein/CAD7676679.1","CAD7676679.1")</f>
        <v>CAD7676679.1</v>
      </c>
      <c r="C19">
        <v>27261</v>
      </c>
      <c r="D19" t="str">
        <f>HYPERLINK("http://www.ncbi.nlm.nih.gov/Taxonomy/Browser/wwwtax.cgi?mode=Info&amp;id=34880&amp;lvl=3&amp;lin=f&amp;keep=1&amp;srchmode=1&amp;unlock","34880")</f>
        <v>34880</v>
      </c>
      <c r="E19" t="s">
        <v>18</v>
      </c>
      <c r="F19" t="s">
        <v>18</v>
      </c>
      <c r="G19" t="str">
        <f>HYPERLINK("http://www.ncbi.nlm.nih.gov/Taxonomy/Browser/wwwtax.cgi?mode=Info&amp;id=34880&amp;lvl=3&amp;lin=f&amp;keep=1&amp;srchmode=1&amp;unlock","Nyctereutes procyonoides")</f>
        <v>Nyctereutes procyonoides</v>
      </c>
      <c r="H19" t="s">
        <v>39</v>
      </c>
      <c r="I19" t="str">
        <f>HYPERLINK("http://www.ncbi.nlm.nih.gov/protein/CAD7676679.1","unnamed protein product")</f>
        <v>unnamed protein product</v>
      </c>
      <c r="J19">
        <v>237.27</v>
      </c>
      <c r="K19" t="s">
        <v>25</v>
      </c>
      <c r="L19">
        <v>139</v>
      </c>
      <c r="M19">
        <v>50.68</v>
      </c>
      <c r="N19">
        <v>94.05</v>
      </c>
      <c r="O19" t="s">
        <v>20</v>
      </c>
      <c r="P19" t="s">
        <v>21</v>
      </c>
      <c r="Q19" t="s">
        <v>20</v>
      </c>
      <c r="R19" t="str">
        <f>HYPERLINK("https://cfpub.epa.gov/ecotox/explore.cfm?ncbi=34880","Explore in ECOTOX")</f>
        <v>Explore in ECOTOX</v>
      </c>
    </row>
    <row r="20" spans="1:18" x14ac:dyDescent="0.25">
      <c r="A20">
        <v>6</v>
      </c>
      <c r="B20" t="str">
        <f>HYPERLINK("http://www.ncbi.nlm.nih.gov/protein/XP_025850451.1","XP_025850451.1")</f>
        <v>XP_025850451.1</v>
      </c>
      <c r="C20">
        <v>38432</v>
      </c>
      <c r="D20" t="str">
        <f>HYPERLINK("http://www.ncbi.nlm.nih.gov/Taxonomy/Browser/wwwtax.cgi?mode=Info&amp;id=9627&amp;lvl=3&amp;lin=f&amp;keep=1&amp;srchmode=1&amp;unlock","9627")</f>
        <v>9627</v>
      </c>
      <c r="E20" t="s">
        <v>18</v>
      </c>
      <c r="F20" t="s">
        <v>18</v>
      </c>
      <c r="G20" t="str">
        <f>HYPERLINK("http://www.ncbi.nlm.nih.gov/Taxonomy/Browser/wwwtax.cgi?mode=Info&amp;id=9627&amp;lvl=3&amp;lin=f&amp;keep=1&amp;srchmode=1&amp;unlock","Vulpes vulpes")</f>
        <v>Vulpes vulpes</v>
      </c>
      <c r="H20" t="s">
        <v>40</v>
      </c>
      <c r="I20" t="str">
        <f>HYPERLINK("http://www.ncbi.nlm.nih.gov/protein/XP_025850451.1","fatty acid-binding protein, liver")</f>
        <v>fatty acid-binding protein, liver</v>
      </c>
      <c r="J20">
        <v>237.27</v>
      </c>
      <c r="K20" t="s">
        <v>25</v>
      </c>
      <c r="L20">
        <v>139</v>
      </c>
      <c r="M20">
        <v>50.68</v>
      </c>
      <c r="N20">
        <v>94.05</v>
      </c>
      <c r="O20" t="s">
        <v>20</v>
      </c>
      <c r="P20" t="s">
        <v>21</v>
      </c>
      <c r="Q20" t="s">
        <v>20</v>
      </c>
      <c r="R20" t="str">
        <f>HYPERLINK("https://cfpub.epa.gov/ecotox/explore.cfm?ncbi=9627","Explore in ECOTOX")</f>
        <v>Explore in ECOTOX</v>
      </c>
    </row>
    <row r="21" spans="1:18" x14ac:dyDescent="0.25">
      <c r="A21">
        <v>6</v>
      </c>
      <c r="B21" t="str">
        <f>HYPERLINK("http://www.ncbi.nlm.nih.gov/protein/XP_025209942.1","XP_025209942.1")</f>
        <v>XP_025209942.1</v>
      </c>
      <c r="C21">
        <v>52581</v>
      </c>
      <c r="D21" t="str">
        <f>HYPERLINK("http://www.ncbi.nlm.nih.gov/Taxonomy/Browser/wwwtax.cgi?mode=Info&amp;id=9565&amp;lvl=3&amp;lin=f&amp;keep=1&amp;srchmode=1&amp;unlock","9565")</f>
        <v>9565</v>
      </c>
      <c r="E21" t="s">
        <v>18</v>
      </c>
      <c r="F21" t="s">
        <v>18</v>
      </c>
      <c r="G21" t="str">
        <f>HYPERLINK("http://www.ncbi.nlm.nih.gov/Taxonomy/Browser/wwwtax.cgi?mode=Info&amp;id=9565&amp;lvl=3&amp;lin=f&amp;keep=1&amp;srchmode=1&amp;unlock","Theropithecus gelada")</f>
        <v>Theropithecus gelada</v>
      </c>
      <c r="H21" t="s">
        <v>41</v>
      </c>
      <c r="I21" t="str">
        <f>HYPERLINK("http://www.ncbi.nlm.nih.gov/protein/XP_025209942.1","fatty acid-binding protein, liver")</f>
        <v>fatty acid-binding protein, liver</v>
      </c>
      <c r="J21">
        <v>236.88</v>
      </c>
      <c r="K21" t="s">
        <v>25</v>
      </c>
      <c r="L21">
        <v>139</v>
      </c>
      <c r="M21">
        <v>50.68</v>
      </c>
      <c r="N21">
        <v>93.89</v>
      </c>
      <c r="O21" t="s">
        <v>20</v>
      </c>
      <c r="P21" t="s">
        <v>21</v>
      </c>
      <c r="Q21" t="s">
        <v>20</v>
      </c>
      <c r="R21" t="str">
        <f>HYPERLINK("https://cfpub.epa.gov/ecotox/explore.cfm?ncbi=9565","Explore in ECOTOX")</f>
        <v>Explore in ECOTOX</v>
      </c>
    </row>
    <row r="22" spans="1:18" x14ac:dyDescent="0.25">
      <c r="A22">
        <v>6</v>
      </c>
      <c r="B22" t="str">
        <f>HYPERLINK("http://www.ncbi.nlm.nih.gov/protein/VCX10107.1","VCX10107.1")</f>
        <v>VCX10107.1</v>
      </c>
      <c r="C22">
        <v>19820</v>
      </c>
      <c r="D22" t="str">
        <f>HYPERLINK("http://www.ncbi.nlm.nih.gov/Taxonomy/Browser/wwwtax.cgi?mode=Info&amp;id=48420&amp;lvl=3&amp;lin=f&amp;keep=1&amp;srchmode=1&amp;unlock","48420")</f>
        <v>48420</v>
      </c>
      <c r="E22" t="s">
        <v>18</v>
      </c>
      <c r="F22" t="s">
        <v>18</v>
      </c>
      <c r="G22" t="str">
        <f>HYPERLINK("http://www.ncbi.nlm.nih.gov/Taxonomy/Browser/wwwtax.cgi?mode=Info&amp;id=48420&amp;lvl=3&amp;lin=f&amp;keep=1&amp;srchmode=1&amp;unlock","Gulo gulo")</f>
        <v>Gulo gulo</v>
      </c>
      <c r="H22" t="s">
        <v>42</v>
      </c>
      <c r="I22" t="str">
        <f>HYPERLINK("http://www.ncbi.nlm.nih.gov/protein/VCX10107.1","unnamed protein product")</f>
        <v>unnamed protein product</v>
      </c>
      <c r="J22">
        <v>236.5</v>
      </c>
      <c r="K22" t="s">
        <v>25</v>
      </c>
      <c r="L22">
        <v>139</v>
      </c>
      <c r="M22">
        <v>50.68</v>
      </c>
      <c r="N22">
        <v>93.74</v>
      </c>
      <c r="O22" t="s">
        <v>20</v>
      </c>
      <c r="P22" t="s">
        <v>21</v>
      </c>
      <c r="Q22" t="s">
        <v>20</v>
      </c>
      <c r="R22" t="str">
        <f>HYPERLINK("https://cfpub.epa.gov/ecotox/explore.cfm?ncbi=48420","Explore in ECOTOX")</f>
        <v>Explore in ECOTOX</v>
      </c>
    </row>
    <row r="23" spans="1:18" x14ac:dyDescent="0.25">
      <c r="A23">
        <v>6</v>
      </c>
      <c r="B23" t="str">
        <f>HYPERLINK("http://www.ncbi.nlm.nih.gov/protein/XP_011827150.1","XP_011827150.1")</f>
        <v>XP_011827150.1</v>
      </c>
      <c r="C23">
        <v>38457</v>
      </c>
      <c r="D23" t="str">
        <f>HYPERLINK("http://www.ncbi.nlm.nih.gov/Taxonomy/Browser/wwwtax.cgi?mode=Info&amp;id=9568&amp;lvl=3&amp;lin=f&amp;keep=1&amp;srchmode=1&amp;unlock","9568")</f>
        <v>9568</v>
      </c>
      <c r="E23" t="s">
        <v>18</v>
      </c>
      <c r="F23" t="s">
        <v>18</v>
      </c>
      <c r="G23" t="str">
        <f>HYPERLINK("http://www.ncbi.nlm.nih.gov/Taxonomy/Browser/wwwtax.cgi?mode=Info&amp;id=9568&amp;lvl=3&amp;lin=f&amp;keep=1&amp;srchmode=1&amp;unlock","Mandrillus leucophaeus")</f>
        <v>Mandrillus leucophaeus</v>
      </c>
      <c r="H23" t="s">
        <v>43</v>
      </c>
      <c r="I23" t="str">
        <f>HYPERLINK("http://www.ncbi.nlm.nih.gov/protein/XP_011827150.1","PREDICTED: fatty acid-binding protein, liver")</f>
        <v>PREDICTED: fatty acid-binding protein, liver</v>
      </c>
      <c r="J23">
        <v>236.5</v>
      </c>
      <c r="K23" t="s">
        <v>25</v>
      </c>
      <c r="L23">
        <v>139</v>
      </c>
      <c r="M23">
        <v>50.68</v>
      </c>
      <c r="N23">
        <v>93.74</v>
      </c>
      <c r="O23" t="s">
        <v>20</v>
      </c>
      <c r="P23" t="s">
        <v>21</v>
      </c>
      <c r="Q23" t="s">
        <v>20</v>
      </c>
      <c r="R23" t="str">
        <f>HYPERLINK("https://cfpub.epa.gov/ecotox/explore.cfm?ncbi=9568","Explore in ECOTOX")</f>
        <v>Explore in ECOTOX</v>
      </c>
    </row>
    <row r="24" spans="1:18" x14ac:dyDescent="0.25">
      <c r="A24">
        <v>6</v>
      </c>
      <c r="B24" t="str">
        <f>HYPERLINK("http://www.ncbi.nlm.nih.gov/protein/XP_039108582.1","XP_039108582.1")</f>
        <v>XP_039108582.1</v>
      </c>
      <c r="C24">
        <v>41430</v>
      </c>
      <c r="D24" t="str">
        <f>HYPERLINK("http://www.ncbi.nlm.nih.gov/Taxonomy/Browser/wwwtax.cgi?mode=Info&amp;id=95912&amp;lvl=3&amp;lin=f&amp;keep=1&amp;srchmode=1&amp;unlock","95912")</f>
        <v>95912</v>
      </c>
      <c r="E24" t="s">
        <v>18</v>
      </c>
      <c r="F24" t="s">
        <v>18</v>
      </c>
      <c r="G24" t="str">
        <f>HYPERLINK("http://www.ncbi.nlm.nih.gov/Taxonomy/Browser/wwwtax.cgi?mode=Info&amp;id=95912&amp;lvl=3&amp;lin=f&amp;keep=1&amp;srchmode=1&amp;unlock","Hyaena hyaena")</f>
        <v>Hyaena hyaena</v>
      </c>
      <c r="H24" t="s">
        <v>44</v>
      </c>
      <c r="I24" t="str">
        <f>HYPERLINK("http://www.ncbi.nlm.nih.gov/protein/XP_039108582.1","fatty acid-binding protein, liver")</f>
        <v>fatty acid-binding protein, liver</v>
      </c>
      <c r="J24">
        <v>236.11</v>
      </c>
      <c r="K24" t="s">
        <v>25</v>
      </c>
      <c r="L24">
        <v>139</v>
      </c>
      <c r="M24">
        <v>50.68</v>
      </c>
      <c r="N24">
        <v>93.59</v>
      </c>
      <c r="O24" t="s">
        <v>20</v>
      </c>
      <c r="P24" t="s">
        <v>21</v>
      </c>
      <c r="Q24" t="s">
        <v>20</v>
      </c>
      <c r="R24" t="str">
        <f>HYPERLINK("https://cfpub.epa.gov/ecotox/explore.cfm?ncbi=95912","Explore in ECOTOX")</f>
        <v>Explore in ECOTOX</v>
      </c>
    </row>
    <row r="25" spans="1:18" x14ac:dyDescent="0.25">
      <c r="A25">
        <v>6</v>
      </c>
      <c r="B25" t="str">
        <f>HYPERLINK("http://www.ncbi.nlm.nih.gov/protein/XP_026336895.1","XP_026336895.1")</f>
        <v>XP_026336895.1</v>
      </c>
      <c r="C25">
        <v>43159</v>
      </c>
      <c r="D25" t="str">
        <f>HYPERLINK("http://www.ncbi.nlm.nih.gov/Taxonomy/Browser/wwwtax.cgi?mode=Info&amp;id=116960&amp;lvl=3&amp;lin=f&amp;keep=1&amp;srchmode=1&amp;unlock","116960")</f>
        <v>116960</v>
      </c>
      <c r="E25" t="s">
        <v>18</v>
      </c>
      <c r="F25" t="s">
        <v>18</v>
      </c>
      <c r="G25" t="str">
        <f>HYPERLINK("http://www.ncbi.nlm.nih.gov/Taxonomy/Browser/wwwtax.cgi?mode=Info&amp;id=116960&amp;lvl=3&amp;lin=f&amp;keep=1&amp;srchmode=1&amp;unlock","Ursus arctos horribilis")</f>
        <v>Ursus arctos horribilis</v>
      </c>
      <c r="H25" t="s">
        <v>45</v>
      </c>
      <c r="I25" t="str">
        <f>HYPERLINK("http://www.ncbi.nlm.nih.gov/protein/XP_026336895.1","fatty acid-binding protein, liver")</f>
        <v>fatty acid-binding protein, liver</v>
      </c>
      <c r="J25">
        <v>236.11</v>
      </c>
      <c r="K25" t="s">
        <v>25</v>
      </c>
      <c r="L25">
        <v>139</v>
      </c>
      <c r="M25">
        <v>50.68</v>
      </c>
      <c r="N25">
        <v>93.59</v>
      </c>
      <c r="O25" t="s">
        <v>20</v>
      </c>
      <c r="P25" t="s">
        <v>21</v>
      </c>
      <c r="Q25" t="s">
        <v>20</v>
      </c>
      <c r="R25" t="str">
        <f>HYPERLINK("https://cfpub.epa.gov/ecotox/explore.cfm?ncbi=116960","Explore in ECOTOX")</f>
        <v>Explore in ECOTOX</v>
      </c>
    </row>
    <row r="26" spans="1:18" x14ac:dyDescent="0.25">
      <c r="A26">
        <v>6</v>
      </c>
      <c r="B26" t="str">
        <f>HYPERLINK("http://www.ncbi.nlm.nih.gov/protein/XP_032267051.1","XP_032267051.1")</f>
        <v>XP_032267051.1</v>
      </c>
      <c r="C26">
        <v>45582</v>
      </c>
      <c r="D26" t="str">
        <f>HYPERLINK("http://www.ncbi.nlm.nih.gov/Taxonomy/Browser/wwwtax.cgi?mode=Info&amp;id=9720&amp;lvl=3&amp;lin=f&amp;keep=1&amp;srchmode=1&amp;unlock","9720")</f>
        <v>9720</v>
      </c>
      <c r="E26" t="s">
        <v>18</v>
      </c>
      <c r="F26" t="s">
        <v>18</v>
      </c>
      <c r="G26" t="str">
        <f>HYPERLINK("http://www.ncbi.nlm.nih.gov/Taxonomy/Browser/wwwtax.cgi?mode=Info&amp;id=9720&amp;lvl=3&amp;lin=f&amp;keep=1&amp;srchmode=1&amp;unlock","Phoca vitulina")</f>
        <v>Phoca vitulina</v>
      </c>
      <c r="H26" t="s">
        <v>46</v>
      </c>
      <c r="I26" t="str">
        <f>HYPERLINK("http://www.ncbi.nlm.nih.gov/protein/XP_032267051.1","fatty acid-binding protein, liver")</f>
        <v>fatty acid-binding protein, liver</v>
      </c>
      <c r="J26">
        <v>235.73</v>
      </c>
      <c r="K26" t="s">
        <v>25</v>
      </c>
      <c r="L26">
        <v>139</v>
      </c>
      <c r="M26">
        <v>50.68</v>
      </c>
      <c r="N26">
        <v>93.43</v>
      </c>
      <c r="O26" t="s">
        <v>20</v>
      </c>
      <c r="P26" t="s">
        <v>21</v>
      </c>
      <c r="Q26" t="s">
        <v>20</v>
      </c>
      <c r="R26" t="str">
        <f>HYPERLINK("https://cfpub.epa.gov/ecotox/explore.cfm?ncbi=9720","Explore in ECOTOX")</f>
        <v>Explore in ECOTOX</v>
      </c>
    </row>
    <row r="27" spans="1:18" x14ac:dyDescent="0.25">
      <c r="A27">
        <v>6</v>
      </c>
      <c r="B27" t="str">
        <f>HYPERLINK("http://www.ncbi.nlm.nih.gov/protein/XP_032736499.1","XP_032736499.1")</f>
        <v>XP_032736499.1</v>
      </c>
      <c r="C27">
        <v>48403</v>
      </c>
      <c r="D27" t="str">
        <f>HYPERLINK("http://www.ncbi.nlm.nih.gov/Taxonomy/Browser/wwwtax.cgi?mode=Info&amp;id=76717&amp;lvl=3&amp;lin=f&amp;keep=1&amp;srchmode=1&amp;unlock","76717")</f>
        <v>76717</v>
      </c>
      <c r="E27" t="s">
        <v>18</v>
      </c>
      <c r="F27" t="s">
        <v>18</v>
      </c>
      <c r="G27" t="str">
        <f>HYPERLINK("http://www.ncbi.nlm.nih.gov/Taxonomy/Browser/wwwtax.cgi?mode=Info&amp;id=76717&amp;lvl=3&amp;lin=f&amp;keep=1&amp;srchmode=1&amp;unlock","Lontra canadensis")</f>
        <v>Lontra canadensis</v>
      </c>
      <c r="H27" t="s">
        <v>47</v>
      </c>
      <c r="I27" t="str">
        <f>HYPERLINK("http://www.ncbi.nlm.nih.gov/protein/XP_032736499.1","fatty acid-binding protein, liver")</f>
        <v>fatty acid-binding protein, liver</v>
      </c>
      <c r="J27">
        <v>235.73</v>
      </c>
      <c r="K27" t="s">
        <v>25</v>
      </c>
      <c r="L27">
        <v>139</v>
      </c>
      <c r="M27">
        <v>50.68</v>
      </c>
      <c r="N27">
        <v>93.43</v>
      </c>
      <c r="O27" t="s">
        <v>20</v>
      </c>
      <c r="P27" t="s">
        <v>21</v>
      </c>
      <c r="Q27" t="s">
        <v>20</v>
      </c>
      <c r="R27" t="str">
        <f>HYPERLINK("https://cfpub.epa.gov/ecotox/explore.cfm?ncbi=76717","Explore in ECOTOX")</f>
        <v>Explore in ECOTOX</v>
      </c>
    </row>
    <row r="28" spans="1:18" x14ac:dyDescent="0.25">
      <c r="A28">
        <v>6</v>
      </c>
      <c r="B28" t="str">
        <f>HYPERLINK("http://www.ncbi.nlm.nih.gov/protein/XP_004742435.1","XP_004742435.1")</f>
        <v>XP_004742435.1</v>
      </c>
      <c r="C28">
        <v>48574</v>
      </c>
      <c r="D28" t="str">
        <f>HYPERLINK("http://www.ncbi.nlm.nih.gov/Taxonomy/Browser/wwwtax.cgi?mode=Info&amp;id=9669&amp;lvl=3&amp;lin=f&amp;keep=1&amp;srchmode=1&amp;unlock","9669")</f>
        <v>9669</v>
      </c>
      <c r="E28" t="s">
        <v>18</v>
      </c>
      <c r="F28" t="s">
        <v>18</v>
      </c>
      <c r="G28" t="str">
        <f>HYPERLINK("http://www.ncbi.nlm.nih.gov/Taxonomy/Browser/wwwtax.cgi?mode=Info&amp;id=9669&amp;lvl=3&amp;lin=f&amp;keep=1&amp;srchmode=1&amp;unlock","Mustela putorius furo")</f>
        <v>Mustela putorius furo</v>
      </c>
      <c r="H28" t="s">
        <v>48</v>
      </c>
      <c r="I28" t="str">
        <f>HYPERLINK("http://www.ncbi.nlm.nih.gov/protein/XP_004742435.1","PREDICTED: fatty acid-binding protein, liver")</f>
        <v>PREDICTED: fatty acid-binding protein, liver</v>
      </c>
      <c r="J28">
        <v>235.73</v>
      </c>
      <c r="K28" t="s">
        <v>25</v>
      </c>
      <c r="L28">
        <v>139</v>
      </c>
      <c r="M28">
        <v>50.68</v>
      </c>
      <c r="N28">
        <v>93.43</v>
      </c>
      <c r="O28" t="s">
        <v>20</v>
      </c>
      <c r="P28" t="s">
        <v>21</v>
      </c>
      <c r="Q28" t="s">
        <v>20</v>
      </c>
      <c r="R28" t="str">
        <f>HYPERLINK("https://cfpub.epa.gov/ecotox/explore.cfm?ncbi=9669","Explore in ECOTOX")</f>
        <v>Explore in ECOTOX</v>
      </c>
    </row>
    <row r="29" spans="1:18" x14ac:dyDescent="0.25">
      <c r="A29">
        <v>6</v>
      </c>
      <c r="B29" t="str">
        <f>HYPERLINK("http://www.ncbi.nlm.nih.gov/protein/XP_006741225.1","XP_006741225.1")</f>
        <v>XP_006741225.1</v>
      </c>
      <c r="C29">
        <v>40472</v>
      </c>
      <c r="D29" t="str">
        <f>HYPERLINK("http://www.ncbi.nlm.nih.gov/Taxonomy/Browser/wwwtax.cgi?mode=Info&amp;id=9713&amp;lvl=3&amp;lin=f&amp;keep=1&amp;srchmode=1&amp;unlock","9713")</f>
        <v>9713</v>
      </c>
      <c r="E29" t="s">
        <v>18</v>
      </c>
      <c r="F29" t="s">
        <v>18</v>
      </c>
      <c r="G29" t="str">
        <f>HYPERLINK("http://www.ncbi.nlm.nih.gov/Taxonomy/Browser/wwwtax.cgi?mode=Info&amp;id=9713&amp;lvl=3&amp;lin=f&amp;keep=1&amp;srchmode=1&amp;unlock","Leptonychotes weddellii")</f>
        <v>Leptonychotes weddellii</v>
      </c>
      <c r="H29" t="s">
        <v>49</v>
      </c>
      <c r="I29" t="str">
        <f>HYPERLINK("http://www.ncbi.nlm.nih.gov/protein/XP_006741225.1","fatty acid-binding protein, liver")</f>
        <v>fatty acid-binding protein, liver</v>
      </c>
      <c r="J29">
        <v>235.73</v>
      </c>
      <c r="K29" t="s">
        <v>25</v>
      </c>
      <c r="L29">
        <v>139</v>
      </c>
      <c r="M29">
        <v>50.68</v>
      </c>
      <c r="N29">
        <v>93.43</v>
      </c>
      <c r="O29" t="s">
        <v>20</v>
      </c>
      <c r="P29" t="s">
        <v>21</v>
      </c>
      <c r="Q29" t="s">
        <v>20</v>
      </c>
      <c r="R29" t="str">
        <f>HYPERLINK("https://cfpub.epa.gov/ecotox/explore.cfm?ncbi=9713","Explore in ECOTOX")</f>
        <v>Explore in ECOTOX</v>
      </c>
    </row>
    <row r="30" spans="1:18" x14ac:dyDescent="0.25">
      <c r="A30">
        <v>6</v>
      </c>
      <c r="B30" t="str">
        <f>HYPERLINK("http://www.ncbi.nlm.nih.gov/protein/XP_021553255.1","XP_021553255.1")</f>
        <v>XP_021553255.1</v>
      </c>
      <c r="C30">
        <v>28446</v>
      </c>
      <c r="D30" t="str">
        <f>HYPERLINK("http://www.ncbi.nlm.nih.gov/Taxonomy/Browser/wwwtax.cgi?mode=Info&amp;id=29088&amp;lvl=3&amp;lin=f&amp;keep=1&amp;srchmode=1&amp;unlock","29088")</f>
        <v>29088</v>
      </c>
      <c r="E30" t="s">
        <v>18</v>
      </c>
      <c r="F30" t="s">
        <v>18</v>
      </c>
      <c r="G30" t="str">
        <f>HYPERLINK("http://www.ncbi.nlm.nih.gov/Taxonomy/Browser/wwwtax.cgi?mode=Info&amp;id=29088&amp;lvl=3&amp;lin=f&amp;keep=1&amp;srchmode=1&amp;unlock","Neomonachus schauinslandi")</f>
        <v>Neomonachus schauinslandi</v>
      </c>
      <c r="H30" t="s">
        <v>50</v>
      </c>
      <c r="I30" t="str">
        <f>HYPERLINK("http://www.ncbi.nlm.nih.gov/protein/XP_021553255.1","fatty acid-binding protein, liver")</f>
        <v>fatty acid-binding protein, liver</v>
      </c>
      <c r="J30">
        <v>235.73</v>
      </c>
      <c r="K30" t="s">
        <v>25</v>
      </c>
      <c r="L30">
        <v>139</v>
      </c>
      <c r="M30">
        <v>50.68</v>
      </c>
      <c r="N30">
        <v>93.43</v>
      </c>
      <c r="O30" t="s">
        <v>20</v>
      </c>
      <c r="P30" t="s">
        <v>21</v>
      </c>
      <c r="Q30" t="s">
        <v>20</v>
      </c>
      <c r="R30" t="str">
        <f>HYPERLINK("https://cfpub.epa.gov/ecotox/explore.cfm?ncbi=29088","Explore in ECOTOX")</f>
        <v>Explore in ECOTOX</v>
      </c>
    </row>
    <row r="31" spans="1:18" x14ac:dyDescent="0.25">
      <c r="A31">
        <v>6</v>
      </c>
      <c r="B31" t="str">
        <f>HYPERLINK("http://www.ncbi.nlm.nih.gov/protein/XP_032208604.1","XP_032208604.1")</f>
        <v>XP_032208604.1</v>
      </c>
      <c r="C31">
        <v>60653</v>
      </c>
      <c r="D31" t="str">
        <f>HYPERLINK("http://www.ncbi.nlm.nih.gov/Taxonomy/Browser/wwwtax.cgi?mode=Info&amp;id=36723&amp;lvl=3&amp;lin=f&amp;keep=1&amp;srchmode=1&amp;unlock","36723")</f>
        <v>36723</v>
      </c>
      <c r="E31" t="s">
        <v>18</v>
      </c>
      <c r="F31" t="s">
        <v>18</v>
      </c>
      <c r="G31" t="str">
        <f>HYPERLINK("http://www.ncbi.nlm.nih.gov/Taxonomy/Browser/wwwtax.cgi?mode=Info&amp;id=36723&amp;lvl=3&amp;lin=f&amp;keep=1&amp;srchmode=1&amp;unlock","Mustela erminea")</f>
        <v>Mustela erminea</v>
      </c>
      <c r="H31" t="s">
        <v>51</v>
      </c>
      <c r="I31" t="str">
        <f>HYPERLINK("http://www.ncbi.nlm.nih.gov/protein/XP_032208604.1","fatty acid-binding protein, liver")</f>
        <v>fatty acid-binding protein, liver</v>
      </c>
      <c r="J31">
        <v>235.73</v>
      </c>
      <c r="K31" t="s">
        <v>25</v>
      </c>
      <c r="L31">
        <v>139</v>
      </c>
      <c r="M31">
        <v>50.68</v>
      </c>
      <c r="N31">
        <v>93.43</v>
      </c>
      <c r="O31" t="s">
        <v>20</v>
      </c>
      <c r="P31" t="s">
        <v>21</v>
      </c>
      <c r="Q31" t="s">
        <v>20</v>
      </c>
      <c r="R31" t="str">
        <f>HYPERLINK("https://cfpub.epa.gov/ecotox/explore.cfm?ncbi=36723","Explore in ECOTOX")</f>
        <v>Explore in ECOTOX</v>
      </c>
    </row>
    <row r="32" spans="1:18" x14ac:dyDescent="0.25">
      <c r="A32">
        <v>6</v>
      </c>
      <c r="B32" t="str">
        <f>HYPERLINK("http://www.ncbi.nlm.nih.gov/protein/XP_008006679.1","XP_008006679.1")</f>
        <v>XP_008006679.1</v>
      </c>
      <c r="C32">
        <v>62297</v>
      </c>
      <c r="D32" t="str">
        <f>HYPERLINK("http://www.ncbi.nlm.nih.gov/Taxonomy/Browser/wwwtax.cgi?mode=Info&amp;id=60711&amp;lvl=3&amp;lin=f&amp;keep=1&amp;srchmode=1&amp;unlock","60711")</f>
        <v>60711</v>
      </c>
      <c r="E32" t="s">
        <v>18</v>
      </c>
      <c r="F32" t="s">
        <v>18</v>
      </c>
      <c r="G32" t="str">
        <f>HYPERLINK("http://www.ncbi.nlm.nih.gov/Taxonomy/Browser/wwwtax.cgi?mode=Info&amp;id=60711&amp;lvl=3&amp;lin=f&amp;keep=1&amp;srchmode=1&amp;unlock","Chlorocebus sabaeus")</f>
        <v>Chlorocebus sabaeus</v>
      </c>
      <c r="H32" t="s">
        <v>52</v>
      </c>
      <c r="I32" t="str">
        <f>HYPERLINK("http://www.ncbi.nlm.nih.gov/protein/XP_008006679.1","fatty acid-binding protein, liver")</f>
        <v>fatty acid-binding protein, liver</v>
      </c>
      <c r="J32">
        <v>234.96</v>
      </c>
      <c r="K32" t="s">
        <v>25</v>
      </c>
      <c r="L32">
        <v>139</v>
      </c>
      <c r="M32">
        <v>50.68</v>
      </c>
      <c r="N32">
        <v>93.13</v>
      </c>
      <c r="O32" t="s">
        <v>20</v>
      </c>
      <c r="P32" t="s">
        <v>21</v>
      </c>
      <c r="Q32" t="s">
        <v>20</v>
      </c>
      <c r="R32" t="str">
        <f>HYPERLINK("https://cfpub.epa.gov/ecotox/explore.cfm?ncbi=60711","Explore in ECOTOX")</f>
        <v>Explore in ECOTOX</v>
      </c>
    </row>
    <row r="33" spans="1:18" x14ac:dyDescent="0.25">
      <c r="A33">
        <v>6</v>
      </c>
      <c r="B33" t="str">
        <f>HYPERLINK("http://www.ncbi.nlm.nih.gov/protein/XP_025309650.1","XP_025309650.1")</f>
        <v>XP_025309650.1</v>
      </c>
      <c r="C33">
        <v>70986</v>
      </c>
      <c r="D33" t="str">
        <f>HYPERLINK("http://www.ncbi.nlm.nih.gov/Taxonomy/Browser/wwwtax.cgi?mode=Info&amp;id=286419&amp;lvl=3&amp;lin=f&amp;keep=1&amp;srchmode=1&amp;unlock","286419")</f>
        <v>286419</v>
      </c>
      <c r="E33" t="s">
        <v>18</v>
      </c>
      <c r="F33" t="s">
        <v>18</v>
      </c>
      <c r="G33" t="str">
        <f>HYPERLINK("http://www.ncbi.nlm.nih.gov/Taxonomy/Browser/wwwtax.cgi?mode=Info&amp;id=286419&amp;lvl=3&amp;lin=f&amp;keep=1&amp;srchmode=1&amp;unlock","Canis lupus dingo")</f>
        <v>Canis lupus dingo</v>
      </c>
      <c r="H33" t="s">
        <v>53</v>
      </c>
      <c r="I33" t="str">
        <f>HYPERLINK("http://www.ncbi.nlm.nih.gov/protein/XP_025309650.1","fatty acid-binding protein, liver")</f>
        <v>fatty acid-binding protein, liver</v>
      </c>
      <c r="J33">
        <v>234.96</v>
      </c>
      <c r="K33" t="s">
        <v>25</v>
      </c>
      <c r="L33">
        <v>139</v>
      </c>
      <c r="M33">
        <v>50.68</v>
      </c>
      <c r="N33">
        <v>93.13</v>
      </c>
      <c r="O33" t="s">
        <v>20</v>
      </c>
      <c r="P33" t="s">
        <v>21</v>
      </c>
      <c r="Q33" t="s">
        <v>20</v>
      </c>
      <c r="R33" t="str">
        <f>HYPERLINK("https://cfpub.epa.gov/ecotox/explore.cfm?ncbi=286419","Explore in ECOTOX")</f>
        <v>Explore in ECOTOX</v>
      </c>
    </row>
    <row r="34" spans="1:18" x14ac:dyDescent="0.25">
      <c r="A34">
        <v>6</v>
      </c>
      <c r="B34" t="str">
        <f>HYPERLINK("http://www.ncbi.nlm.nih.gov/protein/NP_001273980.1","NP_001273980.1")</f>
        <v>NP_001273980.1</v>
      </c>
      <c r="C34">
        <v>136175</v>
      </c>
      <c r="D34" t="str">
        <f>HYPERLINK("http://www.ncbi.nlm.nih.gov/Taxonomy/Browser/wwwtax.cgi?mode=Info&amp;id=9615&amp;lvl=3&amp;lin=f&amp;keep=1&amp;srchmode=1&amp;unlock","9615")</f>
        <v>9615</v>
      </c>
      <c r="E34" t="s">
        <v>18</v>
      </c>
      <c r="F34" t="s">
        <v>18</v>
      </c>
      <c r="G34" t="str">
        <f>HYPERLINK("http://www.ncbi.nlm.nih.gov/Taxonomy/Browser/wwwtax.cgi?mode=Info&amp;id=9615&amp;lvl=3&amp;lin=f&amp;keep=1&amp;srchmode=1&amp;unlock","Canis lupus familiaris")</f>
        <v>Canis lupus familiaris</v>
      </c>
      <c r="H34" t="s">
        <v>54</v>
      </c>
      <c r="I34" t="str">
        <f>HYPERLINK("http://www.ncbi.nlm.nih.gov/protein/NP_001273980.1","fatty acid-binding protein, liver")</f>
        <v>fatty acid-binding protein, liver</v>
      </c>
      <c r="J34">
        <v>234.96</v>
      </c>
      <c r="K34" t="s">
        <v>25</v>
      </c>
      <c r="L34">
        <v>139</v>
      </c>
      <c r="M34">
        <v>50.68</v>
      </c>
      <c r="N34">
        <v>93.13</v>
      </c>
      <c r="O34" t="s">
        <v>20</v>
      </c>
      <c r="P34" t="s">
        <v>21</v>
      </c>
      <c r="Q34" t="s">
        <v>20</v>
      </c>
      <c r="R34" t="str">
        <f>HYPERLINK("https://cfpub.epa.gov/ecotox/explore.cfm?ncbi=9615","Explore in ECOTOX")</f>
        <v>Explore in ECOTOX</v>
      </c>
    </row>
    <row r="35" spans="1:18" x14ac:dyDescent="0.25">
      <c r="A35">
        <v>6</v>
      </c>
      <c r="B35" t="str">
        <f>HYPERLINK("http://www.ncbi.nlm.nih.gov/protein/AAX62515.1","AAX62515.1")</f>
        <v>AAX62515.1</v>
      </c>
      <c r="C35">
        <v>83623</v>
      </c>
      <c r="D35" t="str">
        <f>HYPERLINK("http://www.ncbi.nlm.nih.gov/Taxonomy/Browser/wwwtax.cgi?mode=Info&amp;id=9823&amp;lvl=3&amp;lin=f&amp;keep=1&amp;srchmode=1&amp;unlock","9823")</f>
        <v>9823</v>
      </c>
      <c r="E35" t="s">
        <v>18</v>
      </c>
      <c r="F35" t="s">
        <v>18</v>
      </c>
      <c r="G35" t="str">
        <f>HYPERLINK("http://www.ncbi.nlm.nih.gov/Taxonomy/Browser/wwwtax.cgi?mode=Info&amp;id=9823&amp;lvl=3&amp;lin=f&amp;keep=1&amp;srchmode=1&amp;unlock","Sus scrofa")</f>
        <v>Sus scrofa</v>
      </c>
      <c r="H35" t="s">
        <v>55</v>
      </c>
      <c r="I35" t="str">
        <f>HYPERLINK("http://www.ncbi.nlm.nih.gov/protein/AAX62515.1","liver fatty acid binding protein")</f>
        <v>liver fatty acid binding protein</v>
      </c>
      <c r="J35">
        <v>234.96</v>
      </c>
      <c r="K35" t="s">
        <v>20</v>
      </c>
      <c r="L35">
        <v>139</v>
      </c>
      <c r="M35">
        <v>50.68</v>
      </c>
      <c r="N35">
        <v>93.13</v>
      </c>
      <c r="O35" t="s">
        <v>20</v>
      </c>
      <c r="P35" t="s">
        <v>21</v>
      </c>
      <c r="Q35" t="s">
        <v>20</v>
      </c>
      <c r="R35" t="str">
        <f>HYPERLINK("https://cfpub.epa.gov/ecotox/explore.cfm?ncbi=9823","Explore in ECOTOX")</f>
        <v>Explore in ECOTOX</v>
      </c>
    </row>
    <row r="36" spans="1:18" x14ac:dyDescent="0.25">
      <c r="A36">
        <v>6</v>
      </c>
      <c r="B36" t="str">
        <f>HYPERLINK("http://www.ncbi.nlm.nih.gov/protein/XP_036787010.1","XP_036787010.1")</f>
        <v>XP_036787010.1</v>
      </c>
      <c r="C36">
        <v>58394</v>
      </c>
      <c r="D36" t="str">
        <f>HYPERLINK("http://www.ncbi.nlm.nih.gov/Taxonomy/Browser/wwwtax.cgi?mode=Info&amp;id=143292&amp;lvl=3&amp;lin=f&amp;keep=1&amp;srchmode=1&amp;unlock","143292")</f>
        <v>143292</v>
      </c>
      <c r="E36" t="s">
        <v>18</v>
      </c>
      <c r="F36" t="s">
        <v>18</v>
      </c>
      <c r="G36" t="str">
        <f>HYPERLINK("http://www.ncbi.nlm.nih.gov/Taxonomy/Browser/wwwtax.cgi?mode=Info&amp;id=143292&amp;lvl=3&amp;lin=f&amp;keep=1&amp;srchmode=1&amp;unlock","Manis pentadactyla")</f>
        <v>Manis pentadactyla</v>
      </c>
      <c r="H36" t="s">
        <v>56</v>
      </c>
      <c r="I36" t="str">
        <f>HYPERLINK("http://www.ncbi.nlm.nih.gov/protein/XP_036787010.1","fatty acid-binding protein, liver")</f>
        <v>fatty acid-binding protein, liver</v>
      </c>
      <c r="J36">
        <v>234.57</v>
      </c>
      <c r="K36" t="s">
        <v>25</v>
      </c>
      <c r="L36">
        <v>139</v>
      </c>
      <c r="M36">
        <v>50.68</v>
      </c>
      <c r="N36">
        <v>92.98</v>
      </c>
      <c r="O36" t="s">
        <v>20</v>
      </c>
      <c r="P36" t="s">
        <v>21</v>
      </c>
      <c r="Q36" t="s">
        <v>20</v>
      </c>
      <c r="R36" t="str">
        <f>HYPERLINK("https://cfpub.epa.gov/ecotox/explore.cfm?ncbi=143292","Explore in ECOTOX")</f>
        <v>Explore in ECOTOX</v>
      </c>
    </row>
    <row r="37" spans="1:18" x14ac:dyDescent="0.25">
      <c r="A37">
        <v>6</v>
      </c>
      <c r="B37" t="str">
        <f>HYPERLINK("http://www.ncbi.nlm.nih.gov/protein/XP_029792145.1","XP_029792145.1")</f>
        <v>XP_029792145.1</v>
      </c>
      <c r="C37">
        <v>43355</v>
      </c>
      <c r="D37" t="str">
        <f>HYPERLINK("http://www.ncbi.nlm.nih.gov/Taxonomy/Browser/wwwtax.cgi?mode=Info&amp;id=37032&amp;lvl=3&amp;lin=f&amp;keep=1&amp;srchmode=1&amp;unlock","37032")</f>
        <v>37032</v>
      </c>
      <c r="E37" t="s">
        <v>18</v>
      </c>
      <c r="F37" t="s">
        <v>18</v>
      </c>
      <c r="G37" t="str">
        <f>HYPERLINK("http://www.ncbi.nlm.nih.gov/Taxonomy/Browser/wwwtax.cgi?mode=Info&amp;id=37032&amp;lvl=3&amp;lin=f&amp;keep=1&amp;srchmode=1&amp;unlock","Suricata suricatta")</f>
        <v>Suricata suricatta</v>
      </c>
      <c r="H37" t="s">
        <v>57</v>
      </c>
      <c r="I37" t="str">
        <f>HYPERLINK("http://www.ncbi.nlm.nih.gov/protein/XP_029792145.1","fatty acid-binding protein, liver")</f>
        <v>fatty acid-binding protein, liver</v>
      </c>
      <c r="J37">
        <v>234.57</v>
      </c>
      <c r="K37" t="s">
        <v>25</v>
      </c>
      <c r="L37">
        <v>139</v>
      </c>
      <c r="M37">
        <v>50.68</v>
      </c>
      <c r="N37">
        <v>92.98</v>
      </c>
      <c r="O37" t="s">
        <v>20</v>
      </c>
      <c r="P37" t="s">
        <v>21</v>
      </c>
      <c r="Q37" t="s">
        <v>20</v>
      </c>
      <c r="R37" t="str">
        <f>HYPERLINK("https://cfpub.epa.gov/ecotox/explore.cfm?ncbi=37032","Explore in ECOTOX")</f>
        <v>Explore in ECOTOX</v>
      </c>
    </row>
    <row r="38" spans="1:18" x14ac:dyDescent="0.25">
      <c r="A38">
        <v>6</v>
      </c>
      <c r="B38" t="str">
        <f>HYPERLINK("http://www.ncbi.nlm.nih.gov/protein/XP_034856360.1","XP_034856360.1")</f>
        <v>XP_034856360.1</v>
      </c>
      <c r="C38">
        <v>64815</v>
      </c>
      <c r="D38" t="str">
        <f>HYPERLINK("http://www.ncbi.nlm.nih.gov/Taxonomy/Browser/wwwtax.cgi?mode=Info&amp;id=9715&amp;lvl=3&amp;lin=f&amp;keep=1&amp;srchmode=1&amp;unlock","9715")</f>
        <v>9715</v>
      </c>
      <c r="E38" t="s">
        <v>18</v>
      </c>
      <c r="F38" t="s">
        <v>18</v>
      </c>
      <c r="G38" t="str">
        <f>HYPERLINK("http://www.ncbi.nlm.nih.gov/Taxonomy/Browser/wwwtax.cgi?mode=Info&amp;id=9715&amp;lvl=3&amp;lin=f&amp;keep=1&amp;srchmode=1&amp;unlock","Mirounga leonina")</f>
        <v>Mirounga leonina</v>
      </c>
      <c r="H38" t="s">
        <v>58</v>
      </c>
      <c r="I38" t="str">
        <f>HYPERLINK("http://www.ncbi.nlm.nih.gov/protein/XP_034856360.1","fatty acid-binding protein, liver")</f>
        <v>fatty acid-binding protein, liver</v>
      </c>
      <c r="J38">
        <v>234.57</v>
      </c>
      <c r="K38" t="s">
        <v>25</v>
      </c>
      <c r="L38">
        <v>139</v>
      </c>
      <c r="M38">
        <v>50.68</v>
      </c>
      <c r="N38">
        <v>92.98</v>
      </c>
      <c r="O38" t="s">
        <v>20</v>
      </c>
      <c r="P38" t="s">
        <v>21</v>
      </c>
      <c r="Q38" t="s">
        <v>20</v>
      </c>
      <c r="R38" t="str">
        <f>HYPERLINK("https://cfpub.epa.gov/ecotox/explore.cfm?ncbi=9715","Explore in ECOTOX")</f>
        <v>Explore in ECOTOX</v>
      </c>
    </row>
    <row r="39" spans="1:18" x14ac:dyDescent="0.25">
      <c r="A39">
        <v>6</v>
      </c>
      <c r="B39" t="str">
        <f>HYPERLINK("http://www.ncbi.nlm.nih.gov/protein/XP_025723410.1","XP_025723410.1")</f>
        <v>XP_025723410.1</v>
      </c>
      <c r="C39">
        <v>46265</v>
      </c>
      <c r="D39" t="str">
        <f>HYPERLINK("http://www.ncbi.nlm.nih.gov/Taxonomy/Browser/wwwtax.cgi?mode=Info&amp;id=34884&amp;lvl=3&amp;lin=f&amp;keep=1&amp;srchmode=1&amp;unlock","34884")</f>
        <v>34884</v>
      </c>
      <c r="E39" t="s">
        <v>18</v>
      </c>
      <c r="F39" t="s">
        <v>18</v>
      </c>
      <c r="G39" t="str">
        <f>HYPERLINK("http://www.ncbi.nlm.nih.gov/Taxonomy/Browser/wwwtax.cgi?mode=Info&amp;id=34884&amp;lvl=3&amp;lin=f&amp;keep=1&amp;srchmode=1&amp;unlock","Callorhinus ursinus")</f>
        <v>Callorhinus ursinus</v>
      </c>
      <c r="H39" t="s">
        <v>59</v>
      </c>
      <c r="I39" t="str">
        <f>HYPERLINK("http://www.ncbi.nlm.nih.gov/protein/XP_025723410.1","fatty acid-binding protein, liver")</f>
        <v>fatty acid-binding protein, liver</v>
      </c>
      <c r="J39">
        <v>234.19</v>
      </c>
      <c r="K39" t="s">
        <v>25</v>
      </c>
      <c r="L39">
        <v>139</v>
      </c>
      <c r="M39">
        <v>50.68</v>
      </c>
      <c r="N39">
        <v>92.82</v>
      </c>
      <c r="O39" t="s">
        <v>20</v>
      </c>
      <c r="P39" t="s">
        <v>21</v>
      </c>
      <c r="Q39" t="s">
        <v>20</v>
      </c>
      <c r="R39" t="str">
        <f>HYPERLINK("https://cfpub.epa.gov/ecotox/explore.cfm?ncbi=34884","Explore in ECOTOX")</f>
        <v>Explore in ECOTOX</v>
      </c>
    </row>
    <row r="40" spans="1:18" x14ac:dyDescent="0.25">
      <c r="A40">
        <v>6</v>
      </c>
      <c r="B40" t="str">
        <f>HYPERLINK("http://www.ncbi.nlm.nih.gov/protein/XP_003984285.1","XP_003984285.1")</f>
        <v>XP_003984285.1</v>
      </c>
      <c r="C40">
        <v>57528</v>
      </c>
      <c r="D40" t="str">
        <f>HYPERLINK("http://www.ncbi.nlm.nih.gov/Taxonomy/Browser/wwwtax.cgi?mode=Info&amp;id=9685&amp;lvl=3&amp;lin=f&amp;keep=1&amp;srchmode=1&amp;unlock","9685")</f>
        <v>9685</v>
      </c>
      <c r="E40" t="s">
        <v>18</v>
      </c>
      <c r="F40" t="s">
        <v>18</v>
      </c>
      <c r="G40" t="str">
        <f>HYPERLINK("http://www.ncbi.nlm.nih.gov/Taxonomy/Browser/wwwtax.cgi?mode=Info&amp;id=9685&amp;lvl=3&amp;lin=f&amp;keep=1&amp;srchmode=1&amp;unlock","Felis catus")</f>
        <v>Felis catus</v>
      </c>
      <c r="H40" t="s">
        <v>60</v>
      </c>
      <c r="I40" t="str">
        <f>HYPERLINK("http://www.ncbi.nlm.nih.gov/protein/XP_003984285.1","fatty acid-binding protein, liver")</f>
        <v>fatty acid-binding protein, liver</v>
      </c>
      <c r="J40">
        <v>234.19</v>
      </c>
      <c r="K40" t="s">
        <v>25</v>
      </c>
      <c r="L40">
        <v>139</v>
      </c>
      <c r="M40">
        <v>50.68</v>
      </c>
      <c r="N40">
        <v>92.82</v>
      </c>
      <c r="O40" t="s">
        <v>20</v>
      </c>
      <c r="P40" t="s">
        <v>21</v>
      </c>
      <c r="Q40" t="s">
        <v>20</v>
      </c>
      <c r="R40" t="str">
        <f>HYPERLINK("https://cfpub.epa.gov/ecotox/explore.cfm?ncbi=9685","Explore in ECOTOX")</f>
        <v>Explore in ECOTOX</v>
      </c>
    </row>
    <row r="41" spans="1:18" x14ac:dyDescent="0.25">
      <c r="A41">
        <v>6</v>
      </c>
      <c r="B41" t="str">
        <f>HYPERLINK("http://www.ncbi.nlm.nih.gov/protein/XP_027978263.1","XP_027978263.1")</f>
        <v>XP_027978263.1</v>
      </c>
      <c r="C41">
        <v>40115</v>
      </c>
      <c r="D41" t="str">
        <f>HYPERLINK("http://www.ncbi.nlm.nih.gov/Taxonomy/Browser/wwwtax.cgi?mode=Info&amp;id=34886&amp;lvl=3&amp;lin=f&amp;keep=1&amp;srchmode=1&amp;unlock","34886")</f>
        <v>34886</v>
      </c>
      <c r="E41" t="s">
        <v>18</v>
      </c>
      <c r="F41" t="s">
        <v>18</v>
      </c>
      <c r="G41" t="str">
        <f>HYPERLINK("http://www.ncbi.nlm.nih.gov/Taxonomy/Browser/wwwtax.cgi?mode=Info&amp;id=34886&amp;lvl=3&amp;lin=f&amp;keep=1&amp;srchmode=1&amp;unlock","Eumetopias jubatus")</f>
        <v>Eumetopias jubatus</v>
      </c>
      <c r="H41" t="s">
        <v>61</v>
      </c>
      <c r="I41" t="str">
        <f>HYPERLINK("http://www.ncbi.nlm.nih.gov/protein/XP_027978263.1","fatty acid-binding protein, liver")</f>
        <v>fatty acid-binding protein, liver</v>
      </c>
      <c r="J41">
        <v>234.19</v>
      </c>
      <c r="K41" t="s">
        <v>25</v>
      </c>
      <c r="L41">
        <v>139</v>
      </c>
      <c r="M41">
        <v>50.68</v>
      </c>
      <c r="N41">
        <v>92.82</v>
      </c>
      <c r="O41" t="s">
        <v>20</v>
      </c>
      <c r="P41" t="s">
        <v>21</v>
      </c>
      <c r="Q41" t="s">
        <v>20</v>
      </c>
      <c r="R41" t="str">
        <f>HYPERLINK("https://cfpub.epa.gov/ecotox/explore.cfm?ncbi=34886","Explore in ECOTOX")</f>
        <v>Explore in ECOTOX</v>
      </c>
    </row>
    <row r="42" spans="1:18" x14ac:dyDescent="0.25">
      <c r="A42">
        <v>6</v>
      </c>
      <c r="B42" t="str">
        <f>HYPERLINK("http://www.ncbi.nlm.nih.gov/protein/XP_014931273.1","XP_014931273.1")</f>
        <v>XP_014931273.1</v>
      </c>
      <c r="C42">
        <v>56437</v>
      </c>
      <c r="D42" t="str">
        <f>HYPERLINK("http://www.ncbi.nlm.nih.gov/Taxonomy/Browser/wwwtax.cgi?mode=Info&amp;id=32536&amp;lvl=3&amp;lin=f&amp;keep=1&amp;srchmode=1&amp;unlock","32536")</f>
        <v>32536</v>
      </c>
      <c r="E42" t="s">
        <v>18</v>
      </c>
      <c r="F42" t="s">
        <v>18</v>
      </c>
      <c r="G42" t="str">
        <f>HYPERLINK("http://www.ncbi.nlm.nih.gov/Taxonomy/Browser/wwwtax.cgi?mode=Info&amp;id=32536&amp;lvl=3&amp;lin=f&amp;keep=1&amp;srchmode=1&amp;unlock","Acinonyx jubatus")</f>
        <v>Acinonyx jubatus</v>
      </c>
      <c r="H42" t="s">
        <v>62</v>
      </c>
      <c r="I42" t="str">
        <f>HYPERLINK("http://www.ncbi.nlm.nih.gov/protein/XP_014931273.1","fatty acid-binding protein, liver")</f>
        <v>fatty acid-binding protein, liver</v>
      </c>
      <c r="J42">
        <v>234.19</v>
      </c>
      <c r="K42" t="s">
        <v>25</v>
      </c>
      <c r="L42">
        <v>139</v>
      </c>
      <c r="M42">
        <v>50.68</v>
      </c>
      <c r="N42">
        <v>92.82</v>
      </c>
      <c r="O42" t="s">
        <v>20</v>
      </c>
      <c r="P42" t="s">
        <v>21</v>
      </c>
      <c r="Q42" t="s">
        <v>20</v>
      </c>
      <c r="R42" t="str">
        <f>HYPERLINK("https://cfpub.epa.gov/ecotox/explore.cfm?ncbi=32536","Explore in ECOTOX")</f>
        <v>Explore in ECOTOX</v>
      </c>
    </row>
    <row r="43" spans="1:18" x14ac:dyDescent="0.25">
      <c r="A43">
        <v>6</v>
      </c>
      <c r="B43" t="str">
        <f>HYPERLINK("http://www.ncbi.nlm.nih.gov/protein/XP_030164911.1","XP_030164911.1")</f>
        <v>XP_030164911.1</v>
      </c>
      <c r="C43">
        <v>42175</v>
      </c>
      <c r="D43" t="str">
        <f>HYPERLINK("http://www.ncbi.nlm.nih.gov/Taxonomy/Browser/wwwtax.cgi?mode=Info&amp;id=61383&amp;lvl=3&amp;lin=f&amp;keep=1&amp;srchmode=1&amp;unlock","61383")</f>
        <v>61383</v>
      </c>
      <c r="E43" t="s">
        <v>18</v>
      </c>
      <c r="F43" t="s">
        <v>18</v>
      </c>
      <c r="G43" t="str">
        <f>HYPERLINK("http://www.ncbi.nlm.nih.gov/Taxonomy/Browser/wwwtax.cgi?mode=Info&amp;id=61383&amp;lvl=3&amp;lin=f&amp;keep=1&amp;srchmode=1&amp;unlock","Lynx canadensis")</f>
        <v>Lynx canadensis</v>
      </c>
      <c r="H43" t="s">
        <v>63</v>
      </c>
      <c r="I43" t="str">
        <f>HYPERLINK("http://www.ncbi.nlm.nih.gov/protein/XP_030164911.1","fatty acid-binding protein, liver")</f>
        <v>fatty acid-binding protein, liver</v>
      </c>
      <c r="J43">
        <v>234.19</v>
      </c>
      <c r="K43" t="s">
        <v>25</v>
      </c>
      <c r="L43">
        <v>139</v>
      </c>
      <c r="M43">
        <v>50.68</v>
      </c>
      <c r="N43">
        <v>92.82</v>
      </c>
      <c r="O43" t="s">
        <v>20</v>
      </c>
      <c r="P43" t="s">
        <v>21</v>
      </c>
      <c r="Q43" t="s">
        <v>20</v>
      </c>
      <c r="R43" t="str">
        <f>HYPERLINK("https://cfpub.epa.gov/ecotox/explore.cfm?ncbi=61383","Explore in ECOTOX")</f>
        <v>Explore in ECOTOX</v>
      </c>
    </row>
    <row r="44" spans="1:18" x14ac:dyDescent="0.25">
      <c r="A44">
        <v>6</v>
      </c>
      <c r="B44" t="str">
        <f>HYPERLINK("http://www.ncbi.nlm.nih.gov/protein/XP_025783149.1","XP_025783149.1")</f>
        <v>XP_025783149.1</v>
      </c>
      <c r="C44">
        <v>23617</v>
      </c>
      <c r="D44" t="str">
        <f>HYPERLINK("http://www.ncbi.nlm.nih.gov/Taxonomy/Browser/wwwtax.cgi?mode=Info&amp;id=9696&amp;lvl=3&amp;lin=f&amp;keep=1&amp;srchmode=1&amp;unlock","9696")</f>
        <v>9696</v>
      </c>
      <c r="E44" t="s">
        <v>18</v>
      </c>
      <c r="F44" t="s">
        <v>18</v>
      </c>
      <c r="G44" t="str">
        <f>HYPERLINK("http://www.ncbi.nlm.nih.gov/Taxonomy/Browser/wwwtax.cgi?mode=Info&amp;id=9696&amp;lvl=3&amp;lin=f&amp;keep=1&amp;srchmode=1&amp;unlock","Puma concolor")</f>
        <v>Puma concolor</v>
      </c>
      <c r="H44" t="s">
        <v>64</v>
      </c>
      <c r="I44" t="str">
        <f>HYPERLINK("http://www.ncbi.nlm.nih.gov/protein/XP_025783149.1","fatty acid-binding protein, liver")</f>
        <v>fatty acid-binding protein, liver</v>
      </c>
      <c r="J44">
        <v>234.19</v>
      </c>
      <c r="K44" t="s">
        <v>25</v>
      </c>
      <c r="L44">
        <v>139</v>
      </c>
      <c r="M44">
        <v>50.68</v>
      </c>
      <c r="N44">
        <v>92.82</v>
      </c>
      <c r="O44" t="s">
        <v>20</v>
      </c>
      <c r="P44" t="s">
        <v>21</v>
      </c>
      <c r="Q44" t="s">
        <v>20</v>
      </c>
      <c r="R44" t="str">
        <f>HYPERLINK("https://cfpub.epa.gov/ecotox/explore.cfm?ncbi=9696","Explore in ECOTOX")</f>
        <v>Explore in ECOTOX</v>
      </c>
    </row>
    <row r="45" spans="1:18" x14ac:dyDescent="0.25">
      <c r="A45">
        <v>6</v>
      </c>
      <c r="B45" t="str">
        <f>HYPERLINK("http://www.ncbi.nlm.nih.gov/protein/XP_012328400.1","XP_012328400.1")</f>
        <v>XP_012328400.1</v>
      </c>
      <c r="C45">
        <v>48089</v>
      </c>
      <c r="D45" t="str">
        <f>HYPERLINK("http://www.ncbi.nlm.nih.gov/Taxonomy/Browser/wwwtax.cgi?mode=Info&amp;id=37293&amp;lvl=3&amp;lin=f&amp;keep=1&amp;srchmode=1&amp;unlock","37293")</f>
        <v>37293</v>
      </c>
      <c r="E45" t="s">
        <v>18</v>
      </c>
      <c r="F45" t="s">
        <v>18</v>
      </c>
      <c r="G45" t="str">
        <f>HYPERLINK("http://www.ncbi.nlm.nih.gov/Taxonomy/Browser/wwwtax.cgi?mode=Info&amp;id=37293&amp;lvl=3&amp;lin=f&amp;keep=1&amp;srchmode=1&amp;unlock","Aotus nancymaae")</f>
        <v>Aotus nancymaae</v>
      </c>
      <c r="H45" t="s">
        <v>65</v>
      </c>
      <c r="I45" t="str">
        <f>HYPERLINK("http://www.ncbi.nlm.nih.gov/protein/XP_012328400.1","fatty acid-binding protein, liver")</f>
        <v>fatty acid-binding protein, liver</v>
      </c>
      <c r="J45">
        <v>234.19</v>
      </c>
      <c r="K45" t="s">
        <v>25</v>
      </c>
      <c r="L45">
        <v>139</v>
      </c>
      <c r="M45">
        <v>50.68</v>
      </c>
      <c r="N45">
        <v>92.82</v>
      </c>
      <c r="O45" t="s">
        <v>20</v>
      </c>
      <c r="P45" t="s">
        <v>21</v>
      </c>
      <c r="Q45" t="s">
        <v>20</v>
      </c>
      <c r="R45" t="str">
        <f>HYPERLINK("https://cfpub.epa.gov/ecotox/explore.cfm?ncbi=37293","Explore in ECOTOX")</f>
        <v>Explore in ECOTOX</v>
      </c>
    </row>
    <row r="46" spans="1:18" x14ac:dyDescent="0.25">
      <c r="A46">
        <v>6</v>
      </c>
      <c r="B46" t="str">
        <f>HYPERLINK("http://www.ncbi.nlm.nih.gov/protein/XP_040352755.1","XP_040352755.1")</f>
        <v>XP_040352755.1</v>
      </c>
      <c r="C46">
        <v>55674</v>
      </c>
      <c r="D46" t="str">
        <f>HYPERLINK("http://www.ncbi.nlm.nih.gov/Taxonomy/Browser/wwwtax.cgi?mode=Info&amp;id=1608482&amp;lvl=3&amp;lin=f&amp;keep=1&amp;srchmode=1&amp;unlock","1608482")</f>
        <v>1608482</v>
      </c>
      <c r="E46" t="s">
        <v>18</v>
      </c>
      <c r="F46" t="s">
        <v>18</v>
      </c>
      <c r="G46" t="str">
        <f>HYPERLINK("http://www.ncbi.nlm.nih.gov/Taxonomy/Browser/wwwtax.cgi?mode=Info&amp;id=1608482&amp;lvl=3&amp;lin=f&amp;keep=1&amp;srchmode=1&amp;unlock","Puma yagouaroundi")</f>
        <v>Puma yagouaroundi</v>
      </c>
      <c r="H46" t="s">
        <v>66</v>
      </c>
      <c r="I46" t="str">
        <f>HYPERLINK("http://www.ncbi.nlm.nih.gov/protein/XP_040352755.1","fatty acid-binding protein, liver")</f>
        <v>fatty acid-binding protein, liver</v>
      </c>
      <c r="J46">
        <v>234.19</v>
      </c>
      <c r="K46" t="s">
        <v>25</v>
      </c>
      <c r="L46">
        <v>139</v>
      </c>
      <c r="M46">
        <v>50.68</v>
      </c>
      <c r="N46">
        <v>92.82</v>
      </c>
      <c r="O46" t="s">
        <v>20</v>
      </c>
      <c r="P46" t="s">
        <v>21</v>
      </c>
      <c r="Q46" t="s">
        <v>20</v>
      </c>
      <c r="R46" t="str">
        <f>HYPERLINK("https://cfpub.epa.gov/ecotox/explore.cfm?ncbi=1608482","Explore in ECOTOX")</f>
        <v>Explore in ECOTOX</v>
      </c>
    </row>
    <row r="47" spans="1:18" x14ac:dyDescent="0.25">
      <c r="A47">
        <v>6</v>
      </c>
      <c r="B47" t="str">
        <f>HYPERLINK("http://www.ncbi.nlm.nih.gov/protein/XP_027476370.1","XP_027476370.1")</f>
        <v>XP_027476370.1</v>
      </c>
      <c r="C47">
        <v>61138</v>
      </c>
      <c r="D47" t="str">
        <f>HYPERLINK("http://www.ncbi.nlm.nih.gov/Taxonomy/Browser/wwwtax.cgi?mode=Info&amp;id=9704&amp;lvl=3&amp;lin=f&amp;keep=1&amp;srchmode=1&amp;unlock","9704")</f>
        <v>9704</v>
      </c>
      <c r="E47" t="s">
        <v>18</v>
      </c>
      <c r="F47" t="s">
        <v>18</v>
      </c>
      <c r="G47" t="str">
        <f>HYPERLINK("http://www.ncbi.nlm.nih.gov/Taxonomy/Browser/wwwtax.cgi?mode=Info&amp;id=9704&amp;lvl=3&amp;lin=f&amp;keep=1&amp;srchmode=1&amp;unlock","Zalophus californianus")</f>
        <v>Zalophus californianus</v>
      </c>
      <c r="H47" t="s">
        <v>67</v>
      </c>
      <c r="I47" t="str">
        <f>HYPERLINK("http://www.ncbi.nlm.nih.gov/protein/XP_027476370.1","fatty acid-binding protein, liver")</f>
        <v>fatty acid-binding protein, liver</v>
      </c>
      <c r="J47">
        <v>234.19</v>
      </c>
      <c r="K47" t="s">
        <v>25</v>
      </c>
      <c r="L47">
        <v>139</v>
      </c>
      <c r="M47">
        <v>50.68</v>
      </c>
      <c r="N47">
        <v>92.82</v>
      </c>
      <c r="O47" t="s">
        <v>20</v>
      </c>
      <c r="P47" t="s">
        <v>21</v>
      </c>
      <c r="Q47" t="s">
        <v>20</v>
      </c>
      <c r="R47" t="str">
        <f>HYPERLINK("https://cfpub.epa.gov/ecotox/explore.cfm?ncbi=9704","Explore in ECOTOX")</f>
        <v>Explore in ECOTOX</v>
      </c>
    </row>
    <row r="48" spans="1:18" x14ac:dyDescent="0.25">
      <c r="A48">
        <v>6</v>
      </c>
      <c r="B48" t="str">
        <f>HYPERLINK("http://www.ncbi.nlm.nih.gov/protein/XP_035932047.1","XP_035932047.1")</f>
        <v>XP_035932047.1</v>
      </c>
      <c r="C48">
        <v>60330</v>
      </c>
      <c r="D48" t="str">
        <f>HYPERLINK("http://www.ncbi.nlm.nih.gov/Taxonomy/Browser/wwwtax.cgi?mode=Info&amp;id=9711&amp;lvl=3&amp;lin=f&amp;keep=1&amp;srchmode=1&amp;unlock","9711")</f>
        <v>9711</v>
      </c>
      <c r="E48" t="s">
        <v>18</v>
      </c>
      <c r="F48" t="s">
        <v>18</v>
      </c>
      <c r="G48" t="str">
        <f>HYPERLINK("http://www.ncbi.nlm.nih.gov/Taxonomy/Browser/wwwtax.cgi?mode=Info&amp;id=9711&amp;lvl=3&amp;lin=f&amp;keep=1&amp;srchmode=1&amp;unlock","Halichoerus grypus")</f>
        <v>Halichoerus grypus</v>
      </c>
      <c r="H48" t="s">
        <v>68</v>
      </c>
      <c r="I48" t="str">
        <f>HYPERLINK("http://www.ncbi.nlm.nih.gov/protein/XP_035932047.1","fatty acid-binding protein, liver")</f>
        <v>fatty acid-binding protein, liver</v>
      </c>
      <c r="J48">
        <v>234.19</v>
      </c>
      <c r="K48" t="s">
        <v>25</v>
      </c>
      <c r="L48">
        <v>139</v>
      </c>
      <c r="M48">
        <v>50.68</v>
      </c>
      <c r="N48">
        <v>92.82</v>
      </c>
      <c r="O48" t="s">
        <v>20</v>
      </c>
      <c r="P48" t="s">
        <v>21</v>
      </c>
      <c r="Q48" t="s">
        <v>20</v>
      </c>
      <c r="R48" t="str">
        <f>HYPERLINK("https://cfpub.epa.gov/ecotox/explore.cfm?ncbi=9711","Explore in ECOTOX")</f>
        <v>Explore in ECOTOX</v>
      </c>
    </row>
    <row r="49" spans="1:18" x14ac:dyDescent="0.25">
      <c r="A49">
        <v>6</v>
      </c>
      <c r="B49" t="str">
        <f>HYPERLINK("http://www.ncbi.nlm.nih.gov/protein/XP_008069922.1","XP_008069922.1")</f>
        <v>XP_008069922.1</v>
      </c>
      <c r="C49">
        <v>33266</v>
      </c>
      <c r="D49" t="str">
        <f>HYPERLINK("http://www.ncbi.nlm.nih.gov/Taxonomy/Browser/wwwtax.cgi?mode=Info&amp;id=1868482&amp;lvl=3&amp;lin=f&amp;keep=1&amp;srchmode=1&amp;unlock","1868482")</f>
        <v>1868482</v>
      </c>
      <c r="E49" t="s">
        <v>18</v>
      </c>
      <c r="F49" t="s">
        <v>18</v>
      </c>
      <c r="G49" t="str">
        <f>HYPERLINK("http://www.ncbi.nlm.nih.gov/Taxonomy/Browser/wwwtax.cgi?mode=Info&amp;id=1868482&amp;lvl=3&amp;lin=f&amp;keep=1&amp;srchmode=1&amp;unlock","Carlito syrichta")</f>
        <v>Carlito syrichta</v>
      </c>
      <c r="H49" t="s">
        <v>69</v>
      </c>
      <c r="I49" t="str">
        <f>HYPERLINK("http://www.ncbi.nlm.nih.gov/protein/XP_008069922.1","fatty acid-binding protein, liver")</f>
        <v>fatty acid-binding protein, liver</v>
      </c>
      <c r="J49">
        <v>233.8</v>
      </c>
      <c r="K49" t="s">
        <v>20</v>
      </c>
      <c r="L49">
        <v>139</v>
      </c>
      <c r="M49">
        <v>50.68</v>
      </c>
      <c r="N49">
        <v>92.67</v>
      </c>
      <c r="O49" t="s">
        <v>20</v>
      </c>
      <c r="P49" t="s">
        <v>21</v>
      </c>
      <c r="Q49" t="s">
        <v>20</v>
      </c>
      <c r="R49" t="str">
        <f>HYPERLINK("https://cfpub.epa.gov/ecotox/explore.cfm?ncbi=1868482","Explore in ECOTOX")</f>
        <v>Explore in ECOTOX</v>
      </c>
    </row>
    <row r="50" spans="1:18" x14ac:dyDescent="0.25">
      <c r="A50">
        <v>6</v>
      </c>
      <c r="B50" t="str">
        <f>HYPERLINK("http://www.ncbi.nlm.nih.gov/protein/XP_006168422.1","XP_006168422.1")</f>
        <v>XP_006168422.1</v>
      </c>
      <c r="C50">
        <v>59503</v>
      </c>
      <c r="D50" t="str">
        <f>HYPERLINK("http://www.ncbi.nlm.nih.gov/Taxonomy/Browser/wwwtax.cgi?mode=Info&amp;id=246437&amp;lvl=3&amp;lin=f&amp;keep=1&amp;srchmode=1&amp;unlock","246437")</f>
        <v>246437</v>
      </c>
      <c r="E50" t="s">
        <v>18</v>
      </c>
      <c r="F50" t="s">
        <v>18</v>
      </c>
      <c r="G50" t="str">
        <f>HYPERLINK("http://www.ncbi.nlm.nih.gov/Taxonomy/Browser/wwwtax.cgi?mode=Info&amp;id=246437&amp;lvl=3&amp;lin=f&amp;keep=1&amp;srchmode=1&amp;unlock","Tupaia chinensis")</f>
        <v>Tupaia chinensis</v>
      </c>
      <c r="H50" t="s">
        <v>70</v>
      </c>
      <c r="I50" t="str">
        <f>HYPERLINK("http://www.ncbi.nlm.nih.gov/protein/XP_006168422.1","fatty acid-binding protein, liver")</f>
        <v>fatty acid-binding protein, liver</v>
      </c>
      <c r="J50">
        <v>233.8</v>
      </c>
      <c r="K50" t="s">
        <v>25</v>
      </c>
      <c r="L50">
        <v>139</v>
      </c>
      <c r="M50">
        <v>50.68</v>
      </c>
      <c r="N50">
        <v>92.67</v>
      </c>
      <c r="O50" t="s">
        <v>20</v>
      </c>
      <c r="P50" t="s">
        <v>21</v>
      </c>
      <c r="Q50" t="s">
        <v>20</v>
      </c>
      <c r="R50" t="str">
        <f>HYPERLINK("https://cfpub.epa.gov/ecotox/explore.cfm?ncbi=246437","Explore in ECOTOX")</f>
        <v>Explore in ECOTOX</v>
      </c>
    </row>
    <row r="51" spans="1:18" x14ac:dyDescent="0.25">
      <c r="A51">
        <v>6</v>
      </c>
      <c r="B51" t="str">
        <f>HYPERLINK("http://www.ncbi.nlm.nih.gov/protein/XP_022360267.1","XP_022360267.1")</f>
        <v>XP_022360267.1</v>
      </c>
      <c r="C51">
        <v>36593</v>
      </c>
      <c r="D51" t="str">
        <f>HYPERLINK("http://www.ncbi.nlm.nih.gov/Taxonomy/Browser/wwwtax.cgi?mode=Info&amp;id=391180&amp;lvl=3&amp;lin=f&amp;keep=1&amp;srchmode=1&amp;unlock","391180")</f>
        <v>391180</v>
      </c>
      <c r="E51" t="s">
        <v>18</v>
      </c>
      <c r="F51" t="s">
        <v>18</v>
      </c>
      <c r="G51" t="str">
        <f>HYPERLINK("http://www.ncbi.nlm.nih.gov/Taxonomy/Browser/wwwtax.cgi?mode=Info&amp;id=391180&amp;lvl=3&amp;lin=f&amp;keep=1&amp;srchmode=1&amp;unlock","Enhydra lutris kenyoni")</f>
        <v>Enhydra lutris kenyoni</v>
      </c>
      <c r="H51" t="s">
        <v>71</v>
      </c>
      <c r="I51" t="str">
        <f>HYPERLINK("http://www.ncbi.nlm.nih.gov/protein/XP_022360267.1","fatty acid-binding protein, liver")</f>
        <v>fatty acid-binding protein, liver</v>
      </c>
      <c r="J51">
        <v>233.42</v>
      </c>
      <c r="K51" t="s">
        <v>25</v>
      </c>
      <c r="L51">
        <v>139</v>
      </c>
      <c r="M51">
        <v>50.68</v>
      </c>
      <c r="N51">
        <v>92.52</v>
      </c>
      <c r="O51" t="s">
        <v>20</v>
      </c>
      <c r="P51" t="s">
        <v>21</v>
      </c>
      <c r="Q51" t="s">
        <v>20</v>
      </c>
      <c r="R51" t="str">
        <f>HYPERLINK("https://cfpub.epa.gov/ecotox/explore.cfm?ncbi=391180","Explore in ECOTOX")</f>
        <v>Explore in ECOTOX</v>
      </c>
    </row>
    <row r="52" spans="1:18" x14ac:dyDescent="0.25">
      <c r="A52">
        <v>6</v>
      </c>
      <c r="B52" t="str">
        <f>HYPERLINK("http://www.ncbi.nlm.nih.gov/protein/VFV46488.1","VFV46488.1")</f>
        <v>VFV46488.1</v>
      </c>
      <c r="C52">
        <v>31243</v>
      </c>
      <c r="D52" t="str">
        <f>HYPERLINK("http://www.ncbi.nlm.nih.gov/Taxonomy/Browser/wwwtax.cgi?mode=Info&amp;id=191816&amp;lvl=3&amp;lin=f&amp;keep=1&amp;srchmode=1&amp;unlock","191816")</f>
        <v>191816</v>
      </c>
      <c r="E52" t="s">
        <v>18</v>
      </c>
      <c r="F52" t="s">
        <v>18</v>
      </c>
      <c r="G52" t="str">
        <f>HYPERLINK("http://www.ncbi.nlm.nih.gov/Taxonomy/Browser/wwwtax.cgi?mode=Info&amp;id=191816&amp;lvl=3&amp;lin=f&amp;keep=1&amp;srchmode=1&amp;unlock","Lynx pardinus")</f>
        <v>Lynx pardinus</v>
      </c>
      <c r="H52" t="s">
        <v>72</v>
      </c>
      <c r="I52" t="str">
        <f>HYPERLINK("http://www.ncbi.nlm.nih.gov/protein/VFV46488.1","fatty acid-binding liver")</f>
        <v>fatty acid-binding liver</v>
      </c>
      <c r="J52">
        <v>233.03</v>
      </c>
      <c r="K52" t="s">
        <v>20</v>
      </c>
      <c r="L52">
        <v>139</v>
      </c>
      <c r="M52">
        <v>50.68</v>
      </c>
      <c r="N52">
        <v>92.37</v>
      </c>
      <c r="O52" t="s">
        <v>20</v>
      </c>
      <c r="P52" t="s">
        <v>21</v>
      </c>
      <c r="Q52" t="s">
        <v>20</v>
      </c>
      <c r="R52" t="str">
        <f>HYPERLINK("https://cfpub.epa.gov/ecotox/explore.cfm?ncbi=191816","Explore in ECOTOX")</f>
        <v>Explore in ECOTOX</v>
      </c>
    </row>
    <row r="53" spans="1:18" x14ac:dyDescent="0.25">
      <c r="A53">
        <v>6</v>
      </c>
      <c r="B53" t="str">
        <f>HYPERLINK("http://www.ncbi.nlm.nih.gov/protein/XP_003942565.1","XP_003942565.1")</f>
        <v>XP_003942565.1</v>
      </c>
      <c r="C53">
        <v>45635</v>
      </c>
      <c r="D53" t="str">
        <f>HYPERLINK("http://www.ncbi.nlm.nih.gov/Taxonomy/Browser/wwwtax.cgi?mode=Info&amp;id=39432&amp;lvl=3&amp;lin=f&amp;keep=1&amp;srchmode=1&amp;unlock","39432")</f>
        <v>39432</v>
      </c>
      <c r="E53" t="s">
        <v>18</v>
      </c>
      <c r="F53" t="s">
        <v>18</v>
      </c>
      <c r="G53" t="str">
        <f>HYPERLINK("http://www.ncbi.nlm.nih.gov/Taxonomy/Browser/wwwtax.cgi?mode=Info&amp;id=39432&amp;lvl=3&amp;lin=f&amp;keep=1&amp;srchmode=1&amp;unlock","Saimiri boliviensis boliviensis")</f>
        <v>Saimiri boliviensis boliviensis</v>
      </c>
      <c r="H53" t="s">
        <v>73</v>
      </c>
      <c r="I53" t="str">
        <f>HYPERLINK("http://www.ncbi.nlm.nih.gov/protein/XP_003942565.1","fatty acid-binding protein, liver")</f>
        <v>fatty acid-binding protein, liver</v>
      </c>
      <c r="J53">
        <v>232.26</v>
      </c>
      <c r="K53" t="s">
        <v>25</v>
      </c>
      <c r="L53">
        <v>139</v>
      </c>
      <c r="M53">
        <v>50.68</v>
      </c>
      <c r="N53">
        <v>92.06</v>
      </c>
      <c r="O53" t="s">
        <v>20</v>
      </c>
      <c r="P53" t="s">
        <v>21</v>
      </c>
      <c r="Q53" t="s">
        <v>20</v>
      </c>
      <c r="R53" t="str">
        <f>HYPERLINK("https://cfpub.epa.gov/ecotox/explore.cfm?ncbi=39432","Explore in ECOTOX")</f>
        <v>Explore in ECOTOX</v>
      </c>
    </row>
    <row r="54" spans="1:18" x14ac:dyDescent="0.25">
      <c r="A54">
        <v>6</v>
      </c>
      <c r="B54" t="str">
        <f>HYPERLINK("http://www.ncbi.nlm.nih.gov/protein/XP_007082383.1","XP_007082383.1")</f>
        <v>XP_007082383.1</v>
      </c>
      <c r="C54">
        <v>29960</v>
      </c>
      <c r="D54" t="str">
        <f>HYPERLINK("http://www.ncbi.nlm.nih.gov/Taxonomy/Browser/wwwtax.cgi?mode=Info&amp;id=74533&amp;lvl=3&amp;lin=f&amp;keep=1&amp;srchmode=1&amp;unlock","74533")</f>
        <v>74533</v>
      </c>
      <c r="E54" t="s">
        <v>18</v>
      </c>
      <c r="F54" t="s">
        <v>18</v>
      </c>
      <c r="G54" t="str">
        <f>HYPERLINK("http://www.ncbi.nlm.nih.gov/Taxonomy/Browser/wwwtax.cgi?mode=Info&amp;id=74533&amp;lvl=3&amp;lin=f&amp;keep=1&amp;srchmode=1&amp;unlock","Panthera tigris altaica")</f>
        <v>Panthera tigris altaica</v>
      </c>
      <c r="H54" t="s">
        <v>74</v>
      </c>
      <c r="I54" t="str">
        <f>HYPERLINK("http://www.ncbi.nlm.nih.gov/protein/XP_007082383.1","PREDICTED: fatty acid-binding protein, liver")</f>
        <v>PREDICTED: fatty acid-binding protein, liver</v>
      </c>
      <c r="J54">
        <v>232.26</v>
      </c>
      <c r="K54" t="s">
        <v>25</v>
      </c>
      <c r="L54">
        <v>139</v>
      </c>
      <c r="M54">
        <v>50.68</v>
      </c>
      <c r="N54">
        <v>92.06</v>
      </c>
      <c r="O54" t="s">
        <v>20</v>
      </c>
      <c r="P54" t="s">
        <v>21</v>
      </c>
      <c r="Q54" t="s">
        <v>20</v>
      </c>
      <c r="R54" t="str">
        <f>HYPERLINK("https://cfpub.epa.gov/ecotox/explore.cfm?ncbi=74533","Explore in ECOTOX")</f>
        <v>Explore in ECOTOX</v>
      </c>
    </row>
    <row r="55" spans="1:18" x14ac:dyDescent="0.25">
      <c r="A55">
        <v>6</v>
      </c>
      <c r="B55" t="str">
        <f>HYPERLINK("http://www.ncbi.nlm.nih.gov/protein/XP_019299758.1","XP_019299758.1")</f>
        <v>XP_019299758.1</v>
      </c>
      <c r="C55">
        <v>58570</v>
      </c>
      <c r="D55" t="str">
        <f>HYPERLINK("http://www.ncbi.nlm.nih.gov/Taxonomy/Browser/wwwtax.cgi?mode=Info&amp;id=9691&amp;lvl=3&amp;lin=f&amp;keep=1&amp;srchmode=1&amp;unlock","9691")</f>
        <v>9691</v>
      </c>
      <c r="E55" t="s">
        <v>18</v>
      </c>
      <c r="F55" t="s">
        <v>18</v>
      </c>
      <c r="G55" t="str">
        <f>HYPERLINK("http://www.ncbi.nlm.nih.gov/Taxonomy/Browser/wwwtax.cgi?mode=Info&amp;id=9691&amp;lvl=3&amp;lin=f&amp;keep=1&amp;srchmode=1&amp;unlock","Panthera pardus")</f>
        <v>Panthera pardus</v>
      </c>
      <c r="H55" t="s">
        <v>75</v>
      </c>
      <c r="I55" t="str">
        <f>HYPERLINK("http://www.ncbi.nlm.nih.gov/protein/XP_019299758.1","PREDICTED: fatty acid-binding protein, liver")</f>
        <v>PREDICTED: fatty acid-binding protein, liver</v>
      </c>
      <c r="J55">
        <v>232.26</v>
      </c>
      <c r="K55" t="s">
        <v>25</v>
      </c>
      <c r="L55">
        <v>139</v>
      </c>
      <c r="M55">
        <v>50.68</v>
      </c>
      <c r="N55">
        <v>92.06</v>
      </c>
      <c r="O55" t="s">
        <v>20</v>
      </c>
      <c r="P55" t="s">
        <v>21</v>
      </c>
      <c r="Q55" t="s">
        <v>20</v>
      </c>
      <c r="R55" t="str">
        <f>HYPERLINK("https://cfpub.epa.gov/ecotox/explore.cfm?ncbi=9691","Explore in ECOTOX")</f>
        <v>Explore in ECOTOX</v>
      </c>
    </row>
    <row r="56" spans="1:18" x14ac:dyDescent="0.25">
      <c r="A56">
        <v>6</v>
      </c>
      <c r="B56" t="str">
        <f>HYPERLINK("http://www.ncbi.nlm.nih.gov/protein/XP_027804721.2","XP_027804721.2")</f>
        <v>XP_027804721.2</v>
      </c>
      <c r="C56">
        <v>37737</v>
      </c>
      <c r="D56" t="str">
        <f>HYPERLINK("http://www.ncbi.nlm.nih.gov/Taxonomy/Browser/wwwtax.cgi?mode=Info&amp;id=93162&amp;lvl=3&amp;lin=f&amp;keep=1&amp;srchmode=1&amp;unlock","93162")</f>
        <v>93162</v>
      </c>
      <c r="E56" t="s">
        <v>18</v>
      </c>
      <c r="F56" t="s">
        <v>18</v>
      </c>
      <c r="G56" t="str">
        <f>HYPERLINK("http://www.ncbi.nlm.nih.gov/Taxonomy/Browser/wwwtax.cgi?mode=Info&amp;id=93162&amp;lvl=3&amp;lin=f&amp;keep=1&amp;srchmode=1&amp;unlock","Marmota flaviventris")</f>
        <v>Marmota flaviventris</v>
      </c>
      <c r="H56" t="s">
        <v>76</v>
      </c>
      <c r="I56" t="str">
        <f>HYPERLINK("http://www.ncbi.nlm.nih.gov/protein/XP_027804721.2","fatty acid-binding protein, liver")</f>
        <v>fatty acid-binding protein, liver</v>
      </c>
      <c r="J56">
        <v>231.11</v>
      </c>
      <c r="K56" t="s">
        <v>25</v>
      </c>
      <c r="L56">
        <v>139</v>
      </c>
      <c r="M56">
        <v>50.68</v>
      </c>
      <c r="N56">
        <v>91.6</v>
      </c>
      <c r="O56" t="s">
        <v>20</v>
      </c>
      <c r="P56" t="s">
        <v>21</v>
      </c>
      <c r="Q56" t="s">
        <v>20</v>
      </c>
      <c r="R56" t="str">
        <f>HYPERLINK("https://cfpub.epa.gov/ecotox/explore.cfm?ncbi=93162","Explore in ECOTOX")</f>
        <v>Explore in ECOTOX</v>
      </c>
    </row>
    <row r="57" spans="1:18" x14ac:dyDescent="0.25">
      <c r="A57">
        <v>6</v>
      </c>
      <c r="B57" t="str">
        <f>HYPERLINK("http://www.ncbi.nlm.nih.gov/protein/XP_016057263.1","XP_016057263.1")</f>
        <v>XP_016057263.1</v>
      </c>
      <c r="C57">
        <v>29863</v>
      </c>
      <c r="D57" t="str">
        <f>HYPERLINK("http://www.ncbi.nlm.nih.gov/Taxonomy/Browser/wwwtax.cgi?mode=Info&amp;id=291302&amp;lvl=3&amp;lin=f&amp;keep=1&amp;srchmode=1&amp;unlock","291302")</f>
        <v>291302</v>
      </c>
      <c r="E57" t="s">
        <v>18</v>
      </c>
      <c r="F57" t="s">
        <v>18</v>
      </c>
      <c r="G57" t="str">
        <f>HYPERLINK("http://www.ncbi.nlm.nih.gov/Taxonomy/Browser/wwwtax.cgi?mode=Info&amp;id=291302&amp;lvl=3&amp;lin=f&amp;keep=1&amp;srchmode=1&amp;unlock","Miniopterus natalensis")</f>
        <v>Miniopterus natalensis</v>
      </c>
      <c r="H57" t="s">
        <v>77</v>
      </c>
      <c r="I57" t="str">
        <f>HYPERLINK("http://www.ncbi.nlm.nih.gov/protein/XP_016057263.1","PREDICTED: fatty acid-binding protein, liver")</f>
        <v>PREDICTED: fatty acid-binding protein, liver</v>
      </c>
      <c r="J57">
        <v>231.11</v>
      </c>
      <c r="K57" t="s">
        <v>25</v>
      </c>
      <c r="L57">
        <v>139</v>
      </c>
      <c r="M57">
        <v>50.68</v>
      </c>
      <c r="N57">
        <v>91.6</v>
      </c>
      <c r="O57" t="s">
        <v>20</v>
      </c>
      <c r="P57" t="s">
        <v>21</v>
      </c>
      <c r="Q57" t="s">
        <v>20</v>
      </c>
      <c r="R57" t="str">
        <f>HYPERLINK("https://cfpub.epa.gov/ecotox/explore.cfm?ncbi=291302","Explore in ECOTOX")</f>
        <v>Explore in ECOTOX</v>
      </c>
    </row>
    <row r="58" spans="1:18" x14ac:dyDescent="0.25">
      <c r="A58">
        <v>6</v>
      </c>
      <c r="B58" t="str">
        <f>HYPERLINK("http://www.ncbi.nlm.nih.gov/protein/XP_005338488.1","XP_005338488.1")</f>
        <v>XP_005338488.1</v>
      </c>
      <c r="C58">
        <v>94507</v>
      </c>
      <c r="D58" t="str">
        <f>HYPERLINK("http://www.ncbi.nlm.nih.gov/Taxonomy/Browser/wwwtax.cgi?mode=Info&amp;id=43179&amp;lvl=3&amp;lin=f&amp;keep=1&amp;srchmode=1&amp;unlock","43179")</f>
        <v>43179</v>
      </c>
      <c r="E58" t="s">
        <v>18</v>
      </c>
      <c r="F58" t="s">
        <v>18</v>
      </c>
      <c r="G58" t="str">
        <f>HYPERLINK("http://www.ncbi.nlm.nih.gov/Taxonomy/Browser/wwwtax.cgi?mode=Info&amp;id=43179&amp;lvl=3&amp;lin=f&amp;keep=1&amp;srchmode=1&amp;unlock","Ictidomys tridecemlineatus")</f>
        <v>Ictidomys tridecemlineatus</v>
      </c>
      <c r="H58" t="s">
        <v>78</v>
      </c>
      <c r="I58" t="str">
        <f>HYPERLINK("http://www.ncbi.nlm.nih.gov/protein/XP_005338488.1","fatty acid-binding protein, liver")</f>
        <v>fatty acid-binding protein, liver</v>
      </c>
      <c r="J58">
        <v>231.11</v>
      </c>
      <c r="K58" t="s">
        <v>25</v>
      </c>
      <c r="L58">
        <v>139</v>
      </c>
      <c r="M58">
        <v>50.68</v>
      </c>
      <c r="N58">
        <v>91.6</v>
      </c>
      <c r="O58" t="s">
        <v>20</v>
      </c>
      <c r="P58" t="s">
        <v>21</v>
      </c>
      <c r="Q58" t="s">
        <v>20</v>
      </c>
      <c r="R58" t="str">
        <f>HYPERLINK("https://cfpub.epa.gov/ecotox/explore.cfm?ncbi=43179","Explore in ECOTOX")</f>
        <v>Explore in ECOTOX</v>
      </c>
    </row>
    <row r="59" spans="1:18" x14ac:dyDescent="0.25">
      <c r="A59">
        <v>6</v>
      </c>
      <c r="B59" t="str">
        <f>HYPERLINK("http://www.ncbi.nlm.nih.gov/protein/XP_008978612.1","XP_008978612.1")</f>
        <v>XP_008978612.1</v>
      </c>
      <c r="C59">
        <v>87648</v>
      </c>
      <c r="D59" t="str">
        <f>HYPERLINK("http://www.ncbi.nlm.nih.gov/Taxonomy/Browser/wwwtax.cgi?mode=Info&amp;id=9483&amp;lvl=3&amp;lin=f&amp;keep=1&amp;srchmode=1&amp;unlock","9483")</f>
        <v>9483</v>
      </c>
      <c r="E59" t="s">
        <v>18</v>
      </c>
      <c r="F59" t="s">
        <v>18</v>
      </c>
      <c r="G59" t="str">
        <f>HYPERLINK("http://www.ncbi.nlm.nih.gov/Taxonomy/Browser/wwwtax.cgi?mode=Info&amp;id=9483&amp;lvl=3&amp;lin=f&amp;keep=1&amp;srchmode=1&amp;unlock","Callithrix jacchus")</f>
        <v>Callithrix jacchus</v>
      </c>
      <c r="H59" t="s">
        <v>79</v>
      </c>
      <c r="I59" t="str">
        <f>HYPERLINK("http://www.ncbi.nlm.nih.gov/protein/XP_008978612.1","fatty acid-binding protein, liver")</f>
        <v>fatty acid-binding protein, liver</v>
      </c>
      <c r="J59">
        <v>230.34</v>
      </c>
      <c r="K59" t="s">
        <v>25</v>
      </c>
      <c r="L59">
        <v>139</v>
      </c>
      <c r="M59">
        <v>50.68</v>
      </c>
      <c r="N59">
        <v>91.3</v>
      </c>
      <c r="O59" t="s">
        <v>20</v>
      </c>
      <c r="P59" t="s">
        <v>21</v>
      </c>
      <c r="Q59" t="s">
        <v>20</v>
      </c>
      <c r="R59" t="str">
        <f>HYPERLINK("https://cfpub.epa.gov/ecotox/explore.cfm?ncbi=9483","Explore in ECOTOX")</f>
        <v>Explore in ECOTOX</v>
      </c>
    </row>
    <row r="60" spans="1:18" x14ac:dyDescent="0.25">
      <c r="A60">
        <v>6</v>
      </c>
      <c r="B60" t="str">
        <f>HYPERLINK("http://www.ncbi.nlm.nih.gov/protein/KAF7463725.1","KAF7463725.1")</f>
        <v>KAF7463725.1</v>
      </c>
      <c r="C60">
        <v>69383</v>
      </c>
      <c r="D60" t="str">
        <f>HYPERLINK("http://www.ncbi.nlm.nih.gov/Taxonomy/Browser/wwwtax.cgi?mode=Info&amp;id=9995&amp;lvl=3&amp;lin=f&amp;keep=1&amp;srchmode=1&amp;unlock","9995")</f>
        <v>9995</v>
      </c>
      <c r="E60" t="s">
        <v>18</v>
      </c>
      <c r="F60" t="s">
        <v>18</v>
      </c>
      <c r="G60" t="str">
        <f>HYPERLINK("http://www.ncbi.nlm.nih.gov/Taxonomy/Browser/wwwtax.cgi?mode=Info&amp;id=9995&amp;lvl=3&amp;lin=f&amp;keep=1&amp;srchmode=1&amp;unlock","Marmota monax")</f>
        <v>Marmota monax</v>
      </c>
      <c r="H60" t="s">
        <v>80</v>
      </c>
      <c r="I60" t="str">
        <f>HYPERLINK("http://www.ncbi.nlm.nih.gov/protein/KAF7463725.1","fatty acid-binding protein liver")</f>
        <v>fatty acid-binding protein liver</v>
      </c>
      <c r="J60">
        <v>230.34</v>
      </c>
      <c r="K60" t="s">
        <v>25</v>
      </c>
      <c r="L60">
        <v>139</v>
      </c>
      <c r="M60">
        <v>50.68</v>
      </c>
      <c r="N60">
        <v>91.3</v>
      </c>
      <c r="O60" t="s">
        <v>20</v>
      </c>
      <c r="P60" t="s">
        <v>21</v>
      </c>
      <c r="Q60" t="s">
        <v>20</v>
      </c>
      <c r="R60" t="str">
        <f>HYPERLINK("https://cfpub.epa.gov/ecotox/explore.cfm?ncbi=9995","Explore in ECOTOX")</f>
        <v>Explore in ECOTOX</v>
      </c>
    </row>
    <row r="61" spans="1:18" x14ac:dyDescent="0.25">
      <c r="A61">
        <v>6</v>
      </c>
      <c r="B61" t="str">
        <f>HYPERLINK("http://www.ncbi.nlm.nih.gov/protein/XP_015361843.1","XP_015361843.1")</f>
        <v>XP_015361843.1</v>
      </c>
      <c r="C61">
        <v>31077</v>
      </c>
      <c r="D61" t="str">
        <f>HYPERLINK("http://www.ncbi.nlm.nih.gov/Taxonomy/Browser/wwwtax.cgi?mode=Info&amp;id=9994&amp;lvl=3&amp;lin=f&amp;keep=1&amp;srchmode=1&amp;unlock","9994")</f>
        <v>9994</v>
      </c>
      <c r="E61" t="s">
        <v>18</v>
      </c>
      <c r="F61" t="s">
        <v>18</v>
      </c>
      <c r="G61" t="str">
        <f>HYPERLINK("http://www.ncbi.nlm.nih.gov/Taxonomy/Browser/wwwtax.cgi?mode=Info&amp;id=9994&amp;lvl=3&amp;lin=f&amp;keep=1&amp;srchmode=1&amp;unlock","Marmota marmota marmota")</f>
        <v>Marmota marmota marmota</v>
      </c>
      <c r="H61" t="s">
        <v>81</v>
      </c>
      <c r="I61" t="str">
        <f>HYPERLINK("http://www.ncbi.nlm.nih.gov/protein/XP_015361843.1","PREDICTED: fatty acid-binding protein, liver")</f>
        <v>PREDICTED: fatty acid-binding protein, liver</v>
      </c>
      <c r="J61">
        <v>230.34</v>
      </c>
      <c r="K61" t="s">
        <v>25</v>
      </c>
      <c r="L61">
        <v>139</v>
      </c>
      <c r="M61">
        <v>50.68</v>
      </c>
      <c r="N61">
        <v>91.3</v>
      </c>
      <c r="O61" t="s">
        <v>20</v>
      </c>
      <c r="P61" t="s">
        <v>21</v>
      </c>
      <c r="Q61" t="s">
        <v>20</v>
      </c>
      <c r="R61" t="str">
        <f>HYPERLINK("https://cfpub.epa.gov/ecotox/explore.cfm?ncbi=9994","Explore in ECOTOX")</f>
        <v>Explore in ECOTOX</v>
      </c>
    </row>
    <row r="62" spans="1:18" x14ac:dyDescent="0.25">
      <c r="A62">
        <v>6</v>
      </c>
      <c r="B62" t="str">
        <f>HYPERLINK("http://www.ncbi.nlm.nih.gov/protein/XP_019488527.1","XP_019488527.1")</f>
        <v>XP_019488527.1</v>
      </c>
      <c r="C62">
        <v>46132</v>
      </c>
      <c r="D62" t="str">
        <f>HYPERLINK("http://www.ncbi.nlm.nih.gov/Taxonomy/Browser/wwwtax.cgi?mode=Info&amp;id=186990&amp;lvl=3&amp;lin=f&amp;keep=1&amp;srchmode=1&amp;unlock","186990")</f>
        <v>186990</v>
      </c>
      <c r="E62" t="s">
        <v>18</v>
      </c>
      <c r="F62" t="s">
        <v>18</v>
      </c>
      <c r="G62" t="str">
        <f>HYPERLINK("http://www.ncbi.nlm.nih.gov/Taxonomy/Browser/wwwtax.cgi?mode=Info&amp;id=186990&amp;lvl=3&amp;lin=f&amp;keep=1&amp;srchmode=1&amp;unlock","Hipposideros armiger")</f>
        <v>Hipposideros armiger</v>
      </c>
      <c r="H62" t="s">
        <v>82</v>
      </c>
      <c r="I62" t="str">
        <f>HYPERLINK("http://www.ncbi.nlm.nih.gov/protein/XP_019488527.1","PREDICTED: fatty acid-binding protein, liver")</f>
        <v>PREDICTED: fatty acid-binding protein, liver</v>
      </c>
      <c r="J62">
        <v>230.34</v>
      </c>
      <c r="K62" t="s">
        <v>25</v>
      </c>
      <c r="L62">
        <v>139</v>
      </c>
      <c r="M62">
        <v>50.68</v>
      </c>
      <c r="N62">
        <v>91.3</v>
      </c>
      <c r="O62" t="s">
        <v>20</v>
      </c>
      <c r="P62" t="s">
        <v>21</v>
      </c>
      <c r="Q62" t="s">
        <v>20</v>
      </c>
      <c r="R62" t="str">
        <f>HYPERLINK("https://cfpub.epa.gov/ecotox/explore.cfm?ncbi=186990","Explore in ECOTOX")</f>
        <v>Explore in ECOTOX</v>
      </c>
    </row>
    <row r="63" spans="1:18" x14ac:dyDescent="0.25">
      <c r="A63">
        <v>6</v>
      </c>
      <c r="B63" t="str">
        <f>HYPERLINK("http://www.ncbi.nlm.nih.gov/protein/XP_004414263.1","XP_004414263.1")</f>
        <v>XP_004414263.1</v>
      </c>
      <c r="C63">
        <v>31383</v>
      </c>
      <c r="D63" t="str">
        <f>HYPERLINK("http://www.ncbi.nlm.nih.gov/Taxonomy/Browser/wwwtax.cgi?mode=Info&amp;id=9708&amp;lvl=3&amp;lin=f&amp;keep=1&amp;srchmode=1&amp;unlock","9708")</f>
        <v>9708</v>
      </c>
      <c r="E63" t="s">
        <v>18</v>
      </c>
      <c r="F63" t="s">
        <v>18</v>
      </c>
      <c r="G63" t="str">
        <f>HYPERLINK("http://www.ncbi.nlm.nih.gov/Taxonomy/Browser/wwwtax.cgi?mode=Info&amp;id=9708&amp;lvl=3&amp;lin=f&amp;keep=1&amp;srchmode=1&amp;unlock","Odobenus rosmarus divergens")</f>
        <v>Odobenus rosmarus divergens</v>
      </c>
      <c r="H63" t="s">
        <v>83</v>
      </c>
      <c r="I63" t="str">
        <f>HYPERLINK("http://www.ncbi.nlm.nih.gov/protein/XP_004414263.1","PREDICTED: fatty acid-binding protein, liver")</f>
        <v>PREDICTED: fatty acid-binding protein, liver</v>
      </c>
      <c r="J63">
        <v>229.95</v>
      </c>
      <c r="K63" t="s">
        <v>20</v>
      </c>
      <c r="L63">
        <v>139</v>
      </c>
      <c r="M63">
        <v>50.68</v>
      </c>
      <c r="N63">
        <v>91.14</v>
      </c>
      <c r="O63" t="s">
        <v>20</v>
      </c>
      <c r="P63" t="s">
        <v>21</v>
      </c>
      <c r="Q63" t="s">
        <v>20</v>
      </c>
      <c r="R63" t="str">
        <f>HYPERLINK("https://cfpub.epa.gov/ecotox/explore.cfm?ncbi=9708","Explore in ECOTOX")</f>
        <v>Explore in ECOTOX</v>
      </c>
    </row>
    <row r="64" spans="1:18" x14ac:dyDescent="0.25">
      <c r="A64">
        <v>6</v>
      </c>
      <c r="B64" t="str">
        <f>HYPERLINK("http://www.ncbi.nlm.nih.gov/protein/XP_026265265.1","XP_026265265.1")</f>
        <v>XP_026265265.1</v>
      </c>
      <c r="C64">
        <v>36494</v>
      </c>
      <c r="D64" t="str">
        <f>HYPERLINK("http://www.ncbi.nlm.nih.gov/Taxonomy/Browser/wwwtax.cgi?mode=Info&amp;id=9999&amp;lvl=3&amp;lin=f&amp;keep=1&amp;srchmode=1&amp;unlock","9999")</f>
        <v>9999</v>
      </c>
      <c r="E64" t="s">
        <v>18</v>
      </c>
      <c r="F64" t="s">
        <v>18</v>
      </c>
      <c r="G64" t="str">
        <f>HYPERLINK("http://www.ncbi.nlm.nih.gov/Taxonomy/Browser/wwwtax.cgi?mode=Info&amp;id=9999&amp;lvl=3&amp;lin=f&amp;keep=1&amp;srchmode=1&amp;unlock","Urocitellus parryii")</f>
        <v>Urocitellus parryii</v>
      </c>
      <c r="H64" t="s">
        <v>84</v>
      </c>
      <c r="I64" t="str">
        <f>HYPERLINK("http://www.ncbi.nlm.nih.gov/protein/XP_026265265.1","fatty acid-binding protein, liver")</f>
        <v>fatty acid-binding protein, liver</v>
      </c>
      <c r="J64">
        <v>229.95</v>
      </c>
      <c r="K64" t="s">
        <v>20</v>
      </c>
      <c r="L64">
        <v>139</v>
      </c>
      <c r="M64">
        <v>50.68</v>
      </c>
      <c r="N64">
        <v>91.14</v>
      </c>
      <c r="O64" t="s">
        <v>20</v>
      </c>
      <c r="P64" t="s">
        <v>21</v>
      </c>
      <c r="Q64" t="s">
        <v>20</v>
      </c>
      <c r="R64" t="str">
        <f>HYPERLINK("https://cfpub.epa.gov/ecotox/explore.cfm?ncbi=9999","Explore in ECOTOX")</f>
        <v>Explore in ECOTOX</v>
      </c>
    </row>
    <row r="65" spans="1:18" x14ac:dyDescent="0.25">
      <c r="A65">
        <v>6</v>
      </c>
      <c r="B65" t="str">
        <f>HYPERLINK("http://www.ncbi.nlm.nih.gov/protein/XP_017392153.1","XP_017392153.1")</f>
        <v>XP_017392153.1</v>
      </c>
      <c r="C65">
        <v>55886</v>
      </c>
      <c r="D65" t="str">
        <f>HYPERLINK("http://www.ncbi.nlm.nih.gov/Taxonomy/Browser/wwwtax.cgi?mode=Info&amp;id=2715852&amp;lvl=3&amp;lin=f&amp;keep=1&amp;srchmode=1&amp;unlock","2715852")</f>
        <v>2715852</v>
      </c>
      <c r="E65" t="s">
        <v>18</v>
      </c>
      <c r="F65" t="s">
        <v>18</v>
      </c>
      <c r="G65" t="str">
        <f>HYPERLINK("http://www.ncbi.nlm.nih.gov/Taxonomy/Browser/wwwtax.cgi?mode=Info&amp;id=2715852&amp;lvl=3&amp;lin=f&amp;keep=1&amp;srchmode=1&amp;unlock","Cebus imitator")</f>
        <v>Cebus imitator</v>
      </c>
      <c r="H65" t="s">
        <v>85</v>
      </c>
      <c r="I65" t="str">
        <f>HYPERLINK("http://www.ncbi.nlm.nih.gov/protein/XP_017392153.1","fatty acid-binding protein, liver")</f>
        <v>fatty acid-binding protein, liver</v>
      </c>
      <c r="J65">
        <v>229.56</v>
      </c>
      <c r="K65" t="s">
        <v>25</v>
      </c>
      <c r="L65">
        <v>139</v>
      </c>
      <c r="M65">
        <v>50.68</v>
      </c>
      <c r="N65">
        <v>90.99</v>
      </c>
      <c r="O65" t="s">
        <v>20</v>
      </c>
      <c r="P65" t="s">
        <v>21</v>
      </c>
      <c r="Q65" t="s">
        <v>20</v>
      </c>
      <c r="R65" t="str">
        <f>HYPERLINK("https://cfpub.epa.gov/ecotox/explore.cfm?ncbi=2715852","Explore in ECOTOX")</f>
        <v>Explore in ECOTOX</v>
      </c>
    </row>
    <row r="66" spans="1:18" x14ac:dyDescent="0.25">
      <c r="A66">
        <v>6</v>
      </c>
      <c r="B66" t="str">
        <f>HYPERLINK("http://www.ncbi.nlm.nih.gov/protein/XP_032099526.1","XP_032099526.1")</f>
        <v>XP_032099526.1</v>
      </c>
      <c r="C66">
        <v>62477</v>
      </c>
      <c r="D66" t="str">
        <f>HYPERLINK("http://www.ncbi.nlm.nih.gov/Taxonomy/Browser/wwwtax.cgi?mode=Info&amp;id=9515&amp;lvl=3&amp;lin=f&amp;keep=1&amp;srchmode=1&amp;unlock","9515")</f>
        <v>9515</v>
      </c>
      <c r="E66" t="s">
        <v>18</v>
      </c>
      <c r="F66" t="s">
        <v>18</v>
      </c>
      <c r="G66" t="str">
        <f>HYPERLINK("http://www.ncbi.nlm.nih.gov/Taxonomy/Browser/wwwtax.cgi?mode=Info&amp;id=9515&amp;lvl=3&amp;lin=f&amp;keep=1&amp;srchmode=1&amp;unlock","Sapajus apella")</f>
        <v>Sapajus apella</v>
      </c>
      <c r="H66" t="s">
        <v>86</v>
      </c>
      <c r="I66" t="str">
        <f>HYPERLINK("http://www.ncbi.nlm.nih.gov/protein/XP_032099526.1","fatty acid-binding protein, liver")</f>
        <v>fatty acid-binding protein, liver</v>
      </c>
      <c r="J66">
        <v>229.56</v>
      </c>
      <c r="K66" t="s">
        <v>25</v>
      </c>
      <c r="L66">
        <v>139</v>
      </c>
      <c r="M66">
        <v>50.68</v>
      </c>
      <c r="N66">
        <v>90.99</v>
      </c>
      <c r="O66" t="s">
        <v>20</v>
      </c>
      <c r="P66" t="s">
        <v>21</v>
      </c>
      <c r="Q66" t="s">
        <v>20</v>
      </c>
      <c r="R66" t="str">
        <f>HYPERLINK("https://cfpub.epa.gov/ecotox/explore.cfm?ncbi=9515","Explore in ECOTOX")</f>
        <v>Explore in ECOTOX</v>
      </c>
    </row>
    <row r="67" spans="1:18" x14ac:dyDescent="0.25">
      <c r="A67">
        <v>6</v>
      </c>
      <c r="B67" t="str">
        <f>HYPERLINK("http://www.ncbi.nlm.nih.gov/protein/XP_017527706.1","XP_017527706.1")</f>
        <v>XP_017527706.1</v>
      </c>
      <c r="C67">
        <v>56038</v>
      </c>
      <c r="D67" t="str">
        <f>HYPERLINK("http://www.ncbi.nlm.nih.gov/Taxonomy/Browser/wwwtax.cgi?mode=Info&amp;id=9974&amp;lvl=3&amp;lin=f&amp;keep=1&amp;srchmode=1&amp;unlock","9974")</f>
        <v>9974</v>
      </c>
      <c r="E67" t="s">
        <v>18</v>
      </c>
      <c r="F67" t="s">
        <v>18</v>
      </c>
      <c r="G67" t="str">
        <f>HYPERLINK("http://www.ncbi.nlm.nih.gov/Taxonomy/Browser/wwwtax.cgi?mode=Info&amp;id=9974&amp;lvl=3&amp;lin=f&amp;keep=1&amp;srchmode=1&amp;unlock","Manis javanica")</f>
        <v>Manis javanica</v>
      </c>
      <c r="H67" t="s">
        <v>87</v>
      </c>
      <c r="I67" t="str">
        <f>HYPERLINK("http://www.ncbi.nlm.nih.gov/protein/XP_017527706.1","fatty acid-binding protein, liver")</f>
        <v>fatty acid-binding protein, liver</v>
      </c>
      <c r="J67">
        <v>229.18</v>
      </c>
      <c r="K67" t="s">
        <v>25</v>
      </c>
      <c r="L67">
        <v>139</v>
      </c>
      <c r="M67">
        <v>50.68</v>
      </c>
      <c r="N67">
        <v>90.84</v>
      </c>
      <c r="O67" t="s">
        <v>20</v>
      </c>
      <c r="P67" t="s">
        <v>21</v>
      </c>
      <c r="Q67" t="s">
        <v>20</v>
      </c>
      <c r="R67" t="str">
        <f>HYPERLINK("https://cfpub.epa.gov/ecotox/explore.cfm?ncbi=9974","Explore in ECOTOX")</f>
        <v>Explore in ECOTOX</v>
      </c>
    </row>
    <row r="68" spans="1:18" x14ac:dyDescent="0.25">
      <c r="A68">
        <v>6</v>
      </c>
      <c r="B68" t="str">
        <f>HYPERLINK("http://www.ncbi.nlm.nih.gov/protein/XP_003799233.1","XP_003799233.1")</f>
        <v>XP_003799233.1</v>
      </c>
      <c r="C68">
        <v>33103</v>
      </c>
      <c r="D68" t="str">
        <f>HYPERLINK("http://www.ncbi.nlm.nih.gov/Taxonomy/Browser/wwwtax.cgi?mode=Info&amp;id=30611&amp;lvl=3&amp;lin=f&amp;keep=1&amp;srchmode=1&amp;unlock","30611")</f>
        <v>30611</v>
      </c>
      <c r="E68" t="s">
        <v>18</v>
      </c>
      <c r="F68" t="s">
        <v>18</v>
      </c>
      <c r="G68" t="str">
        <f>HYPERLINK("http://www.ncbi.nlm.nih.gov/Taxonomy/Browser/wwwtax.cgi?mode=Info&amp;id=30611&amp;lvl=3&amp;lin=f&amp;keep=1&amp;srchmode=1&amp;unlock","Otolemur garnettii")</f>
        <v>Otolemur garnettii</v>
      </c>
      <c r="H68" t="s">
        <v>88</v>
      </c>
      <c r="I68" t="str">
        <f>HYPERLINK("http://www.ncbi.nlm.nih.gov/protein/XP_003799233.1","fatty acid-binding protein, liver")</f>
        <v>fatty acid-binding protein, liver</v>
      </c>
      <c r="J68">
        <v>228.79</v>
      </c>
      <c r="K68" t="s">
        <v>25</v>
      </c>
      <c r="L68">
        <v>139</v>
      </c>
      <c r="M68">
        <v>50.68</v>
      </c>
      <c r="N68">
        <v>90.69</v>
      </c>
      <c r="O68" t="s">
        <v>20</v>
      </c>
      <c r="P68" t="s">
        <v>21</v>
      </c>
      <c r="Q68" t="s">
        <v>20</v>
      </c>
      <c r="R68" t="str">
        <f>HYPERLINK("https://cfpub.epa.gov/ecotox/explore.cfm?ncbi=30611","Explore in ECOTOX")</f>
        <v>Explore in ECOTOX</v>
      </c>
    </row>
    <row r="69" spans="1:18" x14ac:dyDescent="0.25">
      <c r="A69">
        <v>6</v>
      </c>
      <c r="B69" t="str">
        <f>HYPERLINK("http://www.ncbi.nlm.nih.gov/protein/XP_032980104.1","XP_032980104.1")</f>
        <v>XP_032980104.1</v>
      </c>
      <c r="C69">
        <v>90503</v>
      </c>
      <c r="D69" t="str">
        <f>HYPERLINK("http://www.ncbi.nlm.nih.gov/Taxonomy/Browser/wwwtax.cgi?mode=Info&amp;id=59479&amp;lvl=3&amp;lin=f&amp;keep=1&amp;srchmode=1&amp;unlock","59479")</f>
        <v>59479</v>
      </c>
      <c r="E69" t="s">
        <v>18</v>
      </c>
      <c r="F69" t="s">
        <v>18</v>
      </c>
      <c r="G69" t="str">
        <f>HYPERLINK("http://www.ncbi.nlm.nih.gov/Taxonomy/Browser/wwwtax.cgi?mode=Info&amp;id=59479&amp;lvl=3&amp;lin=f&amp;keep=1&amp;srchmode=1&amp;unlock","Rhinolophus ferrumequinum")</f>
        <v>Rhinolophus ferrumequinum</v>
      </c>
      <c r="H69" t="s">
        <v>89</v>
      </c>
      <c r="I69" t="str">
        <f>HYPERLINK("http://www.ncbi.nlm.nih.gov/protein/XP_032980104.1","fatty acid-binding protein, liver")</f>
        <v>fatty acid-binding protein, liver</v>
      </c>
      <c r="J69">
        <v>228.41</v>
      </c>
      <c r="K69" t="s">
        <v>25</v>
      </c>
      <c r="L69">
        <v>139</v>
      </c>
      <c r="M69">
        <v>50.68</v>
      </c>
      <c r="N69">
        <v>90.53</v>
      </c>
      <c r="O69" t="s">
        <v>20</v>
      </c>
      <c r="P69" t="s">
        <v>21</v>
      </c>
      <c r="Q69" t="s">
        <v>20</v>
      </c>
      <c r="R69" t="str">
        <f>HYPERLINK("https://cfpub.epa.gov/ecotox/explore.cfm?ncbi=59479","Explore in ECOTOX")</f>
        <v>Explore in ECOTOX</v>
      </c>
    </row>
    <row r="70" spans="1:18" x14ac:dyDescent="0.25">
      <c r="A70">
        <v>6</v>
      </c>
      <c r="B70" t="str">
        <f>HYPERLINK("http://www.ncbi.nlm.nih.gov/protein/XP_007952289.1","XP_007952289.1")</f>
        <v>XP_007952289.1</v>
      </c>
      <c r="C70">
        <v>25532</v>
      </c>
      <c r="D70" t="str">
        <f>HYPERLINK("http://www.ncbi.nlm.nih.gov/Taxonomy/Browser/wwwtax.cgi?mode=Info&amp;id=1230840&amp;lvl=3&amp;lin=f&amp;keep=1&amp;srchmode=1&amp;unlock","1230840")</f>
        <v>1230840</v>
      </c>
      <c r="E70" t="s">
        <v>18</v>
      </c>
      <c r="F70" t="s">
        <v>18</v>
      </c>
      <c r="G70" t="str">
        <f>HYPERLINK("http://www.ncbi.nlm.nih.gov/Taxonomy/Browser/wwwtax.cgi?mode=Info&amp;id=1230840&amp;lvl=3&amp;lin=f&amp;keep=1&amp;srchmode=1&amp;unlock","Orycteropus afer afer")</f>
        <v>Orycteropus afer afer</v>
      </c>
      <c r="H70" t="s">
        <v>90</v>
      </c>
      <c r="I70" t="str">
        <f>HYPERLINK("http://www.ncbi.nlm.nih.gov/protein/XP_007952289.1","PREDICTED: fatty acid-binding protein, liver")</f>
        <v>PREDICTED: fatty acid-binding protein, liver</v>
      </c>
      <c r="J70">
        <v>227.64</v>
      </c>
      <c r="K70" t="s">
        <v>25</v>
      </c>
      <c r="L70">
        <v>139</v>
      </c>
      <c r="M70">
        <v>50.68</v>
      </c>
      <c r="N70">
        <v>90.23</v>
      </c>
      <c r="O70" t="s">
        <v>20</v>
      </c>
      <c r="P70" t="s">
        <v>21</v>
      </c>
      <c r="Q70" t="s">
        <v>20</v>
      </c>
      <c r="R70" t="str">
        <f>HYPERLINK("https://cfpub.epa.gov/ecotox/explore.cfm?ncbi=1230840","Explore in ECOTOX")</f>
        <v>Explore in ECOTOX</v>
      </c>
    </row>
    <row r="71" spans="1:18" x14ac:dyDescent="0.25">
      <c r="A71">
        <v>6</v>
      </c>
      <c r="B71" t="str">
        <f>HYPERLINK("http://www.ncbi.nlm.nih.gov/protein/XP_004660563.1","XP_004660563.1")</f>
        <v>XP_004660563.1</v>
      </c>
      <c r="C71">
        <v>25744</v>
      </c>
      <c r="D71" t="str">
        <f>HYPERLINK("http://www.ncbi.nlm.nih.gov/Taxonomy/Browser/wwwtax.cgi?mode=Info&amp;id=51337&amp;lvl=3&amp;lin=f&amp;keep=1&amp;srchmode=1&amp;unlock","51337")</f>
        <v>51337</v>
      </c>
      <c r="E71" t="s">
        <v>18</v>
      </c>
      <c r="F71" t="s">
        <v>18</v>
      </c>
      <c r="G71" t="str">
        <f>HYPERLINK("http://www.ncbi.nlm.nih.gov/Taxonomy/Browser/wwwtax.cgi?mode=Info&amp;id=51337&amp;lvl=3&amp;lin=f&amp;keep=1&amp;srchmode=1&amp;unlock","Jaculus jaculus")</f>
        <v>Jaculus jaculus</v>
      </c>
      <c r="H71" t="s">
        <v>91</v>
      </c>
      <c r="I71" t="str">
        <f>HYPERLINK("http://www.ncbi.nlm.nih.gov/protein/XP_004660563.1","PREDICTED: fatty acid-binding protein, liver")</f>
        <v>PREDICTED: fatty acid-binding protein, liver</v>
      </c>
      <c r="J71">
        <v>226.87</v>
      </c>
      <c r="K71" t="s">
        <v>20</v>
      </c>
      <c r="L71">
        <v>139</v>
      </c>
      <c r="M71">
        <v>50.68</v>
      </c>
      <c r="N71">
        <v>89.92</v>
      </c>
      <c r="O71" t="s">
        <v>20</v>
      </c>
      <c r="P71" t="s">
        <v>21</v>
      </c>
      <c r="Q71" t="s">
        <v>20</v>
      </c>
      <c r="R71" t="str">
        <f>HYPERLINK("https://cfpub.epa.gov/ecotox/explore.cfm?ncbi=51337","Explore in ECOTOX")</f>
        <v>Explore in ECOTOX</v>
      </c>
    </row>
    <row r="72" spans="1:18" x14ac:dyDescent="0.25">
      <c r="A72">
        <v>6</v>
      </c>
      <c r="B72" t="str">
        <f>HYPERLINK("http://www.ncbi.nlm.nih.gov/protein/XP_036291857.1","XP_036291857.1")</f>
        <v>XP_036291857.1</v>
      </c>
      <c r="C72">
        <v>93471</v>
      </c>
      <c r="D72" t="str">
        <f>HYPERLINK("http://www.ncbi.nlm.nih.gov/Taxonomy/Browser/wwwtax.cgi?mode=Info&amp;id=59472&amp;lvl=3&amp;lin=f&amp;keep=1&amp;srchmode=1&amp;unlock","59472")</f>
        <v>59472</v>
      </c>
      <c r="E72" t="s">
        <v>18</v>
      </c>
      <c r="F72" t="s">
        <v>18</v>
      </c>
      <c r="G72" t="str">
        <f>HYPERLINK("http://www.ncbi.nlm.nih.gov/Taxonomy/Browser/wwwtax.cgi?mode=Info&amp;id=59472&amp;lvl=3&amp;lin=f&amp;keep=1&amp;srchmode=1&amp;unlock","Pipistrellus kuhlii")</f>
        <v>Pipistrellus kuhlii</v>
      </c>
      <c r="H72" t="s">
        <v>92</v>
      </c>
      <c r="I72" t="str">
        <f>HYPERLINK("http://www.ncbi.nlm.nih.gov/protein/XP_036291857.1","fatty acid-binding protein, liver")</f>
        <v>fatty acid-binding protein, liver</v>
      </c>
      <c r="J72">
        <v>226.87</v>
      </c>
      <c r="K72" t="s">
        <v>25</v>
      </c>
      <c r="L72">
        <v>139</v>
      </c>
      <c r="M72">
        <v>50.68</v>
      </c>
      <c r="N72">
        <v>89.92</v>
      </c>
      <c r="O72" t="s">
        <v>20</v>
      </c>
      <c r="P72" t="s">
        <v>21</v>
      </c>
      <c r="Q72" t="s">
        <v>20</v>
      </c>
      <c r="R72" t="str">
        <f>HYPERLINK("https://cfpub.epa.gov/ecotox/explore.cfm?ncbi=59472","Explore in ECOTOX")</f>
        <v>Explore in ECOTOX</v>
      </c>
    </row>
    <row r="73" spans="1:18" x14ac:dyDescent="0.25">
      <c r="A73">
        <v>6</v>
      </c>
      <c r="B73" t="str">
        <f>HYPERLINK("http://www.ncbi.nlm.nih.gov/protein/XP_012629799.1","XP_012629799.1")</f>
        <v>XP_012629799.1</v>
      </c>
      <c r="C73">
        <v>60035</v>
      </c>
      <c r="D73" t="str">
        <f>HYPERLINK("http://www.ncbi.nlm.nih.gov/Taxonomy/Browser/wwwtax.cgi?mode=Info&amp;id=30608&amp;lvl=3&amp;lin=f&amp;keep=1&amp;srchmode=1&amp;unlock","30608")</f>
        <v>30608</v>
      </c>
      <c r="E73" t="s">
        <v>18</v>
      </c>
      <c r="F73" t="s">
        <v>18</v>
      </c>
      <c r="G73" t="str">
        <f>HYPERLINK("http://www.ncbi.nlm.nih.gov/Taxonomy/Browser/wwwtax.cgi?mode=Info&amp;id=30608&amp;lvl=3&amp;lin=f&amp;keep=1&amp;srchmode=1&amp;unlock","Microcebus murinus")</f>
        <v>Microcebus murinus</v>
      </c>
      <c r="H73" t="s">
        <v>93</v>
      </c>
      <c r="I73" t="str">
        <f>HYPERLINK("http://www.ncbi.nlm.nih.gov/protein/XP_012629799.1","fatty acid-binding protein, liver")</f>
        <v>fatty acid-binding protein, liver</v>
      </c>
      <c r="J73">
        <v>226.48</v>
      </c>
      <c r="K73" t="s">
        <v>25</v>
      </c>
      <c r="L73">
        <v>139</v>
      </c>
      <c r="M73">
        <v>50.68</v>
      </c>
      <c r="N73">
        <v>89.77</v>
      </c>
      <c r="O73" t="s">
        <v>20</v>
      </c>
      <c r="P73" t="s">
        <v>21</v>
      </c>
      <c r="Q73" t="s">
        <v>20</v>
      </c>
      <c r="R73" t="str">
        <f>HYPERLINK("https://cfpub.epa.gov/ecotox/explore.cfm?ncbi=30608","Explore in ECOTOX")</f>
        <v>Explore in ECOTOX</v>
      </c>
    </row>
    <row r="74" spans="1:18" x14ac:dyDescent="0.25">
      <c r="A74">
        <v>6</v>
      </c>
      <c r="B74" t="str">
        <f>HYPERLINK("http://www.ncbi.nlm.nih.gov/protein/XP_006103078.1","XP_006103078.1")</f>
        <v>XP_006103078.1</v>
      </c>
      <c r="C74">
        <v>44006</v>
      </c>
      <c r="D74" t="str">
        <f>HYPERLINK("http://www.ncbi.nlm.nih.gov/Taxonomy/Browser/wwwtax.cgi?mode=Info&amp;id=59463&amp;lvl=3&amp;lin=f&amp;keep=1&amp;srchmode=1&amp;unlock","59463")</f>
        <v>59463</v>
      </c>
      <c r="E74" t="s">
        <v>18</v>
      </c>
      <c r="F74" t="s">
        <v>18</v>
      </c>
      <c r="G74" t="str">
        <f>HYPERLINK("http://www.ncbi.nlm.nih.gov/Taxonomy/Browser/wwwtax.cgi?mode=Info&amp;id=59463&amp;lvl=3&amp;lin=f&amp;keep=1&amp;srchmode=1&amp;unlock","Myotis lucifugus")</f>
        <v>Myotis lucifugus</v>
      </c>
      <c r="H74" t="s">
        <v>94</v>
      </c>
      <c r="I74" t="str">
        <f>HYPERLINK("http://www.ncbi.nlm.nih.gov/protein/XP_006103078.1","fatty acid-binding protein, liver")</f>
        <v>fatty acid-binding protein, liver</v>
      </c>
      <c r="J74">
        <v>226.1</v>
      </c>
      <c r="K74" t="s">
        <v>25</v>
      </c>
      <c r="L74">
        <v>139</v>
      </c>
      <c r="M74">
        <v>50.68</v>
      </c>
      <c r="N74">
        <v>89.62</v>
      </c>
      <c r="O74" t="s">
        <v>20</v>
      </c>
      <c r="P74" t="s">
        <v>21</v>
      </c>
      <c r="Q74" t="s">
        <v>20</v>
      </c>
      <c r="R74" t="str">
        <f>HYPERLINK("https://cfpub.epa.gov/ecotox/explore.cfm?ncbi=59463","Explore in ECOTOX")</f>
        <v>Explore in ECOTOX</v>
      </c>
    </row>
    <row r="75" spans="1:18" x14ac:dyDescent="0.25">
      <c r="A75">
        <v>6</v>
      </c>
      <c r="B75" t="str">
        <f>HYPERLINK("http://www.ncbi.nlm.nih.gov/protein/XP_005883684.1","XP_005883684.1")</f>
        <v>XP_005883684.1</v>
      </c>
      <c r="C75">
        <v>60288</v>
      </c>
      <c r="D75" t="str">
        <f>HYPERLINK("http://www.ncbi.nlm.nih.gov/Taxonomy/Browser/wwwtax.cgi?mode=Info&amp;id=109478&amp;lvl=3&amp;lin=f&amp;keep=1&amp;srchmode=1&amp;unlock","109478")</f>
        <v>109478</v>
      </c>
      <c r="E75" t="s">
        <v>18</v>
      </c>
      <c r="F75" t="s">
        <v>18</v>
      </c>
      <c r="G75" t="str">
        <f>HYPERLINK("http://www.ncbi.nlm.nih.gov/Taxonomy/Browser/wwwtax.cgi?mode=Info&amp;id=109478&amp;lvl=3&amp;lin=f&amp;keep=1&amp;srchmode=1&amp;unlock","Myotis brandtii")</f>
        <v>Myotis brandtii</v>
      </c>
      <c r="H75" t="s">
        <v>95</v>
      </c>
      <c r="I75" t="str">
        <f>HYPERLINK("http://www.ncbi.nlm.nih.gov/protein/XP_005883684.1","PREDICTED: fatty acid-binding protein, liver isoform X1")</f>
        <v>PREDICTED: fatty acid-binding protein, liver isoform X1</v>
      </c>
      <c r="J75">
        <v>225.33</v>
      </c>
      <c r="K75" t="s">
        <v>25</v>
      </c>
      <c r="L75">
        <v>139</v>
      </c>
      <c r="M75">
        <v>50.68</v>
      </c>
      <c r="N75">
        <v>89.31</v>
      </c>
      <c r="O75" t="s">
        <v>20</v>
      </c>
      <c r="P75" t="s">
        <v>21</v>
      </c>
      <c r="Q75" t="s">
        <v>20</v>
      </c>
      <c r="R75" t="str">
        <f>HYPERLINK("https://cfpub.epa.gov/ecotox/explore.cfm?ncbi=109478","Explore in ECOTOX")</f>
        <v>Explore in ECOTOX</v>
      </c>
    </row>
    <row r="76" spans="1:18" x14ac:dyDescent="0.25">
      <c r="A76">
        <v>6</v>
      </c>
      <c r="B76" t="str">
        <f>HYPERLINK("http://www.ncbi.nlm.nih.gov/protein/XP_036191465.1","XP_036191465.1")</f>
        <v>XP_036191465.1</v>
      </c>
      <c r="C76">
        <v>106885</v>
      </c>
      <c r="D76" t="str">
        <f>HYPERLINK("http://www.ncbi.nlm.nih.gov/Taxonomy/Browser/wwwtax.cgi?mode=Info&amp;id=51298&amp;lvl=3&amp;lin=f&amp;keep=1&amp;srchmode=1&amp;unlock","51298")</f>
        <v>51298</v>
      </c>
      <c r="E76" t="s">
        <v>18</v>
      </c>
      <c r="F76" t="s">
        <v>18</v>
      </c>
      <c r="G76" t="str">
        <f>HYPERLINK("http://www.ncbi.nlm.nih.gov/Taxonomy/Browser/wwwtax.cgi?mode=Info&amp;id=51298&amp;lvl=3&amp;lin=f&amp;keep=1&amp;srchmode=1&amp;unlock","Myotis myotis")</f>
        <v>Myotis myotis</v>
      </c>
      <c r="H76" t="s">
        <v>77</v>
      </c>
      <c r="I76" t="str">
        <f>HYPERLINK("http://www.ncbi.nlm.nih.gov/protein/XP_036191465.1","fatty acid-binding protein, liver")</f>
        <v>fatty acid-binding protein, liver</v>
      </c>
      <c r="J76">
        <v>225.33</v>
      </c>
      <c r="K76" t="s">
        <v>25</v>
      </c>
      <c r="L76">
        <v>139</v>
      </c>
      <c r="M76">
        <v>50.68</v>
      </c>
      <c r="N76">
        <v>89.31</v>
      </c>
      <c r="O76" t="s">
        <v>20</v>
      </c>
      <c r="P76" t="s">
        <v>21</v>
      </c>
      <c r="Q76" t="s">
        <v>20</v>
      </c>
      <c r="R76" t="str">
        <f>HYPERLINK("https://cfpub.epa.gov/ecotox/explore.cfm?ncbi=51298","Explore in ECOTOX")</f>
        <v>Explore in ECOTOX</v>
      </c>
    </row>
    <row r="77" spans="1:18" x14ac:dyDescent="0.25">
      <c r="A77">
        <v>6</v>
      </c>
      <c r="B77" t="str">
        <f>HYPERLINK("http://www.ncbi.nlm.nih.gov/protein/XP_006183659.1","XP_006183659.1")</f>
        <v>XP_006183659.1</v>
      </c>
      <c r="C77">
        <v>74736</v>
      </c>
      <c r="D77" t="str">
        <f>HYPERLINK("http://www.ncbi.nlm.nih.gov/Taxonomy/Browser/wwwtax.cgi?mode=Info&amp;id=419612&amp;lvl=3&amp;lin=f&amp;keep=1&amp;srchmode=1&amp;unlock","419612")</f>
        <v>419612</v>
      </c>
      <c r="E77" t="s">
        <v>18</v>
      </c>
      <c r="F77" t="s">
        <v>18</v>
      </c>
      <c r="G77" t="str">
        <f>HYPERLINK("http://www.ncbi.nlm.nih.gov/Taxonomy/Browser/wwwtax.cgi?mode=Info&amp;id=419612&amp;lvl=3&amp;lin=f&amp;keep=1&amp;srchmode=1&amp;unlock","Camelus ferus")</f>
        <v>Camelus ferus</v>
      </c>
      <c r="H77" t="s">
        <v>96</v>
      </c>
      <c r="I77" t="str">
        <f>HYPERLINK("http://www.ncbi.nlm.nih.gov/protein/XP_006183659.1","fatty acid-binding protein, liver")</f>
        <v>fatty acid-binding protein, liver</v>
      </c>
      <c r="J77">
        <v>224.56</v>
      </c>
      <c r="K77" t="s">
        <v>20</v>
      </c>
      <c r="L77">
        <v>139</v>
      </c>
      <c r="M77">
        <v>50.68</v>
      </c>
      <c r="N77">
        <v>89.01</v>
      </c>
      <c r="O77" t="s">
        <v>20</v>
      </c>
      <c r="P77" t="s">
        <v>21</v>
      </c>
      <c r="Q77" t="s">
        <v>20</v>
      </c>
      <c r="R77" t="str">
        <f>HYPERLINK("https://cfpub.epa.gov/ecotox/explore.cfm?ncbi=419612","Explore in ECOTOX")</f>
        <v>Explore in ECOTOX</v>
      </c>
    </row>
    <row r="78" spans="1:18" x14ac:dyDescent="0.25">
      <c r="A78">
        <v>6</v>
      </c>
      <c r="B78" t="str">
        <f>HYPERLINK("http://www.ncbi.nlm.nih.gov/protein/XP_010957262.1","XP_010957262.1")</f>
        <v>XP_010957262.1</v>
      </c>
      <c r="C78">
        <v>29301</v>
      </c>
      <c r="D78" t="str">
        <f>HYPERLINK("http://www.ncbi.nlm.nih.gov/Taxonomy/Browser/wwwtax.cgi?mode=Info&amp;id=9837&amp;lvl=3&amp;lin=f&amp;keep=1&amp;srchmode=1&amp;unlock","9837")</f>
        <v>9837</v>
      </c>
      <c r="E78" t="s">
        <v>18</v>
      </c>
      <c r="F78" t="s">
        <v>18</v>
      </c>
      <c r="G78" t="str">
        <f>HYPERLINK("http://www.ncbi.nlm.nih.gov/Taxonomy/Browser/wwwtax.cgi?mode=Info&amp;id=9837&amp;lvl=3&amp;lin=f&amp;keep=1&amp;srchmode=1&amp;unlock","Camelus bactrianus")</f>
        <v>Camelus bactrianus</v>
      </c>
      <c r="H78" t="s">
        <v>97</v>
      </c>
      <c r="I78" t="str">
        <f>HYPERLINK("http://www.ncbi.nlm.nih.gov/protein/XP_010957262.1","PREDICTED: fatty acid-binding protein, liver")</f>
        <v>PREDICTED: fatty acid-binding protein, liver</v>
      </c>
      <c r="J78">
        <v>224.56</v>
      </c>
      <c r="K78" t="s">
        <v>20</v>
      </c>
      <c r="L78">
        <v>139</v>
      </c>
      <c r="M78">
        <v>50.68</v>
      </c>
      <c r="N78">
        <v>89.01</v>
      </c>
      <c r="O78" t="s">
        <v>20</v>
      </c>
      <c r="P78" t="s">
        <v>21</v>
      </c>
      <c r="Q78" t="s">
        <v>20</v>
      </c>
      <c r="R78" t="str">
        <f>HYPERLINK("https://cfpub.epa.gov/ecotox/explore.cfm?ncbi=9837","Explore in ECOTOX")</f>
        <v>Explore in ECOTOX</v>
      </c>
    </row>
    <row r="79" spans="1:18" x14ac:dyDescent="0.25">
      <c r="A79">
        <v>6</v>
      </c>
      <c r="B79" t="str">
        <f>HYPERLINK("http://www.ncbi.nlm.nih.gov/protein/XP_028373133.1","XP_028373133.1")</f>
        <v>XP_028373133.1</v>
      </c>
      <c r="C79">
        <v>107564</v>
      </c>
      <c r="D79" t="str">
        <f>HYPERLINK("http://www.ncbi.nlm.nih.gov/Taxonomy/Browser/wwwtax.cgi?mode=Info&amp;id=89673&amp;lvl=3&amp;lin=f&amp;keep=1&amp;srchmode=1&amp;unlock","89673")</f>
        <v>89673</v>
      </c>
      <c r="E79" t="s">
        <v>18</v>
      </c>
      <c r="F79" t="s">
        <v>18</v>
      </c>
      <c r="G79" t="str">
        <f>HYPERLINK("http://www.ncbi.nlm.nih.gov/Taxonomy/Browser/wwwtax.cgi?mode=Info&amp;id=89673&amp;lvl=3&amp;lin=f&amp;keep=1&amp;srchmode=1&amp;unlock","Phyllostomus discolor")</f>
        <v>Phyllostomus discolor</v>
      </c>
      <c r="H79" t="s">
        <v>98</v>
      </c>
      <c r="I79" t="str">
        <f>HYPERLINK("http://www.ncbi.nlm.nih.gov/protein/XP_028373133.1","fatty acid-binding protein, liver")</f>
        <v>fatty acid-binding protein, liver</v>
      </c>
      <c r="J79">
        <v>224.17</v>
      </c>
      <c r="K79" t="s">
        <v>25</v>
      </c>
      <c r="L79">
        <v>139</v>
      </c>
      <c r="M79">
        <v>50.68</v>
      </c>
      <c r="N79">
        <v>88.85</v>
      </c>
      <c r="O79" t="s">
        <v>20</v>
      </c>
      <c r="P79" t="s">
        <v>21</v>
      </c>
      <c r="Q79" t="s">
        <v>20</v>
      </c>
      <c r="R79" t="str">
        <f>HYPERLINK("https://cfpub.epa.gov/ecotox/explore.cfm?ncbi=89673","Explore in ECOTOX")</f>
        <v>Explore in ECOTOX</v>
      </c>
    </row>
    <row r="80" spans="1:18" x14ac:dyDescent="0.25">
      <c r="A80">
        <v>6</v>
      </c>
      <c r="B80" t="str">
        <f>HYPERLINK("http://www.ncbi.nlm.nih.gov/protein/XP_008154150.1","XP_008154150.1")</f>
        <v>XP_008154150.1</v>
      </c>
      <c r="C80">
        <v>50025</v>
      </c>
      <c r="D80" t="str">
        <f>HYPERLINK("http://www.ncbi.nlm.nih.gov/Taxonomy/Browser/wwwtax.cgi?mode=Info&amp;id=29078&amp;lvl=3&amp;lin=f&amp;keep=1&amp;srchmode=1&amp;unlock","29078")</f>
        <v>29078</v>
      </c>
      <c r="E80" t="s">
        <v>18</v>
      </c>
      <c r="F80" t="s">
        <v>18</v>
      </c>
      <c r="G80" t="str">
        <f>HYPERLINK("http://www.ncbi.nlm.nih.gov/Taxonomy/Browser/wwwtax.cgi?mode=Info&amp;id=29078&amp;lvl=3&amp;lin=f&amp;keep=1&amp;srchmode=1&amp;unlock","Eptesicus fuscus")</f>
        <v>Eptesicus fuscus</v>
      </c>
      <c r="H80" t="s">
        <v>99</v>
      </c>
      <c r="I80" t="str">
        <f>HYPERLINK("http://www.ncbi.nlm.nih.gov/protein/XP_008154150.1","fatty acid-binding protein, liver")</f>
        <v>fatty acid-binding protein, liver</v>
      </c>
      <c r="J80">
        <v>224.17</v>
      </c>
      <c r="K80" t="s">
        <v>25</v>
      </c>
      <c r="L80">
        <v>139</v>
      </c>
      <c r="M80">
        <v>50.68</v>
      </c>
      <c r="N80">
        <v>88.85</v>
      </c>
      <c r="O80" t="s">
        <v>20</v>
      </c>
      <c r="P80" t="s">
        <v>21</v>
      </c>
      <c r="Q80" t="s">
        <v>20</v>
      </c>
      <c r="R80" t="str">
        <f>HYPERLINK("https://cfpub.epa.gov/ecotox/explore.cfm?ncbi=29078","Explore in ECOTOX")</f>
        <v>Explore in ECOTOX</v>
      </c>
    </row>
    <row r="81" spans="1:18" x14ac:dyDescent="0.25">
      <c r="A81">
        <v>6</v>
      </c>
      <c r="B81" t="str">
        <f>HYPERLINK("http://www.ncbi.nlm.nih.gov/protein/XP_006913559.1","XP_006913559.1")</f>
        <v>XP_006913559.1</v>
      </c>
      <c r="C81">
        <v>59367</v>
      </c>
      <c r="D81" t="str">
        <f>HYPERLINK("http://www.ncbi.nlm.nih.gov/Taxonomy/Browser/wwwtax.cgi?mode=Info&amp;id=9402&amp;lvl=3&amp;lin=f&amp;keep=1&amp;srchmode=1&amp;unlock","9402")</f>
        <v>9402</v>
      </c>
      <c r="E81" t="s">
        <v>18</v>
      </c>
      <c r="F81" t="s">
        <v>18</v>
      </c>
      <c r="G81" t="str">
        <f>HYPERLINK("http://www.ncbi.nlm.nih.gov/Taxonomy/Browser/wwwtax.cgi?mode=Info&amp;id=9402&amp;lvl=3&amp;lin=f&amp;keep=1&amp;srchmode=1&amp;unlock","Pteropus alecto")</f>
        <v>Pteropus alecto</v>
      </c>
      <c r="H81" t="s">
        <v>100</v>
      </c>
      <c r="I81" t="str">
        <f>HYPERLINK("http://www.ncbi.nlm.nih.gov/protein/XP_006913559.1","fatty acid-binding protein, liver")</f>
        <v>fatty acid-binding protein, liver</v>
      </c>
      <c r="J81">
        <v>223.79</v>
      </c>
      <c r="K81" t="s">
        <v>25</v>
      </c>
      <c r="L81">
        <v>139</v>
      </c>
      <c r="M81">
        <v>50.68</v>
      </c>
      <c r="N81">
        <v>88.7</v>
      </c>
      <c r="O81" t="s">
        <v>20</v>
      </c>
      <c r="P81" t="s">
        <v>21</v>
      </c>
      <c r="Q81" t="s">
        <v>20</v>
      </c>
      <c r="R81" t="str">
        <f>HYPERLINK("https://cfpub.epa.gov/ecotox/explore.cfm?ncbi=9402","Explore in ECOTOX")</f>
        <v>Explore in ECOTOX</v>
      </c>
    </row>
    <row r="82" spans="1:18" x14ac:dyDescent="0.25">
      <c r="A82">
        <v>6</v>
      </c>
      <c r="B82" t="str">
        <f>HYPERLINK("http://www.ncbi.nlm.nih.gov/protein/XP_020745143.1","XP_020745143.1")</f>
        <v>XP_020745143.1</v>
      </c>
      <c r="C82">
        <v>48218</v>
      </c>
      <c r="D82" t="str">
        <f>HYPERLINK("http://www.ncbi.nlm.nih.gov/Taxonomy/Browser/wwwtax.cgi?mode=Info&amp;id=9880&amp;lvl=3&amp;lin=f&amp;keep=1&amp;srchmode=1&amp;unlock","9880")</f>
        <v>9880</v>
      </c>
      <c r="E82" t="s">
        <v>18</v>
      </c>
      <c r="F82" t="s">
        <v>18</v>
      </c>
      <c r="G82" t="str">
        <f>HYPERLINK("http://www.ncbi.nlm.nih.gov/Taxonomy/Browser/wwwtax.cgi?mode=Info&amp;id=9880&amp;lvl=3&amp;lin=f&amp;keep=1&amp;srchmode=1&amp;unlock","Odocoileus virginianus texanus")</f>
        <v>Odocoileus virginianus texanus</v>
      </c>
      <c r="H82" t="s">
        <v>101</v>
      </c>
      <c r="I82" t="str">
        <f>HYPERLINK("http://www.ncbi.nlm.nih.gov/protein/XP_020745143.1","fatty acid-binding protein, liver")</f>
        <v>fatty acid-binding protein, liver</v>
      </c>
      <c r="J82">
        <v>223.4</v>
      </c>
      <c r="K82" t="s">
        <v>20</v>
      </c>
      <c r="L82">
        <v>139</v>
      </c>
      <c r="M82">
        <v>50.68</v>
      </c>
      <c r="N82">
        <v>88.55</v>
      </c>
      <c r="O82" t="s">
        <v>20</v>
      </c>
      <c r="P82" t="s">
        <v>21</v>
      </c>
      <c r="Q82" t="s">
        <v>20</v>
      </c>
      <c r="R82" t="str">
        <f>HYPERLINK("https://cfpub.epa.gov/ecotox/explore.cfm?ncbi=9880","Explore in ECOTOX")</f>
        <v>Explore in ECOTOX</v>
      </c>
    </row>
    <row r="83" spans="1:18" x14ac:dyDescent="0.25">
      <c r="A83">
        <v>6</v>
      </c>
      <c r="B83" t="str">
        <f>HYPERLINK("http://www.ncbi.nlm.nih.gov/protein/XP_008834943.1","XP_008834943.1")</f>
        <v>XP_008834943.1</v>
      </c>
      <c r="C83">
        <v>49440</v>
      </c>
      <c r="D83" t="str">
        <f>HYPERLINK("http://www.ncbi.nlm.nih.gov/Taxonomy/Browser/wwwtax.cgi?mode=Info&amp;id=1026970&amp;lvl=3&amp;lin=f&amp;keep=1&amp;srchmode=1&amp;unlock","1026970")</f>
        <v>1026970</v>
      </c>
      <c r="E83" t="s">
        <v>18</v>
      </c>
      <c r="F83" t="s">
        <v>18</v>
      </c>
      <c r="G83" t="str">
        <f>HYPERLINK("http://www.ncbi.nlm.nih.gov/Taxonomy/Browser/wwwtax.cgi?mode=Info&amp;id=1026970&amp;lvl=3&amp;lin=f&amp;keep=1&amp;srchmode=1&amp;unlock","Nannospalax galili")</f>
        <v>Nannospalax galili</v>
      </c>
      <c r="H83" t="s">
        <v>102</v>
      </c>
      <c r="I83" t="str">
        <f>HYPERLINK("http://www.ncbi.nlm.nih.gov/protein/XP_008834943.1","fatty acid-binding protein, liver")</f>
        <v>fatty acid-binding protein, liver</v>
      </c>
      <c r="J83">
        <v>223.4</v>
      </c>
      <c r="K83" t="s">
        <v>25</v>
      </c>
      <c r="L83">
        <v>139</v>
      </c>
      <c r="M83">
        <v>50.68</v>
      </c>
      <c r="N83">
        <v>88.55</v>
      </c>
      <c r="O83" t="s">
        <v>20</v>
      </c>
      <c r="P83" t="s">
        <v>21</v>
      </c>
      <c r="Q83" t="s">
        <v>20</v>
      </c>
      <c r="R83" t="str">
        <f>HYPERLINK("https://cfpub.epa.gov/ecotox/explore.cfm?ncbi=1026970","Explore in ECOTOX")</f>
        <v>Explore in ECOTOX</v>
      </c>
    </row>
    <row r="84" spans="1:18" x14ac:dyDescent="0.25">
      <c r="A84">
        <v>6</v>
      </c>
      <c r="B84" t="str">
        <f>HYPERLINK("http://www.ncbi.nlm.nih.gov/protein/XP_039708402.1","XP_039708402.1")</f>
        <v>XP_039708402.1</v>
      </c>
      <c r="C84">
        <v>53655</v>
      </c>
      <c r="D84" t="str">
        <f>HYPERLINK("http://www.ncbi.nlm.nih.gov/Taxonomy/Browser/wwwtax.cgi?mode=Info&amp;id=143291&amp;lvl=3&amp;lin=f&amp;keep=1&amp;srchmode=1&amp;unlock","143291")</f>
        <v>143291</v>
      </c>
      <c r="E84" t="s">
        <v>18</v>
      </c>
      <c r="F84" t="s">
        <v>18</v>
      </c>
      <c r="G84" t="str">
        <f>HYPERLINK("http://www.ncbi.nlm.nih.gov/Taxonomy/Browser/wwwtax.cgi?mode=Info&amp;id=143291&amp;lvl=3&amp;lin=f&amp;keep=1&amp;srchmode=1&amp;unlock","Pteropus giganteus")</f>
        <v>Pteropus giganteus</v>
      </c>
      <c r="H84" t="s">
        <v>103</v>
      </c>
      <c r="I84" t="str">
        <f>HYPERLINK("http://www.ncbi.nlm.nih.gov/protein/XP_039708402.1","fatty acid-binding protein, liver")</f>
        <v>fatty acid-binding protein, liver</v>
      </c>
      <c r="J84">
        <v>223.02</v>
      </c>
      <c r="K84" t="s">
        <v>25</v>
      </c>
      <c r="L84">
        <v>139</v>
      </c>
      <c r="M84">
        <v>50.68</v>
      </c>
      <c r="N84">
        <v>88.4</v>
      </c>
      <c r="O84" t="s">
        <v>20</v>
      </c>
      <c r="P84" t="s">
        <v>21</v>
      </c>
      <c r="Q84" t="s">
        <v>20</v>
      </c>
      <c r="R84" t="str">
        <f>HYPERLINK("https://cfpub.epa.gov/ecotox/explore.cfm?ncbi=143291","Explore in ECOTOX")</f>
        <v>Explore in ECOTOX</v>
      </c>
    </row>
    <row r="85" spans="1:18" x14ac:dyDescent="0.25">
      <c r="A85">
        <v>6</v>
      </c>
      <c r="B85" t="str">
        <f>HYPERLINK("http://www.ncbi.nlm.nih.gov/protein/KAF4016375.1","KAF4016375.1")</f>
        <v>KAF4016375.1</v>
      </c>
      <c r="C85">
        <v>19273</v>
      </c>
      <c r="D85" t="str">
        <f>HYPERLINK("http://www.ncbi.nlm.nih.gov/Taxonomy/Browser/wwwtax.cgi?mode=Info&amp;id=84702&amp;lvl=3&amp;lin=f&amp;keep=1&amp;srchmode=1&amp;unlock","84702")</f>
        <v>84702</v>
      </c>
      <c r="E85" t="s">
        <v>18</v>
      </c>
      <c r="F85" t="s">
        <v>18</v>
      </c>
      <c r="G85" t="str">
        <f>HYPERLINK("http://www.ncbi.nlm.nih.gov/Taxonomy/Browser/wwwtax.cgi?mode=Info&amp;id=84702&amp;lvl=3&amp;lin=f&amp;keep=1&amp;srchmode=1&amp;unlock","Cervus hanglu yarkandensis")</f>
        <v>Cervus hanglu yarkandensis</v>
      </c>
      <c r="H85" t="s">
        <v>104</v>
      </c>
      <c r="I85" t="str">
        <f>HYPERLINK("http://www.ncbi.nlm.nih.gov/protein/KAF4016375.1","hypothetical protein G4228_008245")</f>
        <v>hypothetical protein G4228_008245</v>
      </c>
      <c r="J85">
        <v>223.02</v>
      </c>
      <c r="K85" t="s">
        <v>20</v>
      </c>
      <c r="L85">
        <v>139</v>
      </c>
      <c r="M85">
        <v>50.68</v>
      </c>
      <c r="N85">
        <v>88.4</v>
      </c>
      <c r="O85" t="s">
        <v>20</v>
      </c>
      <c r="P85" t="s">
        <v>21</v>
      </c>
      <c r="Q85" t="s">
        <v>20</v>
      </c>
      <c r="R85" t="str">
        <f>HYPERLINK("https://cfpub.epa.gov/ecotox/explore.cfm?ncbi=84702","Explore in ECOTOX")</f>
        <v>Explore in ECOTOX</v>
      </c>
    </row>
    <row r="86" spans="1:18" x14ac:dyDescent="0.25">
      <c r="A86">
        <v>6</v>
      </c>
      <c r="B86" t="str">
        <f>HYPERLINK("http://www.ncbi.nlm.nih.gov/protein/XP_007533957.1","XP_007533957.1")</f>
        <v>XP_007533957.1</v>
      </c>
      <c r="C86">
        <v>29636</v>
      </c>
      <c r="D86" t="str">
        <f>HYPERLINK("http://www.ncbi.nlm.nih.gov/Taxonomy/Browser/wwwtax.cgi?mode=Info&amp;id=9365&amp;lvl=3&amp;lin=f&amp;keep=1&amp;srchmode=1&amp;unlock","9365")</f>
        <v>9365</v>
      </c>
      <c r="E86" t="s">
        <v>18</v>
      </c>
      <c r="F86" t="s">
        <v>18</v>
      </c>
      <c r="G86" t="str">
        <f>HYPERLINK("http://www.ncbi.nlm.nih.gov/Taxonomy/Browser/wwwtax.cgi?mode=Info&amp;id=9365&amp;lvl=3&amp;lin=f&amp;keep=1&amp;srchmode=1&amp;unlock","Erinaceus europaeus")</f>
        <v>Erinaceus europaeus</v>
      </c>
      <c r="H86" t="s">
        <v>105</v>
      </c>
      <c r="I86" t="str">
        <f>HYPERLINK("http://www.ncbi.nlm.nih.gov/protein/XP_007533957.1","PREDICTED: fatty acid-binding protein, liver")</f>
        <v>PREDICTED: fatty acid-binding protein, liver</v>
      </c>
      <c r="J86">
        <v>222.63</v>
      </c>
      <c r="K86" t="s">
        <v>25</v>
      </c>
      <c r="L86">
        <v>139</v>
      </c>
      <c r="M86">
        <v>50.68</v>
      </c>
      <c r="N86">
        <v>88.24</v>
      </c>
      <c r="O86" t="s">
        <v>20</v>
      </c>
      <c r="P86" t="s">
        <v>21</v>
      </c>
      <c r="Q86" t="s">
        <v>20</v>
      </c>
      <c r="R86" t="str">
        <f>HYPERLINK("https://cfpub.epa.gov/ecotox/explore.cfm?ncbi=9365","Explore in ECOTOX")</f>
        <v>Explore in ECOTOX</v>
      </c>
    </row>
    <row r="87" spans="1:18" x14ac:dyDescent="0.25">
      <c r="A87">
        <v>6</v>
      </c>
      <c r="B87" t="str">
        <f>HYPERLINK("http://www.ncbi.nlm.nih.gov/protein/XP_004642838.1","XP_004642838.1")</f>
        <v>XP_004642838.1</v>
      </c>
      <c r="C87">
        <v>42554</v>
      </c>
      <c r="D87" t="str">
        <f>HYPERLINK("http://www.ncbi.nlm.nih.gov/Taxonomy/Browser/wwwtax.cgi?mode=Info&amp;id=10160&amp;lvl=3&amp;lin=f&amp;keep=1&amp;srchmode=1&amp;unlock","10160")</f>
        <v>10160</v>
      </c>
      <c r="E87" t="s">
        <v>18</v>
      </c>
      <c r="F87" t="s">
        <v>18</v>
      </c>
      <c r="G87" t="str">
        <f>HYPERLINK("http://www.ncbi.nlm.nih.gov/Taxonomy/Browser/wwwtax.cgi?mode=Info&amp;id=10160&amp;lvl=3&amp;lin=f&amp;keep=1&amp;srchmode=1&amp;unlock","Octodon degus")</f>
        <v>Octodon degus</v>
      </c>
      <c r="H87" t="s">
        <v>106</v>
      </c>
      <c r="I87" t="str">
        <f>HYPERLINK("http://www.ncbi.nlm.nih.gov/protein/XP_004642838.1","fatty acid-binding protein, liver")</f>
        <v>fatty acid-binding protein, liver</v>
      </c>
      <c r="J87">
        <v>222.63</v>
      </c>
      <c r="K87" t="s">
        <v>25</v>
      </c>
      <c r="L87">
        <v>139</v>
      </c>
      <c r="M87">
        <v>50.68</v>
      </c>
      <c r="N87">
        <v>88.24</v>
      </c>
      <c r="O87" t="s">
        <v>20</v>
      </c>
      <c r="P87" t="s">
        <v>21</v>
      </c>
      <c r="Q87" t="s">
        <v>20</v>
      </c>
      <c r="R87" t="str">
        <f>HYPERLINK("https://cfpub.epa.gov/ecotox/explore.cfm?ncbi=10160","Explore in ECOTOX")</f>
        <v>Explore in ECOTOX</v>
      </c>
    </row>
    <row r="88" spans="1:18" x14ac:dyDescent="0.25">
      <c r="A88">
        <v>6</v>
      </c>
      <c r="B88" t="str">
        <f>HYPERLINK("http://www.ncbi.nlm.nih.gov/protein/XP_012890971.1","XP_012890971.1")</f>
        <v>XP_012890971.1</v>
      </c>
      <c r="C88">
        <v>29406</v>
      </c>
      <c r="D88" t="str">
        <f>HYPERLINK("http://www.ncbi.nlm.nih.gov/Taxonomy/Browser/wwwtax.cgi?mode=Info&amp;id=10020&amp;lvl=3&amp;lin=f&amp;keep=1&amp;srchmode=1&amp;unlock","10020")</f>
        <v>10020</v>
      </c>
      <c r="E88" t="s">
        <v>18</v>
      </c>
      <c r="F88" t="s">
        <v>18</v>
      </c>
      <c r="G88" t="str">
        <f>HYPERLINK("http://www.ncbi.nlm.nih.gov/Taxonomy/Browser/wwwtax.cgi?mode=Info&amp;id=10020&amp;lvl=3&amp;lin=f&amp;keep=1&amp;srchmode=1&amp;unlock","Dipodomys ordii")</f>
        <v>Dipodomys ordii</v>
      </c>
      <c r="H88" t="s">
        <v>107</v>
      </c>
      <c r="I88" t="str">
        <f>HYPERLINK("http://www.ncbi.nlm.nih.gov/protein/XP_012890971.1","PREDICTED: fatty acid-binding protein, liver")</f>
        <v>PREDICTED: fatty acid-binding protein, liver</v>
      </c>
      <c r="J88">
        <v>221.48</v>
      </c>
      <c r="K88" t="s">
        <v>25</v>
      </c>
      <c r="L88">
        <v>139</v>
      </c>
      <c r="M88">
        <v>50.68</v>
      </c>
      <c r="N88">
        <v>87.79</v>
      </c>
      <c r="O88" t="s">
        <v>20</v>
      </c>
      <c r="P88" t="s">
        <v>21</v>
      </c>
      <c r="Q88" t="s">
        <v>20</v>
      </c>
      <c r="R88" t="str">
        <f>HYPERLINK("https://cfpub.epa.gov/ecotox/explore.cfm?ncbi=10020","Explore in ECOTOX")</f>
        <v>Explore in ECOTOX</v>
      </c>
    </row>
    <row r="89" spans="1:18" x14ac:dyDescent="0.25">
      <c r="A89">
        <v>6</v>
      </c>
      <c r="B89" t="str">
        <f>HYPERLINK("http://www.ncbi.nlm.nih.gov/protein/ADZ29097.1","ADZ29097.1")</f>
        <v>ADZ29097.1</v>
      </c>
      <c r="C89">
        <v>47245</v>
      </c>
      <c r="D89" t="str">
        <f>HYPERLINK("http://www.ncbi.nlm.nih.gov/Taxonomy/Browser/wwwtax.cgi?mode=Info&amp;id=9925&amp;lvl=3&amp;lin=f&amp;keep=1&amp;srchmode=1&amp;unlock","9925")</f>
        <v>9925</v>
      </c>
      <c r="E89" t="s">
        <v>18</v>
      </c>
      <c r="F89" t="s">
        <v>18</v>
      </c>
      <c r="G89" t="str">
        <f>HYPERLINK("http://www.ncbi.nlm.nih.gov/Taxonomy/Browser/wwwtax.cgi?mode=Info&amp;id=9925&amp;lvl=3&amp;lin=f&amp;keep=1&amp;srchmode=1&amp;unlock","Capra hircus")</f>
        <v>Capra hircus</v>
      </c>
      <c r="H89" t="s">
        <v>108</v>
      </c>
      <c r="I89" t="str">
        <f>HYPERLINK("http://www.ncbi.nlm.nih.gov/protein/ADZ29097.1","fatty acid binding protein")</f>
        <v>fatty acid binding protein</v>
      </c>
      <c r="J89">
        <v>221.09</v>
      </c>
      <c r="K89" t="s">
        <v>25</v>
      </c>
      <c r="L89">
        <v>139</v>
      </c>
      <c r="M89">
        <v>50.68</v>
      </c>
      <c r="N89">
        <v>87.63</v>
      </c>
      <c r="O89" t="s">
        <v>20</v>
      </c>
      <c r="P89" t="s">
        <v>21</v>
      </c>
      <c r="Q89" t="s">
        <v>20</v>
      </c>
      <c r="R89" t="str">
        <f>HYPERLINK("https://cfpub.epa.gov/ecotox/explore.cfm?ncbi=9925","Explore in ECOTOX")</f>
        <v>Explore in ECOTOX</v>
      </c>
    </row>
    <row r="90" spans="1:18" x14ac:dyDescent="0.25">
      <c r="A90">
        <v>6</v>
      </c>
      <c r="B90" t="str">
        <f>HYPERLINK("http://www.ncbi.nlm.nih.gov/protein/XP_037024074.1","XP_037024074.1")</f>
        <v>XP_037024074.1</v>
      </c>
      <c r="C90">
        <v>43356</v>
      </c>
      <c r="D90" t="str">
        <f>HYPERLINK("http://www.ncbi.nlm.nih.gov/Taxonomy/Browser/wwwtax.cgi?mode=Info&amp;id=9417&amp;lvl=3&amp;lin=f&amp;keep=1&amp;srchmode=1&amp;unlock","9417")</f>
        <v>9417</v>
      </c>
      <c r="E90" t="s">
        <v>18</v>
      </c>
      <c r="F90" t="s">
        <v>18</v>
      </c>
      <c r="G90" t="str">
        <f>HYPERLINK("http://www.ncbi.nlm.nih.gov/Taxonomy/Browser/wwwtax.cgi?mode=Info&amp;id=9417&amp;lvl=3&amp;lin=f&amp;keep=1&amp;srchmode=1&amp;unlock","Artibeus jamaicensis")</f>
        <v>Artibeus jamaicensis</v>
      </c>
      <c r="H90" t="s">
        <v>109</v>
      </c>
      <c r="I90" t="str">
        <f>HYPERLINK("http://www.ncbi.nlm.nih.gov/protein/XP_037024074.1","fatty acid-binding protein, liver")</f>
        <v>fatty acid-binding protein, liver</v>
      </c>
      <c r="J90">
        <v>220.71</v>
      </c>
      <c r="K90" t="s">
        <v>25</v>
      </c>
      <c r="L90">
        <v>139</v>
      </c>
      <c r="M90">
        <v>50.68</v>
      </c>
      <c r="N90">
        <v>87.48</v>
      </c>
      <c r="O90" t="s">
        <v>20</v>
      </c>
      <c r="P90" t="s">
        <v>21</v>
      </c>
      <c r="Q90" t="s">
        <v>20</v>
      </c>
      <c r="R90" t="str">
        <f>HYPERLINK("https://cfpub.epa.gov/ecotox/explore.cfm?ncbi=9417","Explore in ECOTOX")</f>
        <v>Explore in ECOTOX</v>
      </c>
    </row>
    <row r="91" spans="1:18" x14ac:dyDescent="0.25">
      <c r="A91">
        <v>6</v>
      </c>
      <c r="B91" t="str">
        <f>HYPERLINK("http://www.ncbi.nlm.nih.gov/protein/XP_004691672.1","XP_004691672.1")</f>
        <v>XP_004691672.1</v>
      </c>
      <c r="C91">
        <v>29269</v>
      </c>
      <c r="D91" t="str">
        <f>HYPERLINK("http://www.ncbi.nlm.nih.gov/Taxonomy/Browser/wwwtax.cgi?mode=Info&amp;id=143302&amp;lvl=3&amp;lin=f&amp;keep=1&amp;srchmode=1&amp;unlock","143302")</f>
        <v>143302</v>
      </c>
      <c r="E91" t="s">
        <v>18</v>
      </c>
      <c r="F91" t="s">
        <v>18</v>
      </c>
      <c r="G91" t="str">
        <f>HYPERLINK("http://www.ncbi.nlm.nih.gov/Taxonomy/Browser/wwwtax.cgi?mode=Info&amp;id=143302&amp;lvl=3&amp;lin=f&amp;keep=1&amp;srchmode=1&amp;unlock","Condylura cristata")</f>
        <v>Condylura cristata</v>
      </c>
      <c r="H91" t="s">
        <v>110</v>
      </c>
      <c r="I91" t="str">
        <f>HYPERLINK("http://www.ncbi.nlm.nih.gov/protein/XP_004691672.1","PREDICTED: fatty acid-binding protein, liver")</f>
        <v>PREDICTED: fatty acid-binding protein, liver</v>
      </c>
      <c r="J91">
        <v>220.71</v>
      </c>
      <c r="K91" t="s">
        <v>20</v>
      </c>
      <c r="L91">
        <v>139</v>
      </c>
      <c r="M91">
        <v>50.68</v>
      </c>
      <c r="N91">
        <v>87.48</v>
      </c>
      <c r="O91" t="s">
        <v>20</v>
      </c>
      <c r="P91" t="s">
        <v>21</v>
      </c>
      <c r="Q91" t="s">
        <v>20</v>
      </c>
      <c r="R91" t="str">
        <f>HYPERLINK("https://cfpub.epa.gov/ecotox/explore.cfm?ncbi=143302","Explore in ECOTOX")</f>
        <v>Explore in ECOTOX</v>
      </c>
    </row>
    <row r="92" spans="1:18" x14ac:dyDescent="0.25">
      <c r="A92">
        <v>6</v>
      </c>
      <c r="B92" t="str">
        <f>HYPERLINK("http://www.ncbi.nlm.nih.gov/protein/XP_036895787.1","XP_036895787.1")</f>
        <v>XP_036895787.1</v>
      </c>
      <c r="C92">
        <v>43557</v>
      </c>
      <c r="D92" t="str">
        <f>HYPERLINK("http://www.ncbi.nlm.nih.gov/Taxonomy/Browser/wwwtax.cgi?mode=Info&amp;id=192404&amp;lvl=3&amp;lin=f&amp;keep=1&amp;srchmode=1&amp;unlock","192404")</f>
        <v>192404</v>
      </c>
      <c r="E92" t="s">
        <v>18</v>
      </c>
      <c r="F92" t="s">
        <v>18</v>
      </c>
      <c r="G92" t="str">
        <f>HYPERLINK("http://www.ncbi.nlm.nih.gov/Taxonomy/Browser/wwwtax.cgi?mode=Info&amp;id=192404&amp;lvl=3&amp;lin=f&amp;keep=1&amp;srchmode=1&amp;unlock","Sturnira hondurensis")</f>
        <v>Sturnira hondurensis</v>
      </c>
      <c r="H92" t="s">
        <v>111</v>
      </c>
      <c r="I92" t="str">
        <f>HYPERLINK("http://www.ncbi.nlm.nih.gov/protein/XP_036895787.1","fatty acid-binding protein, liver")</f>
        <v>fatty acid-binding protein, liver</v>
      </c>
      <c r="J92">
        <v>220.71</v>
      </c>
      <c r="K92" t="s">
        <v>25</v>
      </c>
      <c r="L92">
        <v>139</v>
      </c>
      <c r="M92">
        <v>50.68</v>
      </c>
      <c r="N92">
        <v>87.48</v>
      </c>
      <c r="O92" t="s">
        <v>20</v>
      </c>
      <c r="P92" t="s">
        <v>21</v>
      </c>
      <c r="Q92" t="s">
        <v>20</v>
      </c>
      <c r="R92" t="str">
        <f>HYPERLINK("https://cfpub.epa.gov/ecotox/explore.cfm?ncbi=192404","Explore in ECOTOX")</f>
        <v>Explore in ECOTOX</v>
      </c>
    </row>
    <row r="93" spans="1:18" x14ac:dyDescent="0.25">
      <c r="A93">
        <v>6</v>
      </c>
      <c r="B93" t="str">
        <f>HYPERLINK("http://www.ncbi.nlm.nih.gov/protein/XP_036119160.1","XP_036119160.1")</f>
        <v>XP_036119160.1</v>
      </c>
      <c r="C93">
        <v>96162</v>
      </c>
      <c r="D93" t="str">
        <f>HYPERLINK("http://www.ncbi.nlm.nih.gov/Taxonomy/Browser/wwwtax.cgi?mode=Info&amp;id=27622&amp;lvl=3&amp;lin=f&amp;keep=1&amp;srchmode=1&amp;unlock","27622")</f>
        <v>27622</v>
      </c>
      <c r="E93" t="s">
        <v>18</v>
      </c>
      <c r="F93" t="s">
        <v>18</v>
      </c>
      <c r="G93" t="str">
        <f>HYPERLINK("http://www.ncbi.nlm.nih.gov/Taxonomy/Browser/wwwtax.cgi?mode=Info&amp;id=27622&amp;lvl=3&amp;lin=f&amp;keep=1&amp;srchmode=1&amp;unlock","Molossus molossus")</f>
        <v>Molossus molossus</v>
      </c>
      <c r="H93" t="s">
        <v>112</v>
      </c>
      <c r="I93" t="str">
        <f>HYPERLINK("http://www.ncbi.nlm.nih.gov/protein/XP_036119160.1","fatty acid-binding protein, liver")</f>
        <v>fatty acid-binding protein, liver</v>
      </c>
      <c r="J93">
        <v>219.55</v>
      </c>
      <c r="K93" t="s">
        <v>25</v>
      </c>
      <c r="L93">
        <v>139</v>
      </c>
      <c r="M93">
        <v>50.68</v>
      </c>
      <c r="N93">
        <v>87.02</v>
      </c>
      <c r="O93" t="s">
        <v>20</v>
      </c>
      <c r="P93" t="s">
        <v>21</v>
      </c>
      <c r="Q93" t="s">
        <v>20</v>
      </c>
      <c r="R93" t="str">
        <f>HYPERLINK("https://cfpub.epa.gov/ecotox/explore.cfm?ncbi=27622","Explore in ECOTOX")</f>
        <v>Explore in ECOTOX</v>
      </c>
    </row>
    <row r="94" spans="1:18" x14ac:dyDescent="0.25">
      <c r="A94">
        <v>6</v>
      </c>
      <c r="B94" t="str">
        <f>HYPERLINK("http://www.ncbi.nlm.nih.gov/protein/XP_006074804.1","XP_006074804.1")</f>
        <v>XP_006074804.1</v>
      </c>
      <c r="C94">
        <v>61063</v>
      </c>
      <c r="D94" t="str">
        <f>HYPERLINK("http://www.ncbi.nlm.nih.gov/Taxonomy/Browser/wwwtax.cgi?mode=Info&amp;id=89462&amp;lvl=3&amp;lin=f&amp;keep=1&amp;srchmode=1&amp;unlock","89462")</f>
        <v>89462</v>
      </c>
      <c r="E94" t="s">
        <v>18</v>
      </c>
      <c r="F94" t="s">
        <v>18</v>
      </c>
      <c r="G94" t="str">
        <f>HYPERLINK("http://www.ncbi.nlm.nih.gov/Taxonomy/Browser/wwwtax.cgi?mode=Info&amp;id=89462&amp;lvl=3&amp;lin=f&amp;keep=1&amp;srchmode=1&amp;unlock","Bubalus bubalis")</f>
        <v>Bubalus bubalis</v>
      </c>
      <c r="H94" t="s">
        <v>113</v>
      </c>
      <c r="I94" t="str">
        <f>HYPERLINK("http://www.ncbi.nlm.nih.gov/protein/XP_006074804.1","fatty acid-binding protein, liver")</f>
        <v>fatty acid-binding protein, liver</v>
      </c>
      <c r="J94">
        <v>219.16</v>
      </c>
      <c r="K94" t="s">
        <v>20</v>
      </c>
      <c r="L94">
        <v>139</v>
      </c>
      <c r="M94">
        <v>50.68</v>
      </c>
      <c r="N94">
        <v>86.87</v>
      </c>
      <c r="O94" t="s">
        <v>20</v>
      </c>
      <c r="P94" t="s">
        <v>21</v>
      </c>
      <c r="Q94" t="s">
        <v>20</v>
      </c>
      <c r="R94" t="str">
        <f>HYPERLINK("https://cfpub.epa.gov/ecotox/explore.cfm?ncbi=89462","Explore in ECOTOX")</f>
        <v>Explore in ECOTOX</v>
      </c>
    </row>
    <row r="95" spans="1:18" x14ac:dyDescent="0.25">
      <c r="A95">
        <v>6</v>
      </c>
      <c r="B95" t="str">
        <f>HYPERLINK("http://www.ncbi.nlm.nih.gov/protein/XP_004708000.1","XP_004708000.1")</f>
        <v>XP_004708000.1</v>
      </c>
      <c r="C95">
        <v>24944</v>
      </c>
      <c r="D95" t="str">
        <f>HYPERLINK("http://www.ncbi.nlm.nih.gov/Taxonomy/Browser/wwwtax.cgi?mode=Info&amp;id=9371&amp;lvl=3&amp;lin=f&amp;keep=1&amp;srchmode=1&amp;unlock","9371")</f>
        <v>9371</v>
      </c>
      <c r="E95" t="s">
        <v>18</v>
      </c>
      <c r="F95" t="s">
        <v>18</v>
      </c>
      <c r="G95" t="str">
        <f>HYPERLINK("http://www.ncbi.nlm.nih.gov/Taxonomy/Browser/wwwtax.cgi?mode=Info&amp;id=9371&amp;lvl=3&amp;lin=f&amp;keep=1&amp;srchmode=1&amp;unlock","Echinops telfairi")</f>
        <v>Echinops telfairi</v>
      </c>
      <c r="H95" t="s">
        <v>114</v>
      </c>
      <c r="I95" t="str">
        <f>HYPERLINK("http://www.ncbi.nlm.nih.gov/protein/XP_004708000.1","fatty acid-binding protein, liver isoform X1")</f>
        <v>fatty acid-binding protein, liver isoform X1</v>
      </c>
      <c r="J95">
        <v>219.16</v>
      </c>
      <c r="K95" t="s">
        <v>20</v>
      </c>
      <c r="L95">
        <v>139</v>
      </c>
      <c r="M95">
        <v>50.68</v>
      </c>
      <c r="N95">
        <v>86.87</v>
      </c>
      <c r="O95" t="s">
        <v>20</v>
      </c>
      <c r="P95" t="s">
        <v>21</v>
      </c>
      <c r="Q95" t="s">
        <v>20</v>
      </c>
      <c r="R95" t="str">
        <f>HYPERLINK("https://cfpub.epa.gov/ecotox/explore.cfm?ncbi=9371","Explore in ECOTOX")</f>
        <v>Explore in ECOTOX</v>
      </c>
    </row>
    <row r="96" spans="1:18" x14ac:dyDescent="0.25">
      <c r="A96">
        <v>6</v>
      </c>
      <c r="B96" t="str">
        <f>HYPERLINK("http://www.ncbi.nlm.nih.gov/protein/XP_031297150.1","XP_031297150.1")</f>
        <v>XP_031297150.1</v>
      </c>
      <c r="C96">
        <v>86974</v>
      </c>
      <c r="D96" t="str">
        <f>HYPERLINK("http://www.ncbi.nlm.nih.gov/Taxonomy/Browser/wwwtax.cgi?mode=Info&amp;id=9838&amp;lvl=3&amp;lin=f&amp;keep=1&amp;srchmode=1&amp;unlock","9838")</f>
        <v>9838</v>
      </c>
      <c r="E96" t="s">
        <v>18</v>
      </c>
      <c r="F96" t="s">
        <v>18</v>
      </c>
      <c r="G96" t="str">
        <f>HYPERLINK("http://www.ncbi.nlm.nih.gov/Taxonomy/Browser/wwwtax.cgi?mode=Info&amp;id=9838&amp;lvl=3&amp;lin=f&amp;keep=1&amp;srchmode=1&amp;unlock","Camelus dromedarius")</f>
        <v>Camelus dromedarius</v>
      </c>
      <c r="H96" t="s">
        <v>115</v>
      </c>
      <c r="I96" t="str">
        <f>HYPERLINK("http://www.ncbi.nlm.nih.gov/protein/XP_031297150.1","fatty acid-binding protein, liver")</f>
        <v>fatty acid-binding protein, liver</v>
      </c>
      <c r="J96">
        <v>218.78</v>
      </c>
      <c r="K96" t="s">
        <v>20</v>
      </c>
      <c r="L96">
        <v>139</v>
      </c>
      <c r="M96">
        <v>50.68</v>
      </c>
      <c r="N96">
        <v>86.72</v>
      </c>
      <c r="O96" t="s">
        <v>20</v>
      </c>
      <c r="P96" t="s">
        <v>21</v>
      </c>
      <c r="Q96" t="s">
        <v>20</v>
      </c>
      <c r="R96" t="str">
        <f>HYPERLINK("https://cfpub.epa.gov/ecotox/explore.cfm?ncbi=9838","Explore in ECOTOX")</f>
        <v>Explore in ECOTOX</v>
      </c>
    </row>
    <row r="97" spans="1:18" x14ac:dyDescent="0.25">
      <c r="A97">
        <v>6</v>
      </c>
      <c r="B97" t="str">
        <f>HYPERLINK("http://www.ncbi.nlm.nih.gov/protein/XP_040080192.1","XP_040080192.1")</f>
        <v>XP_040080192.1</v>
      </c>
      <c r="C97">
        <v>44054</v>
      </c>
      <c r="D97" t="str">
        <f>HYPERLINK("http://www.ncbi.nlm.nih.gov/Taxonomy/Browser/wwwtax.cgi?mode=Info&amp;id=59534&amp;lvl=3&amp;lin=f&amp;keep=1&amp;srchmode=1&amp;unlock","59534")</f>
        <v>59534</v>
      </c>
      <c r="E97" t="s">
        <v>18</v>
      </c>
      <c r="F97" t="s">
        <v>18</v>
      </c>
      <c r="G97" t="str">
        <f>HYPERLINK("http://www.ncbi.nlm.nih.gov/Taxonomy/Browser/wwwtax.cgi?mode=Info&amp;id=59534&amp;lvl=3&amp;lin=f&amp;keep=1&amp;srchmode=1&amp;unlock","Oryx dammah")</f>
        <v>Oryx dammah</v>
      </c>
      <c r="H97" t="s">
        <v>116</v>
      </c>
      <c r="I97" t="str">
        <f>HYPERLINK("http://www.ncbi.nlm.nih.gov/protein/XP_040080192.1","fatty acid-binding protein, liver")</f>
        <v>fatty acid-binding protein, liver</v>
      </c>
      <c r="J97">
        <v>218.78</v>
      </c>
      <c r="K97" t="s">
        <v>25</v>
      </c>
      <c r="L97">
        <v>139</v>
      </c>
      <c r="M97">
        <v>50.68</v>
      </c>
      <c r="N97">
        <v>86.72</v>
      </c>
      <c r="O97" t="s">
        <v>20</v>
      </c>
      <c r="P97" t="s">
        <v>21</v>
      </c>
      <c r="Q97" t="s">
        <v>20</v>
      </c>
      <c r="R97" t="str">
        <f>HYPERLINK("https://cfpub.epa.gov/ecotox/explore.cfm?ncbi=59534","Explore in ECOTOX")</f>
        <v>Explore in ECOTOX</v>
      </c>
    </row>
    <row r="98" spans="1:18" x14ac:dyDescent="0.25">
      <c r="A98">
        <v>6</v>
      </c>
      <c r="B98" t="str">
        <f>HYPERLINK("http://www.ncbi.nlm.nih.gov/protein/MXQ82603.1","MXQ82603.1")</f>
        <v>MXQ82603.1</v>
      </c>
      <c r="C98">
        <v>68258</v>
      </c>
      <c r="D98" t="str">
        <f>HYPERLINK("http://www.ncbi.nlm.nih.gov/Taxonomy/Browser/wwwtax.cgi?mode=Info&amp;id=72004&amp;lvl=3&amp;lin=f&amp;keep=1&amp;srchmode=1&amp;unlock","72004")</f>
        <v>72004</v>
      </c>
      <c r="E98" t="s">
        <v>18</v>
      </c>
      <c r="F98" t="s">
        <v>18</v>
      </c>
      <c r="G98" t="str">
        <f>HYPERLINK("http://www.ncbi.nlm.nih.gov/Taxonomy/Browser/wwwtax.cgi?mode=Info&amp;id=72004&amp;lvl=3&amp;lin=f&amp;keep=1&amp;srchmode=1&amp;unlock","Bos mutus")</f>
        <v>Bos mutus</v>
      </c>
      <c r="H98" t="s">
        <v>117</v>
      </c>
      <c r="I98" t="str">
        <f>HYPERLINK("http://www.ncbi.nlm.nih.gov/protein/MXQ82603.1","hypothetical protein")</f>
        <v>hypothetical protein</v>
      </c>
      <c r="J98">
        <v>218.01</v>
      </c>
      <c r="K98" t="s">
        <v>20</v>
      </c>
      <c r="L98">
        <v>139</v>
      </c>
      <c r="M98">
        <v>50.68</v>
      </c>
      <c r="N98">
        <v>86.41</v>
      </c>
      <c r="O98" t="s">
        <v>20</v>
      </c>
      <c r="P98" t="s">
        <v>21</v>
      </c>
      <c r="Q98" t="s">
        <v>20</v>
      </c>
      <c r="R98" t="str">
        <f>HYPERLINK("https://cfpub.epa.gov/ecotox/explore.cfm?ncbi=72004","Explore in ECOTOX")</f>
        <v>Explore in ECOTOX</v>
      </c>
    </row>
    <row r="99" spans="1:18" x14ac:dyDescent="0.25">
      <c r="A99">
        <v>6</v>
      </c>
      <c r="B99" t="str">
        <f>HYPERLINK("http://www.ncbi.nlm.nih.gov/protein/XP_010860544.1","XP_010860544.1")</f>
        <v>XP_010860544.1</v>
      </c>
      <c r="C99">
        <v>35574</v>
      </c>
      <c r="D99" t="str">
        <f>HYPERLINK("http://www.ncbi.nlm.nih.gov/Taxonomy/Browser/wwwtax.cgi?mode=Info&amp;id=43346&amp;lvl=3&amp;lin=f&amp;keep=1&amp;srchmode=1&amp;unlock","43346")</f>
        <v>43346</v>
      </c>
      <c r="E99" t="s">
        <v>18</v>
      </c>
      <c r="F99" t="s">
        <v>18</v>
      </c>
      <c r="G99" t="str">
        <f>HYPERLINK("http://www.ncbi.nlm.nih.gov/Taxonomy/Browser/wwwtax.cgi?mode=Info&amp;id=43346&amp;lvl=3&amp;lin=f&amp;keep=1&amp;srchmode=1&amp;unlock","Bison bison bison")</f>
        <v>Bison bison bison</v>
      </c>
      <c r="H99" t="s">
        <v>118</v>
      </c>
      <c r="I99" t="str">
        <f>HYPERLINK("http://www.ncbi.nlm.nih.gov/protein/XP_010860544.1","PREDICTED: fatty acid-binding protein, liver")</f>
        <v>PREDICTED: fatty acid-binding protein, liver</v>
      </c>
      <c r="J99">
        <v>218.01</v>
      </c>
      <c r="K99" t="s">
        <v>20</v>
      </c>
      <c r="L99">
        <v>139</v>
      </c>
      <c r="M99">
        <v>50.68</v>
      </c>
      <c r="N99">
        <v>86.41</v>
      </c>
      <c r="O99" t="s">
        <v>20</v>
      </c>
      <c r="P99" t="s">
        <v>21</v>
      </c>
      <c r="Q99" t="s">
        <v>20</v>
      </c>
      <c r="R99" t="str">
        <f>HYPERLINK("https://cfpub.epa.gov/ecotox/explore.cfm?ncbi=43346","Explore in ECOTOX")</f>
        <v>Explore in ECOTOX</v>
      </c>
    </row>
    <row r="100" spans="1:18" x14ac:dyDescent="0.25">
      <c r="A100">
        <v>6</v>
      </c>
      <c r="B100" t="str">
        <f>HYPERLINK("http://www.ncbi.nlm.nih.gov/protein/NP_059095.1","NP_059095.1")</f>
        <v>NP_059095.1</v>
      </c>
      <c r="C100">
        <v>329947</v>
      </c>
      <c r="D100" t="str">
        <f>HYPERLINK("http://www.ncbi.nlm.nih.gov/Taxonomy/Browser/wwwtax.cgi?mode=Info&amp;id=10090&amp;lvl=3&amp;lin=f&amp;keep=1&amp;srchmode=1&amp;unlock","10090")</f>
        <v>10090</v>
      </c>
      <c r="E100" t="s">
        <v>18</v>
      </c>
      <c r="F100" t="s">
        <v>18</v>
      </c>
      <c r="G100" t="str">
        <f>HYPERLINK("http://www.ncbi.nlm.nih.gov/Taxonomy/Browser/wwwtax.cgi?mode=Info&amp;id=10090&amp;lvl=3&amp;lin=f&amp;keep=1&amp;srchmode=1&amp;unlock","Mus musculus")</f>
        <v>Mus musculus</v>
      </c>
      <c r="H100" t="s">
        <v>119</v>
      </c>
      <c r="I100" t="str">
        <f>HYPERLINK("http://www.ncbi.nlm.nih.gov/protein/NP_059095.1","fatty acid-binding protein, liver")</f>
        <v>fatty acid-binding protein, liver</v>
      </c>
      <c r="J100">
        <v>218.01</v>
      </c>
      <c r="K100" t="s">
        <v>25</v>
      </c>
      <c r="L100">
        <v>139</v>
      </c>
      <c r="M100">
        <v>50.68</v>
      </c>
      <c r="N100">
        <v>86.41</v>
      </c>
      <c r="O100" t="s">
        <v>20</v>
      </c>
      <c r="P100" t="s">
        <v>21</v>
      </c>
      <c r="Q100" t="s">
        <v>20</v>
      </c>
      <c r="R100" t="str">
        <f>HYPERLINK("https://cfpub.epa.gov/ecotox/explore.cfm?ncbi=10090","Explore in ECOTOX")</f>
        <v>Explore in ECOTOX</v>
      </c>
    </row>
    <row r="101" spans="1:18" x14ac:dyDescent="0.25">
      <c r="A101">
        <v>6</v>
      </c>
      <c r="B101" t="str">
        <f>HYPERLINK("http://www.ncbi.nlm.nih.gov/protein/XP_003420466.1","XP_003420466.1")</f>
        <v>XP_003420466.1</v>
      </c>
      <c r="C101">
        <v>41920</v>
      </c>
      <c r="D101" t="str">
        <f>HYPERLINK("http://www.ncbi.nlm.nih.gov/Taxonomy/Browser/wwwtax.cgi?mode=Info&amp;id=9785&amp;lvl=3&amp;lin=f&amp;keep=1&amp;srchmode=1&amp;unlock","9785")</f>
        <v>9785</v>
      </c>
      <c r="E101" t="s">
        <v>18</v>
      </c>
      <c r="F101" t="s">
        <v>18</v>
      </c>
      <c r="G101" t="str">
        <f>HYPERLINK("http://www.ncbi.nlm.nih.gov/Taxonomy/Browser/wwwtax.cgi?mode=Info&amp;id=9785&amp;lvl=3&amp;lin=f&amp;keep=1&amp;srchmode=1&amp;unlock","Loxodonta africana")</f>
        <v>Loxodonta africana</v>
      </c>
      <c r="H101" t="s">
        <v>120</v>
      </c>
      <c r="I101" t="str">
        <f>HYPERLINK("http://www.ncbi.nlm.nih.gov/protein/XP_003420466.1","fatty acid-binding protein, liver")</f>
        <v>fatty acid-binding protein, liver</v>
      </c>
      <c r="J101">
        <v>218.01</v>
      </c>
      <c r="K101" t="s">
        <v>25</v>
      </c>
      <c r="L101">
        <v>139</v>
      </c>
      <c r="M101">
        <v>50.68</v>
      </c>
      <c r="N101">
        <v>86.41</v>
      </c>
      <c r="O101" t="s">
        <v>20</v>
      </c>
      <c r="P101" t="s">
        <v>21</v>
      </c>
      <c r="Q101" t="s">
        <v>20</v>
      </c>
      <c r="R101" t="str">
        <f>HYPERLINK("https://cfpub.epa.gov/ecotox/explore.cfm?ncbi=9785","Explore in ECOTOX")</f>
        <v>Explore in ECOTOX</v>
      </c>
    </row>
    <row r="102" spans="1:18" x14ac:dyDescent="0.25">
      <c r="A102">
        <v>6</v>
      </c>
      <c r="B102" t="str">
        <f>HYPERLINK("http://www.ncbi.nlm.nih.gov/protein/XP_027411292.1","XP_027411292.1")</f>
        <v>XP_027411292.1</v>
      </c>
      <c r="C102">
        <v>54422</v>
      </c>
      <c r="D102" t="str">
        <f>HYPERLINK("http://www.ncbi.nlm.nih.gov/Taxonomy/Browser/wwwtax.cgi?mode=Info&amp;id=30522&amp;lvl=3&amp;lin=f&amp;keep=1&amp;srchmode=1&amp;unlock","30522")</f>
        <v>30522</v>
      </c>
      <c r="E102" t="s">
        <v>18</v>
      </c>
      <c r="F102" t="s">
        <v>18</v>
      </c>
      <c r="G102" t="str">
        <f>HYPERLINK("http://www.ncbi.nlm.nih.gov/Taxonomy/Browser/wwwtax.cgi?mode=Info&amp;id=30522&amp;lvl=3&amp;lin=f&amp;keep=1&amp;srchmode=1&amp;unlock","Bos indicus x Bos taurus")</f>
        <v>Bos indicus x Bos taurus</v>
      </c>
      <c r="H102" t="s">
        <v>121</v>
      </c>
      <c r="I102" t="str">
        <f>HYPERLINK("http://www.ncbi.nlm.nih.gov/protein/XP_027411292.1","fatty acid-binding protein, liver")</f>
        <v>fatty acid-binding protein, liver</v>
      </c>
      <c r="J102">
        <v>218.01</v>
      </c>
      <c r="K102" t="s">
        <v>20</v>
      </c>
      <c r="L102">
        <v>139</v>
      </c>
      <c r="M102">
        <v>50.68</v>
      </c>
      <c r="N102">
        <v>86.41</v>
      </c>
      <c r="O102" t="s">
        <v>20</v>
      </c>
      <c r="P102" t="s">
        <v>21</v>
      </c>
      <c r="Q102" t="s">
        <v>20</v>
      </c>
      <c r="R102" t="str">
        <f>HYPERLINK("https://cfpub.epa.gov/ecotox/explore.cfm?ncbi=30522","Explore in ECOTOX")</f>
        <v>Explore in ECOTOX</v>
      </c>
    </row>
    <row r="103" spans="1:18" x14ac:dyDescent="0.25">
      <c r="A103">
        <v>6</v>
      </c>
      <c r="B103" t="str">
        <f>HYPERLINK("http://www.ncbi.nlm.nih.gov/protein/XP_003758682.1","XP_003758682.1")</f>
        <v>XP_003758682.1</v>
      </c>
      <c r="C103">
        <v>46282</v>
      </c>
      <c r="D103" t="str">
        <f>HYPERLINK("http://www.ncbi.nlm.nih.gov/Taxonomy/Browser/wwwtax.cgi?mode=Info&amp;id=9305&amp;lvl=3&amp;lin=f&amp;keep=1&amp;srchmode=1&amp;unlock","9305")</f>
        <v>9305</v>
      </c>
      <c r="E103" t="s">
        <v>18</v>
      </c>
      <c r="F103" t="s">
        <v>18</v>
      </c>
      <c r="G103" t="str">
        <f>HYPERLINK("http://www.ncbi.nlm.nih.gov/Taxonomy/Browser/wwwtax.cgi?mode=Info&amp;id=9305&amp;lvl=3&amp;lin=f&amp;keep=1&amp;srchmode=1&amp;unlock","Sarcophilus harrisii")</f>
        <v>Sarcophilus harrisii</v>
      </c>
      <c r="H103" t="s">
        <v>122</v>
      </c>
      <c r="I103" t="str">
        <f>HYPERLINK("http://www.ncbi.nlm.nih.gov/protein/XP_003758682.1","fatty acid-binding protein, liver")</f>
        <v>fatty acid-binding protein, liver</v>
      </c>
      <c r="J103">
        <v>218.01</v>
      </c>
      <c r="K103" t="s">
        <v>25</v>
      </c>
      <c r="L103">
        <v>139</v>
      </c>
      <c r="M103">
        <v>50.68</v>
      </c>
      <c r="N103">
        <v>86.41</v>
      </c>
      <c r="O103" t="s">
        <v>20</v>
      </c>
      <c r="P103" t="s">
        <v>21</v>
      </c>
      <c r="Q103" t="s">
        <v>20</v>
      </c>
      <c r="R103" t="str">
        <f>HYPERLINK("https://cfpub.epa.gov/ecotox/explore.cfm?ncbi=9305","Explore in ECOTOX")</f>
        <v>Explore in ECOTOX</v>
      </c>
    </row>
    <row r="104" spans="1:18" x14ac:dyDescent="0.25">
      <c r="A104">
        <v>6</v>
      </c>
      <c r="B104" t="str">
        <f>HYPERLINK("http://www.ncbi.nlm.nih.gov/protein/NP_787011.1","NP_787011.1")</f>
        <v>NP_787011.1</v>
      </c>
      <c r="C104">
        <v>134275</v>
      </c>
      <c r="D104" t="str">
        <f>HYPERLINK("http://www.ncbi.nlm.nih.gov/Taxonomy/Browser/wwwtax.cgi?mode=Info&amp;id=9913&amp;lvl=3&amp;lin=f&amp;keep=1&amp;srchmode=1&amp;unlock","9913")</f>
        <v>9913</v>
      </c>
      <c r="E104" t="s">
        <v>18</v>
      </c>
      <c r="F104" t="s">
        <v>18</v>
      </c>
      <c r="G104" t="str">
        <f>HYPERLINK("http://www.ncbi.nlm.nih.gov/Taxonomy/Browser/wwwtax.cgi?mode=Info&amp;id=9913&amp;lvl=3&amp;lin=f&amp;keep=1&amp;srchmode=1&amp;unlock","Bos taurus")</f>
        <v>Bos taurus</v>
      </c>
      <c r="H104" t="s">
        <v>123</v>
      </c>
      <c r="I104" t="str">
        <f>HYPERLINK("http://www.ncbi.nlm.nih.gov/protein/NP_787011.1","fatty acid-binding protein, liver")</f>
        <v>fatty acid-binding protein, liver</v>
      </c>
      <c r="J104">
        <v>218.01</v>
      </c>
      <c r="K104" t="s">
        <v>20</v>
      </c>
      <c r="L104">
        <v>139</v>
      </c>
      <c r="M104">
        <v>50.68</v>
      </c>
      <c r="N104">
        <v>86.41</v>
      </c>
      <c r="O104" t="s">
        <v>20</v>
      </c>
      <c r="P104" t="s">
        <v>21</v>
      </c>
      <c r="Q104" t="s">
        <v>20</v>
      </c>
      <c r="R104" t="str">
        <f>HYPERLINK("https://cfpub.epa.gov/ecotox/explore.cfm?ncbi=9913","Explore in ECOTOX")</f>
        <v>Explore in ECOTOX</v>
      </c>
    </row>
    <row r="105" spans="1:18" x14ac:dyDescent="0.25">
      <c r="A105">
        <v>6</v>
      </c>
      <c r="B105" t="str">
        <f>HYPERLINK("http://www.ncbi.nlm.nih.gov/protein/XP_006875917.1","XP_006875917.1")</f>
        <v>XP_006875917.1</v>
      </c>
      <c r="C105">
        <v>25292</v>
      </c>
      <c r="D105" t="str">
        <f>HYPERLINK("http://www.ncbi.nlm.nih.gov/Taxonomy/Browser/wwwtax.cgi?mode=Info&amp;id=185453&amp;lvl=3&amp;lin=f&amp;keep=1&amp;srchmode=1&amp;unlock","185453")</f>
        <v>185453</v>
      </c>
      <c r="E105" t="s">
        <v>18</v>
      </c>
      <c r="F105" t="s">
        <v>18</v>
      </c>
      <c r="G105" t="str">
        <f>HYPERLINK("http://www.ncbi.nlm.nih.gov/Taxonomy/Browser/wwwtax.cgi?mode=Info&amp;id=185453&amp;lvl=3&amp;lin=f&amp;keep=1&amp;srchmode=1&amp;unlock","Chrysochloris asiatica")</f>
        <v>Chrysochloris asiatica</v>
      </c>
      <c r="H105" t="s">
        <v>124</v>
      </c>
      <c r="I105" t="str">
        <f>HYPERLINK("http://www.ncbi.nlm.nih.gov/protein/XP_006875917.1","PREDICTED: fatty acid-binding protein, liver")</f>
        <v>PREDICTED: fatty acid-binding protein, liver</v>
      </c>
      <c r="J105">
        <v>217.62</v>
      </c>
      <c r="K105" t="s">
        <v>20</v>
      </c>
      <c r="L105">
        <v>139</v>
      </c>
      <c r="M105">
        <v>50.68</v>
      </c>
      <c r="N105">
        <v>86.26</v>
      </c>
      <c r="O105" t="s">
        <v>20</v>
      </c>
      <c r="P105" t="s">
        <v>21</v>
      </c>
      <c r="Q105" t="s">
        <v>20</v>
      </c>
      <c r="R105" t="str">
        <f>HYPERLINK("https://cfpub.epa.gov/ecotox/explore.cfm?ncbi=185453","Explore in ECOTOX")</f>
        <v>Explore in ECOTOX</v>
      </c>
    </row>
    <row r="106" spans="1:18" x14ac:dyDescent="0.25">
      <c r="A106">
        <v>6</v>
      </c>
      <c r="B106" t="str">
        <f>HYPERLINK("http://www.ncbi.nlm.nih.gov/protein/XP_004388282.1","XP_004388282.1")</f>
        <v>XP_004388282.1</v>
      </c>
      <c r="C106">
        <v>37488</v>
      </c>
      <c r="D106" t="str">
        <f>HYPERLINK("http://www.ncbi.nlm.nih.gov/Taxonomy/Browser/wwwtax.cgi?mode=Info&amp;id=127582&amp;lvl=3&amp;lin=f&amp;keep=1&amp;srchmode=1&amp;unlock","127582")</f>
        <v>127582</v>
      </c>
      <c r="E106" t="s">
        <v>18</v>
      </c>
      <c r="F106" t="s">
        <v>18</v>
      </c>
      <c r="G106" t="str">
        <f>HYPERLINK("http://www.ncbi.nlm.nih.gov/Taxonomy/Browser/wwwtax.cgi?mode=Info&amp;id=127582&amp;lvl=3&amp;lin=f&amp;keep=1&amp;srchmode=1&amp;unlock","Trichechus manatus latirostris")</f>
        <v>Trichechus manatus latirostris</v>
      </c>
      <c r="H106" t="s">
        <v>125</v>
      </c>
      <c r="I106" t="str">
        <f>HYPERLINK("http://www.ncbi.nlm.nih.gov/protein/XP_004388282.1","fatty acid-binding protein, liver")</f>
        <v>fatty acid-binding protein, liver</v>
      </c>
      <c r="J106">
        <v>216.85</v>
      </c>
      <c r="K106" t="s">
        <v>20</v>
      </c>
      <c r="L106">
        <v>139</v>
      </c>
      <c r="M106">
        <v>50.68</v>
      </c>
      <c r="N106">
        <v>85.95</v>
      </c>
      <c r="O106" t="s">
        <v>20</v>
      </c>
      <c r="P106" t="s">
        <v>21</v>
      </c>
      <c r="Q106" t="s">
        <v>20</v>
      </c>
      <c r="R106" t="str">
        <f>HYPERLINK("https://cfpub.epa.gov/ecotox/explore.cfm?ncbi=127582","Explore in ECOTOX")</f>
        <v>Explore in ECOTOX</v>
      </c>
    </row>
    <row r="107" spans="1:18" x14ac:dyDescent="0.25">
      <c r="A107">
        <v>6</v>
      </c>
      <c r="B107" t="str">
        <f>HYPERLINK("http://www.ncbi.nlm.nih.gov/protein/XP_021021254.1","XP_021021254.1")</f>
        <v>XP_021021254.1</v>
      </c>
      <c r="C107">
        <v>47716</v>
      </c>
      <c r="D107" t="str">
        <f>HYPERLINK("http://www.ncbi.nlm.nih.gov/Taxonomy/Browser/wwwtax.cgi?mode=Info&amp;id=10089&amp;lvl=3&amp;lin=f&amp;keep=1&amp;srchmode=1&amp;unlock","10089")</f>
        <v>10089</v>
      </c>
      <c r="E107" t="s">
        <v>18</v>
      </c>
      <c r="F107" t="s">
        <v>18</v>
      </c>
      <c r="G107" t="str">
        <f>HYPERLINK("http://www.ncbi.nlm.nih.gov/Taxonomy/Browser/wwwtax.cgi?mode=Info&amp;id=10089&amp;lvl=3&amp;lin=f&amp;keep=1&amp;srchmode=1&amp;unlock","Mus caroli")</f>
        <v>Mus caroli</v>
      </c>
      <c r="H107" t="s">
        <v>126</v>
      </c>
      <c r="I107" t="str">
        <f>HYPERLINK("http://www.ncbi.nlm.nih.gov/protein/XP_021021254.1","fatty acid-binding protein, liver")</f>
        <v>fatty acid-binding protein, liver</v>
      </c>
      <c r="J107">
        <v>216.85</v>
      </c>
      <c r="K107" t="s">
        <v>25</v>
      </c>
      <c r="L107">
        <v>139</v>
      </c>
      <c r="M107">
        <v>50.68</v>
      </c>
      <c r="N107">
        <v>85.95</v>
      </c>
      <c r="O107" t="s">
        <v>20</v>
      </c>
      <c r="P107" t="s">
        <v>21</v>
      </c>
      <c r="Q107" t="s">
        <v>20</v>
      </c>
      <c r="R107" t="str">
        <f>HYPERLINK("https://cfpub.epa.gov/ecotox/explore.cfm?ncbi=10089","Explore in ECOTOX")</f>
        <v>Explore in ECOTOX</v>
      </c>
    </row>
    <row r="108" spans="1:18" x14ac:dyDescent="0.25">
      <c r="A108">
        <v>6</v>
      </c>
      <c r="B108" t="str">
        <f>HYPERLINK("http://www.ncbi.nlm.nih.gov/protein/XP_031236734.1","XP_031236734.1")</f>
        <v>XP_031236734.1</v>
      </c>
      <c r="C108">
        <v>54478</v>
      </c>
      <c r="D108" t="str">
        <f>HYPERLINK("http://www.ncbi.nlm.nih.gov/Taxonomy/Browser/wwwtax.cgi?mode=Info&amp;id=35658&amp;lvl=3&amp;lin=f&amp;keep=1&amp;srchmode=1&amp;unlock","35658")</f>
        <v>35658</v>
      </c>
      <c r="E108" t="s">
        <v>18</v>
      </c>
      <c r="F108" t="s">
        <v>18</v>
      </c>
      <c r="G108" t="str">
        <f>HYPERLINK("http://www.ncbi.nlm.nih.gov/Taxonomy/Browser/wwwtax.cgi?mode=Info&amp;id=35658&amp;lvl=3&amp;lin=f&amp;keep=1&amp;srchmode=1&amp;unlock","Mastomys coucha")</f>
        <v>Mastomys coucha</v>
      </c>
      <c r="H108" t="s">
        <v>127</v>
      </c>
      <c r="I108" t="str">
        <f>HYPERLINK("http://www.ncbi.nlm.nih.gov/protein/XP_031236734.1","fatty acid-binding protein, liver")</f>
        <v>fatty acid-binding protein, liver</v>
      </c>
      <c r="J108">
        <v>216.85</v>
      </c>
      <c r="K108" t="s">
        <v>25</v>
      </c>
      <c r="L108">
        <v>139</v>
      </c>
      <c r="M108">
        <v>50.68</v>
      </c>
      <c r="N108">
        <v>85.95</v>
      </c>
      <c r="O108" t="s">
        <v>20</v>
      </c>
      <c r="P108" t="s">
        <v>21</v>
      </c>
      <c r="Q108" t="s">
        <v>20</v>
      </c>
      <c r="R108" t="str">
        <f>HYPERLINK("https://cfpub.epa.gov/ecotox/explore.cfm?ncbi=35658","Explore in ECOTOX")</f>
        <v>Explore in ECOTOX</v>
      </c>
    </row>
    <row r="109" spans="1:18" x14ac:dyDescent="0.25">
      <c r="A109">
        <v>6</v>
      </c>
      <c r="B109" t="str">
        <f>HYPERLINK("http://www.ncbi.nlm.nih.gov/protein/XP_028716054.1","XP_028716054.1")</f>
        <v>XP_028716054.1</v>
      </c>
      <c r="C109">
        <v>48460</v>
      </c>
      <c r="D109" t="str">
        <f>HYPERLINK("http://www.ncbi.nlm.nih.gov/Taxonomy/Browser/wwwtax.cgi?mode=Info&amp;id=10041&amp;lvl=3&amp;lin=f&amp;keep=1&amp;srchmode=1&amp;unlock","10041")</f>
        <v>10041</v>
      </c>
      <c r="E109" t="s">
        <v>18</v>
      </c>
      <c r="F109" t="s">
        <v>18</v>
      </c>
      <c r="G109" t="str">
        <f>HYPERLINK("http://www.ncbi.nlm.nih.gov/Taxonomy/Browser/wwwtax.cgi?mode=Info&amp;id=10041&amp;lvl=3&amp;lin=f&amp;keep=1&amp;srchmode=1&amp;unlock","Peromyscus leucopus")</f>
        <v>Peromyscus leucopus</v>
      </c>
      <c r="H109" t="s">
        <v>128</v>
      </c>
      <c r="I109" t="str">
        <f>HYPERLINK("http://www.ncbi.nlm.nih.gov/protein/XP_028716054.1","fatty acid-binding protein, liver")</f>
        <v>fatty acid-binding protein, liver</v>
      </c>
      <c r="J109">
        <v>216.85</v>
      </c>
      <c r="K109" t="s">
        <v>25</v>
      </c>
      <c r="L109">
        <v>139</v>
      </c>
      <c r="M109">
        <v>50.68</v>
      </c>
      <c r="N109">
        <v>85.95</v>
      </c>
      <c r="O109" t="s">
        <v>20</v>
      </c>
      <c r="P109" t="s">
        <v>21</v>
      </c>
      <c r="Q109" t="s">
        <v>20</v>
      </c>
      <c r="R109" t="str">
        <f>HYPERLINK("https://cfpub.epa.gov/ecotox/explore.cfm?ncbi=10041","Explore in ECOTOX")</f>
        <v>Explore in ECOTOX</v>
      </c>
    </row>
    <row r="110" spans="1:18" x14ac:dyDescent="0.25">
      <c r="A110">
        <v>6</v>
      </c>
      <c r="B110" t="str">
        <f>HYPERLINK("http://www.ncbi.nlm.nih.gov/protein/XP_004005947.1","XP_004005947.1")</f>
        <v>XP_004005947.1</v>
      </c>
      <c r="C110">
        <v>73093</v>
      </c>
      <c r="D110" t="str">
        <f>HYPERLINK("http://www.ncbi.nlm.nih.gov/Taxonomy/Browser/wwwtax.cgi?mode=Info&amp;id=9940&amp;lvl=3&amp;lin=f&amp;keep=1&amp;srchmode=1&amp;unlock","9940")</f>
        <v>9940</v>
      </c>
      <c r="E110" t="s">
        <v>18</v>
      </c>
      <c r="F110" t="s">
        <v>18</v>
      </c>
      <c r="G110" t="str">
        <f>HYPERLINK("http://www.ncbi.nlm.nih.gov/Taxonomy/Browser/wwwtax.cgi?mode=Info&amp;id=9940&amp;lvl=3&amp;lin=f&amp;keep=1&amp;srchmode=1&amp;unlock","Ovis aries")</f>
        <v>Ovis aries</v>
      </c>
      <c r="H110" t="s">
        <v>129</v>
      </c>
      <c r="I110" t="str">
        <f>HYPERLINK("http://www.ncbi.nlm.nih.gov/protein/XP_004005947.1","fatty acid-binding protein, liver")</f>
        <v>fatty acid-binding protein, liver</v>
      </c>
      <c r="J110">
        <v>216.08</v>
      </c>
      <c r="K110" t="s">
        <v>25</v>
      </c>
      <c r="L110">
        <v>139</v>
      </c>
      <c r="M110">
        <v>50.68</v>
      </c>
      <c r="N110">
        <v>85.65</v>
      </c>
      <c r="O110" t="s">
        <v>20</v>
      </c>
      <c r="P110" t="s">
        <v>21</v>
      </c>
      <c r="Q110" t="s">
        <v>20</v>
      </c>
      <c r="R110" t="str">
        <f>HYPERLINK("https://cfpub.epa.gov/ecotox/explore.cfm?ncbi=9940","Explore in ECOTOX")</f>
        <v>Explore in ECOTOX</v>
      </c>
    </row>
    <row r="111" spans="1:18" x14ac:dyDescent="0.25">
      <c r="A111">
        <v>6</v>
      </c>
      <c r="B111" t="str">
        <f>HYPERLINK("http://www.ncbi.nlm.nih.gov/protein/XP_034368414.1","XP_034368414.1")</f>
        <v>XP_034368414.1</v>
      </c>
      <c r="C111">
        <v>41675</v>
      </c>
      <c r="D111" t="str">
        <f>HYPERLINK("http://www.ncbi.nlm.nih.gov/Taxonomy/Browser/wwwtax.cgi?mode=Info&amp;id=61156&amp;lvl=3&amp;lin=f&amp;keep=1&amp;srchmode=1&amp;unlock","61156")</f>
        <v>61156</v>
      </c>
      <c r="E111" t="s">
        <v>18</v>
      </c>
      <c r="F111" t="s">
        <v>18</v>
      </c>
      <c r="G111" t="str">
        <f>HYPERLINK("http://www.ncbi.nlm.nih.gov/Taxonomy/Browser/wwwtax.cgi?mode=Info&amp;id=61156&amp;lvl=3&amp;lin=f&amp;keep=1&amp;srchmode=1&amp;unlock","Arvicanthis niloticus")</f>
        <v>Arvicanthis niloticus</v>
      </c>
      <c r="H111" t="s">
        <v>130</v>
      </c>
      <c r="I111" t="str">
        <f>HYPERLINK("http://www.ncbi.nlm.nih.gov/protein/XP_034368414.1","fatty acid-binding protein, liver")</f>
        <v>fatty acid-binding protein, liver</v>
      </c>
      <c r="J111">
        <v>215.7</v>
      </c>
      <c r="K111" t="s">
        <v>20</v>
      </c>
      <c r="L111">
        <v>139</v>
      </c>
      <c r="M111">
        <v>50.68</v>
      </c>
      <c r="N111">
        <v>85.5</v>
      </c>
      <c r="O111" t="s">
        <v>20</v>
      </c>
      <c r="P111" t="s">
        <v>21</v>
      </c>
      <c r="Q111" t="s">
        <v>20</v>
      </c>
      <c r="R111" t="str">
        <f>HYPERLINK("https://cfpub.epa.gov/ecotox/explore.cfm?ncbi=61156","Explore in ECOTOX")</f>
        <v>Explore in ECOTOX</v>
      </c>
    </row>
    <row r="112" spans="1:18" x14ac:dyDescent="0.25">
      <c r="A112">
        <v>6</v>
      </c>
      <c r="B112" t="str">
        <f>HYPERLINK("http://www.ncbi.nlm.nih.gov/protein/XP_024414363.1","XP_024414363.1")</f>
        <v>XP_024414363.1</v>
      </c>
      <c r="C112">
        <v>30698</v>
      </c>
      <c r="D112" t="str">
        <f>HYPERLINK("http://www.ncbi.nlm.nih.gov/Taxonomy/Browser/wwwtax.cgi?mode=Info&amp;id=9430&amp;lvl=3&amp;lin=f&amp;keep=1&amp;srchmode=1&amp;unlock","9430")</f>
        <v>9430</v>
      </c>
      <c r="E112" t="s">
        <v>18</v>
      </c>
      <c r="F112" t="s">
        <v>18</v>
      </c>
      <c r="G112" t="str">
        <f>HYPERLINK("http://www.ncbi.nlm.nih.gov/Taxonomy/Browser/wwwtax.cgi?mode=Info&amp;id=9430&amp;lvl=3&amp;lin=f&amp;keep=1&amp;srchmode=1&amp;unlock","Desmodus rotundus")</f>
        <v>Desmodus rotundus</v>
      </c>
      <c r="H112" t="s">
        <v>131</v>
      </c>
      <c r="I112" t="str">
        <f>HYPERLINK("http://www.ncbi.nlm.nih.gov/protein/XP_024414363.1","fatty acid-binding protein, liver")</f>
        <v>fatty acid-binding protein, liver</v>
      </c>
      <c r="J112">
        <v>215.31</v>
      </c>
      <c r="K112" t="s">
        <v>25</v>
      </c>
      <c r="L112">
        <v>139</v>
      </c>
      <c r="M112">
        <v>50.68</v>
      </c>
      <c r="N112">
        <v>85.34</v>
      </c>
      <c r="O112" t="s">
        <v>20</v>
      </c>
      <c r="P112" t="s">
        <v>21</v>
      </c>
      <c r="Q112" t="s">
        <v>20</v>
      </c>
      <c r="R112" t="str">
        <f>HYPERLINK("https://cfpub.epa.gov/ecotox/explore.cfm?ncbi=9430","Explore in ECOTOX")</f>
        <v>Explore in ECOTOX</v>
      </c>
    </row>
    <row r="113" spans="1:18" x14ac:dyDescent="0.25">
      <c r="A113">
        <v>6</v>
      </c>
      <c r="B113" t="str">
        <f>HYPERLINK("http://www.ncbi.nlm.nih.gov/protein/XP_021047421.1","XP_021047421.1")</f>
        <v>XP_021047421.1</v>
      </c>
      <c r="C113">
        <v>42356</v>
      </c>
      <c r="D113" t="str">
        <f>HYPERLINK("http://www.ncbi.nlm.nih.gov/Taxonomy/Browser/wwwtax.cgi?mode=Info&amp;id=10093&amp;lvl=3&amp;lin=f&amp;keep=1&amp;srchmode=1&amp;unlock","10093")</f>
        <v>10093</v>
      </c>
      <c r="E113" t="s">
        <v>18</v>
      </c>
      <c r="F113" t="s">
        <v>18</v>
      </c>
      <c r="G113" t="str">
        <f>HYPERLINK("http://www.ncbi.nlm.nih.gov/Taxonomy/Browser/wwwtax.cgi?mode=Info&amp;id=10093&amp;lvl=3&amp;lin=f&amp;keep=1&amp;srchmode=1&amp;unlock","Mus pahari")</f>
        <v>Mus pahari</v>
      </c>
      <c r="H113" t="s">
        <v>132</v>
      </c>
      <c r="I113" t="str">
        <f>HYPERLINK("http://www.ncbi.nlm.nih.gov/protein/XP_021047421.1","fatty acid-binding protein, liver")</f>
        <v>fatty acid-binding protein, liver</v>
      </c>
      <c r="J113">
        <v>214.93</v>
      </c>
      <c r="K113" t="s">
        <v>25</v>
      </c>
      <c r="L113">
        <v>139</v>
      </c>
      <c r="M113">
        <v>50.68</v>
      </c>
      <c r="N113">
        <v>85.19</v>
      </c>
      <c r="O113" t="s">
        <v>20</v>
      </c>
      <c r="P113" t="s">
        <v>21</v>
      </c>
      <c r="Q113" t="s">
        <v>20</v>
      </c>
      <c r="R113" t="str">
        <f>HYPERLINK("https://cfpub.epa.gov/ecotox/explore.cfm?ncbi=10093","Explore in ECOTOX")</f>
        <v>Explore in ECOTOX</v>
      </c>
    </row>
    <row r="114" spans="1:18" x14ac:dyDescent="0.25">
      <c r="A114">
        <v>6</v>
      </c>
      <c r="B114" t="str">
        <f>HYPERLINK("http://www.ncbi.nlm.nih.gov/protein/XP_028618311.1","XP_028618311.1")</f>
        <v>XP_028618311.1</v>
      </c>
      <c r="C114">
        <v>38217</v>
      </c>
      <c r="D114" t="str">
        <f>HYPERLINK("http://www.ncbi.nlm.nih.gov/Taxonomy/Browser/wwwtax.cgi?mode=Info&amp;id=491861&amp;lvl=3&amp;lin=f&amp;keep=1&amp;srchmode=1&amp;unlock","491861")</f>
        <v>491861</v>
      </c>
      <c r="E114" t="s">
        <v>18</v>
      </c>
      <c r="F114" t="s">
        <v>18</v>
      </c>
      <c r="G114" t="str">
        <f>HYPERLINK("http://www.ncbi.nlm.nih.gov/Taxonomy/Browser/wwwtax.cgi?mode=Info&amp;id=491861&amp;lvl=3&amp;lin=f&amp;keep=1&amp;srchmode=1&amp;unlock","Grammomys surdaster")</f>
        <v>Grammomys surdaster</v>
      </c>
      <c r="H114" t="s">
        <v>133</v>
      </c>
      <c r="I114" t="str">
        <f>HYPERLINK("http://www.ncbi.nlm.nih.gov/protein/XP_028618311.1","fatty acid-binding protein, liver")</f>
        <v>fatty acid-binding protein, liver</v>
      </c>
      <c r="J114">
        <v>214.93</v>
      </c>
      <c r="K114" t="s">
        <v>25</v>
      </c>
      <c r="L114">
        <v>139</v>
      </c>
      <c r="M114">
        <v>50.68</v>
      </c>
      <c r="N114">
        <v>85.19</v>
      </c>
      <c r="O114" t="s">
        <v>20</v>
      </c>
      <c r="P114" t="s">
        <v>21</v>
      </c>
      <c r="Q114" t="s">
        <v>20</v>
      </c>
      <c r="R114" t="str">
        <f>HYPERLINK("https://cfpub.epa.gov/ecotox/explore.cfm?ncbi=491861","Explore in ECOTOX")</f>
        <v>Explore in ECOTOX</v>
      </c>
    </row>
    <row r="115" spans="1:18" x14ac:dyDescent="0.25">
      <c r="A115">
        <v>6</v>
      </c>
      <c r="B115" t="str">
        <f>HYPERLINK("http://www.ncbi.nlm.nih.gov/protein/CAF5165631.1","CAF5165631.1")</f>
        <v>CAF5165631.1</v>
      </c>
      <c r="C115">
        <v>52243</v>
      </c>
      <c r="D115" t="str">
        <f>HYPERLINK("http://www.ncbi.nlm.nih.gov/Taxonomy/Browser/wwwtax.cgi?mode=Info&amp;id=111125&amp;lvl=3&amp;lin=f&amp;keep=1&amp;srchmode=1&amp;unlock","111125")</f>
        <v>111125</v>
      </c>
      <c r="E115" t="s">
        <v>134</v>
      </c>
      <c r="F115" t="s">
        <v>134</v>
      </c>
      <c r="G115" t="str">
        <f>HYPERLINK("http://www.ncbi.nlm.nih.gov/Taxonomy/Browser/wwwtax.cgi?mode=Info&amp;id=111125&amp;lvl=3&amp;lin=f&amp;keep=1&amp;srchmode=1&amp;unlock","Ranitomeya imitator")</f>
        <v>Ranitomeya imitator</v>
      </c>
      <c r="H115" t="s">
        <v>135</v>
      </c>
      <c r="I115" t="str">
        <f>HYPERLINK("http://www.ncbi.nlm.nih.gov/protein/CAF5165631.1","unnamed protein product")</f>
        <v>unnamed protein product</v>
      </c>
      <c r="J115">
        <v>214.54</v>
      </c>
      <c r="K115" t="s">
        <v>20</v>
      </c>
      <c r="L115">
        <v>139</v>
      </c>
      <c r="M115">
        <v>50.68</v>
      </c>
      <c r="N115">
        <v>85.04</v>
      </c>
      <c r="O115" t="s">
        <v>20</v>
      </c>
      <c r="P115" t="s">
        <v>21</v>
      </c>
      <c r="Q115" t="s">
        <v>20</v>
      </c>
      <c r="R115" t="str">
        <f>HYPERLINK("https://cfpub.epa.gov/ecotox/explore.cfm?ncbi=111125","Explore in ECOTOX")</f>
        <v>Explore in ECOTOX</v>
      </c>
    </row>
    <row r="116" spans="1:18" x14ac:dyDescent="0.25">
      <c r="A116">
        <v>6</v>
      </c>
      <c r="B116" t="str">
        <f>HYPERLINK("http://www.ncbi.nlm.nih.gov/protein/NP_036688.1","NP_036688.1")</f>
        <v>NP_036688.1</v>
      </c>
      <c r="C116">
        <v>157817</v>
      </c>
      <c r="D116" t="str">
        <f>HYPERLINK("http://www.ncbi.nlm.nih.gov/Taxonomy/Browser/wwwtax.cgi?mode=Info&amp;id=10116&amp;lvl=3&amp;lin=f&amp;keep=1&amp;srchmode=1&amp;unlock","10116")</f>
        <v>10116</v>
      </c>
      <c r="E116" t="s">
        <v>18</v>
      </c>
      <c r="F116" t="s">
        <v>18</v>
      </c>
      <c r="G116" t="str">
        <f>HYPERLINK("http://www.ncbi.nlm.nih.gov/Taxonomy/Browser/wwwtax.cgi?mode=Info&amp;id=10116&amp;lvl=3&amp;lin=f&amp;keep=1&amp;srchmode=1&amp;unlock","Rattus norvegicus")</f>
        <v>Rattus norvegicus</v>
      </c>
      <c r="H116" t="s">
        <v>136</v>
      </c>
      <c r="I116" t="str">
        <f>HYPERLINK("http://www.ncbi.nlm.nih.gov/protein/NP_036688.1","fatty acid-binding protein, liver")</f>
        <v>fatty acid-binding protein, liver</v>
      </c>
      <c r="J116">
        <v>214.54</v>
      </c>
      <c r="K116" t="s">
        <v>20</v>
      </c>
      <c r="L116">
        <v>139</v>
      </c>
      <c r="M116">
        <v>50.68</v>
      </c>
      <c r="N116">
        <v>85.04</v>
      </c>
      <c r="O116" t="s">
        <v>20</v>
      </c>
      <c r="P116" t="s">
        <v>21</v>
      </c>
      <c r="Q116" t="s">
        <v>20</v>
      </c>
      <c r="R116" t="str">
        <f>HYPERLINK("https://cfpub.epa.gov/ecotox/explore.cfm?ncbi=10116","Explore in ECOTOX")</f>
        <v>Explore in ECOTOX</v>
      </c>
    </row>
    <row r="117" spans="1:18" x14ac:dyDescent="0.25">
      <c r="A117">
        <v>6</v>
      </c>
      <c r="B117" t="str">
        <f>HYPERLINK("http://www.ncbi.nlm.nih.gov/protein/XP_036036299.1","XP_036036299.1")</f>
        <v>XP_036036299.1</v>
      </c>
      <c r="C117">
        <v>43277</v>
      </c>
      <c r="D117" t="str">
        <f>HYPERLINK("http://www.ncbi.nlm.nih.gov/Taxonomy/Browser/wwwtax.cgi?mode=Info&amp;id=38674&amp;lvl=3&amp;lin=f&amp;keep=1&amp;srchmode=1&amp;unlock","38674")</f>
        <v>38674</v>
      </c>
      <c r="E117" t="s">
        <v>18</v>
      </c>
      <c r="F117" t="s">
        <v>18</v>
      </c>
      <c r="G117" t="str">
        <f>HYPERLINK("http://www.ncbi.nlm.nih.gov/Taxonomy/Browser/wwwtax.cgi?mode=Info&amp;id=38674&amp;lvl=3&amp;lin=f&amp;keep=1&amp;srchmode=1&amp;unlock","Onychomys torridus")</f>
        <v>Onychomys torridus</v>
      </c>
      <c r="H117" t="s">
        <v>137</v>
      </c>
      <c r="I117" t="str">
        <f>HYPERLINK("http://www.ncbi.nlm.nih.gov/protein/XP_036036299.1","fatty acid-binding protein, liver")</f>
        <v>fatty acid-binding protein, liver</v>
      </c>
      <c r="J117">
        <v>214.16</v>
      </c>
      <c r="K117" t="s">
        <v>25</v>
      </c>
      <c r="L117">
        <v>139</v>
      </c>
      <c r="M117">
        <v>50.68</v>
      </c>
      <c r="N117">
        <v>84.88</v>
      </c>
      <c r="O117" t="s">
        <v>20</v>
      </c>
      <c r="P117" t="s">
        <v>21</v>
      </c>
      <c r="Q117" t="s">
        <v>20</v>
      </c>
      <c r="R117" t="str">
        <f>HYPERLINK("https://cfpub.epa.gov/ecotox/explore.cfm?ncbi=38674","Explore in ECOTOX")</f>
        <v>Explore in ECOTOX</v>
      </c>
    </row>
    <row r="118" spans="1:18" x14ac:dyDescent="0.25">
      <c r="A118">
        <v>6</v>
      </c>
      <c r="B118" t="str">
        <f>HYPERLINK("http://www.ncbi.nlm.nih.gov/protein/XP_032762229.1","XP_032762229.1")</f>
        <v>XP_032762229.1</v>
      </c>
      <c r="C118">
        <v>36373</v>
      </c>
      <c r="D118" t="str">
        <f>HYPERLINK("http://www.ncbi.nlm.nih.gov/Taxonomy/Browser/wwwtax.cgi?mode=Info&amp;id=10117&amp;lvl=3&amp;lin=f&amp;keep=1&amp;srchmode=1&amp;unlock","10117")</f>
        <v>10117</v>
      </c>
      <c r="E118" t="s">
        <v>18</v>
      </c>
      <c r="F118" t="s">
        <v>18</v>
      </c>
      <c r="G118" t="str">
        <f>HYPERLINK("http://www.ncbi.nlm.nih.gov/Taxonomy/Browser/wwwtax.cgi?mode=Info&amp;id=10117&amp;lvl=3&amp;lin=f&amp;keep=1&amp;srchmode=1&amp;unlock","Rattus rattus")</f>
        <v>Rattus rattus</v>
      </c>
      <c r="H118" t="s">
        <v>138</v>
      </c>
      <c r="I118" t="str">
        <f>HYPERLINK("http://www.ncbi.nlm.nih.gov/protein/XP_032762229.1","fatty acid-binding protein, liver")</f>
        <v>fatty acid-binding protein, liver</v>
      </c>
      <c r="J118">
        <v>214.16</v>
      </c>
      <c r="K118" t="s">
        <v>20</v>
      </c>
      <c r="L118">
        <v>139</v>
      </c>
      <c r="M118">
        <v>50.68</v>
      </c>
      <c r="N118">
        <v>84.88</v>
      </c>
      <c r="O118" t="s">
        <v>20</v>
      </c>
      <c r="P118" t="s">
        <v>21</v>
      </c>
      <c r="Q118" t="s">
        <v>20</v>
      </c>
      <c r="R118" t="str">
        <f>HYPERLINK("https://cfpub.epa.gov/ecotox/explore.cfm?ncbi=10117","Explore in ECOTOX")</f>
        <v>Explore in ECOTOX</v>
      </c>
    </row>
    <row r="119" spans="1:18" x14ac:dyDescent="0.25">
      <c r="A119">
        <v>6</v>
      </c>
      <c r="B119" t="str">
        <f>HYPERLINK("http://www.ncbi.nlm.nih.gov/protein/XP_007102601.1","XP_007102601.1")</f>
        <v>XP_007102601.1</v>
      </c>
      <c r="C119">
        <v>51265</v>
      </c>
      <c r="D119" t="str">
        <f>HYPERLINK("http://www.ncbi.nlm.nih.gov/Taxonomy/Browser/wwwtax.cgi?mode=Info&amp;id=9755&amp;lvl=3&amp;lin=f&amp;keep=1&amp;srchmode=1&amp;unlock","9755")</f>
        <v>9755</v>
      </c>
      <c r="E119" t="s">
        <v>18</v>
      </c>
      <c r="F119" t="s">
        <v>18</v>
      </c>
      <c r="G119" t="str">
        <f>HYPERLINK("http://www.ncbi.nlm.nih.gov/Taxonomy/Browser/wwwtax.cgi?mode=Info&amp;id=9755&amp;lvl=3&amp;lin=f&amp;keep=1&amp;srchmode=1&amp;unlock","Physeter catodon")</f>
        <v>Physeter catodon</v>
      </c>
      <c r="H119" t="s">
        <v>139</v>
      </c>
      <c r="I119" t="str">
        <f>HYPERLINK("http://www.ncbi.nlm.nih.gov/protein/XP_007102601.1","fatty acid-binding protein, liver")</f>
        <v>fatty acid-binding protein, liver</v>
      </c>
      <c r="J119">
        <v>214.16</v>
      </c>
      <c r="K119" t="s">
        <v>25</v>
      </c>
      <c r="L119">
        <v>139</v>
      </c>
      <c r="M119">
        <v>50.68</v>
      </c>
      <c r="N119">
        <v>84.88</v>
      </c>
      <c r="O119" t="s">
        <v>20</v>
      </c>
      <c r="P119" t="s">
        <v>21</v>
      </c>
      <c r="Q119" t="s">
        <v>20</v>
      </c>
      <c r="R119" t="str">
        <f>HYPERLINK("https://cfpub.epa.gov/ecotox/explore.cfm?ncbi=9755","Explore in ECOTOX")</f>
        <v>Explore in ECOTOX</v>
      </c>
    </row>
    <row r="120" spans="1:18" x14ac:dyDescent="0.25">
      <c r="A120">
        <v>6</v>
      </c>
      <c r="B120" t="str">
        <f>HYPERLINK("http://www.ncbi.nlm.nih.gov/protein/OBS83269.1","OBS83269.1")</f>
        <v>OBS83269.1</v>
      </c>
      <c r="C120">
        <v>24505</v>
      </c>
      <c r="D120" t="str">
        <f>HYPERLINK("http://www.ncbi.nlm.nih.gov/Taxonomy/Browser/wwwtax.cgi?mode=Info&amp;id=56216&amp;lvl=3&amp;lin=f&amp;keep=1&amp;srchmode=1&amp;unlock","56216")</f>
        <v>56216</v>
      </c>
      <c r="E120" t="s">
        <v>18</v>
      </c>
      <c r="F120" t="s">
        <v>18</v>
      </c>
      <c r="G120" t="str">
        <f>HYPERLINK("http://www.ncbi.nlm.nih.gov/Taxonomy/Browser/wwwtax.cgi?mode=Info&amp;id=56216&amp;lvl=3&amp;lin=f&amp;keep=1&amp;srchmode=1&amp;unlock","Neotoma lepida")</f>
        <v>Neotoma lepida</v>
      </c>
      <c r="H120" t="s">
        <v>140</v>
      </c>
      <c r="I120" t="str">
        <f>HYPERLINK("http://www.ncbi.nlm.nih.gov/protein/OBS83269.1","hypothetical protein A6R68_22743")</f>
        <v>hypothetical protein A6R68_22743</v>
      </c>
      <c r="J120">
        <v>214.16</v>
      </c>
      <c r="K120" t="s">
        <v>25</v>
      </c>
      <c r="L120">
        <v>139</v>
      </c>
      <c r="M120">
        <v>50.68</v>
      </c>
      <c r="N120">
        <v>84.88</v>
      </c>
      <c r="O120" t="s">
        <v>20</v>
      </c>
      <c r="P120" t="s">
        <v>21</v>
      </c>
      <c r="Q120" t="s">
        <v>20</v>
      </c>
      <c r="R120" t="str">
        <f>HYPERLINK("https://cfpub.epa.gov/ecotox/explore.cfm?ncbi=56216","Explore in ECOTOX")</f>
        <v>Explore in ECOTOX</v>
      </c>
    </row>
    <row r="121" spans="1:18" x14ac:dyDescent="0.25">
      <c r="A121">
        <v>6</v>
      </c>
      <c r="B121" t="str">
        <f>HYPERLINK("http://www.ncbi.nlm.nih.gov/protein/XP_005364828.1","XP_005364828.1")</f>
        <v>XP_005364828.1</v>
      </c>
      <c r="C121">
        <v>38011</v>
      </c>
      <c r="D121" t="str">
        <f>HYPERLINK("http://www.ncbi.nlm.nih.gov/Taxonomy/Browser/wwwtax.cgi?mode=Info&amp;id=79684&amp;lvl=3&amp;lin=f&amp;keep=1&amp;srchmode=1&amp;unlock","79684")</f>
        <v>79684</v>
      </c>
      <c r="E121" t="s">
        <v>18</v>
      </c>
      <c r="F121" t="s">
        <v>18</v>
      </c>
      <c r="G121" t="str">
        <f>HYPERLINK("http://www.ncbi.nlm.nih.gov/Taxonomy/Browser/wwwtax.cgi?mode=Info&amp;id=79684&amp;lvl=3&amp;lin=f&amp;keep=1&amp;srchmode=1&amp;unlock","Microtus ochrogaster")</f>
        <v>Microtus ochrogaster</v>
      </c>
      <c r="H121" t="s">
        <v>141</v>
      </c>
      <c r="I121" t="str">
        <f>HYPERLINK("http://www.ncbi.nlm.nih.gov/protein/XP_005364828.1","fatty acid-binding protein, liver")</f>
        <v>fatty acid-binding protein, liver</v>
      </c>
      <c r="J121">
        <v>213.77</v>
      </c>
      <c r="K121" t="s">
        <v>25</v>
      </c>
      <c r="L121">
        <v>139</v>
      </c>
      <c r="M121">
        <v>50.68</v>
      </c>
      <c r="N121">
        <v>84.73</v>
      </c>
      <c r="O121" t="s">
        <v>20</v>
      </c>
      <c r="P121" t="s">
        <v>21</v>
      </c>
      <c r="Q121" t="s">
        <v>20</v>
      </c>
      <c r="R121" t="str">
        <f>HYPERLINK("https://cfpub.epa.gov/ecotox/explore.cfm?ncbi=79684","Explore in ECOTOX")</f>
        <v>Explore in ECOTOX</v>
      </c>
    </row>
    <row r="122" spans="1:18" x14ac:dyDescent="0.25">
      <c r="A122">
        <v>6</v>
      </c>
      <c r="B122" t="str">
        <f>HYPERLINK("http://www.ncbi.nlm.nih.gov/protein/XP_003468992.1","XP_003468992.1")</f>
        <v>XP_003468992.1</v>
      </c>
      <c r="C122">
        <v>49097</v>
      </c>
      <c r="D122" t="str">
        <f>HYPERLINK("http://www.ncbi.nlm.nih.gov/Taxonomy/Browser/wwwtax.cgi?mode=Info&amp;id=10141&amp;lvl=3&amp;lin=f&amp;keep=1&amp;srchmode=1&amp;unlock","10141")</f>
        <v>10141</v>
      </c>
      <c r="E122" t="s">
        <v>18</v>
      </c>
      <c r="F122" t="s">
        <v>18</v>
      </c>
      <c r="G122" t="str">
        <f>HYPERLINK("http://www.ncbi.nlm.nih.gov/Taxonomy/Browser/wwwtax.cgi?mode=Info&amp;id=10141&amp;lvl=3&amp;lin=f&amp;keep=1&amp;srchmode=1&amp;unlock","Cavia porcellus")</f>
        <v>Cavia porcellus</v>
      </c>
      <c r="H122" t="s">
        <v>142</v>
      </c>
      <c r="I122" t="str">
        <f>HYPERLINK("http://www.ncbi.nlm.nih.gov/protein/XP_003468992.1","fatty acid-binding protein, liver-like")</f>
        <v>fatty acid-binding protein, liver-like</v>
      </c>
      <c r="J122">
        <v>213.77</v>
      </c>
      <c r="K122" t="s">
        <v>25</v>
      </c>
      <c r="L122">
        <v>139</v>
      </c>
      <c r="M122">
        <v>50.68</v>
      </c>
      <c r="N122">
        <v>84.73</v>
      </c>
      <c r="O122" t="s">
        <v>20</v>
      </c>
      <c r="P122" t="s">
        <v>21</v>
      </c>
      <c r="Q122" t="s">
        <v>20</v>
      </c>
      <c r="R122" t="str">
        <f>HYPERLINK("https://cfpub.epa.gov/ecotox/explore.cfm?ncbi=10141","Explore in ECOTOX")</f>
        <v>Explore in ECOTOX</v>
      </c>
    </row>
    <row r="123" spans="1:18" x14ac:dyDescent="0.25">
      <c r="A123">
        <v>6</v>
      </c>
      <c r="B123" t="str">
        <f>HYPERLINK("http://www.ncbi.nlm.nih.gov/protein/XP_037384769.1","XP_037384769.1")</f>
        <v>XP_037384769.1</v>
      </c>
      <c r="C123">
        <v>39570</v>
      </c>
      <c r="D123" t="str">
        <f>HYPERLINK("http://www.ncbi.nlm.nih.gov/Taxonomy/Browser/wwwtax.cgi?mode=Info&amp;id=50954&amp;lvl=3&amp;lin=f&amp;keep=1&amp;srchmode=1&amp;unlock","50954")</f>
        <v>50954</v>
      </c>
      <c r="E123" t="s">
        <v>18</v>
      </c>
      <c r="F123" t="s">
        <v>18</v>
      </c>
      <c r="G123" t="str">
        <f>HYPERLINK("http://www.ncbi.nlm.nih.gov/Taxonomy/Browser/wwwtax.cgi?mode=Info&amp;id=50954&amp;lvl=3&amp;lin=f&amp;keep=1&amp;srchmode=1&amp;unlock","Talpa occidentalis")</f>
        <v>Talpa occidentalis</v>
      </c>
      <c r="H123" t="s">
        <v>143</v>
      </c>
      <c r="I123" t="str">
        <f>HYPERLINK("http://www.ncbi.nlm.nih.gov/protein/XP_037384769.1","fatty acid-binding protein, liver")</f>
        <v>fatty acid-binding protein, liver</v>
      </c>
      <c r="J123">
        <v>213.77</v>
      </c>
      <c r="K123" t="s">
        <v>20</v>
      </c>
      <c r="L123">
        <v>139</v>
      </c>
      <c r="M123">
        <v>50.68</v>
      </c>
      <c r="N123">
        <v>84.73</v>
      </c>
      <c r="O123" t="s">
        <v>20</v>
      </c>
      <c r="P123" t="s">
        <v>21</v>
      </c>
      <c r="Q123" t="s">
        <v>20</v>
      </c>
      <c r="R123" t="str">
        <f>HYPERLINK("https://cfpub.epa.gov/ecotox/explore.cfm?ncbi=50954","Explore in ECOTOX")</f>
        <v>Explore in ECOTOX</v>
      </c>
    </row>
    <row r="124" spans="1:18" x14ac:dyDescent="0.25">
      <c r="A124">
        <v>6</v>
      </c>
      <c r="B124" t="str">
        <f>HYPERLINK("http://www.ncbi.nlm.nih.gov/protein/EHA99113.1","EHA99113.1")</f>
        <v>EHA99113.1</v>
      </c>
      <c r="C124">
        <v>82656</v>
      </c>
      <c r="D124" t="str">
        <f>HYPERLINK("http://www.ncbi.nlm.nih.gov/Taxonomy/Browser/wwwtax.cgi?mode=Info&amp;id=10181&amp;lvl=3&amp;lin=f&amp;keep=1&amp;srchmode=1&amp;unlock","10181")</f>
        <v>10181</v>
      </c>
      <c r="E124" t="s">
        <v>18</v>
      </c>
      <c r="F124" t="s">
        <v>18</v>
      </c>
      <c r="G124" t="str">
        <f>HYPERLINK("http://www.ncbi.nlm.nih.gov/Taxonomy/Browser/wwwtax.cgi?mode=Info&amp;id=10181&amp;lvl=3&amp;lin=f&amp;keep=1&amp;srchmode=1&amp;unlock","Heterocephalus glaber")</f>
        <v>Heterocephalus glaber</v>
      </c>
      <c r="H124" t="s">
        <v>144</v>
      </c>
      <c r="I124" t="str">
        <f>HYPERLINK("http://www.ncbi.nlm.nih.gov/protein/EHA99113.1","Fatty acid-binding protein, liver")</f>
        <v>Fatty acid-binding protein, liver</v>
      </c>
      <c r="J124">
        <v>213.77</v>
      </c>
      <c r="K124" t="s">
        <v>20</v>
      </c>
      <c r="L124">
        <v>139</v>
      </c>
      <c r="M124">
        <v>50.68</v>
      </c>
      <c r="N124">
        <v>84.73</v>
      </c>
      <c r="O124" t="s">
        <v>20</v>
      </c>
      <c r="P124" t="s">
        <v>21</v>
      </c>
      <c r="Q124" t="s">
        <v>20</v>
      </c>
      <c r="R124" t="str">
        <f>HYPERLINK("https://cfpub.epa.gov/ecotox/explore.cfm?ncbi=10181","Explore in ECOTOX")</f>
        <v>Explore in ECOTOX</v>
      </c>
    </row>
    <row r="125" spans="1:18" x14ac:dyDescent="0.25">
      <c r="A125">
        <v>6</v>
      </c>
      <c r="B125" t="str">
        <f>HYPERLINK("http://www.ncbi.nlm.nih.gov/protein/XP_038176303.1","XP_038176303.1")</f>
        <v>XP_038176303.1</v>
      </c>
      <c r="C125">
        <v>40931</v>
      </c>
      <c r="D125" t="str">
        <f>HYPERLINK("http://www.ncbi.nlm.nih.gov/Taxonomy/Browser/wwwtax.cgi?mode=Info&amp;id=1047088&amp;lvl=3&amp;lin=f&amp;keep=1&amp;srchmode=1&amp;unlock","1047088")</f>
        <v>1047088</v>
      </c>
      <c r="E125" t="s">
        <v>18</v>
      </c>
      <c r="F125" t="s">
        <v>18</v>
      </c>
      <c r="G125" t="str">
        <f>HYPERLINK("http://www.ncbi.nlm.nih.gov/Taxonomy/Browser/wwwtax.cgi?mode=Info&amp;id=1047088&amp;lvl=3&amp;lin=f&amp;keep=1&amp;srchmode=1&amp;unlock","Arvicola amphibius")</f>
        <v>Arvicola amphibius</v>
      </c>
      <c r="H125" t="s">
        <v>145</v>
      </c>
      <c r="I125" t="str">
        <f>HYPERLINK("http://www.ncbi.nlm.nih.gov/protein/XP_038176303.1","fatty acid-binding protein, liver")</f>
        <v>fatty acid-binding protein, liver</v>
      </c>
      <c r="J125">
        <v>213.39</v>
      </c>
      <c r="K125" t="s">
        <v>25</v>
      </c>
      <c r="L125">
        <v>139</v>
      </c>
      <c r="M125">
        <v>50.68</v>
      </c>
      <c r="N125">
        <v>84.58</v>
      </c>
      <c r="O125" t="s">
        <v>20</v>
      </c>
      <c r="P125" t="s">
        <v>21</v>
      </c>
      <c r="Q125" t="s">
        <v>20</v>
      </c>
      <c r="R125" t="str">
        <f>HYPERLINK("https://cfpub.epa.gov/ecotox/explore.cfm?ncbi=1047088","Explore in ECOTOX")</f>
        <v>Explore in ECOTOX</v>
      </c>
    </row>
    <row r="126" spans="1:18" x14ac:dyDescent="0.25">
      <c r="A126">
        <v>6</v>
      </c>
      <c r="B126" t="str">
        <f>HYPERLINK("http://www.ncbi.nlm.nih.gov/protein/XP_019825838.1","XP_019825838.1")</f>
        <v>XP_019825838.1</v>
      </c>
      <c r="C126">
        <v>37841</v>
      </c>
      <c r="D126" t="str">
        <f>HYPERLINK("http://www.ncbi.nlm.nih.gov/Taxonomy/Browser/wwwtax.cgi?mode=Info&amp;id=9915&amp;lvl=3&amp;lin=f&amp;keep=1&amp;srchmode=1&amp;unlock","9915")</f>
        <v>9915</v>
      </c>
      <c r="E126" t="s">
        <v>18</v>
      </c>
      <c r="F126" t="s">
        <v>18</v>
      </c>
      <c r="G126" t="str">
        <f>HYPERLINK("http://www.ncbi.nlm.nih.gov/Taxonomy/Browser/wwwtax.cgi?mode=Info&amp;id=9915&amp;lvl=3&amp;lin=f&amp;keep=1&amp;srchmode=1&amp;unlock","Bos indicus")</f>
        <v>Bos indicus</v>
      </c>
      <c r="H126" t="s">
        <v>146</v>
      </c>
      <c r="I126" t="str">
        <f>HYPERLINK("http://www.ncbi.nlm.nih.gov/protein/XP_019825838.1","PREDICTED: fatty acid-binding protein, liver")</f>
        <v>PREDICTED: fatty acid-binding protein, liver</v>
      </c>
      <c r="J126">
        <v>213.39</v>
      </c>
      <c r="K126" t="s">
        <v>25</v>
      </c>
      <c r="L126">
        <v>139</v>
      </c>
      <c r="M126">
        <v>50.68</v>
      </c>
      <c r="N126">
        <v>84.58</v>
      </c>
      <c r="O126" t="s">
        <v>20</v>
      </c>
      <c r="P126" t="s">
        <v>21</v>
      </c>
      <c r="Q126" t="s">
        <v>20</v>
      </c>
      <c r="R126" t="str">
        <f>HYPERLINK("https://cfpub.epa.gov/ecotox/explore.cfm?ncbi=9915","Explore in ECOTOX")</f>
        <v>Explore in ECOTOX</v>
      </c>
    </row>
    <row r="127" spans="1:18" x14ac:dyDescent="0.25">
      <c r="A127">
        <v>6</v>
      </c>
      <c r="B127" t="str">
        <f>HYPERLINK("http://www.ncbi.nlm.nih.gov/protein/XP_037662897.1","XP_037662897.1")</f>
        <v>XP_037662897.1</v>
      </c>
      <c r="C127">
        <v>54609</v>
      </c>
      <c r="D127" t="str">
        <f>HYPERLINK("http://www.ncbi.nlm.nih.gov/Taxonomy/Browser/wwwtax.cgi?mode=Info&amp;id=27675&amp;lvl=3&amp;lin=f&amp;keep=1&amp;srchmode=1&amp;unlock","27675")</f>
        <v>27675</v>
      </c>
      <c r="E127" t="s">
        <v>18</v>
      </c>
      <c r="F127" t="s">
        <v>18</v>
      </c>
      <c r="G127" t="str">
        <f>HYPERLINK("http://www.ncbi.nlm.nih.gov/Taxonomy/Browser/wwwtax.cgi?mode=Info&amp;id=27675&amp;lvl=3&amp;lin=f&amp;keep=1&amp;srchmode=1&amp;unlock","Choloepus didactylus")</f>
        <v>Choloepus didactylus</v>
      </c>
      <c r="H127" t="s">
        <v>147</v>
      </c>
      <c r="I127" t="str">
        <f>HYPERLINK("http://www.ncbi.nlm.nih.gov/protein/XP_037662897.1","fatty acid-binding protein, liver")</f>
        <v>fatty acid-binding protein, liver</v>
      </c>
      <c r="J127">
        <v>213</v>
      </c>
      <c r="K127" t="s">
        <v>25</v>
      </c>
      <c r="L127">
        <v>139</v>
      </c>
      <c r="M127">
        <v>50.68</v>
      </c>
      <c r="N127">
        <v>84.43</v>
      </c>
      <c r="O127" t="s">
        <v>20</v>
      </c>
      <c r="P127" t="s">
        <v>21</v>
      </c>
      <c r="Q127" t="s">
        <v>20</v>
      </c>
      <c r="R127" t="str">
        <f>HYPERLINK("https://cfpub.epa.gov/ecotox/explore.cfm?ncbi=27675","Explore in ECOTOX")</f>
        <v>Explore in ECOTOX</v>
      </c>
    </row>
    <row r="128" spans="1:18" x14ac:dyDescent="0.25">
      <c r="A128">
        <v>6</v>
      </c>
      <c r="B128" t="str">
        <f>HYPERLINK("http://www.ncbi.nlm.nih.gov/protein/XP_021514644.1","XP_021514644.1")</f>
        <v>XP_021514644.1</v>
      </c>
      <c r="C128">
        <v>39125</v>
      </c>
      <c r="D128" t="str">
        <f>HYPERLINK("http://www.ncbi.nlm.nih.gov/Taxonomy/Browser/wwwtax.cgi?mode=Info&amp;id=10047&amp;lvl=3&amp;lin=f&amp;keep=1&amp;srchmode=1&amp;unlock","10047")</f>
        <v>10047</v>
      </c>
      <c r="E128" t="s">
        <v>18</v>
      </c>
      <c r="F128" t="s">
        <v>18</v>
      </c>
      <c r="G128" t="str">
        <f>HYPERLINK("http://www.ncbi.nlm.nih.gov/Taxonomy/Browser/wwwtax.cgi?mode=Info&amp;id=10047&amp;lvl=3&amp;lin=f&amp;keep=1&amp;srchmode=1&amp;unlock","Meriones unguiculatus")</f>
        <v>Meriones unguiculatus</v>
      </c>
      <c r="H128" t="s">
        <v>148</v>
      </c>
      <c r="I128" t="str">
        <f>HYPERLINK("http://www.ncbi.nlm.nih.gov/protein/XP_021514644.1","fatty acid-binding protein, liver isoform X2")</f>
        <v>fatty acid-binding protein, liver isoform X2</v>
      </c>
      <c r="J128">
        <v>212.62</v>
      </c>
      <c r="K128" t="s">
        <v>25</v>
      </c>
      <c r="L128">
        <v>139</v>
      </c>
      <c r="M128">
        <v>50.68</v>
      </c>
      <c r="N128">
        <v>84.27</v>
      </c>
      <c r="O128" t="s">
        <v>20</v>
      </c>
      <c r="P128" t="s">
        <v>21</v>
      </c>
      <c r="Q128" t="s">
        <v>20</v>
      </c>
      <c r="R128" t="str">
        <f>HYPERLINK("https://cfpub.epa.gov/ecotox/explore.cfm?ncbi=10047","Explore in ECOTOX")</f>
        <v>Explore in ECOTOX</v>
      </c>
    </row>
    <row r="129" spans="1:18" x14ac:dyDescent="0.25">
      <c r="A129">
        <v>6</v>
      </c>
      <c r="B129" t="str">
        <f>HYPERLINK("http://www.ncbi.nlm.nih.gov/protein/XP_003503959.1","XP_003503959.1")</f>
        <v>XP_003503959.1</v>
      </c>
      <c r="C129">
        <v>138048</v>
      </c>
      <c r="D129" t="str">
        <f>HYPERLINK("http://www.ncbi.nlm.nih.gov/Taxonomy/Browser/wwwtax.cgi?mode=Info&amp;id=10029&amp;lvl=3&amp;lin=f&amp;keep=1&amp;srchmode=1&amp;unlock","10029")</f>
        <v>10029</v>
      </c>
      <c r="E129" t="s">
        <v>18</v>
      </c>
      <c r="F129" t="s">
        <v>18</v>
      </c>
      <c r="G129" t="str">
        <f>HYPERLINK("http://www.ncbi.nlm.nih.gov/Taxonomy/Browser/wwwtax.cgi?mode=Info&amp;id=10029&amp;lvl=3&amp;lin=f&amp;keep=1&amp;srchmode=1&amp;unlock","Cricetulus griseus")</f>
        <v>Cricetulus griseus</v>
      </c>
      <c r="H129" t="s">
        <v>149</v>
      </c>
      <c r="I129" t="str">
        <f>HYPERLINK("http://www.ncbi.nlm.nih.gov/protein/XP_003503959.1","fatty acid-binding protein, liver")</f>
        <v>fatty acid-binding protein, liver</v>
      </c>
      <c r="J129">
        <v>211.85</v>
      </c>
      <c r="K129" t="s">
        <v>25</v>
      </c>
      <c r="L129">
        <v>139</v>
      </c>
      <c r="M129">
        <v>50.68</v>
      </c>
      <c r="N129">
        <v>83.97</v>
      </c>
      <c r="O129" t="s">
        <v>20</v>
      </c>
      <c r="P129" t="s">
        <v>21</v>
      </c>
      <c r="Q129" t="s">
        <v>20</v>
      </c>
      <c r="R129" t="str">
        <f>HYPERLINK("https://cfpub.epa.gov/ecotox/explore.cfm?ncbi=10029","Explore in ECOTOX")</f>
        <v>Explore in ECOTOX</v>
      </c>
    </row>
    <row r="130" spans="1:18" x14ac:dyDescent="0.25">
      <c r="A130">
        <v>6</v>
      </c>
      <c r="B130" t="str">
        <f>HYPERLINK("http://www.ncbi.nlm.nih.gov/protein/XP_036607948.1","XP_036607948.1")</f>
        <v>XP_036607948.1</v>
      </c>
      <c r="C130">
        <v>35972</v>
      </c>
      <c r="D130" t="str">
        <f>HYPERLINK("http://www.ncbi.nlm.nih.gov/Taxonomy/Browser/wwwtax.cgi?mode=Info&amp;id=9337&amp;lvl=3&amp;lin=f&amp;keep=1&amp;srchmode=1&amp;unlock","9337")</f>
        <v>9337</v>
      </c>
      <c r="E130" t="s">
        <v>18</v>
      </c>
      <c r="F130" t="s">
        <v>18</v>
      </c>
      <c r="G130" t="str">
        <f>HYPERLINK("http://www.ncbi.nlm.nih.gov/Taxonomy/Browser/wwwtax.cgi?mode=Info&amp;id=9337&amp;lvl=3&amp;lin=f&amp;keep=1&amp;srchmode=1&amp;unlock","Trichosurus vulpecula")</f>
        <v>Trichosurus vulpecula</v>
      </c>
      <c r="H130" t="s">
        <v>150</v>
      </c>
      <c r="I130" t="str">
        <f>HYPERLINK("http://www.ncbi.nlm.nih.gov/protein/XP_036607948.1","fatty acid-binding protein, liver-like")</f>
        <v>fatty acid-binding protein, liver-like</v>
      </c>
      <c r="J130">
        <v>211.46</v>
      </c>
      <c r="K130" t="s">
        <v>20</v>
      </c>
      <c r="L130">
        <v>139</v>
      </c>
      <c r="M130">
        <v>50.68</v>
      </c>
      <c r="N130">
        <v>83.82</v>
      </c>
      <c r="O130" t="s">
        <v>20</v>
      </c>
      <c r="P130" t="s">
        <v>21</v>
      </c>
      <c r="Q130" t="s">
        <v>20</v>
      </c>
      <c r="R130" t="str">
        <f>HYPERLINK("https://cfpub.epa.gov/ecotox/explore.cfm?ncbi=9337","Explore in ECOTOX")</f>
        <v>Explore in ECOTOX</v>
      </c>
    </row>
    <row r="131" spans="1:18" x14ac:dyDescent="0.25">
      <c r="A131">
        <v>6</v>
      </c>
      <c r="B131" t="str">
        <f>HYPERLINK("http://www.ncbi.nlm.nih.gov/protein/XP_006902071.1","XP_006902071.1")</f>
        <v>XP_006902071.1</v>
      </c>
      <c r="C131">
        <v>25292</v>
      </c>
      <c r="D131" t="str">
        <f>HYPERLINK("http://www.ncbi.nlm.nih.gov/Taxonomy/Browser/wwwtax.cgi?mode=Info&amp;id=28737&amp;lvl=3&amp;lin=f&amp;keep=1&amp;srchmode=1&amp;unlock","28737")</f>
        <v>28737</v>
      </c>
      <c r="E131" t="s">
        <v>18</v>
      </c>
      <c r="F131" t="s">
        <v>18</v>
      </c>
      <c r="G131" t="str">
        <f>HYPERLINK("http://www.ncbi.nlm.nih.gov/Taxonomy/Browser/wwwtax.cgi?mode=Info&amp;id=28737&amp;lvl=3&amp;lin=f&amp;keep=1&amp;srchmode=1&amp;unlock","Elephantulus edwardii")</f>
        <v>Elephantulus edwardii</v>
      </c>
      <c r="H131" t="s">
        <v>151</v>
      </c>
      <c r="I131" t="str">
        <f>HYPERLINK("http://www.ncbi.nlm.nih.gov/protein/XP_006902071.1","PREDICTED: fatty acid-binding protein, liver")</f>
        <v>PREDICTED: fatty acid-binding protein, liver</v>
      </c>
      <c r="J131">
        <v>211.46</v>
      </c>
      <c r="K131" t="s">
        <v>25</v>
      </c>
      <c r="L131">
        <v>139</v>
      </c>
      <c r="M131">
        <v>50.68</v>
      </c>
      <c r="N131">
        <v>83.82</v>
      </c>
      <c r="O131" t="s">
        <v>20</v>
      </c>
      <c r="P131" t="s">
        <v>21</v>
      </c>
      <c r="Q131" t="s">
        <v>20</v>
      </c>
      <c r="R131" t="str">
        <f>HYPERLINK("https://cfpub.epa.gov/ecotox/explore.cfm?ncbi=28737","Explore in ECOTOX")</f>
        <v>Explore in ECOTOX</v>
      </c>
    </row>
    <row r="132" spans="1:18" x14ac:dyDescent="0.25">
      <c r="A132">
        <v>6</v>
      </c>
      <c r="B132" t="str">
        <f>HYPERLINK("http://www.ncbi.nlm.nih.gov/protein/XP_022411784.1","XP_022411784.1")</f>
        <v>XP_022411784.1</v>
      </c>
      <c r="C132">
        <v>51113</v>
      </c>
      <c r="D132" t="str">
        <f>HYPERLINK("http://www.ncbi.nlm.nih.gov/Taxonomy/Browser/wwwtax.cgi?mode=Info&amp;id=9749&amp;lvl=3&amp;lin=f&amp;keep=1&amp;srchmode=1&amp;unlock","9749")</f>
        <v>9749</v>
      </c>
      <c r="E132" t="s">
        <v>18</v>
      </c>
      <c r="F132" t="s">
        <v>18</v>
      </c>
      <c r="G132" t="str">
        <f>HYPERLINK("http://www.ncbi.nlm.nih.gov/Taxonomy/Browser/wwwtax.cgi?mode=Info&amp;id=9749&amp;lvl=3&amp;lin=f&amp;keep=1&amp;srchmode=1&amp;unlock","Delphinapterus leucas")</f>
        <v>Delphinapterus leucas</v>
      </c>
      <c r="H132" t="s">
        <v>152</v>
      </c>
      <c r="I132" t="str">
        <f>HYPERLINK("http://www.ncbi.nlm.nih.gov/protein/XP_022411784.1","fatty acid-binding protein, liver")</f>
        <v>fatty acid-binding protein, liver</v>
      </c>
      <c r="J132">
        <v>210.69</v>
      </c>
      <c r="K132" t="s">
        <v>25</v>
      </c>
      <c r="L132">
        <v>139</v>
      </c>
      <c r="M132">
        <v>50.68</v>
      </c>
      <c r="N132">
        <v>83.51</v>
      </c>
      <c r="O132" t="s">
        <v>20</v>
      </c>
      <c r="P132" t="s">
        <v>21</v>
      </c>
      <c r="Q132" t="s">
        <v>20</v>
      </c>
      <c r="R132" t="str">
        <f>HYPERLINK("https://cfpub.epa.gov/ecotox/explore.cfm?ncbi=9749","Explore in ECOTOX")</f>
        <v>Explore in ECOTOX</v>
      </c>
    </row>
    <row r="133" spans="1:18" x14ac:dyDescent="0.25">
      <c r="A133">
        <v>6</v>
      </c>
      <c r="B133" t="str">
        <f>HYPERLINK("http://www.ncbi.nlm.nih.gov/protein/XP_029088039.1","XP_029088039.1")</f>
        <v>XP_029088039.1</v>
      </c>
      <c r="C133">
        <v>65835</v>
      </c>
      <c r="D133" t="str">
        <f>HYPERLINK("http://www.ncbi.nlm.nih.gov/Taxonomy/Browser/wwwtax.cgi?mode=Info&amp;id=40151&amp;lvl=3&amp;lin=f&amp;keep=1&amp;srchmode=1&amp;unlock","40151")</f>
        <v>40151</v>
      </c>
      <c r="E133" t="s">
        <v>18</v>
      </c>
      <c r="F133" t="s">
        <v>18</v>
      </c>
      <c r="G133" t="str">
        <f>HYPERLINK("http://www.ncbi.nlm.nih.gov/Taxonomy/Browser/wwwtax.cgi?mode=Info&amp;id=40151&amp;lvl=3&amp;lin=f&amp;keep=1&amp;srchmode=1&amp;unlock","Monodon monoceros")</f>
        <v>Monodon monoceros</v>
      </c>
      <c r="H133" t="s">
        <v>153</v>
      </c>
      <c r="I133" t="str">
        <f>HYPERLINK("http://www.ncbi.nlm.nih.gov/protein/XP_029088039.1","fatty acid-binding protein, liver")</f>
        <v>fatty acid-binding protein, liver</v>
      </c>
      <c r="J133">
        <v>210.69</v>
      </c>
      <c r="K133" t="s">
        <v>25</v>
      </c>
      <c r="L133">
        <v>139</v>
      </c>
      <c r="M133">
        <v>50.68</v>
      </c>
      <c r="N133">
        <v>83.51</v>
      </c>
      <c r="O133" t="s">
        <v>20</v>
      </c>
      <c r="P133" t="s">
        <v>21</v>
      </c>
      <c r="Q133" t="s">
        <v>20</v>
      </c>
      <c r="R133" t="str">
        <f>HYPERLINK("https://cfpub.epa.gov/ecotox/explore.cfm?ncbi=40151","Explore in ECOTOX")</f>
        <v>Explore in ECOTOX</v>
      </c>
    </row>
    <row r="134" spans="1:18" x14ac:dyDescent="0.25">
      <c r="A134">
        <v>6</v>
      </c>
      <c r="B134" t="str">
        <f>HYPERLINK("http://www.ncbi.nlm.nih.gov/protein/ELK30025.1","ELK30025.1")</f>
        <v>ELK30025.1</v>
      </c>
      <c r="C134">
        <v>48733</v>
      </c>
      <c r="D134" t="str">
        <f>HYPERLINK("http://www.ncbi.nlm.nih.gov/Taxonomy/Browser/wwwtax.cgi?mode=Info&amp;id=225400&amp;lvl=3&amp;lin=f&amp;keep=1&amp;srchmode=1&amp;unlock","225400")</f>
        <v>225400</v>
      </c>
      <c r="E134" t="s">
        <v>18</v>
      </c>
      <c r="F134" t="s">
        <v>18</v>
      </c>
      <c r="G134" t="str">
        <f>HYPERLINK("http://www.ncbi.nlm.nih.gov/Taxonomy/Browser/wwwtax.cgi?mode=Info&amp;id=225400&amp;lvl=3&amp;lin=f&amp;keep=1&amp;srchmode=1&amp;unlock","Myotis davidii")</f>
        <v>Myotis davidii</v>
      </c>
      <c r="H134" t="s">
        <v>77</v>
      </c>
      <c r="I134" t="str">
        <f>HYPERLINK("http://www.ncbi.nlm.nih.gov/protein/ELK30025.1","Fatty acid-binding protein, liver")</f>
        <v>Fatty acid-binding protein, liver</v>
      </c>
      <c r="J134">
        <v>210.31</v>
      </c>
      <c r="K134" t="s">
        <v>25</v>
      </c>
      <c r="L134">
        <v>139</v>
      </c>
      <c r="M134">
        <v>50.68</v>
      </c>
      <c r="N134">
        <v>83.36</v>
      </c>
      <c r="O134" t="s">
        <v>20</v>
      </c>
      <c r="P134" t="s">
        <v>21</v>
      </c>
      <c r="Q134" t="s">
        <v>20</v>
      </c>
      <c r="R134" t="str">
        <f>HYPERLINK("https://cfpub.epa.gov/ecotox/explore.cfm?ncbi=225400","Explore in ECOTOX")</f>
        <v>Explore in ECOTOX</v>
      </c>
    </row>
    <row r="135" spans="1:18" x14ac:dyDescent="0.25">
      <c r="A135">
        <v>6</v>
      </c>
      <c r="B135" t="str">
        <f>HYPERLINK("http://www.ncbi.nlm.nih.gov/protein/XP_033694291.1","XP_033694291.1")</f>
        <v>XP_033694291.1</v>
      </c>
      <c r="C135">
        <v>57007</v>
      </c>
      <c r="D135" t="str">
        <f>HYPERLINK("http://www.ncbi.nlm.nih.gov/Taxonomy/Browser/wwwtax.cgi?mode=Info&amp;id=9739&amp;lvl=3&amp;lin=f&amp;keep=1&amp;srchmode=1&amp;unlock","9739")</f>
        <v>9739</v>
      </c>
      <c r="E135" t="s">
        <v>18</v>
      </c>
      <c r="F135" t="s">
        <v>18</v>
      </c>
      <c r="G135" t="str">
        <f>HYPERLINK("http://www.ncbi.nlm.nih.gov/Taxonomy/Browser/wwwtax.cgi?mode=Info&amp;id=9739&amp;lvl=3&amp;lin=f&amp;keep=1&amp;srchmode=1&amp;unlock","Tursiops truncatus")</f>
        <v>Tursiops truncatus</v>
      </c>
      <c r="H135" t="s">
        <v>154</v>
      </c>
      <c r="I135" t="str">
        <f>HYPERLINK("http://www.ncbi.nlm.nih.gov/protein/XP_033694291.1","fatty acid-binding protein, liver")</f>
        <v>fatty acid-binding protein, liver</v>
      </c>
      <c r="J135">
        <v>209.92</v>
      </c>
      <c r="K135" t="s">
        <v>20</v>
      </c>
      <c r="L135">
        <v>139</v>
      </c>
      <c r="M135">
        <v>50.68</v>
      </c>
      <c r="N135">
        <v>83.21</v>
      </c>
      <c r="O135" t="s">
        <v>20</v>
      </c>
      <c r="P135" t="s">
        <v>21</v>
      </c>
      <c r="Q135" t="s">
        <v>20</v>
      </c>
      <c r="R135" t="str">
        <f>HYPERLINK("https://cfpub.epa.gov/ecotox/explore.cfm?ncbi=9739","Explore in ECOTOX")</f>
        <v>Explore in ECOTOX</v>
      </c>
    </row>
    <row r="136" spans="1:18" x14ac:dyDescent="0.25">
      <c r="A136">
        <v>6</v>
      </c>
      <c r="B136" t="str">
        <f>HYPERLINK("http://www.ncbi.nlm.nih.gov/protein/XP_004286696.1","XP_004286696.1")</f>
        <v>XP_004286696.1</v>
      </c>
      <c r="C136">
        <v>59479</v>
      </c>
      <c r="D136" t="str">
        <f>HYPERLINK("http://www.ncbi.nlm.nih.gov/Taxonomy/Browser/wwwtax.cgi?mode=Info&amp;id=9733&amp;lvl=3&amp;lin=f&amp;keep=1&amp;srchmode=1&amp;unlock","9733")</f>
        <v>9733</v>
      </c>
      <c r="E136" t="s">
        <v>18</v>
      </c>
      <c r="F136" t="s">
        <v>18</v>
      </c>
      <c r="G136" t="str">
        <f>HYPERLINK("http://www.ncbi.nlm.nih.gov/Taxonomy/Browser/wwwtax.cgi?mode=Info&amp;id=9733&amp;lvl=3&amp;lin=f&amp;keep=1&amp;srchmode=1&amp;unlock","Orcinus orca")</f>
        <v>Orcinus orca</v>
      </c>
      <c r="H136" t="s">
        <v>155</v>
      </c>
      <c r="I136" t="str">
        <f>HYPERLINK("http://www.ncbi.nlm.nih.gov/protein/XP_004286696.1","fatty acid-binding protein, liver")</f>
        <v>fatty acid-binding protein, liver</v>
      </c>
      <c r="J136">
        <v>209.92</v>
      </c>
      <c r="K136" t="s">
        <v>20</v>
      </c>
      <c r="L136">
        <v>139</v>
      </c>
      <c r="M136">
        <v>50.68</v>
      </c>
      <c r="N136">
        <v>83.21</v>
      </c>
      <c r="O136" t="s">
        <v>20</v>
      </c>
      <c r="P136" t="s">
        <v>21</v>
      </c>
      <c r="Q136" t="s">
        <v>20</v>
      </c>
      <c r="R136" t="str">
        <f>HYPERLINK("https://cfpub.epa.gov/ecotox/explore.cfm?ncbi=9733","Explore in ECOTOX")</f>
        <v>Explore in ECOTOX</v>
      </c>
    </row>
    <row r="137" spans="1:18" x14ac:dyDescent="0.25">
      <c r="A137">
        <v>6</v>
      </c>
      <c r="B137" t="str">
        <f>HYPERLINK("http://www.ncbi.nlm.nih.gov/protein/XP_005385438.1","XP_005385438.1")</f>
        <v>XP_005385438.1</v>
      </c>
      <c r="C137">
        <v>45556</v>
      </c>
      <c r="D137" t="str">
        <f>HYPERLINK("http://www.ncbi.nlm.nih.gov/Taxonomy/Browser/wwwtax.cgi?mode=Info&amp;id=34839&amp;lvl=3&amp;lin=f&amp;keep=1&amp;srchmode=1&amp;unlock","34839")</f>
        <v>34839</v>
      </c>
      <c r="E137" t="s">
        <v>18</v>
      </c>
      <c r="F137" t="s">
        <v>18</v>
      </c>
      <c r="G137" t="str">
        <f>HYPERLINK("http://www.ncbi.nlm.nih.gov/Taxonomy/Browser/wwwtax.cgi?mode=Info&amp;id=34839&amp;lvl=3&amp;lin=f&amp;keep=1&amp;srchmode=1&amp;unlock","Chinchilla lanigera")</f>
        <v>Chinchilla lanigera</v>
      </c>
      <c r="H137" t="s">
        <v>156</v>
      </c>
      <c r="I137" t="str">
        <f>HYPERLINK("http://www.ncbi.nlm.nih.gov/protein/XP_005385438.1","PREDICTED: fatty acid-binding protein, liver")</f>
        <v>PREDICTED: fatty acid-binding protein, liver</v>
      </c>
      <c r="J137">
        <v>209.92</v>
      </c>
      <c r="K137" t="s">
        <v>25</v>
      </c>
      <c r="L137">
        <v>139</v>
      </c>
      <c r="M137">
        <v>50.68</v>
      </c>
      <c r="N137">
        <v>83.21</v>
      </c>
      <c r="O137" t="s">
        <v>20</v>
      </c>
      <c r="P137" t="s">
        <v>21</v>
      </c>
      <c r="Q137" t="s">
        <v>20</v>
      </c>
      <c r="R137" t="str">
        <f>HYPERLINK("https://cfpub.epa.gov/ecotox/explore.cfm?ncbi=34839","Explore in ECOTOX")</f>
        <v>Explore in ECOTOX</v>
      </c>
    </row>
    <row r="138" spans="1:18" x14ac:dyDescent="0.25">
      <c r="A138">
        <v>6</v>
      </c>
      <c r="B138" t="str">
        <f>HYPERLINK("http://www.ncbi.nlm.nih.gov/protein/XP_006991072.1","XP_006991072.1")</f>
        <v>XP_006991072.1</v>
      </c>
      <c r="C138">
        <v>45653</v>
      </c>
      <c r="D138" t="str">
        <f>HYPERLINK("http://www.ncbi.nlm.nih.gov/Taxonomy/Browser/wwwtax.cgi?mode=Info&amp;id=230844&amp;lvl=3&amp;lin=f&amp;keep=1&amp;srchmode=1&amp;unlock","230844")</f>
        <v>230844</v>
      </c>
      <c r="E138" t="s">
        <v>18</v>
      </c>
      <c r="F138" t="s">
        <v>18</v>
      </c>
      <c r="G138" t="str">
        <f>HYPERLINK("http://www.ncbi.nlm.nih.gov/Taxonomy/Browser/wwwtax.cgi?mode=Info&amp;id=230844&amp;lvl=3&amp;lin=f&amp;keep=1&amp;srchmode=1&amp;unlock","Peromyscus maniculatus bairdii")</f>
        <v>Peromyscus maniculatus bairdii</v>
      </c>
      <c r="H138" t="s">
        <v>157</v>
      </c>
      <c r="I138" t="str">
        <f>HYPERLINK("http://www.ncbi.nlm.nih.gov/protein/XP_006991072.1","PREDICTED: fatty acid-binding protein, liver")</f>
        <v>PREDICTED: fatty acid-binding protein, liver</v>
      </c>
      <c r="J138">
        <v>209.92</v>
      </c>
      <c r="K138" t="s">
        <v>25</v>
      </c>
      <c r="L138">
        <v>139</v>
      </c>
      <c r="M138">
        <v>50.68</v>
      </c>
      <c r="N138">
        <v>83.21</v>
      </c>
      <c r="O138" t="s">
        <v>20</v>
      </c>
      <c r="P138" t="s">
        <v>21</v>
      </c>
      <c r="Q138" t="s">
        <v>20</v>
      </c>
      <c r="R138" t="str">
        <f>HYPERLINK("https://cfpub.epa.gov/ecotox/explore.cfm?ncbi=230844","Explore in ECOTOX")</f>
        <v>Explore in ECOTOX</v>
      </c>
    </row>
    <row r="139" spans="1:18" x14ac:dyDescent="0.25">
      <c r="A139">
        <v>6</v>
      </c>
      <c r="B139" t="str">
        <f>HYPERLINK("http://www.ncbi.nlm.nih.gov/protein/XP_030693408.1","XP_030693408.1")</f>
        <v>XP_030693408.1</v>
      </c>
      <c r="C139">
        <v>54641</v>
      </c>
      <c r="D139" t="str">
        <f>HYPERLINK("http://www.ncbi.nlm.nih.gov/Taxonomy/Browser/wwwtax.cgi?mode=Info&amp;id=9731&amp;lvl=3&amp;lin=f&amp;keep=1&amp;srchmode=1&amp;unlock","9731")</f>
        <v>9731</v>
      </c>
      <c r="E139" t="s">
        <v>18</v>
      </c>
      <c r="F139" t="s">
        <v>18</v>
      </c>
      <c r="G139" t="str">
        <f>HYPERLINK("http://www.ncbi.nlm.nih.gov/Taxonomy/Browser/wwwtax.cgi?mode=Info&amp;id=9731&amp;lvl=3&amp;lin=f&amp;keep=1&amp;srchmode=1&amp;unlock","Globicephala melas")</f>
        <v>Globicephala melas</v>
      </c>
      <c r="H139" t="s">
        <v>158</v>
      </c>
      <c r="I139" t="str">
        <f>HYPERLINK("http://www.ncbi.nlm.nih.gov/protein/XP_030693408.1","fatty acid-binding protein, liver")</f>
        <v>fatty acid-binding protein, liver</v>
      </c>
      <c r="J139">
        <v>209.92</v>
      </c>
      <c r="K139" t="s">
        <v>20</v>
      </c>
      <c r="L139">
        <v>139</v>
      </c>
      <c r="M139">
        <v>50.68</v>
      </c>
      <c r="N139">
        <v>83.21</v>
      </c>
      <c r="O139" t="s">
        <v>20</v>
      </c>
      <c r="P139" t="s">
        <v>21</v>
      </c>
      <c r="Q139" t="s">
        <v>20</v>
      </c>
      <c r="R139" t="str">
        <f>HYPERLINK("https://cfpub.epa.gov/ecotox/explore.cfm?ncbi=9731","Explore in ECOTOX")</f>
        <v>Explore in ECOTOX</v>
      </c>
    </row>
    <row r="140" spans="1:18" x14ac:dyDescent="0.25">
      <c r="A140">
        <v>6</v>
      </c>
      <c r="B140" t="str">
        <f>HYPERLINK("http://www.ncbi.nlm.nih.gov/protein/XP_026984444.1","XP_026984444.1")</f>
        <v>XP_026984444.1</v>
      </c>
      <c r="C140">
        <v>54700</v>
      </c>
      <c r="D140" t="str">
        <f>HYPERLINK("http://www.ncbi.nlm.nih.gov/Taxonomy/Browser/wwwtax.cgi?mode=Info&amp;id=90247&amp;lvl=3&amp;lin=f&amp;keep=1&amp;srchmode=1&amp;unlock","90247")</f>
        <v>90247</v>
      </c>
      <c r="E140" t="s">
        <v>18</v>
      </c>
      <c r="F140" t="s">
        <v>18</v>
      </c>
      <c r="G140" t="str">
        <f>HYPERLINK("http://www.ncbi.nlm.nih.gov/Taxonomy/Browser/wwwtax.cgi?mode=Info&amp;id=90247&amp;lvl=3&amp;lin=f&amp;keep=1&amp;srchmode=1&amp;unlock","Lagenorhynchus obliquidens")</f>
        <v>Lagenorhynchus obliquidens</v>
      </c>
      <c r="H140" t="s">
        <v>159</v>
      </c>
      <c r="I140" t="str">
        <f>HYPERLINK("http://www.ncbi.nlm.nih.gov/protein/XP_026984444.1","fatty acid-binding protein, liver")</f>
        <v>fatty acid-binding protein, liver</v>
      </c>
      <c r="J140">
        <v>209.92</v>
      </c>
      <c r="K140" t="s">
        <v>20</v>
      </c>
      <c r="L140">
        <v>139</v>
      </c>
      <c r="M140">
        <v>50.68</v>
      </c>
      <c r="N140">
        <v>83.21</v>
      </c>
      <c r="O140" t="s">
        <v>20</v>
      </c>
      <c r="P140" t="s">
        <v>21</v>
      </c>
      <c r="Q140" t="s">
        <v>20</v>
      </c>
      <c r="R140" t="str">
        <f>HYPERLINK("https://cfpub.epa.gov/ecotox/explore.cfm?ncbi=90247","Explore in ECOTOX")</f>
        <v>Explore in ECOTOX</v>
      </c>
    </row>
    <row r="141" spans="1:18" x14ac:dyDescent="0.25">
      <c r="A141">
        <v>6</v>
      </c>
      <c r="B141" t="str">
        <f>HYPERLINK("http://www.ncbi.nlm.nih.gov/protein/XP_005076138.1","XP_005076138.1")</f>
        <v>XP_005076138.1</v>
      </c>
      <c r="C141">
        <v>54395</v>
      </c>
      <c r="D141" t="str">
        <f>HYPERLINK("http://www.ncbi.nlm.nih.gov/Taxonomy/Browser/wwwtax.cgi?mode=Info&amp;id=10036&amp;lvl=3&amp;lin=f&amp;keep=1&amp;srchmode=1&amp;unlock","10036")</f>
        <v>10036</v>
      </c>
      <c r="E141" t="s">
        <v>18</v>
      </c>
      <c r="F141" t="s">
        <v>18</v>
      </c>
      <c r="G141" t="str">
        <f>HYPERLINK("http://www.ncbi.nlm.nih.gov/Taxonomy/Browser/wwwtax.cgi?mode=Info&amp;id=10036&amp;lvl=3&amp;lin=f&amp;keep=1&amp;srchmode=1&amp;unlock","Mesocricetus auratus")</f>
        <v>Mesocricetus auratus</v>
      </c>
      <c r="H141" t="s">
        <v>160</v>
      </c>
      <c r="I141" t="str">
        <f>HYPERLINK("http://www.ncbi.nlm.nih.gov/protein/XP_005076138.1","fatty acid-binding protein, liver")</f>
        <v>fatty acid-binding protein, liver</v>
      </c>
      <c r="J141">
        <v>209.53</v>
      </c>
      <c r="K141" t="s">
        <v>25</v>
      </c>
      <c r="L141">
        <v>139</v>
      </c>
      <c r="M141">
        <v>50.68</v>
      </c>
      <c r="N141">
        <v>83.05</v>
      </c>
      <c r="O141" t="s">
        <v>20</v>
      </c>
      <c r="P141" t="s">
        <v>21</v>
      </c>
      <c r="Q141" t="s">
        <v>20</v>
      </c>
      <c r="R141" t="str">
        <f>HYPERLINK("https://cfpub.epa.gov/ecotox/explore.cfm?ncbi=10036","Explore in ECOTOX")</f>
        <v>Explore in ECOTOX</v>
      </c>
    </row>
    <row r="142" spans="1:18" x14ac:dyDescent="0.25">
      <c r="A142">
        <v>6</v>
      </c>
      <c r="B142" t="str">
        <f>HYPERLINK("http://www.ncbi.nlm.nih.gov/protein/XP_008698325.2","XP_008698325.2")</f>
        <v>XP_008698325.2</v>
      </c>
      <c r="C142">
        <v>41699</v>
      </c>
      <c r="D142" t="str">
        <f>HYPERLINK("http://www.ncbi.nlm.nih.gov/Taxonomy/Browser/wwwtax.cgi?mode=Info&amp;id=29073&amp;lvl=3&amp;lin=f&amp;keep=1&amp;srchmode=1&amp;unlock","29073")</f>
        <v>29073</v>
      </c>
      <c r="E142" t="s">
        <v>18</v>
      </c>
      <c r="F142" t="s">
        <v>18</v>
      </c>
      <c r="G142" t="str">
        <f>HYPERLINK("http://www.ncbi.nlm.nih.gov/Taxonomy/Browser/wwwtax.cgi?mode=Info&amp;id=29073&amp;lvl=3&amp;lin=f&amp;keep=1&amp;srchmode=1&amp;unlock","Ursus maritimus")</f>
        <v>Ursus maritimus</v>
      </c>
      <c r="H142" t="s">
        <v>161</v>
      </c>
      <c r="I142" t="str">
        <f>HYPERLINK("http://www.ncbi.nlm.nih.gov/protein/XP_008698325.2","fatty acid-binding protein, liver")</f>
        <v>fatty acid-binding protein, liver</v>
      </c>
      <c r="J142">
        <v>209.53</v>
      </c>
      <c r="K142" t="s">
        <v>20</v>
      </c>
      <c r="L142">
        <v>139</v>
      </c>
      <c r="M142">
        <v>50.68</v>
      </c>
      <c r="N142">
        <v>83.05</v>
      </c>
      <c r="O142" t="s">
        <v>20</v>
      </c>
      <c r="P142" t="s">
        <v>21</v>
      </c>
      <c r="Q142" t="s">
        <v>20</v>
      </c>
      <c r="R142" t="str">
        <f>HYPERLINK("https://cfpub.epa.gov/ecotox/explore.cfm?ncbi=29073","Explore in ECOTOX")</f>
        <v>Explore in ECOTOX</v>
      </c>
    </row>
    <row r="143" spans="1:18" x14ac:dyDescent="0.25">
      <c r="A143">
        <v>6</v>
      </c>
      <c r="B143" t="str">
        <f>HYPERLINK("http://www.ncbi.nlm.nih.gov/protein/XP_004472349.1","XP_004472349.1")</f>
        <v>XP_004472349.1</v>
      </c>
      <c r="C143">
        <v>38769</v>
      </c>
      <c r="D143" t="str">
        <f>HYPERLINK("http://www.ncbi.nlm.nih.gov/Taxonomy/Browser/wwwtax.cgi?mode=Info&amp;id=9361&amp;lvl=3&amp;lin=f&amp;keep=1&amp;srchmode=1&amp;unlock","9361")</f>
        <v>9361</v>
      </c>
      <c r="E143" t="s">
        <v>18</v>
      </c>
      <c r="F143" t="s">
        <v>18</v>
      </c>
      <c r="G143" t="str">
        <f>HYPERLINK("http://www.ncbi.nlm.nih.gov/Taxonomy/Browser/wwwtax.cgi?mode=Info&amp;id=9361&amp;lvl=3&amp;lin=f&amp;keep=1&amp;srchmode=1&amp;unlock","Dasypus novemcinctus")</f>
        <v>Dasypus novemcinctus</v>
      </c>
      <c r="H143" t="s">
        <v>162</v>
      </c>
      <c r="I143" t="str">
        <f>HYPERLINK("http://www.ncbi.nlm.nih.gov/protein/XP_004472349.1","fatty acid-binding protein, liver")</f>
        <v>fatty acid-binding protein, liver</v>
      </c>
      <c r="J143">
        <v>208.76</v>
      </c>
      <c r="K143" t="s">
        <v>25</v>
      </c>
      <c r="L143">
        <v>139</v>
      </c>
      <c r="M143">
        <v>50.68</v>
      </c>
      <c r="N143">
        <v>82.75</v>
      </c>
      <c r="O143" t="s">
        <v>20</v>
      </c>
      <c r="P143" t="s">
        <v>21</v>
      </c>
      <c r="Q143" t="s">
        <v>20</v>
      </c>
      <c r="R143" t="str">
        <f>HYPERLINK("https://cfpub.epa.gov/ecotox/explore.cfm?ncbi=9361","Explore in ECOTOX")</f>
        <v>Explore in ECOTOX</v>
      </c>
    </row>
    <row r="144" spans="1:18" x14ac:dyDescent="0.25">
      <c r="A144">
        <v>6</v>
      </c>
      <c r="B144" t="str">
        <f>HYPERLINK("http://www.ncbi.nlm.nih.gov/protein/XP_010623938.1","XP_010623938.1")</f>
        <v>XP_010623938.1</v>
      </c>
      <c r="C144">
        <v>67680</v>
      </c>
      <c r="D144" t="str">
        <f>HYPERLINK("http://www.ncbi.nlm.nih.gov/Taxonomy/Browser/wwwtax.cgi?mode=Info&amp;id=885580&amp;lvl=3&amp;lin=f&amp;keep=1&amp;srchmode=1&amp;unlock","885580")</f>
        <v>885580</v>
      </c>
      <c r="E144" t="s">
        <v>18</v>
      </c>
      <c r="F144" t="s">
        <v>18</v>
      </c>
      <c r="G144" t="str">
        <f>HYPERLINK("http://www.ncbi.nlm.nih.gov/Taxonomy/Browser/wwwtax.cgi?mode=Info&amp;id=885580&amp;lvl=3&amp;lin=f&amp;keep=1&amp;srchmode=1&amp;unlock","Fukomys damarensis")</f>
        <v>Fukomys damarensis</v>
      </c>
      <c r="H144" t="s">
        <v>163</v>
      </c>
      <c r="I144" t="str">
        <f>HYPERLINK("http://www.ncbi.nlm.nih.gov/protein/XP_010623938.1","fatty acid-binding protein, liver")</f>
        <v>fatty acid-binding protein, liver</v>
      </c>
      <c r="J144">
        <v>207.99</v>
      </c>
      <c r="K144" t="s">
        <v>25</v>
      </c>
      <c r="L144">
        <v>139</v>
      </c>
      <c r="M144">
        <v>50.68</v>
      </c>
      <c r="N144">
        <v>82.44</v>
      </c>
      <c r="O144" t="s">
        <v>20</v>
      </c>
      <c r="P144" t="s">
        <v>21</v>
      </c>
      <c r="Q144" t="s">
        <v>20</v>
      </c>
      <c r="R144" t="str">
        <f>HYPERLINK("https://cfpub.epa.gov/ecotox/explore.cfm?ncbi=885580","Explore in ECOTOX")</f>
        <v>Explore in ECOTOX</v>
      </c>
    </row>
    <row r="145" spans="1:18" x14ac:dyDescent="0.25">
      <c r="A145">
        <v>6</v>
      </c>
      <c r="B145" t="str">
        <f>HYPERLINK("http://www.ncbi.nlm.nih.gov/protein/KAF0879478.1","KAF0879478.1")</f>
        <v>KAF0879478.1</v>
      </c>
      <c r="C145">
        <v>17488</v>
      </c>
      <c r="D145" t="str">
        <f>HYPERLINK("http://www.ncbi.nlm.nih.gov/Taxonomy/Browser/wwwtax.cgi?mode=Info&amp;id=9678&amp;lvl=3&amp;lin=f&amp;keep=1&amp;srchmode=1&amp;unlock","9678")</f>
        <v>9678</v>
      </c>
      <c r="E145" t="s">
        <v>18</v>
      </c>
      <c r="F145" t="s">
        <v>18</v>
      </c>
      <c r="G145" t="str">
        <f>HYPERLINK("http://www.ncbi.nlm.nih.gov/Taxonomy/Browser/wwwtax.cgi?mode=Info&amp;id=9678&amp;lvl=3&amp;lin=f&amp;keep=1&amp;srchmode=1&amp;unlock","Crocuta crocuta")</f>
        <v>Crocuta crocuta</v>
      </c>
      <c r="H145" t="s">
        <v>164</v>
      </c>
      <c r="I145" t="str">
        <f>HYPERLINK("http://www.ncbi.nlm.nih.gov/protein/KAF0879478.1","FABPL protein, partial")</f>
        <v>FABPL protein, partial</v>
      </c>
      <c r="J145">
        <v>207.99</v>
      </c>
      <c r="K145" t="s">
        <v>25</v>
      </c>
      <c r="L145">
        <v>139</v>
      </c>
      <c r="M145">
        <v>50.68</v>
      </c>
      <c r="N145">
        <v>82.44</v>
      </c>
      <c r="O145" t="s">
        <v>20</v>
      </c>
      <c r="P145" t="s">
        <v>21</v>
      </c>
      <c r="Q145" t="s">
        <v>20</v>
      </c>
      <c r="R145" t="str">
        <f>HYPERLINK("https://cfpub.epa.gov/ecotox/explore.cfm?ncbi=9678","Explore in ECOTOX")</f>
        <v>Explore in ECOTOX</v>
      </c>
    </row>
    <row r="146" spans="1:18" x14ac:dyDescent="0.25">
      <c r="A146">
        <v>6</v>
      </c>
      <c r="B146" t="str">
        <f>HYPERLINK("http://www.ncbi.nlm.nih.gov/protein/XP_007466787.1","XP_007466787.1")</f>
        <v>XP_007466787.1</v>
      </c>
      <c r="C146">
        <v>27194</v>
      </c>
      <c r="D146" t="str">
        <f>HYPERLINK("http://www.ncbi.nlm.nih.gov/Taxonomy/Browser/wwwtax.cgi?mode=Info&amp;id=118797&amp;lvl=3&amp;lin=f&amp;keep=1&amp;srchmode=1&amp;unlock","118797")</f>
        <v>118797</v>
      </c>
      <c r="E146" t="s">
        <v>18</v>
      </c>
      <c r="F146" t="s">
        <v>18</v>
      </c>
      <c r="G146" t="str">
        <f>HYPERLINK("http://www.ncbi.nlm.nih.gov/Taxonomy/Browser/wwwtax.cgi?mode=Info&amp;id=118797&amp;lvl=3&amp;lin=f&amp;keep=1&amp;srchmode=1&amp;unlock","Lipotes vexillifer")</f>
        <v>Lipotes vexillifer</v>
      </c>
      <c r="H146" t="s">
        <v>165</v>
      </c>
      <c r="I146" t="str">
        <f>HYPERLINK("http://www.ncbi.nlm.nih.gov/protein/XP_007466787.1","PREDICTED: fatty acid-binding protein, liver")</f>
        <v>PREDICTED: fatty acid-binding protein, liver</v>
      </c>
      <c r="J146">
        <v>207.22</v>
      </c>
      <c r="K146" t="s">
        <v>25</v>
      </c>
      <c r="L146">
        <v>139</v>
      </c>
      <c r="M146">
        <v>50.68</v>
      </c>
      <c r="N146">
        <v>82.14</v>
      </c>
      <c r="O146" t="s">
        <v>20</v>
      </c>
      <c r="P146" t="s">
        <v>21</v>
      </c>
      <c r="Q146" t="s">
        <v>20</v>
      </c>
      <c r="R146" t="str">
        <f>HYPERLINK("https://cfpub.epa.gov/ecotox/explore.cfm?ncbi=118797","Explore in ECOTOX")</f>
        <v>Explore in ECOTOX</v>
      </c>
    </row>
    <row r="147" spans="1:18" x14ac:dyDescent="0.25">
      <c r="A147">
        <v>6</v>
      </c>
      <c r="B147" t="str">
        <f>HYPERLINK("http://www.ncbi.nlm.nih.gov/protein/XP_038609031.1","XP_038609031.1")</f>
        <v>XP_038609031.1</v>
      </c>
      <c r="C147">
        <v>33527</v>
      </c>
      <c r="D147" t="str">
        <f>HYPERLINK("http://www.ncbi.nlm.nih.gov/Taxonomy/Browser/wwwtax.cgi?mode=Info&amp;id=9261&amp;lvl=3&amp;lin=f&amp;keep=1&amp;srchmode=1&amp;unlock","9261")</f>
        <v>9261</v>
      </c>
      <c r="E147" t="s">
        <v>18</v>
      </c>
      <c r="F147" t="s">
        <v>18</v>
      </c>
      <c r="G147" t="str">
        <f>HYPERLINK("http://www.ncbi.nlm.nih.gov/Taxonomy/Browser/wwwtax.cgi?mode=Info&amp;id=9261&amp;lvl=3&amp;lin=f&amp;keep=1&amp;srchmode=1&amp;unlock","Tachyglossus aculeatus")</f>
        <v>Tachyglossus aculeatus</v>
      </c>
      <c r="H147" t="s">
        <v>166</v>
      </c>
      <c r="I147" t="str">
        <f>HYPERLINK("http://www.ncbi.nlm.nih.gov/protein/XP_038609031.1","fatty acid-binding protein, liver")</f>
        <v>fatty acid-binding protein, liver</v>
      </c>
      <c r="J147">
        <v>207.22</v>
      </c>
      <c r="K147" t="s">
        <v>25</v>
      </c>
      <c r="L147">
        <v>139</v>
      </c>
      <c r="M147">
        <v>50.68</v>
      </c>
      <c r="N147">
        <v>82.14</v>
      </c>
      <c r="O147" t="s">
        <v>20</v>
      </c>
      <c r="P147" t="s">
        <v>21</v>
      </c>
      <c r="Q147" t="s">
        <v>20</v>
      </c>
      <c r="R147" t="str">
        <f>HYPERLINK("https://cfpub.epa.gov/ecotox/explore.cfm?ncbi=9261","Explore in ECOTOX")</f>
        <v>Explore in ECOTOX</v>
      </c>
    </row>
    <row r="148" spans="1:18" x14ac:dyDescent="0.25">
      <c r="A148">
        <v>6</v>
      </c>
      <c r="B148" t="str">
        <f>HYPERLINK("http://www.ncbi.nlm.nih.gov/protein/NXY87323.1","NXY87323.1")</f>
        <v>NXY87323.1</v>
      </c>
      <c r="C148">
        <v>12038</v>
      </c>
      <c r="D148" t="str">
        <f>HYPERLINK("http://www.ncbi.nlm.nih.gov/Taxonomy/Browser/wwwtax.cgi?mode=Info&amp;id=390723&amp;lvl=3&amp;lin=f&amp;keep=1&amp;srchmode=1&amp;unlock","390723")</f>
        <v>390723</v>
      </c>
      <c r="E148" t="s">
        <v>167</v>
      </c>
      <c r="F148" t="s">
        <v>167</v>
      </c>
      <c r="G148" t="str">
        <f>HYPERLINK("http://www.ncbi.nlm.nih.gov/Taxonomy/Browser/wwwtax.cgi?mode=Info&amp;id=390723&amp;lvl=3&amp;lin=f&amp;keep=1&amp;srchmode=1&amp;unlock","Ceyx cyanopectus")</f>
        <v>Ceyx cyanopectus</v>
      </c>
      <c r="H148" t="s">
        <v>168</v>
      </c>
      <c r="I148" t="str">
        <f>HYPERLINK("http://www.ncbi.nlm.nih.gov/protein/NXY87323.1","FABPL protein")</f>
        <v>FABPL protein</v>
      </c>
      <c r="J148">
        <v>206.07</v>
      </c>
      <c r="K148" t="s">
        <v>25</v>
      </c>
      <c r="L148">
        <v>139</v>
      </c>
      <c r="M148">
        <v>50.68</v>
      </c>
      <c r="N148">
        <v>81.680000000000007</v>
      </c>
      <c r="O148" t="s">
        <v>20</v>
      </c>
      <c r="P148" t="s">
        <v>21</v>
      </c>
      <c r="Q148" t="s">
        <v>20</v>
      </c>
      <c r="R148" t="str">
        <f>HYPERLINK("https://cfpub.epa.gov/ecotox/explore.cfm?ncbi=390723","Explore in ECOTOX")</f>
        <v>Explore in ECOTOX</v>
      </c>
    </row>
    <row r="149" spans="1:18" x14ac:dyDescent="0.25">
      <c r="A149">
        <v>6</v>
      </c>
      <c r="B149" t="str">
        <f>HYPERLINK("http://www.ncbi.nlm.nih.gov/protein/MBW01623.1","MBW01623.1")</f>
        <v>MBW01623.1</v>
      </c>
      <c r="C149">
        <v>11098</v>
      </c>
      <c r="D149" t="str">
        <f>HYPERLINK("http://www.ncbi.nlm.nih.gov/Taxonomy/Browser/wwwtax.cgi?mode=Info&amp;id=9764&amp;lvl=3&amp;lin=f&amp;keep=1&amp;srchmode=1&amp;unlock","9764")</f>
        <v>9764</v>
      </c>
      <c r="E149" t="s">
        <v>18</v>
      </c>
      <c r="F149" t="s">
        <v>18</v>
      </c>
      <c r="G149" t="str">
        <f>HYPERLINK("http://www.ncbi.nlm.nih.gov/Taxonomy/Browser/wwwtax.cgi?mode=Info&amp;id=9764&amp;lvl=3&amp;lin=f&amp;keep=1&amp;srchmode=1&amp;unlock","Eschrichtius robustus")</f>
        <v>Eschrichtius robustus</v>
      </c>
      <c r="H149" t="s">
        <v>169</v>
      </c>
      <c r="I149" t="str">
        <f>HYPERLINK("http://www.ncbi.nlm.nih.gov/protein/MBW01623.1","Fatty acid-binding protein, liver")</f>
        <v>Fatty acid-binding protein, liver</v>
      </c>
      <c r="J149">
        <v>206.07</v>
      </c>
      <c r="K149" t="s">
        <v>25</v>
      </c>
      <c r="L149">
        <v>139</v>
      </c>
      <c r="M149">
        <v>50.68</v>
      </c>
      <c r="N149">
        <v>81.680000000000007</v>
      </c>
      <c r="O149" t="s">
        <v>20</v>
      </c>
      <c r="P149" t="s">
        <v>21</v>
      </c>
      <c r="Q149" t="s">
        <v>20</v>
      </c>
      <c r="R149" t="str">
        <f>HYPERLINK("https://cfpub.epa.gov/ecotox/explore.cfm?ncbi=9764","Explore in ECOTOX")</f>
        <v>Explore in ECOTOX</v>
      </c>
    </row>
    <row r="150" spans="1:18" x14ac:dyDescent="0.25">
      <c r="A150">
        <v>6</v>
      </c>
      <c r="B150" t="str">
        <f>HYPERLINK("http://www.ncbi.nlm.nih.gov/protein/XP_015991809.1","XP_015991809.1")</f>
        <v>XP_015991809.1</v>
      </c>
      <c r="C150">
        <v>117130</v>
      </c>
      <c r="D150" t="str">
        <f>HYPERLINK("http://www.ncbi.nlm.nih.gov/Taxonomy/Browser/wwwtax.cgi?mode=Info&amp;id=9407&amp;lvl=3&amp;lin=f&amp;keep=1&amp;srchmode=1&amp;unlock","9407")</f>
        <v>9407</v>
      </c>
      <c r="E150" t="s">
        <v>18</v>
      </c>
      <c r="F150" t="s">
        <v>18</v>
      </c>
      <c r="G150" t="str">
        <f>HYPERLINK("http://www.ncbi.nlm.nih.gov/Taxonomy/Browser/wwwtax.cgi?mode=Info&amp;id=9407&amp;lvl=3&amp;lin=f&amp;keep=1&amp;srchmode=1&amp;unlock","Rousettus aegyptiacus")</f>
        <v>Rousettus aegyptiacus</v>
      </c>
      <c r="H150" t="s">
        <v>170</v>
      </c>
      <c r="I150" t="str">
        <f>HYPERLINK("http://www.ncbi.nlm.nih.gov/protein/XP_015991809.1","fatty acid-binding protein, liver")</f>
        <v>fatty acid-binding protein, liver</v>
      </c>
      <c r="J150">
        <v>206.07</v>
      </c>
      <c r="K150" t="s">
        <v>25</v>
      </c>
      <c r="L150">
        <v>139</v>
      </c>
      <c r="M150">
        <v>50.68</v>
      </c>
      <c r="N150">
        <v>81.680000000000007</v>
      </c>
      <c r="O150" t="s">
        <v>20</v>
      </c>
      <c r="P150" t="s">
        <v>21</v>
      </c>
      <c r="Q150" t="s">
        <v>20</v>
      </c>
      <c r="R150" t="str">
        <f>HYPERLINK("https://cfpub.epa.gov/ecotox/explore.cfm?ncbi=9407","Explore in ECOTOX")</f>
        <v>Explore in ECOTOX</v>
      </c>
    </row>
    <row r="151" spans="1:18" x14ac:dyDescent="0.25">
      <c r="A151">
        <v>6</v>
      </c>
      <c r="B151" t="str">
        <f>HYPERLINK("http://www.ncbi.nlm.nih.gov/protein/XP_009574418.1","XP_009574418.1")</f>
        <v>XP_009574418.1</v>
      </c>
      <c r="C151">
        <v>28139</v>
      </c>
      <c r="D151" t="str">
        <f>HYPERLINK("http://www.ncbi.nlm.nih.gov/Taxonomy/Browser/wwwtax.cgi?mode=Info&amp;id=30455&amp;lvl=3&amp;lin=f&amp;keep=1&amp;srchmode=1&amp;unlock","30455")</f>
        <v>30455</v>
      </c>
      <c r="E151" t="s">
        <v>167</v>
      </c>
      <c r="F151" t="s">
        <v>167</v>
      </c>
      <c r="G151" t="str">
        <f>HYPERLINK("http://www.ncbi.nlm.nih.gov/Taxonomy/Browser/wwwtax.cgi?mode=Info&amp;id=30455&amp;lvl=3&amp;lin=f&amp;keep=1&amp;srchmode=1&amp;unlock","Fulmarus glacialis")</f>
        <v>Fulmarus glacialis</v>
      </c>
      <c r="H151" t="s">
        <v>171</v>
      </c>
      <c r="I151" t="str">
        <f>HYPERLINK("http://www.ncbi.nlm.nih.gov/protein/XP_009574418.1","PREDICTED: fatty acid-binding protein, liver")</f>
        <v>PREDICTED: fatty acid-binding protein, liver</v>
      </c>
      <c r="J151">
        <v>205.68</v>
      </c>
      <c r="K151" t="s">
        <v>20</v>
      </c>
      <c r="L151">
        <v>139</v>
      </c>
      <c r="M151">
        <v>50.68</v>
      </c>
      <c r="N151">
        <v>81.53</v>
      </c>
      <c r="O151" t="s">
        <v>20</v>
      </c>
      <c r="P151" t="s">
        <v>21</v>
      </c>
      <c r="Q151" t="s">
        <v>20</v>
      </c>
      <c r="R151" t="str">
        <f>HYPERLINK("https://cfpub.epa.gov/ecotox/explore.cfm?ncbi=30455","Explore in ECOTOX")</f>
        <v>Explore in ECOTOX</v>
      </c>
    </row>
    <row r="152" spans="1:18" x14ac:dyDescent="0.25">
      <c r="A152">
        <v>6</v>
      </c>
      <c r="B152" t="str">
        <f>HYPERLINK("http://www.ncbi.nlm.nih.gov/protein/XP_028939293.1","XP_028939293.1")</f>
        <v>XP_028939293.1</v>
      </c>
      <c r="C152">
        <v>39363</v>
      </c>
      <c r="D152" t="str">
        <f>HYPERLINK("http://www.ncbi.nlm.nih.gov/Taxonomy/Browser/wwwtax.cgi?mode=Info&amp;id=9258&amp;lvl=3&amp;lin=f&amp;keep=1&amp;srchmode=1&amp;unlock","9258")</f>
        <v>9258</v>
      </c>
      <c r="E152" t="s">
        <v>18</v>
      </c>
      <c r="F152" t="s">
        <v>18</v>
      </c>
      <c r="G152" t="str">
        <f>HYPERLINK("http://www.ncbi.nlm.nih.gov/Taxonomy/Browser/wwwtax.cgi?mode=Info&amp;id=9258&amp;lvl=3&amp;lin=f&amp;keep=1&amp;srchmode=1&amp;unlock","Ornithorhynchus anatinus")</f>
        <v>Ornithorhynchus anatinus</v>
      </c>
      <c r="H152" t="s">
        <v>172</v>
      </c>
      <c r="I152" t="str">
        <f>HYPERLINK("http://www.ncbi.nlm.nih.gov/protein/XP_028939293.1","fatty acid-binding protein, liver")</f>
        <v>fatty acid-binding protein, liver</v>
      </c>
      <c r="J152">
        <v>204.91</v>
      </c>
      <c r="K152" t="s">
        <v>25</v>
      </c>
      <c r="L152">
        <v>139</v>
      </c>
      <c r="M152">
        <v>50.68</v>
      </c>
      <c r="N152">
        <v>81.22</v>
      </c>
      <c r="O152" t="s">
        <v>20</v>
      </c>
      <c r="P152" t="s">
        <v>21</v>
      </c>
      <c r="Q152" t="s">
        <v>20</v>
      </c>
      <c r="R152" t="str">
        <f>HYPERLINK("https://cfpub.epa.gov/ecotox/explore.cfm?ncbi=9258","Explore in ECOTOX")</f>
        <v>Explore in ECOTOX</v>
      </c>
    </row>
    <row r="153" spans="1:18" x14ac:dyDescent="0.25">
      <c r="A153">
        <v>6</v>
      </c>
      <c r="B153" t="str">
        <f>HYPERLINK("http://www.ncbi.nlm.nih.gov/protein/NXH75727.1","NXH75727.1")</f>
        <v>NXH75727.1</v>
      </c>
      <c r="C153">
        <v>14052</v>
      </c>
      <c r="D153" t="str">
        <f>HYPERLINK("http://www.ncbi.nlm.nih.gov/Taxonomy/Browser/wwwtax.cgi?mode=Info&amp;id=79633&amp;lvl=3&amp;lin=f&amp;keep=1&amp;srchmode=1&amp;unlock","79633")</f>
        <v>79633</v>
      </c>
      <c r="E153" t="s">
        <v>167</v>
      </c>
      <c r="F153" t="s">
        <v>167</v>
      </c>
      <c r="G153" t="str">
        <f>HYPERLINK("http://www.ncbi.nlm.nih.gov/Taxonomy/Browser/wwwtax.cgi?mode=Info&amp;id=79633&amp;lvl=3&amp;lin=f&amp;keep=1&amp;srchmode=1&amp;unlock","Oceanodroma tethys")</f>
        <v>Oceanodroma tethys</v>
      </c>
      <c r="H153" t="s">
        <v>173</v>
      </c>
      <c r="I153" t="str">
        <f>HYPERLINK("http://www.ncbi.nlm.nih.gov/protein/NXH75727.1","FABPL protein")</f>
        <v>FABPL protein</v>
      </c>
      <c r="J153">
        <v>204.91</v>
      </c>
      <c r="K153" t="s">
        <v>20</v>
      </c>
      <c r="L153">
        <v>139</v>
      </c>
      <c r="M153">
        <v>50.68</v>
      </c>
      <c r="N153">
        <v>81.22</v>
      </c>
      <c r="O153" t="s">
        <v>20</v>
      </c>
      <c r="P153" t="s">
        <v>21</v>
      </c>
      <c r="Q153" t="s">
        <v>20</v>
      </c>
      <c r="R153" t="str">
        <f>HYPERLINK("https://cfpub.epa.gov/ecotox/explore.cfm?ncbi=79633","Explore in ECOTOX")</f>
        <v>Explore in ECOTOX</v>
      </c>
    </row>
    <row r="154" spans="1:18" x14ac:dyDescent="0.25">
      <c r="A154">
        <v>6</v>
      </c>
      <c r="B154" t="str">
        <f>HYPERLINK("http://www.ncbi.nlm.nih.gov/protein/XP_009951890.1","XP_009951890.1")</f>
        <v>XP_009951890.1</v>
      </c>
      <c r="C154">
        <v>28808</v>
      </c>
      <c r="D154" t="str">
        <f>HYPERLINK("http://www.ncbi.nlm.nih.gov/Taxonomy/Browser/wwwtax.cgi?mode=Info&amp;id=188344&amp;lvl=3&amp;lin=f&amp;keep=1&amp;srchmode=1&amp;unlock","188344")</f>
        <v>188344</v>
      </c>
      <c r="E154" t="s">
        <v>167</v>
      </c>
      <c r="F154" t="s">
        <v>167</v>
      </c>
      <c r="G154" t="str">
        <f>HYPERLINK("http://www.ncbi.nlm.nih.gov/Taxonomy/Browser/wwwtax.cgi?mode=Info&amp;id=188344&amp;lvl=3&amp;lin=f&amp;keep=1&amp;srchmode=1&amp;unlock","Leptosomus discolor")</f>
        <v>Leptosomus discolor</v>
      </c>
      <c r="H154" t="s">
        <v>174</v>
      </c>
      <c r="I154" t="str">
        <f>HYPERLINK("http://www.ncbi.nlm.nih.gov/protein/XP_009951890.1","PREDICTED: fatty acid-binding protein, liver")</f>
        <v>PREDICTED: fatty acid-binding protein, liver</v>
      </c>
      <c r="J154">
        <v>204.53</v>
      </c>
      <c r="K154" t="s">
        <v>25</v>
      </c>
      <c r="L154">
        <v>139</v>
      </c>
      <c r="M154">
        <v>50.68</v>
      </c>
      <c r="N154">
        <v>81.069999999999993</v>
      </c>
      <c r="O154" t="s">
        <v>20</v>
      </c>
      <c r="P154" t="s">
        <v>21</v>
      </c>
      <c r="Q154" t="s">
        <v>20</v>
      </c>
      <c r="R154" t="str">
        <f>HYPERLINK("https://cfpub.epa.gov/ecotox/explore.cfm?ncbi=188344","Explore in ECOTOX")</f>
        <v>Explore in ECOTOX</v>
      </c>
    </row>
    <row r="155" spans="1:18" x14ac:dyDescent="0.25">
      <c r="A155">
        <v>6</v>
      </c>
      <c r="B155" t="str">
        <f>HYPERLINK("http://www.ncbi.nlm.nih.gov/protein/XP_024599684.1","XP_024599684.1")</f>
        <v>XP_024599684.1</v>
      </c>
      <c r="C155">
        <v>38184</v>
      </c>
      <c r="D155" t="str">
        <f>HYPERLINK("http://www.ncbi.nlm.nih.gov/Taxonomy/Browser/wwwtax.cgi?mode=Info&amp;id=1706337&amp;lvl=3&amp;lin=f&amp;keep=1&amp;srchmode=1&amp;unlock","1706337")</f>
        <v>1706337</v>
      </c>
      <c r="E155" t="s">
        <v>18</v>
      </c>
      <c r="F155" t="s">
        <v>18</v>
      </c>
      <c r="G155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55" t="s">
        <v>175</v>
      </c>
      <c r="I155" t="str">
        <f>HYPERLINK("http://www.ncbi.nlm.nih.gov/protein/XP_024599684.1","fatty acid-binding protein, liver")</f>
        <v>fatty acid-binding protein, liver</v>
      </c>
      <c r="J155">
        <v>204.53</v>
      </c>
      <c r="K155" t="s">
        <v>25</v>
      </c>
      <c r="L155">
        <v>139</v>
      </c>
      <c r="M155">
        <v>50.68</v>
      </c>
      <c r="N155">
        <v>81.069999999999993</v>
      </c>
      <c r="O155" t="s">
        <v>20</v>
      </c>
      <c r="P155" t="s">
        <v>21</v>
      </c>
      <c r="Q155" t="s">
        <v>20</v>
      </c>
      <c r="R155" t="str">
        <f>HYPERLINK("https://cfpub.epa.gov/ecotox/explore.cfm?ncbi=1706337","Explore in ECOTOX")</f>
        <v>Explore in ECOTOX</v>
      </c>
    </row>
    <row r="156" spans="1:18" x14ac:dyDescent="0.25">
      <c r="A156">
        <v>6</v>
      </c>
      <c r="B156" t="str">
        <f>HYPERLINK("http://www.ncbi.nlm.nih.gov/protein/XP_010128264.1","XP_010128264.1")</f>
        <v>XP_010128264.1</v>
      </c>
      <c r="C156">
        <v>26949</v>
      </c>
      <c r="D156" t="str">
        <f>HYPERLINK("http://www.ncbi.nlm.nih.gov/Taxonomy/Browser/wwwtax.cgi?mode=Info&amp;id=187382&amp;lvl=3&amp;lin=f&amp;keep=1&amp;srchmode=1&amp;unlock","187382")</f>
        <v>187382</v>
      </c>
      <c r="E156" t="s">
        <v>167</v>
      </c>
      <c r="F156" t="s">
        <v>167</v>
      </c>
      <c r="G156" t="str">
        <f>HYPERLINK("http://www.ncbi.nlm.nih.gov/Taxonomy/Browser/wwwtax.cgi?mode=Info&amp;id=187382&amp;lvl=3&amp;lin=f&amp;keep=1&amp;srchmode=1&amp;unlock","Chlamydotis macqueenii")</f>
        <v>Chlamydotis macqueenii</v>
      </c>
      <c r="H156" t="s">
        <v>176</v>
      </c>
      <c r="I156" t="str">
        <f>HYPERLINK("http://www.ncbi.nlm.nih.gov/protein/XP_010128264.1","PREDICTED: fatty acid-binding protein, liver")</f>
        <v>PREDICTED: fatty acid-binding protein, liver</v>
      </c>
      <c r="J156">
        <v>204.14</v>
      </c>
      <c r="K156" t="s">
        <v>25</v>
      </c>
      <c r="L156">
        <v>139</v>
      </c>
      <c r="M156">
        <v>50.68</v>
      </c>
      <c r="N156">
        <v>80.91</v>
      </c>
      <c r="O156" t="s">
        <v>20</v>
      </c>
      <c r="P156" t="s">
        <v>21</v>
      </c>
      <c r="Q156" t="s">
        <v>20</v>
      </c>
      <c r="R156" t="str">
        <f>HYPERLINK("https://cfpub.epa.gov/ecotox/explore.cfm?ncbi=187382","Explore in ECOTOX")</f>
        <v>Explore in ECOTOX</v>
      </c>
    </row>
    <row r="157" spans="1:18" x14ac:dyDescent="0.25">
      <c r="A157">
        <v>6</v>
      </c>
      <c r="B157" t="str">
        <f>HYPERLINK("http://www.ncbi.nlm.nih.gov/protein/XP_032508857.1","XP_032508857.1")</f>
        <v>XP_032508857.1</v>
      </c>
      <c r="C157">
        <v>52375</v>
      </c>
      <c r="D157" t="str">
        <f>HYPERLINK("http://www.ncbi.nlm.nih.gov/Taxonomy/Browser/wwwtax.cgi?mode=Info&amp;id=42100&amp;lvl=3&amp;lin=f&amp;keep=1&amp;srchmode=1&amp;unlock","42100")</f>
        <v>42100</v>
      </c>
      <c r="E157" t="s">
        <v>18</v>
      </c>
      <c r="F157" t="s">
        <v>18</v>
      </c>
      <c r="G157" t="str">
        <f>HYPERLINK("http://www.ncbi.nlm.nih.gov/Taxonomy/Browser/wwwtax.cgi?mode=Info&amp;id=42100&amp;lvl=3&amp;lin=f&amp;keep=1&amp;srchmode=1&amp;unlock","Phocoena sinus")</f>
        <v>Phocoena sinus</v>
      </c>
      <c r="H157" t="s">
        <v>177</v>
      </c>
      <c r="I157" t="str">
        <f>HYPERLINK("http://www.ncbi.nlm.nih.gov/protein/XP_032508857.1","fatty acid-binding protein, liver")</f>
        <v>fatty acid-binding protein, liver</v>
      </c>
      <c r="J157">
        <v>204.14</v>
      </c>
      <c r="K157" t="s">
        <v>20</v>
      </c>
      <c r="L157">
        <v>139</v>
      </c>
      <c r="M157">
        <v>50.68</v>
      </c>
      <c r="N157">
        <v>80.91</v>
      </c>
      <c r="O157" t="s">
        <v>20</v>
      </c>
      <c r="P157" t="s">
        <v>21</v>
      </c>
      <c r="Q157" t="s">
        <v>20</v>
      </c>
      <c r="R157" t="str">
        <f>HYPERLINK("https://cfpub.epa.gov/ecotox/explore.cfm?ncbi=42100","Explore in ECOTOX")</f>
        <v>Explore in ECOTOX</v>
      </c>
    </row>
    <row r="158" spans="1:18" x14ac:dyDescent="0.25">
      <c r="A158">
        <v>6</v>
      </c>
      <c r="B158" t="str">
        <f>HYPERLINK("http://www.ncbi.nlm.nih.gov/protein/PKU48683.1","PKU48683.1")</f>
        <v>PKU48683.1</v>
      </c>
      <c r="C158">
        <v>23022</v>
      </c>
      <c r="D158" t="str">
        <f>HYPERLINK("http://www.ncbi.nlm.nih.gov/Taxonomy/Browser/wwwtax.cgi?mode=Info&amp;id=1758121&amp;lvl=3&amp;lin=f&amp;keep=1&amp;srchmode=1&amp;unlock","1758121")</f>
        <v>1758121</v>
      </c>
      <c r="E158" t="s">
        <v>167</v>
      </c>
      <c r="F158" t="s">
        <v>167</v>
      </c>
      <c r="G158" t="str">
        <f>HYPERLINK("http://www.ncbi.nlm.nih.gov/Taxonomy/Browser/wwwtax.cgi?mode=Info&amp;id=1758121&amp;lvl=3&amp;lin=f&amp;keep=1&amp;srchmode=1&amp;unlock","Limosa lapponica baueri")</f>
        <v>Limosa lapponica baueri</v>
      </c>
      <c r="H158" t="s">
        <v>178</v>
      </c>
      <c r="I158" t="str">
        <f>HYPERLINK("http://www.ncbi.nlm.nih.gov/protein/PKU48683.1","fatty acid-binding liver")</f>
        <v>fatty acid-binding liver</v>
      </c>
      <c r="J158">
        <v>203.76</v>
      </c>
      <c r="K158" t="s">
        <v>25</v>
      </c>
      <c r="L158">
        <v>139</v>
      </c>
      <c r="M158">
        <v>50.68</v>
      </c>
      <c r="N158">
        <v>80.760000000000005</v>
      </c>
      <c r="O158" t="s">
        <v>20</v>
      </c>
      <c r="P158" t="s">
        <v>21</v>
      </c>
      <c r="Q158" t="s">
        <v>20</v>
      </c>
      <c r="R158" t="str">
        <f>HYPERLINK("https://cfpub.epa.gov/ecotox/explore.cfm?ncbi=1758121","Explore in ECOTOX")</f>
        <v>Explore in ECOTOX</v>
      </c>
    </row>
    <row r="159" spans="1:18" x14ac:dyDescent="0.25">
      <c r="A159">
        <v>6</v>
      </c>
      <c r="B159" t="str">
        <f>HYPERLINK("http://www.ncbi.nlm.nih.gov/protein/NXT31540.1","NXT31540.1")</f>
        <v>NXT31540.1</v>
      </c>
      <c r="C159">
        <v>14805</v>
      </c>
      <c r="D159" t="str">
        <f>HYPERLINK("http://www.ncbi.nlm.nih.gov/Taxonomy/Browser/wwwtax.cgi?mode=Info&amp;id=37079&amp;lvl=3&amp;lin=f&amp;keep=1&amp;srchmode=1&amp;unlock","37079")</f>
        <v>37079</v>
      </c>
      <c r="E159" t="s">
        <v>167</v>
      </c>
      <c r="F159" t="s">
        <v>167</v>
      </c>
      <c r="G159" t="str">
        <f>HYPERLINK("http://www.ncbi.nlm.nih.gov/Taxonomy/Browser/wwwtax.cgi?mode=Info&amp;id=37079&amp;lvl=3&amp;lin=f&amp;keep=1&amp;srchmode=1&amp;unlock","Pelecanoides urinatrix")</f>
        <v>Pelecanoides urinatrix</v>
      </c>
      <c r="H159" t="s">
        <v>179</v>
      </c>
      <c r="I159" t="str">
        <f>HYPERLINK("http://www.ncbi.nlm.nih.gov/protein/NXT31540.1","FABPL protein")</f>
        <v>FABPL protein</v>
      </c>
      <c r="J159">
        <v>203.76</v>
      </c>
      <c r="K159" t="s">
        <v>25</v>
      </c>
      <c r="L159">
        <v>139</v>
      </c>
      <c r="M159">
        <v>50.68</v>
      </c>
      <c r="N159">
        <v>80.760000000000005</v>
      </c>
      <c r="O159" t="s">
        <v>20</v>
      </c>
      <c r="P159" t="s">
        <v>21</v>
      </c>
      <c r="Q159" t="s">
        <v>20</v>
      </c>
      <c r="R159" t="str">
        <f>HYPERLINK("https://cfpub.epa.gov/ecotox/explore.cfm?ncbi=37079","Explore in ECOTOX")</f>
        <v>Explore in ECOTOX</v>
      </c>
    </row>
    <row r="160" spans="1:18" x14ac:dyDescent="0.25">
      <c r="A160">
        <v>6</v>
      </c>
      <c r="B160" t="str">
        <f>HYPERLINK("http://www.ncbi.nlm.nih.gov/protein/XP_009070303.1","XP_009070303.1")</f>
        <v>XP_009070303.1</v>
      </c>
      <c r="C160">
        <v>28094</v>
      </c>
      <c r="D160" t="str">
        <f>HYPERLINK("http://www.ncbi.nlm.nih.gov/Taxonomy/Browser/wwwtax.cgi?mode=Info&amp;id=57068&amp;lvl=3&amp;lin=f&amp;keep=1&amp;srchmode=1&amp;unlock","57068")</f>
        <v>57068</v>
      </c>
      <c r="E160" t="s">
        <v>167</v>
      </c>
      <c r="F160" t="s">
        <v>167</v>
      </c>
      <c r="G160" t="str">
        <f>HYPERLINK("http://www.ncbi.nlm.nih.gov/Taxonomy/Browser/wwwtax.cgi?mode=Info&amp;id=57068&amp;lvl=3&amp;lin=f&amp;keep=1&amp;srchmode=1&amp;unlock","Acanthisitta chloris")</f>
        <v>Acanthisitta chloris</v>
      </c>
      <c r="H160" t="s">
        <v>180</v>
      </c>
      <c r="I160" t="str">
        <f>HYPERLINK("http://www.ncbi.nlm.nih.gov/protein/XP_009070303.1","PREDICTED: fatty acid-binding protein, liver")</f>
        <v>PREDICTED: fatty acid-binding protein, liver</v>
      </c>
      <c r="J160">
        <v>203.76</v>
      </c>
      <c r="K160" t="s">
        <v>20</v>
      </c>
      <c r="L160">
        <v>139</v>
      </c>
      <c r="M160">
        <v>50.68</v>
      </c>
      <c r="N160">
        <v>80.760000000000005</v>
      </c>
      <c r="O160" t="s">
        <v>20</v>
      </c>
      <c r="P160" t="s">
        <v>21</v>
      </c>
      <c r="Q160" t="s">
        <v>20</v>
      </c>
      <c r="R160" t="str">
        <f>HYPERLINK("https://cfpub.epa.gov/ecotox/explore.cfm?ncbi=57068","Explore in ECOTOX")</f>
        <v>Explore in ECOTOX</v>
      </c>
    </row>
    <row r="161" spans="1:18" x14ac:dyDescent="0.25">
      <c r="A161">
        <v>6</v>
      </c>
      <c r="B161" t="str">
        <f>HYPERLINK("http://www.ncbi.nlm.nih.gov/protein/XP_027716980.1","XP_027716980.1")</f>
        <v>XP_027716980.1</v>
      </c>
      <c r="C161">
        <v>42741</v>
      </c>
      <c r="D161" t="str">
        <f>HYPERLINK("http://www.ncbi.nlm.nih.gov/Taxonomy/Browser/wwwtax.cgi?mode=Info&amp;id=29139&amp;lvl=3&amp;lin=f&amp;keep=1&amp;srchmode=1&amp;unlock","29139")</f>
        <v>29139</v>
      </c>
      <c r="E161" t="s">
        <v>18</v>
      </c>
      <c r="F161" t="s">
        <v>18</v>
      </c>
      <c r="G161" t="str">
        <f>HYPERLINK("http://www.ncbi.nlm.nih.gov/Taxonomy/Browser/wwwtax.cgi?mode=Info&amp;id=29139&amp;lvl=3&amp;lin=f&amp;keep=1&amp;srchmode=1&amp;unlock","Vombatus ursinus")</f>
        <v>Vombatus ursinus</v>
      </c>
      <c r="H161" t="s">
        <v>181</v>
      </c>
      <c r="I161" t="str">
        <f>HYPERLINK("http://www.ncbi.nlm.nih.gov/protein/XP_027716980.1","fatty acid-binding protein, liver")</f>
        <v>fatty acid-binding protein, liver</v>
      </c>
      <c r="J161">
        <v>203.76</v>
      </c>
      <c r="K161" t="s">
        <v>20</v>
      </c>
      <c r="L161">
        <v>139</v>
      </c>
      <c r="M161">
        <v>50.68</v>
      </c>
      <c r="N161">
        <v>80.760000000000005</v>
      </c>
      <c r="O161" t="s">
        <v>20</v>
      </c>
      <c r="P161" t="s">
        <v>21</v>
      </c>
      <c r="Q161" t="s">
        <v>20</v>
      </c>
      <c r="R161" t="str">
        <f>HYPERLINK("https://cfpub.epa.gov/ecotox/explore.cfm?ncbi=29139","Explore in ECOTOX")</f>
        <v>Explore in ECOTOX</v>
      </c>
    </row>
    <row r="162" spans="1:18" x14ac:dyDescent="0.25">
      <c r="A162">
        <v>6</v>
      </c>
      <c r="B162" t="str">
        <f>HYPERLINK("http://www.ncbi.nlm.nih.gov/protein/NXE21427.1","NXE21427.1")</f>
        <v>NXE21427.1</v>
      </c>
      <c r="C162">
        <v>13745</v>
      </c>
      <c r="D162" t="str">
        <f>HYPERLINK("http://www.ncbi.nlm.nih.gov/Taxonomy/Browser/wwwtax.cgi?mode=Info&amp;id=89386&amp;lvl=3&amp;lin=f&amp;keep=1&amp;srchmode=1&amp;unlock","89386")</f>
        <v>89386</v>
      </c>
      <c r="E162" t="s">
        <v>167</v>
      </c>
      <c r="F162" t="s">
        <v>167</v>
      </c>
      <c r="G162" t="str">
        <f>HYPERLINK("http://www.ncbi.nlm.nih.gov/Taxonomy/Browser/wwwtax.cgi?mode=Info&amp;id=89386&amp;lvl=3&amp;lin=f&amp;keep=1&amp;srchmode=1&amp;unlock","Ardeotis kori")</f>
        <v>Ardeotis kori</v>
      </c>
      <c r="H162" t="s">
        <v>182</v>
      </c>
      <c r="I162" t="str">
        <f>HYPERLINK("http://www.ncbi.nlm.nih.gov/protein/NXE21427.1","FABPL protein")</f>
        <v>FABPL protein</v>
      </c>
      <c r="J162">
        <v>203.37</v>
      </c>
      <c r="K162" t="s">
        <v>25</v>
      </c>
      <c r="L162">
        <v>139</v>
      </c>
      <c r="M162">
        <v>50.68</v>
      </c>
      <c r="N162">
        <v>80.61</v>
      </c>
      <c r="O162" t="s">
        <v>20</v>
      </c>
      <c r="P162" t="s">
        <v>21</v>
      </c>
      <c r="Q162" t="s">
        <v>20</v>
      </c>
      <c r="R162" t="str">
        <f>HYPERLINK("https://cfpub.epa.gov/ecotox/explore.cfm?ncbi=89386","Explore in ECOTOX")</f>
        <v>Explore in ECOTOX</v>
      </c>
    </row>
    <row r="163" spans="1:18" x14ac:dyDescent="0.25">
      <c r="A163">
        <v>6</v>
      </c>
      <c r="B163" t="str">
        <f>HYPERLINK("http://www.ncbi.nlm.nih.gov/protein/XP_002709683.1","XP_002709683.1")</f>
        <v>XP_002709683.1</v>
      </c>
      <c r="C163">
        <v>52342</v>
      </c>
      <c r="D163" t="str">
        <f>HYPERLINK("http://www.ncbi.nlm.nih.gov/Taxonomy/Browser/wwwtax.cgi?mode=Info&amp;id=9986&amp;lvl=3&amp;lin=f&amp;keep=1&amp;srchmode=1&amp;unlock","9986")</f>
        <v>9986</v>
      </c>
      <c r="E163" t="s">
        <v>18</v>
      </c>
      <c r="F163" t="s">
        <v>18</v>
      </c>
      <c r="G163" t="str">
        <f>HYPERLINK("http://www.ncbi.nlm.nih.gov/Taxonomy/Browser/wwwtax.cgi?mode=Info&amp;id=9986&amp;lvl=3&amp;lin=f&amp;keep=1&amp;srchmode=1&amp;unlock","Oryctolagus cuniculus")</f>
        <v>Oryctolagus cuniculus</v>
      </c>
      <c r="H163" t="s">
        <v>183</v>
      </c>
      <c r="I163" t="str">
        <f>HYPERLINK("http://www.ncbi.nlm.nih.gov/protein/XP_002709683.1","PREDICTED: fatty acid-binding protein, liver")</f>
        <v>PREDICTED: fatty acid-binding protein, liver</v>
      </c>
      <c r="J163">
        <v>203.37</v>
      </c>
      <c r="K163" t="s">
        <v>25</v>
      </c>
      <c r="L163">
        <v>139</v>
      </c>
      <c r="M163">
        <v>50.68</v>
      </c>
      <c r="N163">
        <v>80.61</v>
      </c>
      <c r="O163" t="s">
        <v>20</v>
      </c>
      <c r="P163" t="s">
        <v>21</v>
      </c>
      <c r="Q163" t="s">
        <v>20</v>
      </c>
      <c r="R163" t="str">
        <f>HYPERLINK("https://cfpub.epa.gov/ecotox/explore.cfm?ncbi=9986","Explore in ECOTOX")</f>
        <v>Explore in ECOTOX</v>
      </c>
    </row>
    <row r="164" spans="1:18" x14ac:dyDescent="0.25">
      <c r="A164">
        <v>6</v>
      </c>
      <c r="B164" t="str">
        <f>HYPERLINK("http://www.ncbi.nlm.nih.gov/protein/NXY48066.1","NXY48066.1")</f>
        <v>NXY48066.1</v>
      </c>
      <c r="C164">
        <v>12235</v>
      </c>
      <c r="D164" t="str">
        <f>HYPERLINK("http://www.ncbi.nlm.nih.gov/Taxonomy/Browser/wwwtax.cgi?mode=Info&amp;id=1961834&amp;lvl=3&amp;lin=f&amp;keep=1&amp;srchmode=1&amp;unlock","1961834")</f>
        <v>1961834</v>
      </c>
      <c r="E164" t="s">
        <v>167</v>
      </c>
      <c r="F164" t="s">
        <v>167</v>
      </c>
      <c r="G164" t="str">
        <f>HYPERLINK("http://www.ncbi.nlm.nih.gov/Taxonomy/Browser/wwwtax.cgi?mode=Info&amp;id=1961834&amp;lvl=3&amp;lin=f&amp;keep=1&amp;srchmode=1&amp;unlock","Ceuthmochares aereus")</f>
        <v>Ceuthmochares aereus</v>
      </c>
      <c r="H164" t="s">
        <v>184</v>
      </c>
      <c r="I164" t="str">
        <f>HYPERLINK("http://www.ncbi.nlm.nih.gov/protein/NXY48066.1","FABPL protein")</f>
        <v>FABPL protein</v>
      </c>
      <c r="J164">
        <v>203.37</v>
      </c>
      <c r="K164" t="s">
        <v>20</v>
      </c>
      <c r="L164">
        <v>139</v>
      </c>
      <c r="M164">
        <v>50.68</v>
      </c>
      <c r="N164">
        <v>80.61</v>
      </c>
      <c r="O164" t="s">
        <v>20</v>
      </c>
      <c r="P164" t="s">
        <v>21</v>
      </c>
      <c r="Q164" t="s">
        <v>20</v>
      </c>
      <c r="R164" t="str">
        <f>HYPERLINK("https://cfpub.epa.gov/ecotox/explore.cfm?ncbi=1961834","Explore in ECOTOX")</f>
        <v>Explore in ECOTOX</v>
      </c>
    </row>
    <row r="165" spans="1:18" x14ac:dyDescent="0.25">
      <c r="A165">
        <v>6</v>
      </c>
      <c r="B165" t="str">
        <f>HYPERLINK("http://www.ncbi.nlm.nih.gov/protein/NXA27554.1","NXA27554.1")</f>
        <v>NXA27554.1</v>
      </c>
      <c r="C165">
        <v>13860</v>
      </c>
      <c r="D165" t="str">
        <f>HYPERLINK("http://www.ncbi.nlm.nih.gov/Taxonomy/Browser/wwwtax.cgi?mode=Info&amp;id=425643&amp;lvl=3&amp;lin=f&amp;keep=1&amp;srchmode=1&amp;unlock","425643")</f>
        <v>425643</v>
      </c>
      <c r="E165" t="s">
        <v>167</v>
      </c>
      <c r="F165" t="s">
        <v>167</v>
      </c>
      <c r="G165" t="str">
        <f>HYPERLINK("http://www.ncbi.nlm.nih.gov/Taxonomy/Browser/wwwtax.cgi?mode=Info&amp;id=425643&amp;lvl=3&amp;lin=f&amp;keep=1&amp;srchmode=1&amp;unlock","Ibidorhyncha struthersii")</f>
        <v>Ibidorhyncha struthersii</v>
      </c>
      <c r="H165" t="s">
        <v>185</v>
      </c>
      <c r="I165" t="str">
        <f>HYPERLINK("http://www.ncbi.nlm.nih.gov/protein/NXA27554.1","FABPL protein")</f>
        <v>FABPL protein</v>
      </c>
      <c r="J165">
        <v>202.99</v>
      </c>
      <c r="K165" t="s">
        <v>25</v>
      </c>
      <c r="L165">
        <v>139</v>
      </c>
      <c r="M165">
        <v>50.68</v>
      </c>
      <c r="N165">
        <v>80.459999999999994</v>
      </c>
      <c r="O165" t="s">
        <v>20</v>
      </c>
      <c r="P165" t="s">
        <v>21</v>
      </c>
      <c r="Q165" t="s">
        <v>20</v>
      </c>
      <c r="R165" t="str">
        <f>HYPERLINK("https://cfpub.epa.gov/ecotox/explore.cfm?ncbi=425643","Explore in ECOTOX")</f>
        <v>Explore in ECOTOX</v>
      </c>
    </row>
    <row r="166" spans="1:18" x14ac:dyDescent="0.25">
      <c r="A166">
        <v>6</v>
      </c>
      <c r="B166" t="str">
        <f>HYPERLINK("http://www.ncbi.nlm.nih.gov/protein/NXV84972.1","NXV84972.1")</f>
        <v>NXV84972.1</v>
      </c>
      <c r="C166">
        <v>14439</v>
      </c>
      <c r="D166" t="str">
        <f>HYPERLINK("http://www.ncbi.nlm.nih.gov/Taxonomy/Browser/wwwtax.cgi?mode=Info&amp;id=1323832&amp;lvl=3&amp;lin=f&amp;keep=1&amp;srchmode=1&amp;unlock","1323832")</f>
        <v>1323832</v>
      </c>
      <c r="E166" t="s">
        <v>167</v>
      </c>
      <c r="F166" t="s">
        <v>167</v>
      </c>
      <c r="G166" t="str">
        <f>HYPERLINK("http://www.ncbi.nlm.nih.gov/Taxonomy/Browser/wwwtax.cgi?mode=Info&amp;id=1323832&amp;lvl=3&amp;lin=f&amp;keep=1&amp;srchmode=1&amp;unlock","Calonectris borealis")</f>
        <v>Calonectris borealis</v>
      </c>
      <c r="H166" t="s">
        <v>186</v>
      </c>
      <c r="I166" t="str">
        <f>HYPERLINK("http://www.ncbi.nlm.nih.gov/protein/NXV84972.1","FABPL protein")</f>
        <v>FABPL protein</v>
      </c>
      <c r="J166">
        <v>202.6</v>
      </c>
      <c r="K166" t="s">
        <v>25</v>
      </c>
      <c r="L166">
        <v>139</v>
      </c>
      <c r="M166">
        <v>50.68</v>
      </c>
      <c r="N166">
        <v>80.3</v>
      </c>
      <c r="O166" t="s">
        <v>20</v>
      </c>
      <c r="P166" t="s">
        <v>21</v>
      </c>
      <c r="Q166" t="s">
        <v>20</v>
      </c>
      <c r="R166" t="str">
        <f>HYPERLINK("https://cfpub.epa.gov/ecotox/explore.cfm?ncbi=1323832","Explore in ECOTOX")</f>
        <v>Explore in ECOTOX</v>
      </c>
    </row>
    <row r="167" spans="1:18" x14ac:dyDescent="0.25">
      <c r="A167">
        <v>6</v>
      </c>
      <c r="B167" t="str">
        <f>HYPERLINK("http://www.ncbi.nlm.nih.gov/protein/NXK25795.1","NXK25795.1")</f>
        <v>NXK25795.1</v>
      </c>
      <c r="C167">
        <v>13971</v>
      </c>
      <c r="D167" t="str">
        <f>HYPERLINK("http://www.ncbi.nlm.nih.gov/Taxonomy/Browser/wwwtax.cgi?mode=Info&amp;id=54971&amp;lvl=3&amp;lin=f&amp;keep=1&amp;srchmode=1&amp;unlock","54971")</f>
        <v>54971</v>
      </c>
      <c r="E167" t="s">
        <v>167</v>
      </c>
      <c r="F167" t="s">
        <v>167</v>
      </c>
      <c r="G167" t="str">
        <f>HYPERLINK("http://www.ncbi.nlm.nih.gov/Taxonomy/Browser/wwwtax.cgi?mode=Info&amp;id=54971&amp;lvl=3&amp;lin=f&amp;keep=1&amp;srchmode=1&amp;unlock","Arenaria interpres")</f>
        <v>Arenaria interpres</v>
      </c>
      <c r="H167" t="s">
        <v>187</v>
      </c>
      <c r="I167" t="str">
        <f>HYPERLINK("http://www.ncbi.nlm.nih.gov/protein/NXK25795.1","FABPL protein")</f>
        <v>FABPL protein</v>
      </c>
      <c r="J167">
        <v>202.6</v>
      </c>
      <c r="K167" t="s">
        <v>25</v>
      </c>
      <c r="L167">
        <v>139</v>
      </c>
      <c r="M167">
        <v>50.68</v>
      </c>
      <c r="N167">
        <v>80.3</v>
      </c>
      <c r="O167" t="s">
        <v>20</v>
      </c>
      <c r="P167" t="s">
        <v>21</v>
      </c>
      <c r="Q167" t="s">
        <v>20</v>
      </c>
      <c r="R167" t="str">
        <f>HYPERLINK("https://cfpub.epa.gov/ecotox/explore.cfm?ncbi=54971","Explore in ECOTOX")</f>
        <v>Explore in ECOTOX</v>
      </c>
    </row>
    <row r="168" spans="1:18" x14ac:dyDescent="0.25">
      <c r="A168">
        <v>6</v>
      </c>
      <c r="B168" t="str">
        <f>HYPERLINK("http://www.ncbi.nlm.nih.gov/protein/KAF1653084.1","KAF1653084.1")</f>
        <v>KAF1653084.1</v>
      </c>
      <c r="C168">
        <v>13994</v>
      </c>
      <c r="D168" t="str">
        <f>HYPERLINK("http://www.ncbi.nlm.nih.gov/Taxonomy/Browser/wwwtax.cgi?mode=Info&amp;id=9234&amp;lvl=3&amp;lin=f&amp;keep=1&amp;srchmode=1&amp;unlock","9234")</f>
        <v>9234</v>
      </c>
      <c r="E168" t="s">
        <v>167</v>
      </c>
      <c r="F168" t="s">
        <v>167</v>
      </c>
      <c r="G168" t="str">
        <f>HYPERLINK("http://www.ncbi.nlm.nih.gov/Taxonomy/Browser/wwwtax.cgi?mode=Info&amp;id=9234&amp;lvl=3&amp;lin=f&amp;keep=1&amp;srchmode=1&amp;unlock","Aptenodytes patagonicus")</f>
        <v>Aptenodytes patagonicus</v>
      </c>
      <c r="H168" t="s">
        <v>188</v>
      </c>
      <c r="I168" t="str">
        <f>HYPERLINK("http://www.ncbi.nlm.nih.gov/protein/KAF1653084.1","Fatty acid-binding protein, liver, partial")</f>
        <v>Fatty acid-binding protein, liver, partial</v>
      </c>
      <c r="J168">
        <v>202.6</v>
      </c>
      <c r="K168" t="s">
        <v>25</v>
      </c>
      <c r="L168">
        <v>139</v>
      </c>
      <c r="M168">
        <v>50.68</v>
      </c>
      <c r="N168">
        <v>80.3</v>
      </c>
      <c r="O168" t="s">
        <v>20</v>
      </c>
      <c r="P168" t="s">
        <v>21</v>
      </c>
      <c r="Q168" t="s">
        <v>20</v>
      </c>
      <c r="R168" t="str">
        <f>HYPERLINK("https://cfpub.epa.gov/ecotox/explore.cfm?ncbi=9234","Explore in ECOTOX")</f>
        <v>Explore in ECOTOX</v>
      </c>
    </row>
    <row r="169" spans="1:18" x14ac:dyDescent="0.25">
      <c r="A169">
        <v>6</v>
      </c>
      <c r="B169" t="str">
        <f>HYPERLINK("http://www.ncbi.nlm.nih.gov/protein/NXW09264.1","NXW09264.1")</f>
        <v>NXW09264.1</v>
      </c>
      <c r="C169">
        <v>13534</v>
      </c>
      <c r="D169" t="str">
        <f>HYPERLINK("http://www.ncbi.nlm.nih.gov/Taxonomy/Browser/wwwtax.cgi?mode=Info&amp;id=79628&amp;lvl=3&amp;lin=f&amp;keep=1&amp;srchmode=1&amp;unlock","79628")</f>
        <v>79628</v>
      </c>
      <c r="E169" t="s">
        <v>167</v>
      </c>
      <c r="F169" t="s">
        <v>167</v>
      </c>
      <c r="G169" t="str">
        <f>HYPERLINK("http://www.ncbi.nlm.nih.gov/Taxonomy/Browser/wwwtax.cgi?mode=Info&amp;id=79628&amp;lvl=3&amp;lin=f&amp;keep=1&amp;srchmode=1&amp;unlock","Fregetta grallaria")</f>
        <v>Fregetta grallaria</v>
      </c>
      <c r="H169" t="s">
        <v>189</v>
      </c>
      <c r="I169" t="str">
        <f>HYPERLINK("http://www.ncbi.nlm.nih.gov/protein/NXW09264.1","FABPL protein")</f>
        <v>FABPL protein</v>
      </c>
      <c r="J169">
        <v>202.22</v>
      </c>
      <c r="K169" t="s">
        <v>25</v>
      </c>
      <c r="L169">
        <v>139</v>
      </c>
      <c r="M169">
        <v>50.68</v>
      </c>
      <c r="N169">
        <v>80.150000000000006</v>
      </c>
      <c r="O169" t="s">
        <v>20</v>
      </c>
      <c r="P169" t="s">
        <v>21</v>
      </c>
      <c r="Q169" t="s">
        <v>20</v>
      </c>
      <c r="R169" t="str">
        <f>HYPERLINK("https://cfpub.epa.gov/ecotox/explore.cfm?ncbi=79628","Explore in ECOTOX")</f>
        <v>Explore in ECOTOX</v>
      </c>
    </row>
    <row r="170" spans="1:18" x14ac:dyDescent="0.25">
      <c r="A170">
        <v>6</v>
      </c>
      <c r="B170" t="str">
        <f>HYPERLINK("http://www.ncbi.nlm.nih.gov/protein/XP_036729393.1","XP_036729393.1")</f>
        <v>XP_036729393.1</v>
      </c>
      <c r="C170">
        <v>52383</v>
      </c>
      <c r="D170" t="str">
        <f>HYPERLINK("http://www.ncbi.nlm.nih.gov/Taxonomy/Browser/wwwtax.cgi?mode=Info&amp;id=9771&amp;lvl=3&amp;lin=f&amp;keep=1&amp;srchmode=1&amp;unlock","9771")</f>
        <v>9771</v>
      </c>
      <c r="E170" t="s">
        <v>18</v>
      </c>
      <c r="F170" t="s">
        <v>18</v>
      </c>
      <c r="G170" t="str">
        <f>HYPERLINK("http://www.ncbi.nlm.nih.gov/Taxonomy/Browser/wwwtax.cgi?mode=Info&amp;id=9771&amp;lvl=3&amp;lin=f&amp;keep=1&amp;srchmode=1&amp;unlock","Balaenoptera musculus")</f>
        <v>Balaenoptera musculus</v>
      </c>
      <c r="H170" t="s">
        <v>190</v>
      </c>
      <c r="I170" t="str">
        <f>HYPERLINK("http://www.ncbi.nlm.nih.gov/protein/XP_036729393.1","fatty acid-binding protein, liver")</f>
        <v>fatty acid-binding protein, liver</v>
      </c>
      <c r="J170">
        <v>202.22</v>
      </c>
      <c r="K170" t="s">
        <v>20</v>
      </c>
      <c r="L170">
        <v>139</v>
      </c>
      <c r="M170">
        <v>50.68</v>
      </c>
      <c r="N170">
        <v>80.150000000000006</v>
      </c>
      <c r="O170" t="s">
        <v>20</v>
      </c>
      <c r="P170" t="s">
        <v>21</v>
      </c>
      <c r="Q170" t="s">
        <v>20</v>
      </c>
      <c r="R170" t="str">
        <f>HYPERLINK("https://cfpub.epa.gov/ecotox/explore.cfm?ncbi=9771","Explore in ECOTOX")</f>
        <v>Explore in ECOTOX</v>
      </c>
    </row>
    <row r="171" spans="1:18" x14ac:dyDescent="0.25">
      <c r="A171">
        <v>6</v>
      </c>
      <c r="B171" t="str">
        <f>HYPERLINK("http://www.ncbi.nlm.nih.gov/protein/XP_009816925.1","XP_009816925.1")</f>
        <v>XP_009816925.1</v>
      </c>
      <c r="C171">
        <v>26695</v>
      </c>
      <c r="D171" t="str">
        <f>HYPERLINK("http://www.ncbi.nlm.nih.gov/Taxonomy/Browser/wwwtax.cgi?mode=Info&amp;id=37040&amp;lvl=3&amp;lin=f&amp;keep=1&amp;srchmode=1&amp;unlock","37040")</f>
        <v>37040</v>
      </c>
      <c r="E171" t="s">
        <v>167</v>
      </c>
      <c r="F171" t="s">
        <v>167</v>
      </c>
      <c r="G171" t="str">
        <f>HYPERLINK("http://www.ncbi.nlm.nih.gov/Taxonomy/Browser/wwwtax.cgi?mode=Info&amp;id=37040&amp;lvl=3&amp;lin=f&amp;keep=1&amp;srchmode=1&amp;unlock","Gavia stellata")</f>
        <v>Gavia stellata</v>
      </c>
      <c r="H171" t="s">
        <v>191</v>
      </c>
      <c r="I171" t="str">
        <f>HYPERLINK("http://www.ncbi.nlm.nih.gov/protein/XP_009816925.1","PREDICTED: fatty acid-binding protein, liver")</f>
        <v>PREDICTED: fatty acid-binding protein, liver</v>
      </c>
      <c r="J171">
        <v>202.22</v>
      </c>
      <c r="K171" t="s">
        <v>25</v>
      </c>
      <c r="L171">
        <v>139</v>
      </c>
      <c r="M171">
        <v>50.68</v>
      </c>
      <c r="N171">
        <v>80.150000000000006</v>
      </c>
      <c r="O171" t="s">
        <v>20</v>
      </c>
      <c r="P171" t="s">
        <v>21</v>
      </c>
      <c r="Q171" t="s">
        <v>20</v>
      </c>
      <c r="R171" t="str">
        <f>HYPERLINK("https://cfpub.epa.gov/ecotox/explore.cfm?ncbi=37040","Explore in ECOTOX")</f>
        <v>Explore in ECOTOX</v>
      </c>
    </row>
    <row r="172" spans="1:18" x14ac:dyDescent="0.25">
      <c r="A172">
        <v>6</v>
      </c>
      <c r="B172" t="str">
        <f>HYPERLINK("http://www.ncbi.nlm.nih.gov/protein/NXH20583.1","NXH20583.1")</f>
        <v>NXH20583.1</v>
      </c>
      <c r="C172">
        <v>14440</v>
      </c>
      <c r="D172" t="str">
        <f>HYPERLINK("http://www.ncbi.nlm.nih.gov/Taxonomy/Browser/wwwtax.cgi?mode=Info&amp;id=135168&amp;lvl=3&amp;lin=f&amp;keep=1&amp;srchmode=1&amp;unlock","135168")</f>
        <v>135168</v>
      </c>
      <c r="E172" t="s">
        <v>167</v>
      </c>
      <c r="F172" t="s">
        <v>167</v>
      </c>
      <c r="G172" t="str">
        <f>HYPERLINK("http://www.ncbi.nlm.nih.gov/Taxonomy/Browser/wwwtax.cgi?mode=Info&amp;id=135168&amp;lvl=3&amp;lin=f&amp;keep=1&amp;srchmode=1&amp;unlock","Bucco capensis")</f>
        <v>Bucco capensis</v>
      </c>
      <c r="H172" t="s">
        <v>192</v>
      </c>
      <c r="I172" t="str">
        <f>HYPERLINK("http://www.ncbi.nlm.nih.gov/protein/NXH20583.1","FABPL protein")</f>
        <v>FABPL protein</v>
      </c>
      <c r="J172">
        <v>202.22</v>
      </c>
      <c r="K172" t="s">
        <v>25</v>
      </c>
      <c r="L172">
        <v>139</v>
      </c>
      <c r="M172">
        <v>50.68</v>
      </c>
      <c r="N172">
        <v>80.150000000000006</v>
      </c>
      <c r="O172" t="s">
        <v>20</v>
      </c>
      <c r="P172" t="s">
        <v>21</v>
      </c>
      <c r="Q172" t="s">
        <v>20</v>
      </c>
      <c r="R172" t="str">
        <f>HYPERLINK("https://cfpub.epa.gov/ecotox/explore.cfm?ncbi=135168","Explore in ECOTOX")</f>
        <v>Explore in ECOTOX</v>
      </c>
    </row>
    <row r="173" spans="1:18" x14ac:dyDescent="0.25">
      <c r="A173">
        <v>6</v>
      </c>
      <c r="B173" t="str">
        <f>HYPERLINK("http://www.ncbi.nlm.nih.gov/protein/NXX50165.1","NXX50165.1")</f>
        <v>NXX50165.1</v>
      </c>
      <c r="C173">
        <v>14338</v>
      </c>
      <c r="D173" t="str">
        <f>HYPERLINK("http://www.ncbi.nlm.nih.gov/Taxonomy/Browser/wwwtax.cgi?mode=Info&amp;id=240729&amp;lvl=3&amp;lin=f&amp;keep=1&amp;srchmode=1&amp;unlock","240729")</f>
        <v>240729</v>
      </c>
      <c r="E173" t="s">
        <v>167</v>
      </c>
      <c r="F173" t="s">
        <v>167</v>
      </c>
      <c r="G173" t="str">
        <f>HYPERLINK("http://www.ncbi.nlm.nih.gov/Taxonomy/Browser/wwwtax.cgi?mode=Info&amp;id=240729&amp;lvl=3&amp;lin=f&amp;keep=1&amp;srchmode=1&amp;unlock","Tricholaema leucomelas")</f>
        <v>Tricholaema leucomelas</v>
      </c>
      <c r="H173" t="s">
        <v>193</v>
      </c>
      <c r="I173" t="str">
        <f>HYPERLINK("http://www.ncbi.nlm.nih.gov/protein/NXX50165.1","FABPL protein")</f>
        <v>FABPL protein</v>
      </c>
      <c r="J173">
        <v>201.83</v>
      </c>
      <c r="K173" t="s">
        <v>25</v>
      </c>
      <c r="L173">
        <v>139</v>
      </c>
      <c r="M173">
        <v>50.68</v>
      </c>
      <c r="N173">
        <v>80</v>
      </c>
      <c r="O173" t="s">
        <v>20</v>
      </c>
      <c r="P173" t="s">
        <v>21</v>
      </c>
      <c r="Q173" t="s">
        <v>20</v>
      </c>
      <c r="R173" t="str">
        <f>HYPERLINK("https://cfpub.epa.gov/ecotox/explore.cfm?ncbi=240729","Explore in ECOTOX")</f>
        <v>Explore in ECOTOX</v>
      </c>
    </row>
    <row r="174" spans="1:18" x14ac:dyDescent="0.25">
      <c r="A174">
        <v>6</v>
      </c>
      <c r="B174" t="str">
        <f>HYPERLINK("http://www.ncbi.nlm.nih.gov/protein/XP_009287675.1","XP_009287675.1")</f>
        <v>XP_009287675.1</v>
      </c>
      <c r="C174">
        <v>32672</v>
      </c>
      <c r="D174" t="str">
        <f>HYPERLINK("http://www.ncbi.nlm.nih.gov/Taxonomy/Browser/wwwtax.cgi?mode=Info&amp;id=9233&amp;lvl=3&amp;lin=f&amp;keep=1&amp;srchmode=1&amp;unlock","9233")</f>
        <v>9233</v>
      </c>
      <c r="E174" t="s">
        <v>167</v>
      </c>
      <c r="F174" t="s">
        <v>167</v>
      </c>
      <c r="G174" t="str">
        <f>HYPERLINK("http://www.ncbi.nlm.nih.gov/Taxonomy/Browser/wwwtax.cgi?mode=Info&amp;id=9233&amp;lvl=3&amp;lin=f&amp;keep=1&amp;srchmode=1&amp;unlock","Aptenodytes forsteri")</f>
        <v>Aptenodytes forsteri</v>
      </c>
      <c r="H174" t="s">
        <v>194</v>
      </c>
      <c r="I174" t="str">
        <f>HYPERLINK("http://www.ncbi.nlm.nih.gov/protein/XP_009287675.1","PREDICTED: fatty acid-binding protein, liver")</f>
        <v>PREDICTED: fatty acid-binding protein, liver</v>
      </c>
      <c r="J174">
        <v>201.44</v>
      </c>
      <c r="K174" t="s">
        <v>25</v>
      </c>
      <c r="L174">
        <v>139</v>
      </c>
      <c r="M174">
        <v>50.68</v>
      </c>
      <c r="N174">
        <v>79.849999999999994</v>
      </c>
      <c r="O174" t="s">
        <v>20</v>
      </c>
      <c r="P174" t="s">
        <v>21</v>
      </c>
      <c r="Q174" t="s">
        <v>20</v>
      </c>
      <c r="R174" t="str">
        <f>HYPERLINK("https://cfpub.epa.gov/ecotox/explore.cfm?ncbi=9233","Explore in ECOTOX")</f>
        <v>Explore in ECOTOX</v>
      </c>
    </row>
    <row r="175" spans="1:18" x14ac:dyDescent="0.25">
      <c r="A175">
        <v>6</v>
      </c>
      <c r="B175" t="str">
        <f>HYPERLINK("http://www.ncbi.nlm.nih.gov/protein/XP_004612100.1","XP_004612100.1")</f>
        <v>XP_004612100.1</v>
      </c>
      <c r="C175">
        <v>24236</v>
      </c>
      <c r="D175" t="str">
        <f>HYPERLINK("http://www.ncbi.nlm.nih.gov/Taxonomy/Browser/wwwtax.cgi?mode=Info&amp;id=42254&amp;lvl=3&amp;lin=f&amp;keep=1&amp;srchmode=1&amp;unlock","42254")</f>
        <v>42254</v>
      </c>
      <c r="E175" t="s">
        <v>18</v>
      </c>
      <c r="F175" t="s">
        <v>18</v>
      </c>
      <c r="G175" t="str">
        <f>HYPERLINK("http://www.ncbi.nlm.nih.gov/Taxonomy/Browser/wwwtax.cgi?mode=Info&amp;id=42254&amp;lvl=3&amp;lin=f&amp;keep=1&amp;srchmode=1&amp;unlock","Sorex araneus")</f>
        <v>Sorex araneus</v>
      </c>
      <c r="H175" t="s">
        <v>195</v>
      </c>
      <c r="I175" t="str">
        <f>HYPERLINK("http://www.ncbi.nlm.nih.gov/protein/XP_004612100.1","PREDICTED: fatty acid-binding protein, liver")</f>
        <v>PREDICTED: fatty acid-binding protein, liver</v>
      </c>
      <c r="J175">
        <v>201.44</v>
      </c>
      <c r="K175" t="s">
        <v>25</v>
      </c>
      <c r="L175">
        <v>139</v>
      </c>
      <c r="M175">
        <v>50.68</v>
      </c>
      <c r="N175">
        <v>79.849999999999994</v>
      </c>
      <c r="O175" t="s">
        <v>20</v>
      </c>
      <c r="P175" t="s">
        <v>21</v>
      </c>
      <c r="Q175" t="s">
        <v>20</v>
      </c>
      <c r="R175" t="str">
        <f>HYPERLINK("https://cfpub.epa.gov/ecotox/explore.cfm?ncbi=42254","Explore in ECOTOX")</f>
        <v>Explore in ECOTOX</v>
      </c>
    </row>
    <row r="176" spans="1:18" x14ac:dyDescent="0.25">
      <c r="A176">
        <v>6</v>
      </c>
      <c r="B176" t="str">
        <f>HYPERLINK("http://www.ncbi.nlm.nih.gov/protein/NXA54322.1","NXA54322.1")</f>
        <v>NXA54322.1</v>
      </c>
      <c r="C176">
        <v>13387</v>
      </c>
      <c r="D176" t="str">
        <f>HYPERLINK("http://www.ncbi.nlm.nih.gov/Taxonomy/Browser/wwwtax.cgi?mode=Info&amp;id=2585813&amp;lvl=3&amp;lin=f&amp;keep=1&amp;srchmode=1&amp;unlock","2585813")</f>
        <v>2585813</v>
      </c>
      <c r="E176" t="s">
        <v>167</v>
      </c>
      <c r="F176" t="s">
        <v>167</v>
      </c>
      <c r="G176" t="str">
        <f>HYPERLINK("http://www.ncbi.nlm.nih.gov/Taxonomy/Browser/wwwtax.cgi?mode=Info&amp;id=2585813&amp;lvl=3&amp;lin=f&amp;keep=1&amp;srchmode=1&amp;unlock","Nothocercus julius")</f>
        <v>Nothocercus julius</v>
      </c>
      <c r="H176" t="s">
        <v>196</v>
      </c>
      <c r="I176" t="str">
        <f>HYPERLINK("http://www.ncbi.nlm.nih.gov/protein/NXA54322.1","FABPL protein")</f>
        <v>FABPL protein</v>
      </c>
      <c r="J176">
        <v>201.44</v>
      </c>
      <c r="K176" t="s">
        <v>20</v>
      </c>
      <c r="L176">
        <v>139</v>
      </c>
      <c r="M176">
        <v>50.68</v>
      </c>
      <c r="N176">
        <v>79.849999999999994</v>
      </c>
      <c r="O176" t="s">
        <v>20</v>
      </c>
      <c r="P176" t="s">
        <v>21</v>
      </c>
      <c r="Q176" t="s">
        <v>20</v>
      </c>
      <c r="R176" t="str">
        <f>HYPERLINK("https://cfpub.epa.gov/ecotox/explore.cfm?ncbi=2585813","Explore in ECOTOX")</f>
        <v>Explore in ECOTOX</v>
      </c>
    </row>
    <row r="177" spans="1:18" x14ac:dyDescent="0.25">
      <c r="A177">
        <v>6</v>
      </c>
      <c r="B177" t="str">
        <f>HYPERLINK("http://www.ncbi.nlm.nih.gov/protein/XP_010182339.1","XP_010182339.1")</f>
        <v>XP_010182339.1</v>
      </c>
      <c r="C177">
        <v>29408</v>
      </c>
      <c r="D177" t="str">
        <f>HYPERLINK("http://www.ncbi.nlm.nih.gov/Taxonomy/Browser/wwwtax.cgi?mode=Info&amp;id=54374&amp;lvl=3&amp;lin=f&amp;keep=1&amp;srchmode=1&amp;unlock","54374")</f>
        <v>54374</v>
      </c>
      <c r="E177" t="s">
        <v>167</v>
      </c>
      <c r="F177" t="s">
        <v>167</v>
      </c>
      <c r="G177" t="str">
        <f>HYPERLINK("http://www.ncbi.nlm.nih.gov/Taxonomy/Browser/wwwtax.cgi?mode=Info&amp;id=54374&amp;lvl=3&amp;lin=f&amp;keep=1&amp;srchmode=1&amp;unlock","Mesitornis unicolor")</f>
        <v>Mesitornis unicolor</v>
      </c>
      <c r="H177" t="s">
        <v>197</v>
      </c>
      <c r="I177" t="str">
        <f>HYPERLINK("http://www.ncbi.nlm.nih.gov/protein/XP_010182339.1","PREDICTED: fatty acid-binding protein, liver")</f>
        <v>PREDICTED: fatty acid-binding protein, liver</v>
      </c>
      <c r="J177">
        <v>201.44</v>
      </c>
      <c r="K177" t="s">
        <v>25</v>
      </c>
      <c r="L177">
        <v>139</v>
      </c>
      <c r="M177">
        <v>50.68</v>
      </c>
      <c r="N177">
        <v>79.849999999999994</v>
      </c>
      <c r="O177" t="s">
        <v>20</v>
      </c>
      <c r="P177" t="s">
        <v>21</v>
      </c>
      <c r="Q177" t="s">
        <v>20</v>
      </c>
      <c r="R177" t="str">
        <f>HYPERLINK("https://cfpub.epa.gov/ecotox/explore.cfm?ncbi=54374","Explore in ECOTOX")</f>
        <v>Explore in ECOTOX</v>
      </c>
    </row>
    <row r="178" spans="1:18" x14ac:dyDescent="0.25">
      <c r="A178">
        <v>6</v>
      </c>
      <c r="B178" t="str">
        <f>HYPERLINK("http://www.ncbi.nlm.nih.gov/protein/XP_010145683.1","XP_010145683.1")</f>
        <v>XP_010145683.1</v>
      </c>
      <c r="C178">
        <v>27322</v>
      </c>
      <c r="D178" t="str">
        <f>HYPERLINK("http://www.ncbi.nlm.nih.gov/Taxonomy/Browser/wwwtax.cgi?mode=Info&amp;id=54383&amp;lvl=3&amp;lin=f&amp;keep=1&amp;srchmode=1&amp;unlock","54383")</f>
        <v>54383</v>
      </c>
      <c r="E178" t="s">
        <v>167</v>
      </c>
      <c r="F178" t="s">
        <v>167</v>
      </c>
      <c r="G178" t="str">
        <f>HYPERLINK("http://www.ncbi.nlm.nih.gov/Taxonomy/Browser/wwwtax.cgi?mode=Info&amp;id=54383&amp;lvl=3&amp;lin=f&amp;keep=1&amp;srchmode=1&amp;unlock","Eurypyga helias")</f>
        <v>Eurypyga helias</v>
      </c>
      <c r="H178" t="s">
        <v>198</v>
      </c>
      <c r="I178" t="str">
        <f>HYPERLINK("http://www.ncbi.nlm.nih.gov/protein/XP_010145683.1","PREDICTED: fatty acid-binding protein, liver")</f>
        <v>PREDICTED: fatty acid-binding protein, liver</v>
      </c>
      <c r="J178">
        <v>201.44</v>
      </c>
      <c r="K178" t="s">
        <v>25</v>
      </c>
      <c r="L178">
        <v>139</v>
      </c>
      <c r="M178">
        <v>50.68</v>
      </c>
      <c r="N178">
        <v>79.849999999999994</v>
      </c>
      <c r="O178" t="s">
        <v>20</v>
      </c>
      <c r="P178" t="s">
        <v>21</v>
      </c>
      <c r="Q178" t="s">
        <v>20</v>
      </c>
      <c r="R178" t="str">
        <f>HYPERLINK("https://cfpub.epa.gov/ecotox/explore.cfm?ncbi=54383","Explore in ECOTOX")</f>
        <v>Explore in ECOTOX</v>
      </c>
    </row>
    <row r="179" spans="1:18" x14ac:dyDescent="0.25">
      <c r="A179">
        <v>6</v>
      </c>
      <c r="B179" t="str">
        <f>HYPERLINK("http://www.ncbi.nlm.nih.gov/protein/NXE83675.1","NXE83675.1")</f>
        <v>NXE83675.1</v>
      </c>
      <c r="C179">
        <v>14098</v>
      </c>
      <c r="D179" t="str">
        <f>HYPERLINK("http://www.ncbi.nlm.nih.gov/Taxonomy/Browser/wwwtax.cgi?mode=Info&amp;id=110676&amp;lvl=3&amp;lin=f&amp;keep=1&amp;srchmode=1&amp;unlock","110676")</f>
        <v>110676</v>
      </c>
      <c r="E179" t="s">
        <v>167</v>
      </c>
      <c r="F179" t="s">
        <v>167</v>
      </c>
      <c r="G179" t="str">
        <f>HYPERLINK("http://www.ncbi.nlm.nih.gov/Taxonomy/Browser/wwwtax.cgi?mode=Info&amp;id=110676&amp;lvl=3&amp;lin=f&amp;keep=1&amp;srchmode=1&amp;unlock","Cochlearius cochlearius")</f>
        <v>Cochlearius cochlearius</v>
      </c>
      <c r="H179" t="s">
        <v>199</v>
      </c>
      <c r="I179" t="str">
        <f>HYPERLINK("http://www.ncbi.nlm.nih.gov/protein/NXE83675.1","FABPL protein")</f>
        <v>FABPL protein</v>
      </c>
      <c r="J179">
        <v>201.44</v>
      </c>
      <c r="K179" t="s">
        <v>20</v>
      </c>
      <c r="L179">
        <v>139</v>
      </c>
      <c r="M179">
        <v>50.68</v>
      </c>
      <c r="N179">
        <v>79.849999999999994</v>
      </c>
      <c r="O179" t="s">
        <v>20</v>
      </c>
      <c r="P179" t="s">
        <v>21</v>
      </c>
      <c r="Q179" t="s">
        <v>20</v>
      </c>
      <c r="R179" t="str">
        <f>HYPERLINK("https://cfpub.epa.gov/ecotox/explore.cfm?ncbi=110676","Explore in ECOTOX")</f>
        <v>Explore in ECOTOX</v>
      </c>
    </row>
    <row r="180" spans="1:18" x14ac:dyDescent="0.25">
      <c r="A180">
        <v>6</v>
      </c>
      <c r="B180" t="str">
        <f>HYPERLINK("http://www.ncbi.nlm.nih.gov/protein/NXG87060.1","NXG87060.1")</f>
        <v>NXG87060.1</v>
      </c>
      <c r="C180">
        <v>13947</v>
      </c>
      <c r="D180" t="str">
        <f>HYPERLINK("http://www.ncbi.nlm.nih.gov/Taxonomy/Browser/wwwtax.cgi?mode=Info&amp;id=54059&amp;lvl=3&amp;lin=f&amp;keep=1&amp;srchmode=1&amp;unlock","54059")</f>
        <v>54059</v>
      </c>
      <c r="E180" t="s">
        <v>167</v>
      </c>
      <c r="F180" t="s">
        <v>167</v>
      </c>
      <c r="G180" t="str">
        <f>HYPERLINK("http://www.ncbi.nlm.nih.gov/Taxonomy/Browser/wwwtax.cgi?mode=Info&amp;id=54059&amp;lvl=3&amp;lin=f&amp;keep=1&amp;srchmode=1&amp;unlock","Stercorarius parasiticus")</f>
        <v>Stercorarius parasiticus</v>
      </c>
      <c r="H180" t="s">
        <v>185</v>
      </c>
      <c r="I180" t="str">
        <f>HYPERLINK("http://www.ncbi.nlm.nih.gov/protein/NXG87060.1","FABPL protein")</f>
        <v>FABPL protein</v>
      </c>
      <c r="J180">
        <v>201.06</v>
      </c>
      <c r="K180" t="s">
        <v>25</v>
      </c>
      <c r="L180">
        <v>139</v>
      </c>
      <c r="M180">
        <v>50.68</v>
      </c>
      <c r="N180">
        <v>79.69</v>
      </c>
      <c r="O180" t="s">
        <v>20</v>
      </c>
      <c r="P180" t="s">
        <v>21</v>
      </c>
      <c r="Q180" t="s">
        <v>20</v>
      </c>
      <c r="R180" t="str">
        <f>HYPERLINK("https://cfpub.epa.gov/ecotox/explore.cfm?ncbi=54059","Explore in ECOTOX")</f>
        <v>Explore in ECOTOX</v>
      </c>
    </row>
    <row r="181" spans="1:18" x14ac:dyDescent="0.25">
      <c r="A181">
        <v>6</v>
      </c>
      <c r="B181" t="str">
        <f>HYPERLINK("http://www.ncbi.nlm.nih.gov/protein/NXS29537.1","NXS29537.1")</f>
        <v>NXS29537.1</v>
      </c>
      <c r="C181">
        <v>13329</v>
      </c>
      <c r="D181" t="str">
        <f>HYPERLINK("http://www.ncbi.nlm.nih.gov/Taxonomy/Browser/wwwtax.cgi?mode=Info&amp;id=9176&amp;lvl=3&amp;lin=f&amp;keep=1&amp;srchmode=1&amp;unlock","9176")</f>
        <v>9176</v>
      </c>
      <c r="E181" t="s">
        <v>167</v>
      </c>
      <c r="F181" t="s">
        <v>167</v>
      </c>
      <c r="G181" t="str">
        <f>HYPERLINK("http://www.ncbi.nlm.nih.gov/Taxonomy/Browser/wwwtax.cgi?mode=Info&amp;id=9176&amp;lvl=3&amp;lin=f&amp;keep=1&amp;srchmode=1&amp;unlock","Pomatostomus ruficeps")</f>
        <v>Pomatostomus ruficeps</v>
      </c>
      <c r="H181" t="s">
        <v>200</v>
      </c>
      <c r="I181" t="str">
        <f>HYPERLINK("http://www.ncbi.nlm.nih.gov/protein/NXS29537.1","FABPL protein")</f>
        <v>FABPL protein</v>
      </c>
      <c r="J181">
        <v>201.06</v>
      </c>
      <c r="K181" t="s">
        <v>25</v>
      </c>
      <c r="L181">
        <v>139</v>
      </c>
      <c r="M181">
        <v>50.68</v>
      </c>
      <c r="N181">
        <v>79.69</v>
      </c>
      <c r="O181" t="s">
        <v>20</v>
      </c>
      <c r="P181" t="s">
        <v>21</v>
      </c>
      <c r="Q181" t="s">
        <v>20</v>
      </c>
      <c r="R181" t="str">
        <f>HYPERLINK("https://cfpub.epa.gov/ecotox/explore.cfm?ncbi=9176","Explore in ECOTOX")</f>
        <v>Explore in ECOTOX</v>
      </c>
    </row>
    <row r="182" spans="1:18" x14ac:dyDescent="0.25">
      <c r="A182">
        <v>6</v>
      </c>
      <c r="B182" t="str">
        <f>HYPERLINK("http://www.ncbi.nlm.nih.gov/protein/XP_014791491.1","XP_014791491.1")</f>
        <v>XP_014791491.1</v>
      </c>
      <c r="C182">
        <v>30960</v>
      </c>
      <c r="D182" t="str">
        <f>HYPERLINK("http://www.ncbi.nlm.nih.gov/Taxonomy/Browser/wwwtax.cgi?mode=Info&amp;id=198806&amp;lvl=3&amp;lin=f&amp;keep=1&amp;srchmode=1&amp;unlock","198806")</f>
        <v>198806</v>
      </c>
      <c r="E182" t="s">
        <v>167</v>
      </c>
      <c r="F182" t="s">
        <v>167</v>
      </c>
      <c r="G182" t="str">
        <f>HYPERLINK("http://www.ncbi.nlm.nih.gov/Taxonomy/Browser/wwwtax.cgi?mode=Info&amp;id=198806&amp;lvl=3&amp;lin=f&amp;keep=1&amp;srchmode=1&amp;unlock","Calidris pugnax")</f>
        <v>Calidris pugnax</v>
      </c>
      <c r="H182" t="s">
        <v>201</v>
      </c>
      <c r="I182" t="str">
        <f>HYPERLINK("http://www.ncbi.nlm.nih.gov/protein/XP_014791491.1","PREDICTED: fatty acid-binding protein, liver")</f>
        <v>PREDICTED: fatty acid-binding protein, liver</v>
      </c>
      <c r="J182">
        <v>201.06</v>
      </c>
      <c r="K182" t="s">
        <v>25</v>
      </c>
      <c r="L182">
        <v>139</v>
      </c>
      <c r="M182">
        <v>50.68</v>
      </c>
      <c r="N182">
        <v>79.69</v>
      </c>
      <c r="O182" t="s">
        <v>20</v>
      </c>
      <c r="P182" t="s">
        <v>21</v>
      </c>
      <c r="Q182" t="s">
        <v>20</v>
      </c>
      <c r="R182" t="str">
        <f>HYPERLINK("https://cfpub.epa.gov/ecotox/explore.cfm?ncbi=198806","Explore in ECOTOX")</f>
        <v>Explore in ECOTOX</v>
      </c>
    </row>
    <row r="183" spans="1:18" x14ac:dyDescent="0.25">
      <c r="A183">
        <v>6</v>
      </c>
      <c r="B183" t="str">
        <f>HYPERLINK("http://www.ncbi.nlm.nih.gov/protein/NWX76966.1","NWX76966.1")</f>
        <v>NWX76966.1</v>
      </c>
      <c r="C183">
        <v>14034</v>
      </c>
      <c r="D183" t="str">
        <f>HYPERLINK("http://www.ncbi.nlm.nih.gov/Taxonomy/Browser/wwwtax.cgi?mode=Info&amp;id=28689&amp;lvl=3&amp;lin=f&amp;keep=1&amp;srchmode=1&amp;unlock","28689")</f>
        <v>28689</v>
      </c>
      <c r="E183" t="s">
        <v>167</v>
      </c>
      <c r="F183" t="s">
        <v>167</v>
      </c>
      <c r="G183" t="str">
        <f>HYPERLINK("http://www.ncbi.nlm.nih.gov/Taxonomy/Browser/wwwtax.cgi?mode=Info&amp;id=28689&amp;lvl=3&amp;lin=f&amp;keep=1&amp;srchmode=1&amp;unlock","Alca torda")</f>
        <v>Alca torda</v>
      </c>
      <c r="H183" t="s">
        <v>202</v>
      </c>
      <c r="I183" t="str">
        <f>HYPERLINK("http://www.ncbi.nlm.nih.gov/protein/NWX76966.1","FABPL protein")</f>
        <v>FABPL protein</v>
      </c>
      <c r="J183">
        <v>201.06</v>
      </c>
      <c r="K183" t="s">
        <v>20</v>
      </c>
      <c r="L183">
        <v>139</v>
      </c>
      <c r="M183">
        <v>50.68</v>
      </c>
      <c r="N183">
        <v>79.69</v>
      </c>
      <c r="O183" t="s">
        <v>20</v>
      </c>
      <c r="P183" t="s">
        <v>21</v>
      </c>
      <c r="Q183" t="s">
        <v>20</v>
      </c>
      <c r="R183" t="str">
        <f>HYPERLINK("https://cfpub.epa.gov/ecotox/explore.cfm?ncbi=28689","Explore in ECOTOX")</f>
        <v>Explore in ECOTOX</v>
      </c>
    </row>
    <row r="184" spans="1:18" x14ac:dyDescent="0.25">
      <c r="A184">
        <v>6</v>
      </c>
      <c r="B184" t="str">
        <f>HYPERLINK("http://www.ncbi.nlm.nih.gov/protein/NXV42444.1","NXV42444.1")</f>
        <v>NXV42444.1</v>
      </c>
      <c r="C184">
        <v>14270</v>
      </c>
      <c r="D184" t="str">
        <f>HYPERLINK("http://www.ncbi.nlm.nih.gov/Taxonomy/Browser/wwwtax.cgi?mode=Info&amp;id=13746&amp;lvl=3&amp;lin=f&amp;keep=1&amp;srchmode=1&amp;unlock","13746")</f>
        <v>13746</v>
      </c>
      <c r="E184" t="s">
        <v>167</v>
      </c>
      <c r="F184" t="s">
        <v>167</v>
      </c>
      <c r="G184" t="str">
        <f>HYPERLINK("http://www.ncbi.nlm.nih.gov/Taxonomy/Browser/wwwtax.cgi?mode=Info&amp;id=13746&amp;lvl=3&amp;lin=f&amp;keep=1&amp;srchmode=1&amp;unlock","Uria aalge")</f>
        <v>Uria aalge</v>
      </c>
      <c r="H184" t="s">
        <v>203</v>
      </c>
      <c r="I184" t="str">
        <f>HYPERLINK("http://www.ncbi.nlm.nih.gov/protein/NXV42444.1","FABPL protein")</f>
        <v>FABPL protein</v>
      </c>
      <c r="J184">
        <v>201.06</v>
      </c>
      <c r="K184" t="s">
        <v>20</v>
      </c>
      <c r="L184">
        <v>139</v>
      </c>
      <c r="M184">
        <v>50.68</v>
      </c>
      <c r="N184">
        <v>79.69</v>
      </c>
      <c r="O184" t="s">
        <v>20</v>
      </c>
      <c r="P184" t="s">
        <v>21</v>
      </c>
      <c r="Q184" t="s">
        <v>20</v>
      </c>
      <c r="R184" t="str">
        <f>HYPERLINK("https://cfpub.epa.gov/ecotox/explore.cfm?ncbi=13746","Explore in ECOTOX")</f>
        <v>Explore in ECOTOX</v>
      </c>
    </row>
    <row r="185" spans="1:18" x14ac:dyDescent="0.25">
      <c r="A185">
        <v>6</v>
      </c>
      <c r="B185" t="str">
        <f>HYPERLINK("http://www.ncbi.nlm.nih.gov/protein/KFQ76585.1","KFQ76585.1")</f>
        <v>KFQ76585.1</v>
      </c>
      <c r="C185">
        <v>12119</v>
      </c>
      <c r="D185" t="str">
        <f>HYPERLINK("http://www.ncbi.nlm.nih.gov/Taxonomy/Browser/wwwtax.cgi?mode=Info&amp;id=9218&amp;lvl=3&amp;lin=f&amp;keep=1&amp;srchmode=1&amp;unlock","9218")</f>
        <v>9218</v>
      </c>
      <c r="E185" t="s">
        <v>167</v>
      </c>
      <c r="F185" t="s">
        <v>167</v>
      </c>
      <c r="G185" t="str">
        <f>HYPERLINK("http://www.ncbi.nlm.nih.gov/Taxonomy/Browser/wwwtax.cgi?mode=Info&amp;id=9218&amp;lvl=3&amp;lin=f&amp;keep=1&amp;srchmode=1&amp;unlock","Phoenicopterus ruber ruber")</f>
        <v>Phoenicopterus ruber ruber</v>
      </c>
      <c r="H185" t="s">
        <v>204</v>
      </c>
      <c r="I185" t="str">
        <f>HYPERLINK("http://www.ncbi.nlm.nih.gov/protein/KFQ76585.1","Fatty acid-binding protein, liver")</f>
        <v>Fatty acid-binding protein, liver</v>
      </c>
      <c r="J185">
        <v>201.06</v>
      </c>
      <c r="K185" t="s">
        <v>25</v>
      </c>
      <c r="L185">
        <v>139</v>
      </c>
      <c r="M185">
        <v>50.68</v>
      </c>
      <c r="N185">
        <v>79.69</v>
      </c>
      <c r="O185" t="s">
        <v>20</v>
      </c>
      <c r="P185" t="s">
        <v>21</v>
      </c>
      <c r="Q185" t="s">
        <v>20</v>
      </c>
      <c r="R185" t="str">
        <f>HYPERLINK("https://cfpub.epa.gov/ecotox/explore.cfm?ncbi=9218","Explore in ECOTOX")</f>
        <v>Explore in ECOTOX</v>
      </c>
    </row>
    <row r="186" spans="1:18" x14ac:dyDescent="0.25">
      <c r="A186">
        <v>6</v>
      </c>
      <c r="B186" t="str">
        <f>HYPERLINK("http://www.ncbi.nlm.nih.gov/protein/NXT53195.1","NXT53195.1")</f>
        <v>NXT53195.1</v>
      </c>
      <c r="C186">
        <v>14341</v>
      </c>
      <c r="D186" t="str">
        <f>HYPERLINK("http://www.ncbi.nlm.nih.gov/Taxonomy/Browser/wwwtax.cgi?mode=Info&amp;id=227228&amp;lvl=3&amp;lin=f&amp;keep=1&amp;srchmode=1&amp;unlock","227228")</f>
        <v>227228</v>
      </c>
      <c r="E186" t="s">
        <v>167</v>
      </c>
      <c r="F186" t="s">
        <v>167</v>
      </c>
      <c r="G186" t="str">
        <f>HYPERLINK("http://www.ncbi.nlm.nih.gov/Taxonomy/Browser/wwwtax.cgi?mode=Info&amp;id=227228&amp;lvl=3&amp;lin=f&amp;keep=1&amp;srchmode=1&amp;unlock","Pluvianellus socialis")</f>
        <v>Pluvianellus socialis</v>
      </c>
      <c r="H186" t="s">
        <v>205</v>
      </c>
      <c r="I186" t="str">
        <f>HYPERLINK("http://www.ncbi.nlm.nih.gov/protein/NXT53195.1","FABPL protein")</f>
        <v>FABPL protein</v>
      </c>
      <c r="J186">
        <v>201.06</v>
      </c>
      <c r="K186" t="s">
        <v>25</v>
      </c>
      <c r="L186">
        <v>139</v>
      </c>
      <c r="M186">
        <v>50.68</v>
      </c>
      <c r="N186">
        <v>79.69</v>
      </c>
      <c r="O186" t="s">
        <v>20</v>
      </c>
      <c r="P186" t="s">
        <v>21</v>
      </c>
      <c r="Q186" t="s">
        <v>20</v>
      </c>
      <c r="R186" t="str">
        <f>HYPERLINK("https://cfpub.epa.gov/ecotox/explore.cfm?ncbi=227228","Explore in ECOTOX")</f>
        <v>Explore in ECOTOX</v>
      </c>
    </row>
    <row r="187" spans="1:18" x14ac:dyDescent="0.25">
      <c r="A187">
        <v>6</v>
      </c>
      <c r="B187" t="str">
        <f>HYPERLINK("http://www.ncbi.nlm.nih.gov/protein/NXF03300.1","NXF03300.1")</f>
        <v>NXF03300.1</v>
      </c>
      <c r="C187">
        <v>13858</v>
      </c>
      <c r="D187" t="str">
        <f>HYPERLINK("http://www.ncbi.nlm.nih.gov/Taxonomy/Browser/wwwtax.cgi?mode=Info&amp;id=363769&amp;lvl=3&amp;lin=f&amp;keep=1&amp;srchmode=1&amp;unlock","363769")</f>
        <v>363769</v>
      </c>
      <c r="E187" t="s">
        <v>167</v>
      </c>
      <c r="F187" t="s">
        <v>167</v>
      </c>
      <c r="G187" t="str">
        <f>HYPERLINK("http://www.ncbi.nlm.nih.gov/Taxonomy/Browser/wwwtax.cgi?mode=Info&amp;id=363769&amp;lvl=3&amp;lin=f&amp;keep=1&amp;srchmode=1&amp;unlock","Smithornis capensis")</f>
        <v>Smithornis capensis</v>
      </c>
      <c r="H187" t="s">
        <v>206</v>
      </c>
      <c r="I187" t="str">
        <f>HYPERLINK("http://www.ncbi.nlm.nih.gov/protein/NXF03300.1","FABPL protein")</f>
        <v>FABPL protein</v>
      </c>
      <c r="J187">
        <v>201.06</v>
      </c>
      <c r="K187" t="s">
        <v>25</v>
      </c>
      <c r="L187">
        <v>139</v>
      </c>
      <c r="M187">
        <v>50.68</v>
      </c>
      <c r="N187">
        <v>79.69</v>
      </c>
      <c r="O187" t="s">
        <v>20</v>
      </c>
      <c r="P187" t="s">
        <v>21</v>
      </c>
      <c r="Q187" t="s">
        <v>20</v>
      </c>
      <c r="R187" t="str">
        <f>HYPERLINK("https://cfpub.epa.gov/ecotox/explore.cfm?ncbi=363769","Explore in ECOTOX")</f>
        <v>Explore in ECOTOX</v>
      </c>
    </row>
    <row r="188" spans="1:18" x14ac:dyDescent="0.25">
      <c r="A188">
        <v>6</v>
      </c>
      <c r="B188" t="str">
        <f>HYPERLINK("http://www.ncbi.nlm.nih.gov/protein/KFP50005.1","KFP50005.1")</f>
        <v>KFP50005.1</v>
      </c>
      <c r="C188">
        <v>11460</v>
      </c>
      <c r="D188" t="str">
        <f>HYPERLINK("http://www.ncbi.nlm.nih.gov/Taxonomy/Browser/wwwtax.cgi?mode=Info&amp;id=43455&amp;lvl=3&amp;lin=f&amp;keep=1&amp;srchmode=1&amp;unlock","43455")</f>
        <v>43455</v>
      </c>
      <c r="E188" t="s">
        <v>167</v>
      </c>
      <c r="F188" t="s">
        <v>167</v>
      </c>
      <c r="G188" t="str">
        <f>HYPERLINK("http://www.ncbi.nlm.nih.gov/Taxonomy/Browser/wwwtax.cgi?mode=Info&amp;id=43455&amp;lvl=3&amp;lin=f&amp;keep=1&amp;srchmode=1&amp;unlock","Cathartes aura")</f>
        <v>Cathartes aura</v>
      </c>
      <c r="H188" t="s">
        <v>207</v>
      </c>
      <c r="I188" t="str">
        <f>HYPERLINK("http://www.ncbi.nlm.nih.gov/protein/KFP50005.1","Fatty acid-binding protein, liver")</f>
        <v>Fatty acid-binding protein, liver</v>
      </c>
      <c r="J188">
        <v>201.06</v>
      </c>
      <c r="K188" t="s">
        <v>20</v>
      </c>
      <c r="L188">
        <v>139</v>
      </c>
      <c r="M188">
        <v>50.68</v>
      </c>
      <c r="N188">
        <v>79.69</v>
      </c>
      <c r="O188" t="s">
        <v>20</v>
      </c>
      <c r="P188" t="s">
        <v>21</v>
      </c>
      <c r="Q188" t="s">
        <v>20</v>
      </c>
      <c r="R188" t="str">
        <f>HYPERLINK("https://cfpub.epa.gov/ecotox/explore.cfm?ncbi=43455","Explore in ECOTOX")</f>
        <v>Explore in ECOTOX</v>
      </c>
    </row>
    <row r="189" spans="1:18" x14ac:dyDescent="0.25">
      <c r="A189">
        <v>6</v>
      </c>
      <c r="B189" t="str">
        <f>HYPERLINK("http://www.ncbi.nlm.nih.gov/protein/NXT75841.1","NXT75841.1")</f>
        <v>NXT75841.1</v>
      </c>
      <c r="C189">
        <v>13359</v>
      </c>
      <c r="D189" t="str">
        <f>HYPERLINK("http://www.ncbi.nlm.nih.gov/Taxonomy/Browser/wwwtax.cgi?mode=Info&amp;id=2585822&amp;lvl=3&amp;lin=f&amp;keep=1&amp;srchmode=1&amp;unlock","2585822")</f>
        <v>2585822</v>
      </c>
      <c r="E189" t="s">
        <v>167</v>
      </c>
      <c r="F189" t="s">
        <v>167</v>
      </c>
      <c r="G189" t="str">
        <f>HYPERLINK("http://www.ncbi.nlm.nih.gov/Taxonomy/Browser/wwwtax.cgi?mode=Info&amp;id=2585822&amp;lvl=3&amp;lin=f&amp;keep=1&amp;srchmode=1&amp;unlock","Zapornia atra")</f>
        <v>Zapornia atra</v>
      </c>
      <c r="H189" t="s">
        <v>208</v>
      </c>
      <c r="I189" t="str">
        <f>HYPERLINK("http://www.ncbi.nlm.nih.gov/protein/NXT75841.1","FABPL protein")</f>
        <v>FABPL protein</v>
      </c>
      <c r="J189">
        <v>200.68</v>
      </c>
      <c r="K189" t="s">
        <v>25</v>
      </c>
      <c r="L189">
        <v>139</v>
      </c>
      <c r="M189">
        <v>50.68</v>
      </c>
      <c r="N189">
        <v>79.540000000000006</v>
      </c>
      <c r="O189" t="s">
        <v>20</v>
      </c>
      <c r="P189" t="s">
        <v>21</v>
      </c>
      <c r="Q189" t="s">
        <v>20</v>
      </c>
      <c r="R189" t="str">
        <f>HYPERLINK("https://cfpub.epa.gov/ecotox/explore.cfm?ncbi=2585822","Explore in ECOTOX")</f>
        <v>Explore in ECOTOX</v>
      </c>
    </row>
    <row r="190" spans="1:18" x14ac:dyDescent="0.25">
      <c r="A190">
        <v>6</v>
      </c>
      <c r="B190" t="str">
        <f>HYPERLINK("http://www.ncbi.nlm.nih.gov/protein/XP_013798637.1","XP_013798637.1")</f>
        <v>XP_013798637.1</v>
      </c>
      <c r="C190">
        <v>22840</v>
      </c>
      <c r="D190" t="str">
        <f>HYPERLINK("http://www.ncbi.nlm.nih.gov/Taxonomy/Browser/wwwtax.cgi?mode=Info&amp;id=202946&amp;lvl=3&amp;lin=f&amp;keep=1&amp;srchmode=1&amp;unlock","202946")</f>
        <v>202946</v>
      </c>
      <c r="E190" t="s">
        <v>167</v>
      </c>
      <c r="F190" t="s">
        <v>167</v>
      </c>
      <c r="G190" t="str">
        <f>HYPERLINK("http://www.ncbi.nlm.nih.gov/Taxonomy/Browser/wwwtax.cgi?mode=Info&amp;id=202946&amp;lvl=3&amp;lin=f&amp;keep=1&amp;srchmode=1&amp;unlock","Apteryx mantelli mantelli")</f>
        <v>Apteryx mantelli mantelli</v>
      </c>
      <c r="H190" t="s">
        <v>209</v>
      </c>
      <c r="I190" t="str">
        <f>HYPERLINK("http://www.ncbi.nlm.nih.gov/protein/XP_013798637.1","PREDICTED: fatty acid-binding protein, liver")</f>
        <v>PREDICTED: fatty acid-binding protein, liver</v>
      </c>
      <c r="J190">
        <v>200.68</v>
      </c>
      <c r="K190" t="s">
        <v>25</v>
      </c>
      <c r="L190">
        <v>139</v>
      </c>
      <c r="M190">
        <v>50.68</v>
      </c>
      <c r="N190">
        <v>79.540000000000006</v>
      </c>
      <c r="O190" t="s">
        <v>20</v>
      </c>
      <c r="P190" t="s">
        <v>21</v>
      </c>
      <c r="Q190" t="s">
        <v>20</v>
      </c>
      <c r="R190" t="str">
        <f>HYPERLINK("https://cfpub.epa.gov/ecotox/explore.cfm?ncbi=202946","Explore in ECOTOX")</f>
        <v>Explore in ECOTOX</v>
      </c>
    </row>
    <row r="191" spans="1:18" x14ac:dyDescent="0.25">
      <c r="A191">
        <v>6</v>
      </c>
      <c r="B191" t="str">
        <f>HYPERLINK("http://www.ncbi.nlm.nih.gov/protein/NWT35879.1","NWT35879.1")</f>
        <v>NWT35879.1</v>
      </c>
      <c r="C191">
        <v>13971</v>
      </c>
      <c r="D191" t="str">
        <f>HYPERLINK("http://www.ncbi.nlm.nih.gov/Taxonomy/Browser/wwwtax.cgi?mode=Info&amp;id=287016&amp;lvl=3&amp;lin=f&amp;keep=1&amp;srchmode=1&amp;unlock","287016")</f>
        <v>287016</v>
      </c>
      <c r="E191" t="s">
        <v>167</v>
      </c>
      <c r="F191" t="s">
        <v>167</v>
      </c>
      <c r="G191" t="str">
        <f>HYPERLINK("http://www.ncbi.nlm.nih.gov/Taxonomy/Browser/wwwtax.cgi?mode=Info&amp;id=287016&amp;lvl=3&amp;lin=f&amp;keep=1&amp;srchmode=1&amp;unlock","Chroicocephalus maculipennis")</f>
        <v>Chroicocephalus maculipennis</v>
      </c>
      <c r="H191" t="s">
        <v>210</v>
      </c>
      <c r="I191" t="str">
        <f>HYPERLINK("http://www.ncbi.nlm.nih.gov/protein/NWT35879.1","FABPL protein")</f>
        <v>FABPL protein</v>
      </c>
      <c r="J191">
        <v>200.68</v>
      </c>
      <c r="K191" t="s">
        <v>25</v>
      </c>
      <c r="L191">
        <v>139</v>
      </c>
      <c r="M191">
        <v>50.68</v>
      </c>
      <c r="N191">
        <v>79.540000000000006</v>
      </c>
      <c r="O191" t="s">
        <v>20</v>
      </c>
      <c r="P191" t="s">
        <v>21</v>
      </c>
      <c r="Q191" t="s">
        <v>20</v>
      </c>
      <c r="R191" t="str">
        <f>HYPERLINK("https://cfpub.epa.gov/ecotox/explore.cfm?ncbi=287016","Explore in ECOTOX")</f>
        <v>Explore in ECOTOX</v>
      </c>
    </row>
    <row r="192" spans="1:18" x14ac:dyDescent="0.25">
      <c r="A192">
        <v>6</v>
      </c>
      <c r="B192" t="str">
        <f>HYPERLINK("http://www.ncbi.nlm.nih.gov/protein/XP_009330145.1","XP_009330145.1")</f>
        <v>XP_009330145.1</v>
      </c>
      <c r="C192">
        <v>29751</v>
      </c>
      <c r="D192" t="str">
        <f>HYPERLINK("http://www.ncbi.nlm.nih.gov/Taxonomy/Browser/wwwtax.cgi?mode=Info&amp;id=9238&amp;lvl=3&amp;lin=f&amp;keep=1&amp;srchmode=1&amp;unlock","9238")</f>
        <v>9238</v>
      </c>
      <c r="E192" t="s">
        <v>167</v>
      </c>
      <c r="F192" t="s">
        <v>167</v>
      </c>
      <c r="G192" t="str">
        <f>HYPERLINK("http://www.ncbi.nlm.nih.gov/Taxonomy/Browser/wwwtax.cgi?mode=Info&amp;id=9238&amp;lvl=3&amp;lin=f&amp;keep=1&amp;srchmode=1&amp;unlock","Pygoscelis adeliae")</f>
        <v>Pygoscelis adeliae</v>
      </c>
      <c r="H192" t="s">
        <v>211</v>
      </c>
      <c r="I192" t="str">
        <f>HYPERLINK("http://www.ncbi.nlm.nih.gov/protein/XP_009330145.1","PREDICTED: fatty acid-binding protein, liver")</f>
        <v>PREDICTED: fatty acid-binding protein, liver</v>
      </c>
      <c r="J192">
        <v>200.68</v>
      </c>
      <c r="K192" t="s">
        <v>25</v>
      </c>
      <c r="L192">
        <v>139</v>
      </c>
      <c r="M192">
        <v>50.68</v>
      </c>
      <c r="N192">
        <v>79.540000000000006</v>
      </c>
      <c r="O192" t="s">
        <v>20</v>
      </c>
      <c r="P192" t="s">
        <v>21</v>
      </c>
      <c r="Q192" t="s">
        <v>20</v>
      </c>
      <c r="R192" t="str">
        <f>HYPERLINK("https://cfpub.epa.gov/ecotox/explore.cfm?ncbi=9238","Explore in ECOTOX")</f>
        <v>Explore in ECOTOX</v>
      </c>
    </row>
    <row r="193" spans="1:18" x14ac:dyDescent="0.25">
      <c r="A193">
        <v>6</v>
      </c>
      <c r="B193" t="str">
        <f>HYPERLINK("http://www.ncbi.nlm.nih.gov/protein/NXN52705.1","NXN52705.1")</f>
        <v>NXN52705.1</v>
      </c>
      <c r="C193">
        <v>14353</v>
      </c>
      <c r="D193" t="str">
        <f>HYPERLINK("http://www.ncbi.nlm.nih.gov/Taxonomy/Browser/wwwtax.cgi?mode=Info&amp;id=227184&amp;lvl=3&amp;lin=f&amp;keep=1&amp;srchmode=1&amp;unlock","227184")</f>
        <v>227184</v>
      </c>
      <c r="E193" t="s">
        <v>167</v>
      </c>
      <c r="F193" t="s">
        <v>167</v>
      </c>
      <c r="G193" t="str">
        <f>HYPERLINK("http://www.ncbi.nlm.nih.gov/Taxonomy/Browser/wwwtax.cgi?mode=Info&amp;id=227184&amp;lvl=3&amp;lin=f&amp;keep=1&amp;srchmode=1&amp;unlock","Rynchops niger")</f>
        <v>Rynchops niger</v>
      </c>
      <c r="H193" t="s">
        <v>212</v>
      </c>
      <c r="I193" t="str">
        <f>HYPERLINK("http://www.ncbi.nlm.nih.gov/protein/NXN52705.1","FABPL protein")</f>
        <v>FABPL protein</v>
      </c>
      <c r="J193">
        <v>200.68</v>
      </c>
      <c r="K193" t="s">
        <v>25</v>
      </c>
      <c r="L193">
        <v>139</v>
      </c>
      <c r="M193">
        <v>50.68</v>
      </c>
      <c r="N193">
        <v>79.540000000000006</v>
      </c>
      <c r="O193" t="s">
        <v>20</v>
      </c>
      <c r="P193" t="s">
        <v>21</v>
      </c>
      <c r="Q193" t="s">
        <v>20</v>
      </c>
      <c r="R193" t="str">
        <f>HYPERLINK("https://cfpub.epa.gov/ecotox/explore.cfm?ncbi=227184","Explore in ECOTOX")</f>
        <v>Explore in ECOTOX</v>
      </c>
    </row>
    <row r="194" spans="1:18" x14ac:dyDescent="0.25">
      <c r="A194">
        <v>6</v>
      </c>
      <c r="B194" t="str">
        <f>HYPERLINK("http://www.ncbi.nlm.nih.gov/protein/NWH52221.1","NWH52221.1")</f>
        <v>NWH52221.1</v>
      </c>
      <c r="C194">
        <v>13301</v>
      </c>
      <c r="D194" t="str">
        <f>HYPERLINK("http://www.ncbi.nlm.nih.gov/Taxonomy/Browser/wwwtax.cgi?mode=Info&amp;id=37042&amp;lvl=3&amp;lin=f&amp;keep=1&amp;srchmode=1&amp;unlock","37042")</f>
        <v>37042</v>
      </c>
      <c r="E194" t="s">
        <v>167</v>
      </c>
      <c r="F194" t="s">
        <v>167</v>
      </c>
      <c r="G194" t="str">
        <f>HYPERLINK("http://www.ncbi.nlm.nih.gov/Taxonomy/Browser/wwwtax.cgi?mode=Info&amp;id=37042&amp;lvl=3&amp;lin=f&amp;keep=1&amp;srchmode=1&amp;unlock","Fregata magnificens")</f>
        <v>Fregata magnificens</v>
      </c>
      <c r="H194" t="s">
        <v>213</v>
      </c>
      <c r="I194" t="str">
        <f>HYPERLINK("http://www.ncbi.nlm.nih.gov/protein/NWH52221.1","FABPL protein")</f>
        <v>FABPL protein</v>
      </c>
      <c r="J194">
        <v>200.68</v>
      </c>
      <c r="K194" t="s">
        <v>25</v>
      </c>
      <c r="L194">
        <v>139</v>
      </c>
      <c r="M194">
        <v>50.68</v>
      </c>
      <c r="N194">
        <v>79.540000000000006</v>
      </c>
      <c r="O194" t="s">
        <v>20</v>
      </c>
      <c r="P194" t="s">
        <v>21</v>
      </c>
      <c r="Q194" t="s">
        <v>20</v>
      </c>
      <c r="R194" t="str">
        <f>HYPERLINK("https://cfpub.epa.gov/ecotox/explore.cfm?ncbi=37042","Explore in ECOTOX")</f>
        <v>Explore in ECOTOX</v>
      </c>
    </row>
    <row r="195" spans="1:18" x14ac:dyDescent="0.25">
      <c r="A195">
        <v>6</v>
      </c>
      <c r="B195" t="str">
        <f>HYPERLINK("http://www.ncbi.nlm.nih.gov/protein/XP_025920457.1","XP_025920457.1")</f>
        <v>XP_025920457.1</v>
      </c>
      <c r="C195">
        <v>37692</v>
      </c>
      <c r="D195" t="str">
        <f>HYPERLINK("http://www.ncbi.nlm.nih.gov/Taxonomy/Browser/wwwtax.cgi?mode=Info&amp;id=308060&amp;lvl=3&amp;lin=f&amp;keep=1&amp;srchmode=1&amp;unlock","308060")</f>
        <v>308060</v>
      </c>
      <c r="E195" t="s">
        <v>167</v>
      </c>
      <c r="F195" t="s">
        <v>167</v>
      </c>
      <c r="G195" t="str">
        <f>HYPERLINK("http://www.ncbi.nlm.nih.gov/Taxonomy/Browser/wwwtax.cgi?mode=Info&amp;id=308060&amp;lvl=3&amp;lin=f&amp;keep=1&amp;srchmode=1&amp;unlock","Apteryx rowi")</f>
        <v>Apteryx rowi</v>
      </c>
      <c r="H195" t="s">
        <v>214</v>
      </c>
      <c r="I195" t="str">
        <f>HYPERLINK("http://www.ncbi.nlm.nih.gov/protein/XP_025920457.1","fatty acid-binding protein, liver")</f>
        <v>fatty acid-binding protein, liver</v>
      </c>
      <c r="J195">
        <v>200.68</v>
      </c>
      <c r="K195" t="s">
        <v>25</v>
      </c>
      <c r="L195">
        <v>139</v>
      </c>
      <c r="M195">
        <v>50.68</v>
      </c>
      <c r="N195">
        <v>79.540000000000006</v>
      </c>
      <c r="O195" t="s">
        <v>20</v>
      </c>
      <c r="P195" t="s">
        <v>21</v>
      </c>
      <c r="Q195" t="s">
        <v>20</v>
      </c>
      <c r="R195" t="str">
        <f>HYPERLINK("https://cfpub.epa.gov/ecotox/explore.cfm?ncbi=308060","Explore in ECOTOX")</f>
        <v>Explore in ECOTOX</v>
      </c>
    </row>
    <row r="196" spans="1:18" x14ac:dyDescent="0.25">
      <c r="A196">
        <v>6</v>
      </c>
      <c r="B196" t="str">
        <f>HYPERLINK("http://www.ncbi.nlm.nih.gov/protein/NXB99672.1","NXB99672.1")</f>
        <v>NXB99672.1</v>
      </c>
      <c r="C196">
        <v>14308</v>
      </c>
      <c r="D196" t="str">
        <f>HYPERLINK("http://www.ncbi.nlm.nih.gov/Taxonomy/Browser/wwwtax.cgi?mode=Info&amp;id=38397&amp;lvl=3&amp;lin=f&amp;keep=1&amp;srchmode=1&amp;unlock","38397")</f>
        <v>38397</v>
      </c>
      <c r="E196" t="s">
        <v>167</v>
      </c>
      <c r="F196" t="s">
        <v>167</v>
      </c>
      <c r="G196" t="str">
        <f>HYPERLINK("http://www.ncbi.nlm.nih.gov/Taxonomy/Browser/wwwtax.cgi?mode=Info&amp;id=38397&amp;lvl=3&amp;lin=f&amp;keep=1&amp;srchmode=1&amp;unlock","Orthonyx spaldingii")</f>
        <v>Orthonyx spaldingii</v>
      </c>
      <c r="H196" t="s">
        <v>215</v>
      </c>
      <c r="I196" t="str">
        <f>HYPERLINK("http://www.ncbi.nlm.nih.gov/protein/NXB99672.1","FABPL protein")</f>
        <v>FABPL protein</v>
      </c>
      <c r="J196">
        <v>200.68</v>
      </c>
      <c r="K196" t="s">
        <v>25</v>
      </c>
      <c r="L196">
        <v>139</v>
      </c>
      <c r="M196">
        <v>50.68</v>
      </c>
      <c r="N196">
        <v>79.540000000000006</v>
      </c>
      <c r="O196" t="s">
        <v>20</v>
      </c>
      <c r="P196" t="s">
        <v>21</v>
      </c>
      <c r="Q196" t="s">
        <v>20</v>
      </c>
      <c r="R196" t="str">
        <f>HYPERLINK("https://cfpub.epa.gov/ecotox/explore.cfm?ncbi=38397","Explore in ECOTOX")</f>
        <v>Explore in ECOTOX</v>
      </c>
    </row>
    <row r="197" spans="1:18" x14ac:dyDescent="0.25">
      <c r="A197">
        <v>6</v>
      </c>
      <c r="B197" t="str">
        <f>HYPERLINK("http://www.ncbi.nlm.nih.gov/protein/NXV76974.1","NXV76974.1")</f>
        <v>NXV76974.1</v>
      </c>
      <c r="C197">
        <v>13752</v>
      </c>
      <c r="D197" t="str">
        <f>HYPERLINK("http://www.ncbi.nlm.nih.gov/Taxonomy/Browser/wwwtax.cgi?mode=Info&amp;id=2478892&amp;lvl=3&amp;lin=f&amp;keep=1&amp;srchmode=1&amp;unlock","2478892")</f>
        <v>2478892</v>
      </c>
      <c r="E197" t="s">
        <v>167</v>
      </c>
      <c r="F197" t="s">
        <v>167</v>
      </c>
      <c r="G197" t="str">
        <f>HYPERLINK("http://www.ncbi.nlm.nih.gov/Taxonomy/Browser/wwwtax.cgi?mode=Info&amp;id=2478892&amp;lvl=3&amp;lin=f&amp;keep=1&amp;srchmode=1&amp;unlock","Atlantisia rogersi")</f>
        <v>Atlantisia rogersi</v>
      </c>
      <c r="H197" t="s">
        <v>216</v>
      </c>
      <c r="I197" t="str">
        <f>HYPERLINK("http://www.ncbi.nlm.nih.gov/protein/NXV76974.1","FABPL protein")</f>
        <v>FABPL protein</v>
      </c>
      <c r="J197">
        <v>200.68</v>
      </c>
      <c r="K197" t="s">
        <v>25</v>
      </c>
      <c r="L197">
        <v>139</v>
      </c>
      <c r="M197">
        <v>50.68</v>
      </c>
      <c r="N197">
        <v>79.540000000000006</v>
      </c>
      <c r="O197" t="s">
        <v>20</v>
      </c>
      <c r="P197" t="s">
        <v>21</v>
      </c>
      <c r="Q197" t="s">
        <v>20</v>
      </c>
      <c r="R197" t="str">
        <f>HYPERLINK("https://cfpub.epa.gov/ecotox/explore.cfm?ncbi=2478892","Explore in ECOTOX")</f>
        <v>Explore in ECOTOX</v>
      </c>
    </row>
    <row r="198" spans="1:18" x14ac:dyDescent="0.25">
      <c r="A198">
        <v>6</v>
      </c>
      <c r="B198" t="str">
        <f>HYPERLINK("http://www.ncbi.nlm.nih.gov/protein/NXP09187.1","NXP09187.1")</f>
        <v>NXP09187.1</v>
      </c>
      <c r="C198">
        <v>14091</v>
      </c>
      <c r="D198" t="str">
        <f>HYPERLINK("http://www.ncbi.nlm.nih.gov/Taxonomy/Browser/wwwtax.cgi?mode=Info&amp;id=161742&amp;lvl=3&amp;lin=f&amp;keep=1&amp;srchmode=1&amp;unlock","161742")</f>
        <v>161742</v>
      </c>
      <c r="E198" t="s">
        <v>167</v>
      </c>
      <c r="F198" t="s">
        <v>167</v>
      </c>
      <c r="G198" t="str">
        <f>HYPERLINK("http://www.ncbi.nlm.nih.gov/Taxonomy/Browser/wwwtax.cgi?mode=Info&amp;id=161742&amp;lvl=3&amp;lin=f&amp;keep=1&amp;srchmode=1&amp;unlock","Thinocorus orbignyianus")</f>
        <v>Thinocorus orbignyianus</v>
      </c>
      <c r="H198" t="s">
        <v>217</v>
      </c>
      <c r="I198" t="str">
        <f>HYPERLINK("http://www.ncbi.nlm.nih.gov/protein/NXP09187.1","FABPL protein")</f>
        <v>FABPL protein</v>
      </c>
      <c r="J198">
        <v>200.68</v>
      </c>
      <c r="K198" t="s">
        <v>20</v>
      </c>
      <c r="L198">
        <v>139</v>
      </c>
      <c r="M198">
        <v>50.68</v>
      </c>
      <c r="N198">
        <v>79.540000000000006</v>
      </c>
      <c r="O198" t="s">
        <v>20</v>
      </c>
      <c r="P198" t="s">
        <v>21</v>
      </c>
      <c r="Q198" t="s">
        <v>20</v>
      </c>
      <c r="R198" t="str">
        <f>HYPERLINK("https://cfpub.epa.gov/ecotox/explore.cfm?ncbi=161742","Explore in ECOTOX")</f>
        <v>Explore in ECOTOX</v>
      </c>
    </row>
    <row r="199" spans="1:18" x14ac:dyDescent="0.25">
      <c r="A199">
        <v>6</v>
      </c>
      <c r="B199" t="str">
        <f>HYPERLINK("http://www.ncbi.nlm.nih.gov/protein/NXW98701.1","NXW98701.1")</f>
        <v>NXW98701.1</v>
      </c>
      <c r="C199">
        <v>14087</v>
      </c>
      <c r="D199" t="str">
        <f>HYPERLINK("http://www.ncbi.nlm.nih.gov/Taxonomy/Browser/wwwtax.cgi?mode=Info&amp;id=243888&amp;lvl=3&amp;lin=f&amp;keep=1&amp;srchmode=1&amp;unlock","243888")</f>
        <v>243888</v>
      </c>
      <c r="E199" t="s">
        <v>167</v>
      </c>
      <c r="F199" t="s">
        <v>167</v>
      </c>
      <c r="G199" t="str">
        <f>HYPERLINK("http://www.ncbi.nlm.nih.gov/Taxonomy/Browser/wwwtax.cgi?mode=Info&amp;id=243888&amp;lvl=3&amp;lin=f&amp;keep=1&amp;srchmode=1&amp;unlock","Larus smithsonianus")</f>
        <v>Larus smithsonianus</v>
      </c>
      <c r="H199" t="s">
        <v>218</v>
      </c>
      <c r="I199" t="str">
        <f>HYPERLINK("http://www.ncbi.nlm.nih.gov/protein/NXW98701.1","FABPL protein")</f>
        <v>FABPL protein</v>
      </c>
      <c r="J199">
        <v>200.68</v>
      </c>
      <c r="K199" t="s">
        <v>25</v>
      </c>
      <c r="L199">
        <v>139</v>
      </c>
      <c r="M199">
        <v>50.68</v>
      </c>
      <c r="N199">
        <v>79.540000000000006</v>
      </c>
      <c r="O199" t="s">
        <v>20</v>
      </c>
      <c r="P199" t="s">
        <v>21</v>
      </c>
      <c r="Q199" t="s">
        <v>20</v>
      </c>
      <c r="R199" t="str">
        <f>HYPERLINK("https://cfpub.epa.gov/ecotox/explore.cfm?ncbi=243888","Explore in ECOTOX")</f>
        <v>Explore in ECOTOX</v>
      </c>
    </row>
    <row r="200" spans="1:18" x14ac:dyDescent="0.25">
      <c r="A200">
        <v>6</v>
      </c>
      <c r="B200" t="str">
        <f>HYPERLINK("http://www.ncbi.nlm.nih.gov/protein/XP_008500087.1","XP_008500087.1")</f>
        <v>XP_008500087.1</v>
      </c>
      <c r="C200">
        <v>42941</v>
      </c>
      <c r="D200" t="str">
        <f>HYPERLINK("http://www.ncbi.nlm.nih.gov/Taxonomy/Browser/wwwtax.cgi?mode=Info&amp;id=9244&amp;lvl=3&amp;lin=f&amp;keep=1&amp;srchmode=1&amp;unlock","9244")</f>
        <v>9244</v>
      </c>
      <c r="E200" t="s">
        <v>167</v>
      </c>
      <c r="F200" t="s">
        <v>167</v>
      </c>
      <c r="G200" t="str">
        <f>HYPERLINK("http://www.ncbi.nlm.nih.gov/Taxonomy/Browser/wwwtax.cgi?mode=Info&amp;id=9244&amp;lvl=3&amp;lin=f&amp;keep=1&amp;srchmode=1&amp;unlock","Calypte anna")</f>
        <v>Calypte anna</v>
      </c>
      <c r="H200" t="s">
        <v>219</v>
      </c>
      <c r="I200" t="str">
        <f>HYPERLINK("http://www.ncbi.nlm.nih.gov/protein/XP_008500087.1","fatty acid-binding protein, liver")</f>
        <v>fatty acid-binding protein, liver</v>
      </c>
      <c r="J200">
        <v>200.68</v>
      </c>
      <c r="K200" t="s">
        <v>20</v>
      </c>
      <c r="L200">
        <v>139</v>
      </c>
      <c r="M200">
        <v>50.68</v>
      </c>
      <c r="N200">
        <v>79.540000000000006</v>
      </c>
      <c r="O200" t="s">
        <v>20</v>
      </c>
      <c r="P200" t="s">
        <v>21</v>
      </c>
      <c r="Q200" t="s">
        <v>20</v>
      </c>
      <c r="R200" t="str">
        <f>HYPERLINK("https://cfpub.epa.gov/ecotox/explore.cfm?ncbi=9244","Explore in ECOTOX")</f>
        <v>Explore in ECOTOX</v>
      </c>
    </row>
    <row r="201" spans="1:18" x14ac:dyDescent="0.25">
      <c r="A201">
        <v>6</v>
      </c>
      <c r="B201" t="str">
        <f>HYPERLINK("http://www.ncbi.nlm.nih.gov/protein/XP_009469959.1","XP_009469959.1")</f>
        <v>XP_009469959.1</v>
      </c>
      <c r="C201">
        <v>31423</v>
      </c>
      <c r="D201" t="str">
        <f>HYPERLINK("http://www.ncbi.nlm.nih.gov/Taxonomy/Browser/wwwtax.cgi?mode=Info&amp;id=128390&amp;lvl=3&amp;lin=f&amp;keep=1&amp;srchmode=1&amp;unlock","128390")</f>
        <v>128390</v>
      </c>
      <c r="E201" t="s">
        <v>167</v>
      </c>
      <c r="F201" t="s">
        <v>167</v>
      </c>
      <c r="G201" t="str">
        <f>HYPERLINK("http://www.ncbi.nlm.nih.gov/Taxonomy/Browser/wwwtax.cgi?mode=Info&amp;id=128390&amp;lvl=3&amp;lin=f&amp;keep=1&amp;srchmode=1&amp;unlock","Nipponia nippon")</f>
        <v>Nipponia nippon</v>
      </c>
      <c r="H201" t="s">
        <v>220</v>
      </c>
      <c r="I201" t="str">
        <f>HYPERLINK("http://www.ncbi.nlm.nih.gov/protein/XP_009469959.1","PREDICTED: fatty acid-binding protein, liver")</f>
        <v>PREDICTED: fatty acid-binding protein, liver</v>
      </c>
      <c r="J201">
        <v>200.68</v>
      </c>
      <c r="K201" t="s">
        <v>20</v>
      </c>
      <c r="L201">
        <v>139</v>
      </c>
      <c r="M201">
        <v>50.68</v>
      </c>
      <c r="N201">
        <v>79.540000000000006</v>
      </c>
      <c r="O201" t="s">
        <v>20</v>
      </c>
      <c r="P201" t="s">
        <v>21</v>
      </c>
      <c r="Q201" t="s">
        <v>20</v>
      </c>
      <c r="R201" t="str">
        <f>HYPERLINK("https://cfpub.epa.gov/ecotox/explore.cfm?ncbi=128390","Explore in ECOTOX")</f>
        <v>Explore in ECOTOX</v>
      </c>
    </row>
    <row r="202" spans="1:18" x14ac:dyDescent="0.25">
      <c r="A202">
        <v>6</v>
      </c>
      <c r="B202" t="str">
        <f>HYPERLINK("http://www.ncbi.nlm.nih.gov/protein/NXP51856.1","NXP51856.1")</f>
        <v>NXP51856.1</v>
      </c>
      <c r="C202">
        <v>13596</v>
      </c>
      <c r="D202" t="str">
        <f>HYPERLINK("http://www.ncbi.nlm.nih.gov/Taxonomy/Browser/wwwtax.cgi?mode=Info&amp;id=54369&amp;lvl=3&amp;lin=f&amp;keep=1&amp;srchmode=1&amp;unlock","54369")</f>
        <v>54369</v>
      </c>
      <c r="E202" t="s">
        <v>167</v>
      </c>
      <c r="F202" t="s">
        <v>167</v>
      </c>
      <c r="G202" t="str">
        <f>HYPERLINK("http://www.ncbi.nlm.nih.gov/Taxonomy/Browser/wwwtax.cgi?mode=Info&amp;id=54369&amp;lvl=3&amp;lin=f&amp;keep=1&amp;srchmode=1&amp;unlock","Heliornis fulica")</f>
        <v>Heliornis fulica</v>
      </c>
      <c r="H202" t="s">
        <v>221</v>
      </c>
      <c r="I202" t="str">
        <f>HYPERLINK("http://www.ncbi.nlm.nih.gov/protein/NXP51856.1","FABPL protein")</f>
        <v>FABPL protein</v>
      </c>
      <c r="J202">
        <v>200.68</v>
      </c>
      <c r="K202" t="s">
        <v>25</v>
      </c>
      <c r="L202">
        <v>139</v>
      </c>
      <c r="M202">
        <v>50.68</v>
      </c>
      <c r="N202">
        <v>79.540000000000006</v>
      </c>
      <c r="O202" t="s">
        <v>20</v>
      </c>
      <c r="P202" t="s">
        <v>21</v>
      </c>
      <c r="Q202" t="s">
        <v>20</v>
      </c>
      <c r="R202" t="str">
        <f>HYPERLINK("https://cfpub.epa.gov/ecotox/explore.cfm?ncbi=54369","Explore in ECOTOX")</f>
        <v>Explore in ECOTOX</v>
      </c>
    </row>
    <row r="203" spans="1:18" x14ac:dyDescent="0.25">
      <c r="A203">
        <v>6</v>
      </c>
      <c r="B203" t="str">
        <f>HYPERLINK("http://www.ncbi.nlm.nih.gov/protein/NXF49511.1","NXF49511.1")</f>
        <v>NXF49511.1</v>
      </c>
      <c r="C203">
        <v>14303</v>
      </c>
      <c r="D203" t="str">
        <f>HYPERLINK("http://www.ncbi.nlm.nih.gov/Taxonomy/Browser/wwwtax.cgi?mode=Info&amp;id=79653&amp;lvl=3&amp;lin=f&amp;keep=1&amp;srchmode=1&amp;unlock","79653")</f>
        <v>79653</v>
      </c>
      <c r="E203" t="s">
        <v>167</v>
      </c>
      <c r="F203" t="s">
        <v>167</v>
      </c>
      <c r="G203" t="str">
        <f>HYPERLINK("http://www.ncbi.nlm.nih.gov/Taxonomy/Browser/wwwtax.cgi?mode=Info&amp;id=79653&amp;lvl=3&amp;lin=f&amp;keep=1&amp;srchmode=1&amp;unlock","Oceanites oceanicus")</f>
        <v>Oceanites oceanicus</v>
      </c>
      <c r="H203" t="s">
        <v>222</v>
      </c>
      <c r="I203" t="str">
        <f>HYPERLINK("http://www.ncbi.nlm.nih.gov/protein/NXF49511.1","FABPL protein")</f>
        <v>FABPL protein</v>
      </c>
      <c r="J203">
        <v>200.68</v>
      </c>
      <c r="K203" t="s">
        <v>20</v>
      </c>
      <c r="L203">
        <v>139</v>
      </c>
      <c r="M203">
        <v>50.68</v>
      </c>
      <c r="N203">
        <v>79.540000000000006</v>
      </c>
      <c r="O203" t="s">
        <v>20</v>
      </c>
      <c r="P203" t="s">
        <v>21</v>
      </c>
      <c r="Q203" t="s">
        <v>20</v>
      </c>
      <c r="R203" t="str">
        <f>HYPERLINK("https://cfpub.epa.gov/ecotox/explore.cfm?ncbi=79653","Explore in ECOTOX")</f>
        <v>Explore in ECOTOX</v>
      </c>
    </row>
    <row r="204" spans="1:18" x14ac:dyDescent="0.25">
      <c r="A204">
        <v>6</v>
      </c>
      <c r="B204" t="str">
        <f>HYPERLINK("http://www.ncbi.nlm.nih.gov/protein/NWX10622.1","NWX10622.1")</f>
        <v>NWX10622.1</v>
      </c>
      <c r="C204">
        <v>14125</v>
      </c>
      <c r="D204" t="str">
        <f>HYPERLINK("http://www.ncbi.nlm.nih.gov/Taxonomy/Browser/wwwtax.cgi?mode=Info&amp;id=187106&amp;lvl=3&amp;lin=f&amp;keep=1&amp;srchmode=1&amp;unlock","187106")</f>
        <v>187106</v>
      </c>
      <c r="E204" t="s">
        <v>167</v>
      </c>
      <c r="F204" t="s">
        <v>167</v>
      </c>
      <c r="G204" t="str">
        <f>HYPERLINK("http://www.ncbi.nlm.nih.gov/Taxonomy/Browser/wwwtax.cgi?mode=Info&amp;id=187106&amp;lvl=3&amp;lin=f&amp;keep=1&amp;srchmode=1&amp;unlock","Caloenas nicobarica")</f>
        <v>Caloenas nicobarica</v>
      </c>
      <c r="H204" t="s">
        <v>223</v>
      </c>
      <c r="I204" t="str">
        <f>HYPERLINK("http://www.ncbi.nlm.nih.gov/protein/NWX10622.1","FABPL protein")</f>
        <v>FABPL protein</v>
      </c>
      <c r="J204">
        <v>200.29</v>
      </c>
      <c r="K204" t="s">
        <v>20</v>
      </c>
      <c r="L204">
        <v>139</v>
      </c>
      <c r="M204">
        <v>50.68</v>
      </c>
      <c r="N204">
        <v>79.39</v>
      </c>
      <c r="O204" t="s">
        <v>20</v>
      </c>
      <c r="P204" t="s">
        <v>21</v>
      </c>
      <c r="Q204" t="s">
        <v>20</v>
      </c>
      <c r="R204" t="str">
        <f>HYPERLINK("https://cfpub.epa.gov/ecotox/explore.cfm?ncbi=187106","Explore in ECOTOX")</f>
        <v>Explore in ECOTOX</v>
      </c>
    </row>
    <row r="205" spans="1:18" x14ac:dyDescent="0.25">
      <c r="A205">
        <v>6</v>
      </c>
      <c r="B205" t="str">
        <f>HYPERLINK("http://www.ncbi.nlm.nih.gov/protein/NWY12763.1","NWY12763.1")</f>
        <v>NWY12763.1</v>
      </c>
      <c r="C205">
        <v>14632</v>
      </c>
      <c r="D205" t="str">
        <f>HYPERLINK("http://www.ncbi.nlm.nih.gov/Taxonomy/Browser/wwwtax.cgi?mode=Info&amp;id=39617&amp;lvl=3&amp;lin=f&amp;keep=1&amp;srchmode=1&amp;unlock","39617")</f>
        <v>39617</v>
      </c>
      <c r="E205" t="s">
        <v>167</v>
      </c>
      <c r="F205" t="s">
        <v>167</v>
      </c>
      <c r="G205" t="str">
        <f>HYPERLINK("http://www.ncbi.nlm.nih.gov/Taxonomy/Browser/wwwtax.cgi?mode=Info&amp;id=39617&amp;lvl=3&amp;lin=f&amp;keep=1&amp;srchmode=1&amp;unlock","Aphelocoma coerulescens")</f>
        <v>Aphelocoma coerulescens</v>
      </c>
      <c r="H205" t="s">
        <v>224</v>
      </c>
      <c r="I205" t="str">
        <f>HYPERLINK("http://www.ncbi.nlm.nih.gov/protein/NWY12763.1","FABPL protein")</f>
        <v>FABPL protein</v>
      </c>
      <c r="J205">
        <v>200.29</v>
      </c>
      <c r="K205" t="s">
        <v>25</v>
      </c>
      <c r="L205">
        <v>139</v>
      </c>
      <c r="M205">
        <v>50.68</v>
      </c>
      <c r="N205">
        <v>79.39</v>
      </c>
      <c r="O205" t="s">
        <v>20</v>
      </c>
      <c r="P205" t="s">
        <v>21</v>
      </c>
      <c r="Q205" t="s">
        <v>20</v>
      </c>
      <c r="R205" t="str">
        <f>HYPERLINK("https://cfpub.epa.gov/ecotox/explore.cfm?ncbi=39617","Explore in ECOTOX")</f>
        <v>Explore in ECOTOX</v>
      </c>
    </row>
    <row r="206" spans="1:18" x14ac:dyDescent="0.25">
      <c r="A206">
        <v>6</v>
      </c>
      <c r="B206" t="str">
        <f>HYPERLINK("http://www.ncbi.nlm.nih.gov/protein/NXV14018.1","NXV14018.1")</f>
        <v>NXV14018.1</v>
      </c>
      <c r="C206">
        <v>14788</v>
      </c>
      <c r="D206" t="str">
        <f>HYPERLINK("http://www.ncbi.nlm.nih.gov/Taxonomy/Browser/wwwtax.cgi?mode=Info&amp;id=28697&amp;lvl=3&amp;lin=f&amp;keep=1&amp;srchmode=1&amp;unlock","28697")</f>
        <v>28697</v>
      </c>
      <c r="E206" t="s">
        <v>167</v>
      </c>
      <c r="F206" t="s">
        <v>167</v>
      </c>
      <c r="G206" t="str">
        <f>HYPERLINK("http://www.ncbi.nlm.nih.gov/Taxonomy/Browser/wwwtax.cgi?mode=Info&amp;id=28697&amp;lvl=3&amp;lin=f&amp;keep=1&amp;srchmode=1&amp;unlock","Cepphus grylle")</f>
        <v>Cepphus grylle</v>
      </c>
      <c r="H206" t="s">
        <v>185</v>
      </c>
      <c r="I206" t="str">
        <f>HYPERLINK("http://www.ncbi.nlm.nih.gov/protein/NXV14018.1","FABPL protein")</f>
        <v>FABPL protein</v>
      </c>
      <c r="J206">
        <v>200.29</v>
      </c>
      <c r="K206" t="s">
        <v>25</v>
      </c>
      <c r="L206">
        <v>139</v>
      </c>
      <c r="M206">
        <v>50.68</v>
      </c>
      <c r="N206">
        <v>79.39</v>
      </c>
      <c r="O206" t="s">
        <v>20</v>
      </c>
      <c r="P206" t="s">
        <v>21</v>
      </c>
      <c r="Q206" t="s">
        <v>20</v>
      </c>
      <c r="R206" t="str">
        <f>HYPERLINK("https://cfpub.epa.gov/ecotox/explore.cfm?ncbi=28697","Explore in ECOTOX")</f>
        <v>Explore in ECOTOX</v>
      </c>
    </row>
    <row r="207" spans="1:18" x14ac:dyDescent="0.25">
      <c r="A207">
        <v>6</v>
      </c>
      <c r="B207" t="str">
        <f>HYPERLINK("http://www.ncbi.nlm.nih.gov/protein/NXD13974.1","NXD13974.1")</f>
        <v>NXD13974.1</v>
      </c>
      <c r="C207">
        <v>13147</v>
      </c>
      <c r="D207" t="str">
        <f>HYPERLINK("http://www.ncbi.nlm.nih.gov/Taxonomy/Browser/wwwtax.cgi?mode=Info&amp;id=1977171&amp;lvl=3&amp;lin=f&amp;keep=1&amp;srchmode=1&amp;unlock","1977171")</f>
        <v>1977171</v>
      </c>
      <c r="E207" t="s">
        <v>167</v>
      </c>
      <c r="F207" t="s">
        <v>167</v>
      </c>
      <c r="G207" t="str">
        <f>HYPERLINK("http://www.ncbi.nlm.nih.gov/Taxonomy/Browser/wwwtax.cgi?mode=Info&amp;id=1977171&amp;lvl=3&amp;lin=f&amp;keep=1&amp;srchmode=1&amp;unlock","Nothocercus nigrocapillus")</f>
        <v>Nothocercus nigrocapillus</v>
      </c>
      <c r="H207" t="s">
        <v>196</v>
      </c>
      <c r="I207" t="str">
        <f>HYPERLINK("http://www.ncbi.nlm.nih.gov/protein/NXD13974.1","FABPL protein")</f>
        <v>FABPL protein</v>
      </c>
      <c r="J207">
        <v>200.29</v>
      </c>
      <c r="K207" t="s">
        <v>25</v>
      </c>
      <c r="L207">
        <v>139</v>
      </c>
      <c r="M207">
        <v>50.68</v>
      </c>
      <c r="N207">
        <v>79.39</v>
      </c>
      <c r="O207" t="s">
        <v>20</v>
      </c>
      <c r="P207" t="s">
        <v>21</v>
      </c>
      <c r="Q207" t="s">
        <v>20</v>
      </c>
      <c r="R207" t="str">
        <f>HYPERLINK("https://cfpub.epa.gov/ecotox/explore.cfm?ncbi=1977171","Explore in ECOTOX")</f>
        <v>Explore in ECOTOX</v>
      </c>
    </row>
    <row r="208" spans="1:18" x14ac:dyDescent="0.25">
      <c r="A208">
        <v>6</v>
      </c>
      <c r="B208" t="str">
        <f>HYPERLINK("http://www.ncbi.nlm.nih.gov/protein/NXI50649.1","NXI50649.1")</f>
        <v>NXI50649.1</v>
      </c>
      <c r="C208">
        <v>12275</v>
      </c>
      <c r="D208" t="str">
        <f>HYPERLINK("http://www.ncbi.nlm.nih.gov/Taxonomy/Browser/wwwtax.cgi?mode=Info&amp;id=176938&amp;lvl=3&amp;lin=f&amp;keep=1&amp;srchmode=1&amp;unlock","176938")</f>
        <v>176938</v>
      </c>
      <c r="E208" t="s">
        <v>167</v>
      </c>
      <c r="F208" t="s">
        <v>167</v>
      </c>
      <c r="G208" t="str">
        <f>HYPERLINK("http://www.ncbi.nlm.nih.gov/Taxonomy/Browser/wwwtax.cgi?mode=Info&amp;id=176938&amp;lvl=3&amp;lin=f&amp;keep=1&amp;srchmode=1&amp;unlock","Chloroceryle aenea")</f>
        <v>Chloroceryle aenea</v>
      </c>
      <c r="H208" t="s">
        <v>225</v>
      </c>
      <c r="I208" t="str">
        <f>HYPERLINK("http://www.ncbi.nlm.nih.gov/protein/NXI50649.1","FABPL protein")</f>
        <v>FABPL protein</v>
      </c>
      <c r="J208">
        <v>200.29</v>
      </c>
      <c r="K208" t="s">
        <v>25</v>
      </c>
      <c r="L208">
        <v>139</v>
      </c>
      <c r="M208">
        <v>50.68</v>
      </c>
      <c r="N208">
        <v>79.39</v>
      </c>
      <c r="O208" t="s">
        <v>20</v>
      </c>
      <c r="P208" t="s">
        <v>21</v>
      </c>
      <c r="Q208" t="s">
        <v>20</v>
      </c>
      <c r="R208" t="str">
        <f>HYPERLINK("https://cfpub.epa.gov/ecotox/explore.cfm?ncbi=176938","Explore in ECOTOX")</f>
        <v>Explore in ECOTOX</v>
      </c>
    </row>
    <row r="209" spans="1:18" x14ac:dyDescent="0.25">
      <c r="A209">
        <v>6</v>
      </c>
      <c r="B209" t="str">
        <f>HYPERLINK("http://www.ncbi.nlm.nih.gov/protein/NXJ01199.1","NXJ01199.1")</f>
        <v>NXJ01199.1</v>
      </c>
      <c r="C209">
        <v>13920</v>
      </c>
      <c r="D209" t="str">
        <f>HYPERLINK("http://www.ncbi.nlm.nih.gov/Taxonomy/Browser/wwwtax.cgi?mode=Info&amp;id=54359&amp;lvl=3&amp;lin=f&amp;keep=1&amp;srchmode=1&amp;unlock","54359")</f>
        <v>54359</v>
      </c>
      <c r="E209" t="s">
        <v>167</v>
      </c>
      <c r="F209" t="s">
        <v>167</v>
      </c>
      <c r="G209" t="str">
        <f>HYPERLINK("http://www.ncbi.nlm.nih.gov/Taxonomy/Browser/wwwtax.cgi?mode=Info&amp;id=54359&amp;lvl=3&amp;lin=f&amp;keep=1&amp;srchmode=1&amp;unlock","Psophia crepitans")</f>
        <v>Psophia crepitans</v>
      </c>
      <c r="H209" t="s">
        <v>226</v>
      </c>
      <c r="I209" t="str">
        <f>HYPERLINK("http://www.ncbi.nlm.nih.gov/protein/NXJ01199.1","FABPL protein")</f>
        <v>FABPL protein</v>
      </c>
      <c r="J209">
        <v>200.29</v>
      </c>
      <c r="K209" t="s">
        <v>25</v>
      </c>
      <c r="L209">
        <v>139</v>
      </c>
      <c r="M209">
        <v>50.68</v>
      </c>
      <c r="N209">
        <v>79.39</v>
      </c>
      <c r="O209" t="s">
        <v>20</v>
      </c>
      <c r="P209" t="s">
        <v>21</v>
      </c>
      <c r="Q209" t="s">
        <v>20</v>
      </c>
      <c r="R209" t="str">
        <f>HYPERLINK("https://cfpub.epa.gov/ecotox/explore.cfm?ncbi=54359","Explore in ECOTOX")</f>
        <v>Explore in ECOTOX</v>
      </c>
    </row>
    <row r="210" spans="1:18" x14ac:dyDescent="0.25">
      <c r="A210">
        <v>6</v>
      </c>
      <c r="B210" t="str">
        <f>HYPERLINK("http://www.ncbi.nlm.nih.gov/protein/NXQ92781.1","NXQ92781.1")</f>
        <v>NXQ92781.1</v>
      </c>
      <c r="C210">
        <v>12894</v>
      </c>
      <c r="D210" t="str">
        <f>HYPERLINK("http://www.ncbi.nlm.nih.gov/Taxonomy/Browser/wwwtax.cgi?mode=Info&amp;id=56258&amp;lvl=3&amp;lin=f&amp;keep=1&amp;srchmode=1&amp;unlock","56258")</f>
        <v>56258</v>
      </c>
      <c r="E210" t="s">
        <v>167</v>
      </c>
      <c r="F210" t="s">
        <v>167</v>
      </c>
      <c r="G210" t="str">
        <f>HYPERLINK("http://www.ncbi.nlm.nih.gov/Taxonomy/Browser/wwwtax.cgi?mode=Info&amp;id=56258&amp;lvl=3&amp;lin=f&amp;keep=1&amp;srchmode=1&amp;unlock","Sagittarius serpentarius")</f>
        <v>Sagittarius serpentarius</v>
      </c>
      <c r="H210" t="s">
        <v>227</v>
      </c>
      <c r="I210" t="str">
        <f>HYPERLINK("http://www.ncbi.nlm.nih.gov/protein/NXQ92781.1","FABPL protein")</f>
        <v>FABPL protein</v>
      </c>
      <c r="J210">
        <v>200.29</v>
      </c>
      <c r="K210" t="s">
        <v>25</v>
      </c>
      <c r="L210">
        <v>139</v>
      </c>
      <c r="M210">
        <v>50.68</v>
      </c>
      <c r="N210">
        <v>79.39</v>
      </c>
      <c r="O210" t="s">
        <v>20</v>
      </c>
      <c r="P210" t="s">
        <v>21</v>
      </c>
      <c r="Q210" t="s">
        <v>20</v>
      </c>
      <c r="R210" t="str">
        <f>HYPERLINK("https://cfpub.epa.gov/ecotox/explore.cfm?ncbi=56258","Explore in ECOTOX")</f>
        <v>Explore in ECOTOX</v>
      </c>
    </row>
    <row r="211" spans="1:18" x14ac:dyDescent="0.25">
      <c r="A211">
        <v>6</v>
      </c>
      <c r="B211" t="str">
        <f>HYPERLINK("http://www.ncbi.nlm.nih.gov/protein/NXX76325.1","NXX76325.1")</f>
        <v>NXX76325.1</v>
      </c>
      <c r="C211">
        <v>14124</v>
      </c>
      <c r="D211" t="str">
        <f>HYPERLINK("http://www.ncbi.nlm.nih.gov/Taxonomy/Browser/wwwtax.cgi?mode=Info&amp;id=458196&amp;lvl=3&amp;lin=f&amp;keep=1&amp;srchmode=1&amp;unlock","458196")</f>
        <v>458196</v>
      </c>
      <c r="E211" t="s">
        <v>167</v>
      </c>
      <c r="F211" t="s">
        <v>167</v>
      </c>
      <c r="G211" t="str">
        <f>HYPERLINK("http://www.ncbi.nlm.nih.gov/Taxonomy/Browser/wwwtax.cgi?mode=Info&amp;id=458196&amp;lvl=3&amp;lin=f&amp;keep=1&amp;srchmode=1&amp;unlock","Urocolius indicus")</f>
        <v>Urocolius indicus</v>
      </c>
      <c r="H211" t="s">
        <v>228</v>
      </c>
      <c r="I211" t="str">
        <f>HYPERLINK("http://www.ncbi.nlm.nih.gov/protein/NXX76325.1","FABPL protein")</f>
        <v>FABPL protein</v>
      </c>
      <c r="J211">
        <v>199.9</v>
      </c>
      <c r="K211" t="s">
        <v>25</v>
      </c>
      <c r="L211">
        <v>139</v>
      </c>
      <c r="M211">
        <v>50.68</v>
      </c>
      <c r="N211">
        <v>79.239999999999995</v>
      </c>
      <c r="O211" t="s">
        <v>20</v>
      </c>
      <c r="P211" t="s">
        <v>21</v>
      </c>
      <c r="Q211" t="s">
        <v>20</v>
      </c>
      <c r="R211" t="str">
        <f>HYPERLINK("https://cfpub.epa.gov/ecotox/explore.cfm?ncbi=458196","Explore in ECOTOX")</f>
        <v>Explore in ECOTOX</v>
      </c>
    </row>
    <row r="212" spans="1:18" x14ac:dyDescent="0.25">
      <c r="A212">
        <v>6</v>
      </c>
      <c r="B212" t="str">
        <f>HYPERLINK("http://www.ncbi.nlm.nih.gov/protein/NXD75933.1","NXD75933.1")</f>
        <v>NXD75933.1</v>
      </c>
      <c r="C212">
        <v>14290</v>
      </c>
      <c r="D212" t="str">
        <f>HYPERLINK("http://www.ncbi.nlm.nih.gov/Taxonomy/Browser/wwwtax.cgi?mode=Info&amp;id=342381&amp;lvl=3&amp;lin=f&amp;keep=1&amp;srchmode=1&amp;unlock","342381")</f>
        <v>342381</v>
      </c>
      <c r="E212" t="s">
        <v>167</v>
      </c>
      <c r="F212" t="s">
        <v>167</v>
      </c>
      <c r="G212" t="str">
        <f>HYPERLINK("http://www.ncbi.nlm.nih.gov/Taxonomy/Browser/wwwtax.cgi?mode=Info&amp;id=342381&amp;lvl=3&amp;lin=f&amp;keep=1&amp;srchmode=1&amp;unlock","Halcyon senegalensis")</f>
        <v>Halcyon senegalensis</v>
      </c>
      <c r="H212" t="s">
        <v>229</v>
      </c>
      <c r="I212" t="str">
        <f>HYPERLINK("http://www.ncbi.nlm.nih.gov/protein/NXD75933.1","FABPL protein")</f>
        <v>FABPL protein</v>
      </c>
      <c r="J212">
        <v>199.9</v>
      </c>
      <c r="K212" t="s">
        <v>25</v>
      </c>
      <c r="L212">
        <v>139</v>
      </c>
      <c r="M212">
        <v>50.68</v>
      </c>
      <c r="N212">
        <v>79.239999999999995</v>
      </c>
      <c r="O212" t="s">
        <v>20</v>
      </c>
      <c r="P212" t="s">
        <v>21</v>
      </c>
      <c r="Q212" t="s">
        <v>20</v>
      </c>
      <c r="R212" t="str">
        <f>HYPERLINK("https://cfpub.epa.gov/ecotox/explore.cfm?ncbi=342381","Explore in ECOTOX")</f>
        <v>Explore in ECOTOX</v>
      </c>
    </row>
    <row r="213" spans="1:18" x14ac:dyDescent="0.25">
      <c r="A213">
        <v>6</v>
      </c>
      <c r="B213" t="str">
        <f>HYPERLINK("http://www.ncbi.nlm.nih.gov/protein/XP_010018180.1","XP_010018180.1")</f>
        <v>XP_010018180.1</v>
      </c>
      <c r="C213">
        <v>27832</v>
      </c>
      <c r="D213" t="str">
        <f>HYPERLINK("http://www.ncbi.nlm.nih.gov/Taxonomy/Browser/wwwtax.cgi?mode=Info&amp;id=176057&amp;lvl=3&amp;lin=f&amp;keep=1&amp;srchmode=1&amp;unlock","176057")</f>
        <v>176057</v>
      </c>
      <c r="E213" t="s">
        <v>167</v>
      </c>
      <c r="F213" t="s">
        <v>167</v>
      </c>
      <c r="G213" t="str">
        <f>HYPERLINK("http://www.ncbi.nlm.nih.gov/Taxonomy/Browser/wwwtax.cgi?mode=Info&amp;id=176057&amp;lvl=3&amp;lin=f&amp;keep=1&amp;srchmode=1&amp;unlock","Nestor notabilis")</f>
        <v>Nestor notabilis</v>
      </c>
      <c r="H213" t="s">
        <v>230</v>
      </c>
      <c r="I213" t="str">
        <f>HYPERLINK("http://www.ncbi.nlm.nih.gov/protein/XP_010018180.1","PREDICTED: fatty acid-binding protein, liver")</f>
        <v>PREDICTED: fatty acid-binding protein, liver</v>
      </c>
      <c r="J213">
        <v>199.9</v>
      </c>
      <c r="K213" t="s">
        <v>25</v>
      </c>
      <c r="L213">
        <v>139</v>
      </c>
      <c r="M213">
        <v>50.68</v>
      </c>
      <c r="N213">
        <v>79.239999999999995</v>
      </c>
      <c r="O213" t="s">
        <v>20</v>
      </c>
      <c r="P213" t="s">
        <v>21</v>
      </c>
      <c r="Q213" t="s">
        <v>20</v>
      </c>
      <c r="R213" t="str">
        <f>HYPERLINK("https://cfpub.epa.gov/ecotox/explore.cfm?ncbi=176057","Explore in ECOTOX")</f>
        <v>Explore in ECOTOX</v>
      </c>
    </row>
    <row r="214" spans="1:18" x14ac:dyDescent="0.25">
      <c r="A214">
        <v>6</v>
      </c>
      <c r="B214" t="str">
        <f>HYPERLINK("http://www.ncbi.nlm.nih.gov/protein/NXI45520.1","NXI45520.1")</f>
        <v>NXI45520.1</v>
      </c>
      <c r="C214">
        <v>14683</v>
      </c>
      <c r="D214" t="str">
        <f>HYPERLINK("http://www.ncbi.nlm.nih.gov/Taxonomy/Browser/wwwtax.cgi?mode=Info&amp;id=1109041&amp;lvl=3&amp;lin=f&amp;keep=1&amp;srchmode=1&amp;unlock","1109041")</f>
        <v>1109041</v>
      </c>
      <c r="E214" t="s">
        <v>167</v>
      </c>
      <c r="F214" t="s">
        <v>167</v>
      </c>
      <c r="G214" t="str">
        <f>HYPERLINK("http://www.ncbi.nlm.nih.gov/Taxonomy/Browser/wwwtax.cgi?mode=Info&amp;id=1109041&amp;lvl=3&amp;lin=f&amp;keep=1&amp;srchmode=1&amp;unlock","Galbula dea")</f>
        <v>Galbula dea</v>
      </c>
      <c r="H214" t="s">
        <v>231</v>
      </c>
      <c r="I214" t="str">
        <f>HYPERLINK("http://www.ncbi.nlm.nih.gov/protein/NXI45520.1","FABPL protein")</f>
        <v>FABPL protein</v>
      </c>
      <c r="J214">
        <v>199.9</v>
      </c>
      <c r="K214" t="s">
        <v>25</v>
      </c>
      <c r="L214">
        <v>139</v>
      </c>
      <c r="M214">
        <v>50.68</v>
      </c>
      <c r="N214">
        <v>79.239999999999995</v>
      </c>
      <c r="O214" t="s">
        <v>20</v>
      </c>
      <c r="P214" t="s">
        <v>21</v>
      </c>
      <c r="Q214" t="s">
        <v>20</v>
      </c>
      <c r="R214" t="str">
        <f>HYPERLINK("https://cfpub.epa.gov/ecotox/explore.cfm?ncbi=1109041","Explore in ECOTOX")</f>
        <v>Explore in ECOTOX</v>
      </c>
    </row>
    <row r="215" spans="1:18" x14ac:dyDescent="0.25">
      <c r="A215">
        <v>6</v>
      </c>
      <c r="B215" t="str">
        <f>HYPERLINK("http://www.ncbi.nlm.nih.gov/protein/NXF32561.1","NXF32561.1")</f>
        <v>NXF32561.1</v>
      </c>
      <c r="C215">
        <v>13974</v>
      </c>
      <c r="D215" t="str">
        <f>HYPERLINK("http://www.ncbi.nlm.nih.gov/Taxonomy/Browser/wwwtax.cgi?mode=Info&amp;id=48426&amp;lvl=3&amp;lin=f&amp;keep=1&amp;srchmode=1&amp;unlock","48426")</f>
        <v>48426</v>
      </c>
      <c r="E215" t="s">
        <v>167</v>
      </c>
      <c r="F215" t="s">
        <v>167</v>
      </c>
      <c r="G215" t="str">
        <f>HYPERLINK("http://www.ncbi.nlm.nih.gov/Taxonomy/Browser/wwwtax.cgi?mode=Info&amp;id=48426&amp;lvl=3&amp;lin=f&amp;keep=1&amp;srchmode=1&amp;unlock","Nyctibius bracteatus")</f>
        <v>Nyctibius bracteatus</v>
      </c>
      <c r="H215" t="s">
        <v>232</v>
      </c>
      <c r="I215" t="str">
        <f>HYPERLINK("http://www.ncbi.nlm.nih.gov/protein/NXF32561.1","FABPL protein")</f>
        <v>FABPL protein</v>
      </c>
      <c r="J215">
        <v>199.9</v>
      </c>
      <c r="K215" t="s">
        <v>25</v>
      </c>
      <c r="L215">
        <v>139</v>
      </c>
      <c r="M215">
        <v>50.68</v>
      </c>
      <c r="N215">
        <v>79.239999999999995</v>
      </c>
      <c r="O215" t="s">
        <v>20</v>
      </c>
      <c r="P215" t="s">
        <v>21</v>
      </c>
      <c r="Q215" t="s">
        <v>20</v>
      </c>
      <c r="R215" t="str">
        <f>HYPERLINK("https://cfpub.epa.gov/ecotox/explore.cfm?ncbi=48426","Explore in ECOTOX")</f>
        <v>Explore in ECOTOX</v>
      </c>
    </row>
    <row r="216" spans="1:18" x14ac:dyDescent="0.25">
      <c r="A216">
        <v>6</v>
      </c>
      <c r="B216" t="str">
        <f>HYPERLINK("http://www.ncbi.nlm.nih.gov/protein/NXQ80872.1","NXQ80872.1")</f>
        <v>NXQ80872.1</v>
      </c>
      <c r="C216">
        <v>14112</v>
      </c>
      <c r="D216" t="str">
        <f>HYPERLINK("http://www.ncbi.nlm.nih.gov/Taxonomy/Browser/wwwtax.cgi?mode=Info&amp;id=48427&amp;lvl=3&amp;lin=f&amp;keep=1&amp;srchmode=1&amp;unlock","48427")</f>
        <v>48427</v>
      </c>
      <c r="E216" t="s">
        <v>167</v>
      </c>
      <c r="F216" t="s">
        <v>167</v>
      </c>
      <c r="G216" t="str">
        <f>HYPERLINK("http://www.ncbi.nlm.nih.gov/Taxonomy/Browser/wwwtax.cgi?mode=Info&amp;id=48427&amp;lvl=3&amp;lin=f&amp;keep=1&amp;srchmode=1&amp;unlock","Nyctibius grandis")</f>
        <v>Nyctibius grandis</v>
      </c>
      <c r="H216" t="s">
        <v>233</v>
      </c>
      <c r="I216" t="str">
        <f>HYPERLINK("http://www.ncbi.nlm.nih.gov/protein/NXQ80872.1","FABPL protein")</f>
        <v>FABPL protein</v>
      </c>
      <c r="J216">
        <v>199.9</v>
      </c>
      <c r="K216" t="s">
        <v>25</v>
      </c>
      <c r="L216">
        <v>139</v>
      </c>
      <c r="M216">
        <v>50.68</v>
      </c>
      <c r="N216">
        <v>79.239999999999995</v>
      </c>
      <c r="O216" t="s">
        <v>20</v>
      </c>
      <c r="P216" t="s">
        <v>21</v>
      </c>
      <c r="Q216" t="s">
        <v>20</v>
      </c>
      <c r="R216" t="str">
        <f>HYPERLINK("https://cfpub.epa.gov/ecotox/explore.cfm?ncbi=48427","Explore in ECOTOX")</f>
        <v>Explore in ECOTOX</v>
      </c>
    </row>
    <row r="217" spans="1:18" x14ac:dyDescent="0.25">
      <c r="A217">
        <v>6</v>
      </c>
      <c r="B217" t="str">
        <f>HYPERLINK("http://www.ncbi.nlm.nih.gov/protein/NWU90422.1","NWU90422.1")</f>
        <v>NWU90422.1</v>
      </c>
      <c r="C217">
        <v>13878</v>
      </c>
      <c r="D217" t="str">
        <f>HYPERLINK("http://www.ncbi.nlm.nih.gov/Taxonomy/Browser/wwwtax.cgi?mode=Info&amp;id=57439&amp;lvl=3&amp;lin=f&amp;keep=1&amp;srchmode=1&amp;unlock","57439")</f>
        <v>57439</v>
      </c>
      <c r="E217" t="s">
        <v>167</v>
      </c>
      <c r="F217" t="s">
        <v>167</v>
      </c>
      <c r="G217" t="str">
        <f>HYPERLINK("http://www.ncbi.nlm.nih.gov/Taxonomy/Browser/wwwtax.cgi?mode=Info&amp;id=57439&amp;lvl=3&amp;lin=f&amp;keep=1&amp;srchmode=1&amp;unlock","Upupa epops")</f>
        <v>Upupa epops</v>
      </c>
      <c r="H217" t="s">
        <v>234</v>
      </c>
      <c r="I217" t="str">
        <f>HYPERLINK("http://www.ncbi.nlm.nih.gov/protein/NWU90422.1","FABPL protein")</f>
        <v>FABPL protein</v>
      </c>
      <c r="J217">
        <v>199.9</v>
      </c>
      <c r="K217" t="s">
        <v>25</v>
      </c>
      <c r="L217">
        <v>139</v>
      </c>
      <c r="M217">
        <v>50.68</v>
      </c>
      <c r="N217">
        <v>79.239999999999995</v>
      </c>
      <c r="O217" t="s">
        <v>20</v>
      </c>
      <c r="P217" t="s">
        <v>21</v>
      </c>
      <c r="Q217" t="s">
        <v>20</v>
      </c>
      <c r="R217" t="str">
        <f>HYPERLINK("https://cfpub.epa.gov/ecotox/explore.cfm?ncbi=57439","Explore in ECOTOX")</f>
        <v>Explore in ECOTOX</v>
      </c>
    </row>
    <row r="218" spans="1:18" x14ac:dyDescent="0.25">
      <c r="A218">
        <v>6</v>
      </c>
      <c r="B218" t="str">
        <f>HYPERLINK("http://www.ncbi.nlm.nih.gov/protein/NXS63123.1","NXS63123.1")</f>
        <v>NXS63123.1</v>
      </c>
      <c r="C218">
        <v>13462</v>
      </c>
      <c r="D218" t="str">
        <f>HYPERLINK("http://www.ncbi.nlm.nih.gov/Taxonomy/Browser/wwwtax.cgi?mode=Info&amp;id=135165&amp;lvl=3&amp;lin=f&amp;keep=1&amp;srchmode=1&amp;unlock","135165")</f>
        <v>135165</v>
      </c>
      <c r="E218" t="s">
        <v>167</v>
      </c>
      <c r="F218" t="s">
        <v>167</v>
      </c>
      <c r="G218" t="str">
        <f>HYPERLINK("http://www.ncbi.nlm.nih.gov/Taxonomy/Browser/wwwtax.cgi?mode=Info&amp;id=135165&amp;lvl=3&amp;lin=f&amp;keep=1&amp;srchmode=1&amp;unlock","Brachypteracias leptosomus")</f>
        <v>Brachypteracias leptosomus</v>
      </c>
      <c r="H218" t="s">
        <v>235</v>
      </c>
      <c r="I218" t="str">
        <f>HYPERLINK("http://www.ncbi.nlm.nih.gov/protein/NXS63123.1","FABP1 protein")</f>
        <v>FABP1 protein</v>
      </c>
      <c r="J218">
        <v>199.9</v>
      </c>
      <c r="K218" t="s">
        <v>25</v>
      </c>
      <c r="L218">
        <v>139</v>
      </c>
      <c r="M218">
        <v>50.68</v>
      </c>
      <c r="N218">
        <v>79.239999999999995</v>
      </c>
      <c r="O218" t="s">
        <v>20</v>
      </c>
      <c r="P218" t="s">
        <v>21</v>
      </c>
      <c r="Q218" t="s">
        <v>20</v>
      </c>
      <c r="R218" t="str">
        <f>HYPERLINK("https://cfpub.epa.gov/ecotox/explore.cfm?ncbi=135165","Explore in ECOTOX")</f>
        <v>Explore in ECOTOX</v>
      </c>
    </row>
    <row r="219" spans="1:18" x14ac:dyDescent="0.25">
      <c r="A219">
        <v>6</v>
      </c>
      <c r="B219" t="str">
        <f>HYPERLINK("http://www.ncbi.nlm.nih.gov/protein/XP_007432447.1","XP_007432447.1")</f>
        <v>XP_007432447.1</v>
      </c>
      <c r="C219">
        <v>32860</v>
      </c>
      <c r="D219" t="str">
        <f>HYPERLINK("http://www.ncbi.nlm.nih.gov/Taxonomy/Browser/wwwtax.cgi?mode=Info&amp;id=176946&amp;lvl=3&amp;lin=f&amp;keep=1&amp;srchmode=1&amp;unlock","176946")</f>
        <v>176946</v>
      </c>
      <c r="E219" t="s">
        <v>236</v>
      </c>
      <c r="F219" t="s">
        <v>236</v>
      </c>
      <c r="G219" t="str">
        <f>HYPERLINK("http://www.ncbi.nlm.nih.gov/Taxonomy/Browser/wwwtax.cgi?mode=Info&amp;id=176946&amp;lvl=3&amp;lin=f&amp;keep=1&amp;srchmode=1&amp;unlock","Python bivittatus")</f>
        <v>Python bivittatus</v>
      </c>
      <c r="H219" t="s">
        <v>237</v>
      </c>
      <c r="I219" t="str">
        <f>HYPERLINK("http://www.ncbi.nlm.nih.gov/protein/XP_007432447.1","fatty acid-binding protein, liver")</f>
        <v>fatty acid-binding protein, liver</v>
      </c>
      <c r="J219">
        <v>199.9</v>
      </c>
      <c r="K219" t="s">
        <v>25</v>
      </c>
      <c r="L219">
        <v>139</v>
      </c>
      <c r="M219">
        <v>50.68</v>
      </c>
      <c r="N219">
        <v>79.239999999999995</v>
      </c>
      <c r="O219" t="s">
        <v>20</v>
      </c>
      <c r="P219" t="s">
        <v>21</v>
      </c>
      <c r="Q219" t="s">
        <v>20</v>
      </c>
      <c r="R219" t="str">
        <f>HYPERLINK("https://cfpub.epa.gov/ecotox/explore.cfm?ncbi=176946","Explore in ECOTOX")</f>
        <v>Explore in ECOTOX</v>
      </c>
    </row>
    <row r="220" spans="1:18" x14ac:dyDescent="0.25">
      <c r="A220">
        <v>6</v>
      </c>
      <c r="B220" t="str">
        <f>HYPERLINK("http://www.ncbi.nlm.nih.gov/protein/NXW57142.1","NXW57142.1")</f>
        <v>NXW57142.1</v>
      </c>
      <c r="C220">
        <v>13972</v>
      </c>
      <c r="D220" t="str">
        <f>HYPERLINK("http://www.ncbi.nlm.nih.gov/Taxonomy/Browser/wwwtax.cgi?mode=Info&amp;id=325343&amp;lvl=3&amp;lin=f&amp;keep=1&amp;srchmode=1&amp;unlock","325343")</f>
        <v>325343</v>
      </c>
      <c r="E220" t="s">
        <v>167</v>
      </c>
      <c r="F220" t="s">
        <v>167</v>
      </c>
      <c r="G220" t="str">
        <f>HYPERLINK("http://www.ncbi.nlm.nih.gov/Taxonomy/Browser/wwwtax.cgi?mode=Info&amp;id=325343&amp;lvl=3&amp;lin=f&amp;keep=1&amp;srchmode=1&amp;unlock","Eurystomus gularis")</f>
        <v>Eurystomus gularis</v>
      </c>
      <c r="H220" t="s">
        <v>238</v>
      </c>
      <c r="I220" t="str">
        <f>HYPERLINK("http://www.ncbi.nlm.nih.gov/protein/NXW57142.1","FABPL protein")</f>
        <v>FABPL protein</v>
      </c>
      <c r="J220">
        <v>199.9</v>
      </c>
      <c r="K220" t="s">
        <v>25</v>
      </c>
      <c r="L220">
        <v>139</v>
      </c>
      <c r="M220">
        <v>50.68</v>
      </c>
      <c r="N220">
        <v>79.239999999999995</v>
      </c>
      <c r="O220" t="s">
        <v>20</v>
      </c>
      <c r="P220" t="s">
        <v>21</v>
      </c>
      <c r="Q220" t="s">
        <v>20</v>
      </c>
      <c r="R220" t="str">
        <f>HYPERLINK("https://cfpub.epa.gov/ecotox/explore.cfm?ncbi=325343","Explore in ECOTOX")</f>
        <v>Explore in ECOTOX</v>
      </c>
    </row>
    <row r="221" spans="1:18" x14ac:dyDescent="0.25">
      <c r="A221">
        <v>6</v>
      </c>
      <c r="B221" t="str">
        <f>HYPERLINK("http://www.ncbi.nlm.nih.gov/protein/NXK04686.1","NXK04686.1")</f>
        <v>NXK04686.1</v>
      </c>
      <c r="C221">
        <v>14398</v>
      </c>
      <c r="D221" t="str">
        <f>HYPERLINK("http://www.ncbi.nlm.nih.gov/Taxonomy/Browser/wwwtax.cgi?mode=Info&amp;id=56343&amp;lvl=3&amp;lin=f&amp;keep=1&amp;srchmode=1&amp;unlock","56343")</f>
        <v>56343</v>
      </c>
      <c r="E221" t="s">
        <v>167</v>
      </c>
      <c r="F221" t="s">
        <v>167</v>
      </c>
      <c r="G221" t="str">
        <f>HYPERLINK("http://www.ncbi.nlm.nih.gov/Taxonomy/Browser/wwwtax.cgi?mode=Info&amp;id=56343&amp;lvl=3&amp;lin=f&amp;keep=1&amp;srchmode=1&amp;unlock","Herpetotheres cachinnans")</f>
        <v>Herpetotheres cachinnans</v>
      </c>
      <c r="H221" t="s">
        <v>239</v>
      </c>
      <c r="I221" t="str">
        <f>HYPERLINK("http://www.ncbi.nlm.nih.gov/protein/NXK04686.1","FABPL protein")</f>
        <v>FABPL protein</v>
      </c>
      <c r="J221">
        <v>199.9</v>
      </c>
      <c r="K221" t="s">
        <v>25</v>
      </c>
      <c r="L221">
        <v>139</v>
      </c>
      <c r="M221">
        <v>50.68</v>
      </c>
      <c r="N221">
        <v>79.239999999999995</v>
      </c>
      <c r="O221" t="s">
        <v>20</v>
      </c>
      <c r="P221" t="s">
        <v>21</v>
      </c>
      <c r="Q221" t="s">
        <v>20</v>
      </c>
      <c r="R221" t="str">
        <f>HYPERLINK("https://cfpub.epa.gov/ecotox/explore.cfm?ncbi=56343","Explore in ECOTOX")</f>
        <v>Explore in ECOTOX</v>
      </c>
    </row>
    <row r="222" spans="1:18" x14ac:dyDescent="0.25">
      <c r="A222">
        <v>6</v>
      </c>
      <c r="B222" t="str">
        <f>HYPERLINK("http://www.ncbi.nlm.nih.gov/protein/NXF65018.1","NXF65018.1")</f>
        <v>NXF65018.1</v>
      </c>
      <c r="C222">
        <v>13848</v>
      </c>
      <c r="D222" t="str">
        <f>HYPERLINK("http://www.ncbi.nlm.nih.gov/Taxonomy/Browser/wwwtax.cgi?mode=Info&amp;id=1118524&amp;lvl=3&amp;lin=f&amp;keep=1&amp;srchmode=1&amp;unlock","1118524")</f>
        <v>1118524</v>
      </c>
      <c r="E222" t="s">
        <v>167</v>
      </c>
      <c r="F222" t="s">
        <v>167</v>
      </c>
      <c r="G222" t="str">
        <f>HYPERLINK("http://www.ncbi.nlm.nih.gov/Taxonomy/Browser/wwwtax.cgi?mode=Info&amp;id=1118524&amp;lvl=3&amp;lin=f&amp;keep=1&amp;srchmode=1&amp;unlock","Ciccaba nigrolineata")</f>
        <v>Ciccaba nigrolineata</v>
      </c>
      <c r="H222" t="s">
        <v>240</v>
      </c>
      <c r="I222" t="str">
        <f>HYPERLINK("http://www.ncbi.nlm.nih.gov/protein/NXF65018.1","FABPL protein")</f>
        <v>FABPL protein</v>
      </c>
      <c r="J222">
        <v>199.52</v>
      </c>
      <c r="K222" t="s">
        <v>25</v>
      </c>
      <c r="L222">
        <v>139</v>
      </c>
      <c r="M222">
        <v>50.68</v>
      </c>
      <c r="N222">
        <v>79.08</v>
      </c>
      <c r="O222" t="s">
        <v>20</v>
      </c>
      <c r="P222" t="s">
        <v>21</v>
      </c>
      <c r="Q222" t="s">
        <v>20</v>
      </c>
      <c r="R222" t="str">
        <f>HYPERLINK("https://cfpub.epa.gov/ecotox/explore.cfm?ncbi=1118524","Explore in ECOTOX")</f>
        <v>Explore in ECOTOX</v>
      </c>
    </row>
    <row r="223" spans="1:18" x14ac:dyDescent="0.25">
      <c r="A223">
        <v>6</v>
      </c>
      <c r="B223" t="str">
        <f>HYPERLINK("http://www.ncbi.nlm.nih.gov/protein/XP_007175370.1","XP_007175370.1")</f>
        <v>XP_007175370.1</v>
      </c>
      <c r="C223">
        <v>37624</v>
      </c>
      <c r="D223" t="str">
        <f>HYPERLINK("http://www.ncbi.nlm.nih.gov/Taxonomy/Browser/wwwtax.cgi?mode=Info&amp;id=310752&amp;lvl=3&amp;lin=f&amp;keep=1&amp;srchmode=1&amp;unlock","310752")</f>
        <v>310752</v>
      </c>
      <c r="E223" t="s">
        <v>18</v>
      </c>
      <c r="F223" t="s">
        <v>18</v>
      </c>
      <c r="G223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223" t="s">
        <v>241</v>
      </c>
      <c r="I223" t="str">
        <f>HYPERLINK("http://www.ncbi.nlm.nih.gov/protein/XP_007175370.1","fatty acid-binding protein, liver")</f>
        <v>fatty acid-binding protein, liver</v>
      </c>
      <c r="J223">
        <v>199.52</v>
      </c>
      <c r="K223" t="s">
        <v>25</v>
      </c>
      <c r="L223">
        <v>139</v>
      </c>
      <c r="M223">
        <v>50.68</v>
      </c>
      <c r="N223">
        <v>79.08</v>
      </c>
      <c r="O223" t="s">
        <v>20</v>
      </c>
      <c r="P223" t="s">
        <v>21</v>
      </c>
      <c r="Q223" t="s">
        <v>20</v>
      </c>
      <c r="R223" t="str">
        <f>HYPERLINK("https://cfpub.epa.gov/ecotox/explore.cfm?ncbi=310752","Explore in ECOTOX")</f>
        <v>Explore in ECOTOX</v>
      </c>
    </row>
    <row r="224" spans="1:18" x14ac:dyDescent="0.25">
      <c r="A224">
        <v>6</v>
      </c>
      <c r="B224" t="str">
        <f>HYPERLINK("http://www.ncbi.nlm.nih.gov/protein/NXU73809.1","NXU73809.1")</f>
        <v>NXU73809.1</v>
      </c>
      <c r="C224">
        <v>12185</v>
      </c>
      <c r="D224" t="str">
        <f>HYPERLINK("http://www.ncbi.nlm.nih.gov/Taxonomy/Browser/wwwtax.cgi?mode=Info&amp;id=689266&amp;lvl=3&amp;lin=f&amp;keep=1&amp;srchmode=1&amp;unlock","689266")</f>
        <v>689266</v>
      </c>
      <c r="E224" t="s">
        <v>167</v>
      </c>
      <c r="F224" t="s">
        <v>167</v>
      </c>
      <c r="G224" t="str">
        <f>HYPERLINK("http://www.ncbi.nlm.nih.gov/Taxonomy/Browser/wwwtax.cgi?mode=Info&amp;id=689266&amp;lvl=3&amp;lin=f&amp;keep=1&amp;srchmode=1&amp;unlock","Oreotrochilus melanogaster")</f>
        <v>Oreotrochilus melanogaster</v>
      </c>
      <c r="H224" t="s">
        <v>242</v>
      </c>
      <c r="I224" t="str">
        <f>HYPERLINK("http://www.ncbi.nlm.nih.gov/protein/NXU73809.1","FABPL protein")</f>
        <v>FABPL protein</v>
      </c>
      <c r="J224">
        <v>199.52</v>
      </c>
      <c r="K224" t="s">
        <v>25</v>
      </c>
      <c r="L224">
        <v>139</v>
      </c>
      <c r="M224">
        <v>50.68</v>
      </c>
      <c r="N224">
        <v>79.08</v>
      </c>
      <c r="O224" t="s">
        <v>20</v>
      </c>
      <c r="P224" t="s">
        <v>21</v>
      </c>
      <c r="Q224" t="s">
        <v>20</v>
      </c>
      <c r="R224" t="str">
        <f>HYPERLINK("https://cfpub.epa.gov/ecotox/explore.cfm?ncbi=689266","Explore in ECOTOX")</f>
        <v>Explore in ECOTOX</v>
      </c>
    </row>
    <row r="225" spans="1:18" x14ac:dyDescent="0.25">
      <c r="A225">
        <v>6</v>
      </c>
      <c r="B225" t="str">
        <f>HYPERLINK("http://www.ncbi.nlm.nih.gov/protein/NXO03063.1","NXO03063.1")</f>
        <v>NXO03063.1</v>
      </c>
      <c r="C225">
        <v>14850</v>
      </c>
      <c r="D225" t="str">
        <f>HYPERLINK("http://www.ncbi.nlm.nih.gov/Taxonomy/Browser/wwwtax.cgi?mode=Info&amp;id=113115&amp;lvl=3&amp;lin=f&amp;keep=1&amp;srchmode=1&amp;unlock","113115")</f>
        <v>113115</v>
      </c>
      <c r="E225" t="s">
        <v>167</v>
      </c>
      <c r="F225" t="s">
        <v>167</v>
      </c>
      <c r="G225" t="str">
        <f>HYPERLINK("http://www.ncbi.nlm.nih.gov/Taxonomy/Browser/wwwtax.cgi?mode=Info&amp;id=113115&amp;lvl=3&amp;lin=f&amp;keep=1&amp;srchmode=1&amp;unlock","Rhinopomastus cyanomelas")</f>
        <v>Rhinopomastus cyanomelas</v>
      </c>
      <c r="H225" t="s">
        <v>243</v>
      </c>
      <c r="I225" t="str">
        <f>HYPERLINK("http://www.ncbi.nlm.nih.gov/protein/NXO03063.1","FABPL protein")</f>
        <v>FABPL protein</v>
      </c>
      <c r="J225">
        <v>199.52</v>
      </c>
      <c r="K225" t="s">
        <v>25</v>
      </c>
      <c r="L225">
        <v>139</v>
      </c>
      <c r="M225">
        <v>50.68</v>
      </c>
      <c r="N225">
        <v>79.08</v>
      </c>
      <c r="O225" t="s">
        <v>20</v>
      </c>
      <c r="P225" t="s">
        <v>21</v>
      </c>
      <c r="Q225" t="s">
        <v>20</v>
      </c>
      <c r="R225" t="str">
        <f>HYPERLINK("https://cfpub.epa.gov/ecotox/explore.cfm?ncbi=113115","Explore in ECOTOX")</f>
        <v>Explore in ECOTOX</v>
      </c>
    </row>
    <row r="226" spans="1:18" x14ac:dyDescent="0.25">
      <c r="A226">
        <v>6</v>
      </c>
      <c r="B226" t="str">
        <f>HYPERLINK("http://www.ncbi.nlm.nih.gov/protein/NXS85577.1","NXS85577.1")</f>
        <v>NXS85577.1</v>
      </c>
      <c r="C226">
        <v>13355</v>
      </c>
      <c r="D226" t="str">
        <f>HYPERLINK("http://www.ncbi.nlm.nih.gov/Taxonomy/Browser/wwwtax.cgi?mode=Info&amp;id=1112836&amp;lvl=3&amp;lin=f&amp;keep=1&amp;srchmode=1&amp;unlock","1112836")</f>
        <v>1112836</v>
      </c>
      <c r="E226" t="s">
        <v>167</v>
      </c>
      <c r="F226" t="s">
        <v>167</v>
      </c>
      <c r="G226" t="str">
        <f>HYPERLINK("http://www.ncbi.nlm.nih.gov/Taxonomy/Browser/wwwtax.cgi?mode=Info&amp;id=1112836&amp;lvl=3&amp;lin=f&amp;keep=1&amp;srchmode=1&amp;unlock","Erpornis zantholeuca")</f>
        <v>Erpornis zantholeuca</v>
      </c>
      <c r="H226" t="s">
        <v>244</v>
      </c>
      <c r="I226" t="str">
        <f>HYPERLINK("http://www.ncbi.nlm.nih.gov/protein/NXS85577.1","FABPL protein")</f>
        <v>FABPL protein</v>
      </c>
      <c r="J226">
        <v>199.52</v>
      </c>
      <c r="K226" t="s">
        <v>25</v>
      </c>
      <c r="L226">
        <v>139</v>
      </c>
      <c r="M226">
        <v>50.68</v>
      </c>
      <c r="N226">
        <v>79.08</v>
      </c>
      <c r="O226" t="s">
        <v>20</v>
      </c>
      <c r="P226" t="s">
        <v>21</v>
      </c>
      <c r="Q226" t="s">
        <v>20</v>
      </c>
      <c r="R226" t="str">
        <f>HYPERLINK("https://cfpub.epa.gov/ecotox/explore.cfm?ncbi=1112836","Explore in ECOTOX")</f>
        <v>Explore in ECOTOX</v>
      </c>
    </row>
    <row r="227" spans="1:18" x14ac:dyDescent="0.25">
      <c r="A227">
        <v>6</v>
      </c>
      <c r="B227" t="str">
        <f>HYPERLINK("http://www.ncbi.nlm.nih.gov/protein/XP_008948027.1","XP_008948027.1")</f>
        <v>XP_008948027.1</v>
      </c>
      <c r="C227">
        <v>26772</v>
      </c>
      <c r="D227" t="str">
        <f>HYPERLINK("http://www.ncbi.nlm.nih.gov/Taxonomy/Browser/wwwtax.cgi?mode=Info&amp;id=57421&amp;lvl=3&amp;lin=f&amp;keep=1&amp;srchmode=1&amp;unlock","57421")</f>
        <v>57421</v>
      </c>
      <c r="E227" t="s">
        <v>167</v>
      </c>
      <c r="F227" t="s">
        <v>167</v>
      </c>
      <c r="G227" t="str">
        <f>HYPERLINK("http://www.ncbi.nlm.nih.gov/Taxonomy/Browser/wwwtax.cgi?mode=Info&amp;id=57421&amp;lvl=3&amp;lin=f&amp;keep=1&amp;srchmode=1&amp;unlock","Merops nubicus")</f>
        <v>Merops nubicus</v>
      </c>
      <c r="H227" t="s">
        <v>245</v>
      </c>
      <c r="I227" t="str">
        <f>HYPERLINK("http://www.ncbi.nlm.nih.gov/protein/XP_008948027.1","PREDICTED: fatty acid-binding protein, liver")</f>
        <v>PREDICTED: fatty acid-binding protein, liver</v>
      </c>
      <c r="J227">
        <v>199.52</v>
      </c>
      <c r="K227" t="s">
        <v>25</v>
      </c>
      <c r="L227">
        <v>139</v>
      </c>
      <c r="M227">
        <v>50.68</v>
      </c>
      <c r="N227">
        <v>79.08</v>
      </c>
      <c r="O227" t="s">
        <v>20</v>
      </c>
      <c r="P227" t="s">
        <v>21</v>
      </c>
      <c r="Q227" t="s">
        <v>20</v>
      </c>
      <c r="R227" t="str">
        <f>HYPERLINK("https://cfpub.epa.gov/ecotox/explore.cfm?ncbi=57421","Explore in ECOTOX")</f>
        <v>Explore in ECOTOX</v>
      </c>
    </row>
    <row r="228" spans="1:18" x14ac:dyDescent="0.25">
      <c r="A228">
        <v>6</v>
      </c>
      <c r="B228" t="str">
        <f>HYPERLINK("http://www.ncbi.nlm.nih.gov/protein/XP_009554280.1","XP_009554280.1")</f>
        <v>XP_009554280.1</v>
      </c>
      <c r="C228">
        <v>30502</v>
      </c>
      <c r="D228" t="str">
        <f>HYPERLINK("http://www.ncbi.nlm.nih.gov/Taxonomy/Browser/wwwtax.cgi?mode=Info&amp;id=55661&amp;lvl=3&amp;lin=f&amp;keep=1&amp;srchmode=1&amp;unlock","55661")</f>
        <v>55661</v>
      </c>
      <c r="E228" t="s">
        <v>167</v>
      </c>
      <c r="F228" t="s">
        <v>167</v>
      </c>
      <c r="G228" t="str">
        <f>HYPERLINK("http://www.ncbi.nlm.nih.gov/Taxonomy/Browser/wwwtax.cgi?mode=Info&amp;id=55661&amp;lvl=3&amp;lin=f&amp;keep=1&amp;srchmode=1&amp;unlock","Cuculus canorus")</f>
        <v>Cuculus canorus</v>
      </c>
      <c r="H228" t="s">
        <v>246</v>
      </c>
      <c r="I228" t="str">
        <f>HYPERLINK("http://www.ncbi.nlm.nih.gov/protein/XP_009554280.1","PREDICTED: fatty acid-binding protein, liver")</f>
        <v>PREDICTED: fatty acid-binding protein, liver</v>
      </c>
      <c r="J228">
        <v>199.52</v>
      </c>
      <c r="K228" t="s">
        <v>25</v>
      </c>
      <c r="L228">
        <v>139</v>
      </c>
      <c r="M228">
        <v>50.68</v>
      </c>
      <c r="N228">
        <v>79.08</v>
      </c>
      <c r="O228" t="s">
        <v>20</v>
      </c>
      <c r="P228" t="s">
        <v>21</v>
      </c>
      <c r="Q228" t="s">
        <v>20</v>
      </c>
      <c r="R228" t="str">
        <f>HYPERLINK("https://cfpub.epa.gov/ecotox/explore.cfm?ncbi=55661","Explore in ECOTOX")</f>
        <v>Explore in ECOTOX</v>
      </c>
    </row>
    <row r="229" spans="1:18" x14ac:dyDescent="0.25">
      <c r="A229">
        <v>6</v>
      </c>
      <c r="B229" t="str">
        <f>HYPERLINK("http://www.ncbi.nlm.nih.gov/protein/KAF1521619.1","KAF1521619.1")</f>
        <v>KAF1521619.1</v>
      </c>
      <c r="C229">
        <v>12822</v>
      </c>
      <c r="D229" t="str">
        <f>HYPERLINK("http://www.ncbi.nlm.nih.gov/Taxonomy/Browser/wwwtax.cgi?mode=Info&amp;id=92688&amp;lvl=3&amp;lin=f&amp;keep=1&amp;srchmode=1&amp;unlock","92688")</f>
        <v>92688</v>
      </c>
      <c r="E229" t="s">
        <v>167</v>
      </c>
      <c r="F229" t="s">
        <v>167</v>
      </c>
      <c r="G229" t="str">
        <f>HYPERLINK("http://www.ncbi.nlm.nih.gov/Taxonomy/Browser/wwwtax.cgi?mode=Info&amp;id=92688&amp;lvl=3&amp;lin=f&amp;keep=1&amp;srchmode=1&amp;unlock","Eudyptes sclateri")</f>
        <v>Eudyptes sclateri</v>
      </c>
      <c r="H229" t="s">
        <v>247</v>
      </c>
      <c r="I229" t="str">
        <f>HYPERLINK("http://www.ncbi.nlm.nih.gov/protein/KAF1521619.1","Fatty acid-binding protein, liver, partial")</f>
        <v>Fatty acid-binding protein, liver, partial</v>
      </c>
      <c r="J229">
        <v>199.13</v>
      </c>
      <c r="K229" t="s">
        <v>25</v>
      </c>
      <c r="L229">
        <v>139</v>
      </c>
      <c r="M229">
        <v>50.68</v>
      </c>
      <c r="N229">
        <v>78.930000000000007</v>
      </c>
      <c r="O229" t="s">
        <v>20</v>
      </c>
      <c r="P229" t="s">
        <v>21</v>
      </c>
      <c r="Q229" t="s">
        <v>20</v>
      </c>
      <c r="R229" t="str">
        <f>HYPERLINK("https://cfpub.epa.gov/ecotox/explore.cfm?ncbi=92688","Explore in ECOTOX")</f>
        <v>Explore in ECOTOX</v>
      </c>
    </row>
    <row r="230" spans="1:18" x14ac:dyDescent="0.25">
      <c r="A230">
        <v>6</v>
      </c>
      <c r="B230" t="str">
        <f>HYPERLINK("http://www.ncbi.nlm.nih.gov/protein/KAF1408843.1","KAF1408843.1")</f>
        <v>KAF1408843.1</v>
      </c>
      <c r="C230">
        <v>15390</v>
      </c>
      <c r="D230" t="str">
        <f>HYPERLINK("http://www.ncbi.nlm.nih.gov/Taxonomy/Browser/wwwtax.cgi?mode=Info&amp;id=9240&amp;lvl=3&amp;lin=f&amp;keep=1&amp;srchmode=1&amp;unlock","9240")</f>
        <v>9240</v>
      </c>
      <c r="E230" t="s">
        <v>167</v>
      </c>
      <c r="F230" t="s">
        <v>167</v>
      </c>
      <c r="G230" t="str">
        <f>HYPERLINK("http://www.ncbi.nlm.nih.gov/Taxonomy/Browser/wwwtax.cgi?mode=Info&amp;id=9240&amp;lvl=3&amp;lin=f&amp;keep=1&amp;srchmode=1&amp;unlock","Spheniscus humboldti")</f>
        <v>Spheniscus humboldti</v>
      </c>
      <c r="H230" t="s">
        <v>248</v>
      </c>
      <c r="I230" t="str">
        <f>HYPERLINK("http://www.ncbi.nlm.nih.gov/protein/KAF1408843.1","Fatty acid-binding protein, liver, partial")</f>
        <v>Fatty acid-binding protein, liver, partial</v>
      </c>
      <c r="J230">
        <v>199.13</v>
      </c>
      <c r="K230" t="s">
        <v>25</v>
      </c>
      <c r="L230">
        <v>139</v>
      </c>
      <c r="M230">
        <v>50.68</v>
      </c>
      <c r="N230">
        <v>78.930000000000007</v>
      </c>
      <c r="O230" t="s">
        <v>20</v>
      </c>
      <c r="P230" t="s">
        <v>21</v>
      </c>
      <c r="Q230" t="s">
        <v>20</v>
      </c>
      <c r="R230" t="str">
        <f>HYPERLINK("https://cfpub.epa.gov/ecotox/explore.cfm?ncbi=9240","Explore in ECOTOX")</f>
        <v>Explore in ECOTOX</v>
      </c>
    </row>
    <row r="231" spans="1:18" x14ac:dyDescent="0.25">
      <c r="A231">
        <v>6</v>
      </c>
      <c r="B231" t="str">
        <f>HYPERLINK("http://www.ncbi.nlm.nih.gov/protein/KAF1643707.1","KAF1643707.1")</f>
        <v>KAF1643707.1</v>
      </c>
      <c r="C231">
        <v>12903</v>
      </c>
      <c r="D231" t="str">
        <f>HYPERLINK("http://www.ncbi.nlm.nih.gov/Taxonomy/Browser/wwwtax.cgi?mode=Info&amp;id=79626&amp;lvl=3&amp;lin=f&amp;keep=1&amp;srchmode=1&amp;unlock","79626")</f>
        <v>79626</v>
      </c>
      <c r="E231" t="s">
        <v>167</v>
      </c>
      <c r="F231" t="s">
        <v>167</v>
      </c>
      <c r="G231" t="str">
        <f>HYPERLINK("http://www.ncbi.nlm.nih.gov/Taxonomy/Browser/wwwtax.cgi?mode=Info&amp;id=79626&amp;lvl=3&amp;lin=f&amp;keep=1&amp;srchmode=1&amp;unlock","Eudyptes chrysocome")</f>
        <v>Eudyptes chrysocome</v>
      </c>
      <c r="H231" t="s">
        <v>249</v>
      </c>
      <c r="I231" t="str">
        <f>HYPERLINK("http://www.ncbi.nlm.nih.gov/protein/KAF1643707.1","Fatty acid-binding protein, liver, partial")</f>
        <v>Fatty acid-binding protein, liver, partial</v>
      </c>
      <c r="J231">
        <v>199.13</v>
      </c>
      <c r="K231" t="s">
        <v>25</v>
      </c>
      <c r="L231">
        <v>139</v>
      </c>
      <c r="M231">
        <v>50.68</v>
      </c>
      <c r="N231">
        <v>78.930000000000007</v>
      </c>
      <c r="O231" t="s">
        <v>20</v>
      </c>
      <c r="P231" t="s">
        <v>21</v>
      </c>
      <c r="Q231" t="s">
        <v>20</v>
      </c>
      <c r="R231" t="str">
        <f>HYPERLINK("https://cfpub.epa.gov/ecotox/explore.cfm?ncbi=79626","Explore in ECOTOX")</f>
        <v>Explore in ECOTOX</v>
      </c>
    </row>
    <row r="232" spans="1:18" x14ac:dyDescent="0.25">
      <c r="A232">
        <v>6</v>
      </c>
      <c r="B232" t="str">
        <f>HYPERLINK("http://www.ncbi.nlm.nih.gov/protein/XP_009964394.1","XP_009964394.1")</f>
        <v>XP_009964394.1</v>
      </c>
      <c r="C232">
        <v>32984</v>
      </c>
      <c r="D232" t="str">
        <f>HYPERLINK("http://www.ncbi.nlm.nih.gov/Taxonomy/Browser/wwwtax.cgi?mode=Info&amp;id=507980&amp;lvl=3&amp;lin=f&amp;keep=1&amp;srchmode=1&amp;unlock","507980")</f>
        <v>507980</v>
      </c>
      <c r="E232" t="s">
        <v>167</v>
      </c>
      <c r="F232" t="s">
        <v>167</v>
      </c>
      <c r="G232" t="str">
        <f>HYPERLINK("http://www.ncbi.nlm.nih.gov/Taxonomy/Browser/wwwtax.cgi?mode=Info&amp;id=507980&amp;lvl=3&amp;lin=f&amp;keep=1&amp;srchmode=1&amp;unlock","Tyto alba alba")</f>
        <v>Tyto alba alba</v>
      </c>
      <c r="H232" t="s">
        <v>250</v>
      </c>
      <c r="I232" t="str">
        <f>HYPERLINK("http://www.ncbi.nlm.nih.gov/protein/XP_009964394.1","fatty acid-binding protein, liver")</f>
        <v>fatty acid-binding protein, liver</v>
      </c>
      <c r="J232">
        <v>199.13</v>
      </c>
      <c r="K232" t="s">
        <v>25</v>
      </c>
      <c r="L232">
        <v>139</v>
      </c>
      <c r="M232">
        <v>50.68</v>
      </c>
      <c r="N232">
        <v>78.930000000000007</v>
      </c>
      <c r="O232" t="s">
        <v>20</v>
      </c>
      <c r="P232" t="s">
        <v>21</v>
      </c>
      <c r="Q232" t="s">
        <v>20</v>
      </c>
      <c r="R232" t="str">
        <f>HYPERLINK("https://cfpub.epa.gov/ecotox/explore.cfm?ncbi=507980","Explore in ECOTOX")</f>
        <v>Explore in ECOTOX</v>
      </c>
    </row>
    <row r="233" spans="1:18" x14ac:dyDescent="0.25">
      <c r="A233">
        <v>6</v>
      </c>
      <c r="B233" t="str">
        <f>HYPERLINK("http://www.ncbi.nlm.nih.gov/protein/XP_025890019.1","XP_025890019.1")</f>
        <v>XP_025890019.1</v>
      </c>
      <c r="C233">
        <v>21562</v>
      </c>
      <c r="D233" t="str">
        <f>HYPERLINK("http://www.ncbi.nlm.nih.gov/Taxonomy/Browser/wwwtax.cgi?mode=Info&amp;id=30464&amp;lvl=3&amp;lin=f&amp;keep=1&amp;srchmode=1&amp;unlock","30464")</f>
        <v>30464</v>
      </c>
      <c r="E233" t="s">
        <v>167</v>
      </c>
      <c r="F233" t="s">
        <v>167</v>
      </c>
      <c r="G233" t="str">
        <f>HYPERLINK("http://www.ncbi.nlm.nih.gov/Taxonomy/Browser/wwwtax.cgi?mode=Info&amp;id=30464&amp;lvl=3&amp;lin=f&amp;keep=1&amp;srchmode=1&amp;unlock","Nothoprocta perdicaria")</f>
        <v>Nothoprocta perdicaria</v>
      </c>
      <c r="H233" t="s">
        <v>196</v>
      </c>
      <c r="I233" t="str">
        <f>HYPERLINK("http://www.ncbi.nlm.nih.gov/protein/XP_025890019.1","fatty acid-binding protein, liver")</f>
        <v>fatty acid-binding protein, liver</v>
      </c>
      <c r="J233">
        <v>199.13</v>
      </c>
      <c r="K233" t="s">
        <v>25</v>
      </c>
      <c r="L233">
        <v>139</v>
      </c>
      <c r="M233">
        <v>50.68</v>
      </c>
      <c r="N233">
        <v>78.930000000000007</v>
      </c>
      <c r="O233" t="s">
        <v>20</v>
      </c>
      <c r="P233" t="s">
        <v>21</v>
      </c>
      <c r="Q233" t="s">
        <v>20</v>
      </c>
      <c r="R233" t="str">
        <f>HYPERLINK("https://cfpub.epa.gov/ecotox/explore.cfm?ncbi=30464","Explore in ECOTOX")</f>
        <v>Explore in ECOTOX</v>
      </c>
    </row>
    <row r="234" spans="1:18" x14ac:dyDescent="0.25">
      <c r="A234">
        <v>6</v>
      </c>
      <c r="B234" t="str">
        <f>HYPERLINK("http://www.ncbi.nlm.nih.gov/protein/KAF1439636.1","KAF1439636.1")</f>
        <v>KAF1439636.1</v>
      </c>
      <c r="C234">
        <v>14289</v>
      </c>
      <c r="D234" t="str">
        <f>HYPERLINK("http://www.ncbi.nlm.nih.gov/Taxonomy/Browser/wwwtax.cgi?mode=Info&amp;id=92683&amp;lvl=3&amp;lin=f&amp;keep=1&amp;srchmode=1&amp;unlock","92683")</f>
        <v>92683</v>
      </c>
      <c r="E234" t="s">
        <v>167</v>
      </c>
      <c r="F234" t="s">
        <v>167</v>
      </c>
      <c r="G234" t="str">
        <f>HYPERLINK("http://www.ncbi.nlm.nih.gov/Taxonomy/Browser/wwwtax.cgi?mode=Info&amp;id=92683&amp;lvl=3&amp;lin=f&amp;keep=1&amp;srchmode=1&amp;unlock","Spheniscus demersus")</f>
        <v>Spheniscus demersus</v>
      </c>
      <c r="H234" t="s">
        <v>251</v>
      </c>
      <c r="I234" t="str">
        <f>HYPERLINK("http://www.ncbi.nlm.nih.gov/protein/KAF1439636.1","Fatty acid-binding protein, liver, partial")</f>
        <v>Fatty acid-binding protein, liver, partial</v>
      </c>
      <c r="J234">
        <v>199.13</v>
      </c>
      <c r="K234" t="s">
        <v>25</v>
      </c>
      <c r="L234">
        <v>139</v>
      </c>
      <c r="M234">
        <v>50.68</v>
      </c>
      <c r="N234">
        <v>78.930000000000007</v>
      </c>
      <c r="O234" t="s">
        <v>20</v>
      </c>
      <c r="P234" t="s">
        <v>21</v>
      </c>
      <c r="Q234" t="s">
        <v>20</v>
      </c>
      <c r="R234" t="str">
        <f>HYPERLINK("https://cfpub.epa.gov/ecotox/explore.cfm?ncbi=92683","Explore in ECOTOX")</f>
        <v>Explore in ECOTOX</v>
      </c>
    </row>
    <row r="235" spans="1:18" x14ac:dyDescent="0.25">
      <c r="A235">
        <v>6</v>
      </c>
      <c r="B235" t="str">
        <f>HYPERLINK("http://www.ncbi.nlm.nih.gov/protein/KAF1593383.1","KAF1593383.1")</f>
        <v>KAF1593383.1</v>
      </c>
      <c r="C235">
        <v>15573</v>
      </c>
      <c r="D235" t="str">
        <f>HYPERLINK("http://www.ncbi.nlm.nih.gov/Taxonomy/Browser/wwwtax.cgi?mode=Info&amp;id=345251&amp;lvl=3&amp;lin=f&amp;keep=1&amp;srchmode=1&amp;unlock","345251")</f>
        <v>345251</v>
      </c>
      <c r="E235" t="s">
        <v>167</v>
      </c>
      <c r="F235" t="s">
        <v>167</v>
      </c>
      <c r="G235" t="str">
        <f>HYPERLINK("http://www.ncbi.nlm.nih.gov/Taxonomy/Browser/wwwtax.cgi?mode=Info&amp;id=345251&amp;lvl=3&amp;lin=f&amp;keep=1&amp;srchmode=1&amp;unlock","Eudyptes robustus")</f>
        <v>Eudyptes robustus</v>
      </c>
      <c r="H235" t="s">
        <v>252</v>
      </c>
      <c r="I235" t="str">
        <f>HYPERLINK("http://www.ncbi.nlm.nih.gov/protein/KAF1593383.1","Fatty acid-binding protein, liver, partial")</f>
        <v>Fatty acid-binding protein, liver, partial</v>
      </c>
      <c r="J235">
        <v>199.13</v>
      </c>
      <c r="K235" t="s">
        <v>25</v>
      </c>
      <c r="L235">
        <v>139</v>
      </c>
      <c r="M235">
        <v>50.68</v>
      </c>
      <c r="N235">
        <v>78.930000000000007</v>
      </c>
      <c r="O235" t="s">
        <v>20</v>
      </c>
      <c r="P235" t="s">
        <v>21</v>
      </c>
      <c r="Q235" t="s">
        <v>20</v>
      </c>
      <c r="R235" t="str">
        <f>HYPERLINK("https://cfpub.epa.gov/ecotox/explore.cfm?ncbi=345251","Explore in ECOTOX")</f>
        <v>Explore in ECOTOX</v>
      </c>
    </row>
    <row r="236" spans="1:18" x14ac:dyDescent="0.25">
      <c r="A236">
        <v>6</v>
      </c>
      <c r="B236" t="str">
        <f>HYPERLINK("http://www.ncbi.nlm.nih.gov/protein/NXL34608.1","NXL34608.1")</f>
        <v>NXL34608.1</v>
      </c>
      <c r="C236">
        <v>14261</v>
      </c>
      <c r="D236" t="str">
        <f>HYPERLINK("http://www.ncbi.nlm.nih.gov/Taxonomy/Browser/wwwtax.cgi?mode=Info&amp;id=78217&amp;lvl=3&amp;lin=f&amp;keep=1&amp;srchmode=1&amp;unlock","78217")</f>
        <v>78217</v>
      </c>
      <c r="E236" t="s">
        <v>167</v>
      </c>
      <c r="F236" t="s">
        <v>167</v>
      </c>
      <c r="G236" t="str">
        <f>HYPERLINK("http://www.ncbi.nlm.nih.gov/Taxonomy/Browser/wwwtax.cgi?mode=Info&amp;id=78217&amp;lvl=3&amp;lin=f&amp;keep=1&amp;srchmode=1&amp;unlock","Glaucidium brasilianum")</f>
        <v>Glaucidium brasilianum</v>
      </c>
      <c r="H236" t="s">
        <v>253</v>
      </c>
      <c r="I236" t="str">
        <f>HYPERLINK("http://www.ncbi.nlm.nih.gov/protein/NXL34608.1","FABPL protein")</f>
        <v>FABPL protein</v>
      </c>
      <c r="J236">
        <v>199.13</v>
      </c>
      <c r="K236" t="s">
        <v>25</v>
      </c>
      <c r="L236">
        <v>139</v>
      </c>
      <c r="M236">
        <v>50.68</v>
      </c>
      <c r="N236">
        <v>78.930000000000007</v>
      </c>
      <c r="O236" t="s">
        <v>20</v>
      </c>
      <c r="P236" t="s">
        <v>21</v>
      </c>
      <c r="Q236" t="s">
        <v>20</v>
      </c>
      <c r="R236" t="str">
        <f>HYPERLINK("https://cfpub.epa.gov/ecotox/explore.cfm?ncbi=78217","Explore in ECOTOX")</f>
        <v>Explore in ECOTOX</v>
      </c>
    </row>
    <row r="237" spans="1:18" x14ac:dyDescent="0.25">
      <c r="A237">
        <v>6</v>
      </c>
      <c r="B237" t="str">
        <f>HYPERLINK("http://www.ncbi.nlm.nih.gov/protein/NXX97299.1","NXX97299.1")</f>
        <v>NXX97299.1</v>
      </c>
      <c r="C237">
        <v>13206</v>
      </c>
      <c r="D237" t="str">
        <f>HYPERLINK("http://www.ncbi.nlm.nih.gov/Taxonomy/Browser/wwwtax.cgi?mode=Info&amp;id=1463675&amp;lvl=3&amp;lin=f&amp;keep=1&amp;srchmode=1&amp;unlock","1463675")</f>
        <v>1463675</v>
      </c>
      <c r="E237" t="s">
        <v>167</v>
      </c>
      <c r="F237" t="s">
        <v>167</v>
      </c>
      <c r="G237" t="str">
        <f>HYPERLINK("http://www.ncbi.nlm.nih.gov/Taxonomy/Browser/wwwtax.cgi?mode=Info&amp;id=1463675&amp;lvl=3&amp;lin=f&amp;keep=1&amp;srchmode=1&amp;unlock","Centropus bengalensis")</f>
        <v>Centropus bengalensis</v>
      </c>
      <c r="H237" t="s">
        <v>254</v>
      </c>
      <c r="I237" t="str">
        <f>HYPERLINK("http://www.ncbi.nlm.nih.gov/protein/NXX97299.1","FABPL protein")</f>
        <v>FABPL protein</v>
      </c>
      <c r="J237">
        <v>199.13</v>
      </c>
      <c r="K237" t="s">
        <v>20</v>
      </c>
      <c r="L237">
        <v>139</v>
      </c>
      <c r="M237">
        <v>50.68</v>
      </c>
      <c r="N237">
        <v>78.930000000000007</v>
      </c>
      <c r="O237" t="s">
        <v>20</v>
      </c>
      <c r="P237" t="s">
        <v>21</v>
      </c>
      <c r="Q237" t="s">
        <v>20</v>
      </c>
      <c r="R237" t="str">
        <f>HYPERLINK("https://cfpub.epa.gov/ecotox/explore.cfm?ncbi=1463675","Explore in ECOTOX")</f>
        <v>Explore in ECOTOX</v>
      </c>
    </row>
    <row r="238" spans="1:18" x14ac:dyDescent="0.25">
      <c r="A238">
        <v>6</v>
      </c>
      <c r="B238" t="str">
        <f>HYPERLINK("http://www.ncbi.nlm.nih.gov/protein/KAF1409814.1","KAF1409814.1")</f>
        <v>KAF1409814.1</v>
      </c>
      <c r="C238">
        <v>15600</v>
      </c>
      <c r="D238" t="str">
        <f>HYPERLINK("http://www.ncbi.nlm.nih.gov/Taxonomy/Browser/wwwtax.cgi?mode=Info&amp;id=37081&amp;lvl=3&amp;lin=f&amp;keep=1&amp;srchmode=1&amp;unlock","37081")</f>
        <v>37081</v>
      </c>
      <c r="E238" t="s">
        <v>167</v>
      </c>
      <c r="F238" t="s">
        <v>167</v>
      </c>
      <c r="G238" t="str">
        <f>HYPERLINK("http://www.ncbi.nlm.nih.gov/Taxonomy/Browser/wwwtax.cgi?mode=Info&amp;id=37081&amp;lvl=3&amp;lin=f&amp;keep=1&amp;srchmode=1&amp;unlock","Spheniscus magellanicus")</f>
        <v>Spheniscus magellanicus</v>
      </c>
      <c r="H238" t="s">
        <v>255</v>
      </c>
      <c r="I238" t="str">
        <f>HYPERLINK("http://www.ncbi.nlm.nih.gov/protein/KAF1409814.1","Fatty acid-binding protein, liver, partial")</f>
        <v>Fatty acid-binding protein, liver, partial</v>
      </c>
      <c r="J238">
        <v>199.13</v>
      </c>
      <c r="K238" t="s">
        <v>25</v>
      </c>
      <c r="L238">
        <v>139</v>
      </c>
      <c r="M238">
        <v>50.68</v>
      </c>
      <c r="N238">
        <v>78.930000000000007</v>
      </c>
      <c r="O238" t="s">
        <v>20</v>
      </c>
      <c r="P238" t="s">
        <v>21</v>
      </c>
      <c r="Q238" t="s">
        <v>20</v>
      </c>
      <c r="R238" t="str">
        <f>HYPERLINK("https://cfpub.epa.gov/ecotox/explore.cfm?ncbi=37081","Explore in ECOTOX")</f>
        <v>Explore in ECOTOX</v>
      </c>
    </row>
    <row r="239" spans="1:18" x14ac:dyDescent="0.25">
      <c r="A239">
        <v>6</v>
      </c>
      <c r="B239" t="str">
        <f>HYPERLINK("http://www.ncbi.nlm.nih.gov/protein/NWU54781.1","NWU54781.1")</f>
        <v>NWU54781.1</v>
      </c>
      <c r="C239">
        <v>13926</v>
      </c>
      <c r="D239" t="str">
        <f>HYPERLINK("http://www.ncbi.nlm.nih.gov/Taxonomy/Browser/wwwtax.cgi?mode=Info&amp;id=458190&amp;lvl=3&amp;lin=f&amp;keep=1&amp;srchmode=1&amp;unlock","458190")</f>
        <v>458190</v>
      </c>
      <c r="E239" t="s">
        <v>167</v>
      </c>
      <c r="F239" t="s">
        <v>167</v>
      </c>
      <c r="G239" t="str">
        <f>HYPERLINK("http://www.ncbi.nlm.nih.gov/Taxonomy/Browser/wwwtax.cgi?mode=Info&amp;id=458190&amp;lvl=3&amp;lin=f&amp;keep=1&amp;srchmode=1&amp;unlock","Dromas ardeola")</f>
        <v>Dromas ardeola</v>
      </c>
      <c r="H239" t="s">
        <v>185</v>
      </c>
      <c r="I239" t="str">
        <f>HYPERLINK("http://www.ncbi.nlm.nih.gov/protein/NWU54781.1","FABPL protein")</f>
        <v>FABPL protein</v>
      </c>
      <c r="J239">
        <v>199.13</v>
      </c>
      <c r="K239" t="s">
        <v>25</v>
      </c>
      <c r="L239">
        <v>139</v>
      </c>
      <c r="M239">
        <v>50.68</v>
      </c>
      <c r="N239">
        <v>78.930000000000007</v>
      </c>
      <c r="O239" t="s">
        <v>20</v>
      </c>
      <c r="P239" t="s">
        <v>21</v>
      </c>
      <c r="Q239" t="s">
        <v>20</v>
      </c>
      <c r="R239" t="str">
        <f>HYPERLINK("https://cfpub.epa.gov/ecotox/explore.cfm?ncbi=458190","Explore in ECOTOX")</f>
        <v>Explore in ECOTOX</v>
      </c>
    </row>
    <row r="240" spans="1:18" x14ac:dyDescent="0.25">
      <c r="A240">
        <v>6</v>
      </c>
      <c r="B240" t="str">
        <f>HYPERLINK("http://www.ncbi.nlm.nih.gov/protein/KAF1538688.1","KAF1538688.1")</f>
        <v>KAF1538688.1</v>
      </c>
      <c r="C240">
        <v>15786</v>
      </c>
      <c r="D240" t="str">
        <f>HYPERLINK("http://www.ncbi.nlm.nih.gov/Taxonomy/Browser/wwwtax.cgi?mode=Info&amp;id=57240&amp;lvl=3&amp;lin=f&amp;keep=1&amp;srchmode=1&amp;unlock","57240")</f>
        <v>57240</v>
      </c>
      <c r="E240" t="s">
        <v>167</v>
      </c>
      <c r="F240" t="s">
        <v>167</v>
      </c>
      <c r="G240" t="str">
        <f>HYPERLINK("http://www.ncbi.nlm.nih.gov/Taxonomy/Browser/wwwtax.cgi?mode=Info&amp;id=57240&amp;lvl=3&amp;lin=f&amp;keep=1&amp;srchmode=1&amp;unlock","Eudyptes schlegeli")</f>
        <v>Eudyptes schlegeli</v>
      </c>
      <c r="H240" t="s">
        <v>256</v>
      </c>
      <c r="I240" t="str">
        <f>HYPERLINK("http://www.ncbi.nlm.nih.gov/protein/KAF1538688.1","Fatty acid-binding protein, liver, partial")</f>
        <v>Fatty acid-binding protein, liver, partial</v>
      </c>
      <c r="J240">
        <v>199.13</v>
      </c>
      <c r="K240" t="s">
        <v>25</v>
      </c>
      <c r="L240">
        <v>139</v>
      </c>
      <c r="M240">
        <v>50.68</v>
      </c>
      <c r="N240">
        <v>78.930000000000007</v>
      </c>
      <c r="O240" t="s">
        <v>20</v>
      </c>
      <c r="P240" t="s">
        <v>21</v>
      </c>
      <c r="Q240" t="s">
        <v>20</v>
      </c>
      <c r="R240" t="str">
        <f>HYPERLINK("https://cfpub.epa.gov/ecotox/explore.cfm?ncbi=57240","Explore in ECOTOX")</f>
        <v>Explore in ECOTOX</v>
      </c>
    </row>
    <row r="241" spans="1:18" x14ac:dyDescent="0.25">
      <c r="A241">
        <v>6</v>
      </c>
      <c r="B241" t="str">
        <f>HYPERLINK("http://www.ncbi.nlm.nih.gov/protein/NXI80162.1","NXI80162.1")</f>
        <v>NXI80162.1</v>
      </c>
      <c r="C241">
        <v>14200</v>
      </c>
      <c r="D241" t="str">
        <f>HYPERLINK("http://www.ncbi.nlm.nih.gov/Taxonomy/Browser/wwwtax.cgi?mode=Info&amp;id=667186&amp;lvl=3&amp;lin=f&amp;keep=1&amp;srchmode=1&amp;unlock","667186")</f>
        <v>667186</v>
      </c>
      <c r="E241" t="s">
        <v>167</v>
      </c>
      <c r="F241" t="s">
        <v>167</v>
      </c>
      <c r="G241" t="str">
        <f>HYPERLINK("http://www.ncbi.nlm.nih.gov/Taxonomy/Browser/wwwtax.cgi?mode=Info&amp;id=667186&amp;lvl=3&amp;lin=f&amp;keep=1&amp;srchmode=1&amp;unlock","Rhipidura dahli")</f>
        <v>Rhipidura dahli</v>
      </c>
      <c r="H241" t="s">
        <v>206</v>
      </c>
      <c r="I241" t="str">
        <f>HYPERLINK("http://www.ncbi.nlm.nih.gov/protein/NXI80162.1","FABPL protein")</f>
        <v>FABPL protein</v>
      </c>
      <c r="J241">
        <v>199.13</v>
      </c>
      <c r="K241" t="s">
        <v>25</v>
      </c>
      <c r="L241">
        <v>139</v>
      </c>
      <c r="M241">
        <v>50.68</v>
      </c>
      <c r="N241">
        <v>78.930000000000007</v>
      </c>
      <c r="O241" t="s">
        <v>20</v>
      </c>
      <c r="P241" t="s">
        <v>21</v>
      </c>
      <c r="Q241" t="s">
        <v>20</v>
      </c>
      <c r="R241" t="str">
        <f>HYPERLINK("https://cfpub.epa.gov/ecotox/explore.cfm?ncbi=667186","Explore in ECOTOX")</f>
        <v>Explore in ECOTOX</v>
      </c>
    </row>
    <row r="242" spans="1:18" x14ac:dyDescent="0.25">
      <c r="A242">
        <v>6</v>
      </c>
      <c r="B242" t="str">
        <f>HYPERLINK("http://www.ncbi.nlm.nih.gov/protein/NXW44119.1","NXW44119.1")</f>
        <v>NXW44119.1</v>
      </c>
      <c r="C242">
        <v>13396</v>
      </c>
      <c r="D242" t="str">
        <f>HYPERLINK("http://www.ncbi.nlm.nih.gov/Taxonomy/Browser/wwwtax.cgi?mode=Info&amp;id=382315&amp;lvl=3&amp;lin=f&amp;keep=1&amp;srchmode=1&amp;unlock","382315")</f>
        <v>382315</v>
      </c>
      <c r="E242" t="s">
        <v>167</v>
      </c>
      <c r="F242" t="s">
        <v>167</v>
      </c>
      <c r="G242" t="str">
        <f>HYPERLINK("http://www.ncbi.nlm.nih.gov/Taxonomy/Browser/wwwtax.cgi?mode=Info&amp;id=382315&amp;lvl=3&amp;lin=f&amp;keep=1&amp;srchmode=1&amp;unlock","Nyctiprogne leucopyga")</f>
        <v>Nyctiprogne leucopyga</v>
      </c>
      <c r="H242" t="s">
        <v>233</v>
      </c>
      <c r="I242" t="str">
        <f>HYPERLINK("http://www.ncbi.nlm.nih.gov/protein/NXW44119.1","FABPL protein")</f>
        <v>FABPL protein</v>
      </c>
      <c r="J242">
        <v>199.13</v>
      </c>
      <c r="K242" t="s">
        <v>25</v>
      </c>
      <c r="L242">
        <v>139</v>
      </c>
      <c r="M242">
        <v>50.68</v>
      </c>
      <c r="N242">
        <v>78.930000000000007</v>
      </c>
      <c r="O242" t="s">
        <v>20</v>
      </c>
      <c r="P242" t="s">
        <v>21</v>
      </c>
      <c r="Q242" t="s">
        <v>20</v>
      </c>
      <c r="R242" t="str">
        <f>HYPERLINK("https://cfpub.epa.gov/ecotox/explore.cfm?ncbi=382315","Explore in ECOTOX")</f>
        <v>Explore in ECOTOX</v>
      </c>
    </row>
    <row r="243" spans="1:18" x14ac:dyDescent="0.25">
      <c r="A243">
        <v>6</v>
      </c>
      <c r="B243" t="str">
        <f>HYPERLINK("http://www.ncbi.nlm.nih.gov/protein/KAF1598686.1","KAF1598686.1")</f>
        <v>KAF1598686.1</v>
      </c>
      <c r="C243">
        <v>15476</v>
      </c>
      <c r="D243" t="str">
        <f>HYPERLINK("http://www.ncbi.nlm.nih.gov/Taxonomy/Browser/wwwtax.cgi?mode=Info&amp;id=2495534&amp;lvl=3&amp;lin=f&amp;keep=1&amp;srchmode=1&amp;unlock","2495534")</f>
        <v>2495534</v>
      </c>
      <c r="E243" t="s">
        <v>167</v>
      </c>
      <c r="F243" t="s">
        <v>167</v>
      </c>
      <c r="G243" t="str">
        <f>HYPERLINK("http://www.ncbi.nlm.nih.gov/Taxonomy/Browser/wwwtax.cgi?mode=Info&amp;id=2495534&amp;lvl=3&amp;lin=f&amp;keep=1&amp;srchmode=1&amp;unlock","Eudyptes moseleyi")</f>
        <v>Eudyptes moseleyi</v>
      </c>
      <c r="H243" t="s">
        <v>257</v>
      </c>
      <c r="I243" t="str">
        <f>HYPERLINK("http://www.ncbi.nlm.nih.gov/protein/KAF1598686.1","Fatty acid-binding protein, liver, partial")</f>
        <v>Fatty acid-binding protein, liver, partial</v>
      </c>
      <c r="J243">
        <v>199.13</v>
      </c>
      <c r="K243" t="s">
        <v>25</v>
      </c>
      <c r="L243">
        <v>139</v>
      </c>
      <c r="M243">
        <v>50.68</v>
      </c>
      <c r="N243">
        <v>78.930000000000007</v>
      </c>
      <c r="O243" t="s">
        <v>20</v>
      </c>
      <c r="P243" t="s">
        <v>21</v>
      </c>
      <c r="Q243" t="s">
        <v>20</v>
      </c>
      <c r="R243" t="str">
        <f>HYPERLINK("https://cfpub.epa.gov/ecotox/explore.cfm?ncbi=2495534","Explore in ECOTOX")</f>
        <v>Explore in ECOTOX</v>
      </c>
    </row>
    <row r="244" spans="1:18" x14ac:dyDescent="0.25">
      <c r="A244">
        <v>6</v>
      </c>
      <c r="B244" t="str">
        <f>HYPERLINK("http://www.ncbi.nlm.nih.gov/protein/XP_009880811.1","XP_009880811.1")</f>
        <v>XP_009880811.1</v>
      </c>
      <c r="C244">
        <v>30700</v>
      </c>
      <c r="D244" t="str">
        <f>HYPERLINK("http://www.ncbi.nlm.nih.gov/Taxonomy/Browser/wwwtax.cgi?mode=Info&amp;id=50402&amp;lvl=3&amp;lin=f&amp;keep=1&amp;srchmode=1&amp;unlock","50402")</f>
        <v>50402</v>
      </c>
      <c r="E244" t="s">
        <v>167</v>
      </c>
      <c r="F244" t="s">
        <v>167</v>
      </c>
      <c r="G244" t="str">
        <f>HYPERLINK("http://www.ncbi.nlm.nih.gov/Taxonomy/Browser/wwwtax.cgi?mode=Info&amp;id=50402&amp;lvl=3&amp;lin=f&amp;keep=1&amp;srchmode=1&amp;unlock","Charadrius vociferus")</f>
        <v>Charadrius vociferus</v>
      </c>
      <c r="H244" t="s">
        <v>258</v>
      </c>
      <c r="I244" t="str">
        <f>HYPERLINK("http://www.ncbi.nlm.nih.gov/protein/XP_009880811.1","PREDICTED: fatty acid-binding protein, liver")</f>
        <v>PREDICTED: fatty acid-binding protein, liver</v>
      </c>
      <c r="J244">
        <v>199.13</v>
      </c>
      <c r="K244" t="s">
        <v>25</v>
      </c>
      <c r="L244">
        <v>139</v>
      </c>
      <c r="M244">
        <v>50.68</v>
      </c>
      <c r="N244">
        <v>78.930000000000007</v>
      </c>
      <c r="O244" t="s">
        <v>20</v>
      </c>
      <c r="P244" t="s">
        <v>21</v>
      </c>
      <c r="Q244" t="s">
        <v>20</v>
      </c>
      <c r="R244" t="str">
        <f>HYPERLINK("https://cfpub.epa.gov/ecotox/explore.cfm?ncbi=50402","Explore in ECOTOX")</f>
        <v>Explore in ECOTOX</v>
      </c>
    </row>
    <row r="245" spans="1:18" x14ac:dyDescent="0.25">
      <c r="A245">
        <v>6</v>
      </c>
      <c r="B245" t="str">
        <f>HYPERLINK("http://www.ncbi.nlm.nih.gov/protein/KFV49923.1","KFV49923.1")</f>
        <v>KFV49923.1</v>
      </c>
      <c r="C245">
        <v>11521</v>
      </c>
      <c r="D245" t="str">
        <f>HYPERLINK("http://www.ncbi.nlm.nih.gov/Taxonomy/Browser/wwwtax.cgi?mode=Info&amp;id=56313&amp;lvl=3&amp;lin=f&amp;keep=1&amp;srchmode=1&amp;unlock","56313")</f>
        <v>56313</v>
      </c>
      <c r="E245" t="s">
        <v>167</v>
      </c>
      <c r="F245" t="s">
        <v>167</v>
      </c>
      <c r="G245" t="str">
        <f>HYPERLINK("http://www.ncbi.nlm.nih.gov/Taxonomy/Browser/wwwtax.cgi?mode=Info&amp;id=56313&amp;lvl=3&amp;lin=f&amp;keep=1&amp;srchmode=1&amp;unlock","Tyto alba")</f>
        <v>Tyto alba</v>
      </c>
      <c r="H245" t="s">
        <v>250</v>
      </c>
      <c r="I245" t="str">
        <f>HYPERLINK("http://www.ncbi.nlm.nih.gov/protein/KFV49923.1","Fatty acid-binding protein, liver")</f>
        <v>Fatty acid-binding protein, liver</v>
      </c>
      <c r="J245">
        <v>199.13</v>
      </c>
      <c r="K245" t="s">
        <v>25</v>
      </c>
      <c r="L245">
        <v>139</v>
      </c>
      <c r="M245">
        <v>50.68</v>
      </c>
      <c r="N245">
        <v>78.930000000000007</v>
      </c>
      <c r="O245" t="s">
        <v>20</v>
      </c>
      <c r="P245" t="s">
        <v>21</v>
      </c>
      <c r="Q245" t="s">
        <v>20</v>
      </c>
      <c r="R245" t="str">
        <f>HYPERLINK("https://cfpub.epa.gov/ecotox/explore.cfm?ncbi=56313","Explore in ECOTOX")</f>
        <v>Explore in ECOTOX</v>
      </c>
    </row>
    <row r="246" spans="1:18" x14ac:dyDescent="0.25">
      <c r="A246">
        <v>6</v>
      </c>
      <c r="B246" t="str">
        <f>HYPERLINK("http://www.ncbi.nlm.nih.gov/protein/KAF1636137.1","KAF1636137.1")</f>
        <v>KAF1636137.1</v>
      </c>
      <c r="C246">
        <v>12989</v>
      </c>
      <c r="D246" t="str">
        <f>HYPERLINK("http://www.ncbi.nlm.nih.gov/Taxonomy/Browser/wwwtax.cgi?mode=Info&amp;id=1419345&amp;lvl=3&amp;lin=f&amp;keep=1&amp;srchmode=1&amp;unlock","1419345")</f>
        <v>1419345</v>
      </c>
      <c r="E246" t="s">
        <v>167</v>
      </c>
      <c r="F246" t="s">
        <v>167</v>
      </c>
      <c r="G246" t="str">
        <f>HYPERLINK("http://www.ncbi.nlm.nih.gov/Taxonomy/Browser/wwwtax.cgi?mode=Info&amp;id=1419345&amp;lvl=3&amp;lin=f&amp;keep=1&amp;srchmode=1&amp;unlock","Eudyptes filholi")</f>
        <v>Eudyptes filholi</v>
      </c>
      <c r="H246" t="s">
        <v>259</v>
      </c>
      <c r="I246" t="str">
        <f>HYPERLINK("http://www.ncbi.nlm.nih.gov/protein/KAF1636137.1","Fatty acid-binding protein, liver, partial")</f>
        <v>Fatty acid-binding protein, liver, partial</v>
      </c>
      <c r="J246">
        <v>199.13</v>
      </c>
      <c r="K246" t="s">
        <v>25</v>
      </c>
      <c r="L246">
        <v>139</v>
      </c>
      <c r="M246">
        <v>50.68</v>
      </c>
      <c r="N246">
        <v>78.930000000000007</v>
      </c>
      <c r="O246" t="s">
        <v>20</v>
      </c>
      <c r="P246" t="s">
        <v>21</v>
      </c>
      <c r="Q246" t="s">
        <v>20</v>
      </c>
      <c r="R246" t="str">
        <f>HYPERLINK("https://cfpub.epa.gov/ecotox/explore.cfm?ncbi=1419345","Explore in ECOTOX")</f>
        <v>Explore in ECOTOX</v>
      </c>
    </row>
    <row r="247" spans="1:18" x14ac:dyDescent="0.25">
      <c r="A247">
        <v>6</v>
      </c>
      <c r="B247" t="str">
        <f>HYPERLINK("http://www.ncbi.nlm.nih.gov/protein/KAF1436315.1","KAF1436315.1")</f>
        <v>KAF1436315.1</v>
      </c>
      <c r="C247">
        <v>14628</v>
      </c>
      <c r="D247" t="str">
        <f>HYPERLINK("http://www.ncbi.nlm.nih.gov/Taxonomy/Browser/wwwtax.cgi?mode=Info&amp;id=156760&amp;lvl=3&amp;lin=f&amp;keep=1&amp;srchmode=1&amp;unlock","156760")</f>
        <v>156760</v>
      </c>
      <c r="E247" t="s">
        <v>167</v>
      </c>
      <c r="F247" t="s">
        <v>167</v>
      </c>
      <c r="G247" t="str">
        <f>HYPERLINK("http://www.ncbi.nlm.nih.gov/Taxonomy/Browser/wwwtax.cgi?mode=Info&amp;id=156760&amp;lvl=3&amp;lin=f&amp;keep=1&amp;srchmode=1&amp;unlock","Spheniscus mendiculus")</f>
        <v>Spheniscus mendiculus</v>
      </c>
      <c r="H247" t="s">
        <v>260</v>
      </c>
      <c r="I247" t="str">
        <f>HYPERLINK("http://www.ncbi.nlm.nih.gov/protein/KAF1436315.1","Fatty acid-binding protein, liver, partial")</f>
        <v>Fatty acid-binding protein, liver, partial</v>
      </c>
      <c r="J247">
        <v>199.13</v>
      </c>
      <c r="K247" t="s">
        <v>25</v>
      </c>
      <c r="L247">
        <v>139</v>
      </c>
      <c r="M247">
        <v>50.68</v>
      </c>
      <c r="N247">
        <v>78.930000000000007</v>
      </c>
      <c r="O247" t="s">
        <v>20</v>
      </c>
      <c r="P247" t="s">
        <v>21</v>
      </c>
      <c r="Q247" t="s">
        <v>20</v>
      </c>
      <c r="R247" t="str">
        <f>HYPERLINK("https://cfpub.epa.gov/ecotox/explore.cfm?ncbi=156760","Explore in ECOTOX")</f>
        <v>Explore in ECOTOX</v>
      </c>
    </row>
    <row r="248" spans="1:18" x14ac:dyDescent="0.25">
      <c r="A248">
        <v>6</v>
      </c>
      <c r="B248" t="str">
        <f>HYPERLINK("http://www.ncbi.nlm.nih.gov/protein/KAF1608438.1","KAF1608438.1")</f>
        <v>KAF1608438.1</v>
      </c>
      <c r="C248">
        <v>17585</v>
      </c>
      <c r="D248" t="str">
        <f>HYPERLINK("http://www.ncbi.nlm.nih.gov/Taxonomy/Browser/wwwtax.cgi?mode=Info&amp;id=37080&amp;lvl=3&amp;lin=f&amp;keep=1&amp;srchmode=1&amp;unlock","37080")</f>
        <v>37080</v>
      </c>
      <c r="E248" t="s">
        <v>167</v>
      </c>
      <c r="F248" t="s">
        <v>167</v>
      </c>
      <c r="G248" t="str">
        <f>HYPERLINK("http://www.ncbi.nlm.nih.gov/Taxonomy/Browser/wwwtax.cgi?mode=Info&amp;id=37080&amp;lvl=3&amp;lin=f&amp;keep=1&amp;srchmode=1&amp;unlock","Eudyptes pachyrhynchus")</f>
        <v>Eudyptes pachyrhynchus</v>
      </c>
      <c r="H248" t="s">
        <v>261</v>
      </c>
      <c r="I248" t="str">
        <f>HYPERLINK("http://www.ncbi.nlm.nih.gov/protein/KAF1608438.1","Fatty acid-binding protein, liver, partial")</f>
        <v>Fatty acid-binding protein, liver, partial</v>
      </c>
      <c r="J248">
        <v>199.13</v>
      </c>
      <c r="K248" t="s">
        <v>25</v>
      </c>
      <c r="L248">
        <v>139</v>
      </c>
      <c r="M248">
        <v>50.68</v>
      </c>
      <c r="N248">
        <v>78.930000000000007</v>
      </c>
      <c r="O248" t="s">
        <v>20</v>
      </c>
      <c r="P248" t="s">
        <v>21</v>
      </c>
      <c r="Q248" t="s">
        <v>20</v>
      </c>
      <c r="R248" t="str">
        <f>HYPERLINK("https://cfpub.epa.gov/ecotox/explore.cfm?ncbi=37080","Explore in ECOTOX")</f>
        <v>Explore in ECOTOX</v>
      </c>
    </row>
    <row r="249" spans="1:18" x14ac:dyDescent="0.25">
      <c r="A249">
        <v>6</v>
      </c>
      <c r="B249" t="str">
        <f>HYPERLINK("http://www.ncbi.nlm.nih.gov/protein/NXG53713.1","NXG53713.1")</f>
        <v>NXG53713.1</v>
      </c>
      <c r="C249">
        <v>13561</v>
      </c>
      <c r="D249" t="str">
        <f>HYPERLINK("http://www.ncbi.nlm.nih.gov/Taxonomy/Browser/wwwtax.cgi?mode=Info&amp;id=2585815&amp;lvl=3&amp;lin=f&amp;keep=1&amp;srchmode=1&amp;unlock","2585815")</f>
        <v>2585815</v>
      </c>
      <c r="E249" t="s">
        <v>167</v>
      </c>
      <c r="F249" t="s">
        <v>167</v>
      </c>
      <c r="G249" t="str">
        <f>HYPERLINK("http://www.ncbi.nlm.nih.gov/Taxonomy/Browser/wwwtax.cgi?mode=Info&amp;id=2585815&amp;lvl=3&amp;lin=f&amp;keep=1&amp;srchmode=1&amp;unlock","Psilopogon haemacephalus")</f>
        <v>Psilopogon haemacephalus</v>
      </c>
      <c r="H249" t="s">
        <v>262</v>
      </c>
      <c r="I249" t="str">
        <f>HYPERLINK("http://www.ncbi.nlm.nih.gov/protein/NXG53713.1","FABPL protein")</f>
        <v>FABPL protein</v>
      </c>
      <c r="J249">
        <v>198.75</v>
      </c>
      <c r="K249" t="s">
        <v>25</v>
      </c>
      <c r="L249">
        <v>139</v>
      </c>
      <c r="M249">
        <v>50.68</v>
      </c>
      <c r="N249">
        <v>78.78</v>
      </c>
      <c r="O249" t="s">
        <v>20</v>
      </c>
      <c r="P249" t="s">
        <v>21</v>
      </c>
      <c r="Q249" t="s">
        <v>20</v>
      </c>
      <c r="R249" t="str">
        <f>HYPERLINK("https://cfpub.epa.gov/ecotox/explore.cfm?ncbi=2585815","Explore in ECOTOX")</f>
        <v>Explore in ECOTOX</v>
      </c>
    </row>
    <row r="250" spans="1:18" x14ac:dyDescent="0.25">
      <c r="A250">
        <v>6</v>
      </c>
      <c r="B250" t="str">
        <f>HYPERLINK("http://www.ncbi.nlm.nih.gov/protein/NWX42163.1","NWX42163.1")</f>
        <v>NWX42163.1</v>
      </c>
      <c r="C250">
        <v>14617</v>
      </c>
      <c r="D250" t="str">
        <f>HYPERLINK("http://www.ncbi.nlm.nih.gov/Taxonomy/Browser/wwwtax.cgi?mode=Info&amp;id=48435&amp;lvl=3&amp;lin=f&amp;keep=1&amp;srchmode=1&amp;unlock","48435")</f>
        <v>48435</v>
      </c>
      <c r="E250" t="s">
        <v>167</v>
      </c>
      <c r="F250" t="s">
        <v>167</v>
      </c>
      <c r="G250" t="str">
        <f>HYPERLINK("http://www.ncbi.nlm.nih.gov/Taxonomy/Browser/wwwtax.cgi?mode=Info&amp;id=48435&amp;lvl=3&amp;lin=f&amp;keep=1&amp;srchmode=1&amp;unlock","Steatornis caripensis")</f>
        <v>Steatornis caripensis</v>
      </c>
      <c r="H250" t="s">
        <v>263</v>
      </c>
      <c r="I250" t="str">
        <f>HYPERLINK("http://www.ncbi.nlm.nih.gov/protein/NWX42163.1","FABPL protein")</f>
        <v>FABPL protein</v>
      </c>
      <c r="J250">
        <v>198.75</v>
      </c>
      <c r="K250" t="s">
        <v>25</v>
      </c>
      <c r="L250">
        <v>139</v>
      </c>
      <c r="M250">
        <v>50.68</v>
      </c>
      <c r="N250">
        <v>78.78</v>
      </c>
      <c r="O250" t="s">
        <v>20</v>
      </c>
      <c r="P250" t="s">
        <v>21</v>
      </c>
      <c r="Q250" t="s">
        <v>20</v>
      </c>
      <c r="R250" t="str">
        <f>HYPERLINK("https://cfpub.epa.gov/ecotox/explore.cfm?ncbi=48435","Explore in ECOTOX")</f>
        <v>Explore in ECOTOX</v>
      </c>
    </row>
    <row r="251" spans="1:18" x14ac:dyDescent="0.25">
      <c r="A251">
        <v>6</v>
      </c>
      <c r="B251" t="str">
        <f>HYPERLINK("http://www.ncbi.nlm.nih.gov/protein/NXD96939.1","NXD96939.1")</f>
        <v>NXD96939.1</v>
      </c>
      <c r="C251">
        <v>14358</v>
      </c>
      <c r="D251" t="str">
        <f>HYPERLINK("http://www.ncbi.nlm.nih.gov/Taxonomy/Browser/wwwtax.cgi?mode=Info&amp;id=254446&amp;lvl=3&amp;lin=f&amp;keep=1&amp;srchmode=1&amp;unlock","254446")</f>
        <v>254446</v>
      </c>
      <c r="E251" t="s">
        <v>167</v>
      </c>
      <c r="F251" t="s">
        <v>167</v>
      </c>
      <c r="G251" t="str">
        <f>HYPERLINK("http://www.ncbi.nlm.nih.gov/Taxonomy/Browser/wwwtax.cgi?mode=Info&amp;id=254446&amp;lvl=3&amp;lin=f&amp;keep=1&amp;srchmode=1&amp;unlock","Chaetorhynchus papuensis")</f>
        <v>Chaetorhynchus papuensis</v>
      </c>
      <c r="H251" t="s">
        <v>264</v>
      </c>
      <c r="I251" t="str">
        <f>HYPERLINK("http://www.ncbi.nlm.nih.gov/protein/NXD96939.1","FABPL protein")</f>
        <v>FABPL protein</v>
      </c>
      <c r="J251">
        <v>198.75</v>
      </c>
      <c r="K251" t="s">
        <v>25</v>
      </c>
      <c r="L251">
        <v>139</v>
      </c>
      <c r="M251">
        <v>50.68</v>
      </c>
      <c r="N251">
        <v>78.78</v>
      </c>
      <c r="O251" t="s">
        <v>20</v>
      </c>
      <c r="P251" t="s">
        <v>21</v>
      </c>
      <c r="Q251" t="s">
        <v>20</v>
      </c>
      <c r="R251" t="str">
        <f>HYPERLINK("https://cfpub.epa.gov/ecotox/explore.cfm?ncbi=254446","Explore in ECOTOX")</f>
        <v>Explore in ECOTOX</v>
      </c>
    </row>
    <row r="252" spans="1:18" x14ac:dyDescent="0.25">
      <c r="A252">
        <v>6</v>
      </c>
      <c r="B252" t="str">
        <f>HYPERLINK("http://www.ncbi.nlm.nih.gov/protein/XP_010289628.1","XP_010289628.1")</f>
        <v>XP_010289628.1</v>
      </c>
      <c r="C252">
        <v>28598</v>
      </c>
      <c r="D252" t="str">
        <f>HYPERLINK("http://www.ncbi.nlm.nih.gov/Taxonomy/Browser/wwwtax.cgi?mode=Info&amp;id=97097&amp;lvl=3&amp;lin=f&amp;keep=1&amp;srchmode=1&amp;unlock","97097")</f>
        <v>97097</v>
      </c>
      <c r="E252" t="s">
        <v>167</v>
      </c>
      <c r="F252" t="s">
        <v>167</v>
      </c>
      <c r="G252" t="str">
        <f>HYPERLINK("http://www.ncbi.nlm.nih.gov/Taxonomy/Browser/wwwtax.cgi?mode=Info&amp;id=97097&amp;lvl=3&amp;lin=f&amp;keep=1&amp;srchmode=1&amp;unlock","Phaethon lepturus")</f>
        <v>Phaethon lepturus</v>
      </c>
      <c r="H252" t="s">
        <v>265</v>
      </c>
      <c r="I252" t="str">
        <f>HYPERLINK("http://www.ncbi.nlm.nih.gov/protein/XP_010289628.1","PREDICTED: fatty acid-binding protein, liver")</f>
        <v>PREDICTED: fatty acid-binding protein, liver</v>
      </c>
      <c r="J252">
        <v>198.75</v>
      </c>
      <c r="K252" t="s">
        <v>25</v>
      </c>
      <c r="L252">
        <v>139</v>
      </c>
      <c r="M252">
        <v>50.68</v>
      </c>
      <c r="N252">
        <v>78.78</v>
      </c>
      <c r="O252" t="s">
        <v>20</v>
      </c>
      <c r="P252" t="s">
        <v>21</v>
      </c>
      <c r="Q252" t="s">
        <v>20</v>
      </c>
      <c r="R252" t="str">
        <f>HYPERLINK("https://cfpub.epa.gov/ecotox/explore.cfm?ncbi=97097","Explore in ECOTOX")</f>
        <v>Explore in ECOTOX</v>
      </c>
    </row>
    <row r="253" spans="1:18" x14ac:dyDescent="0.25">
      <c r="A253">
        <v>6</v>
      </c>
      <c r="B253" t="str">
        <f>HYPERLINK("http://www.ncbi.nlm.nih.gov/protein/NWI31601.1","NWI31601.1")</f>
        <v>NWI31601.1</v>
      </c>
      <c r="C253">
        <v>12998</v>
      </c>
      <c r="D253" t="str">
        <f>HYPERLINK("http://www.ncbi.nlm.nih.gov/Taxonomy/Browser/wwwtax.cgi?mode=Info&amp;id=56068&amp;lvl=3&amp;lin=f&amp;keep=1&amp;srchmode=1&amp;unlock","56068")</f>
        <v>56068</v>
      </c>
      <c r="E253" t="s">
        <v>167</v>
      </c>
      <c r="F253" t="s">
        <v>167</v>
      </c>
      <c r="G253" t="str">
        <f>HYPERLINK("http://www.ncbi.nlm.nih.gov/Taxonomy/Browser/wwwtax.cgi?mode=Info&amp;id=56068&amp;lvl=3&amp;lin=f&amp;keep=1&amp;srchmode=1&amp;unlock","Sula dactylatra")</f>
        <v>Sula dactylatra</v>
      </c>
      <c r="H253" t="s">
        <v>266</v>
      </c>
      <c r="I253" t="str">
        <f>HYPERLINK("http://www.ncbi.nlm.nih.gov/protein/NWI31601.1","FABPL protein")</f>
        <v>FABPL protein</v>
      </c>
      <c r="J253">
        <v>198.75</v>
      </c>
      <c r="K253" t="s">
        <v>25</v>
      </c>
      <c r="L253">
        <v>139</v>
      </c>
      <c r="M253">
        <v>50.68</v>
      </c>
      <c r="N253">
        <v>78.78</v>
      </c>
      <c r="O253" t="s">
        <v>20</v>
      </c>
      <c r="P253" t="s">
        <v>21</v>
      </c>
      <c r="Q253" t="s">
        <v>20</v>
      </c>
      <c r="R253" t="str">
        <f>HYPERLINK("https://cfpub.epa.gov/ecotox/explore.cfm?ncbi=56068","Explore in ECOTOX")</f>
        <v>Explore in ECOTOX</v>
      </c>
    </row>
    <row r="254" spans="1:18" x14ac:dyDescent="0.25">
      <c r="A254">
        <v>6</v>
      </c>
      <c r="B254" t="str">
        <f>HYPERLINK("http://www.ncbi.nlm.nih.gov/protein/NXC46600.1","NXC46600.1")</f>
        <v>NXC46600.1</v>
      </c>
      <c r="C254">
        <v>13966</v>
      </c>
      <c r="D254" t="str">
        <f>HYPERLINK("http://www.ncbi.nlm.nih.gov/Taxonomy/Browser/wwwtax.cgi?mode=Info&amp;id=1118817&amp;lvl=3&amp;lin=f&amp;keep=1&amp;srchmode=1&amp;unlock","1118817")</f>
        <v>1118817</v>
      </c>
      <c r="E254" t="s">
        <v>167</v>
      </c>
      <c r="F254" t="s">
        <v>167</v>
      </c>
      <c r="G254" t="str">
        <f>HYPERLINK("http://www.ncbi.nlm.nih.gov/Taxonomy/Browser/wwwtax.cgi?mode=Info&amp;id=1118817&amp;lvl=3&amp;lin=f&amp;keep=1&amp;srchmode=1&amp;unlock","Penelope pileata")</f>
        <v>Penelope pileata</v>
      </c>
      <c r="H254" t="s">
        <v>267</v>
      </c>
      <c r="I254" t="str">
        <f>HYPERLINK("http://www.ncbi.nlm.nih.gov/protein/NXC46600.1","FABPL protein")</f>
        <v>FABPL protein</v>
      </c>
      <c r="J254">
        <v>198.75</v>
      </c>
      <c r="K254" t="s">
        <v>25</v>
      </c>
      <c r="L254">
        <v>139</v>
      </c>
      <c r="M254">
        <v>50.68</v>
      </c>
      <c r="N254">
        <v>78.78</v>
      </c>
      <c r="O254" t="s">
        <v>20</v>
      </c>
      <c r="P254" t="s">
        <v>21</v>
      </c>
      <c r="Q254" t="s">
        <v>20</v>
      </c>
      <c r="R254" t="str">
        <f>HYPERLINK("https://cfpub.epa.gov/ecotox/explore.cfm?ncbi=1118817","Explore in ECOTOX")</f>
        <v>Explore in ECOTOX</v>
      </c>
    </row>
    <row r="255" spans="1:18" x14ac:dyDescent="0.25">
      <c r="A255">
        <v>6</v>
      </c>
      <c r="B255" t="str">
        <f>HYPERLINK("http://www.ncbi.nlm.nih.gov/protein/XP_031965671.1","XP_031965671.1")</f>
        <v>XP_031965671.1</v>
      </c>
      <c r="C255">
        <v>56759</v>
      </c>
      <c r="D255" t="str">
        <f>HYPERLINK("http://www.ncbi.nlm.nih.gov/Taxonomy/Browser/wwwtax.cgi?mode=Info&amp;id=1196302&amp;lvl=3&amp;lin=f&amp;keep=1&amp;srchmode=1&amp;unlock","1196302")</f>
        <v>1196302</v>
      </c>
      <c r="E255" t="s">
        <v>167</v>
      </c>
      <c r="F255" t="s">
        <v>167</v>
      </c>
      <c r="G255" t="str">
        <f>HYPERLINK("http://www.ncbi.nlm.nih.gov/Taxonomy/Browser/wwwtax.cgi?mode=Info&amp;id=1196302&amp;lvl=3&amp;lin=f&amp;keep=1&amp;srchmode=1&amp;unlock","Corvus moneduloides")</f>
        <v>Corvus moneduloides</v>
      </c>
      <c r="H255" t="s">
        <v>268</v>
      </c>
      <c r="I255" t="str">
        <f>HYPERLINK("http://www.ncbi.nlm.nih.gov/protein/XP_031965671.1","fatty acid-binding protein, liver")</f>
        <v>fatty acid-binding protein, liver</v>
      </c>
      <c r="J255">
        <v>198.75</v>
      </c>
      <c r="K255" t="s">
        <v>25</v>
      </c>
      <c r="L255">
        <v>139</v>
      </c>
      <c r="M255">
        <v>50.68</v>
      </c>
      <c r="N255">
        <v>78.78</v>
      </c>
      <c r="O255" t="s">
        <v>20</v>
      </c>
      <c r="P255" t="s">
        <v>21</v>
      </c>
      <c r="Q255" t="s">
        <v>20</v>
      </c>
      <c r="R255" t="str">
        <f>HYPERLINK("https://cfpub.epa.gov/ecotox/explore.cfm?ncbi=1196302","Explore in ECOTOX")</f>
        <v>Explore in ECOTOX</v>
      </c>
    </row>
    <row r="256" spans="1:18" x14ac:dyDescent="0.25">
      <c r="A256">
        <v>6</v>
      </c>
      <c r="B256" t="str">
        <f>HYPERLINK("http://www.ncbi.nlm.nih.gov/protein/XP_009484525.1","XP_009484525.1")</f>
        <v>XP_009484525.1</v>
      </c>
      <c r="C256">
        <v>28615</v>
      </c>
      <c r="D256" t="str">
        <f>HYPERLINK("http://www.ncbi.nlm.nih.gov/Taxonomy/Browser/wwwtax.cgi?mode=Info&amp;id=36300&amp;lvl=3&amp;lin=f&amp;keep=1&amp;srchmode=1&amp;unlock","36300")</f>
        <v>36300</v>
      </c>
      <c r="E256" t="s">
        <v>167</v>
      </c>
      <c r="F256" t="s">
        <v>167</v>
      </c>
      <c r="G256" t="str">
        <f>HYPERLINK("http://www.ncbi.nlm.nih.gov/Taxonomy/Browser/wwwtax.cgi?mode=Info&amp;id=36300&amp;lvl=3&amp;lin=f&amp;keep=1&amp;srchmode=1&amp;unlock","Pelecanus crispus")</f>
        <v>Pelecanus crispus</v>
      </c>
      <c r="H256" t="s">
        <v>269</v>
      </c>
      <c r="I256" t="str">
        <f>HYPERLINK("http://www.ncbi.nlm.nih.gov/protein/XP_009484525.1","PREDICTED: fatty acid-binding protein, liver")</f>
        <v>PREDICTED: fatty acid-binding protein, liver</v>
      </c>
      <c r="J256">
        <v>198.36</v>
      </c>
      <c r="K256" t="s">
        <v>20</v>
      </c>
      <c r="L256">
        <v>139</v>
      </c>
      <c r="M256">
        <v>50.68</v>
      </c>
      <c r="N256">
        <v>78.62</v>
      </c>
      <c r="O256" t="s">
        <v>20</v>
      </c>
      <c r="P256" t="s">
        <v>21</v>
      </c>
      <c r="Q256" t="s">
        <v>20</v>
      </c>
      <c r="R256" t="str">
        <f>HYPERLINK("https://cfpub.epa.gov/ecotox/explore.cfm?ncbi=36300","Explore in ECOTOX")</f>
        <v>Explore in ECOTOX</v>
      </c>
    </row>
    <row r="257" spans="1:18" x14ac:dyDescent="0.25">
      <c r="A257">
        <v>6</v>
      </c>
      <c r="B257" t="str">
        <f>HYPERLINK("http://www.ncbi.nlm.nih.gov/protein/NXW29532.1","NXW29532.1")</f>
        <v>NXW29532.1</v>
      </c>
      <c r="C257">
        <v>13259</v>
      </c>
      <c r="D257" t="str">
        <f>HYPERLINK("http://www.ncbi.nlm.nih.gov/Taxonomy/Browser/wwwtax.cgi?mode=Info&amp;id=297813&amp;lvl=3&amp;lin=f&amp;keep=1&amp;srchmode=1&amp;unlock","297813")</f>
        <v>297813</v>
      </c>
      <c r="E257" t="s">
        <v>167</v>
      </c>
      <c r="F257" t="s">
        <v>167</v>
      </c>
      <c r="G257" t="str">
        <f>HYPERLINK("http://www.ncbi.nlm.nih.gov/Taxonomy/Browser/wwwtax.cgi?mode=Info&amp;id=297813&amp;lvl=3&amp;lin=f&amp;keep=1&amp;srchmode=1&amp;unlock","Phaetusa simplex")</f>
        <v>Phaetusa simplex</v>
      </c>
      <c r="H257" t="s">
        <v>270</v>
      </c>
      <c r="I257" t="str">
        <f>HYPERLINK("http://www.ncbi.nlm.nih.gov/protein/NXW29532.1","FABPL protein")</f>
        <v>FABPL protein</v>
      </c>
      <c r="J257">
        <v>198.36</v>
      </c>
      <c r="K257" t="s">
        <v>25</v>
      </c>
      <c r="L257">
        <v>139</v>
      </c>
      <c r="M257">
        <v>50.68</v>
      </c>
      <c r="N257">
        <v>78.62</v>
      </c>
      <c r="O257" t="s">
        <v>20</v>
      </c>
      <c r="P257" t="s">
        <v>21</v>
      </c>
      <c r="Q257" t="s">
        <v>20</v>
      </c>
      <c r="R257" t="str">
        <f>HYPERLINK("https://cfpub.epa.gov/ecotox/explore.cfm?ncbi=297813","Explore in ECOTOX")</f>
        <v>Explore in ECOTOX</v>
      </c>
    </row>
    <row r="258" spans="1:18" x14ac:dyDescent="0.25">
      <c r="A258">
        <v>6</v>
      </c>
      <c r="B258" t="str">
        <f>HYPERLINK("http://www.ncbi.nlm.nih.gov/protein/NXX59041.1","NXX59041.1")</f>
        <v>NXX59041.1</v>
      </c>
      <c r="C258">
        <v>12329</v>
      </c>
      <c r="D258" t="str">
        <f>HYPERLINK("http://www.ncbi.nlm.nih.gov/Taxonomy/Browser/wwwtax.cgi?mode=Info&amp;id=33581&amp;lvl=3&amp;lin=f&amp;keep=1&amp;srchmode=1&amp;unlock","33581")</f>
        <v>33581</v>
      </c>
      <c r="E258" t="s">
        <v>167</v>
      </c>
      <c r="F258" t="s">
        <v>167</v>
      </c>
      <c r="G258" t="str">
        <f>HYPERLINK("http://www.ncbi.nlm.nih.gov/Taxonomy/Browser/wwwtax.cgi?mode=Info&amp;id=33581&amp;lvl=3&amp;lin=f&amp;keep=1&amp;srchmode=1&amp;unlock","Scopus umbretta")</f>
        <v>Scopus umbretta</v>
      </c>
      <c r="H258" t="s">
        <v>271</v>
      </c>
      <c r="I258" t="str">
        <f>HYPERLINK("http://www.ncbi.nlm.nih.gov/protein/NXX59041.1","FABPL protein")</f>
        <v>FABPL protein</v>
      </c>
      <c r="J258">
        <v>198.36</v>
      </c>
      <c r="K258" t="s">
        <v>25</v>
      </c>
      <c r="L258">
        <v>139</v>
      </c>
      <c r="M258">
        <v>50.68</v>
      </c>
      <c r="N258">
        <v>78.62</v>
      </c>
      <c r="O258" t="s">
        <v>20</v>
      </c>
      <c r="P258" t="s">
        <v>21</v>
      </c>
      <c r="Q258" t="s">
        <v>20</v>
      </c>
      <c r="R258" t="str">
        <f>HYPERLINK("https://cfpub.epa.gov/ecotox/explore.cfm?ncbi=33581","Explore in ECOTOX")</f>
        <v>Explore in ECOTOX</v>
      </c>
    </row>
    <row r="259" spans="1:18" x14ac:dyDescent="0.25">
      <c r="A259">
        <v>6</v>
      </c>
      <c r="B259" t="str">
        <f>HYPERLINK("http://www.ncbi.nlm.nih.gov/protein/NWV88972.1","NWV88972.1")</f>
        <v>NWV88972.1</v>
      </c>
      <c r="C259">
        <v>13983</v>
      </c>
      <c r="D259" t="str">
        <f>HYPERLINK("http://www.ncbi.nlm.nih.gov/Taxonomy/Browser/wwwtax.cgi?mode=Info&amp;id=1160894&amp;lvl=3&amp;lin=f&amp;keep=1&amp;srchmode=1&amp;unlock","1160894")</f>
        <v>1160894</v>
      </c>
      <c r="E259" t="s">
        <v>167</v>
      </c>
      <c r="F259" t="s">
        <v>167</v>
      </c>
      <c r="G259" t="str">
        <f>HYPERLINK("http://www.ncbi.nlm.nih.gov/Taxonomy/Browser/wwwtax.cgi?mode=Info&amp;id=1160894&amp;lvl=3&amp;lin=f&amp;keep=1&amp;srchmode=1&amp;unlock","Machaerirhynchus nigripectus")</f>
        <v>Machaerirhynchus nigripectus</v>
      </c>
      <c r="H259" t="s">
        <v>206</v>
      </c>
      <c r="I259" t="str">
        <f>HYPERLINK("http://www.ncbi.nlm.nih.gov/protein/NWV88972.1","FABPL protein")</f>
        <v>FABPL protein</v>
      </c>
      <c r="J259">
        <v>198.36</v>
      </c>
      <c r="K259" t="s">
        <v>25</v>
      </c>
      <c r="L259">
        <v>139</v>
      </c>
      <c r="M259">
        <v>50.68</v>
      </c>
      <c r="N259">
        <v>78.62</v>
      </c>
      <c r="O259" t="s">
        <v>20</v>
      </c>
      <c r="P259" t="s">
        <v>21</v>
      </c>
      <c r="Q259" t="s">
        <v>20</v>
      </c>
      <c r="R259" t="str">
        <f>HYPERLINK("https://cfpub.epa.gov/ecotox/explore.cfm?ncbi=1160894","Explore in ECOTOX")</f>
        <v>Explore in ECOTOX</v>
      </c>
    </row>
    <row r="260" spans="1:18" x14ac:dyDescent="0.25">
      <c r="A260">
        <v>6</v>
      </c>
      <c r="B260" t="str">
        <f>HYPERLINK("http://www.ncbi.nlm.nih.gov/protein/KAF1614224.1","KAF1614224.1")</f>
        <v>KAF1614224.1</v>
      </c>
      <c r="C260">
        <v>14662</v>
      </c>
      <c r="D260" t="str">
        <f>HYPERLINK("http://www.ncbi.nlm.nih.gov/Taxonomy/Browser/wwwtax.cgi?mode=Info&amp;id=79627&amp;lvl=3&amp;lin=f&amp;keep=1&amp;srchmode=1&amp;unlock","79627")</f>
        <v>79627</v>
      </c>
      <c r="E260" t="s">
        <v>167</v>
      </c>
      <c r="F260" t="s">
        <v>167</v>
      </c>
      <c r="G260" t="str">
        <f>HYPERLINK("http://www.ncbi.nlm.nih.gov/Taxonomy/Browser/wwwtax.cgi?mode=Info&amp;id=79627&amp;lvl=3&amp;lin=f&amp;keep=1&amp;srchmode=1&amp;unlock","Eudyptes chrysolophus")</f>
        <v>Eudyptes chrysolophus</v>
      </c>
      <c r="H260" t="s">
        <v>272</v>
      </c>
      <c r="I260" t="str">
        <f>HYPERLINK("http://www.ncbi.nlm.nih.gov/protein/KAF1614224.1","Fatty acid-binding protein, liver, partial")</f>
        <v>Fatty acid-binding protein, liver, partial</v>
      </c>
      <c r="J260">
        <v>198.36</v>
      </c>
      <c r="K260" t="s">
        <v>25</v>
      </c>
      <c r="L260">
        <v>139</v>
      </c>
      <c r="M260">
        <v>50.68</v>
      </c>
      <c r="N260">
        <v>78.62</v>
      </c>
      <c r="O260" t="s">
        <v>20</v>
      </c>
      <c r="P260" t="s">
        <v>21</v>
      </c>
      <c r="Q260" t="s">
        <v>20</v>
      </c>
      <c r="R260" t="str">
        <f>HYPERLINK("https://cfpub.epa.gov/ecotox/explore.cfm?ncbi=79627","Explore in ECOTOX")</f>
        <v>Explore in ECOTOX</v>
      </c>
    </row>
    <row r="261" spans="1:18" x14ac:dyDescent="0.25">
      <c r="A261">
        <v>6</v>
      </c>
      <c r="B261" t="str">
        <f>HYPERLINK("http://www.ncbi.nlm.nih.gov/protein/XP_035182227.1","XP_035182227.1")</f>
        <v>XP_035182227.1</v>
      </c>
      <c r="C261">
        <v>39822</v>
      </c>
      <c r="D261" t="str">
        <f>HYPERLINK("http://www.ncbi.nlm.nih.gov/Taxonomy/Browser/wwwtax.cgi?mode=Info&amp;id=8884&amp;lvl=3&amp;lin=f&amp;keep=1&amp;srchmode=1&amp;unlock","8884")</f>
        <v>8884</v>
      </c>
      <c r="E261" t="s">
        <v>167</v>
      </c>
      <c r="F261" t="s">
        <v>167</v>
      </c>
      <c r="G261" t="str">
        <f>HYPERLINK("http://www.ncbi.nlm.nih.gov/Taxonomy/Browser/wwwtax.cgi?mode=Info&amp;id=8884&amp;lvl=3&amp;lin=f&amp;keep=1&amp;srchmode=1&amp;unlock","Oxyura jamaicensis")</f>
        <v>Oxyura jamaicensis</v>
      </c>
      <c r="H261" t="s">
        <v>273</v>
      </c>
      <c r="I261" t="str">
        <f>HYPERLINK("http://www.ncbi.nlm.nih.gov/protein/XP_035182227.1","fatty acid-binding protein, liver")</f>
        <v>fatty acid-binding protein, liver</v>
      </c>
      <c r="J261">
        <v>198.36</v>
      </c>
      <c r="K261" t="s">
        <v>20</v>
      </c>
      <c r="L261">
        <v>139</v>
      </c>
      <c r="M261">
        <v>50.68</v>
      </c>
      <c r="N261">
        <v>78.62</v>
      </c>
      <c r="O261" t="s">
        <v>20</v>
      </c>
      <c r="P261" t="s">
        <v>21</v>
      </c>
      <c r="Q261" t="s">
        <v>20</v>
      </c>
      <c r="R261" t="str">
        <f>HYPERLINK("https://cfpub.epa.gov/ecotox/explore.cfm?ncbi=8884","Explore in ECOTOX")</f>
        <v>Explore in ECOTOX</v>
      </c>
    </row>
    <row r="262" spans="1:18" x14ac:dyDescent="0.25">
      <c r="A262">
        <v>6</v>
      </c>
      <c r="B262" t="str">
        <f>HYPERLINK("http://www.ncbi.nlm.nih.gov/protein/KFZ56791.1","KFZ56791.1")</f>
        <v>KFZ56791.1</v>
      </c>
      <c r="C262">
        <v>11735</v>
      </c>
      <c r="D262" t="str">
        <f>HYPERLINK("http://www.ncbi.nlm.nih.gov/Taxonomy/Browser/wwwtax.cgi?mode=Info&amp;id=345573&amp;lvl=3&amp;lin=f&amp;keep=1&amp;srchmode=1&amp;unlock","345573")</f>
        <v>345573</v>
      </c>
      <c r="E262" t="s">
        <v>167</v>
      </c>
      <c r="F262" t="s">
        <v>167</v>
      </c>
      <c r="G262" t="str">
        <f>HYPERLINK("http://www.ncbi.nlm.nih.gov/Taxonomy/Browser/wwwtax.cgi?mode=Info&amp;id=345573&amp;lvl=3&amp;lin=f&amp;keep=1&amp;srchmode=1&amp;unlock","Podiceps cristatus")</f>
        <v>Podiceps cristatus</v>
      </c>
      <c r="H262" t="s">
        <v>274</v>
      </c>
      <c r="I262" t="str">
        <f>HYPERLINK("http://www.ncbi.nlm.nih.gov/protein/KFZ56791.1","Fatty acid-binding protein, liver")</f>
        <v>Fatty acid-binding protein, liver</v>
      </c>
      <c r="J262">
        <v>198.36</v>
      </c>
      <c r="K262" t="s">
        <v>25</v>
      </c>
      <c r="L262">
        <v>139</v>
      </c>
      <c r="M262">
        <v>50.68</v>
      </c>
      <c r="N262">
        <v>78.62</v>
      </c>
      <c r="O262" t="s">
        <v>20</v>
      </c>
      <c r="P262" t="s">
        <v>21</v>
      </c>
      <c r="Q262" t="s">
        <v>20</v>
      </c>
      <c r="R262" t="str">
        <f>HYPERLINK("https://cfpub.epa.gov/ecotox/explore.cfm?ncbi=345573","Explore in ECOTOX")</f>
        <v>Explore in ECOTOX</v>
      </c>
    </row>
    <row r="263" spans="1:18" x14ac:dyDescent="0.25">
      <c r="A263">
        <v>6</v>
      </c>
      <c r="B263" t="str">
        <f>HYPERLINK("http://www.ncbi.nlm.nih.gov/protein/XP_026702845.1","XP_026702845.1")</f>
        <v>XP_026702845.1</v>
      </c>
      <c r="C263">
        <v>27794</v>
      </c>
      <c r="D263" t="str">
        <f>HYPERLINK("http://www.ncbi.nlm.nih.gov/Taxonomy/Browser/wwwtax.cgi?mode=Info&amp;id=194338&amp;lvl=3&amp;lin=f&amp;keep=1&amp;srchmode=1&amp;unlock","194338")</f>
        <v>194338</v>
      </c>
      <c r="E263" t="s">
        <v>167</v>
      </c>
      <c r="F263" t="s">
        <v>167</v>
      </c>
      <c r="G263" t="str">
        <f>HYPERLINK("http://www.ncbi.nlm.nih.gov/Taxonomy/Browser/wwwtax.cgi?mode=Info&amp;id=194338&amp;lvl=3&amp;lin=f&amp;keep=1&amp;srchmode=1&amp;unlock","Athene cunicularia")</f>
        <v>Athene cunicularia</v>
      </c>
      <c r="H263" t="s">
        <v>275</v>
      </c>
      <c r="I263" t="str">
        <f>HYPERLINK("http://www.ncbi.nlm.nih.gov/protein/XP_026702845.1","fatty acid-binding protein, liver")</f>
        <v>fatty acid-binding protein, liver</v>
      </c>
      <c r="J263">
        <v>198.36</v>
      </c>
      <c r="K263" t="s">
        <v>25</v>
      </c>
      <c r="L263">
        <v>139</v>
      </c>
      <c r="M263">
        <v>50.68</v>
      </c>
      <c r="N263">
        <v>78.62</v>
      </c>
      <c r="O263" t="s">
        <v>20</v>
      </c>
      <c r="P263" t="s">
        <v>21</v>
      </c>
      <c r="Q263" t="s">
        <v>20</v>
      </c>
      <c r="R263" t="str">
        <f>HYPERLINK("https://cfpub.epa.gov/ecotox/explore.cfm?ncbi=194338","Explore in ECOTOX")</f>
        <v>Explore in ECOTOX</v>
      </c>
    </row>
    <row r="264" spans="1:18" x14ac:dyDescent="0.25">
      <c r="A264">
        <v>6</v>
      </c>
      <c r="B264" t="str">
        <f>HYPERLINK("http://www.ncbi.nlm.nih.gov/protein/XP_013032632.1","XP_013032632.1")</f>
        <v>XP_013032632.1</v>
      </c>
      <c r="C264">
        <v>31837</v>
      </c>
      <c r="D264" t="str">
        <f>HYPERLINK("http://www.ncbi.nlm.nih.gov/Taxonomy/Browser/wwwtax.cgi?mode=Info&amp;id=381198&amp;lvl=3&amp;lin=f&amp;keep=1&amp;srchmode=1&amp;unlock","381198")</f>
        <v>381198</v>
      </c>
      <c r="E264" t="s">
        <v>167</v>
      </c>
      <c r="F264" t="s">
        <v>167</v>
      </c>
      <c r="G264" t="str">
        <f>HYPERLINK("http://www.ncbi.nlm.nih.gov/Taxonomy/Browser/wwwtax.cgi?mode=Info&amp;id=381198&amp;lvl=3&amp;lin=f&amp;keep=1&amp;srchmode=1&amp;unlock","Anser cygnoides domesticus")</f>
        <v>Anser cygnoides domesticus</v>
      </c>
      <c r="H264" t="s">
        <v>276</v>
      </c>
      <c r="I264" t="str">
        <f>HYPERLINK("http://www.ncbi.nlm.nih.gov/protein/XP_013032632.1","PREDICTED: fatty acid-binding protein, liver")</f>
        <v>PREDICTED: fatty acid-binding protein, liver</v>
      </c>
      <c r="J264">
        <v>198.36</v>
      </c>
      <c r="K264" t="s">
        <v>25</v>
      </c>
      <c r="L264">
        <v>139</v>
      </c>
      <c r="M264">
        <v>50.68</v>
      </c>
      <c r="N264">
        <v>78.62</v>
      </c>
      <c r="O264" t="s">
        <v>20</v>
      </c>
      <c r="P264" t="s">
        <v>21</v>
      </c>
      <c r="Q264" t="s">
        <v>20</v>
      </c>
      <c r="R264" t="str">
        <f>HYPERLINK("https://cfpub.epa.gov/ecotox/explore.cfm?ncbi=381198","Explore in ECOTOX")</f>
        <v>Explore in ECOTOX</v>
      </c>
    </row>
    <row r="265" spans="1:18" x14ac:dyDescent="0.25">
      <c r="A265">
        <v>6</v>
      </c>
      <c r="B265" t="str">
        <f>HYPERLINK("http://www.ncbi.nlm.nih.gov/protein/KAF1497364.1","KAF1497364.1")</f>
        <v>KAF1497364.1</v>
      </c>
      <c r="C265">
        <v>14555</v>
      </c>
      <c r="D265" t="str">
        <f>HYPERLINK("http://www.ncbi.nlm.nih.gov/Taxonomy/Browser/wwwtax.cgi?mode=Info&amp;id=2517240&amp;lvl=3&amp;lin=f&amp;keep=1&amp;srchmode=1&amp;unlock","2517240")</f>
        <v>2517240</v>
      </c>
      <c r="E265" t="s">
        <v>167</v>
      </c>
      <c r="F265" t="s">
        <v>167</v>
      </c>
      <c r="G265" t="str">
        <f>HYPERLINK("http://www.ncbi.nlm.nih.gov/Taxonomy/Browser/wwwtax.cgi?mode=Info&amp;id=2517240&amp;lvl=3&amp;lin=f&amp;keep=1&amp;srchmode=1&amp;unlock","Megadyptes antipodes antipodes")</f>
        <v>Megadyptes antipodes antipodes</v>
      </c>
      <c r="H265" t="s">
        <v>277</v>
      </c>
      <c r="I265" t="str">
        <f>HYPERLINK("http://www.ncbi.nlm.nih.gov/protein/KAF1497364.1","Fatty acid-binding protein, liver, partial")</f>
        <v>Fatty acid-binding protein, liver, partial</v>
      </c>
      <c r="J265">
        <v>198.36</v>
      </c>
      <c r="K265" t="s">
        <v>25</v>
      </c>
      <c r="L265">
        <v>139</v>
      </c>
      <c r="M265">
        <v>50.68</v>
      </c>
      <c r="N265">
        <v>78.62</v>
      </c>
      <c r="O265" t="s">
        <v>20</v>
      </c>
      <c r="P265" t="s">
        <v>21</v>
      </c>
      <c r="Q265" t="s">
        <v>20</v>
      </c>
      <c r="R265" t="str">
        <f>HYPERLINK("https://cfpub.epa.gov/ecotox/explore.cfm?ncbi=2517240","Explore in ECOTOX")</f>
        <v>Explore in ECOTOX</v>
      </c>
    </row>
    <row r="266" spans="1:18" x14ac:dyDescent="0.25">
      <c r="A266">
        <v>6</v>
      </c>
      <c r="B266" t="str">
        <f>HYPERLINK("http://www.ncbi.nlm.nih.gov/protein/NXN48244.1","NXN48244.1")</f>
        <v>NXN48244.1</v>
      </c>
      <c r="C266">
        <v>13695</v>
      </c>
      <c r="D266" t="str">
        <f>HYPERLINK("http://www.ncbi.nlm.nih.gov/Taxonomy/Browser/wwwtax.cgi?mode=Info&amp;id=240209&amp;lvl=3&amp;lin=f&amp;keep=1&amp;srchmode=1&amp;unlock","240209")</f>
        <v>240209</v>
      </c>
      <c r="E266" t="s">
        <v>167</v>
      </c>
      <c r="F266" t="s">
        <v>167</v>
      </c>
      <c r="G266" t="str">
        <f>HYPERLINK("http://www.ncbi.nlm.nih.gov/Taxonomy/Browser/wwwtax.cgi?mode=Info&amp;id=240209&amp;lvl=3&amp;lin=f&amp;keep=1&amp;srchmode=1&amp;unlock","Rhinoptilus africanus")</f>
        <v>Rhinoptilus africanus</v>
      </c>
      <c r="H266" t="s">
        <v>278</v>
      </c>
      <c r="I266" t="str">
        <f>HYPERLINK("http://www.ncbi.nlm.nih.gov/protein/NXN48244.1","FABPL protein")</f>
        <v>FABPL protein</v>
      </c>
      <c r="J266">
        <v>197.98</v>
      </c>
      <c r="K266" t="s">
        <v>25</v>
      </c>
      <c r="L266">
        <v>139</v>
      </c>
      <c r="M266">
        <v>50.68</v>
      </c>
      <c r="N266">
        <v>78.47</v>
      </c>
      <c r="O266" t="s">
        <v>20</v>
      </c>
      <c r="P266" t="s">
        <v>21</v>
      </c>
      <c r="Q266" t="s">
        <v>20</v>
      </c>
      <c r="R266" t="str">
        <f>HYPERLINK("https://cfpub.epa.gov/ecotox/explore.cfm?ncbi=240209","Explore in ECOTOX")</f>
        <v>Explore in ECOTOX</v>
      </c>
    </row>
    <row r="267" spans="1:18" x14ac:dyDescent="0.25">
      <c r="A267">
        <v>6</v>
      </c>
      <c r="B267" t="str">
        <f>HYPERLINK("http://www.ncbi.nlm.nih.gov/protein/NWS53175.1","NWS53175.1")</f>
        <v>NWS53175.1</v>
      </c>
      <c r="C267">
        <v>14433</v>
      </c>
      <c r="D267" t="str">
        <f>HYPERLINK("http://www.ncbi.nlm.nih.gov/Taxonomy/Browser/wwwtax.cgi?mode=Info&amp;id=1352770&amp;lvl=3&amp;lin=f&amp;keep=1&amp;srchmode=1&amp;unlock","1352770")</f>
        <v>1352770</v>
      </c>
      <c r="E267" t="s">
        <v>167</v>
      </c>
      <c r="F267" t="s">
        <v>167</v>
      </c>
      <c r="G267" t="str">
        <f>HYPERLINK("http://www.ncbi.nlm.nih.gov/Taxonomy/Browser/wwwtax.cgi?mode=Info&amp;id=1352770&amp;lvl=3&amp;lin=f&amp;keep=1&amp;srchmode=1&amp;unlock","Chunga burmeisteri")</f>
        <v>Chunga burmeisteri</v>
      </c>
      <c r="H267" t="s">
        <v>279</v>
      </c>
      <c r="I267" t="str">
        <f>HYPERLINK("http://www.ncbi.nlm.nih.gov/protein/NWS53175.1","FABPL protein")</f>
        <v>FABPL protein</v>
      </c>
      <c r="J267">
        <v>197.98</v>
      </c>
      <c r="K267" t="s">
        <v>25</v>
      </c>
      <c r="L267">
        <v>139</v>
      </c>
      <c r="M267">
        <v>50.68</v>
      </c>
      <c r="N267">
        <v>78.47</v>
      </c>
      <c r="O267" t="s">
        <v>20</v>
      </c>
      <c r="P267" t="s">
        <v>21</v>
      </c>
      <c r="Q267" t="s">
        <v>20</v>
      </c>
      <c r="R267" t="str">
        <f>HYPERLINK("https://cfpub.epa.gov/ecotox/explore.cfm?ncbi=1352770","Explore in ECOTOX")</f>
        <v>Explore in ECOTOX</v>
      </c>
    </row>
    <row r="268" spans="1:18" x14ac:dyDescent="0.25">
      <c r="A268">
        <v>6</v>
      </c>
      <c r="B268" t="str">
        <f>HYPERLINK("http://www.ncbi.nlm.nih.gov/protein/NWV51535.1","NWV51535.1")</f>
        <v>NWV51535.1</v>
      </c>
      <c r="C268">
        <v>13977</v>
      </c>
      <c r="D268" t="str">
        <f>HYPERLINK("http://www.ncbi.nlm.nih.gov/Taxonomy/Browser/wwwtax.cgi?mode=Info&amp;id=254528&amp;lvl=3&amp;lin=f&amp;keep=1&amp;srchmode=1&amp;unlock","254528")</f>
        <v>254528</v>
      </c>
      <c r="E268" t="s">
        <v>167</v>
      </c>
      <c r="F268" t="s">
        <v>167</v>
      </c>
      <c r="G268" t="str">
        <f>HYPERLINK("http://www.ncbi.nlm.nih.gov/Taxonomy/Browser/wwwtax.cgi?mode=Info&amp;id=254528&amp;lvl=3&amp;lin=f&amp;keep=1&amp;srchmode=1&amp;unlock","Daphoenositta chrysoptera")</f>
        <v>Daphoenositta chrysoptera</v>
      </c>
      <c r="H268" t="s">
        <v>280</v>
      </c>
      <c r="I268" t="str">
        <f>HYPERLINK("http://www.ncbi.nlm.nih.gov/protein/NWV51535.1","FABPL protein")</f>
        <v>FABPL protein</v>
      </c>
      <c r="J268">
        <v>197.98</v>
      </c>
      <c r="K268" t="s">
        <v>25</v>
      </c>
      <c r="L268">
        <v>139</v>
      </c>
      <c r="M268">
        <v>50.68</v>
      </c>
      <c r="N268">
        <v>78.47</v>
      </c>
      <c r="O268" t="s">
        <v>20</v>
      </c>
      <c r="P268" t="s">
        <v>21</v>
      </c>
      <c r="Q268" t="s">
        <v>20</v>
      </c>
      <c r="R268" t="str">
        <f>HYPERLINK("https://cfpub.epa.gov/ecotox/explore.cfm?ncbi=254528","Explore in ECOTOX")</f>
        <v>Explore in ECOTOX</v>
      </c>
    </row>
    <row r="269" spans="1:18" x14ac:dyDescent="0.25">
      <c r="A269">
        <v>6</v>
      </c>
      <c r="B269" t="str">
        <f>HYPERLINK("http://www.ncbi.nlm.nih.gov/protein/KAF1499172.1","KAF1499172.1")</f>
        <v>KAF1499172.1</v>
      </c>
      <c r="C269">
        <v>15479</v>
      </c>
      <c r="D269" t="str">
        <f>HYPERLINK("http://www.ncbi.nlm.nih.gov/Taxonomy/Browser/wwwtax.cgi?mode=Info&amp;id=37083&amp;lvl=3&amp;lin=f&amp;keep=1&amp;srchmode=1&amp;unlock","37083")</f>
        <v>37083</v>
      </c>
      <c r="E269" t="s">
        <v>167</v>
      </c>
      <c r="F269" t="s">
        <v>167</v>
      </c>
      <c r="G269" t="str">
        <f>HYPERLINK("http://www.ncbi.nlm.nih.gov/Taxonomy/Browser/wwwtax.cgi?mode=Info&amp;id=37083&amp;lvl=3&amp;lin=f&amp;keep=1&amp;srchmode=1&amp;unlock","Eudyptula minor")</f>
        <v>Eudyptula minor</v>
      </c>
      <c r="H269" t="s">
        <v>281</v>
      </c>
      <c r="I269" t="str">
        <f>HYPERLINK("http://www.ncbi.nlm.nih.gov/protein/KAF1499172.1","Fatty acid-binding protein, liver, partial")</f>
        <v>Fatty acid-binding protein, liver, partial</v>
      </c>
      <c r="J269">
        <v>197.98</v>
      </c>
      <c r="K269" t="s">
        <v>25</v>
      </c>
      <c r="L269">
        <v>139</v>
      </c>
      <c r="M269">
        <v>50.68</v>
      </c>
      <c r="N269">
        <v>78.47</v>
      </c>
      <c r="O269" t="s">
        <v>20</v>
      </c>
      <c r="P269" t="s">
        <v>21</v>
      </c>
      <c r="Q269" t="s">
        <v>20</v>
      </c>
      <c r="R269" t="str">
        <f>HYPERLINK("https://cfpub.epa.gov/ecotox/explore.cfm?ncbi=37083","Explore in ECOTOX")</f>
        <v>Explore in ECOTOX</v>
      </c>
    </row>
    <row r="270" spans="1:18" x14ac:dyDescent="0.25">
      <c r="A270">
        <v>6</v>
      </c>
      <c r="B270" t="str">
        <f>HYPERLINK("http://www.ncbi.nlm.nih.gov/protein/XP_009694660.1","XP_009694660.1")</f>
        <v>XP_009694660.1</v>
      </c>
      <c r="C270">
        <v>27818</v>
      </c>
      <c r="D270" t="str">
        <f>HYPERLINK("http://www.ncbi.nlm.nih.gov/Taxonomy/Browser/wwwtax.cgi?mode=Info&amp;id=54380&amp;lvl=3&amp;lin=f&amp;keep=1&amp;srchmode=1&amp;unlock","54380")</f>
        <v>54380</v>
      </c>
      <c r="E270" t="s">
        <v>167</v>
      </c>
      <c r="F270" t="s">
        <v>167</v>
      </c>
      <c r="G270" t="str">
        <f>HYPERLINK("http://www.ncbi.nlm.nih.gov/Taxonomy/Browser/wwwtax.cgi?mode=Info&amp;id=54380&amp;lvl=3&amp;lin=f&amp;keep=1&amp;srchmode=1&amp;unlock","Cariama cristata")</f>
        <v>Cariama cristata</v>
      </c>
      <c r="H270" t="s">
        <v>282</v>
      </c>
      <c r="I270" t="str">
        <f>HYPERLINK("http://www.ncbi.nlm.nih.gov/protein/XP_009694660.1","PREDICTED: fatty acid-binding protein, liver")</f>
        <v>PREDICTED: fatty acid-binding protein, liver</v>
      </c>
      <c r="J270">
        <v>197.98</v>
      </c>
      <c r="K270" t="s">
        <v>25</v>
      </c>
      <c r="L270">
        <v>139</v>
      </c>
      <c r="M270">
        <v>50.68</v>
      </c>
      <c r="N270">
        <v>78.47</v>
      </c>
      <c r="O270" t="s">
        <v>20</v>
      </c>
      <c r="P270" t="s">
        <v>21</v>
      </c>
      <c r="Q270" t="s">
        <v>20</v>
      </c>
      <c r="R270" t="str">
        <f>HYPERLINK("https://cfpub.epa.gov/ecotox/explore.cfm?ncbi=54380","Explore in ECOTOX")</f>
        <v>Explore in ECOTOX</v>
      </c>
    </row>
    <row r="271" spans="1:18" x14ac:dyDescent="0.25">
      <c r="A271">
        <v>6</v>
      </c>
      <c r="B271" t="str">
        <f>HYPERLINK("http://www.ncbi.nlm.nih.gov/protein/KAF1478461.1","KAF1478461.1")</f>
        <v>KAF1478461.1</v>
      </c>
      <c r="C271">
        <v>14369</v>
      </c>
      <c r="D271" t="str">
        <f>HYPERLINK("http://www.ncbi.nlm.nih.gov/Taxonomy/Browser/wwwtax.cgi?mode=Info&amp;id=79643&amp;lvl=3&amp;lin=f&amp;keep=1&amp;srchmode=1&amp;unlock","79643")</f>
        <v>79643</v>
      </c>
      <c r="E271" t="s">
        <v>167</v>
      </c>
      <c r="F271" t="s">
        <v>167</v>
      </c>
      <c r="G271" t="str">
        <f>HYPERLINK("http://www.ncbi.nlm.nih.gov/Taxonomy/Browser/wwwtax.cgi?mode=Info&amp;id=79643&amp;lvl=3&amp;lin=f&amp;keep=1&amp;srchmode=1&amp;unlock","Pygoscelis antarcticus")</f>
        <v>Pygoscelis antarcticus</v>
      </c>
      <c r="H271" t="s">
        <v>283</v>
      </c>
      <c r="I271" t="str">
        <f>HYPERLINK("http://www.ncbi.nlm.nih.gov/protein/KAF1478461.1","Fatty acid-binding protein, liver, partial")</f>
        <v>Fatty acid-binding protein, liver, partial</v>
      </c>
      <c r="J271">
        <v>197.98</v>
      </c>
      <c r="K271" t="s">
        <v>25</v>
      </c>
      <c r="L271">
        <v>139</v>
      </c>
      <c r="M271">
        <v>50.68</v>
      </c>
      <c r="N271">
        <v>78.47</v>
      </c>
      <c r="O271" t="s">
        <v>20</v>
      </c>
      <c r="P271" t="s">
        <v>21</v>
      </c>
      <c r="Q271" t="s">
        <v>20</v>
      </c>
      <c r="R271" t="str">
        <f>HYPERLINK("https://cfpub.epa.gov/ecotox/explore.cfm?ncbi=79643","Explore in ECOTOX")</f>
        <v>Explore in ECOTOX</v>
      </c>
    </row>
    <row r="272" spans="1:18" x14ac:dyDescent="0.25">
      <c r="A272">
        <v>6</v>
      </c>
      <c r="B272" t="str">
        <f>HYPERLINK("http://www.ncbi.nlm.nih.gov/protein/KAF1504573.1","KAF1504573.1")</f>
        <v>KAF1504573.1</v>
      </c>
      <c r="C272">
        <v>15002</v>
      </c>
      <c r="D272" t="str">
        <f>HYPERLINK("http://www.ncbi.nlm.nih.gov/Taxonomy/Browser/wwwtax.cgi?mode=Info&amp;id=2052820&amp;lvl=3&amp;lin=f&amp;keep=1&amp;srchmode=1&amp;unlock","2052820")</f>
        <v>2052820</v>
      </c>
      <c r="E272" t="s">
        <v>167</v>
      </c>
      <c r="F272" t="s">
        <v>167</v>
      </c>
      <c r="G272" t="str">
        <f>HYPERLINK("http://www.ncbi.nlm.nih.gov/Taxonomy/Browser/wwwtax.cgi?mode=Info&amp;id=2052820&amp;lvl=3&amp;lin=f&amp;keep=1&amp;srchmode=1&amp;unlock","Eudyptula novaehollandiae")</f>
        <v>Eudyptula novaehollandiae</v>
      </c>
      <c r="H272" t="s">
        <v>284</v>
      </c>
      <c r="I272" t="str">
        <f>HYPERLINK("http://www.ncbi.nlm.nih.gov/protein/KAF1504573.1","Fatty acid-binding protein, liver, partial")</f>
        <v>Fatty acid-binding protein, liver, partial</v>
      </c>
      <c r="J272">
        <v>197.98</v>
      </c>
      <c r="K272" t="s">
        <v>25</v>
      </c>
      <c r="L272">
        <v>139</v>
      </c>
      <c r="M272">
        <v>50.68</v>
      </c>
      <c r="N272">
        <v>78.47</v>
      </c>
      <c r="O272" t="s">
        <v>20</v>
      </c>
      <c r="P272" t="s">
        <v>21</v>
      </c>
      <c r="Q272" t="s">
        <v>20</v>
      </c>
      <c r="R272" t="str">
        <f>HYPERLINK("https://cfpub.epa.gov/ecotox/explore.cfm?ncbi=2052820","Explore in ECOTOX")</f>
        <v>Explore in ECOTOX</v>
      </c>
    </row>
    <row r="273" spans="1:18" x14ac:dyDescent="0.25">
      <c r="A273">
        <v>6</v>
      </c>
      <c r="B273" t="str">
        <f>HYPERLINK("http://www.ncbi.nlm.nih.gov/protein/XP_009637893.1","XP_009637893.1")</f>
        <v>XP_009637893.1</v>
      </c>
      <c r="C273">
        <v>37431</v>
      </c>
      <c r="D273" t="str">
        <f>HYPERLINK("http://www.ncbi.nlm.nih.gov/Taxonomy/Browser/wwwtax.cgi?mode=Info&amp;id=188379&amp;lvl=3&amp;lin=f&amp;keep=1&amp;srchmode=1&amp;unlock","188379")</f>
        <v>188379</v>
      </c>
      <c r="E273" t="s">
        <v>167</v>
      </c>
      <c r="F273" t="s">
        <v>167</v>
      </c>
      <c r="G273" t="str">
        <f>HYPERLINK("http://www.ncbi.nlm.nih.gov/Taxonomy/Browser/wwwtax.cgi?mode=Info&amp;id=188379&amp;lvl=3&amp;lin=f&amp;keep=1&amp;srchmode=1&amp;unlock","Egretta garzetta")</f>
        <v>Egretta garzetta</v>
      </c>
      <c r="H273" t="s">
        <v>285</v>
      </c>
      <c r="I273" t="str">
        <f>HYPERLINK("http://www.ncbi.nlm.nih.gov/protein/XP_009637893.1","fatty acid-binding protein, liver")</f>
        <v>fatty acid-binding protein, liver</v>
      </c>
      <c r="J273">
        <v>197.98</v>
      </c>
      <c r="K273" t="s">
        <v>20</v>
      </c>
      <c r="L273">
        <v>139</v>
      </c>
      <c r="M273">
        <v>50.68</v>
      </c>
      <c r="N273">
        <v>78.47</v>
      </c>
      <c r="O273" t="s">
        <v>20</v>
      </c>
      <c r="P273" t="s">
        <v>21</v>
      </c>
      <c r="Q273" t="s">
        <v>20</v>
      </c>
      <c r="R273" t="str">
        <f>HYPERLINK("https://cfpub.epa.gov/ecotox/explore.cfm?ncbi=188379","Explore in ECOTOX")</f>
        <v>Explore in ECOTOX</v>
      </c>
    </row>
    <row r="274" spans="1:18" x14ac:dyDescent="0.25">
      <c r="A274">
        <v>6</v>
      </c>
      <c r="B274" t="str">
        <f>HYPERLINK("http://www.ncbi.nlm.nih.gov/protein/NWW43070.1","NWW43070.1")</f>
        <v>NWW43070.1</v>
      </c>
      <c r="C274">
        <v>13358</v>
      </c>
      <c r="D274" t="str">
        <f>HYPERLINK("http://www.ncbi.nlm.nih.gov/Taxonomy/Browser/wwwtax.cgi?mode=Info&amp;id=227192&amp;lvl=3&amp;lin=f&amp;keep=1&amp;srchmode=1&amp;unlock","227192")</f>
        <v>227192</v>
      </c>
      <c r="E274" t="s">
        <v>167</v>
      </c>
      <c r="F274" t="s">
        <v>167</v>
      </c>
      <c r="G274" t="str">
        <f>HYPERLINK("http://www.ncbi.nlm.nih.gov/Taxonomy/Browser/wwwtax.cgi?mode=Info&amp;id=227192&amp;lvl=3&amp;lin=f&amp;keep=1&amp;srchmode=1&amp;unlock","Pedionomus torquatus")</f>
        <v>Pedionomus torquatus</v>
      </c>
      <c r="H274" t="s">
        <v>286</v>
      </c>
      <c r="I274" t="str">
        <f>HYPERLINK("http://www.ncbi.nlm.nih.gov/protein/NWW43070.1","FABPL protein")</f>
        <v>FABPL protein</v>
      </c>
      <c r="J274">
        <v>197.98</v>
      </c>
      <c r="K274" t="s">
        <v>25</v>
      </c>
      <c r="L274">
        <v>139</v>
      </c>
      <c r="M274">
        <v>50.68</v>
      </c>
      <c r="N274">
        <v>78.47</v>
      </c>
      <c r="O274" t="s">
        <v>20</v>
      </c>
      <c r="P274" t="s">
        <v>21</v>
      </c>
      <c r="Q274" t="s">
        <v>20</v>
      </c>
      <c r="R274" t="str">
        <f>HYPERLINK("https://cfpub.epa.gov/ecotox/explore.cfm?ncbi=227192","Explore in ECOTOX")</f>
        <v>Explore in ECOTOX</v>
      </c>
    </row>
    <row r="275" spans="1:18" x14ac:dyDescent="0.25">
      <c r="A275">
        <v>6</v>
      </c>
      <c r="B275" t="str">
        <f>HYPERLINK("http://www.ncbi.nlm.nih.gov/protein/NXU33055.1","NXU33055.1")</f>
        <v>NXU33055.1</v>
      </c>
      <c r="C275">
        <v>11831</v>
      </c>
      <c r="D275" t="str">
        <f>HYPERLINK("http://www.ncbi.nlm.nih.gov/Taxonomy/Browser/wwwtax.cgi?mode=Info&amp;id=54017&amp;lvl=3&amp;lin=f&amp;keep=1&amp;srchmode=1&amp;unlock","54017")</f>
        <v>54017</v>
      </c>
      <c r="E275" t="s">
        <v>167</v>
      </c>
      <c r="F275" t="s">
        <v>167</v>
      </c>
      <c r="G275" t="str">
        <f>HYPERLINK("http://www.ncbi.nlm.nih.gov/Taxonomy/Browser/wwwtax.cgi?mode=Info&amp;id=54017&amp;lvl=3&amp;lin=f&amp;keep=1&amp;srchmode=1&amp;unlock","Thalassarche chlororhynchos")</f>
        <v>Thalassarche chlororhynchos</v>
      </c>
      <c r="H275" t="s">
        <v>287</v>
      </c>
      <c r="I275" t="str">
        <f>HYPERLINK("http://www.ncbi.nlm.nih.gov/protein/NXU33055.1","FABPL protein")</f>
        <v>FABPL protein</v>
      </c>
      <c r="J275">
        <v>197.98</v>
      </c>
      <c r="K275" t="s">
        <v>20</v>
      </c>
      <c r="L275">
        <v>139</v>
      </c>
      <c r="M275">
        <v>50.68</v>
      </c>
      <c r="N275">
        <v>78.47</v>
      </c>
      <c r="O275" t="s">
        <v>20</v>
      </c>
      <c r="P275" t="s">
        <v>21</v>
      </c>
      <c r="Q275" t="s">
        <v>20</v>
      </c>
      <c r="R275" t="str">
        <f>HYPERLINK("https://cfpub.epa.gov/ecotox/explore.cfm?ncbi=54017","Explore in ECOTOX")</f>
        <v>Explore in ECOTOX</v>
      </c>
    </row>
    <row r="276" spans="1:18" x14ac:dyDescent="0.25">
      <c r="A276">
        <v>6</v>
      </c>
      <c r="B276" t="str">
        <f>HYPERLINK("http://www.ncbi.nlm.nih.gov/protein/KAF1673530.1","KAF1673530.1")</f>
        <v>KAF1673530.1</v>
      </c>
      <c r="C276">
        <v>15105</v>
      </c>
      <c r="D276" t="str">
        <f>HYPERLINK("http://www.ncbi.nlm.nih.gov/Taxonomy/Browser/wwwtax.cgi?mode=Info&amp;id=30457&amp;lvl=3&amp;lin=f&amp;keep=1&amp;srchmode=1&amp;unlock","30457")</f>
        <v>30457</v>
      </c>
      <c r="E276" t="s">
        <v>167</v>
      </c>
      <c r="F276" t="s">
        <v>167</v>
      </c>
      <c r="G276" t="str">
        <f>HYPERLINK("http://www.ncbi.nlm.nih.gov/Taxonomy/Browser/wwwtax.cgi?mode=Info&amp;id=30457&amp;lvl=3&amp;lin=f&amp;keep=1&amp;srchmode=1&amp;unlock","Pygoscelis papua")</f>
        <v>Pygoscelis papua</v>
      </c>
      <c r="H276" t="s">
        <v>288</v>
      </c>
      <c r="I276" t="str">
        <f>HYPERLINK("http://www.ncbi.nlm.nih.gov/protein/KAF1673530.1","Fatty acid-binding protein, liver, partial")</f>
        <v>Fatty acid-binding protein, liver, partial</v>
      </c>
      <c r="J276">
        <v>197.98</v>
      </c>
      <c r="K276" t="s">
        <v>25</v>
      </c>
      <c r="L276">
        <v>139</v>
      </c>
      <c r="M276">
        <v>50.68</v>
      </c>
      <c r="N276">
        <v>78.47</v>
      </c>
      <c r="O276" t="s">
        <v>20</v>
      </c>
      <c r="P276" t="s">
        <v>21</v>
      </c>
      <c r="Q276" t="s">
        <v>20</v>
      </c>
      <c r="R276" t="str">
        <f>HYPERLINK("https://cfpub.epa.gov/ecotox/explore.cfm?ncbi=30457","Explore in ECOTOX")</f>
        <v>Explore in ECOTOX</v>
      </c>
    </row>
    <row r="277" spans="1:18" x14ac:dyDescent="0.25">
      <c r="A277">
        <v>6</v>
      </c>
      <c r="B277" t="str">
        <f>HYPERLINK("http://www.ncbi.nlm.nih.gov/protein/KAF1554441.1","KAF1554441.1")</f>
        <v>KAF1554441.1</v>
      </c>
      <c r="C277">
        <v>15140</v>
      </c>
      <c r="D277" t="str">
        <f>HYPERLINK("http://www.ncbi.nlm.nih.gov/Taxonomy/Browser/wwwtax.cgi?mode=Info&amp;id=345258&amp;lvl=3&amp;lin=f&amp;keep=1&amp;srchmode=1&amp;unlock","345258")</f>
        <v>345258</v>
      </c>
      <c r="E277" t="s">
        <v>167</v>
      </c>
      <c r="F277" t="s">
        <v>167</v>
      </c>
      <c r="G277" t="str">
        <f>HYPERLINK("http://www.ncbi.nlm.nih.gov/Taxonomy/Browser/wwwtax.cgi?mode=Info&amp;id=345258&amp;lvl=3&amp;lin=f&amp;keep=1&amp;srchmode=1&amp;unlock","Eudyptula albosignata")</f>
        <v>Eudyptula albosignata</v>
      </c>
      <c r="H277" t="s">
        <v>289</v>
      </c>
      <c r="I277" t="str">
        <f>HYPERLINK("http://www.ncbi.nlm.nih.gov/protein/KAF1554441.1","Fatty acid-binding protein, liver, partial")</f>
        <v>Fatty acid-binding protein, liver, partial</v>
      </c>
      <c r="J277">
        <v>197.98</v>
      </c>
      <c r="K277" t="s">
        <v>25</v>
      </c>
      <c r="L277">
        <v>139</v>
      </c>
      <c r="M277">
        <v>50.68</v>
      </c>
      <c r="N277">
        <v>78.47</v>
      </c>
      <c r="O277" t="s">
        <v>20</v>
      </c>
      <c r="P277" t="s">
        <v>21</v>
      </c>
      <c r="Q277" t="s">
        <v>20</v>
      </c>
      <c r="R277" t="str">
        <f>HYPERLINK("https://cfpub.epa.gov/ecotox/explore.cfm?ncbi=345258","Explore in ECOTOX")</f>
        <v>Explore in ECOTOX</v>
      </c>
    </row>
    <row r="278" spans="1:18" x14ac:dyDescent="0.25">
      <c r="A278">
        <v>6</v>
      </c>
      <c r="B278" t="str">
        <f>HYPERLINK("http://www.ncbi.nlm.nih.gov/protein/NWW97313.1","NWW97313.1")</f>
        <v>NWW97313.1</v>
      </c>
      <c r="C278">
        <v>13756</v>
      </c>
      <c r="D278" t="str">
        <f>HYPERLINK("http://www.ncbi.nlm.nih.gov/Taxonomy/Browser/wwwtax.cgi?mode=Info&amp;id=54386&amp;lvl=3&amp;lin=f&amp;keep=1&amp;srchmode=1&amp;unlock","54386")</f>
        <v>54386</v>
      </c>
      <c r="E278" t="s">
        <v>167</v>
      </c>
      <c r="F278" t="s">
        <v>167</v>
      </c>
      <c r="G278" t="str">
        <f>HYPERLINK("http://www.ncbi.nlm.nih.gov/Taxonomy/Browser/wwwtax.cgi?mode=Info&amp;id=54386&amp;lvl=3&amp;lin=f&amp;keep=1&amp;srchmode=1&amp;unlock","Rhynochetos jubatus")</f>
        <v>Rhynochetos jubatus</v>
      </c>
      <c r="H278" t="s">
        <v>290</v>
      </c>
      <c r="I278" t="str">
        <f>HYPERLINK("http://www.ncbi.nlm.nih.gov/protein/NWW97313.1","FABPL protein")</f>
        <v>FABPL protein</v>
      </c>
      <c r="J278">
        <v>197.98</v>
      </c>
      <c r="K278" t="s">
        <v>25</v>
      </c>
      <c r="L278">
        <v>139</v>
      </c>
      <c r="M278">
        <v>50.68</v>
      </c>
      <c r="N278">
        <v>78.47</v>
      </c>
      <c r="O278" t="s">
        <v>20</v>
      </c>
      <c r="P278" t="s">
        <v>21</v>
      </c>
      <c r="Q278" t="s">
        <v>20</v>
      </c>
      <c r="R278" t="str">
        <f>HYPERLINK("https://cfpub.epa.gov/ecotox/explore.cfm?ncbi=54386","Explore in ECOTOX")</f>
        <v>Explore in ECOTOX</v>
      </c>
    </row>
    <row r="279" spans="1:18" x14ac:dyDescent="0.25">
      <c r="A279">
        <v>6</v>
      </c>
      <c r="B279" t="str">
        <f>HYPERLINK("http://www.ncbi.nlm.nih.gov/protein/XP_029869118.1","XP_029869118.1")</f>
        <v>XP_029869118.1</v>
      </c>
      <c r="C279">
        <v>48151</v>
      </c>
      <c r="D279" t="str">
        <f>HYPERLINK("http://www.ncbi.nlm.nih.gov/Taxonomy/Browser/wwwtax.cgi?mode=Info&amp;id=223781&amp;lvl=3&amp;lin=f&amp;keep=1&amp;srchmode=1&amp;unlock","223781")</f>
        <v>223781</v>
      </c>
      <c r="E279" t="s">
        <v>167</v>
      </c>
      <c r="F279" t="s">
        <v>167</v>
      </c>
      <c r="G279" t="str">
        <f>HYPERLINK("http://www.ncbi.nlm.nih.gov/Taxonomy/Browser/wwwtax.cgi?mode=Info&amp;id=223781&amp;lvl=3&amp;lin=f&amp;keep=1&amp;srchmode=1&amp;unlock","Aquila chrysaetos chrysaetos")</f>
        <v>Aquila chrysaetos chrysaetos</v>
      </c>
      <c r="H279" t="s">
        <v>291</v>
      </c>
      <c r="I279" t="str">
        <f>HYPERLINK("http://www.ncbi.nlm.nih.gov/protein/XP_029869118.1","fatty acid-binding protein, liver")</f>
        <v>fatty acid-binding protein, liver</v>
      </c>
      <c r="J279">
        <v>197.59</v>
      </c>
      <c r="K279" t="s">
        <v>25</v>
      </c>
      <c r="L279">
        <v>139</v>
      </c>
      <c r="M279">
        <v>50.68</v>
      </c>
      <c r="N279">
        <v>78.319999999999993</v>
      </c>
      <c r="O279" t="s">
        <v>20</v>
      </c>
      <c r="P279" t="s">
        <v>21</v>
      </c>
      <c r="Q279" t="s">
        <v>20</v>
      </c>
      <c r="R279" t="str">
        <f>HYPERLINK("https://cfpub.epa.gov/ecotox/explore.cfm?ncbi=223781","Explore in ECOTOX")</f>
        <v>Explore in ECOTOX</v>
      </c>
    </row>
    <row r="280" spans="1:18" x14ac:dyDescent="0.25">
      <c r="A280">
        <v>6</v>
      </c>
      <c r="B280" t="str">
        <f>HYPERLINK("http://www.ncbi.nlm.nih.gov/protein/NXJ51376.1","NXJ51376.1")</f>
        <v>NXJ51376.1</v>
      </c>
      <c r="C280">
        <v>14391</v>
      </c>
      <c r="D280" t="str">
        <f>HYPERLINK("http://www.ncbi.nlm.nih.gov/Taxonomy/Browser/wwwtax.cgi?mode=Info&amp;id=252798&amp;lvl=3&amp;lin=f&amp;keep=1&amp;srchmode=1&amp;unlock","252798")</f>
        <v>252798</v>
      </c>
      <c r="E280" t="s">
        <v>167</v>
      </c>
      <c r="F280" t="s">
        <v>167</v>
      </c>
      <c r="G280" t="str">
        <f>HYPERLINK("http://www.ncbi.nlm.nih.gov/Taxonomy/Browser/wwwtax.cgi?mode=Info&amp;id=252798&amp;lvl=3&amp;lin=f&amp;keep=1&amp;srchmode=1&amp;unlock","Spizaetus tyrannus")</f>
        <v>Spizaetus tyrannus</v>
      </c>
      <c r="H280" t="s">
        <v>292</v>
      </c>
      <c r="I280" t="str">
        <f>HYPERLINK("http://www.ncbi.nlm.nih.gov/protein/NXJ51376.1","FABPL protein")</f>
        <v>FABPL protein</v>
      </c>
      <c r="J280">
        <v>197.59</v>
      </c>
      <c r="K280" t="s">
        <v>25</v>
      </c>
      <c r="L280">
        <v>139</v>
      </c>
      <c r="M280">
        <v>50.68</v>
      </c>
      <c r="N280">
        <v>78.319999999999993</v>
      </c>
      <c r="O280" t="s">
        <v>20</v>
      </c>
      <c r="P280" t="s">
        <v>21</v>
      </c>
      <c r="Q280" t="s">
        <v>20</v>
      </c>
      <c r="R280" t="str">
        <f>HYPERLINK("https://cfpub.epa.gov/ecotox/explore.cfm?ncbi=252798","Explore in ECOTOX")</f>
        <v>Explore in ECOTOX</v>
      </c>
    </row>
    <row r="281" spans="1:18" x14ac:dyDescent="0.25">
      <c r="A281">
        <v>6</v>
      </c>
      <c r="B281" t="str">
        <f>HYPERLINK("http://www.ncbi.nlm.nih.gov/protein/NWV06505.1","NWV06505.1")</f>
        <v>NWV06505.1</v>
      </c>
      <c r="C281">
        <v>14013</v>
      </c>
      <c r="D281" t="str">
        <f>HYPERLINK("http://www.ncbi.nlm.nih.gov/Taxonomy/Browser/wwwtax.cgi?mode=Info&amp;id=28724&amp;lvl=3&amp;lin=f&amp;keep=1&amp;srchmode=1&amp;unlock","28724")</f>
        <v>28724</v>
      </c>
      <c r="E281" t="s">
        <v>167</v>
      </c>
      <c r="F281" t="s">
        <v>167</v>
      </c>
      <c r="G281" t="str">
        <f>HYPERLINK("http://www.ncbi.nlm.nih.gov/Taxonomy/Browser/wwwtax.cgi?mode=Info&amp;id=28724&amp;lvl=3&amp;lin=f&amp;keep=1&amp;srchmode=1&amp;unlock","Ptilonorhynchus violaceus")</f>
        <v>Ptilonorhynchus violaceus</v>
      </c>
      <c r="H281" t="s">
        <v>293</v>
      </c>
      <c r="I281" t="str">
        <f>HYPERLINK("http://www.ncbi.nlm.nih.gov/protein/NWV06505.1","FABPL protein")</f>
        <v>FABPL protein</v>
      </c>
      <c r="J281">
        <v>197.59</v>
      </c>
      <c r="K281" t="s">
        <v>25</v>
      </c>
      <c r="L281">
        <v>139</v>
      </c>
      <c r="M281">
        <v>50.68</v>
      </c>
      <c r="N281">
        <v>78.319999999999993</v>
      </c>
      <c r="O281" t="s">
        <v>20</v>
      </c>
      <c r="P281" t="s">
        <v>21</v>
      </c>
      <c r="Q281" t="s">
        <v>20</v>
      </c>
      <c r="R281" t="str">
        <f>HYPERLINK("https://cfpub.epa.gov/ecotox/explore.cfm?ncbi=28724","Explore in ECOTOX")</f>
        <v>Explore in ECOTOX</v>
      </c>
    </row>
    <row r="282" spans="1:18" x14ac:dyDescent="0.25">
      <c r="A282">
        <v>6</v>
      </c>
      <c r="B282" t="str">
        <f>HYPERLINK("http://www.ncbi.nlm.nih.gov/protein/XP_008643337.1","XP_008643337.1")</f>
        <v>XP_008643337.1</v>
      </c>
      <c r="C282">
        <v>43088</v>
      </c>
      <c r="D282" t="str">
        <f>HYPERLINK("http://www.ncbi.nlm.nih.gov/Taxonomy/Browser/wwwtax.cgi?mode=Info&amp;id=85066&amp;lvl=3&amp;lin=f&amp;keep=1&amp;srchmode=1&amp;unlock","85066")</f>
        <v>85066</v>
      </c>
      <c r="E282" t="s">
        <v>167</v>
      </c>
      <c r="F282" t="s">
        <v>167</v>
      </c>
      <c r="G282" t="str">
        <f>HYPERLINK("http://www.ncbi.nlm.nih.gov/Taxonomy/Browser/wwwtax.cgi?mode=Info&amp;id=85066&amp;lvl=3&amp;lin=f&amp;keep=1&amp;srchmode=1&amp;unlock","Corvus brachyrhynchos")</f>
        <v>Corvus brachyrhynchos</v>
      </c>
      <c r="H282" t="s">
        <v>294</v>
      </c>
      <c r="I282" t="str">
        <f>HYPERLINK("http://www.ncbi.nlm.nih.gov/protein/XP_008643337.1","PREDICTED: fatty acid-binding protein, liver")</f>
        <v>PREDICTED: fatty acid-binding protein, liver</v>
      </c>
      <c r="J282">
        <v>197.21</v>
      </c>
      <c r="K282" t="s">
        <v>25</v>
      </c>
      <c r="L282">
        <v>139</v>
      </c>
      <c r="M282">
        <v>50.68</v>
      </c>
      <c r="N282">
        <v>78.17</v>
      </c>
      <c r="O282" t="s">
        <v>20</v>
      </c>
      <c r="P282" t="s">
        <v>21</v>
      </c>
      <c r="Q282" t="s">
        <v>20</v>
      </c>
      <c r="R282" t="str">
        <f>HYPERLINK("https://cfpub.epa.gov/ecotox/explore.cfm?ncbi=85066","Explore in ECOTOX")</f>
        <v>Explore in ECOTOX</v>
      </c>
    </row>
    <row r="283" spans="1:18" x14ac:dyDescent="0.25">
      <c r="A283">
        <v>6</v>
      </c>
      <c r="B283" t="str">
        <f>HYPERLINK("http://www.ncbi.nlm.nih.gov/protein/NWH80582.1","NWH80582.1")</f>
        <v>NWH80582.1</v>
      </c>
      <c r="C283">
        <v>14099</v>
      </c>
      <c r="D283" t="str">
        <f>HYPERLINK("http://www.ncbi.nlm.nih.gov/Taxonomy/Browser/wwwtax.cgi?mode=Info&amp;id=33601&amp;lvl=3&amp;lin=f&amp;keep=1&amp;srchmode=1&amp;unlock","33601")</f>
        <v>33601</v>
      </c>
      <c r="E283" t="s">
        <v>167</v>
      </c>
      <c r="F283" t="s">
        <v>167</v>
      </c>
      <c r="G283" t="str">
        <f>HYPERLINK("http://www.ncbi.nlm.nih.gov/Taxonomy/Browser/wwwtax.cgi?mode=Info&amp;id=33601&amp;lvl=3&amp;lin=f&amp;keep=1&amp;srchmode=1&amp;unlock","Piaya cayana")</f>
        <v>Piaya cayana</v>
      </c>
      <c r="H283" t="s">
        <v>295</v>
      </c>
      <c r="I283" t="str">
        <f>HYPERLINK("http://www.ncbi.nlm.nih.gov/protein/NWH80582.1","FABPL protein")</f>
        <v>FABPL protein</v>
      </c>
      <c r="J283">
        <v>197.21</v>
      </c>
      <c r="K283" t="s">
        <v>20</v>
      </c>
      <c r="L283">
        <v>139</v>
      </c>
      <c r="M283">
        <v>50.68</v>
      </c>
      <c r="N283">
        <v>78.17</v>
      </c>
      <c r="O283" t="s">
        <v>20</v>
      </c>
      <c r="P283" t="s">
        <v>21</v>
      </c>
      <c r="Q283" t="s">
        <v>20</v>
      </c>
      <c r="R283" t="str">
        <f>HYPERLINK("https://cfpub.epa.gov/ecotox/explore.cfm?ncbi=33601","Explore in ECOTOX")</f>
        <v>Explore in ECOTOX</v>
      </c>
    </row>
    <row r="284" spans="1:18" x14ac:dyDescent="0.25">
      <c r="A284">
        <v>6</v>
      </c>
      <c r="B284" t="str">
        <f>HYPERLINK("http://www.ncbi.nlm.nih.gov/protein/NWV20188.1","NWV20188.1")</f>
        <v>NWV20188.1</v>
      </c>
      <c r="C284">
        <v>14487</v>
      </c>
      <c r="D284" t="str">
        <f>HYPERLINK("http://www.ncbi.nlm.nih.gov/Taxonomy/Browser/wwwtax.cgi?mode=Info&amp;id=720586&amp;lvl=3&amp;lin=f&amp;keep=1&amp;srchmode=1&amp;unlock","720586")</f>
        <v>720586</v>
      </c>
      <c r="E284" t="s">
        <v>167</v>
      </c>
      <c r="F284" t="s">
        <v>167</v>
      </c>
      <c r="G284" t="str">
        <f>HYPERLINK("http://www.ncbi.nlm.nih.gov/Taxonomy/Browser/wwwtax.cgi?mode=Info&amp;id=720586&amp;lvl=3&amp;lin=f&amp;keep=1&amp;srchmode=1&amp;unlock","Origma solitaria")</f>
        <v>Origma solitaria</v>
      </c>
      <c r="H284" t="s">
        <v>206</v>
      </c>
      <c r="I284" t="str">
        <f>HYPERLINK("http://www.ncbi.nlm.nih.gov/protein/NWV20188.1","FABPL protein")</f>
        <v>FABPL protein</v>
      </c>
      <c r="J284">
        <v>197.21</v>
      </c>
      <c r="K284" t="s">
        <v>25</v>
      </c>
      <c r="L284">
        <v>139</v>
      </c>
      <c r="M284">
        <v>50.68</v>
      </c>
      <c r="N284">
        <v>78.17</v>
      </c>
      <c r="O284" t="s">
        <v>20</v>
      </c>
      <c r="P284" t="s">
        <v>21</v>
      </c>
      <c r="Q284" t="s">
        <v>20</v>
      </c>
      <c r="R284" t="str">
        <f>HYPERLINK("https://cfpub.epa.gov/ecotox/explore.cfm?ncbi=720586","Explore in ECOTOX")</f>
        <v>Explore in ECOTOX</v>
      </c>
    </row>
    <row r="285" spans="1:18" x14ac:dyDescent="0.25">
      <c r="A285">
        <v>6</v>
      </c>
      <c r="B285" t="str">
        <f>HYPERLINK("http://www.ncbi.nlm.nih.gov/protein/NXG65253.1","NXG65253.1")</f>
        <v>NXG65253.1</v>
      </c>
      <c r="C285">
        <v>13817</v>
      </c>
      <c r="D285" t="str">
        <f>HYPERLINK("http://www.ncbi.nlm.nih.gov/Taxonomy/Browser/wwwtax.cgi?mode=Info&amp;id=243314&amp;lvl=3&amp;lin=f&amp;keep=1&amp;srchmode=1&amp;unlock","243314")</f>
        <v>243314</v>
      </c>
      <c r="E285" t="s">
        <v>167</v>
      </c>
      <c r="F285" t="s">
        <v>167</v>
      </c>
      <c r="G285" t="str">
        <f>HYPERLINK("http://www.ncbi.nlm.nih.gov/Taxonomy/Browser/wwwtax.cgi?mode=Info&amp;id=243314&amp;lvl=3&amp;lin=f&amp;keep=1&amp;srchmode=1&amp;unlock","Hemiprocne comata")</f>
        <v>Hemiprocne comata</v>
      </c>
      <c r="H285" t="s">
        <v>296</v>
      </c>
      <c r="I285" t="str">
        <f>HYPERLINK("http://www.ncbi.nlm.nih.gov/protein/NXG65253.1","FABPL protein")</f>
        <v>FABPL protein</v>
      </c>
      <c r="J285">
        <v>197.21</v>
      </c>
      <c r="K285" t="s">
        <v>20</v>
      </c>
      <c r="L285">
        <v>139</v>
      </c>
      <c r="M285">
        <v>50.68</v>
      </c>
      <c r="N285">
        <v>78.17</v>
      </c>
      <c r="O285" t="s">
        <v>20</v>
      </c>
      <c r="P285" t="s">
        <v>21</v>
      </c>
      <c r="Q285" t="s">
        <v>20</v>
      </c>
      <c r="R285" t="str">
        <f>HYPERLINK("https://cfpub.epa.gov/ecotox/explore.cfm?ncbi=243314","Explore in ECOTOX")</f>
        <v>Explore in ECOTOX</v>
      </c>
    </row>
    <row r="286" spans="1:18" x14ac:dyDescent="0.25">
      <c r="A286">
        <v>6</v>
      </c>
      <c r="B286" t="str">
        <f>HYPERLINK("http://www.ncbi.nlm.nih.gov/protein/NXC69071.1","NXC69071.1")</f>
        <v>NXC69071.1</v>
      </c>
      <c r="C286">
        <v>13634</v>
      </c>
      <c r="D286" t="str">
        <f>HYPERLINK("http://www.ncbi.nlm.nih.gov/Taxonomy/Browser/wwwtax.cgi?mode=Info&amp;id=56067&amp;lvl=3&amp;lin=f&amp;keep=1&amp;srchmode=1&amp;unlock","56067")</f>
        <v>56067</v>
      </c>
      <c r="E286" t="s">
        <v>167</v>
      </c>
      <c r="F286" t="s">
        <v>167</v>
      </c>
      <c r="G286" t="str">
        <f>HYPERLINK("http://www.ncbi.nlm.nih.gov/Taxonomy/Browser/wwwtax.cgi?mode=Info&amp;id=56067&amp;lvl=3&amp;lin=f&amp;keep=1&amp;srchmode=1&amp;unlock","Anhinga anhinga")</f>
        <v>Anhinga anhinga</v>
      </c>
      <c r="H286" t="s">
        <v>297</v>
      </c>
      <c r="I286" t="str">
        <f>HYPERLINK("http://www.ncbi.nlm.nih.gov/protein/NXC69071.1","FABPL protein")</f>
        <v>FABPL protein</v>
      </c>
      <c r="J286">
        <v>197.21</v>
      </c>
      <c r="K286" t="s">
        <v>25</v>
      </c>
      <c r="L286">
        <v>139</v>
      </c>
      <c r="M286">
        <v>50.68</v>
      </c>
      <c r="N286">
        <v>78.17</v>
      </c>
      <c r="O286" t="s">
        <v>20</v>
      </c>
      <c r="P286" t="s">
        <v>21</v>
      </c>
      <c r="Q286" t="s">
        <v>20</v>
      </c>
      <c r="R286" t="str">
        <f>HYPERLINK("https://cfpub.epa.gov/ecotox/explore.cfm?ncbi=56067","Explore in ECOTOX")</f>
        <v>Explore in ECOTOX</v>
      </c>
    </row>
    <row r="287" spans="1:18" x14ac:dyDescent="0.25">
      <c r="A287">
        <v>6</v>
      </c>
      <c r="B287" t="str">
        <f>HYPERLINK("http://www.ncbi.nlm.nih.gov/protein/XP_010400394.1","XP_010400394.1")</f>
        <v>XP_010400394.1</v>
      </c>
      <c r="C287">
        <v>42637</v>
      </c>
      <c r="D287" t="str">
        <f>HYPERLINK("http://www.ncbi.nlm.nih.gov/Taxonomy/Browser/wwwtax.cgi?mode=Info&amp;id=932674&amp;lvl=3&amp;lin=f&amp;keep=1&amp;srchmode=1&amp;unlock","932674")</f>
        <v>932674</v>
      </c>
      <c r="E287" t="s">
        <v>167</v>
      </c>
      <c r="F287" t="s">
        <v>167</v>
      </c>
      <c r="G287" t="str">
        <f>HYPERLINK("http://www.ncbi.nlm.nih.gov/Taxonomy/Browser/wwwtax.cgi?mode=Info&amp;id=932674&amp;lvl=3&amp;lin=f&amp;keep=1&amp;srchmode=1&amp;unlock","Corvus cornix cornix")</f>
        <v>Corvus cornix cornix</v>
      </c>
      <c r="H287" t="s">
        <v>298</v>
      </c>
      <c r="I287" t="str">
        <f>HYPERLINK("http://www.ncbi.nlm.nih.gov/protein/XP_010400394.1","fatty acid-binding protein, liver")</f>
        <v>fatty acid-binding protein, liver</v>
      </c>
      <c r="J287">
        <v>197.21</v>
      </c>
      <c r="K287" t="s">
        <v>25</v>
      </c>
      <c r="L287">
        <v>139</v>
      </c>
      <c r="M287">
        <v>50.68</v>
      </c>
      <c r="N287">
        <v>78.17</v>
      </c>
      <c r="O287" t="s">
        <v>20</v>
      </c>
      <c r="P287" t="s">
        <v>21</v>
      </c>
      <c r="Q287" t="s">
        <v>20</v>
      </c>
      <c r="R287" t="str">
        <f>HYPERLINK("https://cfpub.epa.gov/ecotox/explore.cfm?ncbi=932674","Explore in ECOTOX")</f>
        <v>Explore in ECOTOX</v>
      </c>
    </row>
    <row r="288" spans="1:18" x14ac:dyDescent="0.25">
      <c r="A288">
        <v>6</v>
      </c>
      <c r="B288" t="str">
        <f>HYPERLINK("http://www.ncbi.nlm.nih.gov/protein/XP_009993913.1","XP_009993913.1")</f>
        <v>XP_009993913.1</v>
      </c>
      <c r="C288">
        <v>29258</v>
      </c>
      <c r="D288" t="str">
        <f>HYPERLINK("http://www.ncbi.nlm.nih.gov/Taxonomy/Browser/wwwtax.cgi?mode=Info&amp;id=8897&amp;lvl=3&amp;lin=f&amp;keep=1&amp;srchmode=1&amp;unlock","8897")</f>
        <v>8897</v>
      </c>
      <c r="E288" t="s">
        <v>167</v>
      </c>
      <c r="F288" t="s">
        <v>167</v>
      </c>
      <c r="G288" t="str">
        <f>HYPERLINK("http://www.ncbi.nlm.nih.gov/Taxonomy/Browser/wwwtax.cgi?mode=Info&amp;id=8897&amp;lvl=3&amp;lin=f&amp;keep=1&amp;srchmode=1&amp;unlock","Chaetura pelagica")</f>
        <v>Chaetura pelagica</v>
      </c>
      <c r="H288" t="s">
        <v>299</v>
      </c>
      <c r="I288" t="str">
        <f>HYPERLINK("http://www.ncbi.nlm.nih.gov/protein/XP_009993913.1","PREDICTED: fatty acid-binding protein, liver")</f>
        <v>PREDICTED: fatty acid-binding protein, liver</v>
      </c>
      <c r="J288">
        <v>197.21</v>
      </c>
      <c r="K288" t="s">
        <v>25</v>
      </c>
      <c r="L288">
        <v>139</v>
      </c>
      <c r="M288">
        <v>50.68</v>
      </c>
      <c r="N288">
        <v>78.17</v>
      </c>
      <c r="O288" t="s">
        <v>20</v>
      </c>
      <c r="P288" t="s">
        <v>21</v>
      </c>
      <c r="Q288" t="s">
        <v>20</v>
      </c>
      <c r="R288" t="str">
        <f>HYPERLINK("https://cfpub.epa.gov/ecotox/explore.cfm?ncbi=8897","Explore in ECOTOX")</f>
        <v>Explore in ECOTOX</v>
      </c>
    </row>
    <row r="289" spans="1:18" x14ac:dyDescent="0.25">
      <c r="A289">
        <v>6</v>
      </c>
      <c r="B289" t="str">
        <f>HYPERLINK("http://www.ncbi.nlm.nih.gov/protein/XP_010166822.1","XP_010166822.1")</f>
        <v>XP_010166822.1</v>
      </c>
      <c r="C289">
        <v>29268</v>
      </c>
      <c r="D289" t="str">
        <f>HYPERLINK("http://www.ncbi.nlm.nih.gov/Taxonomy/Browser/wwwtax.cgi?mode=Info&amp;id=279965&amp;lvl=3&amp;lin=f&amp;keep=1&amp;srchmode=1&amp;unlock","279965")</f>
        <v>279965</v>
      </c>
      <c r="E289" t="s">
        <v>167</v>
      </c>
      <c r="F289" t="s">
        <v>167</v>
      </c>
      <c r="G289" t="str">
        <f>HYPERLINK("http://www.ncbi.nlm.nih.gov/Taxonomy/Browser/wwwtax.cgi?mode=Info&amp;id=279965&amp;lvl=3&amp;lin=f&amp;keep=1&amp;srchmode=1&amp;unlock","Antrostomus carolinensis")</f>
        <v>Antrostomus carolinensis</v>
      </c>
      <c r="H289" t="s">
        <v>300</v>
      </c>
      <c r="I289" t="str">
        <f>HYPERLINK("http://www.ncbi.nlm.nih.gov/protein/XP_010166822.1","fatty acid-binding protein, liver")</f>
        <v>fatty acid-binding protein, liver</v>
      </c>
      <c r="J289">
        <v>196.82</v>
      </c>
      <c r="K289" t="s">
        <v>25</v>
      </c>
      <c r="L289">
        <v>139</v>
      </c>
      <c r="M289">
        <v>50.68</v>
      </c>
      <c r="N289">
        <v>78.010000000000005</v>
      </c>
      <c r="O289" t="s">
        <v>20</v>
      </c>
      <c r="P289" t="s">
        <v>21</v>
      </c>
      <c r="Q289" t="s">
        <v>20</v>
      </c>
      <c r="R289" t="str">
        <f>HYPERLINK("https://cfpub.epa.gov/ecotox/explore.cfm?ncbi=279965","Explore in ECOTOX")</f>
        <v>Explore in ECOTOX</v>
      </c>
    </row>
    <row r="290" spans="1:18" x14ac:dyDescent="0.25">
      <c r="A290">
        <v>6</v>
      </c>
      <c r="B290" t="str">
        <f>HYPERLINK("http://www.ncbi.nlm.nih.gov/protein/NWI76321.1","NWI76321.1")</f>
        <v>NWI76321.1</v>
      </c>
      <c r="C290">
        <v>12349</v>
      </c>
      <c r="D290" t="str">
        <f>HYPERLINK("http://www.ncbi.nlm.nih.gov/Taxonomy/Browser/wwwtax.cgi?mode=Info&amp;id=85069&amp;lvl=3&amp;lin=f&amp;keep=1&amp;srchmode=1&amp;unlock","85069")</f>
        <v>85069</v>
      </c>
      <c r="E290" t="s">
        <v>167</v>
      </c>
      <c r="F290" t="s">
        <v>167</v>
      </c>
      <c r="G290" t="str">
        <f>HYPERLINK("http://www.ncbi.nlm.nih.gov/Taxonomy/Browser/wwwtax.cgi?mode=Info&amp;id=85069&amp;lvl=3&amp;lin=f&amp;keep=1&amp;srchmode=1&amp;unlock","Dryoscopus gambensis")</f>
        <v>Dryoscopus gambensis</v>
      </c>
      <c r="H290" t="s">
        <v>206</v>
      </c>
      <c r="I290" t="str">
        <f>HYPERLINK("http://www.ncbi.nlm.nih.gov/protein/NWI76321.1","FABPL protein")</f>
        <v>FABPL protein</v>
      </c>
      <c r="J290">
        <v>196.82</v>
      </c>
      <c r="K290" t="s">
        <v>25</v>
      </c>
      <c r="L290">
        <v>139</v>
      </c>
      <c r="M290">
        <v>50.68</v>
      </c>
      <c r="N290">
        <v>78.010000000000005</v>
      </c>
      <c r="O290" t="s">
        <v>20</v>
      </c>
      <c r="P290" t="s">
        <v>21</v>
      </c>
      <c r="Q290" t="s">
        <v>20</v>
      </c>
      <c r="R290" t="str">
        <f>HYPERLINK("https://cfpub.epa.gov/ecotox/explore.cfm?ncbi=85069","Explore in ECOTOX")</f>
        <v>Explore in ECOTOX</v>
      </c>
    </row>
    <row r="291" spans="1:18" x14ac:dyDescent="0.25">
      <c r="A291">
        <v>6</v>
      </c>
      <c r="B291" t="str">
        <f>HYPERLINK("http://www.ncbi.nlm.nih.gov/protein/XP_010142905.1","XP_010142905.1")</f>
        <v>XP_010142905.1</v>
      </c>
      <c r="C291">
        <v>27223</v>
      </c>
      <c r="D291" t="str">
        <f>HYPERLINK("http://www.ncbi.nlm.nih.gov/Taxonomy/Browser/wwwtax.cgi?mode=Info&amp;id=175836&amp;lvl=3&amp;lin=f&amp;keep=1&amp;srchmode=1&amp;unlock","175836")</f>
        <v>175836</v>
      </c>
      <c r="E291" t="s">
        <v>167</v>
      </c>
      <c r="F291" t="s">
        <v>167</v>
      </c>
      <c r="G291" t="str">
        <f>HYPERLINK("http://www.ncbi.nlm.nih.gov/Taxonomy/Browser/wwwtax.cgi?mode=Info&amp;id=175836&amp;lvl=3&amp;lin=f&amp;keep=1&amp;srchmode=1&amp;unlock","Buceros rhinoceros silvestris")</f>
        <v>Buceros rhinoceros silvestris</v>
      </c>
      <c r="H291" t="s">
        <v>301</v>
      </c>
      <c r="I291" t="str">
        <f>HYPERLINK("http://www.ncbi.nlm.nih.gov/protein/XP_010142905.1","PREDICTED: fatty acid-binding protein, liver")</f>
        <v>PREDICTED: fatty acid-binding protein, liver</v>
      </c>
      <c r="J291">
        <v>196.82</v>
      </c>
      <c r="K291" t="s">
        <v>20</v>
      </c>
      <c r="L291">
        <v>139</v>
      </c>
      <c r="M291">
        <v>50.68</v>
      </c>
      <c r="N291">
        <v>78.010000000000005</v>
      </c>
      <c r="O291" t="s">
        <v>20</v>
      </c>
      <c r="P291" t="s">
        <v>21</v>
      </c>
      <c r="Q291" t="s">
        <v>20</v>
      </c>
      <c r="R291" t="str">
        <f>HYPERLINK("https://cfpub.epa.gov/ecotox/explore.cfm?ncbi=175836","Explore in ECOTOX")</f>
        <v>Explore in ECOTOX</v>
      </c>
    </row>
    <row r="292" spans="1:18" x14ac:dyDescent="0.25">
      <c r="A292">
        <v>6</v>
      </c>
      <c r="B292" t="str">
        <f>HYPERLINK("http://www.ncbi.nlm.nih.gov/protein/NXY74130.1","NXY74130.1")</f>
        <v>NXY74130.1</v>
      </c>
      <c r="C292">
        <v>13804</v>
      </c>
      <c r="D292" t="str">
        <f>HYPERLINK("http://www.ncbi.nlm.nih.gov/Taxonomy/Browser/wwwtax.cgi?mode=Info&amp;id=43316&amp;lvl=3&amp;lin=f&amp;keep=1&amp;srchmode=1&amp;unlock","43316")</f>
        <v>43316</v>
      </c>
      <c r="E292" t="s">
        <v>167</v>
      </c>
      <c r="F292" t="s">
        <v>167</v>
      </c>
      <c r="G292" t="str">
        <f>HYPERLINK("http://www.ncbi.nlm.nih.gov/Taxonomy/Browser/wwwtax.cgi?mode=Info&amp;id=43316&amp;lvl=3&amp;lin=f&amp;keep=1&amp;srchmode=1&amp;unlock","Glareola pratincola")</f>
        <v>Glareola pratincola</v>
      </c>
      <c r="H292" t="s">
        <v>185</v>
      </c>
      <c r="I292" t="str">
        <f>HYPERLINK("http://www.ncbi.nlm.nih.gov/protein/NXY74130.1","FABPL protein")</f>
        <v>FABPL protein</v>
      </c>
      <c r="J292">
        <v>196.82</v>
      </c>
      <c r="K292" t="s">
        <v>20</v>
      </c>
      <c r="L292">
        <v>139</v>
      </c>
      <c r="M292">
        <v>50.68</v>
      </c>
      <c r="N292">
        <v>78.010000000000005</v>
      </c>
      <c r="O292" t="s">
        <v>20</v>
      </c>
      <c r="P292" t="s">
        <v>21</v>
      </c>
      <c r="Q292" t="s">
        <v>20</v>
      </c>
      <c r="R292" t="str">
        <f>HYPERLINK("https://cfpub.epa.gov/ecotox/explore.cfm?ncbi=43316","Explore in ECOTOX")</f>
        <v>Explore in ECOTOX</v>
      </c>
    </row>
    <row r="293" spans="1:18" x14ac:dyDescent="0.25">
      <c r="A293">
        <v>6</v>
      </c>
      <c r="B293" t="str">
        <f>HYPERLINK("http://www.ncbi.nlm.nih.gov/protein/NWT14664.1","NWT14664.1")</f>
        <v>NWT14664.1</v>
      </c>
      <c r="C293">
        <v>14153</v>
      </c>
      <c r="D293" t="str">
        <f>HYPERLINK("http://www.ncbi.nlm.nih.gov/Taxonomy/Browser/wwwtax.cgi?mode=Info&amp;id=34956&amp;lvl=3&amp;lin=f&amp;keep=1&amp;srchmode=1&amp;unlock","34956")</f>
        <v>34956</v>
      </c>
      <c r="E293" t="s">
        <v>167</v>
      </c>
      <c r="F293" t="s">
        <v>167</v>
      </c>
      <c r="G293" t="str">
        <f>HYPERLINK("http://www.ncbi.nlm.nih.gov/Taxonomy/Browser/wwwtax.cgi?mode=Info&amp;id=34956&amp;lvl=3&amp;lin=f&amp;keep=1&amp;srchmode=1&amp;unlock","Vireo altiloquus")</f>
        <v>Vireo altiloquus</v>
      </c>
      <c r="H293" t="s">
        <v>302</v>
      </c>
      <c r="I293" t="str">
        <f>HYPERLINK("http://www.ncbi.nlm.nih.gov/protein/NWT14664.1","FABPL protein")</f>
        <v>FABPL protein</v>
      </c>
      <c r="J293">
        <v>196.82</v>
      </c>
      <c r="K293" t="s">
        <v>25</v>
      </c>
      <c r="L293">
        <v>139</v>
      </c>
      <c r="M293">
        <v>50.68</v>
      </c>
      <c r="N293">
        <v>78.010000000000005</v>
      </c>
      <c r="O293" t="s">
        <v>20</v>
      </c>
      <c r="P293" t="s">
        <v>21</v>
      </c>
      <c r="Q293" t="s">
        <v>20</v>
      </c>
      <c r="R293" t="str">
        <f>HYPERLINK("https://cfpub.epa.gov/ecotox/explore.cfm?ncbi=34956","Explore in ECOTOX")</f>
        <v>Explore in ECOTOX</v>
      </c>
    </row>
    <row r="294" spans="1:18" x14ac:dyDescent="0.25">
      <c r="A294">
        <v>6</v>
      </c>
      <c r="B294" t="str">
        <f>HYPERLINK("http://www.ncbi.nlm.nih.gov/protein/NWR74348.1","NWR74348.1")</f>
        <v>NWR74348.1</v>
      </c>
      <c r="C294">
        <v>14035</v>
      </c>
      <c r="D294" t="str">
        <f>HYPERLINK("http://www.ncbi.nlm.nih.gov/Taxonomy/Browser/wwwtax.cgi?mode=Info&amp;id=1118519&amp;lvl=3&amp;lin=f&amp;keep=1&amp;srchmode=1&amp;unlock","1118519")</f>
        <v>1118519</v>
      </c>
      <c r="E294" t="s">
        <v>167</v>
      </c>
      <c r="F294" t="s">
        <v>167</v>
      </c>
      <c r="G294" t="str">
        <f>HYPERLINK("http://www.ncbi.nlm.nih.gov/Taxonomy/Browser/wwwtax.cgi?mode=Info&amp;id=1118519&amp;lvl=3&amp;lin=f&amp;keep=1&amp;srchmode=1&amp;unlock","Centropus unirufus")</f>
        <v>Centropus unirufus</v>
      </c>
      <c r="H294" t="s">
        <v>303</v>
      </c>
      <c r="I294" t="str">
        <f>HYPERLINK("http://www.ncbi.nlm.nih.gov/protein/NWR74348.1","FABPL protein")</f>
        <v>FABPL protein</v>
      </c>
      <c r="J294">
        <v>196.82</v>
      </c>
      <c r="K294" t="s">
        <v>20</v>
      </c>
      <c r="L294">
        <v>139</v>
      </c>
      <c r="M294">
        <v>50.68</v>
      </c>
      <c r="N294">
        <v>78.010000000000005</v>
      </c>
      <c r="O294" t="s">
        <v>20</v>
      </c>
      <c r="P294" t="s">
        <v>21</v>
      </c>
      <c r="Q294" t="s">
        <v>20</v>
      </c>
      <c r="R294" t="str">
        <f>HYPERLINK("https://cfpub.epa.gov/ecotox/explore.cfm?ncbi=1118519","Explore in ECOTOX")</f>
        <v>Explore in ECOTOX</v>
      </c>
    </row>
    <row r="295" spans="1:18" x14ac:dyDescent="0.25">
      <c r="A295">
        <v>6</v>
      </c>
      <c r="B295" t="str">
        <f>HYPERLINK("http://www.ncbi.nlm.nih.gov/protein/NXW19031.1","NXW19031.1")</f>
        <v>NXW19031.1</v>
      </c>
      <c r="C295">
        <v>14176</v>
      </c>
      <c r="D295" t="str">
        <f>HYPERLINK("http://www.ncbi.nlm.nih.gov/Taxonomy/Browser/wwwtax.cgi?mode=Info&amp;id=321084&amp;lvl=3&amp;lin=f&amp;keep=1&amp;srchmode=1&amp;unlock","321084")</f>
        <v>321084</v>
      </c>
      <c r="E295" t="s">
        <v>167</v>
      </c>
      <c r="F295" t="s">
        <v>167</v>
      </c>
      <c r="G295" t="str">
        <f>HYPERLINK("http://www.ncbi.nlm.nih.gov/Taxonomy/Browser/wwwtax.cgi?mode=Info&amp;id=321084&amp;lvl=3&amp;lin=f&amp;keep=1&amp;srchmode=1&amp;unlock","Circaetus pectoralis")</f>
        <v>Circaetus pectoralis</v>
      </c>
      <c r="H295" t="s">
        <v>304</v>
      </c>
      <c r="I295" t="str">
        <f>HYPERLINK("http://www.ncbi.nlm.nih.gov/protein/NXW19031.1","FABPL protein")</f>
        <v>FABPL protein</v>
      </c>
      <c r="J295">
        <v>196.82</v>
      </c>
      <c r="K295" t="s">
        <v>25</v>
      </c>
      <c r="L295">
        <v>139</v>
      </c>
      <c r="M295">
        <v>50.68</v>
      </c>
      <c r="N295">
        <v>78.010000000000005</v>
      </c>
      <c r="O295" t="s">
        <v>20</v>
      </c>
      <c r="P295" t="s">
        <v>21</v>
      </c>
      <c r="Q295" t="s">
        <v>20</v>
      </c>
      <c r="R295" t="str">
        <f>HYPERLINK("https://cfpub.epa.gov/ecotox/explore.cfm?ncbi=321084","Explore in ECOTOX")</f>
        <v>Explore in ECOTOX</v>
      </c>
    </row>
    <row r="296" spans="1:18" x14ac:dyDescent="0.25">
      <c r="A296">
        <v>6</v>
      </c>
      <c r="B296" t="str">
        <f>HYPERLINK("http://www.ncbi.nlm.nih.gov/protein/NWI70669.1","NWI70669.1")</f>
        <v>NWI70669.1</v>
      </c>
      <c r="C296">
        <v>10103</v>
      </c>
      <c r="D296" t="str">
        <f>HYPERLINK("http://www.ncbi.nlm.nih.gov/Taxonomy/Browser/wwwtax.cgi?mode=Info&amp;id=135184&amp;lvl=3&amp;lin=f&amp;keep=1&amp;srchmode=1&amp;unlock","135184")</f>
        <v>135184</v>
      </c>
      <c r="E296" t="s">
        <v>167</v>
      </c>
      <c r="F296" t="s">
        <v>167</v>
      </c>
      <c r="G296" t="str">
        <f>HYPERLINK("http://www.ncbi.nlm.nih.gov/Taxonomy/Browser/wwwtax.cgi?mode=Info&amp;id=135184&amp;lvl=3&amp;lin=f&amp;keep=1&amp;srchmode=1&amp;unlock","Todus mexicanus")</f>
        <v>Todus mexicanus</v>
      </c>
      <c r="H296" t="s">
        <v>305</v>
      </c>
      <c r="I296" t="str">
        <f>HYPERLINK("http://www.ncbi.nlm.nih.gov/protein/NWI70669.1","FABPL protein")</f>
        <v>FABPL protein</v>
      </c>
      <c r="J296">
        <v>196.82</v>
      </c>
      <c r="K296" t="s">
        <v>25</v>
      </c>
      <c r="L296">
        <v>139</v>
      </c>
      <c r="M296">
        <v>50.68</v>
      </c>
      <c r="N296">
        <v>78.010000000000005</v>
      </c>
      <c r="O296" t="s">
        <v>20</v>
      </c>
      <c r="P296" t="s">
        <v>21</v>
      </c>
      <c r="Q296" t="s">
        <v>20</v>
      </c>
      <c r="R296" t="str">
        <f>HYPERLINK("https://cfpub.epa.gov/ecotox/explore.cfm?ncbi=135184","Explore in ECOTOX")</f>
        <v>Explore in ECOTOX</v>
      </c>
    </row>
    <row r="297" spans="1:18" x14ac:dyDescent="0.25">
      <c r="A297">
        <v>6</v>
      </c>
      <c r="B297" t="str">
        <f>HYPERLINK("http://www.ncbi.nlm.nih.gov/protein/XP_032917085.1","XP_032917085.1")</f>
        <v>XP_032917085.1</v>
      </c>
      <c r="C297">
        <v>36100</v>
      </c>
      <c r="D297" t="str">
        <f>HYPERLINK("http://www.ncbi.nlm.nih.gov/Taxonomy/Browser/wwwtax.cgi?mode=Info&amp;id=91951&amp;lvl=3&amp;lin=f&amp;keep=1&amp;srchmode=1&amp;unlock","91951")</f>
        <v>91951</v>
      </c>
      <c r="E297" t="s">
        <v>167</v>
      </c>
      <c r="F297" t="s">
        <v>167</v>
      </c>
      <c r="G297" t="str">
        <f>HYPERLINK("http://www.ncbi.nlm.nih.gov/Taxonomy/Browser/wwwtax.cgi?mode=Info&amp;id=91951&amp;lvl=3&amp;lin=f&amp;keep=1&amp;srchmode=1&amp;unlock","Catharus ustulatus")</f>
        <v>Catharus ustulatus</v>
      </c>
      <c r="H297" t="s">
        <v>306</v>
      </c>
      <c r="I297" t="str">
        <f>HYPERLINK("http://www.ncbi.nlm.nih.gov/protein/XP_032917085.1","fatty acid-binding protein, liver-like")</f>
        <v>fatty acid-binding protein, liver-like</v>
      </c>
      <c r="J297">
        <v>196.44</v>
      </c>
      <c r="K297" t="s">
        <v>25</v>
      </c>
      <c r="L297">
        <v>139</v>
      </c>
      <c r="M297">
        <v>50.68</v>
      </c>
      <c r="N297">
        <v>77.86</v>
      </c>
      <c r="O297" t="s">
        <v>20</v>
      </c>
      <c r="P297" t="s">
        <v>21</v>
      </c>
      <c r="Q297" t="s">
        <v>20</v>
      </c>
      <c r="R297" t="str">
        <f>HYPERLINK("https://cfpub.epa.gov/ecotox/explore.cfm?ncbi=91951","Explore in ECOTOX")</f>
        <v>Explore in ECOTOX</v>
      </c>
    </row>
    <row r="298" spans="1:18" x14ac:dyDescent="0.25">
      <c r="A298">
        <v>6</v>
      </c>
      <c r="B298" t="str">
        <f>HYPERLINK("http://www.ncbi.nlm.nih.gov/protein/XP_010301034.1","XP_010301034.1")</f>
        <v>XP_010301034.1</v>
      </c>
      <c r="C298">
        <v>27939</v>
      </c>
      <c r="D298" t="str">
        <f>HYPERLINK("http://www.ncbi.nlm.nih.gov/Taxonomy/Browser/wwwtax.cgi?mode=Info&amp;id=100784&amp;lvl=3&amp;lin=f&amp;keep=1&amp;srchmode=1&amp;unlock","100784")</f>
        <v>100784</v>
      </c>
      <c r="E298" t="s">
        <v>167</v>
      </c>
      <c r="F298" t="s">
        <v>167</v>
      </c>
      <c r="G298" t="str">
        <f>HYPERLINK("http://www.ncbi.nlm.nih.gov/Taxonomy/Browser/wwwtax.cgi?mode=Info&amp;id=100784&amp;lvl=3&amp;lin=f&amp;keep=1&amp;srchmode=1&amp;unlock","Balearica regulorum gibbericeps")</f>
        <v>Balearica regulorum gibbericeps</v>
      </c>
      <c r="H298" t="s">
        <v>307</v>
      </c>
      <c r="I298" t="str">
        <f>HYPERLINK("http://www.ncbi.nlm.nih.gov/protein/XP_010301034.1","PREDICTED: fatty acid-binding protein, liver")</f>
        <v>PREDICTED: fatty acid-binding protein, liver</v>
      </c>
      <c r="J298">
        <v>196.44</v>
      </c>
      <c r="K298" t="s">
        <v>20</v>
      </c>
      <c r="L298">
        <v>139</v>
      </c>
      <c r="M298">
        <v>50.68</v>
      </c>
      <c r="N298">
        <v>77.86</v>
      </c>
      <c r="O298" t="s">
        <v>20</v>
      </c>
      <c r="P298" t="s">
        <v>21</v>
      </c>
      <c r="Q298" t="s">
        <v>20</v>
      </c>
      <c r="R298" t="str">
        <f>HYPERLINK("https://cfpub.epa.gov/ecotox/explore.cfm?ncbi=100784","Explore in ECOTOX")</f>
        <v>Explore in ECOTOX</v>
      </c>
    </row>
    <row r="299" spans="1:18" x14ac:dyDescent="0.25">
      <c r="A299">
        <v>6</v>
      </c>
      <c r="B299" t="str">
        <f>HYPERLINK("http://www.ncbi.nlm.nih.gov/protein/NXX22635.1","NXX22635.1")</f>
        <v>NXX22635.1</v>
      </c>
      <c r="C299">
        <v>14085</v>
      </c>
      <c r="D299" t="str">
        <f>HYPERLINK("http://www.ncbi.nlm.nih.gov/Taxonomy/Browser/wwwtax.cgi?mode=Info&amp;id=8905&amp;lvl=3&amp;lin=f&amp;keep=1&amp;srchmode=1&amp;unlock","8905")</f>
        <v>8905</v>
      </c>
      <c r="E299" t="s">
        <v>167</v>
      </c>
      <c r="F299" t="s">
        <v>167</v>
      </c>
      <c r="G299" t="str">
        <f>HYPERLINK("http://www.ncbi.nlm.nih.gov/Taxonomy/Browser/wwwtax.cgi?mode=Info&amp;id=8905&amp;lvl=3&amp;lin=f&amp;keep=1&amp;srchmode=1&amp;unlock","Podargus strigoides")</f>
        <v>Podargus strigoides</v>
      </c>
      <c r="H299" t="s">
        <v>308</v>
      </c>
      <c r="I299" t="str">
        <f>HYPERLINK("http://www.ncbi.nlm.nih.gov/protein/NXX22635.1","FABPL protein")</f>
        <v>FABPL protein</v>
      </c>
      <c r="J299">
        <v>196.44</v>
      </c>
      <c r="K299" t="s">
        <v>20</v>
      </c>
      <c r="L299">
        <v>139</v>
      </c>
      <c r="M299">
        <v>50.68</v>
      </c>
      <c r="N299">
        <v>77.86</v>
      </c>
      <c r="O299" t="s">
        <v>20</v>
      </c>
      <c r="P299" t="s">
        <v>21</v>
      </c>
      <c r="Q299" t="s">
        <v>20</v>
      </c>
      <c r="R299" t="str">
        <f>HYPERLINK("https://cfpub.epa.gov/ecotox/explore.cfm?ncbi=8905","Explore in ECOTOX")</f>
        <v>Explore in ECOTOX</v>
      </c>
    </row>
    <row r="300" spans="1:18" x14ac:dyDescent="0.25">
      <c r="A300">
        <v>6</v>
      </c>
      <c r="B300" t="str">
        <f>HYPERLINK("http://www.ncbi.nlm.nih.gov/protein/NXH94011.1","NXH94011.1")</f>
        <v>NXH94011.1</v>
      </c>
      <c r="C300">
        <v>13430</v>
      </c>
      <c r="D300" t="str">
        <f>HYPERLINK("http://www.ncbi.nlm.nih.gov/Taxonomy/Browser/wwwtax.cgi?mode=Info&amp;id=449367&amp;lvl=3&amp;lin=f&amp;keep=1&amp;srchmode=1&amp;unlock","449367")</f>
        <v>449367</v>
      </c>
      <c r="E300" t="s">
        <v>167</v>
      </c>
      <c r="F300" t="s">
        <v>167</v>
      </c>
      <c r="G300" t="str">
        <f>HYPERLINK("http://www.ncbi.nlm.nih.gov/Taxonomy/Browser/wwwtax.cgi?mode=Info&amp;id=449367&amp;lvl=3&amp;lin=f&amp;keep=1&amp;srchmode=1&amp;unlock","Pachycephala philippinensis")</f>
        <v>Pachycephala philippinensis</v>
      </c>
      <c r="H300" t="s">
        <v>309</v>
      </c>
      <c r="I300" t="str">
        <f>HYPERLINK("http://www.ncbi.nlm.nih.gov/protein/NXH94011.1","FABPL protein")</f>
        <v>FABPL protein</v>
      </c>
      <c r="J300">
        <v>196.44</v>
      </c>
      <c r="K300" t="s">
        <v>25</v>
      </c>
      <c r="L300">
        <v>139</v>
      </c>
      <c r="M300">
        <v>50.68</v>
      </c>
      <c r="N300">
        <v>77.86</v>
      </c>
      <c r="O300" t="s">
        <v>20</v>
      </c>
      <c r="P300" t="s">
        <v>21</v>
      </c>
      <c r="Q300" t="s">
        <v>20</v>
      </c>
      <c r="R300" t="str">
        <f>HYPERLINK("https://cfpub.epa.gov/ecotox/explore.cfm?ncbi=449367","Explore in ECOTOX")</f>
        <v>Explore in ECOTOX</v>
      </c>
    </row>
    <row r="301" spans="1:18" x14ac:dyDescent="0.25">
      <c r="A301">
        <v>6</v>
      </c>
      <c r="B301" t="str">
        <f>HYPERLINK("http://www.ncbi.nlm.nih.gov/protein/NXH23815.1","NXH23815.1")</f>
        <v>NXH23815.1</v>
      </c>
      <c r="C301">
        <v>13940</v>
      </c>
      <c r="D301" t="str">
        <f>HYPERLINK("http://www.ncbi.nlm.nih.gov/Taxonomy/Browser/wwwtax.cgi?mode=Info&amp;id=381031&amp;lvl=3&amp;lin=f&amp;keep=1&amp;srchmode=1&amp;unlock","381031")</f>
        <v>381031</v>
      </c>
      <c r="E301" t="s">
        <v>167</v>
      </c>
      <c r="F301" t="s">
        <v>167</v>
      </c>
      <c r="G301" t="str">
        <f>HYPERLINK("http://www.ncbi.nlm.nih.gov/Taxonomy/Browser/wwwtax.cgi?mode=Info&amp;id=381031&amp;lvl=3&amp;lin=f&amp;keep=1&amp;srchmode=1&amp;unlock","Myiagra hebetior")</f>
        <v>Myiagra hebetior</v>
      </c>
      <c r="H301" t="s">
        <v>206</v>
      </c>
      <c r="I301" t="str">
        <f>HYPERLINK("http://www.ncbi.nlm.nih.gov/protein/NXH23815.1","FABPL protein")</f>
        <v>FABPL protein</v>
      </c>
      <c r="J301">
        <v>196.44</v>
      </c>
      <c r="K301" t="s">
        <v>25</v>
      </c>
      <c r="L301">
        <v>139</v>
      </c>
      <c r="M301">
        <v>50.68</v>
      </c>
      <c r="N301">
        <v>77.86</v>
      </c>
      <c r="O301" t="s">
        <v>20</v>
      </c>
      <c r="P301" t="s">
        <v>21</v>
      </c>
      <c r="Q301" t="s">
        <v>20</v>
      </c>
      <c r="R301" t="str">
        <f>HYPERLINK("https://cfpub.epa.gov/ecotox/explore.cfm?ncbi=381031","Explore in ECOTOX")</f>
        <v>Explore in ECOTOX</v>
      </c>
    </row>
    <row r="302" spans="1:18" x14ac:dyDescent="0.25">
      <c r="A302">
        <v>6</v>
      </c>
      <c r="B302" t="str">
        <f>HYPERLINK("http://www.ncbi.nlm.nih.gov/protein/NWR57646.1","NWR57646.1")</f>
        <v>NWR57646.1</v>
      </c>
      <c r="C302">
        <v>14438</v>
      </c>
      <c r="D302" t="str">
        <f>HYPERLINK("http://www.ncbi.nlm.nih.gov/Taxonomy/Browser/wwwtax.cgi?mode=Info&amp;id=153643&amp;lvl=3&amp;lin=f&amp;keep=1&amp;srchmode=1&amp;unlock","153643")</f>
        <v>153643</v>
      </c>
      <c r="E302" t="s">
        <v>167</v>
      </c>
      <c r="F302" t="s">
        <v>167</v>
      </c>
      <c r="G302" t="str">
        <f>HYPERLINK("http://www.ncbi.nlm.nih.gov/Taxonomy/Browser/wwwtax.cgi?mode=Info&amp;id=153643&amp;lvl=3&amp;lin=f&amp;keep=1&amp;srchmode=1&amp;unlock","Bucorvus abyssinicus")</f>
        <v>Bucorvus abyssinicus</v>
      </c>
      <c r="H302" t="s">
        <v>310</v>
      </c>
      <c r="I302" t="str">
        <f>HYPERLINK("http://www.ncbi.nlm.nih.gov/protein/NWR57646.1","FABPL protein")</f>
        <v>FABPL protein</v>
      </c>
      <c r="J302">
        <v>196.44</v>
      </c>
      <c r="K302" t="s">
        <v>25</v>
      </c>
      <c r="L302">
        <v>139</v>
      </c>
      <c r="M302">
        <v>50.68</v>
      </c>
      <c r="N302">
        <v>77.86</v>
      </c>
      <c r="O302" t="s">
        <v>20</v>
      </c>
      <c r="P302" t="s">
        <v>21</v>
      </c>
      <c r="Q302" t="s">
        <v>20</v>
      </c>
      <c r="R302" t="str">
        <f>HYPERLINK("https://cfpub.epa.gov/ecotox/explore.cfm?ncbi=153643","Explore in ECOTOX")</f>
        <v>Explore in ECOTOX</v>
      </c>
    </row>
    <row r="303" spans="1:18" x14ac:dyDescent="0.25">
      <c r="A303">
        <v>6</v>
      </c>
      <c r="B303" t="str">
        <f>HYPERLINK("http://www.ncbi.nlm.nih.gov/protein/NXN33731.1","NXN33731.1")</f>
        <v>NXN33731.1</v>
      </c>
      <c r="C303">
        <v>14331</v>
      </c>
      <c r="D303" t="str">
        <f>HYPERLINK("http://www.ncbi.nlm.nih.gov/Taxonomy/Browser/wwwtax.cgi?mode=Info&amp;id=227226&amp;lvl=3&amp;lin=f&amp;keep=1&amp;srchmode=1&amp;unlock","227226")</f>
        <v>227226</v>
      </c>
      <c r="E303" t="s">
        <v>167</v>
      </c>
      <c r="F303" t="s">
        <v>167</v>
      </c>
      <c r="G303" t="str">
        <f>HYPERLINK("http://www.ncbi.nlm.nih.gov/Taxonomy/Browser/wwwtax.cgi?mode=Info&amp;id=227226&amp;lvl=3&amp;lin=f&amp;keep=1&amp;srchmode=1&amp;unlock","Nycticryphes semicollaris")</f>
        <v>Nycticryphes semicollaris</v>
      </c>
      <c r="H303" t="s">
        <v>185</v>
      </c>
      <c r="I303" t="str">
        <f>HYPERLINK("http://www.ncbi.nlm.nih.gov/protein/NXN33731.1","FABPL protein")</f>
        <v>FABPL protein</v>
      </c>
      <c r="J303">
        <v>196.44</v>
      </c>
      <c r="K303" t="s">
        <v>25</v>
      </c>
      <c r="L303">
        <v>139</v>
      </c>
      <c r="M303">
        <v>50.68</v>
      </c>
      <c r="N303">
        <v>77.86</v>
      </c>
      <c r="O303" t="s">
        <v>20</v>
      </c>
      <c r="P303" t="s">
        <v>21</v>
      </c>
      <c r="Q303" t="s">
        <v>20</v>
      </c>
      <c r="R303" t="str">
        <f>HYPERLINK("https://cfpub.epa.gov/ecotox/explore.cfm?ncbi=227226","Explore in ECOTOX")</f>
        <v>Explore in ECOTOX</v>
      </c>
    </row>
    <row r="304" spans="1:18" x14ac:dyDescent="0.25">
      <c r="A304">
        <v>6</v>
      </c>
      <c r="B304" t="str">
        <f>HYPERLINK("http://www.ncbi.nlm.nih.gov/protein/NXS22032.1","NXS22032.1")</f>
        <v>NXS22032.1</v>
      </c>
      <c r="C304">
        <v>10611</v>
      </c>
      <c r="D304" t="str">
        <f>HYPERLINK("http://www.ncbi.nlm.nih.gov/Taxonomy/Browser/wwwtax.cgi?mode=Info&amp;id=98133&amp;lvl=3&amp;lin=f&amp;keep=1&amp;srchmode=1&amp;unlock","98133")</f>
        <v>98133</v>
      </c>
      <c r="E304" t="s">
        <v>167</v>
      </c>
      <c r="F304" t="s">
        <v>167</v>
      </c>
      <c r="G304" t="str">
        <f>HYPERLINK("http://www.ncbi.nlm.nih.gov/Taxonomy/Browser/wwwtax.cgi?mode=Info&amp;id=98133&amp;lvl=3&amp;lin=f&amp;keep=1&amp;srchmode=1&amp;unlock","Mystacornis crossleyi")</f>
        <v>Mystacornis crossleyi</v>
      </c>
      <c r="H304" t="s">
        <v>311</v>
      </c>
      <c r="I304" t="str">
        <f>HYPERLINK("http://www.ncbi.nlm.nih.gov/protein/NXS22032.1","FABPL protein")</f>
        <v>FABPL protein</v>
      </c>
      <c r="J304">
        <v>196.44</v>
      </c>
      <c r="K304" t="s">
        <v>25</v>
      </c>
      <c r="L304">
        <v>139</v>
      </c>
      <c r="M304">
        <v>50.68</v>
      </c>
      <c r="N304">
        <v>77.86</v>
      </c>
      <c r="O304" t="s">
        <v>20</v>
      </c>
      <c r="P304" t="s">
        <v>21</v>
      </c>
      <c r="Q304" t="s">
        <v>20</v>
      </c>
      <c r="R304" t="str">
        <f>HYPERLINK("https://cfpub.epa.gov/ecotox/explore.cfm?ncbi=98133","Explore in ECOTOX")</f>
        <v>Explore in ECOTOX</v>
      </c>
    </row>
    <row r="305" spans="1:18" x14ac:dyDescent="0.25">
      <c r="A305">
        <v>6</v>
      </c>
      <c r="B305" t="str">
        <f>HYPERLINK("http://www.ncbi.nlm.nih.gov/protein/NWW17204.1","NWW17204.1")</f>
        <v>NWW17204.1</v>
      </c>
      <c r="C305">
        <v>14502</v>
      </c>
      <c r="D305" t="str">
        <f>HYPERLINK("http://www.ncbi.nlm.nih.gov/Taxonomy/Browser/wwwtax.cgi?mode=Info&amp;id=254539&amp;lvl=3&amp;lin=f&amp;keep=1&amp;srchmode=1&amp;unlock","254539")</f>
        <v>254539</v>
      </c>
      <c r="E305" t="s">
        <v>167</v>
      </c>
      <c r="F305" t="s">
        <v>167</v>
      </c>
      <c r="G305" t="str">
        <f>HYPERLINK("http://www.ncbi.nlm.nih.gov/Taxonomy/Browser/wwwtax.cgi?mode=Info&amp;id=254539&amp;lvl=3&amp;lin=f&amp;keep=1&amp;srchmode=1&amp;unlock","Falcunculus frontatus")</f>
        <v>Falcunculus frontatus</v>
      </c>
      <c r="H305" t="s">
        <v>312</v>
      </c>
      <c r="I305" t="str">
        <f>HYPERLINK("http://www.ncbi.nlm.nih.gov/protein/NWW17204.1","FABPL protein")</f>
        <v>FABPL protein</v>
      </c>
      <c r="J305">
        <v>196.05</v>
      </c>
      <c r="K305" t="s">
        <v>25</v>
      </c>
      <c r="L305">
        <v>139</v>
      </c>
      <c r="M305">
        <v>50.68</v>
      </c>
      <c r="N305">
        <v>77.709999999999994</v>
      </c>
      <c r="O305" t="s">
        <v>20</v>
      </c>
      <c r="P305" t="s">
        <v>21</v>
      </c>
      <c r="Q305" t="s">
        <v>20</v>
      </c>
      <c r="R305" t="str">
        <f>HYPERLINK("https://cfpub.epa.gov/ecotox/explore.cfm?ncbi=254539","Explore in ECOTOX")</f>
        <v>Explore in ECOTOX</v>
      </c>
    </row>
    <row r="306" spans="1:18" x14ac:dyDescent="0.25">
      <c r="A306">
        <v>6</v>
      </c>
      <c r="B306" t="str">
        <f>HYPERLINK("http://www.ncbi.nlm.nih.gov/protein/XP_005510014.1","XP_005510014.1")</f>
        <v>XP_005510014.1</v>
      </c>
      <c r="C306">
        <v>50935</v>
      </c>
      <c r="D306" t="str">
        <f>HYPERLINK("http://www.ncbi.nlm.nih.gov/Taxonomy/Browser/wwwtax.cgi?mode=Info&amp;id=8932&amp;lvl=3&amp;lin=f&amp;keep=1&amp;srchmode=1&amp;unlock","8932")</f>
        <v>8932</v>
      </c>
      <c r="E306" t="s">
        <v>167</v>
      </c>
      <c r="F306" t="s">
        <v>167</v>
      </c>
      <c r="G306" t="str">
        <f>HYPERLINK("http://www.ncbi.nlm.nih.gov/Taxonomy/Browser/wwwtax.cgi?mode=Info&amp;id=8932&amp;lvl=3&amp;lin=f&amp;keep=1&amp;srchmode=1&amp;unlock","Columba livia")</f>
        <v>Columba livia</v>
      </c>
      <c r="H306" t="s">
        <v>313</v>
      </c>
      <c r="I306" t="str">
        <f>HYPERLINK("http://www.ncbi.nlm.nih.gov/protein/XP_005510014.1","fatty acid-binding protein, liver")</f>
        <v>fatty acid-binding protein, liver</v>
      </c>
      <c r="J306">
        <v>196.05</v>
      </c>
      <c r="K306" t="s">
        <v>25</v>
      </c>
      <c r="L306">
        <v>139</v>
      </c>
      <c r="M306">
        <v>50.68</v>
      </c>
      <c r="N306">
        <v>77.709999999999994</v>
      </c>
      <c r="O306" t="s">
        <v>20</v>
      </c>
      <c r="P306" t="s">
        <v>21</v>
      </c>
      <c r="Q306" t="s">
        <v>20</v>
      </c>
      <c r="R306" t="str">
        <f>HYPERLINK("https://cfpub.epa.gov/ecotox/explore.cfm?ncbi=8932","Explore in ECOTOX")</f>
        <v>Explore in ECOTOX</v>
      </c>
    </row>
    <row r="307" spans="1:18" x14ac:dyDescent="0.25">
      <c r="A307">
        <v>6</v>
      </c>
      <c r="B307" t="str">
        <f>HYPERLINK("http://www.ncbi.nlm.nih.gov/protein/NXW84899.1","NXW84899.1")</f>
        <v>NXW84899.1</v>
      </c>
      <c r="C307">
        <v>14612</v>
      </c>
      <c r="D307" t="str">
        <f>HYPERLINK("http://www.ncbi.nlm.nih.gov/Taxonomy/Browser/wwwtax.cgi?mode=Info&amp;id=262131&amp;lvl=3&amp;lin=f&amp;keep=1&amp;srchmode=1&amp;unlock","262131")</f>
        <v>262131</v>
      </c>
      <c r="E307" t="s">
        <v>167</v>
      </c>
      <c r="F307" t="s">
        <v>167</v>
      </c>
      <c r="G307" t="str">
        <f>HYPERLINK("http://www.ncbi.nlm.nih.gov/Taxonomy/Browser/wwwtax.cgi?mode=Info&amp;id=262131&amp;lvl=3&amp;lin=f&amp;keep=1&amp;srchmode=1&amp;unlock","Alopecoenas beccarii")</f>
        <v>Alopecoenas beccarii</v>
      </c>
      <c r="H307" t="s">
        <v>314</v>
      </c>
      <c r="I307" t="str">
        <f>HYPERLINK("http://www.ncbi.nlm.nih.gov/protein/NXW84899.1","FABPL protein")</f>
        <v>FABPL protein</v>
      </c>
      <c r="J307">
        <v>196.05</v>
      </c>
      <c r="K307" t="s">
        <v>25</v>
      </c>
      <c r="L307">
        <v>139</v>
      </c>
      <c r="M307">
        <v>50.68</v>
      </c>
      <c r="N307">
        <v>77.709999999999994</v>
      </c>
      <c r="O307" t="s">
        <v>20</v>
      </c>
      <c r="P307" t="s">
        <v>21</v>
      </c>
      <c r="Q307" t="s">
        <v>20</v>
      </c>
      <c r="R307" t="str">
        <f>HYPERLINK("https://cfpub.epa.gov/ecotox/explore.cfm?ncbi=262131","Explore in ECOTOX")</f>
        <v>Explore in ECOTOX</v>
      </c>
    </row>
    <row r="308" spans="1:18" x14ac:dyDescent="0.25">
      <c r="A308">
        <v>6</v>
      </c>
      <c r="B308" t="str">
        <f>HYPERLINK("http://www.ncbi.nlm.nih.gov/protein/XP_009978351.1","XP_009978351.1")</f>
        <v>XP_009978351.1</v>
      </c>
      <c r="C308">
        <v>28574</v>
      </c>
      <c r="D308" t="str">
        <f>HYPERLINK("http://www.ncbi.nlm.nih.gov/Taxonomy/Browser/wwwtax.cgi?mode=Info&amp;id=121530&amp;lvl=3&amp;lin=f&amp;keep=1&amp;srchmode=1&amp;unlock","121530")</f>
        <v>121530</v>
      </c>
      <c r="E308" t="s">
        <v>167</v>
      </c>
      <c r="F308" t="s">
        <v>167</v>
      </c>
      <c r="G308" t="str">
        <f>HYPERLINK("http://www.ncbi.nlm.nih.gov/Taxonomy/Browser/wwwtax.cgi?mode=Info&amp;id=121530&amp;lvl=3&amp;lin=f&amp;keep=1&amp;srchmode=1&amp;unlock","Tauraco erythrolophus")</f>
        <v>Tauraco erythrolophus</v>
      </c>
      <c r="H308" t="s">
        <v>315</v>
      </c>
      <c r="I308" t="str">
        <f>HYPERLINK("http://www.ncbi.nlm.nih.gov/protein/XP_009978351.1","PREDICTED: fatty acid-binding protein, liver")</f>
        <v>PREDICTED: fatty acid-binding protein, liver</v>
      </c>
      <c r="J308">
        <v>196.05</v>
      </c>
      <c r="K308" t="s">
        <v>25</v>
      </c>
      <c r="L308">
        <v>139</v>
      </c>
      <c r="M308">
        <v>50.68</v>
      </c>
      <c r="N308">
        <v>77.709999999999994</v>
      </c>
      <c r="O308" t="s">
        <v>20</v>
      </c>
      <c r="P308" t="s">
        <v>21</v>
      </c>
      <c r="Q308" t="s">
        <v>20</v>
      </c>
      <c r="R308" t="str">
        <f>HYPERLINK("https://cfpub.epa.gov/ecotox/explore.cfm?ncbi=121530","Explore in ECOTOX")</f>
        <v>Explore in ECOTOX</v>
      </c>
    </row>
    <row r="309" spans="1:18" x14ac:dyDescent="0.25">
      <c r="A309">
        <v>6</v>
      </c>
      <c r="B309" t="str">
        <f>HYPERLINK("http://www.ncbi.nlm.nih.gov/protein/NXJ62645.1","NXJ62645.1")</f>
        <v>NXJ62645.1</v>
      </c>
      <c r="C309">
        <v>14258</v>
      </c>
      <c r="D309" t="str">
        <f>HYPERLINK("http://www.ncbi.nlm.nih.gov/Taxonomy/Browser/wwwtax.cgi?mode=Info&amp;id=118793&amp;lvl=3&amp;lin=f&amp;keep=1&amp;srchmode=1&amp;unlock","118793")</f>
        <v>118793</v>
      </c>
      <c r="E309" t="s">
        <v>167</v>
      </c>
      <c r="F309" t="s">
        <v>167</v>
      </c>
      <c r="G309" t="str">
        <f>HYPERLINK("http://www.ncbi.nlm.nih.gov/Taxonomy/Browser/wwwtax.cgi?mode=Info&amp;id=118793&amp;lvl=3&amp;lin=f&amp;keep=1&amp;srchmode=1&amp;unlock","Rostratula benghalensis")</f>
        <v>Rostratula benghalensis</v>
      </c>
      <c r="H309" t="s">
        <v>316</v>
      </c>
      <c r="I309" t="str">
        <f>HYPERLINK("http://www.ncbi.nlm.nih.gov/protein/NXJ62645.1","FABPL protein")</f>
        <v>FABPL protein</v>
      </c>
      <c r="J309">
        <v>196.05</v>
      </c>
      <c r="K309" t="s">
        <v>25</v>
      </c>
      <c r="L309">
        <v>139</v>
      </c>
      <c r="M309">
        <v>50.68</v>
      </c>
      <c r="N309">
        <v>77.709999999999994</v>
      </c>
      <c r="O309" t="s">
        <v>20</v>
      </c>
      <c r="P309" t="s">
        <v>21</v>
      </c>
      <c r="Q309" t="s">
        <v>20</v>
      </c>
      <c r="R309" t="str">
        <f>HYPERLINK("https://cfpub.epa.gov/ecotox/explore.cfm?ncbi=118793","Explore in ECOTOX")</f>
        <v>Explore in ECOTOX</v>
      </c>
    </row>
    <row r="310" spans="1:18" x14ac:dyDescent="0.25">
      <c r="A310">
        <v>6</v>
      </c>
      <c r="B310" t="str">
        <f>HYPERLINK("http://www.ncbi.nlm.nih.gov/protein/NXY03668.1","NXY03668.1")</f>
        <v>NXY03668.1</v>
      </c>
      <c r="C310">
        <v>11998</v>
      </c>
      <c r="D310" t="str">
        <f>HYPERLINK("http://www.ncbi.nlm.nih.gov/Taxonomy/Browser/wwwtax.cgi?mode=Info&amp;id=357074&amp;lvl=3&amp;lin=f&amp;keep=1&amp;srchmode=1&amp;unlock","357074")</f>
        <v>357074</v>
      </c>
      <c r="E310" t="s">
        <v>167</v>
      </c>
      <c r="F310" t="s">
        <v>167</v>
      </c>
      <c r="G310" t="str">
        <f>HYPERLINK("http://www.ncbi.nlm.nih.gov/Taxonomy/Browser/wwwtax.cgi?mode=Info&amp;id=357074&amp;lvl=3&amp;lin=f&amp;keep=1&amp;srchmode=1&amp;unlock","Pteruthius melanotis")</f>
        <v>Pteruthius melanotis</v>
      </c>
      <c r="H310" t="s">
        <v>244</v>
      </c>
      <c r="I310" t="str">
        <f>HYPERLINK("http://www.ncbi.nlm.nih.gov/protein/NXY03668.1","FABPL protein")</f>
        <v>FABPL protein</v>
      </c>
      <c r="J310">
        <v>196.05</v>
      </c>
      <c r="K310" t="s">
        <v>25</v>
      </c>
      <c r="L310">
        <v>139</v>
      </c>
      <c r="M310">
        <v>50.68</v>
      </c>
      <c r="N310">
        <v>77.709999999999994</v>
      </c>
      <c r="O310" t="s">
        <v>20</v>
      </c>
      <c r="P310" t="s">
        <v>21</v>
      </c>
      <c r="Q310" t="s">
        <v>20</v>
      </c>
      <c r="R310" t="str">
        <f>HYPERLINK("https://cfpub.epa.gov/ecotox/explore.cfm?ncbi=357074","Explore in ECOTOX")</f>
        <v>Explore in ECOTOX</v>
      </c>
    </row>
    <row r="311" spans="1:18" x14ac:dyDescent="0.25">
      <c r="A311">
        <v>6</v>
      </c>
      <c r="B311" t="str">
        <f>HYPERLINK("http://www.ncbi.nlm.nih.gov/protein/NWZ25192.1","NWZ25192.1")</f>
        <v>NWZ25192.1</v>
      </c>
      <c r="C311">
        <v>14748</v>
      </c>
      <c r="D311" t="str">
        <f>HYPERLINK("http://www.ncbi.nlm.nih.gov/Taxonomy/Browser/wwwtax.cgi?mode=Info&amp;id=75869&amp;lvl=3&amp;lin=f&amp;keep=1&amp;srchmode=1&amp;unlock","75869")</f>
        <v>75869</v>
      </c>
      <c r="E311" t="s">
        <v>167</v>
      </c>
      <c r="F311" t="s">
        <v>167</v>
      </c>
      <c r="G311" t="str">
        <f>HYPERLINK("http://www.ncbi.nlm.nih.gov/Taxonomy/Browser/wwwtax.cgi?mode=Info&amp;id=75869&amp;lvl=3&amp;lin=f&amp;keep=1&amp;srchmode=1&amp;unlock","Asarcornis scutulata")</f>
        <v>Asarcornis scutulata</v>
      </c>
      <c r="H311" t="s">
        <v>317</v>
      </c>
      <c r="I311" t="str">
        <f>HYPERLINK("http://www.ncbi.nlm.nih.gov/protein/NWZ25192.1","FABPL protein")</f>
        <v>FABPL protein</v>
      </c>
      <c r="J311">
        <v>195.67</v>
      </c>
      <c r="K311" t="s">
        <v>25</v>
      </c>
      <c r="L311">
        <v>139</v>
      </c>
      <c r="M311">
        <v>50.68</v>
      </c>
      <c r="N311">
        <v>77.56</v>
      </c>
      <c r="O311" t="s">
        <v>20</v>
      </c>
      <c r="P311" t="s">
        <v>21</v>
      </c>
      <c r="Q311" t="s">
        <v>20</v>
      </c>
      <c r="R311" t="str">
        <f>HYPERLINK("https://cfpub.epa.gov/ecotox/explore.cfm?ncbi=75869","Explore in ECOTOX")</f>
        <v>Explore in ECOTOX</v>
      </c>
    </row>
    <row r="312" spans="1:18" x14ac:dyDescent="0.25">
      <c r="A312">
        <v>6</v>
      </c>
      <c r="B312" t="str">
        <f>HYPERLINK("http://www.ncbi.nlm.nih.gov/protein/NXB64387.1","NXB64387.1")</f>
        <v>NXB64387.1</v>
      </c>
      <c r="C312">
        <v>14168</v>
      </c>
      <c r="D312" t="str">
        <f>HYPERLINK("http://www.ncbi.nlm.nih.gov/Taxonomy/Browser/wwwtax.cgi?mode=Info&amp;id=181839&amp;lvl=3&amp;lin=f&amp;keep=1&amp;srchmode=1&amp;unlock","181839")</f>
        <v>181839</v>
      </c>
      <c r="E312" t="s">
        <v>167</v>
      </c>
      <c r="F312" t="s">
        <v>167</v>
      </c>
      <c r="G312" t="str">
        <f>HYPERLINK("http://www.ncbi.nlm.nih.gov/Taxonomy/Browser/wwwtax.cgi?mode=Info&amp;id=181839&amp;lvl=3&amp;lin=f&amp;keep=1&amp;srchmode=1&amp;unlock","Struthidea cinerea")</f>
        <v>Struthidea cinerea</v>
      </c>
      <c r="H312" t="s">
        <v>318</v>
      </c>
      <c r="I312" t="str">
        <f>HYPERLINK("http://www.ncbi.nlm.nih.gov/protein/NXB64387.1","FABPL protein")</f>
        <v>FABPL protein</v>
      </c>
      <c r="J312">
        <v>195.67</v>
      </c>
      <c r="K312" t="s">
        <v>25</v>
      </c>
      <c r="L312">
        <v>139</v>
      </c>
      <c r="M312">
        <v>50.68</v>
      </c>
      <c r="N312">
        <v>77.56</v>
      </c>
      <c r="O312" t="s">
        <v>20</v>
      </c>
      <c r="P312" t="s">
        <v>21</v>
      </c>
      <c r="Q312" t="s">
        <v>20</v>
      </c>
      <c r="R312" t="str">
        <f>HYPERLINK("https://cfpub.epa.gov/ecotox/explore.cfm?ncbi=181839","Explore in ECOTOX")</f>
        <v>Explore in ECOTOX</v>
      </c>
    </row>
    <row r="313" spans="1:18" x14ac:dyDescent="0.25">
      <c r="A313">
        <v>6</v>
      </c>
      <c r="B313" t="str">
        <f>HYPERLINK("http://www.ncbi.nlm.nih.gov/protein/XP_032041849.1","XP_032041849.1")</f>
        <v>XP_032041849.1</v>
      </c>
      <c r="C313">
        <v>27813</v>
      </c>
      <c r="D313" t="str">
        <f>HYPERLINK("http://www.ncbi.nlm.nih.gov/Taxonomy/Browser/wwwtax.cgi?mode=Info&amp;id=219594&amp;lvl=3&amp;lin=f&amp;keep=1&amp;srchmode=1&amp;unlock","219594")</f>
        <v>219594</v>
      </c>
      <c r="E313" t="s">
        <v>167</v>
      </c>
      <c r="F313" t="s">
        <v>167</v>
      </c>
      <c r="G313" t="str">
        <f>HYPERLINK("http://www.ncbi.nlm.nih.gov/Taxonomy/Browser/wwwtax.cgi?mode=Info&amp;id=219594&amp;lvl=3&amp;lin=f&amp;keep=1&amp;srchmode=1&amp;unlock","Aythya fuligula")</f>
        <v>Aythya fuligula</v>
      </c>
      <c r="H313" t="s">
        <v>319</v>
      </c>
      <c r="I313" t="str">
        <f>HYPERLINK("http://www.ncbi.nlm.nih.gov/protein/XP_032041849.1","fatty acid-binding protein, liver")</f>
        <v>fatty acid-binding protein, liver</v>
      </c>
      <c r="J313">
        <v>195.67</v>
      </c>
      <c r="K313" t="s">
        <v>25</v>
      </c>
      <c r="L313">
        <v>139</v>
      </c>
      <c r="M313">
        <v>50.68</v>
      </c>
      <c r="N313">
        <v>77.56</v>
      </c>
      <c r="O313" t="s">
        <v>20</v>
      </c>
      <c r="P313" t="s">
        <v>21</v>
      </c>
      <c r="Q313" t="s">
        <v>20</v>
      </c>
      <c r="R313" t="str">
        <f>HYPERLINK("https://cfpub.epa.gov/ecotox/explore.cfm?ncbi=219594","Explore in ECOTOX")</f>
        <v>Explore in ECOTOX</v>
      </c>
    </row>
    <row r="314" spans="1:18" x14ac:dyDescent="0.25">
      <c r="A314">
        <v>6</v>
      </c>
      <c r="B314" t="str">
        <f>HYPERLINK("http://www.ncbi.nlm.nih.gov/protein/NXV33602.1","NXV33602.1")</f>
        <v>NXV33602.1</v>
      </c>
      <c r="C314">
        <v>14938</v>
      </c>
      <c r="D314" t="str">
        <f>HYPERLINK("http://www.ncbi.nlm.nih.gov/Taxonomy/Browser/wwwtax.cgi?mode=Info&amp;id=75485&amp;lvl=3&amp;lin=f&amp;keep=1&amp;srchmode=1&amp;unlock","75485")</f>
        <v>75485</v>
      </c>
      <c r="E314" t="s">
        <v>167</v>
      </c>
      <c r="F314" t="s">
        <v>167</v>
      </c>
      <c r="G314" t="str">
        <f>HYPERLINK("http://www.ncbi.nlm.nih.gov/Taxonomy/Browser/wwwtax.cgi?mode=Info&amp;id=75485&amp;lvl=3&amp;lin=f&amp;keep=1&amp;srchmode=1&amp;unlock","Rissa tridactyla")</f>
        <v>Rissa tridactyla</v>
      </c>
      <c r="H314" t="s">
        <v>320</v>
      </c>
      <c r="I314" t="str">
        <f>HYPERLINK("http://www.ncbi.nlm.nih.gov/protein/NXV33602.1","FABPL protein")</f>
        <v>FABPL protein</v>
      </c>
      <c r="J314">
        <v>195.67</v>
      </c>
      <c r="K314" t="s">
        <v>25</v>
      </c>
      <c r="L314">
        <v>139</v>
      </c>
      <c r="M314">
        <v>50.68</v>
      </c>
      <c r="N314">
        <v>77.56</v>
      </c>
      <c r="O314" t="s">
        <v>20</v>
      </c>
      <c r="P314" t="s">
        <v>21</v>
      </c>
      <c r="Q314" t="s">
        <v>20</v>
      </c>
      <c r="R314" t="str">
        <f>HYPERLINK("https://cfpub.epa.gov/ecotox/explore.cfm?ncbi=75485","Explore in ECOTOX")</f>
        <v>Explore in ECOTOX</v>
      </c>
    </row>
    <row r="315" spans="1:18" x14ac:dyDescent="0.25">
      <c r="A315">
        <v>6</v>
      </c>
      <c r="B315" t="str">
        <f>HYPERLINK("http://www.ncbi.nlm.nih.gov/protein/XP_026503896.1","XP_026503896.1")</f>
        <v>XP_026503896.1</v>
      </c>
      <c r="C315">
        <v>34224</v>
      </c>
      <c r="D315" t="str">
        <f>HYPERLINK("http://www.ncbi.nlm.nih.gov/Taxonomy/Browser/wwwtax.cgi?mode=Info&amp;id=2587831&amp;lvl=3&amp;lin=f&amp;keep=1&amp;srchmode=1&amp;unlock","2587831")</f>
        <v>2587831</v>
      </c>
      <c r="E315" t="s">
        <v>321</v>
      </c>
      <c r="F315" t="s">
        <v>321</v>
      </c>
      <c r="G315" t="str">
        <f>HYPERLINK("http://www.ncbi.nlm.nih.gov/Taxonomy/Browser/wwwtax.cgi?mode=Info&amp;id=2587831&amp;lvl=3&amp;lin=f&amp;keep=1&amp;srchmode=1&amp;unlock","Terrapene carolina triunguis")</f>
        <v>Terrapene carolina triunguis</v>
      </c>
      <c r="H315" t="s">
        <v>322</v>
      </c>
      <c r="I315" t="str">
        <f>HYPERLINK("http://www.ncbi.nlm.nih.gov/protein/XP_026503896.1","fatty acid-binding protein, liver")</f>
        <v>fatty acid-binding protein, liver</v>
      </c>
      <c r="J315">
        <v>195.28</v>
      </c>
      <c r="K315" t="s">
        <v>25</v>
      </c>
      <c r="L315">
        <v>139</v>
      </c>
      <c r="M315">
        <v>50.68</v>
      </c>
      <c r="N315">
        <v>77.400000000000006</v>
      </c>
      <c r="O315" t="s">
        <v>20</v>
      </c>
      <c r="P315" t="s">
        <v>21</v>
      </c>
      <c r="Q315" t="s">
        <v>20</v>
      </c>
      <c r="R315" t="str">
        <f>HYPERLINK("https://cfpub.epa.gov/ecotox/explore.cfm?ncbi=2587831","Explore in ECOTOX")</f>
        <v>Explore in ECOTOX</v>
      </c>
    </row>
    <row r="316" spans="1:18" x14ac:dyDescent="0.25">
      <c r="A316">
        <v>6</v>
      </c>
      <c r="B316" t="str">
        <f>HYPERLINK("http://www.ncbi.nlm.nih.gov/protein/NWT00227.1","NWT00227.1")</f>
        <v>NWT00227.1</v>
      </c>
      <c r="C316">
        <v>14226</v>
      </c>
      <c r="D316" t="str">
        <f>HYPERLINK("http://www.ncbi.nlm.nih.gov/Taxonomy/Browser/wwwtax.cgi?mode=Info&amp;id=254557&amp;lvl=3&amp;lin=f&amp;keep=1&amp;srchmode=1&amp;unlock","254557")</f>
        <v>254557</v>
      </c>
      <c r="E316" t="s">
        <v>167</v>
      </c>
      <c r="F316" t="s">
        <v>167</v>
      </c>
      <c r="G316" t="str">
        <f>HYPERLINK("http://www.ncbi.nlm.nih.gov/Taxonomy/Browser/wwwtax.cgi?mode=Info&amp;id=254557&amp;lvl=3&amp;lin=f&amp;keep=1&amp;srchmode=1&amp;unlock","Mionectes macconnelli")</f>
        <v>Mionectes macconnelli</v>
      </c>
      <c r="H316" t="s">
        <v>323</v>
      </c>
      <c r="I316" t="str">
        <f>HYPERLINK("http://www.ncbi.nlm.nih.gov/protein/NWT00227.1","FABPL protein")</f>
        <v>FABPL protein</v>
      </c>
      <c r="J316">
        <v>195.28</v>
      </c>
      <c r="K316" t="s">
        <v>25</v>
      </c>
      <c r="L316">
        <v>139</v>
      </c>
      <c r="M316">
        <v>50.68</v>
      </c>
      <c r="N316">
        <v>77.400000000000006</v>
      </c>
      <c r="O316" t="s">
        <v>20</v>
      </c>
      <c r="P316" t="s">
        <v>21</v>
      </c>
      <c r="Q316" t="s">
        <v>20</v>
      </c>
      <c r="R316" t="str">
        <f>HYPERLINK("https://cfpub.epa.gov/ecotox/explore.cfm?ncbi=254557","Explore in ECOTOX")</f>
        <v>Explore in ECOTOX</v>
      </c>
    </row>
    <row r="317" spans="1:18" x14ac:dyDescent="0.25">
      <c r="A317">
        <v>6</v>
      </c>
      <c r="B317" t="str">
        <f>HYPERLINK("http://www.ncbi.nlm.nih.gov/protein/NXS67468.1","NXS67468.1")</f>
        <v>NXS67468.1</v>
      </c>
      <c r="C317">
        <v>12873</v>
      </c>
      <c r="D317" t="str">
        <f>HYPERLINK("http://www.ncbi.nlm.nih.gov/Taxonomy/Browser/wwwtax.cgi?mode=Info&amp;id=56262&amp;lvl=3&amp;lin=f&amp;keep=1&amp;srchmode=1&amp;unlock","56262")</f>
        <v>56262</v>
      </c>
      <c r="E317" t="s">
        <v>167</v>
      </c>
      <c r="F317" t="s">
        <v>167</v>
      </c>
      <c r="G317" t="str">
        <f>HYPERLINK("http://www.ncbi.nlm.nih.gov/Taxonomy/Browser/wwwtax.cgi?mode=Info&amp;id=56262&amp;lvl=3&amp;lin=f&amp;keep=1&amp;srchmode=1&amp;unlock","Pandion haliaetus")</f>
        <v>Pandion haliaetus</v>
      </c>
      <c r="H317" t="s">
        <v>324</v>
      </c>
      <c r="I317" t="str">
        <f>HYPERLINK("http://www.ncbi.nlm.nih.gov/protein/NXS67468.1","FABPL protein")</f>
        <v>FABPL protein</v>
      </c>
      <c r="J317">
        <v>195.28</v>
      </c>
      <c r="K317" t="s">
        <v>25</v>
      </c>
      <c r="L317">
        <v>139</v>
      </c>
      <c r="M317">
        <v>50.68</v>
      </c>
      <c r="N317">
        <v>77.400000000000006</v>
      </c>
      <c r="O317" t="s">
        <v>20</v>
      </c>
      <c r="P317" t="s">
        <v>21</v>
      </c>
      <c r="Q317" t="s">
        <v>20</v>
      </c>
      <c r="R317" t="str">
        <f>HYPERLINK("https://cfpub.epa.gov/ecotox/explore.cfm?ncbi=56262","Explore in ECOTOX")</f>
        <v>Explore in ECOTOX</v>
      </c>
    </row>
    <row r="318" spans="1:18" x14ac:dyDescent="0.25">
      <c r="A318">
        <v>6</v>
      </c>
      <c r="B318" t="str">
        <f>HYPERLINK("http://www.ncbi.nlm.nih.gov/protein/NXQ51765.1","NXQ51765.1")</f>
        <v>NXQ51765.1</v>
      </c>
      <c r="C318">
        <v>13596</v>
      </c>
      <c r="D318" t="str">
        <f>HYPERLINK("http://www.ncbi.nlm.nih.gov/Taxonomy/Browser/wwwtax.cgi?mode=Info&amp;id=156561&amp;lvl=3&amp;lin=f&amp;keep=1&amp;srchmode=1&amp;unlock","156561")</f>
        <v>156561</v>
      </c>
      <c r="E318" t="s">
        <v>167</v>
      </c>
      <c r="F318" t="s">
        <v>167</v>
      </c>
      <c r="G318" t="str">
        <f>HYPERLINK("http://www.ncbi.nlm.nih.gov/Taxonomy/Browser/wwwtax.cgi?mode=Info&amp;id=156561&amp;lvl=3&amp;lin=f&amp;keep=1&amp;srchmode=1&amp;unlock","Anthoscopus minutus")</f>
        <v>Anthoscopus minutus</v>
      </c>
      <c r="H318" t="s">
        <v>325</v>
      </c>
      <c r="I318" t="str">
        <f>HYPERLINK("http://www.ncbi.nlm.nih.gov/protein/NXQ51765.1","FABPL protein")</f>
        <v>FABPL protein</v>
      </c>
      <c r="J318">
        <v>195.28</v>
      </c>
      <c r="K318" t="s">
        <v>25</v>
      </c>
      <c r="L318">
        <v>139</v>
      </c>
      <c r="M318">
        <v>50.68</v>
      </c>
      <c r="N318">
        <v>77.400000000000006</v>
      </c>
      <c r="O318" t="s">
        <v>20</v>
      </c>
      <c r="P318" t="s">
        <v>21</v>
      </c>
      <c r="Q318" t="s">
        <v>20</v>
      </c>
      <c r="R318" t="str">
        <f>HYPERLINK("https://cfpub.epa.gov/ecotox/explore.cfm?ncbi=156561","Explore in ECOTOX")</f>
        <v>Explore in ECOTOX</v>
      </c>
    </row>
    <row r="319" spans="1:18" x14ac:dyDescent="0.25">
      <c r="A319">
        <v>6</v>
      </c>
      <c r="B319" t="str">
        <f>HYPERLINK("http://www.ncbi.nlm.nih.gov/protein/NXM46825.1","NXM46825.1")</f>
        <v>NXM46825.1</v>
      </c>
      <c r="C319">
        <v>14416</v>
      </c>
      <c r="D319" t="str">
        <f>HYPERLINK("http://www.ncbi.nlm.nih.gov/Taxonomy/Browser/wwwtax.cgi?mode=Info&amp;id=9132&amp;lvl=3&amp;lin=f&amp;keep=1&amp;srchmode=1&amp;unlock","9132")</f>
        <v>9132</v>
      </c>
      <c r="E319" t="s">
        <v>167</v>
      </c>
      <c r="F319" t="s">
        <v>167</v>
      </c>
      <c r="G319" t="str">
        <f>HYPERLINK("http://www.ncbi.nlm.nih.gov/Taxonomy/Browser/wwwtax.cgi?mode=Info&amp;id=9132&amp;lvl=3&amp;lin=f&amp;keep=1&amp;srchmode=1&amp;unlock","Gymnorhina tibicen")</f>
        <v>Gymnorhina tibicen</v>
      </c>
      <c r="H319" t="s">
        <v>326</v>
      </c>
      <c r="I319" t="str">
        <f>HYPERLINK("http://www.ncbi.nlm.nih.gov/protein/NXM46825.1","FABPL protein")</f>
        <v>FABPL protein</v>
      </c>
      <c r="J319">
        <v>194.9</v>
      </c>
      <c r="K319" t="s">
        <v>25</v>
      </c>
      <c r="L319">
        <v>139</v>
      </c>
      <c r="M319">
        <v>50.68</v>
      </c>
      <c r="N319">
        <v>77.25</v>
      </c>
      <c r="O319" t="s">
        <v>20</v>
      </c>
      <c r="P319" t="s">
        <v>21</v>
      </c>
      <c r="Q319" t="s">
        <v>20</v>
      </c>
      <c r="R319" t="str">
        <f>HYPERLINK("https://cfpub.epa.gov/ecotox/explore.cfm?ncbi=9132","Explore in ECOTOX")</f>
        <v>Explore in ECOTOX</v>
      </c>
    </row>
    <row r="320" spans="1:18" x14ac:dyDescent="0.25">
      <c r="A320">
        <v>6</v>
      </c>
      <c r="B320" t="str">
        <f>HYPERLINK("http://www.ncbi.nlm.nih.gov/protein/NWT81898.1","NWT81898.1")</f>
        <v>NWT81898.1</v>
      </c>
      <c r="C320">
        <v>13729</v>
      </c>
      <c r="D320" t="str">
        <f>HYPERLINK("http://www.ncbi.nlm.nih.gov/Taxonomy/Browser/wwwtax.cgi?mode=Info&amp;id=28713&amp;lvl=3&amp;lin=f&amp;keep=1&amp;srchmode=1&amp;unlock","28713")</f>
        <v>28713</v>
      </c>
      <c r="E320" t="s">
        <v>167</v>
      </c>
      <c r="F320" t="s">
        <v>167</v>
      </c>
      <c r="G320" t="str">
        <f>HYPERLINK("http://www.ncbi.nlm.nih.gov/Taxonomy/Browser/wwwtax.cgi?mode=Info&amp;id=28713&amp;lvl=3&amp;lin=f&amp;keep=1&amp;srchmode=1&amp;unlock","Lanius ludovicianus")</f>
        <v>Lanius ludovicianus</v>
      </c>
      <c r="H320" t="s">
        <v>327</v>
      </c>
      <c r="I320" t="str">
        <f>HYPERLINK("http://www.ncbi.nlm.nih.gov/protein/NWT81898.1","FABPL protein")</f>
        <v>FABPL protein</v>
      </c>
      <c r="J320">
        <v>194.9</v>
      </c>
      <c r="K320" t="s">
        <v>25</v>
      </c>
      <c r="L320">
        <v>139</v>
      </c>
      <c r="M320">
        <v>50.68</v>
      </c>
      <c r="N320">
        <v>77.25</v>
      </c>
      <c r="O320" t="s">
        <v>20</v>
      </c>
      <c r="P320" t="s">
        <v>21</v>
      </c>
      <c r="Q320" t="s">
        <v>20</v>
      </c>
      <c r="R320" t="str">
        <f>HYPERLINK("https://cfpub.epa.gov/ecotox/explore.cfm?ncbi=28713","Explore in ECOTOX")</f>
        <v>Explore in ECOTOX</v>
      </c>
    </row>
    <row r="321" spans="1:18" x14ac:dyDescent="0.25">
      <c r="A321">
        <v>6</v>
      </c>
      <c r="B321" t="str">
        <f>HYPERLINK("http://www.ncbi.nlm.nih.gov/protein/NXJ28601.1","NXJ28601.1")</f>
        <v>NXJ28601.1</v>
      </c>
      <c r="C321">
        <v>14261</v>
      </c>
      <c r="D321" t="str">
        <f>HYPERLINK("http://www.ncbi.nlm.nih.gov/Taxonomy/Browser/wwwtax.cgi?mode=Info&amp;id=450177&amp;lvl=3&amp;lin=f&amp;keep=1&amp;srchmode=1&amp;unlock","450177")</f>
        <v>450177</v>
      </c>
      <c r="E321" t="s">
        <v>167</v>
      </c>
      <c r="F321" t="s">
        <v>167</v>
      </c>
      <c r="G321" t="str">
        <f>HYPERLINK("http://www.ncbi.nlm.nih.gov/Taxonomy/Browser/wwwtax.cgi?mode=Info&amp;id=450177&amp;lvl=3&amp;lin=f&amp;keep=1&amp;srchmode=1&amp;unlock","Dicrurus megarhynchus")</f>
        <v>Dicrurus megarhynchus</v>
      </c>
      <c r="H321" t="s">
        <v>206</v>
      </c>
      <c r="I321" t="str">
        <f>HYPERLINK("http://www.ncbi.nlm.nih.gov/protein/NXJ28601.1","FABPL protein")</f>
        <v>FABPL protein</v>
      </c>
      <c r="J321">
        <v>194.9</v>
      </c>
      <c r="K321" t="s">
        <v>25</v>
      </c>
      <c r="L321">
        <v>139</v>
      </c>
      <c r="M321">
        <v>50.68</v>
      </c>
      <c r="N321">
        <v>77.25</v>
      </c>
      <c r="O321" t="s">
        <v>20</v>
      </c>
      <c r="P321" t="s">
        <v>21</v>
      </c>
      <c r="Q321" t="s">
        <v>20</v>
      </c>
      <c r="R321" t="str">
        <f>HYPERLINK("https://cfpub.epa.gov/ecotox/explore.cfm?ncbi=450177","Explore in ECOTOX")</f>
        <v>Explore in ECOTOX</v>
      </c>
    </row>
    <row r="322" spans="1:18" x14ac:dyDescent="0.25">
      <c r="A322">
        <v>6</v>
      </c>
      <c r="B322" t="str">
        <f>HYPERLINK("http://www.ncbi.nlm.nih.gov/protein/NXE37928.1","NXE37928.1")</f>
        <v>NXE37928.1</v>
      </c>
      <c r="C322">
        <v>13533</v>
      </c>
      <c r="D322" t="str">
        <f>HYPERLINK("http://www.ncbi.nlm.nih.gov/Taxonomy/Browser/wwwtax.cgi?mode=Info&amp;id=449384&amp;lvl=3&amp;lin=f&amp;keep=1&amp;srchmode=1&amp;unlock","449384")</f>
        <v>449384</v>
      </c>
      <c r="E322" t="s">
        <v>167</v>
      </c>
      <c r="F322" t="s">
        <v>167</v>
      </c>
      <c r="G322" t="str">
        <f>HYPERLINK("http://www.ncbi.nlm.nih.gov/Taxonomy/Browser/wwwtax.cgi?mode=Info&amp;id=449384&amp;lvl=3&amp;lin=f&amp;keep=1&amp;srchmode=1&amp;unlock","Ptilorrhoa leucosticta")</f>
        <v>Ptilorrhoa leucosticta</v>
      </c>
      <c r="H322" t="s">
        <v>206</v>
      </c>
      <c r="I322" t="str">
        <f>HYPERLINK("http://www.ncbi.nlm.nih.gov/protein/NXE37928.1","FABPL protein")</f>
        <v>FABPL protein</v>
      </c>
      <c r="J322">
        <v>194.9</v>
      </c>
      <c r="K322" t="s">
        <v>25</v>
      </c>
      <c r="L322">
        <v>139</v>
      </c>
      <c r="M322">
        <v>50.68</v>
      </c>
      <c r="N322">
        <v>77.25</v>
      </c>
      <c r="O322" t="s">
        <v>20</v>
      </c>
      <c r="P322" t="s">
        <v>21</v>
      </c>
      <c r="Q322" t="s">
        <v>20</v>
      </c>
      <c r="R322" t="str">
        <f>HYPERLINK("https://cfpub.epa.gov/ecotox/explore.cfm?ncbi=449384","Explore in ECOTOX")</f>
        <v>Explore in ECOTOX</v>
      </c>
    </row>
    <row r="323" spans="1:18" x14ac:dyDescent="0.25">
      <c r="A323">
        <v>6</v>
      </c>
      <c r="B323" t="str">
        <f>HYPERLINK("http://www.ncbi.nlm.nih.gov/protein/NWQ68333.1","NWQ68333.1")</f>
        <v>NWQ68333.1</v>
      </c>
      <c r="C323">
        <v>14028</v>
      </c>
      <c r="D323" t="str">
        <f>HYPERLINK("http://www.ncbi.nlm.nih.gov/Taxonomy/Browser/wwwtax.cgi?mode=Info&amp;id=456388&amp;lvl=3&amp;lin=f&amp;keep=1&amp;srchmode=1&amp;unlock","456388")</f>
        <v>456388</v>
      </c>
      <c r="E323" t="s">
        <v>167</v>
      </c>
      <c r="F323" t="s">
        <v>167</v>
      </c>
      <c r="G323" t="str">
        <f>HYPERLINK("http://www.ncbi.nlm.nih.gov/Taxonomy/Browser/wwwtax.cgi?mode=Info&amp;id=456388&amp;lvl=3&amp;lin=f&amp;keep=1&amp;srchmode=1&amp;unlock","Neopipo cinnamomea")</f>
        <v>Neopipo cinnamomea</v>
      </c>
      <c r="H323" t="s">
        <v>206</v>
      </c>
      <c r="I323" t="str">
        <f>HYPERLINK("http://www.ncbi.nlm.nih.gov/protein/NWQ68333.1","FABPL protein")</f>
        <v>FABPL protein</v>
      </c>
      <c r="J323">
        <v>194.9</v>
      </c>
      <c r="K323" t="s">
        <v>20</v>
      </c>
      <c r="L323">
        <v>139</v>
      </c>
      <c r="M323">
        <v>50.68</v>
      </c>
      <c r="N323">
        <v>77.25</v>
      </c>
      <c r="O323" t="s">
        <v>20</v>
      </c>
      <c r="P323" t="s">
        <v>21</v>
      </c>
      <c r="Q323" t="s">
        <v>20</v>
      </c>
      <c r="R323" t="str">
        <f>HYPERLINK("https://cfpub.epa.gov/ecotox/explore.cfm?ncbi=456388","Explore in ECOTOX")</f>
        <v>Explore in ECOTOX</v>
      </c>
    </row>
    <row r="324" spans="1:18" x14ac:dyDescent="0.25">
      <c r="A324">
        <v>6</v>
      </c>
      <c r="B324" t="str">
        <f>HYPERLINK("http://www.ncbi.nlm.nih.gov/protein/XP_040411987.1","XP_040411987.1")</f>
        <v>XP_040411987.1</v>
      </c>
      <c r="C324">
        <v>47842</v>
      </c>
      <c r="D324" t="str">
        <f>HYPERLINK("http://www.ncbi.nlm.nih.gov/Taxonomy/Browser/wwwtax.cgi?mode=Info&amp;id=8869&amp;lvl=3&amp;lin=f&amp;keep=1&amp;srchmode=1&amp;unlock","8869")</f>
        <v>8869</v>
      </c>
      <c r="E324" t="s">
        <v>167</v>
      </c>
      <c r="F324" t="s">
        <v>167</v>
      </c>
      <c r="G324" t="str">
        <f>HYPERLINK("http://www.ncbi.nlm.nih.gov/Taxonomy/Browser/wwwtax.cgi?mode=Info&amp;id=8869&amp;lvl=3&amp;lin=f&amp;keep=1&amp;srchmode=1&amp;unlock","Cygnus olor")</f>
        <v>Cygnus olor</v>
      </c>
      <c r="H324" t="s">
        <v>328</v>
      </c>
      <c r="I324" t="str">
        <f>HYPERLINK("http://www.ncbi.nlm.nih.gov/protein/XP_040411987.1","fatty acid-binding protein, liver")</f>
        <v>fatty acid-binding protein, liver</v>
      </c>
      <c r="J324">
        <v>194.51</v>
      </c>
      <c r="K324" t="s">
        <v>25</v>
      </c>
      <c r="L324">
        <v>139</v>
      </c>
      <c r="M324">
        <v>50.68</v>
      </c>
      <c r="N324">
        <v>77.099999999999994</v>
      </c>
      <c r="O324" t="s">
        <v>20</v>
      </c>
      <c r="P324" t="s">
        <v>21</v>
      </c>
      <c r="Q324" t="s">
        <v>20</v>
      </c>
      <c r="R324" t="str">
        <f>HYPERLINK("https://cfpub.epa.gov/ecotox/explore.cfm?ncbi=8869","Explore in ECOTOX")</f>
        <v>Explore in ECOTOX</v>
      </c>
    </row>
    <row r="325" spans="1:18" x14ac:dyDescent="0.25">
      <c r="A325">
        <v>6</v>
      </c>
      <c r="B325" t="str">
        <f>HYPERLINK("http://www.ncbi.nlm.nih.gov/protein/NXE98410.1","NXE98410.1")</f>
        <v>NXE98410.1</v>
      </c>
      <c r="C325">
        <v>14528</v>
      </c>
      <c r="D325" t="str">
        <f>HYPERLINK("http://www.ncbi.nlm.nih.gov/Taxonomy/Browser/wwwtax.cgi?mode=Info&amp;id=47692&amp;lvl=3&amp;lin=f&amp;keep=1&amp;srchmode=1&amp;unlock","47692")</f>
        <v>47692</v>
      </c>
      <c r="E325" t="s">
        <v>167</v>
      </c>
      <c r="F325" t="s">
        <v>167</v>
      </c>
      <c r="G325" t="str">
        <f>HYPERLINK("http://www.ncbi.nlm.nih.gov/Taxonomy/Browser/wwwtax.cgi?mode=Info&amp;id=47692&amp;lvl=3&amp;lin=f&amp;keep=1&amp;srchmode=1&amp;unlock","Menura novaehollandiae")</f>
        <v>Menura novaehollandiae</v>
      </c>
      <c r="H325" t="s">
        <v>329</v>
      </c>
      <c r="I325" t="str">
        <f>HYPERLINK("http://www.ncbi.nlm.nih.gov/protein/NXE98410.1","FABPL protein")</f>
        <v>FABPL protein</v>
      </c>
      <c r="J325">
        <v>194.51</v>
      </c>
      <c r="K325" t="s">
        <v>25</v>
      </c>
      <c r="L325">
        <v>139</v>
      </c>
      <c r="M325">
        <v>50.68</v>
      </c>
      <c r="N325">
        <v>77.099999999999994</v>
      </c>
      <c r="O325" t="s">
        <v>20</v>
      </c>
      <c r="P325" t="s">
        <v>21</v>
      </c>
      <c r="Q325" t="s">
        <v>20</v>
      </c>
      <c r="R325" t="str">
        <f>HYPERLINK("https://cfpub.epa.gov/ecotox/explore.cfm?ncbi=47692","Explore in ECOTOX")</f>
        <v>Explore in ECOTOX</v>
      </c>
    </row>
    <row r="326" spans="1:18" x14ac:dyDescent="0.25">
      <c r="A326">
        <v>6</v>
      </c>
      <c r="B326" t="str">
        <f>HYPERLINK("http://www.ncbi.nlm.nih.gov/protein/XP_032632769.1","XP_032632769.1")</f>
        <v>XP_032632769.1</v>
      </c>
      <c r="C326">
        <v>44406</v>
      </c>
      <c r="D326" t="str">
        <f>HYPERLINK("http://www.ncbi.nlm.nih.gov/Taxonomy/Browser/wwwtax.cgi?mode=Info&amp;id=106734&amp;lvl=3&amp;lin=f&amp;keep=1&amp;srchmode=1&amp;unlock","106734")</f>
        <v>106734</v>
      </c>
      <c r="E326" t="s">
        <v>321</v>
      </c>
      <c r="F326" t="s">
        <v>321</v>
      </c>
      <c r="G326" t="str">
        <f>HYPERLINK("http://www.ncbi.nlm.nih.gov/Taxonomy/Browser/wwwtax.cgi?mode=Info&amp;id=106734&amp;lvl=3&amp;lin=f&amp;keep=1&amp;srchmode=1&amp;unlock","Chelonoidis abingdonii")</f>
        <v>Chelonoidis abingdonii</v>
      </c>
      <c r="H326" t="s">
        <v>330</v>
      </c>
      <c r="I326" t="str">
        <f>HYPERLINK("http://www.ncbi.nlm.nih.gov/protein/XP_032632769.1","fatty acid-binding protein, liver")</f>
        <v>fatty acid-binding protein, liver</v>
      </c>
      <c r="J326">
        <v>194.51</v>
      </c>
      <c r="K326" t="s">
        <v>20</v>
      </c>
      <c r="L326">
        <v>139</v>
      </c>
      <c r="M326">
        <v>50.68</v>
      </c>
      <c r="N326">
        <v>77.099999999999994</v>
      </c>
      <c r="O326" t="s">
        <v>20</v>
      </c>
      <c r="P326" t="s">
        <v>21</v>
      </c>
      <c r="Q326" t="s">
        <v>20</v>
      </c>
      <c r="R326" t="str">
        <f>HYPERLINK("https://cfpub.epa.gov/ecotox/explore.cfm?ncbi=106734","Explore in ECOTOX")</f>
        <v>Explore in ECOTOX</v>
      </c>
    </row>
    <row r="327" spans="1:18" x14ac:dyDescent="0.25">
      <c r="A327">
        <v>6</v>
      </c>
      <c r="B327" t="str">
        <f>HYPERLINK("http://www.ncbi.nlm.nih.gov/protein/NXU18073.1","NXU18073.1")</f>
        <v>NXU18073.1</v>
      </c>
      <c r="C327">
        <v>13722</v>
      </c>
      <c r="D327" t="str">
        <f>HYPERLINK("http://www.ncbi.nlm.nih.gov/Taxonomy/Browser/wwwtax.cgi?mode=Info&amp;id=254575&amp;lvl=3&amp;lin=f&amp;keep=1&amp;srchmode=1&amp;unlock","254575")</f>
        <v>254575</v>
      </c>
      <c r="E327" t="s">
        <v>167</v>
      </c>
      <c r="F327" t="s">
        <v>167</v>
      </c>
      <c r="G327" t="str">
        <f>HYPERLINK("http://www.ncbi.nlm.nih.gov/Taxonomy/Browser/wwwtax.cgi?mode=Info&amp;id=254575&amp;lvl=3&amp;lin=f&amp;keep=1&amp;srchmode=1&amp;unlock","Pardalotus punctatus")</f>
        <v>Pardalotus punctatus</v>
      </c>
      <c r="H327" t="s">
        <v>331</v>
      </c>
      <c r="I327" t="str">
        <f>HYPERLINK("http://www.ncbi.nlm.nih.gov/protein/NXU18073.1","FABPL protein")</f>
        <v>FABPL protein</v>
      </c>
      <c r="J327">
        <v>194.51</v>
      </c>
      <c r="K327" t="s">
        <v>25</v>
      </c>
      <c r="L327">
        <v>139</v>
      </c>
      <c r="M327">
        <v>50.68</v>
      </c>
      <c r="N327">
        <v>77.099999999999994</v>
      </c>
      <c r="O327" t="s">
        <v>20</v>
      </c>
      <c r="P327" t="s">
        <v>21</v>
      </c>
      <c r="Q327" t="s">
        <v>20</v>
      </c>
      <c r="R327" t="str">
        <f>HYPERLINK("https://cfpub.epa.gov/ecotox/explore.cfm?ncbi=254575","Explore in ECOTOX")</f>
        <v>Explore in ECOTOX</v>
      </c>
    </row>
    <row r="328" spans="1:18" x14ac:dyDescent="0.25">
      <c r="A328">
        <v>6</v>
      </c>
      <c r="B328" t="str">
        <f>HYPERLINK("http://www.ncbi.nlm.nih.gov/protein/NXC60423.1","NXC60423.1")</f>
        <v>NXC60423.1</v>
      </c>
      <c r="C328">
        <v>13927</v>
      </c>
      <c r="D328" t="str">
        <f>HYPERLINK("http://www.ncbi.nlm.nih.gov/Taxonomy/Browser/wwwtax.cgi?mode=Info&amp;id=461220&amp;lvl=3&amp;lin=f&amp;keep=1&amp;srchmode=1&amp;unlock","461220")</f>
        <v>461220</v>
      </c>
      <c r="E328" t="s">
        <v>167</v>
      </c>
      <c r="F328" t="s">
        <v>167</v>
      </c>
      <c r="G328" t="str">
        <f>HYPERLINK("http://www.ncbi.nlm.nih.gov/Taxonomy/Browser/wwwtax.cgi?mode=Info&amp;id=461220&amp;lvl=3&amp;lin=f&amp;keep=1&amp;srchmode=1&amp;unlock","Aleadryas rufinucha")</f>
        <v>Aleadryas rufinucha</v>
      </c>
      <c r="H328" t="s">
        <v>332</v>
      </c>
      <c r="I328" t="str">
        <f>HYPERLINK("http://www.ncbi.nlm.nih.gov/protein/NXC60423.1","FABPL protein")</f>
        <v>FABPL protein</v>
      </c>
      <c r="J328">
        <v>194.13</v>
      </c>
      <c r="K328" t="s">
        <v>25</v>
      </c>
      <c r="L328">
        <v>139</v>
      </c>
      <c r="M328">
        <v>50.68</v>
      </c>
      <c r="N328">
        <v>76.94</v>
      </c>
      <c r="O328" t="s">
        <v>20</v>
      </c>
      <c r="P328" t="s">
        <v>21</v>
      </c>
      <c r="Q328" t="s">
        <v>20</v>
      </c>
      <c r="R328" t="str">
        <f>HYPERLINK("https://cfpub.epa.gov/ecotox/explore.cfm?ncbi=461220","Explore in ECOTOX")</f>
        <v>Explore in ECOTOX</v>
      </c>
    </row>
    <row r="329" spans="1:18" x14ac:dyDescent="0.25">
      <c r="A329">
        <v>6</v>
      </c>
      <c r="B329" t="str">
        <f>HYPERLINK("http://www.ncbi.nlm.nih.gov/protein/KAF7239039.1","KAF7239039.1")</f>
        <v>KAF7239039.1</v>
      </c>
      <c r="C329">
        <v>18342</v>
      </c>
      <c r="D329" t="str">
        <f>HYPERLINK("http://www.ncbi.nlm.nih.gov/Taxonomy/Browser/wwwtax.cgi?mode=Info&amp;id=61221&amp;lvl=3&amp;lin=f&amp;keep=1&amp;srchmode=1&amp;unlock","61221")</f>
        <v>61221</v>
      </c>
      <c r="E329" t="s">
        <v>236</v>
      </c>
      <c r="F329" t="s">
        <v>236</v>
      </c>
      <c r="G329" t="str">
        <f>HYPERLINK("http://www.ncbi.nlm.nih.gov/Taxonomy/Browser/wwwtax.cgi?mode=Info&amp;id=61221&amp;lvl=3&amp;lin=f&amp;keep=1&amp;srchmode=1&amp;unlock","Varanus komodoensis")</f>
        <v>Varanus komodoensis</v>
      </c>
      <c r="H329" t="s">
        <v>333</v>
      </c>
      <c r="I329" t="str">
        <f>HYPERLINK("http://www.ncbi.nlm.nih.gov/protein/KAF7239039.1","Fatty acid-binding protein, liver")</f>
        <v>Fatty acid-binding protein, liver</v>
      </c>
      <c r="J329">
        <v>194.13</v>
      </c>
      <c r="K329" t="s">
        <v>25</v>
      </c>
      <c r="L329">
        <v>139</v>
      </c>
      <c r="M329">
        <v>50.68</v>
      </c>
      <c r="N329">
        <v>76.94</v>
      </c>
      <c r="O329" t="s">
        <v>20</v>
      </c>
      <c r="P329" t="s">
        <v>21</v>
      </c>
      <c r="Q329" t="s">
        <v>20</v>
      </c>
      <c r="R329" t="str">
        <f>HYPERLINK("https://cfpub.epa.gov/ecotox/explore.cfm?ncbi=61221","Explore in ECOTOX")</f>
        <v>Explore in ECOTOX</v>
      </c>
    </row>
    <row r="330" spans="1:18" x14ac:dyDescent="0.25">
      <c r="A330">
        <v>6</v>
      </c>
      <c r="B330" t="str">
        <f>HYPERLINK("http://www.ncbi.nlm.nih.gov/protein/XP_010579042.1","XP_010579042.1")</f>
        <v>XP_010579042.1</v>
      </c>
      <c r="C330">
        <v>25384</v>
      </c>
      <c r="D330" t="str">
        <f>HYPERLINK("http://www.ncbi.nlm.nih.gov/Taxonomy/Browser/wwwtax.cgi?mode=Info&amp;id=52644&amp;lvl=3&amp;lin=f&amp;keep=1&amp;srchmode=1&amp;unlock","52644")</f>
        <v>52644</v>
      </c>
      <c r="E330" t="s">
        <v>167</v>
      </c>
      <c r="F330" t="s">
        <v>167</v>
      </c>
      <c r="G330" t="str">
        <f>HYPERLINK("http://www.ncbi.nlm.nih.gov/Taxonomy/Browser/wwwtax.cgi?mode=Info&amp;id=52644&amp;lvl=3&amp;lin=f&amp;keep=1&amp;srchmode=1&amp;unlock","Haliaeetus leucocephalus")</f>
        <v>Haliaeetus leucocephalus</v>
      </c>
      <c r="H330" t="s">
        <v>334</v>
      </c>
      <c r="I330" t="str">
        <f>HYPERLINK("http://www.ncbi.nlm.nih.gov/protein/XP_010579042.1","PREDICTED: fatty acid-binding protein, liver")</f>
        <v>PREDICTED: fatty acid-binding protein, liver</v>
      </c>
      <c r="J330">
        <v>194.13</v>
      </c>
      <c r="K330" t="s">
        <v>25</v>
      </c>
      <c r="L330">
        <v>139</v>
      </c>
      <c r="M330">
        <v>50.68</v>
      </c>
      <c r="N330">
        <v>76.94</v>
      </c>
      <c r="O330" t="s">
        <v>20</v>
      </c>
      <c r="P330" t="s">
        <v>21</v>
      </c>
      <c r="Q330" t="s">
        <v>20</v>
      </c>
      <c r="R330" t="str">
        <f>HYPERLINK("https://cfpub.epa.gov/ecotox/explore.cfm?ncbi=52644","Explore in ECOTOX")</f>
        <v>Explore in ECOTOX</v>
      </c>
    </row>
    <row r="331" spans="1:18" x14ac:dyDescent="0.25">
      <c r="A331">
        <v>6</v>
      </c>
      <c r="B331" t="str">
        <f>HYPERLINK("http://www.ncbi.nlm.nih.gov/protein/NXY53734.1","NXY53734.1")</f>
        <v>NXY53734.1</v>
      </c>
      <c r="C331">
        <v>14612</v>
      </c>
      <c r="D331" t="str">
        <f>HYPERLINK("http://www.ncbi.nlm.nih.gov/Taxonomy/Browser/wwwtax.cgi?mode=Info&amp;id=1347786&amp;lvl=3&amp;lin=f&amp;keep=1&amp;srchmode=1&amp;unlock","1347786")</f>
        <v>1347786</v>
      </c>
      <c r="E331" t="s">
        <v>167</v>
      </c>
      <c r="F331" t="s">
        <v>167</v>
      </c>
      <c r="G331" t="str">
        <f>HYPERLINK("http://www.ncbi.nlm.nih.gov/Taxonomy/Browser/wwwtax.cgi?mode=Info&amp;id=1347786&amp;lvl=3&amp;lin=f&amp;keep=1&amp;srchmode=1&amp;unlock","Callaeas wilsoni")</f>
        <v>Callaeas wilsoni</v>
      </c>
      <c r="H331" t="s">
        <v>335</v>
      </c>
      <c r="I331" t="str">
        <f>HYPERLINK("http://www.ncbi.nlm.nih.gov/protein/NXY53734.1","FABPL protein")</f>
        <v>FABPL protein</v>
      </c>
      <c r="J331">
        <v>194.13</v>
      </c>
      <c r="K331" t="s">
        <v>25</v>
      </c>
      <c r="L331">
        <v>139</v>
      </c>
      <c r="M331">
        <v>50.68</v>
      </c>
      <c r="N331">
        <v>76.94</v>
      </c>
      <c r="O331" t="s">
        <v>20</v>
      </c>
      <c r="P331" t="s">
        <v>21</v>
      </c>
      <c r="Q331" t="s">
        <v>20</v>
      </c>
      <c r="R331" t="str">
        <f>HYPERLINK("https://cfpub.epa.gov/ecotox/explore.cfm?ncbi=1347786","Explore in ECOTOX")</f>
        <v>Explore in ECOTOX</v>
      </c>
    </row>
    <row r="332" spans="1:18" x14ac:dyDescent="0.25">
      <c r="A332">
        <v>6</v>
      </c>
      <c r="B332" t="str">
        <f>HYPERLINK("http://www.ncbi.nlm.nih.gov/protein/NWU19747.1","NWU19747.1")</f>
        <v>NWU19747.1</v>
      </c>
      <c r="C332">
        <v>14053</v>
      </c>
      <c r="D332" t="str">
        <f>HYPERLINK("http://www.ncbi.nlm.nih.gov/Taxonomy/Browser/wwwtax.cgi?mode=Info&amp;id=1160851&amp;lvl=3&amp;lin=f&amp;keep=1&amp;srchmode=1&amp;unlock","1160851")</f>
        <v>1160851</v>
      </c>
      <c r="E332" t="s">
        <v>167</v>
      </c>
      <c r="F332" t="s">
        <v>167</v>
      </c>
      <c r="G332" t="str">
        <f>HYPERLINK("http://www.ncbi.nlm.nih.gov/Taxonomy/Browser/wwwtax.cgi?mode=Info&amp;id=1160851&amp;lvl=3&amp;lin=f&amp;keep=1&amp;srchmode=1&amp;unlock","Platysteira castanea")</f>
        <v>Platysteira castanea</v>
      </c>
      <c r="H332" t="s">
        <v>206</v>
      </c>
      <c r="I332" t="str">
        <f>HYPERLINK("http://www.ncbi.nlm.nih.gov/protein/NWU19747.1","FABPL protein")</f>
        <v>FABPL protein</v>
      </c>
      <c r="J332">
        <v>194.13</v>
      </c>
      <c r="K332" t="s">
        <v>25</v>
      </c>
      <c r="L332">
        <v>139</v>
      </c>
      <c r="M332">
        <v>50.68</v>
      </c>
      <c r="N332">
        <v>76.94</v>
      </c>
      <c r="O332" t="s">
        <v>20</v>
      </c>
      <c r="P332" t="s">
        <v>21</v>
      </c>
      <c r="Q332" t="s">
        <v>20</v>
      </c>
      <c r="R332" t="str">
        <f>HYPERLINK("https://cfpub.epa.gov/ecotox/explore.cfm?ncbi=1160851","Explore in ECOTOX")</f>
        <v>Explore in ECOTOX</v>
      </c>
    </row>
    <row r="333" spans="1:18" x14ac:dyDescent="0.25">
      <c r="A333">
        <v>6</v>
      </c>
      <c r="B333" t="str">
        <f>HYPERLINK("http://www.ncbi.nlm.nih.gov/protein/XP_025968447.1","XP_025968447.1")</f>
        <v>XP_025968447.1</v>
      </c>
      <c r="C333">
        <v>45135</v>
      </c>
      <c r="D333" t="str">
        <f>HYPERLINK("http://www.ncbi.nlm.nih.gov/Taxonomy/Browser/wwwtax.cgi?mode=Info&amp;id=8790&amp;lvl=3&amp;lin=f&amp;keep=1&amp;srchmode=1&amp;unlock","8790")</f>
        <v>8790</v>
      </c>
      <c r="E333" t="s">
        <v>167</v>
      </c>
      <c r="F333" t="s">
        <v>167</v>
      </c>
      <c r="G333" t="str">
        <f>HYPERLINK("http://www.ncbi.nlm.nih.gov/Taxonomy/Browser/wwwtax.cgi?mode=Info&amp;id=8790&amp;lvl=3&amp;lin=f&amp;keep=1&amp;srchmode=1&amp;unlock","Dromaius novaehollandiae")</f>
        <v>Dromaius novaehollandiae</v>
      </c>
      <c r="H333" t="s">
        <v>336</v>
      </c>
      <c r="I333" t="str">
        <f>HYPERLINK("http://www.ncbi.nlm.nih.gov/protein/XP_025968447.1","fatty acid-binding protein, liver")</f>
        <v>fatty acid-binding protein, liver</v>
      </c>
      <c r="J333">
        <v>194.13</v>
      </c>
      <c r="K333" t="s">
        <v>25</v>
      </c>
      <c r="L333">
        <v>139</v>
      </c>
      <c r="M333">
        <v>50.68</v>
      </c>
      <c r="N333">
        <v>76.94</v>
      </c>
      <c r="O333" t="s">
        <v>20</v>
      </c>
      <c r="P333" t="s">
        <v>21</v>
      </c>
      <c r="Q333" t="s">
        <v>20</v>
      </c>
      <c r="R333" t="str">
        <f>HYPERLINK("https://cfpub.epa.gov/ecotox/explore.cfm?ncbi=8790","Explore in ECOTOX")</f>
        <v>Explore in ECOTOX</v>
      </c>
    </row>
    <row r="334" spans="1:18" x14ac:dyDescent="0.25">
      <c r="A334">
        <v>6</v>
      </c>
      <c r="B334" t="str">
        <f>HYPERLINK("http://www.ncbi.nlm.nih.gov/protein/XP_009913497.1","XP_009913497.1")</f>
        <v>XP_009913497.1</v>
      </c>
      <c r="C334">
        <v>45028</v>
      </c>
      <c r="D334" t="str">
        <f>HYPERLINK("http://www.ncbi.nlm.nih.gov/Taxonomy/Browser/wwwtax.cgi?mode=Info&amp;id=8969&amp;lvl=3&amp;lin=f&amp;keep=1&amp;srchmode=1&amp;unlock","8969")</f>
        <v>8969</v>
      </c>
      <c r="E334" t="s">
        <v>167</v>
      </c>
      <c r="F334" t="s">
        <v>167</v>
      </c>
      <c r="G334" t="str">
        <f>HYPERLINK("http://www.ncbi.nlm.nih.gov/Taxonomy/Browser/wwwtax.cgi?mode=Info&amp;id=8969&amp;lvl=3&amp;lin=f&amp;keep=1&amp;srchmode=1&amp;unlock","Haliaeetus albicilla")</f>
        <v>Haliaeetus albicilla</v>
      </c>
      <c r="H334" t="s">
        <v>337</v>
      </c>
      <c r="I334" t="str">
        <f>HYPERLINK("http://www.ncbi.nlm.nih.gov/protein/XP_009913497.1","PREDICTED: fatty acid-binding protein, liver")</f>
        <v>PREDICTED: fatty acid-binding protein, liver</v>
      </c>
      <c r="J334">
        <v>194.13</v>
      </c>
      <c r="K334" t="s">
        <v>25</v>
      </c>
      <c r="L334">
        <v>139</v>
      </c>
      <c r="M334">
        <v>50.68</v>
      </c>
      <c r="N334">
        <v>76.94</v>
      </c>
      <c r="O334" t="s">
        <v>20</v>
      </c>
      <c r="P334" t="s">
        <v>21</v>
      </c>
      <c r="Q334" t="s">
        <v>20</v>
      </c>
      <c r="R334" t="str">
        <f>HYPERLINK("https://cfpub.epa.gov/ecotox/explore.cfm?ncbi=8969","Explore in ECOTOX")</f>
        <v>Explore in ECOTOX</v>
      </c>
    </row>
    <row r="335" spans="1:18" x14ac:dyDescent="0.25">
      <c r="A335">
        <v>6</v>
      </c>
      <c r="B335" t="str">
        <f>HYPERLINK("http://www.ncbi.nlm.nih.gov/protein/XP_030048428.1","XP_030048428.1")</f>
        <v>XP_030048428.1</v>
      </c>
      <c r="C335">
        <v>37123</v>
      </c>
      <c r="D335" t="str">
        <f>HYPERLINK("http://www.ncbi.nlm.nih.gov/Taxonomy/Browser/wwwtax.cgi?mode=Info&amp;id=1415580&amp;lvl=3&amp;lin=f&amp;keep=1&amp;srchmode=1&amp;unlock","1415580")</f>
        <v>1415580</v>
      </c>
      <c r="E335" t="s">
        <v>134</v>
      </c>
      <c r="F335" t="s">
        <v>134</v>
      </c>
      <c r="G335" t="str">
        <f>HYPERLINK("http://www.ncbi.nlm.nih.gov/Taxonomy/Browser/wwwtax.cgi?mode=Info&amp;id=1415580&amp;lvl=3&amp;lin=f&amp;keep=1&amp;srchmode=1&amp;unlock","Microcaecilia unicolor")</f>
        <v>Microcaecilia unicolor</v>
      </c>
      <c r="H335" t="s">
        <v>338</v>
      </c>
      <c r="I335" t="str">
        <f>HYPERLINK("http://www.ncbi.nlm.nih.gov/protein/XP_030048428.1","fatty acid-binding protein 1, liver-like")</f>
        <v>fatty acid-binding protein 1, liver-like</v>
      </c>
      <c r="J335">
        <v>193.74</v>
      </c>
      <c r="K335" t="s">
        <v>20</v>
      </c>
      <c r="L335">
        <v>139</v>
      </c>
      <c r="M335">
        <v>50.68</v>
      </c>
      <c r="N335">
        <v>76.790000000000006</v>
      </c>
      <c r="O335" t="s">
        <v>20</v>
      </c>
      <c r="P335" t="s">
        <v>21</v>
      </c>
      <c r="Q335" t="s">
        <v>20</v>
      </c>
      <c r="R335" t="str">
        <f>HYPERLINK("https://cfpub.epa.gov/ecotox/explore.cfm?ncbi=1415580","Explore in ECOTOX")</f>
        <v>Explore in ECOTOX</v>
      </c>
    </row>
    <row r="336" spans="1:18" x14ac:dyDescent="0.25">
      <c r="A336">
        <v>6</v>
      </c>
      <c r="B336" t="str">
        <f>HYPERLINK("http://www.ncbi.nlm.nih.gov/protein/NXT02429.1","NXT02429.1")</f>
        <v>NXT02429.1</v>
      </c>
      <c r="C336">
        <v>13322</v>
      </c>
      <c r="D336" t="str">
        <f>HYPERLINK("http://www.ncbi.nlm.nih.gov/Taxonomy/Browser/wwwtax.cgi?mode=Info&amp;id=54508&amp;lvl=3&amp;lin=f&amp;keep=1&amp;srchmode=1&amp;unlock","54508")</f>
        <v>54508</v>
      </c>
      <c r="E336" t="s">
        <v>167</v>
      </c>
      <c r="F336" t="s">
        <v>167</v>
      </c>
      <c r="G336" t="str">
        <f>HYPERLINK("http://www.ncbi.nlm.nih.gov/Taxonomy/Browser/wwwtax.cgi?mode=Info&amp;id=54508&amp;lvl=3&amp;lin=f&amp;keep=1&amp;srchmode=1&amp;unlock","Jacana jacana")</f>
        <v>Jacana jacana</v>
      </c>
      <c r="H336" t="s">
        <v>339</v>
      </c>
      <c r="I336" t="str">
        <f>HYPERLINK("http://www.ncbi.nlm.nih.gov/protein/NXT02429.1","FABPL protein")</f>
        <v>FABPL protein</v>
      </c>
      <c r="J336">
        <v>193.74</v>
      </c>
      <c r="K336" t="s">
        <v>20</v>
      </c>
      <c r="L336">
        <v>139</v>
      </c>
      <c r="M336">
        <v>50.68</v>
      </c>
      <c r="N336">
        <v>76.790000000000006</v>
      </c>
      <c r="O336" t="s">
        <v>20</v>
      </c>
      <c r="P336" t="s">
        <v>21</v>
      </c>
      <c r="Q336" t="s">
        <v>20</v>
      </c>
      <c r="R336" t="str">
        <f>HYPERLINK("https://cfpub.epa.gov/ecotox/explore.cfm?ncbi=54508","Explore in ECOTOX")</f>
        <v>Explore in ECOTOX</v>
      </c>
    </row>
    <row r="337" spans="1:18" x14ac:dyDescent="0.25">
      <c r="A337">
        <v>6</v>
      </c>
      <c r="B337" t="str">
        <f>HYPERLINK("http://www.ncbi.nlm.nih.gov/protein/XP_009871113.1","XP_009871113.1")</f>
        <v>XP_009871113.1</v>
      </c>
      <c r="C337">
        <v>26533</v>
      </c>
      <c r="D337" t="str">
        <f>HYPERLINK("http://www.ncbi.nlm.nih.gov/Taxonomy/Browser/wwwtax.cgi?mode=Info&amp;id=57397&amp;lvl=3&amp;lin=f&amp;keep=1&amp;srchmode=1&amp;unlock","57397")</f>
        <v>57397</v>
      </c>
      <c r="E337" t="s">
        <v>167</v>
      </c>
      <c r="F337" t="s">
        <v>167</v>
      </c>
      <c r="G337" t="str">
        <f>HYPERLINK("http://www.ncbi.nlm.nih.gov/Taxonomy/Browser/wwwtax.cgi?mode=Info&amp;id=57397&amp;lvl=3&amp;lin=f&amp;keep=1&amp;srchmode=1&amp;unlock","Apaloderma vittatum")</f>
        <v>Apaloderma vittatum</v>
      </c>
      <c r="H337" t="s">
        <v>340</v>
      </c>
      <c r="I337" t="str">
        <f>HYPERLINK("http://www.ncbi.nlm.nih.gov/protein/XP_009871113.1","PREDICTED: fatty acid-binding protein, liver")</f>
        <v>PREDICTED: fatty acid-binding protein, liver</v>
      </c>
      <c r="J337">
        <v>193.74</v>
      </c>
      <c r="K337" t="s">
        <v>20</v>
      </c>
      <c r="L337">
        <v>139</v>
      </c>
      <c r="M337">
        <v>50.68</v>
      </c>
      <c r="N337">
        <v>76.790000000000006</v>
      </c>
      <c r="O337" t="s">
        <v>20</v>
      </c>
      <c r="P337" t="s">
        <v>21</v>
      </c>
      <c r="Q337" t="s">
        <v>20</v>
      </c>
      <c r="R337" t="str">
        <f>HYPERLINK("https://cfpub.epa.gov/ecotox/explore.cfm?ncbi=57397","Explore in ECOTOX")</f>
        <v>Explore in ECOTOX</v>
      </c>
    </row>
    <row r="338" spans="1:18" x14ac:dyDescent="0.25">
      <c r="A338">
        <v>6</v>
      </c>
      <c r="B338" t="str">
        <f>HYPERLINK("http://www.ncbi.nlm.nih.gov/protein/XP_014731737.1","XP_014731737.1")</f>
        <v>XP_014731737.1</v>
      </c>
      <c r="C338">
        <v>26793</v>
      </c>
      <c r="D338" t="str">
        <f>HYPERLINK("http://www.ncbi.nlm.nih.gov/Taxonomy/Browser/wwwtax.cgi?mode=Info&amp;id=9172&amp;lvl=3&amp;lin=f&amp;keep=1&amp;srchmode=1&amp;unlock","9172")</f>
        <v>9172</v>
      </c>
      <c r="E338" t="s">
        <v>167</v>
      </c>
      <c r="F338" t="s">
        <v>167</v>
      </c>
      <c r="G338" t="str">
        <f>HYPERLINK("http://www.ncbi.nlm.nih.gov/Taxonomy/Browser/wwwtax.cgi?mode=Info&amp;id=9172&amp;lvl=3&amp;lin=f&amp;keep=1&amp;srchmode=1&amp;unlock","Sturnus vulgaris")</f>
        <v>Sturnus vulgaris</v>
      </c>
      <c r="H338" t="s">
        <v>341</v>
      </c>
      <c r="I338" t="str">
        <f>HYPERLINK("http://www.ncbi.nlm.nih.gov/protein/XP_014731737.1","PREDICTED: fatty acid-binding protein, liver")</f>
        <v>PREDICTED: fatty acid-binding protein, liver</v>
      </c>
      <c r="J338">
        <v>193.74</v>
      </c>
      <c r="K338" t="s">
        <v>25</v>
      </c>
      <c r="L338">
        <v>139</v>
      </c>
      <c r="M338">
        <v>50.68</v>
      </c>
      <c r="N338">
        <v>76.790000000000006</v>
      </c>
      <c r="O338" t="s">
        <v>20</v>
      </c>
      <c r="P338" t="s">
        <v>21</v>
      </c>
      <c r="Q338" t="s">
        <v>20</v>
      </c>
      <c r="R338" t="str">
        <f>HYPERLINK("https://cfpub.epa.gov/ecotox/explore.cfm?ncbi=9172","Explore in ECOTOX")</f>
        <v>Explore in ECOTOX</v>
      </c>
    </row>
    <row r="339" spans="1:18" x14ac:dyDescent="0.25">
      <c r="A339">
        <v>6</v>
      </c>
      <c r="B339" t="str">
        <f>HYPERLINK("http://www.ncbi.nlm.nih.gov/protein/XP_023962249.1","XP_023962249.1")</f>
        <v>XP_023962249.1</v>
      </c>
      <c r="C339">
        <v>46669</v>
      </c>
      <c r="D339" t="str">
        <f>HYPERLINK("http://www.ncbi.nlm.nih.gov/Taxonomy/Browser/wwwtax.cgi?mode=Info&amp;id=8478&amp;lvl=3&amp;lin=f&amp;keep=1&amp;srchmode=1&amp;unlock","8478")</f>
        <v>8478</v>
      </c>
      <c r="E339" t="s">
        <v>321</v>
      </c>
      <c r="F339" t="s">
        <v>321</v>
      </c>
      <c r="G339" t="str">
        <f>HYPERLINK("http://www.ncbi.nlm.nih.gov/Taxonomy/Browser/wwwtax.cgi?mode=Info&amp;id=8478&amp;lvl=3&amp;lin=f&amp;keep=1&amp;srchmode=1&amp;unlock","Chrysemys picta bellii")</f>
        <v>Chrysemys picta bellii</v>
      </c>
      <c r="H339" t="s">
        <v>342</v>
      </c>
      <c r="I339" t="str">
        <f>HYPERLINK("http://www.ncbi.nlm.nih.gov/protein/XP_023962249.1","fatty acid-binding protein, liver")</f>
        <v>fatty acid-binding protein, liver</v>
      </c>
      <c r="J339">
        <v>193.74</v>
      </c>
      <c r="K339" t="s">
        <v>25</v>
      </c>
      <c r="L339">
        <v>139</v>
      </c>
      <c r="M339">
        <v>50.68</v>
      </c>
      <c r="N339">
        <v>76.790000000000006</v>
      </c>
      <c r="O339" t="s">
        <v>20</v>
      </c>
      <c r="P339" t="s">
        <v>21</v>
      </c>
      <c r="Q339" t="s">
        <v>20</v>
      </c>
      <c r="R339" t="str">
        <f>HYPERLINK("https://cfpub.epa.gov/ecotox/explore.cfm?ncbi=8478","Explore in ECOTOX")</f>
        <v>Explore in ECOTOX</v>
      </c>
    </row>
    <row r="340" spans="1:18" x14ac:dyDescent="0.25">
      <c r="A340">
        <v>6</v>
      </c>
      <c r="B340" t="str">
        <f>HYPERLINK("http://www.ncbi.nlm.nih.gov/protein/NWX22516.1","NWX22516.1")</f>
        <v>NWX22516.1</v>
      </c>
      <c r="C340">
        <v>13717</v>
      </c>
      <c r="D340" t="str">
        <f>HYPERLINK("http://www.ncbi.nlm.nih.gov/Taxonomy/Browser/wwwtax.cgi?mode=Info&amp;id=48278&amp;lvl=3&amp;lin=f&amp;keep=1&amp;srchmode=1&amp;unlock","48278")</f>
        <v>48278</v>
      </c>
      <c r="E340" t="s">
        <v>167</v>
      </c>
      <c r="F340" t="s">
        <v>167</v>
      </c>
      <c r="G340" t="str">
        <f>HYPERLINK("http://www.ncbi.nlm.nih.gov/Taxonomy/Browser/wwwtax.cgi?mode=Info&amp;id=48278&amp;lvl=3&amp;lin=f&amp;keep=1&amp;srchmode=1&amp;unlock","Aegotheles bennettii")</f>
        <v>Aegotheles bennettii</v>
      </c>
      <c r="H340" t="s">
        <v>233</v>
      </c>
      <c r="I340" t="str">
        <f>HYPERLINK("http://www.ncbi.nlm.nih.gov/protein/NWX22516.1","FABPL protein")</f>
        <v>FABPL protein</v>
      </c>
      <c r="J340">
        <v>193.74</v>
      </c>
      <c r="K340" t="s">
        <v>20</v>
      </c>
      <c r="L340">
        <v>139</v>
      </c>
      <c r="M340">
        <v>50.68</v>
      </c>
      <c r="N340">
        <v>76.790000000000006</v>
      </c>
      <c r="O340" t="s">
        <v>20</v>
      </c>
      <c r="P340" t="s">
        <v>21</v>
      </c>
      <c r="Q340" t="s">
        <v>20</v>
      </c>
      <c r="R340" t="str">
        <f>HYPERLINK("https://cfpub.epa.gov/ecotox/explore.cfm?ncbi=48278","Explore in ECOTOX")</f>
        <v>Explore in ECOTOX</v>
      </c>
    </row>
    <row r="341" spans="1:18" x14ac:dyDescent="0.25">
      <c r="A341">
        <v>6</v>
      </c>
      <c r="B341" t="str">
        <f>HYPERLINK("http://www.ncbi.nlm.nih.gov/protein/NXA65400.1","NXA65400.1")</f>
        <v>NXA65400.1</v>
      </c>
      <c r="C341">
        <v>13619</v>
      </c>
      <c r="D341" t="str">
        <f>HYPERLINK("http://www.ncbi.nlm.nih.gov/Taxonomy/Browser/wwwtax.cgi?mode=Info&amp;id=874463&amp;lvl=3&amp;lin=f&amp;keep=1&amp;srchmode=1&amp;unlock","874463")</f>
        <v>874463</v>
      </c>
      <c r="E341" t="s">
        <v>167</v>
      </c>
      <c r="F341" t="s">
        <v>167</v>
      </c>
      <c r="G341" t="str">
        <f>HYPERLINK("http://www.ncbi.nlm.nih.gov/Taxonomy/Browser/wwwtax.cgi?mode=Info&amp;id=874463&amp;lvl=3&amp;lin=f&amp;keep=1&amp;srchmode=1&amp;unlock","Mohoua ochrocephala")</f>
        <v>Mohoua ochrocephala</v>
      </c>
      <c r="H341" t="s">
        <v>206</v>
      </c>
      <c r="I341" t="str">
        <f>HYPERLINK("http://www.ncbi.nlm.nih.gov/protein/NXA65400.1","FABPL protein")</f>
        <v>FABPL protein</v>
      </c>
      <c r="J341">
        <v>193.74</v>
      </c>
      <c r="K341" t="s">
        <v>25</v>
      </c>
      <c r="L341">
        <v>139</v>
      </c>
      <c r="M341">
        <v>50.68</v>
      </c>
      <c r="N341">
        <v>76.790000000000006</v>
      </c>
      <c r="O341" t="s">
        <v>20</v>
      </c>
      <c r="P341" t="s">
        <v>21</v>
      </c>
      <c r="Q341" t="s">
        <v>20</v>
      </c>
      <c r="R341" t="str">
        <f>HYPERLINK("https://cfpub.epa.gov/ecotox/explore.cfm?ncbi=874463","Explore in ECOTOX")</f>
        <v>Explore in ECOTOX</v>
      </c>
    </row>
    <row r="342" spans="1:18" x14ac:dyDescent="0.25">
      <c r="A342">
        <v>6</v>
      </c>
      <c r="B342" t="str">
        <f>HYPERLINK("http://www.ncbi.nlm.nih.gov/protein/XP_034627747.1","XP_034627747.1")</f>
        <v>XP_034627747.1</v>
      </c>
      <c r="C342">
        <v>42365</v>
      </c>
      <c r="D342" t="str">
        <f>HYPERLINK("http://www.ncbi.nlm.nih.gov/Taxonomy/Browser/wwwtax.cgi?mode=Info&amp;id=31138&amp;lvl=3&amp;lin=f&amp;keep=1&amp;srchmode=1&amp;unlock","31138")</f>
        <v>31138</v>
      </c>
      <c r="E342" t="s">
        <v>321</v>
      </c>
      <c r="F342" t="s">
        <v>321</v>
      </c>
      <c r="G342" t="str">
        <f>HYPERLINK("http://www.ncbi.nlm.nih.gov/Taxonomy/Browser/wwwtax.cgi?mode=Info&amp;id=31138&amp;lvl=3&amp;lin=f&amp;keep=1&amp;srchmode=1&amp;unlock","Trachemys scripta elegans")</f>
        <v>Trachemys scripta elegans</v>
      </c>
      <c r="H342" t="s">
        <v>343</v>
      </c>
      <c r="I342" t="str">
        <f>HYPERLINK("http://www.ncbi.nlm.nih.gov/protein/XP_034627747.1","fatty acid-binding protein, liver")</f>
        <v>fatty acid-binding protein, liver</v>
      </c>
      <c r="J342">
        <v>193.74</v>
      </c>
      <c r="K342" t="s">
        <v>25</v>
      </c>
      <c r="L342">
        <v>139</v>
      </c>
      <c r="M342">
        <v>50.68</v>
      </c>
      <c r="N342">
        <v>76.790000000000006</v>
      </c>
      <c r="O342" t="s">
        <v>20</v>
      </c>
      <c r="P342" t="s">
        <v>21</v>
      </c>
      <c r="Q342" t="s">
        <v>20</v>
      </c>
      <c r="R342" t="str">
        <f>HYPERLINK("https://cfpub.epa.gov/ecotox/explore.cfm?ncbi=31138","Explore in ECOTOX")</f>
        <v>Explore in ECOTOX</v>
      </c>
    </row>
    <row r="343" spans="1:18" x14ac:dyDescent="0.25">
      <c r="A343">
        <v>6</v>
      </c>
      <c r="B343" t="str">
        <f>HYPERLINK("http://www.ncbi.nlm.nih.gov/protein/NXO48376.1","NXO48376.1")</f>
        <v>NXO48376.1</v>
      </c>
      <c r="C343">
        <v>14352</v>
      </c>
      <c r="D343" t="str">
        <f>HYPERLINK("http://www.ncbi.nlm.nih.gov/Taxonomy/Browser/wwwtax.cgi?mode=Info&amp;id=54356&amp;lvl=3&amp;lin=f&amp;keep=1&amp;srchmode=1&amp;unlock","54356")</f>
        <v>54356</v>
      </c>
      <c r="E343" t="s">
        <v>167</v>
      </c>
      <c r="F343" t="s">
        <v>167</v>
      </c>
      <c r="G343" t="str">
        <f>HYPERLINK("http://www.ncbi.nlm.nih.gov/Taxonomy/Browser/wwwtax.cgi?mode=Info&amp;id=54356&amp;lvl=3&amp;lin=f&amp;keep=1&amp;srchmode=1&amp;unlock","Aramus guarauna")</f>
        <v>Aramus guarauna</v>
      </c>
      <c r="H343" t="s">
        <v>344</v>
      </c>
      <c r="I343" t="str">
        <f>HYPERLINK("http://www.ncbi.nlm.nih.gov/protein/NXO48376.1","FABPL protein")</f>
        <v>FABPL protein</v>
      </c>
      <c r="J343">
        <v>193.36</v>
      </c>
      <c r="K343" t="s">
        <v>25</v>
      </c>
      <c r="L343">
        <v>139</v>
      </c>
      <c r="M343">
        <v>50.68</v>
      </c>
      <c r="N343">
        <v>76.64</v>
      </c>
      <c r="O343" t="s">
        <v>20</v>
      </c>
      <c r="P343" t="s">
        <v>21</v>
      </c>
      <c r="Q343" t="s">
        <v>20</v>
      </c>
      <c r="R343" t="str">
        <f>HYPERLINK("https://cfpub.epa.gov/ecotox/explore.cfm?ncbi=54356","Explore in ECOTOX")</f>
        <v>Explore in ECOTOX</v>
      </c>
    </row>
    <row r="344" spans="1:18" x14ac:dyDescent="0.25">
      <c r="A344">
        <v>6</v>
      </c>
      <c r="B344" t="str">
        <f>HYPERLINK("http://www.ncbi.nlm.nih.gov/protein/NXI68402.1","NXI68402.1")</f>
        <v>NXI68402.1</v>
      </c>
      <c r="C344">
        <v>14308</v>
      </c>
      <c r="D344" t="str">
        <f>HYPERLINK("http://www.ncbi.nlm.nih.gov/Taxonomy/Browser/wwwtax.cgi?mode=Info&amp;id=8851&amp;lvl=3&amp;lin=f&amp;keep=1&amp;srchmode=1&amp;unlock","8851")</f>
        <v>8851</v>
      </c>
      <c r="E344" t="s">
        <v>167</v>
      </c>
      <c r="F344" t="s">
        <v>167</v>
      </c>
      <c r="G344" t="str">
        <f>HYPERLINK("http://www.ncbi.nlm.nih.gov/Taxonomy/Browser/wwwtax.cgi?mode=Info&amp;id=8851&amp;lvl=3&amp;lin=f&amp;keep=1&amp;srchmode=1&amp;unlock","Anseranas semipalmata")</f>
        <v>Anseranas semipalmata</v>
      </c>
      <c r="H344" t="s">
        <v>345</v>
      </c>
      <c r="I344" t="str">
        <f>HYPERLINK("http://www.ncbi.nlm.nih.gov/protein/NXI68402.1","FABPL protein")</f>
        <v>FABPL protein</v>
      </c>
      <c r="J344">
        <v>193.36</v>
      </c>
      <c r="K344" t="s">
        <v>20</v>
      </c>
      <c r="L344">
        <v>139</v>
      </c>
      <c r="M344">
        <v>50.68</v>
      </c>
      <c r="N344">
        <v>76.64</v>
      </c>
      <c r="O344" t="s">
        <v>20</v>
      </c>
      <c r="P344" t="s">
        <v>21</v>
      </c>
      <c r="Q344" t="s">
        <v>20</v>
      </c>
      <c r="R344" t="str">
        <f>HYPERLINK("https://cfpub.epa.gov/ecotox/explore.cfm?ncbi=8851","Explore in ECOTOX")</f>
        <v>Explore in ECOTOX</v>
      </c>
    </row>
    <row r="345" spans="1:18" x14ac:dyDescent="0.25">
      <c r="A345">
        <v>6</v>
      </c>
      <c r="B345" t="str">
        <f>HYPERLINK("http://www.ncbi.nlm.nih.gov/protein/NWU06160.1","NWU06160.1")</f>
        <v>NWU06160.1</v>
      </c>
      <c r="C345">
        <v>13939</v>
      </c>
      <c r="D345" t="str">
        <f>HYPERLINK("http://www.ncbi.nlm.nih.gov/Taxonomy/Browser/wwwtax.cgi?mode=Info&amp;id=114276&amp;lvl=3&amp;lin=f&amp;keep=1&amp;srchmode=1&amp;unlock","114276")</f>
        <v>114276</v>
      </c>
      <c r="E345" t="s">
        <v>167</v>
      </c>
      <c r="F345" t="s">
        <v>167</v>
      </c>
      <c r="G345" t="str">
        <f>HYPERLINK("http://www.ncbi.nlm.nih.gov/Taxonomy/Browser/wwwtax.cgi?mode=Info&amp;id=114276&amp;lvl=3&amp;lin=f&amp;keep=1&amp;srchmode=1&amp;unlock","Cephalopterus ornatus")</f>
        <v>Cephalopterus ornatus</v>
      </c>
      <c r="H345" t="s">
        <v>346</v>
      </c>
      <c r="I345" t="str">
        <f>HYPERLINK("http://www.ncbi.nlm.nih.gov/protein/NWU06160.1","FABPL protein")</f>
        <v>FABPL protein</v>
      </c>
      <c r="J345">
        <v>193.36</v>
      </c>
      <c r="K345" t="s">
        <v>25</v>
      </c>
      <c r="L345">
        <v>139</v>
      </c>
      <c r="M345">
        <v>50.68</v>
      </c>
      <c r="N345">
        <v>76.64</v>
      </c>
      <c r="O345" t="s">
        <v>20</v>
      </c>
      <c r="P345" t="s">
        <v>21</v>
      </c>
      <c r="Q345" t="s">
        <v>20</v>
      </c>
      <c r="R345" t="str">
        <f>HYPERLINK("https://cfpub.epa.gov/ecotox/explore.cfm?ncbi=114276","Explore in ECOTOX")</f>
        <v>Explore in ECOTOX</v>
      </c>
    </row>
    <row r="346" spans="1:18" x14ac:dyDescent="0.25">
      <c r="A346">
        <v>6</v>
      </c>
      <c r="B346" t="str">
        <f>HYPERLINK("http://www.ncbi.nlm.nih.gov/protein/NXT95846.1","NXT95846.1")</f>
        <v>NXT95846.1</v>
      </c>
      <c r="C346">
        <v>10510</v>
      </c>
      <c r="D346" t="str">
        <f>HYPERLINK("http://www.ncbi.nlm.nih.gov/Taxonomy/Browser/wwwtax.cgi?mode=Info&amp;id=317792&amp;lvl=3&amp;lin=f&amp;keep=1&amp;srchmode=1&amp;unlock","317792")</f>
        <v>317792</v>
      </c>
      <c r="E346" t="s">
        <v>167</v>
      </c>
      <c r="F346" t="s">
        <v>167</v>
      </c>
      <c r="G346" t="str">
        <f>HYPERLINK("http://www.ncbi.nlm.nih.gov/Taxonomy/Browser/wwwtax.cgi?mode=Info&amp;id=317792&amp;lvl=3&amp;lin=f&amp;keep=1&amp;srchmode=1&amp;unlock","Anhinga rufa")</f>
        <v>Anhinga rufa</v>
      </c>
      <c r="H346" t="s">
        <v>347</v>
      </c>
      <c r="I346" t="str">
        <f>HYPERLINK("http://www.ncbi.nlm.nih.gov/protein/NXT95846.1","FABPL protein")</f>
        <v>FABPL protein</v>
      </c>
      <c r="J346">
        <v>193.36</v>
      </c>
      <c r="K346" t="s">
        <v>20</v>
      </c>
      <c r="L346">
        <v>139</v>
      </c>
      <c r="M346">
        <v>50.68</v>
      </c>
      <c r="N346">
        <v>76.64</v>
      </c>
      <c r="O346" t="s">
        <v>20</v>
      </c>
      <c r="P346" t="s">
        <v>21</v>
      </c>
      <c r="Q346" t="s">
        <v>20</v>
      </c>
      <c r="R346" t="str">
        <f>HYPERLINK("https://cfpub.epa.gov/ecotox/explore.cfm?ncbi=317792","Explore in ECOTOX")</f>
        <v>Explore in ECOTOX</v>
      </c>
    </row>
    <row r="347" spans="1:18" x14ac:dyDescent="0.25">
      <c r="A347">
        <v>6</v>
      </c>
      <c r="B347" t="str">
        <f>HYPERLINK("http://www.ncbi.nlm.nih.gov/protein/OPJ70771.1","OPJ70771.1")</f>
        <v>OPJ70771.1</v>
      </c>
      <c r="C347">
        <v>24828</v>
      </c>
      <c r="D347" t="str">
        <f>HYPERLINK("http://www.ncbi.nlm.nih.gov/Taxonomy/Browser/wwwtax.cgi?mode=Info&amp;id=372326&amp;lvl=3&amp;lin=f&amp;keep=1&amp;srchmode=1&amp;unlock","372326")</f>
        <v>372326</v>
      </c>
      <c r="E347" t="s">
        <v>167</v>
      </c>
      <c r="F347" t="s">
        <v>167</v>
      </c>
      <c r="G347" t="str">
        <f>HYPERLINK("http://www.ncbi.nlm.nih.gov/Taxonomy/Browser/wwwtax.cgi?mode=Info&amp;id=372326&amp;lvl=3&amp;lin=f&amp;keep=1&amp;srchmode=1&amp;unlock","Patagioenas fasciata monilis")</f>
        <v>Patagioenas fasciata monilis</v>
      </c>
      <c r="H347" t="s">
        <v>348</v>
      </c>
      <c r="I347" t="str">
        <f>HYPERLINK("http://www.ncbi.nlm.nih.gov/protein/OPJ70771.1","fatty acid-binding protein, liver")</f>
        <v>fatty acid-binding protein, liver</v>
      </c>
      <c r="J347">
        <v>193.36</v>
      </c>
      <c r="K347" t="s">
        <v>25</v>
      </c>
      <c r="L347">
        <v>139</v>
      </c>
      <c r="M347">
        <v>50.68</v>
      </c>
      <c r="N347">
        <v>76.64</v>
      </c>
      <c r="O347" t="s">
        <v>20</v>
      </c>
      <c r="P347" t="s">
        <v>21</v>
      </c>
      <c r="Q347" t="s">
        <v>20</v>
      </c>
      <c r="R347" t="str">
        <f>HYPERLINK("https://cfpub.epa.gov/ecotox/explore.cfm?ncbi=372326","Explore in ECOTOX")</f>
        <v>Explore in ECOTOX</v>
      </c>
    </row>
    <row r="348" spans="1:18" x14ac:dyDescent="0.25">
      <c r="A348">
        <v>6</v>
      </c>
      <c r="B348" t="str">
        <f>HYPERLINK("http://www.ncbi.nlm.nih.gov/protein/XP_007063779.1","XP_007063779.1")</f>
        <v>XP_007063779.1</v>
      </c>
      <c r="C348">
        <v>69371</v>
      </c>
      <c r="D348" t="str">
        <f>HYPERLINK("http://www.ncbi.nlm.nih.gov/Taxonomy/Browser/wwwtax.cgi?mode=Info&amp;id=8469&amp;lvl=3&amp;lin=f&amp;keep=1&amp;srchmode=1&amp;unlock","8469")</f>
        <v>8469</v>
      </c>
      <c r="E348" t="s">
        <v>321</v>
      </c>
      <c r="F348" t="s">
        <v>321</v>
      </c>
      <c r="G348" t="str">
        <f>HYPERLINK("http://www.ncbi.nlm.nih.gov/Taxonomy/Browser/wwwtax.cgi?mode=Info&amp;id=8469&amp;lvl=3&amp;lin=f&amp;keep=1&amp;srchmode=1&amp;unlock","Chelonia mydas")</f>
        <v>Chelonia mydas</v>
      </c>
      <c r="H348" t="s">
        <v>349</v>
      </c>
      <c r="I348" t="str">
        <f>HYPERLINK("http://www.ncbi.nlm.nih.gov/protein/XP_007063779.1","fatty acid-binding protein, liver")</f>
        <v>fatty acid-binding protein, liver</v>
      </c>
      <c r="J348">
        <v>192.97</v>
      </c>
      <c r="K348" t="s">
        <v>20</v>
      </c>
      <c r="L348">
        <v>139</v>
      </c>
      <c r="M348">
        <v>50.68</v>
      </c>
      <c r="N348">
        <v>76.489999999999995</v>
      </c>
      <c r="O348" t="s">
        <v>20</v>
      </c>
      <c r="P348" t="s">
        <v>21</v>
      </c>
      <c r="Q348" t="s">
        <v>20</v>
      </c>
      <c r="R348" t="str">
        <f>HYPERLINK("https://cfpub.epa.gov/ecotox/explore.cfm?ncbi=8469","Explore in ECOTOX")</f>
        <v>Explore in ECOTOX</v>
      </c>
    </row>
    <row r="349" spans="1:18" x14ac:dyDescent="0.25">
      <c r="A349">
        <v>6</v>
      </c>
      <c r="B349" t="str">
        <f>HYPERLINK("http://www.ncbi.nlm.nih.gov/protein/XP_040850026.1","XP_040850026.1")</f>
        <v>XP_040850026.1</v>
      </c>
      <c r="C349">
        <v>42386</v>
      </c>
      <c r="D349" t="str">
        <f>HYPERLINK("http://www.ncbi.nlm.nih.gov/Taxonomy/Browser/wwwtax.cgi?mode=Info&amp;id=130825&amp;lvl=3&amp;lin=f&amp;keep=1&amp;srchmode=1&amp;unlock","130825")</f>
        <v>130825</v>
      </c>
      <c r="E349" t="s">
        <v>18</v>
      </c>
      <c r="F349" t="s">
        <v>18</v>
      </c>
      <c r="G349" t="str">
        <f>HYPERLINK("http://www.ncbi.nlm.nih.gov/Taxonomy/Browser/wwwtax.cgi?mode=Info&amp;id=130825&amp;lvl=3&amp;lin=f&amp;keep=1&amp;srchmode=1&amp;unlock","Ochotona curzoniae")</f>
        <v>Ochotona curzoniae</v>
      </c>
      <c r="H349" t="s">
        <v>350</v>
      </c>
      <c r="I349" t="str">
        <f>HYPERLINK("http://www.ncbi.nlm.nih.gov/protein/XP_040850026.1","fatty acid-binding protein, liver")</f>
        <v>fatty acid-binding protein, liver</v>
      </c>
      <c r="J349">
        <v>192.97</v>
      </c>
      <c r="K349" t="s">
        <v>25</v>
      </c>
      <c r="L349">
        <v>139</v>
      </c>
      <c r="M349">
        <v>50.68</v>
      </c>
      <c r="N349">
        <v>76.489999999999995</v>
      </c>
      <c r="O349" t="s">
        <v>20</v>
      </c>
      <c r="P349" t="s">
        <v>21</v>
      </c>
      <c r="Q349" t="s">
        <v>20</v>
      </c>
      <c r="R349" t="str">
        <f>HYPERLINK("https://cfpub.epa.gov/ecotox/explore.cfm?ncbi=130825","Explore in ECOTOX")</f>
        <v>Explore in ECOTOX</v>
      </c>
    </row>
    <row r="350" spans="1:18" x14ac:dyDescent="0.25">
      <c r="A350">
        <v>6</v>
      </c>
      <c r="B350" t="str">
        <f>HYPERLINK("http://www.ncbi.nlm.nih.gov/protein/NXU37321.1","NXU37321.1")</f>
        <v>NXU37321.1</v>
      </c>
      <c r="C350">
        <v>13604</v>
      </c>
      <c r="D350" t="str">
        <f>HYPERLINK("http://www.ncbi.nlm.nih.gov/Taxonomy/Browser/wwwtax.cgi?mode=Info&amp;id=626378&amp;lvl=3&amp;lin=f&amp;keep=1&amp;srchmode=1&amp;unlock","626378")</f>
        <v>626378</v>
      </c>
      <c r="E350" t="s">
        <v>167</v>
      </c>
      <c r="F350" t="s">
        <v>167</v>
      </c>
      <c r="G350" t="str">
        <f>HYPERLINK("http://www.ncbi.nlm.nih.gov/Taxonomy/Browser/wwwtax.cgi?mode=Info&amp;id=626378&amp;lvl=3&amp;lin=f&amp;keep=1&amp;srchmode=1&amp;unlock","Drymodes brunneopygia")</f>
        <v>Drymodes brunneopygia</v>
      </c>
      <c r="H350" t="s">
        <v>351</v>
      </c>
      <c r="I350" t="str">
        <f>HYPERLINK("http://www.ncbi.nlm.nih.gov/protein/NXU37321.1","FABPL protein")</f>
        <v>FABPL protein</v>
      </c>
      <c r="J350">
        <v>192.97</v>
      </c>
      <c r="K350" t="s">
        <v>25</v>
      </c>
      <c r="L350">
        <v>139</v>
      </c>
      <c r="M350">
        <v>50.68</v>
      </c>
      <c r="N350">
        <v>76.489999999999995</v>
      </c>
      <c r="O350" t="s">
        <v>20</v>
      </c>
      <c r="P350" t="s">
        <v>21</v>
      </c>
      <c r="Q350" t="s">
        <v>20</v>
      </c>
      <c r="R350" t="str">
        <f>HYPERLINK("https://cfpub.epa.gov/ecotox/explore.cfm?ncbi=626378","Explore in ECOTOX")</f>
        <v>Explore in ECOTOX</v>
      </c>
    </row>
    <row r="351" spans="1:18" x14ac:dyDescent="0.25">
      <c r="A351">
        <v>6</v>
      </c>
      <c r="B351" t="str">
        <f>HYPERLINK("http://www.ncbi.nlm.nih.gov/protein/NXX26723.1","NXX26723.1")</f>
        <v>NXX26723.1</v>
      </c>
      <c r="C351">
        <v>13620</v>
      </c>
      <c r="D351" t="str">
        <f>HYPERLINK("http://www.ncbi.nlm.nih.gov/Taxonomy/Browser/wwwtax.cgi?mode=Info&amp;id=237433&amp;lvl=3&amp;lin=f&amp;keep=1&amp;srchmode=1&amp;unlock","237433")</f>
        <v>237433</v>
      </c>
      <c r="E351" t="s">
        <v>167</v>
      </c>
      <c r="F351" t="s">
        <v>167</v>
      </c>
      <c r="G351" t="str">
        <f>HYPERLINK("http://www.ncbi.nlm.nih.gov/Taxonomy/Browser/wwwtax.cgi?mode=Info&amp;id=237433&amp;lvl=3&amp;lin=f&amp;keep=1&amp;srchmode=1&amp;unlock","Nicator chloris")</f>
        <v>Nicator chloris</v>
      </c>
      <c r="H351" t="s">
        <v>352</v>
      </c>
      <c r="I351" t="str">
        <f>HYPERLINK("http://www.ncbi.nlm.nih.gov/protein/NXX26723.1","FABPL protein")</f>
        <v>FABPL protein</v>
      </c>
      <c r="J351">
        <v>192.97</v>
      </c>
      <c r="K351" t="s">
        <v>25</v>
      </c>
      <c r="L351">
        <v>139</v>
      </c>
      <c r="M351">
        <v>50.68</v>
      </c>
      <c r="N351">
        <v>76.489999999999995</v>
      </c>
      <c r="O351" t="s">
        <v>20</v>
      </c>
      <c r="P351" t="s">
        <v>21</v>
      </c>
      <c r="Q351" t="s">
        <v>20</v>
      </c>
      <c r="R351" t="str">
        <f>HYPERLINK("https://cfpub.epa.gov/ecotox/explore.cfm?ncbi=237433","Explore in ECOTOX")</f>
        <v>Explore in ECOTOX</v>
      </c>
    </row>
    <row r="352" spans="1:18" x14ac:dyDescent="0.25">
      <c r="A352">
        <v>6</v>
      </c>
      <c r="B352" t="str">
        <f>HYPERLINK("http://www.ncbi.nlm.nih.gov/protein/XP_009498561.1","XP_009498561.1")</f>
        <v>XP_009498561.1</v>
      </c>
      <c r="C352">
        <v>26157</v>
      </c>
      <c r="D352" t="str">
        <f>HYPERLINK("http://www.ncbi.nlm.nih.gov/Taxonomy/Browser/wwwtax.cgi?mode=Info&amp;id=9209&amp;lvl=3&amp;lin=f&amp;keep=1&amp;srchmode=1&amp;unlock","9209")</f>
        <v>9209</v>
      </c>
      <c r="E352" t="s">
        <v>167</v>
      </c>
      <c r="F352" t="s">
        <v>167</v>
      </c>
      <c r="G352" t="str">
        <f>HYPERLINK("http://www.ncbi.nlm.nih.gov/Taxonomy/Browser/wwwtax.cgi?mode=Info&amp;id=9209&amp;lvl=3&amp;lin=f&amp;keep=1&amp;srchmode=1&amp;unlock","Phalacrocorax carbo")</f>
        <v>Phalacrocorax carbo</v>
      </c>
      <c r="H352" t="s">
        <v>353</v>
      </c>
      <c r="I352" t="str">
        <f>HYPERLINK("http://www.ncbi.nlm.nih.gov/protein/XP_009498561.1","PREDICTED: fatty acid-binding protein, liver")</f>
        <v>PREDICTED: fatty acid-binding protein, liver</v>
      </c>
      <c r="J352">
        <v>192.97</v>
      </c>
      <c r="K352" t="s">
        <v>20</v>
      </c>
      <c r="L352">
        <v>139</v>
      </c>
      <c r="M352">
        <v>50.68</v>
      </c>
      <c r="N352">
        <v>76.489999999999995</v>
      </c>
      <c r="O352" t="s">
        <v>20</v>
      </c>
      <c r="P352" t="s">
        <v>21</v>
      </c>
      <c r="Q352" t="s">
        <v>20</v>
      </c>
      <c r="R352" t="str">
        <f>HYPERLINK("https://cfpub.epa.gov/ecotox/explore.cfm?ncbi=9209","Explore in ECOTOX")</f>
        <v>Explore in ECOTOX</v>
      </c>
    </row>
    <row r="353" spans="1:18" x14ac:dyDescent="0.25">
      <c r="A353">
        <v>6</v>
      </c>
      <c r="B353" t="str">
        <f>HYPERLINK("http://www.ncbi.nlm.nih.gov/protein/NXB54053.1","NXB54053.1")</f>
        <v>NXB54053.1</v>
      </c>
      <c r="C353">
        <v>13491</v>
      </c>
      <c r="D353" t="str">
        <f>HYPERLINK("http://www.ncbi.nlm.nih.gov/Taxonomy/Browser/wwwtax.cgi?mode=Info&amp;id=127929&amp;lvl=3&amp;lin=f&amp;keep=1&amp;srchmode=1&amp;unlock","127929")</f>
        <v>127929</v>
      </c>
      <c r="E353" t="s">
        <v>167</v>
      </c>
      <c r="F353" t="s">
        <v>167</v>
      </c>
      <c r="G353" t="str">
        <f>HYPERLINK("http://www.ncbi.nlm.nih.gov/Taxonomy/Browser/wwwtax.cgi?mode=Info&amp;id=127929&amp;lvl=3&amp;lin=f&amp;keep=1&amp;srchmode=1&amp;unlock","Leucopsar rothschildi")</f>
        <v>Leucopsar rothschildi</v>
      </c>
      <c r="H353" t="s">
        <v>354</v>
      </c>
      <c r="I353" t="str">
        <f>HYPERLINK("http://www.ncbi.nlm.nih.gov/protein/NXB54053.1","FABPL protein")</f>
        <v>FABPL protein</v>
      </c>
      <c r="J353">
        <v>192.59</v>
      </c>
      <c r="K353" t="s">
        <v>25</v>
      </c>
      <c r="L353">
        <v>139</v>
      </c>
      <c r="M353">
        <v>50.68</v>
      </c>
      <c r="N353">
        <v>76.33</v>
      </c>
      <c r="O353" t="s">
        <v>20</v>
      </c>
      <c r="P353" t="s">
        <v>21</v>
      </c>
      <c r="Q353" t="s">
        <v>20</v>
      </c>
      <c r="R353" t="str">
        <f>HYPERLINK("https://cfpub.epa.gov/ecotox/explore.cfm?ncbi=127929","Explore in ECOTOX")</f>
        <v>Explore in ECOTOX</v>
      </c>
    </row>
    <row r="354" spans="1:18" x14ac:dyDescent="0.25">
      <c r="A354">
        <v>6</v>
      </c>
      <c r="B354" t="str">
        <f>HYPERLINK("http://www.ncbi.nlm.nih.gov/protein/NXJ83356.1","NXJ83356.1")</f>
        <v>NXJ83356.1</v>
      </c>
      <c r="C354">
        <v>14194</v>
      </c>
      <c r="D354" t="str">
        <f>HYPERLINK("http://www.ncbi.nlm.nih.gov/Taxonomy/Browser/wwwtax.cgi?mode=Info&amp;id=56311&amp;lvl=3&amp;lin=f&amp;keep=1&amp;srchmode=1&amp;unlock","56311")</f>
        <v>56311</v>
      </c>
      <c r="E354" t="s">
        <v>167</v>
      </c>
      <c r="F354" t="s">
        <v>167</v>
      </c>
      <c r="G354" t="str">
        <f>HYPERLINK("http://www.ncbi.nlm.nih.gov/Taxonomy/Browser/wwwtax.cgi?mode=Info&amp;id=56311&amp;lvl=3&amp;lin=f&amp;keep=1&amp;srchmode=1&amp;unlock","Trogon melanurus")</f>
        <v>Trogon melanurus</v>
      </c>
      <c r="H354" t="s">
        <v>355</v>
      </c>
      <c r="I354" t="str">
        <f>HYPERLINK("http://www.ncbi.nlm.nih.gov/protein/NXJ83356.1","FABPL protein")</f>
        <v>FABPL protein</v>
      </c>
      <c r="J354">
        <v>192.59</v>
      </c>
      <c r="K354" t="s">
        <v>25</v>
      </c>
      <c r="L354">
        <v>139</v>
      </c>
      <c r="M354">
        <v>50.68</v>
      </c>
      <c r="N354">
        <v>76.33</v>
      </c>
      <c r="O354" t="s">
        <v>20</v>
      </c>
      <c r="P354" t="s">
        <v>21</v>
      </c>
      <c r="Q354" t="s">
        <v>20</v>
      </c>
      <c r="R354" t="str">
        <f>HYPERLINK("https://cfpub.epa.gov/ecotox/explore.cfm?ncbi=56311","Explore in ECOTOX")</f>
        <v>Explore in ECOTOX</v>
      </c>
    </row>
    <row r="355" spans="1:18" x14ac:dyDescent="0.25">
      <c r="A355">
        <v>6</v>
      </c>
      <c r="B355" t="str">
        <f>HYPERLINK("http://www.ncbi.nlm.nih.gov/protein/XP_035403353.1","XP_035403353.1")</f>
        <v>XP_035403353.1</v>
      </c>
      <c r="C355">
        <v>36022</v>
      </c>
      <c r="D355" t="str">
        <f>HYPERLINK("http://www.ncbi.nlm.nih.gov/Taxonomy/Browser/wwwtax.cgi?mode=Info&amp;id=8868&amp;lvl=3&amp;lin=f&amp;keep=1&amp;srchmode=1&amp;unlock","8868")</f>
        <v>8868</v>
      </c>
      <c r="E355" t="s">
        <v>167</v>
      </c>
      <c r="F355" t="s">
        <v>167</v>
      </c>
      <c r="G355" t="str">
        <f>HYPERLINK("http://www.ncbi.nlm.nih.gov/Taxonomy/Browser/wwwtax.cgi?mode=Info&amp;id=8868&amp;lvl=3&amp;lin=f&amp;keep=1&amp;srchmode=1&amp;unlock","Cygnus atratus")</f>
        <v>Cygnus atratus</v>
      </c>
      <c r="H355" t="s">
        <v>356</v>
      </c>
      <c r="I355" t="str">
        <f>HYPERLINK("http://www.ncbi.nlm.nih.gov/protein/XP_035403353.1","fatty acid-binding protein, liver")</f>
        <v>fatty acid-binding protein, liver</v>
      </c>
      <c r="J355">
        <v>192.59</v>
      </c>
      <c r="K355" t="s">
        <v>25</v>
      </c>
      <c r="L355">
        <v>139</v>
      </c>
      <c r="M355">
        <v>50.68</v>
      </c>
      <c r="N355">
        <v>76.33</v>
      </c>
      <c r="O355" t="s">
        <v>20</v>
      </c>
      <c r="P355" t="s">
        <v>21</v>
      </c>
      <c r="Q355" t="s">
        <v>20</v>
      </c>
      <c r="R355" t="str">
        <f>HYPERLINK("https://cfpub.epa.gov/ecotox/explore.cfm?ncbi=8868","Explore in ECOTOX")</f>
        <v>Explore in ECOTOX</v>
      </c>
    </row>
    <row r="356" spans="1:18" x14ac:dyDescent="0.25">
      <c r="A356">
        <v>6</v>
      </c>
      <c r="B356" t="str">
        <f>HYPERLINK("http://www.ncbi.nlm.nih.gov/protein/XP_027547059.1","XP_027547059.1")</f>
        <v>XP_027547059.1</v>
      </c>
      <c r="C356">
        <v>39505</v>
      </c>
      <c r="D356" t="str">
        <f>HYPERLINK("http://www.ncbi.nlm.nih.gov/Taxonomy/Browser/wwwtax.cgi?mode=Info&amp;id=114329&amp;lvl=3&amp;lin=f&amp;keep=1&amp;srchmode=1&amp;unlock","114329")</f>
        <v>114329</v>
      </c>
      <c r="E356" t="s">
        <v>167</v>
      </c>
      <c r="F356" t="s">
        <v>167</v>
      </c>
      <c r="G356" t="str">
        <f>HYPERLINK("http://www.ncbi.nlm.nih.gov/Taxonomy/Browser/wwwtax.cgi?mode=Info&amp;id=114329&amp;lvl=3&amp;lin=f&amp;keep=1&amp;srchmode=1&amp;unlock","Neopelma chrysocephalum")</f>
        <v>Neopelma chrysocephalum</v>
      </c>
      <c r="H356" t="s">
        <v>357</v>
      </c>
      <c r="I356" t="str">
        <f>HYPERLINK("http://www.ncbi.nlm.nih.gov/protein/XP_027547059.1","fatty acid-binding protein, liver")</f>
        <v>fatty acid-binding protein, liver</v>
      </c>
      <c r="J356">
        <v>192.59</v>
      </c>
      <c r="K356" t="s">
        <v>20</v>
      </c>
      <c r="L356">
        <v>139</v>
      </c>
      <c r="M356">
        <v>50.68</v>
      </c>
      <c r="N356">
        <v>76.33</v>
      </c>
      <c r="O356" t="s">
        <v>20</v>
      </c>
      <c r="P356" t="s">
        <v>21</v>
      </c>
      <c r="Q356" t="s">
        <v>20</v>
      </c>
      <c r="R356" t="str">
        <f>HYPERLINK("https://cfpub.epa.gov/ecotox/explore.cfm?ncbi=114329","Explore in ECOTOX")</f>
        <v>Explore in ECOTOX</v>
      </c>
    </row>
    <row r="357" spans="1:18" x14ac:dyDescent="0.25">
      <c r="A357">
        <v>6</v>
      </c>
      <c r="B357" t="str">
        <f>HYPERLINK("http://www.ncbi.nlm.nih.gov/protein/XP_005023346.1","XP_005023346.1")</f>
        <v>XP_005023346.1</v>
      </c>
      <c r="C357">
        <v>63920</v>
      </c>
      <c r="D357" t="str">
        <f>HYPERLINK("http://www.ncbi.nlm.nih.gov/Taxonomy/Browser/wwwtax.cgi?mode=Info&amp;id=8839&amp;lvl=3&amp;lin=f&amp;keep=1&amp;srchmode=1&amp;unlock","8839")</f>
        <v>8839</v>
      </c>
      <c r="E357" t="s">
        <v>167</v>
      </c>
      <c r="F357" t="s">
        <v>167</v>
      </c>
      <c r="G357" t="str">
        <f>HYPERLINK("http://www.ncbi.nlm.nih.gov/Taxonomy/Browser/wwwtax.cgi?mode=Info&amp;id=8839&amp;lvl=3&amp;lin=f&amp;keep=1&amp;srchmode=1&amp;unlock","Anas platyrhynchos")</f>
        <v>Anas platyrhynchos</v>
      </c>
      <c r="H357" t="s">
        <v>358</v>
      </c>
      <c r="I357" t="str">
        <f>HYPERLINK("http://www.ncbi.nlm.nih.gov/protein/XP_005023346.1","fatty acid-binding protein, liver")</f>
        <v>fatty acid-binding protein, liver</v>
      </c>
      <c r="J357">
        <v>192.59</v>
      </c>
      <c r="K357" t="s">
        <v>25</v>
      </c>
      <c r="L357">
        <v>139</v>
      </c>
      <c r="M357">
        <v>50.68</v>
      </c>
      <c r="N357">
        <v>76.33</v>
      </c>
      <c r="O357" t="s">
        <v>20</v>
      </c>
      <c r="P357" t="s">
        <v>21</v>
      </c>
      <c r="Q357" t="s">
        <v>20</v>
      </c>
      <c r="R357" t="str">
        <f>HYPERLINK("https://cfpub.epa.gov/ecotox/explore.cfm?ncbi=8839","Explore in ECOTOX")</f>
        <v>Explore in ECOTOX</v>
      </c>
    </row>
    <row r="358" spans="1:18" x14ac:dyDescent="0.25">
      <c r="A358">
        <v>6</v>
      </c>
      <c r="B358" t="str">
        <f>HYPERLINK("http://www.ncbi.nlm.nih.gov/protein/TFK10022.1","TFK10022.1")</f>
        <v>TFK10022.1</v>
      </c>
      <c r="C358">
        <v>21671</v>
      </c>
      <c r="D358" t="str">
        <f>HYPERLINK("http://www.ncbi.nlm.nih.gov/Taxonomy/Browser/wwwtax.cgi?mode=Info&amp;id=55544&amp;lvl=3&amp;lin=f&amp;keep=1&amp;srchmode=1&amp;unlock","55544")</f>
        <v>55544</v>
      </c>
      <c r="E358" t="s">
        <v>321</v>
      </c>
      <c r="F358" t="s">
        <v>321</v>
      </c>
      <c r="G358" t="str">
        <f>HYPERLINK("http://www.ncbi.nlm.nih.gov/Taxonomy/Browser/wwwtax.cgi?mode=Info&amp;id=55544&amp;lvl=3&amp;lin=f&amp;keep=1&amp;srchmode=1&amp;unlock","Platysternon megacephalum")</f>
        <v>Platysternon megacephalum</v>
      </c>
      <c r="H358" t="s">
        <v>359</v>
      </c>
      <c r="I358" t="str">
        <f>HYPERLINK("http://www.ncbi.nlm.nih.gov/protein/TFK10022.1","protein unc-13-like protein B")</f>
        <v>protein unc-13-like protein B</v>
      </c>
      <c r="J358">
        <v>192.59</v>
      </c>
      <c r="K358" t="s">
        <v>25</v>
      </c>
      <c r="L358">
        <v>139</v>
      </c>
      <c r="M358">
        <v>50.68</v>
      </c>
      <c r="N358">
        <v>76.33</v>
      </c>
      <c r="O358" t="s">
        <v>20</v>
      </c>
      <c r="P358" t="s">
        <v>21</v>
      </c>
      <c r="Q358" t="s">
        <v>20</v>
      </c>
      <c r="R358" t="str">
        <f>HYPERLINK("https://cfpub.epa.gov/ecotox/explore.cfm?ncbi=55544","Explore in ECOTOX")</f>
        <v>Explore in ECOTOX</v>
      </c>
    </row>
    <row r="359" spans="1:18" x14ac:dyDescent="0.25">
      <c r="A359">
        <v>6</v>
      </c>
      <c r="B359" t="str">
        <f>HYPERLINK("http://www.ncbi.nlm.nih.gov/protein/NWS22225.1","NWS22225.1")</f>
        <v>NWS22225.1</v>
      </c>
      <c r="C359">
        <v>13757</v>
      </c>
      <c r="D359" t="str">
        <f>HYPERLINK("http://www.ncbi.nlm.nih.gov/Taxonomy/Browser/wwwtax.cgi?mode=Info&amp;id=369605&amp;lvl=3&amp;lin=f&amp;keep=1&amp;srchmode=1&amp;unlock","369605")</f>
        <v>369605</v>
      </c>
      <c r="E359" t="s">
        <v>167</v>
      </c>
      <c r="F359" t="s">
        <v>167</v>
      </c>
      <c r="G359" t="str">
        <f>HYPERLINK("http://www.ncbi.nlm.nih.gov/Taxonomy/Browser/wwwtax.cgi?mode=Info&amp;id=369605&amp;lvl=3&amp;lin=f&amp;keep=1&amp;srchmode=1&amp;unlock","Pachyramphus minor")</f>
        <v>Pachyramphus minor</v>
      </c>
      <c r="H359" t="s">
        <v>206</v>
      </c>
      <c r="I359" t="str">
        <f>HYPERLINK("http://www.ncbi.nlm.nih.gov/protein/NWS22225.1","FABPL protein")</f>
        <v>FABPL protein</v>
      </c>
      <c r="J359">
        <v>192.59</v>
      </c>
      <c r="K359" t="s">
        <v>25</v>
      </c>
      <c r="L359">
        <v>139</v>
      </c>
      <c r="M359">
        <v>50.68</v>
      </c>
      <c r="N359">
        <v>76.33</v>
      </c>
      <c r="O359" t="s">
        <v>20</v>
      </c>
      <c r="P359" t="s">
        <v>21</v>
      </c>
      <c r="Q359" t="s">
        <v>20</v>
      </c>
      <c r="R359" t="str">
        <f>HYPERLINK("https://cfpub.epa.gov/ecotox/explore.cfm?ncbi=369605","Explore in ECOTOX")</f>
        <v>Explore in ECOTOX</v>
      </c>
    </row>
    <row r="360" spans="1:18" x14ac:dyDescent="0.25">
      <c r="A360">
        <v>6</v>
      </c>
      <c r="B360" t="str">
        <f>HYPERLINK("http://www.ncbi.nlm.nih.gov/protein/NXA06397.1","NXA06397.1")</f>
        <v>NXA06397.1</v>
      </c>
      <c r="C360">
        <v>13903</v>
      </c>
      <c r="D360" t="str">
        <f>HYPERLINK("http://www.ncbi.nlm.nih.gov/Taxonomy/Browser/wwwtax.cgi?mode=Info&amp;id=239371&amp;lvl=3&amp;lin=f&amp;keep=1&amp;srchmode=1&amp;unlock","239371")</f>
        <v>239371</v>
      </c>
      <c r="E360" t="s">
        <v>167</v>
      </c>
      <c r="F360" t="s">
        <v>167</v>
      </c>
      <c r="G360" t="str">
        <f>HYPERLINK("http://www.ncbi.nlm.nih.gov/Taxonomy/Browser/wwwtax.cgi?mode=Info&amp;id=239371&amp;lvl=3&amp;lin=f&amp;keep=1&amp;srchmode=1&amp;unlock","Sapayoa aenigma")</f>
        <v>Sapayoa aenigma</v>
      </c>
      <c r="H360" t="s">
        <v>360</v>
      </c>
      <c r="I360" t="str">
        <f>HYPERLINK("http://www.ncbi.nlm.nih.gov/protein/NXA06397.1","FABPL protein")</f>
        <v>FABPL protein</v>
      </c>
      <c r="J360">
        <v>192.2</v>
      </c>
      <c r="K360" t="s">
        <v>25</v>
      </c>
      <c r="L360">
        <v>139</v>
      </c>
      <c r="M360">
        <v>50.68</v>
      </c>
      <c r="N360">
        <v>76.180000000000007</v>
      </c>
      <c r="O360" t="s">
        <v>20</v>
      </c>
      <c r="P360" t="s">
        <v>21</v>
      </c>
      <c r="Q360" t="s">
        <v>20</v>
      </c>
      <c r="R360" t="str">
        <f>HYPERLINK("https://cfpub.epa.gov/ecotox/explore.cfm?ncbi=239371","Explore in ECOTOX")</f>
        <v>Explore in ECOTOX</v>
      </c>
    </row>
    <row r="361" spans="1:18" x14ac:dyDescent="0.25">
      <c r="A361">
        <v>6</v>
      </c>
      <c r="B361" t="str">
        <f>HYPERLINK("http://www.ncbi.nlm.nih.gov/protein/XP_038256146.1","XP_038256146.1")</f>
        <v>XP_038256146.1</v>
      </c>
      <c r="C361">
        <v>55267</v>
      </c>
      <c r="D361" t="str">
        <f>HYPERLINK("http://www.ncbi.nlm.nih.gov/Taxonomy/Browser/wwwtax.cgi?mode=Info&amp;id=27794&amp;lvl=3&amp;lin=f&amp;keep=1&amp;srchmode=1&amp;unlock","27794")</f>
        <v>27794</v>
      </c>
      <c r="E361" t="s">
        <v>321</v>
      </c>
      <c r="F361" t="s">
        <v>321</v>
      </c>
      <c r="G361" t="str">
        <f>HYPERLINK("http://www.ncbi.nlm.nih.gov/Taxonomy/Browser/wwwtax.cgi?mode=Info&amp;id=27794&amp;lvl=3&amp;lin=f&amp;keep=1&amp;srchmode=1&amp;unlock","Dermochelys coriacea")</f>
        <v>Dermochelys coriacea</v>
      </c>
      <c r="H361" t="s">
        <v>361</v>
      </c>
      <c r="I361" t="str">
        <f>HYPERLINK("http://www.ncbi.nlm.nih.gov/protein/XP_038256146.1","fatty acid-binding protein, liver")</f>
        <v>fatty acid-binding protein, liver</v>
      </c>
      <c r="J361">
        <v>192.2</v>
      </c>
      <c r="K361" t="s">
        <v>25</v>
      </c>
      <c r="L361">
        <v>139</v>
      </c>
      <c r="M361">
        <v>50.68</v>
      </c>
      <c r="N361">
        <v>76.180000000000007</v>
      </c>
      <c r="O361" t="s">
        <v>20</v>
      </c>
      <c r="P361" t="s">
        <v>21</v>
      </c>
      <c r="Q361" t="s">
        <v>20</v>
      </c>
      <c r="R361" t="str">
        <f>HYPERLINK("https://cfpub.epa.gov/ecotox/explore.cfm?ncbi=27794","Explore in ECOTOX")</f>
        <v>Explore in ECOTOX</v>
      </c>
    </row>
    <row r="362" spans="1:18" x14ac:dyDescent="0.25">
      <c r="A362">
        <v>6</v>
      </c>
      <c r="B362" t="str">
        <f>HYPERLINK("http://www.ncbi.nlm.nih.gov/protein/XP_039397690.1","XP_039397690.1")</f>
        <v>XP_039397690.1</v>
      </c>
      <c r="C362">
        <v>67728</v>
      </c>
      <c r="D362" t="str">
        <f>HYPERLINK("http://www.ncbi.nlm.nih.gov/Taxonomy/Browser/wwwtax.cgi?mode=Info&amp;id=260615&amp;lvl=3&amp;lin=f&amp;keep=1&amp;srchmode=1&amp;unlock","260615")</f>
        <v>260615</v>
      </c>
      <c r="E362" t="s">
        <v>321</v>
      </c>
      <c r="F362" t="s">
        <v>321</v>
      </c>
      <c r="G362" t="str">
        <f>HYPERLINK("http://www.ncbi.nlm.nih.gov/Taxonomy/Browser/wwwtax.cgi?mode=Info&amp;id=260615&amp;lvl=3&amp;lin=f&amp;keep=1&amp;srchmode=1&amp;unlock","Mauremys reevesii")</f>
        <v>Mauremys reevesii</v>
      </c>
      <c r="H362" t="s">
        <v>362</v>
      </c>
      <c r="I362" t="str">
        <f>HYPERLINK("http://www.ncbi.nlm.nih.gov/protein/XP_039397690.1","fatty acid-binding protein, liver")</f>
        <v>fatty acid-binding protein, liver</v>
      </c>
      <c r="J362">
        <v>192.2</v>
      </c>
      <c r="K362" t="s">
        <v>25</v>
      </c>
      <c r="L362">
        <v>139</v>
      </c>
      <c r="M362">
        <v>50.68</v>
      </c>
      <c r="N362">
        <v>76.180000000000007</v>
      </c>
      <c r="O362" t="s">
        <v>20</v>
      </c>
      <c r="P362" t="s">
        <v>21</v>
      </c>
      <c r="Q362" t="s">
        <v>20</v>
      </c>
      <c r="R362" t="str">
        <f>HYPERLINK("https://cfpub.epa.gov/ecotox/explore.cfm?ncbi=260615","Explore in ECOTOX")</f>
        <v>Explore in ECOTOX</v>
      </c>
    </row>
    <row r="363" spans="1:18" x14ac:dyDescent="0.25">
      <c r="A363">
        <v>6</v>
      </c>
      <c r="B363" t="str">
        <f>HYPERLINK("http://www.ncbi.nlm.nih.gov/protein/NXO11184.1","NXO11184.1")</f>
        <v>NXO11184.1</v>
      </c>
      <c r="C363">
        <v>13996</v>
      </c>
      <c r="D363" t="str">
        <f>HYPERLINK("http://www.ncbi.nlm.nih.gov/Taxonomy/Browser/wwwtax.cgi?mode=Info&amp;id=181099&amp;lvl=3&amp;lin=f&amp;keep=1&amp;srchmode=1&amp;unlock","181099")</f>
        <v>181099</v>
      </c>
      <c r="E363" t="s">
        <v>167</v>
      </c>
      <c r="F363" t="s">
        <v>167</v>
      </c>
      <c r="G363" t="str">
        <f>HYPERLINK("http://www.ncbi.nlm.nih.gov/Taxonomy/Browser/wwwtax.cgi?mode=Info&amp;id=181099&amp;lvl=3&amp;lin=f&amp;keep=1&amp;srchmode=1&amp;unlock","Oriolus oriolus")</f>
        <v>Oriolus oriolus</v>
      </c>
      <c r="H363" t="s">
        <v>363</v>
      </c>
      <c r="I363" t="str">
        <f>HYPERLINK("http://www.ncbi.nlm.nih.gov/protein/NXO11184.1","FABPL protein")</f>
        <v>FABPL protein</v>
      </c>
      <c r="J363">
        <v>192.2</v>
      </c>
      <c r="K363" t="s">
        <v>25</v>
      </c>
      <c r="L363">
        <v>139</v>
      </c>
      <c r="M363">
        <v>50.68</v>
      </c>
      <c r="N363">
        <v>76.180000000000007</v>
      </c>
      <c r="O363" t="s">
        <v>20</v>
      </c>
      <c r="P363" t="s">
        <v>21</v>
      </c>
      <c r="Q363" t="s">
        <v>20</v>
      </c>
      <c r="R363" t="str">
        <f>HYPERLINK("https://cfpub.epa.gov/ecotox/explore.cfm?ncbi=181099","Explore in ECOTOX")</f>
        <v>Explore in ECOTOX</v>
      </c>
    </row>
    <row r="364" spans="1:18" x14ac:dyDescent="0.25">
      <c r="A364">
        <v>6</v>
      </c>
      <c r="B364" t="str">
        <f>HYPERLINK("http://www.ncbi.nlm.nih.gov/protein/NXM02695.1","NXM02695.1")</f>
        <v>NXM02695.1</v>
      </c>
      <c r="C364">
        <v>13608</v>
      </c>
      <c r="D364" t="str">
        <f>HYPERLINK("http://www.ncbi.nlm.nih.gov/Taxonomy/Browser/wwwtax.cgi?mode=Info&amp;id=137541&amp;lvl=3&amp;lin=f&amp;keep=1&amp;srchmode=1&amp;unlock","137541")</f>
        <v>137541</v>
      </c>
      <c r="E364" t="s">
        <v>167</v>
      </c>
      <c r="F364" t="s">
        <v>167</v>
      </c>
      <c r="G364" t="str">
        <f>HYPERLINK("http://www.ncbi.nlm.nih.gov/Taxonomy/Browser/wwwtax.cgi?mode=Info&amp;id=137541&amp;lvl=3&amp;lin=f&amp;keep=1&amp;srchmode=1&amp;unlock","Tyrannus savana")</f>
        <v>Tyrannus savana</v>
      </c>
      <c r="H364" t="s">
        <v>364</v>
      </c>
      <c r="I364" t="str">
        <f>HYPERLINK("http://www.ncbi.nlm.nih.gov/protein/NXM02695.1","FABPL protein")</f>
        <v>FABPL protein</v>
      </c>
      <c r="J364">
        <v>191.81</v>
      </c>
      <c r="K364" t="s">
        <v>25</v>
      </c>
      <c r="L364">
        <v>139</v>
      </c>
      <c r="M364">
        <v>50.68</v>
      </c>
      <c r="N364">
        <v>76.03</v>
      </c>
      <c r="O364" t="s">
        <v>20</v>
      </c>
      <c r="P364" t="s">
        <v>21</v>
      </c>
      <c r="Q364" t="s">
        <v>20</v>
      </c>
      <c r="R364" t="str">
        <f>HYPERLINK("https://cfpub.epa.gov/ecotox/explore.cfm?ncbi=137541","Explore in ECOTOX")</f>
        <v>Explore in ECOTOX</v>
      </c>
    </row>
    <row r="365" spans="1:18" x14ac:dyDescent="0.25">
      <c r="A365">
        <v>6</v>
      </c>
      <c r="B365" t="str">
        <f>HYPERLINK("http://www.ncbi.nlm.nih.gov/protein/NWW03945.1","NWW03945.1")</f>
        <v>NWW03945.1</v>
      </c>
      <c r="C365">
        <v>14030</v>
      </c>
      <c r="D365" t="str">
        <f>HYPERLINK("http://www.ncbi.nlm.nih.gov/Taxonomy/Browser/wwwtax.cgi?mode=Info&amp;id=979223&amp;lvl=3&amp;lin=f&amp;keep=1&amp;srchmode=1&amp;unlock","979223")</f>
        <v>979223</v>
      </c>
      <c r="E365" t="s">
        <v>167</v>
      </c>
      <c r="F365" t="s">
        <v>167</v>
      </c>
      <c r="G365" t="str">
        <f>HYPERLINK("http://www.ncbi.nlm.nih.gov/Taxonomy/Browser/wwwtax.cgi?mode=Info&amp;id=979223&amp;lvl=3&amp;lin=f&amp;keep=1&amp;srchmode=1&amp;unlock","Oreocharis arfaki")</f>
        <v>Oreocharis arfaki</v>
      </c>
      <c r="H365" t="s">
        <v>365</v>
      </c>
      <c r="I365" t="str">
        <f>HYPERLINK("http://www.ncbi.nlm.nih.gov/protein/NWW03945.1","FABPL protein")</f>
        <v>FABPL protein</v>
      </c>
      <c r="J365">
        <v>191.81</v>
      </c>
      <c r="K365" t="s">
        <v>25</v>
      </c>
      <c r="L365">
        <v>139</v>
      </c>
      <c r="M365">
        <v>50.68</v>
      </c>
      <c r="N365">
        <v>76.03</v>
      </c>
      <c r="O365" t="s">
        <v>20</v>
      </c>
      <c r="P365" t="s">
        <v>21</v>
      </c>
      <c r="Q365" t="s">
        <v>20</v>
      </c>
      <c r="R365" t="str">
        <f>HYPERLINK("https://cfpub.epa.gov/ecotox/explore.cfm?ncbi=979223","Explore in ECOTOX")</f>
        <v>Explore in ECOTOX</v>
      </c>
    </row>
    <row r="366" spans="1:18" x14ac:dyDescent="0.25">
      <c r="A366">
        <v>6</v>
      </c>
      <c r="B366" t="str">
        <f>HYPERLINK("http://www.ncbi.nlm.nih.gov/protein/NXB40573.1","NXB40573.1")</f>
        <v>NXB40573.1</v>
      </c>
      <c r="C366">
        <v>14343</v>
      </c>
      <c r="D366" t="str">
        <f>HYPERLINK("http://www.ncbi.nlm.nih.gov/Taxonomy/Browser/wwwtax.cgi?mode=Info&amp;id=461239&amp;lvl=3&amp;lin=f&amp;keep=1&amp;srchmode=1&amp;unlock","461239")</f>
        <v>461239</v>
      </c>
      <c r="E366" t="s">
        <v>167</v>
      </c>
      <c r="F366" t="s">
        <v>167</v>
      </c>
      <c r="G366" t="str">
        <f>HYPERLINK("http://www.ncbi.nlm.nih.gov/Taxonomy/Browser/wwwtax.cgi?mode=Info&amp;id=461239&amp;lvl=3&amp;lin=f&amp;keep=1&amp;srchmode=1&amp;unlock","Eulacestoma nigropectus")</f>
        <v>Eulacestoma nigropectus</v>
      </c>
      <c r="H366" t="s">
        <v>366</v>
      </c>
      <c r="I366" t="str">
        <f>HYPERLINK("http://www.ncbi.nlm.nih.gov/protein/NXB40573.1","FABPL protein")</f>
        <v>FABPL protein</v>
      </c>
      <c r="J366">
        <v>191.81</v>
      </c>
      <c r="K366" t="s">
        <v>25</v>
      </c>
      <c r="L366">
        <v>139</v>
      </c>
      <c r="M366">
        <v>50.68</v>
      </c>
      <c r="N366">
        <v>76.03</v>
      </c>
      <c r="O366" t="s">
        <v>20</v>
      </c>
      <c r="P366" t="s">
        <v>21</v>
      </c>
      <c r="Q366" t="s">
        <v>20</v>
      </c>
      <c r="R366" t="str">
        <f>HYPERLINK("https://cfpub.epa.gov/ecotox/explore.cfm?ncbi=461239","Explore in ECOTOX")</f>
        <v>Explore in ECOTOX</v>
      </c>
    </row>
    <row r="367" spans="1:18" x14ac:dyDescent="0.25">
      <c r="A367">
        <v>6</v>
      </c>
      <c r="B367" t="str">
        <f>HYPERLINK("http://www.ncbi.nlm.nih.gov/protein/XP_015718367.1","XP_015718367.1")</f>
        <v>XP_015718367.1</v>
      </c>
      <c r="C367">
        <v>41813</v>
      </c>
      <c r="D367" t="str">
        <f>HYPERLINK("http://www.ncbi.nlm.nih.gov/Taxonomy/Browser/wwwtax.cgi?mode=Info&amp;id=93934&amp;lvl=3&amp;lin=f&amp;keep=1&amp;srchmode=1&amp;unlock","93934")</f>
        <v>93934</v>
      </c>
      <c r="E367" t="s">
        <v>167</v>
      </c>
      <c r="F367" t="s">
        <v>167</v>
      </c>
      <c r="G367" t="str">
        <f>HYPERLINK("http://www.ncbi.nlm.nih.gov/Taxonomy/Browser/wwwtax.cgi?mode=Info&amp;id=93934&amp;lvl=3&amp;lin=f&amp;keep=1&amp;srchmode=1&amp;unlock","Coturnix japonica")</f>
        <v>Coturnix japonica</v>
      </c>
      <c r="H367" t="s">
        <v>367</v>
      </c>
      <c r="I367" t="str">
        <f>HYPERLINK("http://www.ncbi.nlm.nih.gov/protein/XP_015718367.1","fatty acid-binding protein, liver")</f>
        <v>fatty acid-binding protein, liver</v>
      </c>
      <c r="J367">
        <v>191.43</v>
      </c>
      <c r="K367" t="s">
        <v>20</v>
      </c>
      <c r="L367">
        <v>139</v>
      </c>
      <c r="M367">
        <v>50.68</v>
      </c>
      <c r="N367">
        <v>75.88</v>
      </c>
      <c r="O367" t="s">
        <v>20</v>
      </c>
      <c r="P367" t="s">
        <v>21</v>
      </c>
      <c r="Q367" t="s">
        <v>20</v>
      </c>
      <c r="R367" t="str">
        <f>HYPERLINK("https://cfpub.epa.gov/ecotox/explore.cfm?ncbi=93934","Explore in ECOTOX")</f>
        <v>Explore in ECOTOX</v>
      </c>
    </row>
    <row r="368" spans="1:18" x14ac:dyDescent="0.25">
      <c r="A368">
        <v>6</v>
      </c>
      <c r="B368" t="str">
        <f>HYPERLINK("http://www.ncbi.nlm.nih.gov/protein/NXA93359.1","NXA93359.1")</f>
        <v>NXA93359.1</v>
      </c>
      <c r="C368">
        <v>13996</v>
      </c>
      <c r="D368" t="str">
        <f>HYPERLINK("http://www.ncbi.nlm.nih.gov/Taxonomy/Browser/wwwtax.cgi?mode=Info&amp;id=254552&amp;lvl=3&amp;lin=f&amp;keep=1&amp;srchmode=1&amp;unlock","254552")</f>
        <v>254552</v>
      </c>
      <c r="E368" t="s">
        <v>167</v>
      </c>
      <c r="F368" t="s">
        <v>167</v>
      </c>
      <c r="G368" t="str">
        <f>HYPERLINK("http://www.ncbi.nlm.nih.gov/Taxonomy/Browser/wwwtax.cgi?mode=Info&amp;id=254552&amp;lvl=3&amp;lin=f&amp;keep=1&amp;srchmode=1&amp;unlock","Melanocharis versteri")</f>
        <v>Melanocharis versteri</v>
      </c>
      <c r="H368" t="s">
        <v>368</v>
      </c>
      <c r="I368" t="str">
        <f>HYPERLINK("http://www.ncbi.nlm.nih.gov/protein/NXA93359.1","FABPL protein")</f>
        <v>FABPL protein</v>
      </c>
      <c r="J368">
        <v>191.43</v>
      </c>
      <c r="K368" t="s">
        <v>25</v>
      </c>
      <c r="L368">
        <v>139</v>
      </c>
      <c r="M368">
        <v>50.68</v>
      </c>
      <c r="N368">
        <v>75.88</v>
      </c>
      <c r="O368" t="s">
        <v>20</v>
      </c>
      <c r="P368" t="s">
        <v>21</v>
      </c>
      <c r="Q368" t="s">
        <v>20</v>
      </c>
      <c r="R368" t="str">
        <f>HYPERLINK("https://cfpub.epa.gov/ecotox/explore.cfm?ncbi=254552","Explore in ECOTOX")</f>
        <v>Explore in ECOTOX</v>
      </c>
    </row>
    <row r="369" spans="1:18" x14ac:dyDescent="0.25">
      <c r="A369">
        <v>6</v>
      </c>
      <c r="B369" t="str">
        <f>HYPERLINK("http://www.ncbi.nlm.nih.gov/protein/NWX35514.1","NWX35514.1")</f>
        <v>NWX35514.1</v>
      </c>
      <c r="C369">
        <v>13735</v>
      </c>
      <c r="D369" t="str">
        <f>HYPERLINK("http://www.ncbi.nlm.nih.gov/Taxonomy/Browser/wwwtax.cgi?mode=Info&amp;id=366454&amp;lvl=3&amp;lin=f&amp;keep=1&amp;srchmode=1&amp;unlock","366454")</f>
        <v>366454</v>
      </c>
      <c r="E369" t="s">
        <v>167</v>
      </c>
      <c r="F369" t="s">
        <v>167</v>
      </c>
      <c r="G369" t="str">
        <f>HYPERLINK("http://www.ncbi.nlm.nih.gov/Taxonomy/Browser/wwwtax.cgi?mode=Info&amp;id=366454&amp;lvl=3&amp;lin=f&amp;keep=1&amp;srchmode=1&amp;unlock","Notiomystis cincta")</f>
        <v>Notiomystis cincta</v>
      </c>
      <c r="H369" t="s">
        <v>369</v>
      </c>
      <c r="I369" t="str">
        <f>HYPERLINK("http://www.ncbi.nlm.nih.gov/protein/NWX35514.1","FABPL protein")</f>
        <v>FABPL protein</v>
      </c>
      <c r="J369">
        <v>191.04</v>
      </c>
      <c r="K369" t="s">
        <v>25</v>
      </c>
      <c r="L369">
        <v>139</v>
      </c>
      <c r="M369">
        <v>50.68</v>
      </c>
      <c r="N369">
        <v>75.72</v>
      </c>
      <c r="O369" t="s">
        <v>20</v>
      </c>
      <c r="P369" t="s">
        <v>21</v>
      </c>
      <c r="Q369" t="s">
        <v>20</v>
      </c>
      <c r="R369" t="str">
        <f>HYPERLINK("https://cfpub.epa.gov/ecotox/explore.cfm?ncbi=366454","Explore in ECOTOX")</f>
        <v>Explore in ECOTOX</v>
      </c>
    </row>
    <row r="370" spans="1:18" x14ac:dyDescent="0.25">
      <c r="A370">
        <v>6</v>
      </c>
      <c r="B370" t="str">
        <f>HYPERLINK("http://www.ncbi.nlm.nih.gov/protein/XP_009684378.1","XP_009684378.1")</f>
        <v>XP_009684378.1</v>
      </c>
      <c r="C370">
        <v>39498</v>
      </c>
      <c r="D370" t="str">
        <f>HYPERLINK("http://www.ncbi.nlm.nih.gov/Taxonomy/Browser/wwwtax.cgi?mode=Info&amp;id=441894&amp;lvl=3&amp;lin=f&amp;keep=1&amp;srchmode=1&amp;unlock","441894")</f>
        <v>441894</v>
      </c>
      <c r="E370" t="s">
        <v>167</v>
      </c>
      <c r="F370" t="s">
        <v>167</v>
      </c>
      <c r="G370" t="str">
        <f>HYPERLINK("http://www.ncbi.nlm.nih.gov/Taxonomy/Browser/wwwtax.cgi?mode=Info&amp;id=441894&amp;lvl=3&amp;lin=f&amp;keep=1&amp;srchmode=1&amp;unlock","Struthio camelus australis")</f>
        <v>Struthio camelus australis</v>
      </c>
      <c r="H370" t="s">
        <v>370</v>
      </c>
      <c r="I370" t="str">
        <f>HYPERLINK("http://www.ncbi.nlm.nih.gov/protein/XP_009684378.1","PREDICTED: fatty acid-binding protein, liver")</f>
        <v>PREDICTED: fatty acid-binding protein, liver</v>
      </c>
      <c r="J370">
        <v>191.04</v>
      </c>
      <c r="K370" t="s">
        <v>25</v>
      </c>
      <c r="L370">
        <v>139</v>
      </c>
      <c r="M370">
        <v>50.68</v>
      </c>
      <c r="N370">
        <v>75.72</v>
      </c>
      <c r="O370" t="s">
        <v>20</v>
      </c>
      <c r="P370" t="s">
        <v>21</v>
      </c>
      <c r="Q370" t="s">
        <v>20</v>
      </c>
      <c r="R370" t="str">
        <f>HYPERLINK("https://cfpub.epa.gov/ecotox/explore.cfm?ncbi=441894","Explore in ECOTOX")</f>
        <v>Explore in ECOTOX</v>
      </c>
    </row>
    <row r="371" spans="1:18" x14ac:dyDescent="0.25">
      <c r="A371">
        <v>6</v>
      </c>
      <c r="B371" t="str">
        <f>HYPERLINK("http://www.ncbi.nlm.nih.gov/protein/XP_006262747.2","XP_006262747.2")</f>
        <v>XP_006262747.2</v>
      </c>
      <c r="C371">
        <v>74714</v>
      </c>
      <c r="D371" t="str">
        <f>HYPERLINK("http://www.ncbi.nlm.nih.gov/Taxonomy/Browser/wwwtax.cgi?mode=Info&amp;id=8496&amp;lvl=3&amp;lin=f&amp;keep=1&amp;srchmode=1&amp;unlock","8496")</f>
        <v>8496</v>
      </c>
      <c r="E371" t="s">
        <v>371</v>
      </c>
      <c r="F371" t="s">
        <v>371</v>
      </c>
      <c r="G371" t="str">
        <f>HYPERLINK("http://www.ncbi.nlm.nih.gov/Taxonomy/Browser/wwwtax.cgi?mode=Info&amp;id=8496&amp;lvl=3&amp;lin=f&amp;keep=1&amp;srchmode=1&amp;unlock","Alligator mississippiensis")</f>
        <v>Alligator mississippiensis</v>
      </c>
      <c r="H371" t="s">
        <v>372</v>
      </c>
      <c r="I371" t="str">
        <f>HYPERLINK("http://www.ncbi.nlm.nih.gov/protein/XP_006262747.2","PREDICTED: fatty acid-binding protein, liver")</f>
        <v>PREDICTED: fatty acid-binding protein, liver</v>
      </c>
      <c r="J371">
        <v>191.04</v>
      </c>
      <c r="K371" t="s">
        <v>25</v>
      </c>
      <c r="L371">
        <v>139</v>
      </c>
      <c r="M371">
        <v>50.68</v>
      </c>
      <c r="N371">
        <v>75.72</v>
      </c>
      <c r="O371" t="s">
        <v>20</v>
      </c>
      <c r="P371" t="s">
        <v>21</v>
      </c>
      <c r="Q371" t="s">
        <v>20</v>
      </c>
      <c r="R371" t="str">
        <f>HYPERLINK("https://cfpub.epa.gov/ecotox/explore.cfm?ncbi=8496","Explore in ECOTOX")</f>
        <v>Explore in ECOTOX</v>
      </c>
    </row>
    <row r="372" spans="1:18" x14ac:dyDescent="0.25">
      <c r="A372">
        <v>6</v>
      </c>
      <c r="B372" t="str">
        <f>HYPERLINK("http://www.ncbi.nlm.nih.gov/protein/NXC84290.1","NXC84290.1")</f>
        <v>NXC84290.1</v>
      </c>
      <c r="C372">
        <v>13604</v>
      </c>
      <c r="D372" t="str">
        <f>HYPERLINK("http://www.ncbi.nlm.nih.gov/Taxonomy/Browser/wwwtax.cgi?mode=Info&amp;id=614051&amp;lvl=3&amp;lin=f&amp;keep=1&amp;srchmode=1&amp;unlock","614051")</f>
        <v>614051</v>
      </c>
      <c r="E372" t="s">
        <v>167</v>
      </c>
      <c r="F372" t="s">
        <v>167</v>
      </c>
      <c r="G372" t="str">
        <f>HYPERLINK("http://www.ncbi.nlm.nih.gov/Taxonomy/Browser/wwwtax.cgi?mode=Info&amp;id=614051&amp;lvl=3&amp;lin=f&amp;keep=1&amp;srchmode=1&amp;unlock","Cercotrichas coryphoeus")</f>
        <v>Cercotrichas coryphoeus</v>
      </c>
      <c r="H372" t="s">
        <v>373</v>
      </c>
      <c r="I372" t="str">
        <f>HYPERLINK("http://www.ncbi.nlm.nih.gov/protein/NXC84290.1","FABPL protein")</f>
        <v>FABPL protein</v>
      </c>
      <c r="J372">
        <v>191.04</v>
      </c>
      <c r="K372" t="s">
        <v>25</v>
      </c>
      <c r="L372">
        <v>139</v>
      </c>
      <c r="M372">
        <v>50.68</v>
      </c>
      <c r="N372">
        <v>75.72</v>
      </c>
      <c r="O372" t="s">
        <v>20</v>
      </c>
      <c r="P372" t="s">
        <v>21</v>
      </c>
      <c r="Q372" t="s">
        <v>20</v>
      </c>
      <c r="R372" t="str">
        <f>HYPERLINK("https://cfpub.epa.gov/ecotox/explore.cfm?ncbi=614051","Explore in ECOTOX")</f>
        <v>Explore in ECOTOX</v>
      </c>
    </row>
    <row r="373" spans="1:18" x14ac:dyDescent="0.25">
      <c r="A373">
        <v>6</v>
      </c>
      <c r="B373" t="str">
        <f>HYPERLINK("http://www.ncbi.nlm.nih.gov/protein/NXR98223.1","NXR98223.1")</f>
        <v>NXR98223.1</v>
      </c>
      <c r="C373">
        <v>9012</v>
      </c>
      <c r="D373" t="str">
        <f>HYPERLINK("http://www.ncbi.nlm.nih.gov/Taxonomy/Browser/wwwtax.cgi?mode=Info&amp;id=98144&amp;lvl=3&amp;lin=f&amp;keep=1&amp;srchmode=1&amp;unlock","98144")</f>
        <v>98144</v>
      </c>
      <c r="E373" t="s">
        <v>167</v>
      </c>
      <c r="F373" t="s">
        <v>167</v>
      </c>
      <c r="G373" t="str">
        <f>HYPERLINK("http://www.ncbi.nlm.nih.gov/Taxonomy/Browser/wwwtax.cgi?mode=Info&amp;id=98144&amp;lvl=3&amp;lin=f&amp;keep=1&amp;srchmode=1&amp;unlock","Oxylabes madagascariensis")</f>
        <v>Oxylabes madagascariensis</v>
      </c>
      <c r="H373" t="s">
        <v>374</v>
      </c>
      <c r="I373" t="str">
        <f>HYPERLINK("http://www.ncbi.nlm.nih.gov/protein/NXR98223.1","FABPL protein")</f>
        <v>FABPL protein</v>
      </c>
      <c r="J373">
        <v>190.66</v>
      </c>
      <c r="K373" t="s">
        <v>25</v>
      </c>
      <c r="L373">
        <v>139</v>
      </c>
      <c r="M373">
        <v>50.68</v>
      </c>
      <c r="N373">
        <v>75.569999999999993</v>
      </c>
      <c r="O373" t="s">
        <v>20</v>
      </c>
      <c r="P373" t="s">
        <v>21</v>
      </c>
      <c r="Q373" t="s">
        <v>20</v>
      </c>
      <c r="R373" t="str">
        <f>HYPERLINK("https://cfpub.epa.gov/ecotox/explore.cfm?ncbi=98144","Explore in ECOTOX")</f>
        <v>Explore in ECOTOX</v>
      </c>
    </row>
    <row r="374" spans="1:18" x14ac:dyDescent="0.25">
      <c r="A374">
        <v>6</v>
      </c>
      <c r="B374" t="str">
        <f>HYPERLINK("http://www.ncbi.nlm.nih.gov/protein/NWW56002.1","NWW56002.1")</f>
        <v>NWW56002.1</v>
      </c>
      <c r="C374">
        <v>14068</v>
      </c>
      <c r="D374" t="str">
        <f>HYPERLINK("http://www.ncbi.nlm.nih.gov/Taxonomy/Browser/wwwtax.cgi?mode=Info&amp;id=461245&amp;lvl=3&amp;lin=f&amp;keep=1&amp;srchmode=1&amp;unlock","461245")</f>
        <v>461245</v>
      </c>
      <c r="E374" t="s">
        <v>167</v>
      </c>
      <c r="F374" t="s">
        <v>167</v>
      </c>
      <c r="G374" t="str">
        <f>HYPERLINK("http://www.ncbi.nlm.nih.gov/Taxonomy/Browser/wwwtax.cgi?mode=Info&amp;id=461245&amp;lvl=3&amp;lin=f&amp;keep=1&amp;srchmode=1&amp;unlock","Ifrita kowaldi")</f>
        <v>Ifrita kowaldi</v>
      </c>
      <c r="H374" t="s">
        <v>375</v>
      </c>
      <c r="I374" t="str">
        <f>HYPERLINK("http://www.ncbi.nlm.nih.gov/protein/NWW56002.1","FABPL protein")</f>
        <v>FABPL protein</v>
      </c>
      <c r="J374">
        <v>190.66</v>
      </c>
      <c r="K374" t="s">
        <v>25</v>
      </c>
      <c r="L374">
        <v>139</v>
      </c>
      <c r="M374">
        <v>50.68</v>
      </c>
      <c r="N374">
        <v>75.569999999999993</v>
      </c>
      <c r="O374" t="s">
        <v>20</v>
      </c>
      <c r="P374" t="s">
        <v>21</v>
      </c>
      <c r="Q374" t="s">
        <v>20</v>
      </c>
      <c r="R374" t="str">
        <f>HYPERLINK("https://cfpub.epa.gov/ecotox/explore.cfm?ncbi=461245","Explore in ECOTOX")</f>
        <v>Explore in ECOTOX</v>
      </c>
    </row>
    <row r="375" spans="1:18" x14ac:dyDescent="0.25">
      <c r="A375">
        <v>6</v>
      </c>
      <c r="B375" t="str">
        <f>HYPERLINK("http://www.ncbi.nlm.nih.gov/protein/XP_006028696.1","XP_006028696.1")</f>
        <v>XP_006028696.1</v>
      </c>
      <c r="C375">
        <v>43398</v>
      </c>
      <c r="D375" t="str">
        <f>HYPERLINK("http://www.ncbi.nlm.nih.gov/Taxonomy/Browser/wwwtax.cgi?mode=Info&amp;id=38654&amp;lvl=3&amp;lin=f&amp;keep=1&amp;srchmode=1&amp;unlock","38654")</f>
        <v>38654</v>
      </c>
      <c r="E375" t="s">
        <v>371</v>
      </c>
      <c r="F375" t="s">
        <v>371</v>
      </c>
      <c r="G375" t="str">
        <f>HYPERLINK("http://www.ncbi.nlm.nih.gov/Taxonomy/Browser/wwwtax.cgi?mode=Info&amp;id=38654&amp;lvl=3&amp;lin=f&amp;keep=1&amp;srchmode=1&amp;unlock","Alligator sinensis")</f>
        <v>Alligator sinensis</v>
      </c>
      <c r="H375" t="s">
        <v>376</v>
      </c>
      <c r="I375" t="str">
        <f>HYPERLINK("http://www.ncbi.nlm.nih.gov/protein/XP_006028696.1","fatty acid-binding protein, liver")</f>
        <v>fatty acid-binding protein, liver</v>
      </c>
      <c r="J375">
        <v>190.66</v>
      </c>
      <c r="K375" t="s">
        <v>25</v>
      </c>
      <c r="L375">
        <v>139</v>
      </c>
      <c r="M375">
        <v>50.68</v>
      </c>
      <c r="N375">
        <v>75.569999999999993</v>
      </c>
      <c r="O375" t="s">
        <v>20</v>
      </c>
      <c r="P375" t="s">
        <v>21</v>
      </c>
      <c r="Q375" t="s">
        <v>20</v>
      </c>
      <c r="R375" t="str">
        <f>HYPERLINK("https://cfpub.epa.gov/ecotox/explore.cfm?ncbi=38654","Explore in ECOTOX")</f>
        <v>Explore in ECOTOX</v>
      </c>
    </row>
    <row r="376" spans="1:18" x14ac:dyDescent="0.25">
      <c r="A376">
        <v>6</v>
      </c>
      <c r="B376" t="str">
        <f>HYPERLINK("http://www.ncbi.nlm.nih.gov/protein/XP_009933046.1","XP_009933046.1")</f>
        <v>XP_009933046.1</v>
      </c>
      <c r="C376">
        <v>27858</v>
      </c>
      <c r="D376" t="str">
        <f>HYPERLINK("http://www.ncbi.nlm.nih.gov/Taxonomy/Browser/wwwtax.cgi?mode=Info&amp;id=30419&amp;lvl=3&amp;lin=f&amp;keep=1&amp;srchmode=1&amp;unlock","30419")</f>
        <v>30419</v>
      </c>
      <c r="E376" t="s">
        <v>167</v>
      </c>
      <c r="F376" t="s">
        <v>167</v>
      </c>
      <c r="G376" t="str">
        <f>HYPERLINK("http://www.ncbi.nlm.nih.gov/Taxonomy/Browser/wwwtax.cgi?mode=Info&amp;id=30419&amp;lvl=3&amp;lin=f&amp;keep=1&amp;srchmode=1&amp;unlock","Opisthocomus hoazin")</f>
        <v>Opisthocomus hoazin</v>
      </c>
      <c r="H376" t="s">
        <v>377</v>
      </c>
      <c r="I376" t="str">
        <f>HYPERLINK("http://www.ncbi.nlm.nih.gov/protein/XP_009933046.1","PREDICTED: fatty acid-binding protein, liver")</f>
        <v>PREDICTED: fatty acid-binding protein, liver</v>
      </c>
      <c r="J376">
        <v>190.66</v>
      </c>
      <c r="K376" t="s">
        <v>25</v>
      </c>
      <c r="L376">
        <v>139</v>
      </c>
      <c r="M376">
        <v>50.68</v>
      </c>
      <c r="N376">
        <v>75.569999999999993</v>
      </c>
      <c r="O376" t="s">
        <v>20</v>
      </c>
      <c r="P376" t="s">
        <v>21</v>
      </c>
      <c r="Q376" t="s">
        <v>20</v>
      </c>
      <c r="R376" t="str">
        <f>HYPERLINK("https://cfpub.epa.gov/ecotox/explore.cfm?ncbi=30419","Explore in ECOTOX")</f>
        <v>Explore in ECOTOX</v>
      </c>
    </row>
    <row r="377" spans="1:18" x14ac:dyDescent="0.25">
      <c r="A377">
        <v>6</v>
      </c>
      <c r="B377" t="str">
        <f>HYPERLINK("http://www.ncbi.nlm.nih.gov/protein/NXD34916.1","NXD34916.1")</f>
        <v>NXD34916.1</v>
      </c>
      <c r="C377">
        <v>14417</v>
      </c>
      <c r="D377" t="str">
        <f>HYPERLINK("http://www.ncbi.nlm.nih.gov/Taxonomy/Browser/wwwtax.cgi?mode=Info&amp;id=797021&amp;lvl=3&amp;lin=f&amp;keep=1&amp;srchmode=1&amp;unlock","797021")</f>
        <v>797021</v>
      </c>
      <c r="E377" t="s">
        <v>167</v>
      </c>
      <c r="F377" t="s">
        <v>167</v>
      </c>
      <c r="G377" t="str">
        <f>HYPERLINK("http://www.ncbi.nlm.nih.gov/Taxonomy/Browser/wwwtax.cgi?mode=Info&amp;id=797021&amp;lvl=3&amp;lin=f&amp;keep=1&amp;srchmode=1&amp;unlock","Copsychus sechellarum")</f>
        <v>Copsychus sechellarum</v>
      </c>
      <c r="H377" t="s">
        <v>378</v>
      </c>
      <c r="I377" t="str">
        <f>HYPERLINK("http://www.ncbi.nlm.nih.gov/protein/NXD34916.1","FABPL protein")</f>
        <v>FABPL protein</v>
      </c>
      <c r="J377">
        <v>190.66</v>
      </c>
      <c r="K377" t="s">
        <v>25</v>
      </c>
      <c r="L377">
        <v>139</v>
      </c>
      <c r="M377">
        <v>50.68</v>
      </c>
      <c r="N377">
        <v>75.569999999999993</v>
      </c>
      <c r="O377" t="s">
        <v>20</v>
      </c>
      <c r="P377" t="s">
        <v>21</v>
      </c>
      <c r="Q377" t="s">
        <v>20</v>
      </c>
      <c r="R377" t="str">
        <f>HYPERLINK("https://cfpub.epa.gov/ecotox/explore.cfm?ncbi=797021","Explore in ECOTOX")</f>
        <v>Explore in ECOTOX</v>
      </c>
    </row>
    <row r="378" spans="1:18" x14ac:dyDescent="0.25">
      <c r="A378">
        <v>6</v>
      </c>
      <c r="B378" t="str">
        <f>HYPERLINK("http://www.ncbi.nlm.nih.gov/protein/NXO83871.1","NXO83871.1")</f>
        <v>NXO83871.1</v>
      </c>
      <c r="C378">
        <v>13766</v>
      </c>
      <c r="D378" t="str">
        <f>HYPERLINK("http://www.ncbi.nlm.nih.gov/Taxonomy/Browser/wwwtax.cgi?mode=Info&amp;id=50251&amp;lvl=3&amp;lin=f&amp;keep=1&amp;srchmode=1&amp;unlock","50251")</f>
        <v>50251</v>
      </c>
      <c r="E378" t="s">
        <v>167</v>
      </c>
      <c r="F378" t="s">
        <v>167</v>
      </c>
      <c r="G378" t="str">
        <f>HYPERLINK("http://www.ncbi.nlm.nih.gov/Taxonomy/Browser/wwwtax.cgi?mode=Info&amp;id=50251&amp;lvl=3&amp;lin=f&amp;keep=1&amp;srchmode=1&amp;unlock","Sitta europaea")</f>
        <v>Sitta europaea</v>
      </c>
      <c r="H378" t="s">
        <v>379</v>
      </c>
      <c r="I378" t="str">
        <f>HYPERLINK("http://www.ncbi.nlm.nih.gov/protein/NXO83871.1","FABPL protein")</f>
        <v>FABPL protein</v>
      </c>
      <c r="J378">
        <v>190.66</v>
      </c>
      <c r="K378" t="s">
        <v>25</v>
      </c>
      <c r="L378">
        <v>139</v>
      </c>
      <c r="M378">
        <v>50.68</v>
      </c>
      <c r="N378">
        <v>75.569999999999993</v>
      </c>
      <c r="O378" t="s">
        <v>20</v>
      </c>
      <c r="P378" t="s">
        <v>21</v>
      </c>
      <c r="Q378" t="s">
        <v>20</v>
      </c>
      <c r="R378" t="str">
        <f>HYPERLINK("https://cfpub.epa.gov/ecotox/explore.cfm?ncbi=50251","Explore in ECOTOX")</f>
        <v>Explore in ECOTOX</v>
      </c>
    </row>
    <row r="379" spans="1:18" x14ac:dyDescent="0.25">
      <c r="A379">
        <v>6</v>
      </c>
      <c r="B379" t="str">
        <f>HYPERLINK("http://www.ncbi.nlm.nih.gov/protein/KAF2976021.1","KAF2976021.1")</f>
        <v>KAF2976021.1</v>
      </c>
      <c r="C379">
        <v>15084</v>
      </c>
      <c r="D379" t="str">
        <f>HYPERLINK("http://www.ncbi.nlm.nih.gov/Taxonomy/Browser/wwwtax.cgi?mode=Info&amp;id=2498840&amp;lvl=3&amp;lin=f&amp;keep=1&amp;srchmode=1&amp;unlock","2498840")</f>
        <v>2498840</v>
      </c>
      <c r="E379" t="s">
        <v>167</v>
      </c>
      <c r="F379" t="s">
        <v>167</v>
      </c>
      <c r="G379" t="str">
        <f>HYPERLINK("http://www.ncbi.nlm.nih.gov/Taxonomy/Browser/wwwtax.cgi?mode=Info&amp;id=2498840&amp;lvl=3&amp;lin=f&amp;keep=1&amp;srchmode=1&amp;unlock","Melospiza melodia maxima")</f>
        <v>Melospiza melodia maxima</v>
      </c>
      <c r="H379" t="s">
        <v>380</v>
      </c>
      <c r="I379" t="str">
        <f>HYPERLINK("http://www.ncbi.nlm.nih.gov/protein/KAF2976021.1","hypothetical protein EK904_013542")</f>
        <v>hypothetical protein EK904_013542</v>
      </c>
      <c r="J379">
        <v>190.27</v>
      </c>
      <c r="K379" t="s">
        <v>25</v>
      </c>
      <c r="L379">
        <v>139</v>
      </c>
      <c r="M379">
        <v>50.68</v>
      </c>
      <c r="N379">
        <v>75.42</v>
      </c>
      <c r="O379" t="s">
        <v>20</v>
      </c>
      <c r="P379" t="s">
        <v>21</v>
      </c>
      <c r="Q379" t="s">
        <v>20</v>
      </c>
      <c r="R379" t="str">
        <f>HYPERLINK("https://cfpub.epa.gov/ecotox/explore.cfm?ncbi=2498840","Explore in ECOTOX")</f>
        <v>Explore in ECOTOX</v>
      </c>
    </row>
    <row r="380" spans="1:18" x14ac:dyDescent="0.25">
      <c r="A380">
        <v>6</v>
      </c>
      <c r="B380" t="str">
        <f>HYPERLINK("http://www.ncbi.nlm.nih.gov/protein/XP_014708265.1","XP_014708265.1")</f>
        <v>XP_014708265.1</v>
      </c>
      <c r="C380">
        <v>42730</v>
      </c>
      <c r="D380" t="str">
        <f>HYPERLINK("http://www.ncbi.nlm.nih.gov/Taxonomy/Browser/wwwtax.cgi?mode=Info&amp;id=9793&amp;lvl=3&amp;lin=f&amp;keep=1&amp;srchmode=1&amp;unlock","9793")</f>
        <v>9793</v>
      </c>
      <c r="E380" t="s">
        <v>18</v>
      </c>
      <c r="F380" t="s">
        <v>18</v>
      </c>
      <c r="G380" t="str">
        <f>HYPERLINK("http://www.ncbi.nlm.nih.gov/Taxonomy/Browser/wwwtax.cgi?mode=Info&amp;id=9793&amp;lvl=3&amp;lin=f&amp;keep=1&amp;srchmode=1&amp;unlock","Equus asinus")</f>
        <v>Equus asinus</v>
      </c>
      <c r="H380" t="s">
        <v>381</v>
      </c>
      <c r="I380" t="str">
        <f>HYPERLINK("http://www.ncbi.nlm.nih.gov/protein/XP_014708265.1","PREDICTED: fatty acid-binding protein, liver")</f>
        <v>PREDICTED: fatty acid-binding protein, liver</v>
      </c>
      <c r="J380">
        <v>190.27</v>
      </c>
      <c r="K380" t="s">
        <v>25</v>
      </c>
      <c r="L380">
        <v>139</v>
      </c>
      <c r="M380">
        <v>50.68</v>
      </c>
      <c r="N380">
        <v>75.42</v>
      </c>
      <c r="O380" t="s">
        <v>20</v>
      </c>
      <c r="P380" t="s">
        <v>21</v>
      </c>
      <c r="Q380" t="s">
        <v>20</v>
      </c>
      <c r="R380" t="str">
        <f>HYPERLINK("https://cfpub.epa.gov/ecotox/explore.cfm?ncbi=9793","Explore in ECOTOX")</f>
        <v>Explore in ECOTOX</v>
      </c>
    </row>
    <row r="381" spans="1:18" x14ac:dyDescent="0.25">
      <c r="A381">
        <v>6</v>
      </c>
      <c r="B381" t="str">
        <f>HYPERLINK("http://www.ncbi.nlm.nih.gov/protein/XP_008516874.1","XP_008516874.1")</f>
        <v>XP_008516874.1</v>
      </c>
      <c r="C381">
        <v>38543</v>
      </c>
      <c r="D381" t="str">
        <f>HYPERLINK("http://www.ncbi.nlm.nih.gov/Taxonomy/Browser/wwwtax.cgi?mode=Info&amp;id=9798&amp;lvl=3&amp;lin=f&amp;keep=1&amp;srchmode=1&amp;unlock","9798")</f>
        <v>9798</v>
      </c>
      <c r="E381" t="s">
        <v>18</v>
      </c>
      <c r="F381" t="s">
        <v>18</v>
      </c>
      <c r="G381" t="str">
        <f>HYPERLINK("http://www.ncbi.nlm.nih.gov/Taxonomy/Browser/wwwtax.cgi?mode=Info&amp;id=9798&amp;lvl=3&amp;lin=f&amp;keep=1&amp;srchmode=1&amp;unlock","Equus przewalskii")</f>
        <v>Equus przewalskii</v>
      </c>
      <c r="H381" t="s">
        <v>382</v>
      </c>
      <c r="I381" t="str">
        <f>HYPERLINK("http://www.ncbi.nlm.nih.gov/protein/XP_008516874.1","PREDICTED: fatty acid-binding protein, liver")</f>
        <v>PREDICTED: fatty acid-binding protein, liver</v>
      </c>
      <c r="J381">
        <v>190.27</v>
      </c>
      <c r="K381" t="s">
        <v>25</v>
      </c>
      <c r="L381">
        <v>139</v>
      </c>
      <c r="M381">
        <v>50.68</v>
      </c>
      <c r="N381">
        <v>75.42</v>
      </c>
      <c r="O381" t="s">
        <v>20</v>
      </c>
      <c r="P381" t="s">
        <v>21</v>
      </c>
      <c r="Q381" t="s">
        <v>20</v>
      </c>
      <c r="R381" t="str">
        <f>HYPERLINK("https://cfpub.epa.gov/ecotox/explore.cfm?ncbi=9798","Explore in ECOTOX")</f>
        <v>Explore in ECOTOX</v>
      </c>
    </row>
    <row r="382" spans="1:18" x14ac:dyDescent="0.25">
      <c r="A382">
        <v>6</v>
      </c>
      <c r="B382" t="str">
        <f>HYPERLINK("http://www.ncbi.nlm.nih.gov/protein/NXQ24791.1","NXQ24791.1")</f>
        <v>NXQ24791.1</v>
      </c>
      <c r="C382">
        <v>14376</v>
      </c>
      <c r="D382" t="str">
        <f>HYPERLINK("http://www.ncbi.nlm.nih.gov/Taxonomy/Browser/wwwtax.cgi?mode=Info&amp;id=670337&amp;lvl=3&amp;lin=f&amp;keep=1&amp;srchmode=1&amp;unlock","670337")</f>
        <v>670337</v>
      </c>
      <c r="E382" t="s">
        <v>167</v>
      </c>
      <c r="F382" t="s">
        <v>167</v>
      </c>
      <c r="G382" t="str">
        <f>HYPERLINK("http://www.ncbi.nlm.nih.gov/Taxonomy/Browser/wwwtax.cgi?mode=Info&amp;id=670337&amp;lvl=3&amp;lin=f&amp;keep=1&amp;srchmode=1&amp;unlock","Alaudala cheleensis")</f>
        <v>Alaudala cheleensis</v>
      </c>
      <c r="H382" t="s">
        <v>383</v>
      </c>
      <c r="I382" t="str">
        <f>HYPERLINK("http://www.ncbi.nlm.nih.gov/protein/NXQ24791.1","FABPL protein")</f>
        <v>FABPL protein</v>
      </c>
      <c r="J382">
        <v>190.27</v>
      </c>
      <c r="K382" t="s">
        <v>25</v>
      </c>
      <c r="L382">
        <v>139</v>
      </c>
      <c r="M382">
        <v>50.68</v>
      </c>
      <c r="N382">
        <v>75.42</v>
      </c>
      <c r="O382" t="s">
        <v>20</v>
      </c>
      <c r="P382" t="s">
        <v>21</v>
      </c>
      <c r="Q382" t="s">
        <v>20</v>
      </c>
      <c r="R382" t="str">
        <f>HYPERLINK("https://cfpub.epa.gov/ecotox/explore.cfm?ncbi=670337","Explore in ECOTOX")</f>
        <v>Explore in ECOTOX</v>
      </c>
    </row>
    <row r="383" spans="1:18" x14ac:dyDescent="0.25">
      <c r="A383">
        <v>6</v>
      </c>
      <c r="B383" t="str">
        <f>HYPERLINK("http://www.ncbi.nlm.nih.gov/protein/XP_012669790.2","XP_012669790.2")</f>
        <v>XP_012669790.2</v>
      </c>
      <c r="C383">
        <v>43045</v>
      </c>
      <c r="D383" t="str">
        <f>HYPERLINK("http://www.ncbi.nlm.nih.gov/Taxonomy/Browser/wwwtax.cgi?mode=Info&amp;id=7950&amp;lvl=3&amp;lin=f&amp;keep=1&amp;srchmode=1&amp;unlock","7950")</f>
        <v>7950</v>
      </c>
      <c r="E383" t="s">
        <v>384</v>
      </c>
      <c r="F383" t="s">
        <v>384</v>
      </c>
      <c r="G383" t="str">
        <f>HYPERLINK("http://www.ncbi.nlm.nih.gov/Taxonomy/Browser/wwwtax.cgi?mode=Info&amp;id=7950&amp;lvl=3&amp;lin=f&amp;keep=1&amp;srchmode=1&amp;unlock","Clupea harengus")</f>
        <v>Clupea harengus</v>
      </c>
      <c r="H383" t="s">
        <v>385</v>
      </c>
      <c r="I383" t="str">
        <f>HYPERLINK("http://www.ncbi.nlm.nih.gov/protein/XP_012669790.2","fatty acid-binding protein, liver")</f>
        <v>fatty acid-binding protein, liver</v>
      </c>
      <c r="J383">
        <v>190.27</v>
      </c>
      <c r="K383" t="s">
        <v>25</v>
      </c>
      <c r="L383">
        <v>139</v>
      </c>
      <c r="M383">
        <v>50.68</v>
      </c>
      <c r="N383">
        <v>75.42</v>
      </c>
      <c r="O383" t="s">
        <v>20</v>
      </c>
      <c r="P383" t="s">
        <v>21</v>
      </c>
      <c r="Q383" t="s">
        <v>20</v>
      </c>
      <c r="R383" t="str">
        <f>HYPERLINK("https://cfpub.epa.gov/ecotox/explore.cfm?ncbi=7950","Explore in ECOTOX")</f>
        <v>Explore in ECOTOX</v>
      </c>
    </row>
    <row r="384" spans="1:18" x14ac:dyDescent="0.25">
      <c r="A384">
        <v>6</v>
      </c>
      <c r="B384" t="str">
        <f>HYPERLINK("http://www.ncbi.nlm.nih.gov/protein/NWU85734.1","NWU85734.1")</f>
        <v>NWU85734.1</v>
      </c>
      <c r="C384">
        <v>14404</v>
      </c>
      <c r="D384" t="str">
        <f>HYPERLINK("http://www.ncbi.nlm.nih.gov/Taxonomy/Browser/wwwtax.cgi?mode=Info&amp;id=360224&amp;lvl=3&amp;lin=f&amp;keep=1&amp;srchmode=1&amp;unlock","360224")</f>
        <v>360224</v>
      </c>
      <c r="E384" t="s">
        <v>167</v>
      </c>
      <c r="F384" t="s">
        <v>167</v>
      </c>
      <c r="G384" t="str">
        <f>HYPERLINK("http://www.ncbi.nlm.nih.gov/Taxonomy/Browser/wwwtax.cgi?mode=Info&amp;id=360224&amp;lvl=3&amp;lin=f&amp;keep=1&amp;srchmode=1&amp;unlock","Onychorhynchus coronatus")</f>
        <v>Onychorhynchus coronatus</v>
      </c>
      <c r="H384" t="s">
        <v>206</v>
      </c>
      <c r="I384" t="str">
        <f>HYPERLINK("http://www.ncbi.nlm.nih.gov/protein/NWU85734.1","FABPL protein")</f>
        <v>FABPL protein</v>
      </c>
      <c r="J384">
        <v>190.27</v>
      </c>
      <c r="K384" t="s">
        <v>25</v>
      </c>
      <c r="L384">
        <v>139</v>
      </c>
      <c r="M384">
        <v>50.68</v>
      </c>
      <c r="N384">
        <v>75.42</v>
      </c>
      <c r="O384" t="s">
        <v>20</v>
      </c>
      <c r="P384" t="s">
        <v>21</v>
      </c>
      <c r="Q384" t="s">
        <v>20</v>
      </c>
      <c r="R384" t="str">
        <f>HYPERLINK("https://cfpub.epa.gov/ecotox/explore.cfm?ncbi=360224","Explore in ECOTOX")</f>
        <v>Explore in ECOTOX</v>
      </c>
    </row>
    <row r="385" spans="1:18" x14ac:dyDescent="0.25">
      <c r="A385">
        <v>6</v>
      </c>
      <c r="B385" t="str">
        <f>HYPERLINK("http://www.ncbi.nlm.nih.gov/protein/XP_006111673.1","XP_006111673.1")</f>
        <v>XP_006111673.1</v>
      </c>
      <c r="C385">
        <v>39171</v>
      </c>
      <c r="D385" t="str">
        <f>HYPERLINK("http://www.ncbi.nlm.nih.gov/Taxonomy/Browser/wwwtax.cgi?mode=Info&amp;id=13735&amp;lvl=3&amp;lin=f&amp;keep=1&amp;srchmode=1&amp;unlock","13735")</f>
        <v>13735</v>
      </c>
      <c r="E385" t="s">
        <v>321</v>
      </c>
      <c r="F385" t="s">
        <v>321</v>
      </c>
      <c r="G385" t="str">
        <f>HYPERLINK("http://www.ncbi.nlm.nih.gov/Taxonomy/Browser/wwwtax.cgi?mode=Info&amp;id=13735&amp;lvl=3&amp;lin=f&amp;keep=1&amp;srchmode=1&amp;unlock","Pelodiscus sinensis")</f>
        <v>Pelodiscus sinensis</v>
      </c>
      <c r="H385" t="s">
        <v>386</v>
      </c>
      <c r="I385" t="str">
        <f>HYPERLINK("http://www.ncbi.nlm.nih.gov/protein/XP_006111673.1","fatty acid-binding protein, liver")</f>
        <v>fatty acid-binding protein, liver</v>
      </c>
      <c r="J385">
        <v>190.27</v>
      </c>
      <c r="K385" t="s">
        <v>25</v>
      </c>
      <c r="L385">
        <v>139</v>
      </c>
      <c r="M385">
        <v>50.68</v>
      </c>
      <c r="N385">
        <v>75.42</v>
      </c>
      <c r="O385" t="s">
        <v>20</v>
      </c>
      <c r="P385" t="s">
        <v>21</v>
      </c>
      <c r="Q385" t="s">
        <v>20</v>
      </c>
      <c r="R385" t="str">
        <f>HYPERLINK("https://cfpub.epa.gov/ecotox/explore.cfm?ncbi=13735","Explore in ECOTOX")</f>
        <v>Explore in ECOTOX</v>
      </c>
    </row>
    <row r="386" spans="1:18" x14ac:dyDescent="0.25">
      <c r="A386">
        <v>6</v>
      </c>
      <c r="B386" t="str">
        <f>HYPERLINK("http://www.ncbi.nlm.nih.gov/protein/NP_989523.1","NP_989523.1")</f>
        <v>NP_989523.1</v>
      </c>
      <c r="C386">
        <v>115665</v>
      </c>
      <c r="D386" t="str">
        <f>HYPERLINK("http://www.ncbi.nlm.nih.gov/Taxonomy/Browser/wwwtax.cgi?mode=Info&amp;id=9031&amp;lvl=3&amp;lin=f&amp;keep=1&amp;srchmode=1&amp;unlock","9031")</f>
        <v>9031</v>
      </c>
      <c r="E386" t="s">
        <v>167</v>
      </c>
      <c r="F386" t="s">
        <v>167</v>
      </c>
      <c r="G386" t="str">
        <f>HYPERLINK("http://www.ncbi.nlm.nih.gov/Taxonomy/Browser/wwwtax.cgi?mode=Info&amp;id=9031&amp;lvl=3&amp;lin=f&amp;keep=1&amp;srchmode=1&amp;unlock","Gallus gallus")</f>
        <v>Gallus gallus</v>
      </c>
      <c r="H386" t="s">
        <v>387</v>
      </c>
      <c r="I386" t="str">
        <f>HYPERLINK("http://www.ncbi.nlm.nih.gov/protein/NP_989523.1","fatty acid-binding protein, liver")</f>
        <v>fatty acid-binding protein, liver</v>
      </c>
      <c r="J386">
        <v>190.27</v>
      </c>
      <c r="K386" t="s">
        <v>25</v>
      </c>
      <c r="L386">
        <v>139</v>
      </c>
      <c r="M386">
        <v>50.68</v>
      </c>
      <c r="N386">
        <v>75.42</v>
      </c>
      <c r="O386" t="s">
        <v>20</v>
      </c>
      <c r="P386" t="s">
        <v>21</v>
      </c>
      <c r="Q386" t="s">
        <v>20</v>
      </c>
      <c r="R386" t="str">
        <f>HYPERLINK("https://cfpub.epa.gov/ecotox/explore.cfm?ncbi=9031","Explore in ECOTOX")</f>
        <v>Explore in ECOTOX</v>
      </c>
    </row>
    <row r="387" spans="1:18" x14ac:dyDescent="0.25">
      <c r="A387">
        <v>6</v>
      </c>
      <c r="B387" t="str">
        <f>HYPERLINK("http://www.ncbi.nlm.nih.gov/protein/XP_001497770.1","XP_001497770.1")</f>
        <v>XP_001497770.1</v>
      </c>
      <c r="C387">
        <v>67826</v>
      </c>
      <c r="D387" t="str">
        <f>HYPERLINK("http://www.ncbi.nlm.nih.gov/Taxonomy/Browser/wwwtax.cgi?mode=Info&amp;id=9796&amp;lvl=3&amp;lin=f&amp;keep=1&amp;srchmode=1&amp;unlock","9796")</f>
        <v>9796</v>
      </c>
      <c r="E387" t="s">
        <v>18</v>
      </c>
      <c r="F387" t="s">
        <v>18</v>
      </c>
      <c r="G387" t="str">
        <f>HYPERLINK("http://www.ncbi.nlm.nih.gov/Taxonomy/Browser/wwwtax.cgi?mode=Info&amp;id=9796&amp;lvl=3&amp;lin=f&amp;keep=1&amp;srchmode=1&amp;unlock","Equus caballus")</f>
        <v>Equus caballus</v>
      </c>
      <c r="H387" t="s">
        <v>388</v>
      </c>
      <c r="I387" t="str">
        <f>HYPERLINK("http://www.ncbi.nlm.nih.gov/protein/XP_001497770.1","fatty acid-binding protein, liver")</f>
        <v>fatty acid-binding protein, liver</v>
      </c>
      <c r="J387">
        <v>190.27</v>
      </c>
      <c r="K387" t="s">
        <v>25</v>
      </c>
      <c r="L387">
        <v>139</v>
      </c>
      <c r="M387">
        <v>50.68</v>
      </c>
      <c r="N387">
        <v>75.42</v>
      </c>
      <c r="O387" t="s">
        <v>20</v>
      </c>
      <c r="P387" t="s">
        <v>21</v>
      </c>
      <c r="Q387" t="s">
        <v>20</v>
      </c>
      <c r="R387" t="str">
        <f>HYPERLINK("https://cfpub.epa.gov/ecotox/explore.cfm?ncbi=9796","Explore in ECOTOX")</f>
        <v>Explore in ECOTOX</v>
      </c>
    </row>
    <row r="388" spans="1:18" x14ac:dyDescent="0.25">
      <c r="A388">
        <v>6</v>
      </c>
      <c r="B388" t="str">
        <f>HYPERLINK("http://www.ncbi.nlm.nih.gov/protein/NXK38239.1","NXK38239.1")</f>
        <v>NXK38239.1</v>
      </c>
      <c r="C388">
        <v>14174</v>
      </c>
      <c r="D388" t="str">
        <f>HYPERLINK("http://www.ncbi.nlm.nih.gov/Taxonomy/Browser/wwwtax.cgi?mode=Info&amp;id=114369&amp;lvl=3&amp;lin=f&amp;keep=1&amp;srchmode=1&amp;unlock","114369")</f>
        <v>114369</v>
      </c>
      <c r="E388" t="s">
        <v>167</v>
      </c>
      <c r="F388" t="s">
        <v>167</v>
      </c>
      <c r="G388" t="str">
        <f>HYPERLINK("http://www.ncbi.nlm.nih.gov/Taxonomy/Browser/wwwtax.cgi?mode=Info&amp;id=114369&amp;lvl=3&amp;lin=f&amp;keep=1&amp;srchmode=1&amp;unlock","Piprites chloris")</f>
        <v>Piprites chloris</v>
      </c>
      <c r="H388" t="s">
        <v>389</v>
      </c>
      <c r="I388" t="str">
        <f>HYPERLINK("http://www.ncbi.nlm.nih.gov/protein/NXK38239.1","FABPL protein")</f>
        <v>FABPL protein</v>
      </c>
      <c r="J388">
        <v>190.27</v>
      </c>
      <c r="K388" t="s">
        <v>25</v>
      </c>
      <c r="L388">
        <v>139</v>
      </c>
      <c r="M388">
        <v>50.68</v>
      </c>
      <c r="N388">
        <v>75.42</v>
      </c>
      <c r="O388" t="s">
        <v>20</v>
      </c>
      <c r="P388" t="s">
        <v>21</v>
      </c>
      <c r="Q388" t="s">
        <v>20</v>
      </c>
      <c r="R388" t="str">
        <f>HYPERLINK("https://cfpub.epa.gov/ecotox/explore.cfm?ncbi=114369","Explore in ECOTOX")</f>
        <v>Explore in ECOTOX</v>
      </c>
    </row>
    <row r="389" spans="1:18" x14ac:dyDescent="0.25">
      <c r="A389">
        <v>6</v>
      </c>
      <c r="B389" t="str">
        <f>HYPERLINK("http://www.ncbi.nlm.nih.gov/protein/NWS90418.1","NWS90418.1")</f>
        <v>NWS90418.1</v>
      </c>
      <c r="C389">
        <v>14243</v>
      </c>
      <c r="D389" t="str">
        <f>HYPERLINK("http://www.ncbi.nlm.nih.gov/Taxonomy/Browser/wwwtax.cgi?mode=Info&amp;id=99882&amp;lvl=3&amp;lin=f&amp;keep=1&amp;srchmode=1&amp;unlock","99882")</f>
        <v>99882</v>
      </c>
      <c r="E389" t="s">
        <v>167</v>
      </c>
      <c r="F389" t="s">
        <v>167</v>
      </c>
      <c r="G389" t="str">
        <f>HYPERLINK("http://www.ncbi.nlm.nih.gov/Taxonomy/Browser/wwwtax.cgi?mode=Info&amp;id=99882&amp;lvl=3&amp;lin=f&amp;keep=1&amp;srchmode=1&amp;unlock","Toxostoma redivivum")</f>
        <v>Toxostoma redivivum</v>
      </c>
      <c r="H389" t="s">
        <v>206</v>
      </c>
      <c r="I389" t="str">
        <f>HYPERLINK("http://www.ncbi.nlm.nih.gov/protein/NWS90418.1","FABPL protein")</f>
        <v>FABPL protein</v>
      </c>
      <c r="J389">
        <v>190.27</v>
      </c>
      <c r="K389" t="s">
        <v>25</v>
      </c>
      <c r="L389">
        <v>139</v>
      </c>
      <c r="M389">
        <v>50.68</v>
      </c>
      <c r="N389">
        <v>75.42</v>
      </c>
      <c r="O389" t="s">
        <v>20</v>
      </c>
      <c r="P389" t="s">
        <v>21</v>
      </c>
      <c r="Q389" t="s">
        <v>20</v>
      </c>
      <c r="R389" t="str">
        <f>HYPERLINK("https://cfpub.epa.gov/ecotox/explore.cfm?ncbi=99882","Explore in ECOTOX")</f>
        <v>Explore in ECOTOX</v>
      </c>
    </row>
    <row r="390" spans="1:18" x14ac:dyDescent="0.25">
      <c r="A390">
        <v>6</v>
      </c>
      <c r="B390" t="str">
        <f>HYPERLINK("http://www.ncbi.nlm.nih.gov/protein/NXD20723.1","NXD20723.1")</f>
        <v>NXD20723.1</v>
      </c>
      <c r="C390">
        <v>14027</v>
      </c>
      <c r="D390" t="str">
        <f>HYPERLINK("http://www.ncbi.nlm.nih.gov/Taxonomy/Browser/wwwtax.cgi?mode=Info&amp;id=1463973&amp;lvl=3&amp;lin=f&amp;keep=1&amp;srchmode=1&amp;unlock","1463973")</f>
        <v>1463973</v>
      </c>
      <c r="E390" t="s">
        <v>167</v>
      </c>
      <c r="F390" t="s">
        <v>167</v>
      </c>
      <c r="G390" t="str">
        <f>HYPERLINK("http://www.ncbi.nlm.nih.gov/Taxonomy/Browser/wwwtax.cgi?mode=Info&amp;id=1463973&amp;lvl=3&amp;lin=f&amp;keep=1&amp;srchmode=1&amp;unlock","Elachura formosa")</f>
        <v>Elachura formosa</v>
      </c>
      <c r="H390" t="s">
        <v>390</v>
      </c>
      <c r="I390" t="str">
        <f>HYPERLINK("http://www.ncbi.nlm.nih.gov/protein/NXD20723.1","FABPL protein")</f>
        <v>FABPL protein</v>
      </c>
      <c r="J390">
        <v>189.89</v>
      </c>
      <c r="K390" t="s">
        <v>25</v>
      </c>
      <c r="L390">
        <v>139</v>
      </c>
      <c r="M390">
        <v>50.68</v>
      </c>
      <c r="N390">
        <v>75.27</v>
      </c>
      <c r="O390" t="s">
        <v>20</v>
      </c>
      <c r="P390" t="s">
        <v>21</v>
      </c>
      <c r="Q390" t="s">
        <v>20</v>
      </c>
      <c r="R390" t="str">
        <f>HYPERLINK("https://cfpub.epa.gov/ecotox/explore.cfm?ncbi=1463973","Explore in ECOTOX")</f>
        <v>Explore in ECOTOX</v>
      </c>
    </row>
    <row r="391" spans="1:18" x14ac:dyDescent="0.25">
      <c r="A391">
        <v>6</v>
      </c>
      <c r="B391" t="str">
        <f>HYPERLINK("http://www.ncbi.nlm.nih.gov/protein/P81399.1","P81399.1")</f>
        <v>P81399.1</v>
      </c>
      <c r="C391">
        <v>604</v>
      </c>
      <c r="D391" t="str">
        <f>HYPERLINK("http://www.ncbi.nlm.nih.gov/Taxonomy/Browser/wwwtax.cgi?mode=Info&amp;id=8296&amp;lvl=3&amp;lin=f&amp;keep=1&amp;srchmode=1&amp;unlock","8296")</f>
        <v>8296</v>
      </c>
      <c r="E391" t="s">
        <v>134</v>
      </c>
      <c r="F391" t="s">
        <v>134</v>
      </c>
      <c r="G391" t="str">
        <f>HYPERLINK("http://www.ncbi.nlm.nih.gov/Taxonomy/Browser/wwwtax.cgi?mode=Info&amp;id=8296&amp;lvl=3&amp;lin=f&amp;keep=1&amp;srchmode=1&amp;unlock","Ambystoma mexicanum")</f>
        <v>Ambystoma mexicanum</v>
      </c>
      <c r="H391" t="s">
        <v>391</v>
      </c>
      <c r="I391" t="str">
        <f>HYPERLINK("http://www.ncbi.nlm.nih.gov/protein/P81399.1","RecName: Full=Fatty acid-binding protein 1, liver; AltName: Full=Liver-type fatty acid-binding protein; Short=L-FABP")</f>
        <v>RecName: Full=Fatty acid-binding protein 1, liver; AltName: Full=Liver-type fatty acid-binding protein; Short=L-FABP</v>
      </c>
      <c r="J391">
        <v>189.89</v>
      </c>
      <c r="K391" t="s">
        <v>20</v>
      </c>
      <c r="L391">
        <v>139</v>
      </c>
      <c r="M391">
        <v>50.68</v>
      </c>
      <c r="N391">
        <v>75.27</v>
      </c>
      <c r="O391" t="s">
        <v>20</v>
      </c>
      <c r="P391" t="s">
        <v>21</v>
      </c>
      <c r="Q391" t="s">
        <v>20</v>
      </c>
      <c r="R391" t="str">
        <f>HYPERLINK("https://cfpub.epa.gov/ecotox/explore.cfm?ncbi=8296","Explore in ECOTOX")</f>
        <v>Explore in ECOTOX</v>
      </c>
    </row>
    <row r="392" spans="1:18" x14ac:dyDescent="0.25">
      <c r="A392">
        <v>6</v>
      </c>
      <c r="B392" t="str">
        <f>HYPERLINK("http://www.ncbi.nlm.nih.gov/protein/XP_033025570.1","XP_033025570.1")</f>
        <v>XP_033025570.1</v>
      </c>
      <c r="C392">
        <v>39496</v>
      </c>
      <c r="D392" t="str">
        <f>HYPERLINK("http://www.ncbi.nlm.nih.gov/Taxonomy/Browser/wwwtax.cgi?mode=Info&amp;id=80427&amp;lvl=3&amp;lin=f&amp;keep=1&amp;srchmode=1&amp;unlock","80427")</f>
        <v>80427</v>
      </c>
      <c r="E392" t="s">
        <v>236</v>
      </c>
      <c r="F392" t="s">
        <v>236</v>
      </c>
      <c r="G392" t="str">
        <f>HYPERLINK("http://www.ncbi.nlm.nih.gov/Taxonomy/Browser/wwwtax.cgi?mode=Info&amp;id=80427&amp;lvl=3&amp;lin=f&amp;keep=1&amp;srchmode=1&amp;unlock","Lacerta agilis")</f>
        <v>Lacerta agilis</v>
      </c>
      <c r="H392" t="s">
        <v>392</v>
      </c>
      <c r="I392" t="str">
        <f>HYPERLINK("http://www.ncbi.nlm.nih.gov/protein/XP_033025570.1","fatty acid-binding protein, liver")</f>
        <v>fatty acid-binding protein, liver</v>
      </c>
      <c r="J392">
        <v>189.89</v>
      </c>
      <c r="K392" t="s">
        <v>25</v>
      </c>
      <c r="L392">
        <v>139</v>
      </c>
      <c r="M392">
        <v>50.68</v>
      </c>
      <c r="N392">
        <v>75.27</v>
      </c>
      <c r="O392" t="s">
        <v>20</v>
      </c>
      <c r="P392" t="s">
        <v>21</v>
      </c>
      <c r="Q392" t="s">
        <v>20</v>
      </c>
      <c r="R392" t="str">
        <f>HYPERLINK("https://cfpub.epa.gov/ecotox/explore.cfm?ncbi=80427","Explore in ECOTOX")</f>
        <v>Explore in ECOTOX</v>
      </c>
    </row>
    <row r="393" spans="1:18" x14ac:dyDescent="0.25">
      <c r="A393">
        <v>6</v>
      </c>
      <c r="B393" t="str">
        <f>HYPERLINK("http://www.ncbi.nlm.nih.gov/protein/NWI03937.1","NWI03937.1")</f>
        <v>NWI03937.1</v>
      </c>
      <c r="C393">
        <v>11529</v>
      </c>
      <c r="D393" t="str">
        <f>HYPERLINK("http://www.ncbi.nlm.nih.gov/Taxonomy/Browser/wwwtax.cgi?mode=Info&amp;id=237442&amp;lvl=3&amp;lin=f&amp;keep=1&amp;srchmode=1&amp;unlock","237442")</f>
        <v>237442</v>
      </c>
      <c r="E393" t="s">
        <v>167</v>
      </c>
      <c r="F393" t="s">
        <v>167</v>
      </c>
      <c r="G393" t="str">
        <f>HYPERLINK("http://www.ncbi.nlm.nih.gov/Taxonomy/Browser/wwwtax.cgi?mode=Info&amp;id=237442&amp;lvl=3&amp;lin=f&amp;keep=1&amp;srchmode=1&amp;unlock","Tichodroma muraria")</f>
        <v>Tichodroma muraria</v>
      </c>
      <c r="H393" t="s">
        <v>206</v>
      </c>
      <c r="I393" t="str">
        <f>HYPERLINK("http://www.ncbi.nlm.nih.gov/protein/NWI03937.1","FABPL protein")</f>
        <v>FABPL protein</v>
      </c>
      <c r="J393">
        <v>189.89</v>
      </c>
      <c r="K393" t="s">
        <v>25</v>
      </c>
      <c r="L393">
        <v>139</v>
      </c>
      <c r="M393">
        <v>50.68</v>
      </c>
      <c r="N393">
        <v>75.27</v>
      </c>
      <c r="O393" t="s">
        <v>20</v>
      </c>
      <c r="P393" t="s">
        <v>21</v>
      </c>
      <c r="Q393" t="s">
        <v>20</v>
      </c>
      <c r="R393" t="str">
        <f>HYPERLINK("https://cfpub.epa.gov/ecotox/explore.cfm?ncbi=237442","Explore in ECOTOX")</f>
        <v>Explore in ECOTOX</v>
      </c>
    </row>
    <row r="394" spans="1:18" x14ac:dyDescent="0.25">
      <c r="A394">
        <v>6</v>
      </c>
      <c r="B394" t="str">
        <f>HYPERLINK("http://www.ncbi.nlm.nih.gov/protein/NXY13661.1","NXY13661.1")</f>
        <v>NXY13661.1</v>
      </c>
      <c r="C394">
        <v>14622</v>
      </c>
      <c r="D394" t="str">
        <f>HYPERLINK("http://www.ncbi.nlm.nih.gov/Taxonomy/Browser/wwwtax.cgi?mode=Info&amp;id=449594&amp;lvl=3&amp;lin=f&amp;keep=1&amp;srchmode=1&amp;unlock","449594")</f>
        <v>449594</v>
      </c>
      <c r="E394" t="s">
        <v>167</v>
      </c>
      <c r="F394" t="s">
        <v>167</v>
      </c>
      <c r="G394" t="str">
        <f>HYPERLINK("http://www.ncbi.nlm.nih.gov/Taxonomy/Browser/wwwtax.cgi?mode=Info&amp;id=449594&amp;lvl=3&amp;lin=f&amp;keep=1&amp;srchmode=1&amp;unlock","Atrichornis clamosus")</f>
        <v>Atrichornis clamosus</v>
      </c>
      <c r="H394" t="s">
        <v>206</v>
      </c>
      <c r="I394" t="str">
        <f>HYPERLINK("http://www.ncbi.nlm.nih.gov/protein/NXY13661.1","FABPL protein")</f>
        <v>FABPL protein</v>
      </c>
      <c r="J394">
        <v>189.5</v>
      </c>
      <c r="K394" t="s">
        <v>25</v>
      </c>
      <c r="L394">
        <v>139</v>
      </c>
      <c r="M394">
        <v>50.68</v>
      </c>
      <c r="N394">
        <v>75.11</v>
      </c>
      <c r="O394" t="s">
        <v>20</v>
      </c>
      <c r="P394" t="s">
        <v>21</v>
      </c>
      <c r="Q394" t="s">
        <v>20</v>
      </c>
      <c r="R394" t="str">
        <f>HYPERLINK("https://cfpub.epa.gov/ecotox/explore.cfm?ncbi=449594","Explore in ECOTOX")</f>
        <v>Explore in ECOTOX</v>
      </c>
    </row>
    <row r="395" spans="1:18" x14ac:dyDescent="0.25">
      <c r="A395">
        <v>6</v>
      </c>
      <c r="B395" t="str">
        <f>HYPERLINK("http://www.ncbi.nlm.nih.gov/protein/NXO73078.1","NXO73078.1")</f>
        <v>NXO73078.1</v>
      </c>
      <c r="C395">
        <v>13570</v>
      </c>
      <c r="D395" t="str">
        <f>HYPERLINK("http://www.ncbi.nlm.nih.gov/Taxonomy/Browser/wwwtax.cgi?mode=Info&amp;id=161653&amp;lvl=3&amp;lin=f&amp;keep=1&amp;srchmode=1&amp;unlock","161653")</f>
        <v>161653</v>
      </c>
      <c r="E395" t="s">
        <v>167</v>
      </c>
      <c r="F395" t="s">
        <v>167</v>
      </c>
      <c r="G395" t="str">
        <f>HYPERLINK("http://www.ncbi.nlm.nih.gov/Taxonomy/Browser/wwwtax.cgi?mode=Info&amp;id=161653&amp;lvl=3&amp;lin=f&amp;keep=1&amp;srchmode=1&amp;unlock","Phainopepla nitens")</f>
        <v>Phainopepla nitens</v>
      </c>
      <c r="H395" t="s">
        <v>206</v>
      </c>
      <c r="I395" t="str">
        <f>HYPERLINK("http://www.ncbi.nlm.nih.gov/protein/NXO73078.1","FABPL protein")</f>
        <v>FABPL protein</v>
      </c>
      <c r="J395">
        <v>189.5</v>
      </c>
      <c r="K395" t="s">
        <v>25</v>
      </c>
      <c r="L395">
        <v>139</v>
      </c>
      <c r="M395">
        <v>50.68</v>
      </c>
      <c r="N395">
        <v>75.11</v>
      </c>
      <c r="O395" t="s">
        <v>20</v>
      </c>
      <c r="P395" t="s">
        <v>21</v>
      </c>
      <c r="Q395" t="s">
        <v>20</v>
      </c>
      <c r="R395" t="str">
        <f>HYPERLINK("https://cfpub.epa.gov/ecotox/explore.cfm?ncbi=161653","Explore in ECOTOX")</f>
        <v>Explore in ECOTOX</v>
      </c>
    </row>
    <row r="396" spans="1:18" x14ac:dyDescent="0.25">
      <c r="A396">
        <v>6</v>
      </c>
      <c r="B396" t="str">
        <f>HYPERLINK("http://www.ncbi.nlm.nih.gov/protein/NXP72820.1","NXP72820.1")</f>
        <v>NXP72820.1</v>
      </c>
      <c r="C396">
        <v>14056</v>
      </c>
      <c r="D396" t="str">
        <f>HYPERLINK("http://www.ncbi.nlm.nih.gov/Taxonomy/Browser/wwwtax.cgi?mode=Info&amp;id=322582&amp;lvl=3&amp;lin=f&amp;keep=1&amp;srchmode=1&amp;unlock","322582")</f>
        <v>322582</v>
      </c>
      <c r="E396" t="s">
        <v>167</v>
      </c>
      <c r="F396" t="s">
        <v>167</v>
      </c>
      <c r="G396" t="str">
        <f>HYPERLINK("http://www.ncbi.nlm.nih.gov/Taxonomy/Browser/wwwtax.cgi?mode=Info&amp;id=322582&amp;lvl=3&amp;lin=f&amp;keep=1&amp;srchmode=1&amp;unlock","Ramphastos sulfuratus")</f>
        <v>Ramphastos sulfuratus</v>
      </c>
      <c r="H396" t="s">
        <v>262</v>
      </c>
      <c r="I396" t="str">
        <f>HYPERLINK("http://www.ncbi.nlm.nih.gov/protein/NXP72820.1","FABPL protein")</f>
        <v>FABPL protein</v>
      </c>
      <c r="J396">
        <v>189.5</v>
      </c>
      <c r="K396" t="s">
        <v>25</v>
      </c>
      <c r="L396">
        <v>139</v>
      </c>
      <c r="M396">
        <v>50.68</v>
      </c>
      <c r="N396">
        <v>75.11</v>
      </c>
      <c r="O396" t="s">
        <v>20</v>
      </c>
      <c r="P396" t="s">
        <v>21</v>
      </c>
      <c r="Q396" t="s">
        <v>20</v>
      </c>
      <c r="R396" t="str">
        <f>HYPERLINK("https://cfpub.epa.gov/ecotox/explore.cfm?ncbi=322582","Explore in ECOTOX")</f>
        <v>Explore in ECOTOX</v>
      </c>
    </row>
    <row r="397" spans="1:18" x14ac:dyDescent="0.25">
      <c r="A397">
        <v>6</v>
      </c>
      <c r="B397" t="str">
        <f>HYPERLINK("http://www.ncbi.nlm.nih.gov/protein/XP_029448933.1","XP_029448933.1")</f>
        <v>XP_029448933.1</v>
      </c>
      <c r="C397">
        <v>49320</v>
      </c>
      <c r="D397" t="str">
        <f>HYPERLINK("http://www.ncbi.nlm.nih.gov/Taxonomy/Browser/wwwtax.cgi?mode=Info&amp;id=194408&amp;lvl=3&amp;lin=f&amp;keep=1&amp;srchmode=1&amp;unlock","194408")</f>
        <v>194408</v>
      </c>
      <c r="E397" t="s">
        <v>134</v>
      </c>
      <c r="F397" t="s">
        <v>134</v>
      </c>
      <c r="G397" t="str">
        <f>HYPERLINK("http://www.ncbi.nlm.nih.gov/Taxonomy/Browser/wwwtax.cgi?mode=Info&amp;id=194408&amp;lvl=3&amp;lin=f&amp;keep=1&amp;srchmode=1&amp;unlock","Rhinatrema bivittatum")</f>
        <v>Rhinatrema bivittatum</v>
      </c>
      <c r="H397" t="s">
        <v>393</v>
      </c>
      <c r="I397" t="str">
        <f>HYPERLINK("http://www.ncbi.nlm.nih.gov/protein/XP_029448933.1","fatty acid-binding protein 1, liver-like")</f>
        <v>fatty acid-binding protein 1, liver-like</v>
      </c>
      <c r="J397">
        <v>189.5</v>
      </c>
      <c r="K397" t="s">
        <v>25</v>
      </c>
      <c r="L397">
        <v>139</v>
      </c>
      <c r="M397">
        <v>50.68</v>
      </c>
      <c r="N397">
        <v>75.11</v>
      </c>
      <c r="O397" t="s">
        <v>20</v>
      </c>
      <c r="P397" t="s">
        <v>21</v>
      </c>
      <c r="Q397" t="s">
        <v>20</v>
      </c>
      <c r="R397" t="str">
        <f>HYPERLINK("https://cfpub.epa.gov/ecotox/explore.cfm?ncbi=194408","Explore in ECOTOX")</f>
        <v>Explore in ECOTOX</v>
      </c>
    </row>
    <row r="398" spans="1:18" x14ac:dyDescent="0.25">
      <c r="A398">
        <v>6</v>
      </c>
      <c r="B398" t="str">
        <f>HYPERLINK("http://www.ncbi.nlm.nih.gov/protein/XP_005045637.1","XP_005045637.1")</f>
        <v>XP_005045637.1</v>
      </c>
      <c r="C398">
        <v>26779</v>
      </c>
      <c r="D398" t="str">
        <f>HYPERLINK("http://www.ncbi.nlm.nih.gov/Taxonomy/Browser/wwwtax.cgi?mode=Info&amp;id=59894&amp;lvl=3&amp;lin=f&amp;keep=1&amp;srchmode=1&amp;unlock","59894")</f>
        <v>59894</v>
      </c>
      <c r="E398" t="s">
        <v>167</v>
      </c>
      <c r="F398" t="s">
        <v>167</v>
      </c>
      <c r="G398" t="str">
        <f>HYPERLINK("http://www.ncbi.nlm.nih.gov/Taxonomy/Browser/wwwtax.cgi?mode=Info&amp;id=59894&amp;lvl=3&amp;lin=f&amp;keep=1&amp;srchmode=1&amp;unlock","Ficedula albicollis")</f>
        <v>Ficedula albicollis</v>
      </c>
      <c r="H398" t="s">
        <v>394</v>
      </c>
      <c r="I398" t="str">
        <f>HYPERLINK("http://www.ncbi.nlm.nih.gov/protein/XP_005045637.1","PREDICTED: fatty acid-binding protein, liver")</f>
        <v>PREDICTED: fatty acid-binding protein, liver</v>
      </c>
      <c r="J398">
        <v>189.5</v>
      </c>
      <c r="K398" t="s">
        <v>25</v>
      </c>
      <c r="L398">
        <v>139</v>
      </c>
      <c r="M398">
        <v>50.68</v>
      </c>
      <c r="N398">
        <v>75.11</v>
      </c>
      <c r="O398" t="s">
        <v>20</v>
      </c>
      <c r="P398" t="s">
        <v>21</v>
      </c>
      <c r="Q398" t="s">
        <v>20</v>
      </c>
      <c r="R398" t="str">
        <f>HYPERLINK("https://cfpub.epa.gov/ecotox/explore.cfm?ncbi=59894","Explore in ECOTOX")</f>
        <v>Explore in ECOTOX</v>
      </c>
    </row>
    <row r="399" spans="1:18" x14ac:dyDescent="0.25">
      <c r="A399">
        <v>6</v>
      </c>
      <c r="B399" t="str">
        <f>HYPERLINK("http://www.ncbi.nlm.nih.gov/protein/NWW30732.1","NWW30732.1")</f>
        <v>NWW30732.1</v>
      </c>
      <c r="C399">
        <v>12841</v>
      </c>
      <c r="D399" t="str">
        <f>HYPERLINK("http://www.ncbi.nlm.nih.gov/Taxonomy/Browser/wwwtax.cgi?mode=Info&amp;id=181101&amp;lvl=3&amp;lin=f&amp;keep=1&amp;srchmode=1&amp;unlock","181101")</f>
        <v>181101</v>
      </c>
      <c r="E399" t="s">
        <v>167</v>
      </c>
      <c r="F399" t="s">
        <v>167</v>
      </c>
      <c r="G399" t="str">
        <f>HYPERLINK("http://www.ncbi.nlm.nih.gov/Taxonomy/Browser/wwwtax.cgi?mode=Info&amp;id=181101&amp;lvl=3&amp;lin=f&amp;keep=1&amp;srchmode=1&amp;unlock","Panurus biarmicus")</f>
        <v>Panurus biarmicus</v>
      </c>
      <c r="H399" t="s">
        <v>395</v>
      </c>
      <c r="I399" t="str">
        <f>HYPERLINK("http://www.ncbi.nlm.nih.gov/protein/NWW30732.1","FABPL protein")</f>
        <v>FABPL protein</v>
      </c>
      <c r="J399">
        <v>189.12</v>
      </c>
      <c r="K399" t="s">
        <v>25</v>
      </c>
      <c r="L399">
        <v>139</v>
      </c>
      <c r="M399">
        <v>50.68</v>
      </c>
      <c r="N399">
        <v>74.959999999999994</v>
      </c>
      <c r="O399" t="s">
        <v>20</v>
      </c>
      <c r="P399" t="s">
        <v>21</v>
      </c>
      <c r="Q399" t="s">
        <v>20</v>
      </c>
      <c r="R399" t="str">
        <f>HYPERLINK("https://cfpub.epa.gov/ecotox/explore.cfm?ncbi=181101","Explore in ECOTOX")</f>
        <v>Explore in ECOTOX</v>
      </c>
    </row>
    <row r="400" spans="1:18" x14ac:dyDescent="0.25">
      <c r="A400">
        <v>6</v>
      </c>
      <c r="B400" t="str">
        <f>HYPERLINK("http://www.ncbi.nlm.nih.gov/protein/XP_030348152.1","XP_030348152.1")</f>
        <v>XP_030348152.1</v>
      </c>
      <c r="C400">
        <v>43730</v>
      </c>
      <c r="D400" t="str">
        <f>HYPERLINK("http://www.ncbi.nlm.nih.gov/Taxonomy/Browser/wwwtax.cgi?mode=Info&amp;id=2489341&amp;lvl=3&amp;lin=f&amp;keep=1&amp;srchmode=1&amp;unlock","2489341")</f>
        <v>2489341</v>
      </c>
      <c r="E400" t="s">
        <v>167</v>
      </c>
      <c r="F400" t="s">
        <v>167</v>
      </c>
      <c r="G400" t="str">
        <f>HYPERLINK("http://www.ncbi.nlm.nih.gov/Taxonomy/Browser/wwwtax.cgi?mode=Info&amp;id=2489341&amp;lvl=3&amp;lin=f&amp;keep=1&amp;srchmode=1&amp;unlock","Strigops habroptila")</f>
        <v>Strigops habroptila</v>
      </c>
      <c r="H400" t="s">
        <v>396</v>
      </c>
      <c r="I400" t="str">
        <f>HYPERLINK("http://www.ncbi.nlm.nih.gov/protein/XP_030348152.1","fatty acid-binding protein, liver")</f>
        <v>fatty acid-binding protein, liver</v>
      </c>
      <c r="J400">
        <v>189.12</v>
      </c>
      <c r="K400" t="s">
        <v>25</v>
      </c>
      <c r="L400">
        <v>139</v>
      </c>
      <c r="M400">
        <v>50.68</v>
      </c>
      <c r="N400">
        <v>74.959999999999994</v>
      </c>
      <c r="O400" t="s">
        <v>20</v>
      </c>
      <c r="P400" t="s">
        <v>21</v>
      </c>
      <c r="Q400" t="s">
        <v>20</v>
      </c>
      <c r="R400" t="str">
        <f>HYPERLINK("https://cfpub.epa.gov/ecotox/explore.cfm?ncbi=2489341","Explore in ECOTOX")</f>
        <v>Explore in ECOTOX</v>
      </c>
    </row>
    <row r="401" spans="1:18" x14ac:dyDescent="0.25">
      <c r="A401">
        <v>6</v>
      </c>
      <c r="B401" t="str">
        <f>HYPERLINK("http://www.ncbi.nlm.nih.gov/protein/XP_031444579.1","XP_031444579.1")</f>
        <v>XP_031444579.1</v>
      </c>
      <c r="C401">
        <v>29368</v>
      </c>
      <c r="D401" t="str">
        <f>HYPERLINK("http://www.ncbi.nlm.nih.gov/Taxonomy/Browser/wwwtax.cgi?mode=Info&amp;id=9054&amp;lvl=3&amp;lin=f&amp;keep=1&amp;srchmode=1&amp;unlock","9054")</f>
        <v>9054</v>
      </c>
      <c r="E401" t="s">
        <v>167</v>
      </c>
      <c r="F401" t="s">
        <v>167</v>
      </c>
      <c r="G401" t="str">
        <f>HYPERLINK("http://www.ncbi.nlm.nih.gov/Taxonomy/Browser/wwwtax.cgi?mode=Info&amp;id=9054&amp;lvl=3&amp;lin=f&amp;keep=1&amp;srchmode=1&amp;unlock","Phasianus colchicus")</f>
        <v>Phasianus colchicus</v>
      </c>
      <c r="H401" t="s">
        <v>397</v>
      </c>
      <c r="I401" t="str">
        <f>HYPERLINK("http://www.ncbi.nlm.nih.gov/protein/XP_031444579.1","fatty acid-binding protein, liver")</f>
        <v>fatty acid-binding protein, liver</v>
      </c>
      <c r="J401">
        <v>189.12</v>
      </c>
      <c r="K401" t="s">
        <v>25</v>
      </c>
      <c r="L401">
        <v>139</v>
      </c>
      <c r="M401">
        <v>50.68</v>
      </c>
      <c r="N401">
        <v>74.959999999999994</v>
      </c>
      <c r="O401" t="s">
        <v>20</v>
      </c>
      <c r="P401" t="s">
        <v>21</v>
      </c>
      <c r="Q401" t="s">
        <v>20</v>
      </c>
      <c r="R401" t="str">
        <f>HYPERLINK("https://cfpub.epa.gov/ecotox/explore.cfm?ncbi=9054","Explore in ECOTOX")</f>
        <v>Explore in ECOTOX</v>
      </c>
    </row>
    <row r="402" spans="1:18" x14ac:dyDescent="0.25">
      <c r="A402">
        <v>6</v>
      </c>
      <c r="B402" t="str">
        <f>HYPERLINK("http://www.ncbi.nlm.nih.gov/protein/NXR24235.1","NXR24235.1")</f>
        <v>NXR24235.1</v>
      </c>
      <c r="C402">
        <v>13525</v>
      </c>
      <c r="D402" t="str">
        <f>HYPERLINK("http://www.ncbi.nlm.nih.gov/Taxonomy/Browser/wwwtax.cgi?mode=Info&amp;id=161649&amp;lvl=3&amp;lin=f&amp;keep=1&amp;srchmode=1&amp;unlock","161649")</f>
        <v>161649</v>
      </c>
      <c r="E402" t="s">
        <v>167</v>
      </c>
      <c r="F402" t="s">
        <v>167</v>
      </c>
      <c r="G402" t="str">
        <f>HYPERLINK("http://www.ncbi.nlm.nih.gov/Taxonomy/Browser/wwwtax.cgi?mode=Info&amp;id=161649&amp;lvl=3&amp;lin=f&amp;keep=1&amp;srchmode=1&amp;unlock","Cinclus mexicanus")</f>
        <v>Cinclus mexicanus</v>
      </c>
      <c r="H402" t="s">
        <v>206</v>
      </c>
      <c r="I402" t="str">
        <f>HYPERLINK("http://www.ncbi.nlm.nih.gov/protein/NXR24235.1","FABPL protein")</f>
        <v>FABPL protein</v>
      </c>
      <c r="J402">
        <v>189.12</v>
      </c>
      <c r="K402" t="s">
        <v>25</v>
      </c>
      <c r="L402">
        <v>139</v>
      </c>
      <c r="M402">
        <v>50.68</v>
      </c>
      <c r="N402">
        <v>74.959999999999994</v>
      </c>
      <c r="O402" t="s">
        <v>20</v>
      </c>
      <c r="P402" t="s">
        <v>21</v>
      </c>
      <c r="Q402" t="s">
        <v>20</v>
      </c>
      <c r="R402" t="str">
        <f>HYPERLINK("https://cfpub.epa.gov/ecotox/explore.cfm?ncbi=161649","Explore in ECOTOX")</f>
        <v>Explore in ECOTOX</v>
      </c>
    </row>
    <row r="403" spans="1:18" x14ac:dyDescent="0.25">
      <c r="A403">
        <v>6</v>
      </c>
      <c r="B403" t="str">
        <f>HYPERLINK("http://www.ncbi.nlm.nih.gov/protein/XP_030420325.1","XP_030420325.1")</f>
        <v>XP_030420325.1</v>
      </c>
      <c r="C403">
        <v>50866</v>
      </c>
      <c r="D403" t="str">
        <f>HYPERLINK("http://www.ncbi.nlm.nih.gov/Taxonomy/Browser/wwwtax.cgi?mode=Info&amp;id=1825980&amp;lvl=3&amp;lin=f&amp;keep=1&amp;srchmode=1&amp;unlock","1825980")</f>
        <v>1825980</v>
      </c>
      <c r="E403" t="s">
        <v>321</v>
      </c>
      <c r="F403" t="s">
        <v>321</v>
      </c>
      <c r="G403" t="str">
        <f>HYPERLINK("http://www.ncbi.nlm.nih.gov/Taxonomy/Browser/wwwtax.cgi?mode=Info&amp;id=1825980&amp;lvl=3&amp;lin=f&amp;keep=1&amp;srchmode=1&amp;unlock","Gopherus evgoodei")</f>
        <v>Gopherus evgoodei</v>
      </c>
      <c r="H403" t="s">
        <v>398</v>
      </c>
      <c r="I403" t="str">
        <f>HYPERLINK("http://www.ncbi.nlm.nih.gov/protein/XP_030420325.1","fatty acid-binding protein, liver")</f>
        <v>fatty acid-binding protein, liver</v>
      </c>
      <c r="J403">
        <v>188.73</v>
      </c>
      <c r="K403" t="s">
        <v>20</v>
      </c>
      <c r="L403">
        <v>139</v>
      </c>
      <c r="M403">
        <v>50.68</v>
      </c>
      <c r="N403">
        <v>74.81</v>
      </c>
      <c r="O403" t="s">
        <v>20</v>
      </c>
      <c r="P403" t="s">
        <v>21</v>
      </c>
      <c r="Q403" t="s">
        <v>20</v>
      </c>
      <c r="R403" t="str">
        <f>HYPERLINK("https://cfpub.epa.gov/ecotox/explore.cfm?ncbi=1825980","Explore in ECOTOX")</f>
        <v>Explore in ECOTOX</v>
      </c>
    </row>
    <row r="404" spans="1:18" x14ac:dyDescent="0.25">
      <c r="A404">
        <v>6</v>
      </c>
      <c r="B404" t="str">
        <f>HYPERLINK("http://www.ncbi.nlm.nih.gov/protein/NWQ49776.1","NWQ49776.1")</f>
        <v>NWQ49776.1</v>
      </c>
      <c r="C404">
        <v>14102</v>
      </c>
      <c r="D404" t="str">
        <f>HYPERLINK("http://www.ncbi.nlm.nih.gov/Taxonomy/Browser/wwwtax.cgi?mode=Info&amp;id=44397&amp;lvl=3&amp;lin=f&amp;keep=1&amp;srchmode=1&amp;unlock","44397")</f>
        <v>44397</v>
      </c>
      <c r="E404" t="s">
        <v>167</v>
      </c>
      <c r="F404" t="s">
        <v>167</v>
      </c>
      <c r="G404" t="str">
        <f>HYPERLINK("http://www.ncbi.nlm.nih.gov/Taxonomy/Browser/wwwtax.cgi?mode=Info&amp;id=44397&amp;lvl=3&amp;lin=f&amp;keep=1&amp;srchmode=1&amp;unlock","Melospiza melodia")</f>
        <v>Melospiza melodia</v>
      </c>
      <c r="H404" t="s">
        <v>380</v>
      </c>
      <c r="I404" t="str">
        <f>HYPERLINK("http://www.ncbi.nlm.nih.gov/protein/NWQ49776.1","FABPL protein")</f>
        <v>FABPL protein</v>
      </c>
      <c r="J404">
        <v>188.73</v>
      </c>
      <c r="K404" t="s">
        <v>25</v>
      </c>
      <c r="L404">
        <v>139</v>
      </c>
      <c r="M404">
        <v>50.68</v>
      </c>
      <c r="N404">
        <v>74.81</v>
      </c>
      <c r="O404" t="s">
        <v>20</v>
      </c>
      <c r="P404" t="s">
        <v>21</v>
      </c>
      <c r="Q404" t="s">
        <v>20</v>
      </c>
      <c r="R404" t="str">
        <f>HYPERLINK("https://cfpub.epa.gov/ecotox/explore.cfm?ncbi=44397","Explore in ECOTOX")</f>
        <v>Explore in ECOTOX</v>
      </c>
    </row>
    <row r="405" spans="1:18" x14ac:dyDescent="0.25">
      <c r="A405">
        <v>6</v>
      </c>
      <c r="B405" t="str">
        <f>HYPERLINK("http://www.ncbi.nlm.nih.gov/protein/NXS48245.1","NXS48245.1")</f>
        <v>NXS48245.1</v>
      </c>
      <c r="C405">
        <v>12289</v>
      </c>
      <c r="D405" t="str">
        <f>HYPERLINK("http://www.ncbi.nlm.nih.gov/Taxonomy/Browser/wwwtax.cgi?mode=Info&amp;id=33584&amp;lvl=3&amp;lin=f&amp;keep=1&amp;srchmode=1&amp;unlock","33584")</f>
        <v>33584</v>
      </c>
      <c r="E405" t="s">
        <v>167</v>
      </c>
      <c r="F405" t="s">
        <v>167</v>
      </c>
      <c r="G405" t="str">
        <f>HYPERLINK("http://www.ncbi.nlm.nih.gov/Taxonomy/Browser/wwwtax.cgi?mode=Info&amp;id=33584&amp;lvl=3&amp;lin=f&amp;keep=1&amp;srchmode=1&amp;unlock","Balaeniceps rex")</f>
        <v>Balaeniceps rex</v>
      </c>
      <c r="H405" t="s">
        <v>399</v>
      </c>
      <c r="I405" t="str">
        <f>HYPERLINK("http://www.ncbi.nlm.nih.gov/protein/NXS48245.1","FABPL protein")</f>
        <v>FABPL protein</v>
      </c>
      <c r="J405">
        <v>188.73</v>
      </c>
      <c r="K405" t="s">
        <v>25</v>
      </c>
      <c r="L405">
        <v>139</v>
      </c>
      <c r="M405">
        <v>50.68</v>
      </c>
      <c r="N405">
        <v>74.81</v>
      </c>
      <c r="O405" t="s">
        <v>20</v>
      </c>
      <c r="P405" t="s">
        <v>21</v>
      </c>
      <c r="Q405" t="s">
        <v>20</v>
      </c>
      <c r="R405" t="str">
        <f>HYPERLINK("https://cfpub.epa.gov/ecotox/explore.cfm?ncbi=33584","Explore in ECOTOX")</f>
        <v>Explore in ECOTOX</v>
      </c>
    </row>
    <row r="406" spans="1:18" x14ac:dyDescent="0.25">
      <c r="A406">
        <v>6</v>
      </c>
      <c r="B406" t="str">
        <f>HYPERLINK("http://www.ncbi.nlm.nih.gov/protein/NXG16533.1","NXG16533.1")</f>
        <v>NXG16533.1</v>
      </c>
      <c r="C406">
        <v>13957</v>
      </c>
      <c r="D406" t="str">
        <f>HYPERLINK("http://www.ncbi.nlm.nih.gov/Taxonomy/Browser/wwwtax.cgi?mode=Info&amp;id=117165&amp;lvl=3&amp;lin=f&amp;keep=1&amp;srchmode=1&amp;unlock","117165")</f>
        <v>117165</v>
      </c>
      <c r="E406" t="s">
        <v>167</v>
      </c>
      <c r="F406" t="s">
        <v>167</v>
      </c>
      <c r="G406" t="str">
        <f>HYPERLINK("http://www.ncbi.nlm.nih.gov/Taxonomy/Browser/wwwtax.cgi?mode=Info&amp;id=117165&amp;lvl=3&amp;lin=f&amp;keep=1&amp;srchmode=1&amp;unlock","Grallaria varia")</f>
        <v>Grallaria varia</v>
      </c>
      <c r="H406" t="s">
        <v>400</v>
      </c>
      <c r="I406" t="str">
        <f>HYPERLINK("http://www.ncbi.nlm.nih.gov/protein/NXG16533.1","FABPL protein")</f>
        <v>FABPL protein</v>
      </c>
      <c r="J406">
        <v>188.73</v>
      </c>
      <c r="K406" t="s">
        <v>25</v>
      </c>
      <c r="L406">
        <v>139</v>
      </c>
      <c r="M406">
        <v>50.68</v>
      </c>
      <c r="N406">
        <v>74.81</v>
      </c>
      <c r="O406" t="s">
        <v>20</v>
      </c>
      <c r="P406" t="s">
        <v>21</v>
      </c>
      <c r="Q406" t="s">
        <v>20</v>
      </c>
      <c r="R406" t="str">
        <f>HYPERLINK("https://cfpub.epa.gov/ecotox/explore.cfm?ncbi=117165","Explore in ECOTOX")</f>
        <v>Explore in ECOTOX</v>
      </c>
    </row>
    <row r="407" spans="1:18" x14ac:dyDescent="0.25">
      <c r="A407">
        <v>6</v>
      </c>
      <c r="B407" t="str">
        <f>HYPERLINK("http://www.ncbi.nlm.nih.gov/protein/XP_034991597.1","XP_034991597.1")</f>
        <v>XP_034991597.1</v>
      </c>
      <c r="C407">
        <v>44583</v>
      </c>
      <c r="D407" t="str">
        <f>HYPERLINK("http://www.ncbi.nlm.nih.gov/Taxonomy/Browser/wwwtax.cgi?mode=Info&amp;id=8524&amp;lvl=3&amp;lin=f&amp;keep=1&amp;srchmode=1&amp;unlock","8524")</f>
        <v>8524</v>
      </c>
      <c r="E407" t="s">
        <v>236</v>
      </c>
      <c r="F407" t="s">
        <v>236</v>
      </c>
      <c r="G407" t="str">
        <f>HYPERLINK("http://www.ncbi.nlm.nih.gov/Taxonomy/Browser/wwwtax.cgi?mode=Info&amp;id=8524&amp;lvl=3&amp;lin=f&amp;keep=1&amp;srchmode=1&amp;unlock","Zootoca vivipara")</f>
        <v>Zootoca vivipara</v>
      </c>
      <c r="H407" t="s">
        <v>401</v>
      </c>
      <c r="I407" t="str">
        <f>HYPERLINK("http://www.ncbi.nlm.nih.gov/protein/XP_034991597.1","fatty acid-binding protein, liver")</f>
        <v>fatty acid-binding protein, liver</v>
      </c>
      <c r="J407">
        <v>188.73</v>
      </c>
      <c r="K407" t="s">
        <v>25</v>
      </c>
      <c r="L407">
        <v>139</v>
      </c>
      <c r="M407">
        <v>50.68</v>
      </c>
      <c r="N407">
        <v>74.81</v>
      </c>
      <c r="O407" t="s">
        <v>20</v>
      </c>
      <c r="P407" t="s">
        <v>21</v>
      </c>
      <c r="Q407" t="s">
        <v>20</v>
      </c>
      <c r="R407" t="str">
        <f>HYPERLINK("https://cfpub.epa.gov/ecotox/explore.cfm?ncbi=8524","Explore in ECOTOX")</f>
        <v>Explore in ECOTOX</v>
      </c>
    </row>
    <row r="408" spans="1:18" x14ac:dyDescent="0.25">
      <c r="A408">
        <v>6</v>
      </c>
      <c r="B408" t="str">
        <f>HYPERLINK("http://www.ncbi.nlm.nih.gov/protein/NXO41701.1","NXO41701.1")</f>
        <v>NXO41701.1</v>
      </c>
      <c r="C408">
        <v>13974</v>
      </c>
      <c r="D408" t="str">
        <f>HYPERLINK("http://www.ncbi.nlm.nih.gov/Taxonomy/Browser/wwwtax.cgi?mode=Info&amp;id=187437&amp;lvl=3&amp;lin=f&amp;keep=1&amp;srchmode=1&amp;unlock","187437")</f>
        <v>187437</v>
      </c>
      <c r="E408" t="s">
        <v>167</v>
      </c>
      <c r="F408" t="s">
        <v>167</v>
      </c>
      <c r="G408" t="str">
        <f>HYPERLINK("http://www.ncbi.nlm.nih.gov/Taxonomy/Browser/wwwtax.cgi?mode=Info&amp;id=187437&amp;lvl=3&amp;lin=f&amp;keep=1&amp;srchmode=1&amp;unlock","Locustella ochotensis")</f>
        <v>Locustella ochotensis</v>
      </c>
      <c r="H408" t="s">
        <v>402</v>
      </c>
      <c r="I408" t="str">
        <f>HYPERLINK("http://www.ncbi.nlm.nih.gov/protein/NXO41701.1","FABPL protein")</f>
        <v>FABPL protein</v>
      </c>
      <c r="J408">
        <v>188.73</v>
      </c>
      <c r="K408" t="s">
        <v>25</v>
      </c>
      <c r="L408">
        <v>139</v>
      </c>
      <c r="M408">
        <v>50.68</v>
      </c>
      <c r="N408">
        <v>74.81</v>
      </c>
      <c r="O408" t="s">
        <v>20</v>
      </c>
      <c r="P408" t="s">
        <v>21</v>
      </c>
      <c r="Q408" t="s">
        <v>20</v>
      </c>
      <c r="R408" t="str">
        <f>HYPERLINK("https://cfpub.epa.gov/ecotox/explore.cfm?ncbi=187437","Explore in ECOTOX")</f>
        <v>Explore in ECOTOX</v>
      </c>
    </row>
    <row r="409" spans="1:18" x14ac:dyDescent="0.25">
      <c r="A409">
        <v>6</v>
      </c>
      <c r="B409" t="str">
        <f>HYPERLINK("http://www.ncbi.nlm.nih.gov/protein/XP_027758296.1","XP_027758296.1")</f>
        <v>XP_027758296.1</v>
      </c>
      <c r="C409">
        <v>34050</v>
      </c>
      <c r="D409" t="str">
        <f>HYPERLINK("http://www.ncbi.nlm.nih.gov/Taxonomy/Browser/wwwtax.cgi?mode=Info&amp;id=164674&amp;lvl=3&amp;lin=f&amp;keep=1&amp;srchmode=1&amp;unlock","164674")</f>
        <v>164674</v>
      </c>
      <c r="E409" t="s">
        <v>167</v>
      </c>
      <c r="F409" t="s">
        <v>167</v>
      </c>
      <c r="G409" t="str">
        <f>HYPERLINK("http://www.ncbi.nlm.nih.gov/Taxonomy/Browser/wwwtax.cgi?mode=Info&amp;id=164674&amp;lvl=3&amp;lin=f&amp;keep=1&amp;srchmode=1&amp;unlock","Empidonax traillii")</f>
        <v>Empidonax traillii</v>
      </c>
      <c r="H409" t="s">
        <v>403</v>
      </c>
      <c r="I409" t="str">
        <f>HYPERLINK("http://www.ncbi.nlm.nih.gov/protein/XP_027758296.1","fatty acid-binding protein, liver")</f>
        <v>fatty acid-binding protein, liver</v>
      </c>
      <c r="J409">
        <v>188.73</v>
      </c>
      <c r="K409" t="s">
        <v>25</v>
      </c>
      <c r="L409">
        <v>139</v>
      </c>
      <c r="M409">
        <v>50.68</v>
      </c>
      <c r="N409">
        <v>74.81</v>
      </c>
      <c r="O409" t="s">
        <v>20</v>
      </c>
      <c r="P409" t="s">
        <v>21</v>
      </c>
      <c r="Q409" t="s">
        <v>20</v>
      </c>
      <c r="R409" t="str">
        <f>HYPERLINK("https://cfpub.epa.gov/ecotox/explore.cfm?ncbi=164674","Explore in ECOTOX")</f>
        <v>Explore in ECOTOX</v>
      </c>
    </row>
    <row r="410" spans="1:18" x14ac:dyDescent="0.25">
      <c r="A410">
        <v>6</v>
      </c>
      <c r="B410" t="str">
        <f>HYPERLINK("http://www.ncbi.nlm.nih.gov/protein/NXU83905.1","NXU83905.1")</f>
        <v>NXU83905.1</v>
      </c>
      <c r="C410">
        <v>13565</v>
      </c>
      <c r="D410" t="str">
        <f>HYPERLINK("http://www.ncbi.nlm.nih.gov/Taxonomy/Browser/wwwtax.cgi?mode=Info&amp;id=269412&amp;lvl=3&amp;lin=f&amp;keep=1&amp;srchmode=1&amp;unlock","269412")</f>
        <v>269412</v>
      </c>
      <c r="E410" t="s">
        <v>167</v>
      </c>
      <c r="F410" t="s">
        <v>167</v>
      </c>
      <c r="G410" t="str">
        <f>HYPERLINK("http://www.ncbi.nlm.nih.gov/Taxonomy/Browser/wwwtax.cgi?mode=Info&amp;id=269412&amp;lvl=3&amp;lin=f&amp;keep=1&amp;srchmode=1&amp;unlock","Xiphorhynchus elegans")</f>
        <v>Xiphorhynchus elegans</v>
      </c>
      <c r="H410" t="s">
        <v>404</v>
      </c>
      <c r="I410" t="str">
        <f>HYPERLINK("http://www.ncbi.nlm.nih.gov/protein/NXU83905.1","FABPL protein")</f>
        <v>FABPL protein</v>
      </c>
      <c r="J410">
        <v>188.73</v>
      </c>
      <c r="K410" t="s">
        <v>25</v>
      </c>
      <c r="L410">
        <v>139</v>
      </c>
      <c r="M410">
        <v>50.68</v>
      </c>
      <c r="N410">
        <v>74.81</v>
      </c>
      <c r="O410" t="s">
        <v>20</v>
      </c>
      <c r="P410" t="s">
        <v>21</v>
      </c>
      <c r="Q410" t="s">
        <v>20</v>
      </c>
      <c r="R410" t="str">
        <f>HYPERLINK("https://cfpub.epa.gov/ecotox/explore.cfm?ncbi=269412","Explore in ECOTOX")</f>
        <v>Explore in ECOTOX</v>
      </c>
    </row>
    <row r="411" spans="1:18" x14ac:dyDescent="0.25">
      <c r="A411">
        <v>6</v>
      </c>
      <c r="B411" t="str">
        <f>HYPERLINK("http://www.ncbi.nlm.nih.gov/protein/XP_039579801.1","XP_039579801.1")</f>
        <v>XP_039579801.1</v>
      </c>
      <c r="C411">
        <v>39374</v>
      </c>
      <c r="D411" t="str">
        <f>HYPERLINK("http://www.ncbi.nlm.nih.gov/Taxonomy/Browser/wwwtax.cgi?mode=Info&amp;id=9160&amp;lvl=3&amp;lin=f&amp;keep=1&amp;srchmode=1&amp;unlock","9160")</f>
        <v>9160</v>
      </c>
      <c r="E411" t="s">
        <v>167</v>
      </c>
      <c r="F411" t="s">
        <v>167</v>
      </c>
      <c r="G411" t="str">
        <f>HYPERLINK("http://www.ncbi.nlm.nih.gov/Taxonomy/Browser/wwwtax.cgi?mode=Info&amp;id=9160&amp;lvl=3&amp;lin=f&amp;keep=1&amp;srchmode=1&amp;unlock","Passer montanus")</f>
        <v>Passer montanus</v>
      </c>
      <c r="H411" t="s">
        <v>405</v>
      </c>
      <c r="I411" t="str">
        <f>HYPERLINK("http://www.ncbi.nlm.nih.gov/protein/XP_039579801.1","fatty acid-binding protein, liver")</f>
        <v>fatty acid-binding protein, liver</v>
      </c>
      <c r="J411">
        <v>188.73</v>
      </c>
      <c r="K411" t="s">
        <v>25</v>
      </c>
      <c r="L411">
        <v>139</v>
      </c>
      <c r="M411">
        <v>50.68</v>
      </c>
      <c r="N411">
        <v>74.81</v>
      </c>
      <c r="O411" t="s">
        <v>20</v>
      </c>
      <c r="P411" t="s">
        <v>21</v>
      </c>
      <c r="Q411" t="s">
        <v>20</v>
      </c>
      <c r="R411" t="str">
        <f>HYPERLINK("https://cfpub.epa.gov/ecotox/explore.cfm?ncbi=9160","Explore in ECOTOX")</f>
        <v>Explore in ECOTOX</v>
      </c>
    </row>
    <row r="412" spans="1:18" x14ac:dyDescent="0.25">
      <c r="A412">
        <v>6</v>
      </c>
      <c r="B412" t="str">
        <f>HYPERLINK("http://www.ncbi.nlm.nih.gov/protein/NWQ81120.1","NWQ81120.1")</f>
        <v>NWQ81120.1</v>
      </c>
      <c r="C412">
        <v>12327</v>
      </c>
      <c r="D412" t="str">
        <f>HYPERLINK("http://www.ncbi.nlm.nih.gov/Taxonomy/Browser/wwwtax.cgi?mode=Info&amp;id=115618&amp;lvl=3&amp;lin=f&amp;keep=1&amp;srchmode=1&amp;unlock","115618")</f>
        <v>115618</v>
      </c>
      <c r="E412" t="s">
        <v>167</v>
      </c>
      <c r="F412" t="s">
        <v>167</v>
      </c>
      <c r="G412" t="str">
        <f>HYPERLINK("http://www.ncbi.nlm.nih.gov/Taxonomy/Browser/wwwtax.cgi?mode=Info&amp;id=115618&amp;lvl=3&amp;lin=f&amp;keep=1&amp;srchmode=1&amp;unlock","Columbina picui")</f>
        <v>Columbina picui</v>
      </c>
      <c r="H412" t="s">
        <v>406</v>
      </c>
      <c r="I412" t="str">
        <f>HYPERLINK("http://www.ncbi.nlm.nih.gov/protein/NWQ81120.1","FABPL protein")</f>
        <v>FABPL protein</v>
      </c>
      <c r="J412">
        <v>188.35</v>
      </c>
      <c r="K412" t="s">
        <v>25</v>
      </c>
      <c r="L412">
        <v>139</v>
      </c>
      <c r="M412">
        <v>50.68</v>
      </c>
      <c r="N412">
        <v>74.650000000000006</v>
      </c>
      <c r="O412" t="s">
        <v>20</v>
      </c>
      <c r="P412" t="s">
        <v>21</v>
      </c>
      <c r="Q412" t="s">
        <v>20</v>
      </c>
      <c r="R412" t="str">
        <f>HYPERLINK("https://cfpub.epa.gov/ecotox/explore.cfm?ncbi=115618","Explore in ECOTOX")</f>
        <v>Explore in ECOTOX</v>
      </c>
    </row>
    <row r="413" spans="1:18" x14ac:dyDescent="0.25">
      <c r="A413">
        <v>6</v>
      </c>
      <c r="B413" t="str">
        <f>HYPERLINK("http://www.ncbi.nlm.nih.gov/protein/NXK90406.1","NXK90406.1")</f>
        <v>NXK90406.1</v>
      </c>
      <c r="C413">
        <v>13619</v>
      </c>
      <c r="D413" t="str">
        <f>HYPERLINK("http://www.ncbi.nlm.nih.gov/Taxonomy/Browser/wwwtax.cgi?mode=Info&amp;id=1118560&amp;lvl=3&amp;lin=f&amp;keep=1&amp;srchmode=1&amp;unlock","1118560")</f>
        <v>1118560</v>
      </c>
      <c r="E413" t="s">
        <v>167</v>
      </c>
      <c r="F413" t="s">
        <v>167</v>
      </c>
      <c r="G413" t="str">
        <f>HYPERLINK("http://www.ncbi.nlm.nih.gov/Taxonomy/Browser/wwwtax.cgi?mode=Info&amp;id=1118560&amp;lvl=3&amp;lin=f&amp;keep=1&amp;srchmode=1&amp;unlock","Formicarius rufipectus")</f>
        <v>Formicarius rufipectus</v>
      </c>
      <c r="H413" t="s">
        <v>206</v>
      </c>
      <c r="I413" t="str">
        <f>HYPERLINK("http://www.ncbi.nlm.nih.gov/protein/NXK90406.1","FABPL protein")</f>
        <v>FABPL protein</v>
      </c>
      <c r="J413">
        <v>188.35</v>
      </c>
      <c r="K413" t="s">
        <v>20</v>
      </c>
      <c r="L413">
        <v>139</v>
      </c>
      <c r="M413">
        <v>50.68</v>
      </c>
      <c r="N413">
        <v>74.650000000000006</v>
      </c>
      <c r="O413" t="s">
        <v>20</v>
      </c>
      <c r="P413" t="s">
        <v>21</v>
      </c>
      <c r="Q413" t="s">
        <v>20</v>
      </c>
      <c r="R413" t="str">
        <f>HYPERLINK("https://cfpub.epa.gov/ecotox/explore.cfm?ncbi=1118560","Explore in ECOTOX")</f>
        <v>Explore in ECOTOX</v>
      </c>
    </row>
    <row r="414" spans="1:18" x14ac:dyDescent="0.25">
      <c r="A414">
        <v>6</v>
      </c>
      <c r="B414" t="str">
        <f>HYPERLINK("http://www.ncbi.nlm.nih.gov/protein/NXJ07778.1","NXJ07778.1")</f>
        <v>NXJ07778.1</v>
      </c>
      <c r="C414">
        <v>13852</v>
      </c>
      <c r="D414" t="str">
        <f>HYPERLINK("http://www.ncbi.nlm.nih.gov/Taxonomy/Browser/wwwtax.cgi?mode=Info&amp;id=886794&amp;lvl=3&amp;lin=f&amp;keep=1&amp;srchmode=1&amp;unlock","886794")</f>
        <v>886794</v>
      </c>
      <c r="E414" t="s">
        <v>167</v>
      </c>
      <c r="F414" t="s">
        <v>167</v>
      </c>
      <c r="G414" t="str">
        <f>HYPERLINK("http://www.ncbi.nlm.nih.gov/Taxonomy/Browser/wwwtax.cgi?mode=Info&amp;id=886794&amp;lvl=3&amp;lin=f&amp;keep=1&amp;srchmode=1&amp;unlock","Odontophorus gujanensis")</f>
        <v>Odontophorus gujanensis</v>
      </c>
      <c r="H414" t="s">
        <v>407</v>
      </c>
      <c r="I414" t="str">
        <f>HYPERLINK("http://www.ncbi.nlm.nih.gov/protein/NXJ07778.1","FABPL protein")</f>
        <v>FABPL protein</v>
      </c>
      <c r="J414">
        <v>188.35</v>
      </c>
      <c r="K414" t="s">
        <v>20</v>
      </c>
      <c r="L414">
        <v>139</v>
      </c>
      <c r="M414">
        <v>50.68</v>
      </c>
      <c r="N414">
        <v>74.650000000000006</v>
      </c>
      <c r="O414" t="s">
        <v>20</v>
      </c>
      <c r="P414" t="s">
        <v>21</v>
      </c>
      <c r="Q414" t="s">
        <v>20</v>
      </c>
      <c r="R414" t="str">
        <f>HYPERLINK("https://cfpub.epa.gov/ecotox/explore.cfm?ncbi=886794","Explore in ECOTOX")</f>
        <v>Explore in ECOTOX</v>
      </c>
    </row>
    <row r="415" spans="1:18" x14ac:dyDescent="0.25">
      <c r="A415">
        <v>6</v>
      </c>
      <c r="B415" t="str">
        <f>HYPERLINK("http://www.ncbi.nlm.nih.gov/protein/NXC30698.1","NXC30698.1")</f>
        <v>NXC30698.1</v>
      </c>
      <c r="C415">
        <v>14152</v>
      </c>
      <c r="D415" t="str">
        <f>HYPERLINK("http://www.ncbi.nlm.nih.gov/Taxonomy/Browser/wwwtax.cgi?mode=Info&amp;id=190295&amp;lvl=3&amp;lin=f&amp;keep=1&amp;srchmode=1&amp;unlock","190295")</f>
        <v>190295</v>
      </c>
      <c r="E415" t="s">
        <v>167</v>
      </c>
      <c r="F415" t="s">
        <v>167</v>
      </c>
      <c r="G415" t="str">
        <f>HYPERLINK("http://www.ncbi.nlm.nih.gov/Taxonomy/Browser/wwwtax.cgi?mode=Info&amp;id=190295&amp;lvl=3&amp;lin=f&amp;keep=1&amp;srchmode=1&amp;unlock","Campylorhamphus procurvoides")</f>
        <v>Campylorhamphus procurvoides</v>
      </c>
      <c r="H415" t="s">
        <v>206</v>
      </c>
      <c r="I415" t="str">
        <f>HYPERLINK("http://www.ncbi.nlm.nih.gov/protein/NXC30698.1","FABPL protein")</f>
        <v>FABPL protein</v>
      </c>
      <c r="J415">
        <v>188.35</v>
      </c>
      <c r="K415" t="s">
        <v>25</v>
      </c>
      <c r="L415">
        <v>139</v>
      </c>
      <c r="M415">
        <v>50.68</v>
      </c>
      <c r="N415">
        <v>74.650000000000006</v>
      </c>
      <c r="O415" t="s">
        <v>20</v>
      </c>
      <c r="P415" t="s">
        <v>21</v>
      </c>
      <c r="Q415" t="s">
        <v>20</v>
      </c>
      <c r="R415" t="str">
        <f>HYPERLINK("https://cfpub.epa.gov/ecotox/explore.cfm?ncbi=190295","Explore in ECOTOX")</f>
        <v>Explore in ECOTOX</v>
      </c>
    </row>
    <row r="416" spans="1:18" x14ac:dyDescent="0.25">
      <c r="A416">
        <v>6</v>
      </c>
      <c r="B416" t="str">
        <f>HYPERLINK("http://www.ncbi.nlm.nih.gov/protein/XP_019409026.1","XP_019409026.1")</f>
        <v>XP_019409026.1</v>
      </c>
      <c r="C416">
        <v>29001</v>
      </c>
      <c r="D416" t="str">
        <f>HYPERLINK("http://www.ncbi.nlm.nih.gov/Taxonomy/Browser/wwwtax.cgi?mode=Info&amp;id=8502&amp;lvl=3&amp;lin=f&amp;keep=1&amp;srchmode=1&amp;unlock","8502")</f>
        <v>8502</v>
      </c>
      <c r="E416" t="s">
        <v>371</v>
      </c>
      <c r="F416" t="s">
        <v>371</v>
      </c>
      <c r="G416" t="str">
        <f>HYPERLINK("http://www.ncbi.nlm.nih.gov/Taxonomy/Browser/wwwtax.cgi?mode=Info&amp;id=8502&amp;lvl=3&amp;lin=f&amp;keep=1&amp;srchmode=1&amp;unlock","Crocodylus porosus")</f>
        <v>Crocodylus porosus</v>
      </c>
      <c r="H416" t="s">
        <v>408</v>
      </c>
      <c r="I416" t="str">
        <f>HYPERLINK("http://www.ncbi.nlm.nih.gov/protein/XP_019409026.1","PREDICTED: fatty acid-binding protein, liver")</f>
        <v>PREDICTED: fatty acid-binding protein, liver</v>
      </c>
      <c r="J416">
        <v>188.35</v>
      </c>
      <c r="K416" t="s">
        <v>25</v>
      </c>
      <c r="L416">
        <v>139</v>
      </c>
      <c r="M416">
        <v>50.68</v>
      </c>
      <c r="N416">
        <v>74.650000000000006</v>
      </c>
      <c r="O416" t="s">
        <v>20</v>
      </c>
      <c r="P416" t="s">
        <v>21</v>
      </c>
      <c r="Q416" t="s">
        <v>20</v>
      </c>
      <c r="R416" t="str">
        <f>HYPERLINK("https://cfpub.epa.gov/ecotox/explore.cfm?ncbi=8502","Explore in ECOTOX")</f>
        <v>Explore in ECOTOX</v>
      </c>
    </row>
    <row r="417" spans="1:18" x14ac:dyDescent="0.25">
      <c r="A417">
        <v>6</v>
      </c>
      <c r="B417" t="str">
        <f>HYPERLINK("http://www.ncbi.nlm.nih.gov/protein/XP_005517984.1","XP_005517984.1")</f>
        <v>XP_005517984.1</v>
      </c>
      <c r="C417">
        <v>27658</v>
      </c>
      <c r="D417" t="str">
        <f>HYPERLINK("http://www.ncbi.nlm.nih.gov/Taxonomy/Browser/wwwtax.cgi?mode=Info&amp;id=181119&amp;lvl=3&amp;lin=f&amp;keep=1&amp;srchmode=1&amp;unlock","181119")</f>
        <v>181119</v>
      </c>
      <c r="E417" t="s">
        <v>167</v>
      </c>
      <c r="F417" t="s">
        <v>167</v>
      </c>
      <c r="G417" t="str">
        <f>HYPERLINK("http://www.ncbi.nlm.nih.gov/Taxonomy/Browser/wwwtax.cgi?mode=Info&amp;id=181119&amp;lvl=3&amp;lin=f&amp;keep=1&amp;srchmode=1&amp;unlock","Pseudopodoces humilis")</f>
        <v>Pseudopodoces humilis</v>
      </c>
      <c r="H417" t="s">
        <v>409</v>
      </c>
      <c r="I417" t="str">
        <f>HYPERLINK("http://www.ncbi.nlm.nih.gov/protein/XP_005517984.1","PREDICTED: fatty acid-binding protein, liver")</f>
        <v>PREDICTED: fatty acid-binding protein, liver</v>
      </c>
      <c r="J417">
        <v>188.35</v>
      </c>
      <c r="K417" t="s">
        <v>25</v>
      </c>
      <c r="L417">
        <v>139</v>
      </c>
      <c r="M417">
        <v>50.68</v>
      </c>
      <c r="N417">
        <v>74.650000000000006</v>
      </c>
      <c r="O417" t="s">
        <v>20</v>
      </c>
      <c r="P417" t="s">
        <v>21</v>
      </c>
      <c r="Q417" t="s">
        <v>20</v>
      </c>
      <c r="R417" t="str">
        <f>HYPERLINK("https://cfpub.epa.gov/ecotox/explore.cfm?ncbi=181119","Explore in ECOTOX")</f>
        <v>Explore in ECOTOX</v>
      </c>
    </row>
    <row r="418" spans="1:18" x14ac:dyDescent="0.25">
      <c r="A418">
        <v>6</v>
      </c>
      <c r="B418" t="str">
        <f>HYPERLINK("http://www.ncbi.nlm.nih.gov/protein/NWY30701.1","NWY30701.1")</f>
        <v>NWY30701.1</v>
      </c>
      <c r="C418">
        <v>12918</v>
      </c>
      <c r="D418" t="str">
        <f>HYPERLINK("http://www.ncbi.nlm.nih.gov/Taxonomy/Browser/wwwtax.cgi?mode=Info&amp;id=371919&amp;lvl=3&amp;lin=f&amp;keep=1&amp;srchmode=1&amp;unlock","371919")</f>
        <v>371919</v>
      </c>
      <c r="E418" t="s">
        <v>167</v>
      </c>
      <c r="F418" t="s">
        <v>167</v>
      </c>
      <c r="G418" t="str">
        <f>HYPERLINK("http://www.ncbi.nlm.nih.gov/Taxonomy/Browser/wwwtax.cgi?mode=Info&amp;id=371919&amp;lvl=3&amp;lin=f&amp;keep=1&amp;srchmode=1&amp;unlock","Pheucticus melanocephalus")</f>
        <v>Pheucticus melanocephalus</v>
      </c>
      <c r="H418" t="s">
        <v>206</v>
      </c>
      <c r="I418" t="str">
        <f>HYPERLINK("http://www.ncbi.nlm.nih.gov/protein/NWY30701.1","FABPL protein")</f>
        <v>FABPL protein</v>
      </c>
      <c r="J418">
        <v>188.35</v>
      </c>
      <c r="K418" t="s">
        <v>25</v>
      </c>
      <c r="L418">
        <v>139</v>
      </c>
      <c r="M418">
        <v>50.68</v>
      </c>
      <c r="N418">
        <v>74.650000000000006</v>
      </c>
      <c r="O418" t="s">
        <v>20</v>
      </c>
      <c r="P418" t="s">
        <v>21</v>
      </c>
      <c r="Q418" t="s">
        <v>20</v>
      </c>
      <c r="R418" t="str">
        <f>HYPERLINK("https://cfpub.epa.gov/ecotox/explore.cfm?ncbi=371919","Explore in ECOTOX")</f>
        <v>Explore in ECOTOX</v>
      </c>
    </row>
    <row r="419" spans="1:18" x14ac:dyDescent="0.25">
      <c r="A419">
        <v>6</v>
      </c>
      <c r="B419" t="str">
        <f>HYPERLINK("http://www.ncbi.nlm.nih.gov/protein/NXB04302.1","NXB04302.1")</f>
        <v>NXB04302.1</v>
      </c>
      <c r="C419">
        <v>14160</v>
      </c>
      <c r="D419" t="str">
        <f>HYPERLINK("http://www.ncbi.nlm.nih.gov/Taxonomy/Browser/wwwtax.cgi?mode=Info&amp;id=254448&amp;lvl=3&amp;lin=f&amp;keep=1&amp;srchmode=1&amp;unlock","254448")</f>
        <v>254448</v>
      </c>
      <c r="E419" t="s">
        <v>167</v>
      </c>
      <c r="F419" t="s">
        <v>167</v>
      </c>
      <c r="G419" t="str">
        <f>HYPERLINK("http://www.ncbi.nlm.nih.gov/Taxonomy/Browser/wwwtax.cgi?mode=Info&amp;id=254448&amp;lvl=3&amp;lin=f&amp;keep=1&amp;srchmode=1&amp;unlock","Cnemophilus loriae")</f>
        <v>Cnemophilus loriae</v>
      </c>
      <c r="H419" t="s">
        <v>410</v>
      </c>
      <c r="I419" t="str">
        <f>HYPERLINK("http://www.ncbi.nlm.nih.gov/protein/NXB04302.1","FABPL protein")</f>
        <v>FABPL protein</v>
      </c>
      <c r="J419">
        <v>188.35</v>
      </c>
      <c r="K419" t="s">
        <v>25</v>
      </c>
      <c r="L419">
        <v>139</v>
      </c>
      <c r="M419">
        <v>50.68</v>
      </c>
      <c r="N419">
        <v>74.650000000000006</v>
      </c>
      <c r="O419" t="s">
        <v>20</v>
      </c>
      <c r="P419" t="s">
        <v>21</v>
      </c>
      <c r="Q419" t="s">
        <v>20</v>
      </c>
      <c r="R419" t="str">
        <f>HYPERLINK("https://cfpub.epa.gov/ecotox/explore.cfm?ncbi=254448","Explore in ECOTOX")</f>
        <v>Explore in ECOTOX</v>
      </c>
    </row>
    <row r="420" spans="1:18" x14ac:dyDescent="0.25">
      <c r="A420">
        <v>6</v>
      </c>
      <c r="B420" t="str">
        <f>HYPERLINK("http://www.ncbi.nlm.nih.gov/protein/XP_005428387.1","XP_005428387.1")</f>
        <v>XP_005428387.1</v>
      </c>
      <c r="C420">
        <v>20687</v>
      </c>
      <c r="D420" t="str">
        <f>HYPERLINK("http://www.ncbi.nlm.nih.gov/Taxonomy/Browser/wwwtax.cgi?mode=Info&amp;id=48883&amp;lvl=3&amp;lin=f&amp;keep=1&amp;srchmode=1&amp;unlock","48883")</f>
        <v>48883</v>
      </c>
      <c r="E420" t="s">
        <v>167</v>
      </c>
      <c r="F420" t="s">
        <v>167</v>
      </c>
      <c r="G420" t="str">
        <f>HYPERLINK("http://www.ncbi.nlm.nih.gov/Taxonomy/Browser/wwwtax.cgi?mode=Info&amp;id=48883&amp;lvl=3&amp;lin=f&amp;keep=1&amp;srchmode=1&amp;unlock","Geospiza fortis")</f>
        <v>Geospiza fortis</v>
      </c>
      <c r="H420" t="s">
        <v>411</v>
      </c>
      <c r="I420" t="str">
        <f>HYPERLINK("http://www.ncbi.nlm.nih.gov/protein/XP_005428387.1","fatty acid-binding protein, liver")</f>
        <v>fatty acid-binding protein, liver</v>
      </c>
      <c r="J420">
        <v>187.96</v>
      </c>
      <c r="K420" t="s">
        <v>25</v>
      </c>
      <c r="L420">
        <v>139</v>
      </c>
      <c r="M420">
        <v>50.68</v>
      </c>
      <c r="N420">
        <v>74.5</v>
      </c>
      <c r="O420" t="s">
        <v>20</v>
      </c>
      <c r="P420" t="s">
        <v>21</v>
      </c>
      <c r="Q420" t="s">
        <v>20</v>
      </c>
      <c r="R420" t="str">
        <f>HYPERLINK("https://cfpub.epa.gov/ecotox/explore.cfm?ncbi=48883","Explore in ECOTOX")</f>
        <v>Explore in ECOTOX</v>
      </c>
    </row>
    <row r="421" spans="1:18" x14ac:dyDescent="0.25">
      <c r="A421">
        <v>6</v>
      </c>
      <c r="B421" t="str">
        <f>HYPERLINK("http://www.ncbi.nlm.nih.gov/protein/XP_010215985.1","XP_010215985.1")</f>
        <v>XP_010215985.1</v>
      </c>
      <c r="C421">
        <v>31346</v>
      </c>
      <c r="D421" t="str">
        <f>HYPERLINK("http://www.ncbi.nlm.nih.gov/Taxonomy/Browser/wwwtax.cgi?mode=Info&amp;id=94827&amp;lvl=3&amp;lin=f&amp;keep=1&amp;srchmode=1&amp;unlock","94827")</f>
        <v>94827</v>
      </c>
      <c r="E421" t="s">
        <v>167</v>
      </c>
      <c r="F421" t="s">
        <v>167</v>
      </c>
      <c r="G421" t="str">
        <f>HYPERLINK("http://www.ncbi.nlm.nih.gov/Taxonomy/Browser/wwwtax.cgi?mode=Info&amp;id=94827&amp;lvl=3&amp;lin=f&amp;keep=1&amp;srchmode=1&amp;unlock","Tinamus guttatus")</f>
        <v>Tinamus guttatus</v>
      </c>
      <c r="H421" t="s">
        <v>412</v>
      </c>
      <c r="I421" t="str">
        <f>HYPERLINK("http://www.ncbi.nlm.nih.gov/protein/XP_010215985.1","PREDICTED: fatty acid-binding protein, liver")</f>
        <v>PREDICTED: fatty acid-binding protein, liver</v>
      </c>
      <c r="J421">
        <v>187.96</v>
      </c>
      <c r="K421" t="s">
        <v>20</v>
      </c>
      <c r="L421">
        <v>139</v>
      </c>
      <c r="M421">
        <v>50.68</v>
      </c>
      <c r="N421">
        <v>74.5</v>
      </c>
      <c r="O421" t="s">
        <v>20</v>
      </c>
      <c r="P421" t="s">
        <v>21</v>
      </c>
      <c r="Q421" t="s">
        <v>20</v>
      </c>
      <c r="R421" t="str">
        <f>HYPERLINK("https://cfpub.epa.gov/ecotox/explore.cfm?ncbi=94827","Explore in ECOTOX")</f>
        <v>Explore in ECOTOX</v>
      </c>
    </row>
    <row r="422" spans="1:18" x14ac:dyDescent="0.25">
      <c r="A422">
        <v>6</v>
      </c>
      <c r="B422" t="str">
        <f>HYPERLINK("http://www.ncbi.nlm.nih.gov/protein/NXM89594.1","NXM89594.1")</f>
        <v>NXM89594.1</v>
      </c>
      <c r="C422">
        <v>13842</v>
      </c>
      <c r="D422" t="str">
        <f>HYPERLINK("http://www.ncbi.nlm.nih.gov/Taxonomy/Browser/wwwtax.cgi?mode=Info&amp;id=279966&amp;lvl=3&amp;lin=f&amp;keep=1&amp;srchmode=1&amp;unlock","279966")</f>
        <v>279966</v>
      </c>
      <c r="E422" t="s">
        <v>167</v>
      </c>
      <c r="F422" t="s">
        <v>167</v>
      </c>
      <c r="G422" t="str">
        <f>HYPERLINK("http://www.ncbi.nlm.nih.gov/Taxonomy/Browser/wwwtax.cgi?mode=Info&amp;id=279966&amp;lvl=3&amp;lin=f&amp;keep=1&amp;srchmode=1&amp;unlock","Oenanthe oenanthe")</f>
        <v>Oenanthe oenanthe</v>
      </c>
      <c r="H422" t="s">
        <v>413</v>
      </c>
      <c r="I422" t="str">
        <f>HYPERLINK("http://www.ncbi.nlm.nih.gov/protein/NXM89594.1","FABPL protein")</f>
        <v>FABPL protein</v>
      </c>
      <c r="J422">
        <v>187.96</v>
      </c>
      <c r="K422" t="s">
        <v>25</v>
      </c>
      <c r="L422">
        <v>139</v>
      </c>
      <c r="M422">
        <v>50.68</v>
      </c>
      <c r="N422">
        <v>74.5</v>
      </c>
      <c r="O422" t="s">
        <v>20</v>
      </c>
      <c r="P422" t="s">
        <v>21</v>
      </c>
      <c r="Q422" t="s">
        <v>20</v>
      </c>
      <c r="R422" t="str">
        <f>HYPERLINK("https://cfpub.epa.gov/ecotox/explore.cfm?ncbi=279966","Explore in ECOTOX")</f>
        <v>Explore in ECOTOX</v>
      </c>
    </row>
    <row r="423" spans="1:18" x14ac:dyDescent="0.25">
      <c r="A423">
        <v>6</v>
      </c>
      <c r="B423" t="str">
        <f>HYPERLINK("http://www.ncbi.nlm.nih.gov/protein/XP_030803984.1","XP_030803984.1")</f>
        <v>XP_030803984.1</v>
      </c>
      <c r="C423">
        <v>28938</v>
      </c>
      <c r="D423" t="str">
        <f>HYPERLINK("http://www.ncbi.nlm.nih.gov/Taxonomy/Browser/wwwtax.cgi?mode=Info&amp;id=87175&amp;lvl=3&amp;lin=f&amp;keep=1&amp;srchmode=1&amp;unlock","87175")</f>
        <v>87175</v>
      </c>
      <c r="E423" t="s">
        <v>167</v>
      </c>
      <c r="F423" t="s">
        <v>167</v>
      </c>
      <c r="G423" t="str">
        <f>HYPERLINK("http://www.ncbi.nlm.nih.gov/Taxonomy/Browser/wwwtax.cgi?mode=Info&amp;id=87175&amp;lvl=3&amp;lin=f&amp;keep=1&amp;srchmode=1&amp;unlock","Camarhynchus parvulus")</f>
        <v>Camarhynchus parvulus</v>
      </c>
      <c r="H423" t="s">
        <v>414</v>
      </c>
      <c r="I423" t="str">
        <f>HYPERLINK("http://www.ncbi.nlm.nih.gov/protein/XP_030803984.1","fatty acid-binding protein, liver")</f>
        <v>fatty acid-binding protein, liver</v>
      </c>
      <c r="J423">
        <v>187.96</v>
      </c>
      <c r="K423" t="s">
        <v>25</v>
      </c>
      <c r="L423">
        <v>139</v>
      </c>
      <c r="M423">
        <v>50.68</v>
      </c>
      <c r="N423">
        <v>74.5</v>
      </c>
      <c r="O423" t="s">
        <v>20</v>
      </c>
      <c r="P423" t="s">
        <v>21</v>
      </c>
      <c r="Q423" t="s">
        <v>20</v>
      </c>
      <c r="R423" t="str">
        <f>HYPERLINK("https://cfpub.epa.gov/ecotox/explore.cfm?ncbi=87175","Explore in ECOTOX")</f>
        <v>Explore in ECOTOX</v>
      </c>
    </row>
    <row r="424" spans="1:18" x14ac:dyDescent="0.25">
      <c r="A424">
        <v>6</v>
      </c>
      <c r="B424" t="str">
        <f>HYPERLINK("http://www.ncbi.nlm.nih.gov/protein/XP_033920831.1","XP_033920831.1")</f>
        <v>XP_033920831.1</v>
      </c>
      <c r="C424">
        <v>29316</v>
      </c>
      <c r="D424" t="str">
        <f>HYPERLINK("http://www.ncbi.nlm.nih.gov/Taxonomy/Browser/wwwtax.cgi?mode=Info&amp;id=13146&amp;lvl=3&amp;lin=f&amp;keep=1&amp;srchmode=1&amp;unlock","13146")</f>
        <v>13146</v>
      </c>
      <c r="E424" t="s">
        <v>167</v>
      </c>
      <c r="F424" t="s">
        <v>167</v>
      </c>
      <c r="G424" t="str">
        <f>HYPERLINK("http://www.ncbi.nlm.nih.gov/Taxonomy/Browser/wwwtax.cgi?mode=Info&amp;id=13146&amp;lvl=3&amp;lin=f&amp;keep=1&amp;srchmode=1&amp;unlock","Melopsittacus undulatus")</f>
        <v>Melopsittacus undulatus</v>
      </c>
      <c r="H424" t="s">
        <v>415</v>
      </c>
      <c r="I424" t="str">
        <f>HYPERLINK("http://www.ncbi.nlm.nih.gov/protein/XP_033920831.1","fatty acid-binding protein, liver")</f>
        <v>fatty acid-binding protein, liver</v>
      </c>
      <c r="J424">
        <v>187.96</v>
      </c>
      <c r="K424" t="s">
        <v>25</v>
      </c>
      <c r="L424">
        <v>139</v>
      </c>
      <c r="M424">
        <v>50.68</v>
      </c>
      <c r="N424">
        <v>74.5</v>
      </c>
      <c r="O424" t="s">
        <v>20</v>
      </c>
      <c r="P424" t="s">
        <v>21</v>
      </c>
      <c r="Q424" t="s">
        <v>20</v>
      </c>
      <c r="R424" t="str">
        <f>HYPERLINK("https://cfpub.epa.gov/ecotox/explore.cfm?ncbi=13146","Explore in ECOTOX")</f>
        <v>Explore in ECOTOX</v>
      </c>
    </row>
    <row r="425" spans="1:18" x14ac:dyDescent="0.25">
      <c r="A425">
        <v>6</v>
      </c>
      <c r="B425" t="str">
        <f>HYPERLINK("http://www.ncbi.nlm.nih.gov/protein/XP_020041276.1","XP_020041276.1")</f>
        <v>XP_020041276.1</v>
      </c>
      <c r="C425">
        <v>37573</v>
      </c>
      <c r="D425" t="str">
        <f>HYPERLINK("http://www.ncbi.nlm.nih.gov/Taxonomy/Browser/wwwtax.cgi?mode=Info&amp;id=51338&amp;lvl=3&amp;lin=f&amp;keep=1&amp;srchmode=1&amp;unlock","51338")</f>
        <v>51338</v>
      </c>
      <c r="E425" t="s">
        <v>18</v>
      </c>
      <c r="F425" t="s">
        <v>18</v>
      </c>
      <c r="G425" t="str">
        <f>HYPERLINK("http://www.ncbi.nlm.nih.gov/Taxonomy/Browser/wwwtax.cgi?mode=Info&amp;id=51338&amp;lvl=3&amp;lin=f&amp;keep=1&amp;srchmode=1&amp;unlock","Castor canadensis")</f>
        <v>Castor canadensis</v>
      </c>
      <c r="H425" t="s">
        <v>416</v>
      </c>
      <c r="I425" t="str">
        <f>HYPERLINK("http://www.ncbi.nlm.nih.gov/protein/XP_020041276.1","fatty acid-binding protein, liver")</f>
        <v>fatty acid-binding protein, liver</v>
      </c>
      <c r="J425">
        <v>187.96</v>
      </c>
      <c r="K425" t="s">
        <v>25</v>
      </c>
      <c r="L425">
        <v>139</v>
      </c>
      <c r="M425">
        <v>50.68</v>
      </c>
      <c r="N425">
        <v>74.5</v>
      </c>
      <c r="O425" t="s">
        <v>20</v>
      </c>
      <c r="P425" t="s">
        <v>21</v>
      </c>
      <c r="Q425" t="s">
        <v>20</v>
      </c>
      <c r="R425" t="str">
        <f>HYPERLINK("https://cfpub.epa.gov/ecotox/explore.cfm?ncbi=51338","Explore in ECOTOX")</f>
        <v>Explore in ECOTOX</v>
      </c>
    </row>
    <row r="426" spans="1:18" x14ac:dyDescent="0.25">
      <c r="A426">
        <v>6</v>
      </c>
      <c r="B426" t="str">
        <f>HYPERLINK("http://www.ncbi.nlm.nih.gov/protein/XP_004590793.1","XP_004590793.1")</f>
        <v>XP_004590793.1</v>
      </c>
      <c r="C426">
        <v>30035</v>
      </c>
      <c r="D426" t="str">
        <f>HYPERLINK("http://www.ncbi.nlm.nih.gov/Taxonomy/Browser/wwwtax.cgi?mode=Info&amp;id=9978&amp;lvl=3&amp;lin=f&amp;keep=1&amp;srchmode=1&amp;unlock","9978")</f>
        <v>9978</v>
      </c>
      <c r="E426" t="s">
        <v>18</v>
      </c>
      <c r="F426" t="s">
        <v>18</v>
      </c>
      <c r="G426" t="str">
        <f>HYPERLINK("http://www.ncbi.nlm.nih.gov/Taxonomy/Browser/wwwtax.cgi?mode=Info&amp;id=9978&amp;lvl=3&amp;lin=f&amp;keep=1&amp;srchmode=1&amp;unlock","Ochotona princeps")</f>
        <v>Ochotona princeps</v>
      </c>
      <c r="H426" t="s">
        <v>417</v>
      </c>
      <c r="I426" t="str">
        <f>HYPERLINK("http://www.ncbi.nlm.nih.gov/protein/XP_004590793.1","fatty acid-binding protein, liver")</f>
        <v>fatty acid-binding protein, liver</v>
      </c>
      <c r="J426">
        <v>187.96</v>
      </c>
      <c r="K426" t="s">
        <v>25</v>
      </c>
      <c r="L426">
        <v>139</v>
      </c>
      <c r="M426">
        <v>50.68</v>
      </c>
      <c r="N426">
        <v>74.5</v>
      </c>
      <c r="O426" t="s">
        <v>20</v>
      </c>
      <c r="P426" t="s">
        <v>21</v>
      </c>
      <c r="Q426" t="s">
        <v>20</v>
      </c>
      <c r="R426" t="str">
        <f>HYPERLINK("https://cfpub.epa.gov/ecotox/explore.cfm?ncbi=9978","Explore in ECOTOX")</f>
        <v>Explore in ECOTOX</v>
      </c>
    </row>
    <row r="427" spans="1:18" x14ac:dyDescent="0.25">
      <c r="A427">
        <v>6</v>
      </c>
      <c r="B427" t="str">
        <f>HYPERLINK("http://www.ncbi.nlm.nih.gov/protein/NXP19171.1","NXP19171.1")</f>
        <v>NXP19171.1</v>
      </c>
      <c r="C427">
        <v>13881</v>
      </c>
      <c r="D427" t="str">
        <f>HYPERLINK("http://www.ncbi.nlm.nih.gov/Taxonomy/Browser/wwwtax.cgi?mode=Info&amp;id=312124&amp;lvl=3&amp;lin=f&amp;keep=1&amp;srchmode=1&amp;unlock","312124")</f>
        <v>312124</v>
      </c>
      <c r="E427" t="s">
        <v>167</v>
      </c>
      <c r="F427" t="s">
        <v>167</v>
      </c>
      <c r="G427" t="str">
        <f>HYPERLINK("http://www.ncbi.nlm.nih.gov/Taxonomy/Browser/wwwtax.cgi?mode=Info&amp;id=312124&amp;lvl=3&amp;lin=f&amp;keep=1&amp;srchmode=1&amp;unlock","Scytalopus superciliaris")</f>
        <v>Scytalopus superciliaris</v>
      </c>
      <c r="H427" t="s">
        <v>418</v>
      </c>
      <c r="I427" t="str">
        <f>HYPERLINK("http://www.ncbi.nlm.nih.gov/protein/NXP19171.1","FABPL protein")</f>
        <v>FABPL protein</v>
      </c>
      <c r="J427">
        <v>187.58</v>
      </c>
      <c r="K427" t="s">
        <v>25</v>
      </c>
      <c r="L427">
        <v>139</v>
      </c>
      <c r="M427">
        <v>50.68</v>
      </c>
      <c r="N427">
        <v>74.349999999999994</v>
      </c>
      <c r="O427" t="s">
        <v>20</v>
      </c>
      <c r="P427" t="s">
        <v>21</v>
      </c>
      <c r="Q427" t="s">
        <v>20</v>
      </c>
      <c r="R427" t="str">
        <f>HYPERLINK("https://cfpub.epa.gov/ecotox/explore.cfm?ncbi=312124","Explore in ECOTOX")</f>
        <v>Explore in ECOTOX</v>
      </c>
    </row>
    <row r="428" spans="1:18" x14ac:dyDescent="0.25">
      <c r="A428">
        <v>6</v>
      </c>
      <c r="B428" t="str">
        <f>HYPERLINK("http://www.ncbi.nlm.nih.gov/protein/NWI39303.1","NWI39303.1")</f>
        <v>NWI39303.1</v>
      </c>
      <c r="C428">
        <v>13590</v>
      </c>
      <c r="D428" t="str">
        <f>HYPERLINK("http://www.ncbi.nlm.nih.gov/Taxonomy/Browser/wwwtax.cgi?mode=Info&amp;id=175131&amp;lvl=3&amp;lin=f&amp;keep=1&amp;srchmode=1&amp;unlock","175131")</f>
        <v>175131</v>
      </c>
      <c r="E428" t="s">
        <v>167</v>
      </c>
      <c r="F428" t="s">
        <v>167</v>
      </c>
      <c r="G428" t="str">
        <f>HYPERLINK("http://www.ncbi.nlm.nih.gov/Taxonomy/Browser/wwwtax.cgi?mode=Info&amp;id=175131&amp;lvl=3&amp;lin=f&amp;keep=1&amp;srchmode=1&amp;unlock","Picathartes gymnocephalus")</f>
        <v>Picathartes gymnocephalus</v>
      </c>
      <c r="H428" t="s">
        <v>206</v>
      </c>
      <c r="I428" t="str">
        <f>HYPERLINK("http://www.ncbi.nlm.nih.gov/protein/NWI39303.1","FABPL protein")</f>
        <v>FABPL protein</v>
      </c>
      <c r="J428">
        <v>187.58</v>
      </c>
      <c r="K428" t="s">
        <v>25</v>
      </c>
      <c r="L428">
        <v>139</v>
      </c>
      <c r="M428">
        <v>50.68</v>
      </c>
      <c r="N428">
        <v>74.349999999999994</v>
      </c>
      <c r="O428" t="s">
        <v>20</v>
      </c>
      <c r="P428" t="s">
        <v>21</v>
      </c>
      <c r="Q428" t="s">
        <v>20</v>
      </c>
      <c r="R428" t="str">
        <f>HYPERLINK("https://cfpub.epa.gov/ecotox/explore.cfm?ncbi=175131","Explore in ECOTOX")</f>
        <v>Explore in ECOTOX</v>
      </c>
    </row>
    <row r="429" spans="1:18" x14ac:dyDescent="0.25">
      <c r="A429">
        <v>6</v>
      </c>
      <c r="B429" t="str">
        <f>HYPERLINK("http://www.ncbi.nlm.nih.gov/protein/NXN80824.1","NXN80824.1")</f>
        <v>NXN80824.1</v>
      </c>
      <c r="C429">
        <v>13865</v>
      </c>
      <c r="D429" t="str">
        <f>HYPERLINK("http://www.ncbi.nlm.nih.gov/Taxonomy/Browser/wwwtax.cgi?mode=Info&amp;id=125297&amp;lvl=3&amp;lin=f&amp;keep=1&amp;srchmode=1&amp;unlock","125297")</f>
        <v>125297</v>
      </c>
      <c r="E429" t="s">
        <v>167</v>
      </c>
      <c r="F429" t="s">
        <v>167</v>
      </c>
      <c r="G429" t="str">
        <f>HYPERLINK("http://www.ncbi.nlm.nih.gov/Taxonomy/Browser/wwwtax.cgi?mode=Info&amp;id=125297&amp;lvl=3&amp;lin=f&amp;keep=1&amp;srchmode=1&amp;unlock","Bombycilla garrulus")</f>
        <v>Bombycilla garrulus</v>
      </c>
      <c r="H429" t="s">
        <v>419</v>
      </c>
      <c r="I429" t="str">
        <f>HYPERLINK("http://www.ncbi.nlm.nih.gov/protein/NXN80824.1","FABPL protein")</f>
        <v>FABPL protein</v>
      </c>
      <c r="J429">
        <v>187.58</v>
      </c>
      <c r="K429" t="s">
        <v>25</v>
      </c>
      <c r="L429">
        <v>139</v>
      </c>
      <c r="M429">
        <v>50.68</v>
      </c>
      <c r="N429">
        <v>74.349999999999994</v>
      </c>
      <c r="O429" t="s">
        <v>20</v>
      </c>
      <c r="P429" t="s">
        <v>21</v>
      </c>
      <c r="Q429" t="s">
        <v>20</v>
      </c>
      <c r="R429" t="str">
        <f>HYPERLINK("https://cfpub.epa.gov/ecotox/explore.cfm?ncbi=125297","Explore in ECOTOX")</f>
        <v>Explore in ECOTOX</v>
      </c>
    </row>
    <row r="430" spans="1:18" x14ac:dyDescent="0.25">
      <c r="A430">
        <v>6</v>
      </c>
      <c r="B430" t="str">
        <f>HYPERLINK("http://www.ncbi.nlm.nih.gov/protein/XP_028559825.1","XP_028559825.1")</f>
        <v>XP_028559825.1</v>
      </c>
      <c r="C430">
        <v>51243</v>
      </c>
      <c r="D430" t="str">
        <f>HYPERLINK("http://www.ncbi.nlm.nih.gov/Taxonomy/Browser/wwwtax.cgi?mode=Info&amp;id=64176&amp;lvl=3&amp;lin=f&amp;keep=1&amp;srchmode=1&amp;unlock","64176")</f>
        <v>64176</v>
      </c>
      <c r="E430" t="s">
        <v>236</v>
      </c>
      <c r="F430" t="s">
        <v>236</v>
      </c>
      <c r="G430" t="str">
        <f>HYPERLINK("http://www.ncbi.nlm.nih.gov/Taxonomy/Browser/wwwtax.cgi?mode=Info&amp;id=64176&amp;lvl=3&amp;lin=f&amp;keep=1&amp;srchmode=1&amp;unlock","Podarcis muralis")</f>
        <v>Podarcis muralis</v>
      </c>
      <c r="H430" t="s">
        <v>420</v>
      </c>
      <c r="I430" t="str">
        <f>HYPERLINK("http://www.ncbi.nlm.nih.gov/protein/XP_028559825.1","fatty acid-binding protein, liver")</f>
        <v>fatty acid-binding protein, liver</v>
      </c>
      <c r="J430">
        <v>187.58</v>
      </c>
      <c r="K430" t="s">
        <v>20</v>
      </c>
      <c r="L430">
        <v>139</v>
      </c>
      <c r="M430">
        <v>50.68</v>
      </c>
      <c r="N430">
        <v>74.349999999999994</v>
      </c>
      <c r="O430" t="s">
        <v>20</v>
      </c>
      <c r="P430" t="s">
        <v>21</v>
      </c>
      <c r="Q430" t="s">
        <v>20</v>
      </c>
      <c r="R430" t="str">
        <f>HYPERLINK("https://cfpub.epa.gov/ecotox/explore.cfm?ncbi=64176","Explore in ECOTOX")</f>
        <v>Explore in ECOTOX</v>
      </c>
    </row>
    <row r="431" spans="1:18" x14ac:dyDescent="0.25">
      <c r="A431">
        <v>6</v>
      </c>
      <c r="B431" t="str">
        <f>HYPERLINK("http://www.ncbi.nlm.nih.gov/protein/XP_039921228.1","XP_039921228.1")</f>
        <v>XP_039921228.1</v>
      </c>
      <c r="C431">
        <v>52023</v>
      </c>
      <c r="D431" t="str">
        <f>HYPERLINK("http://www.ncbi.nlm.nih.gov/Taxonomy/Browser/wwwtax.cgi?mode=Info&amp;id=43150&amp;lvl=3&amp;lin=f&amp;keep=1&amp;srchmode=1&amp;unlock","43150")</f>
        <v>43150</v>
      </c>
      <c r="E431" t="s">
        <v>167</v>
      </c>
      <c r="F431" t="s">
        <v>167</v>
      </c>
      <c r="G431" t="str">
        <f>HYPERLINK("http://www.ncbi.nlm.nih.gov/Taxonomy/Browser/wwwtax.cgi?mode=Info&amp;id=43150&amp;lvl=3&amp;lin=f&amp;keep=1&amp;srchmode=1&amp;unlock","Hirundo rustica")</f>
        <v>Hirundo rustica</v>
      </c>
      <c r="H431" t="s">
        <v>421</v>
      </c>
      <c r="I431" t="str">
        <f>HYPERLINK("http://www.ncbi.nlm.nih.gov/protein/XP_039921228.1","fatty acid-binding protein, liver")</f>
        <v>fatty acid-binding protein, liver</v>
      </c>
      <c r="J431">
        <v>187.58</v>
      </c>
      <c r="K431" t="s">
        <v>25</v>
      </c>
      <c r="L431">
        <v>139</v>
      </c>
      <c r="M431">
        <v>50.68</v>
      </c>
      <c r="N431">
        <v>74.349999999999994</v>
      </c>
      <c r="O431" t="s">
        <v>20</v>
      </c>
      <c r="P431" t="s">
        <v>21</v>
      </c>
      <c r="Q431" t="s">
        <v>20</v>
      </c>
      <c r="R431" t="str">
        <f>HYPERLINK("https://cfpub.epa.gov/ecotox/explore.cfm?ncbi=43150","Explore in ECOTOX")</f>
        <v>Explore in ECOTOX</v>
      </c>
    </row>
    <row r="432" spans="1:18" x14ac:dyDescent="0.25">
      <c r="A432">
        <v>6</v>
      </c>
      <c r="B432" t="str">
        <f>HYPERLINK("http://www.ncbi.nlm.nih.gov/protein/RMC14469.1","RMC14469.1")</f>
        <v>RMC14469.1</v>
      </c>
      <c r="C432">
        <v>34993</v>
      </c>
      <c r="D432" t="str">
        <f>HYPERLINK("http://www.ncbi.nlm.nih.gov/Taxonomy/Browser/wwwtax.cgi?mode=Info&amp;id=333673&amp;lvl=3&amp;lin=f&amp;keep=1&amp;srchmode=1&amp;unlock","333673")</f>
        <v>333673</v>
      </c>
      <c r="E432" t="s">
        <v>167</v>
      </c>
      <c r="F432" t="s">
        <v>167</v>
      </c>
      <c r="G432" t="str">
        <f>HYPERLINK("http://www.ncbi.nlm.nih.gov/Taxonomy/Browser/wwwtax.cgi?mode=Info&amp;id=333673&amp;lvl=3&amp;lin=f&amp;keep=1&amp;srchmode=1&amp;unlock","Hirundo rustica rustica")</f>
        <v>Hirundo rustica rustica</v>
      </c>
      <c r="H432" t="s">
        <v>421</v>
      </c>
      <c r="I432" t="str">
        <f>HYPERLINK("http://www.ncbi.nlm.nih.gov/protein/RMC14469.1","hypothetical protein DUI87_09565")</f>
        <v>hypothetical protein DUI87_09565</v>
      </c>
      <c r="J432">
        <v>187.58</v>
      </c>
      <c r="K432" t="s">
        <v>25</v>
      </c>
      <c r="L432">
        <v>139</v>
      </c>
      <c r="M432">
        <v>50.68</v>
      </c>
      <c r="N432">
        <v>74.349999999999994</v>
      </c>
      <c r="O432" t="s">
        <v>20</v>
      </c>
      <c r="P432" t="s">
        <v>21</v>
      </c>
      <c r="Q432" t="s">
        <v>20</v>
      </c>
      <c r="R432" t="str">
        <f>HYPERLINK("https://cfpub.epa.gov/ecotox/explore.cfm?ncbi=333673","Explore in ECOTOX")</f>
        <v>Explore in ECOTOX</v>
      </c>
    </row>
    <row r="433" spans="1:18" x14ac:dyDescent="0.25">
      <c r="A433">
        <v>6</v>
      </c>
      <c r="B433" t="str">
        <f>HYPERLINK("http://www.ncbi.nlm.nih.gov/protein/NXP85344.1","NXP85344.1")</f>
        <v>NXP85344.1</v>
      </c>
      <c r="C433">
        <v>13042</v>
      </c>
      <c r="D433" t="str">
        <f>HYPERLINK("http://www.ncbi.nlm.nih.gov/Taxonomy/Browser/wwwtax.cgi?mode=Info&amp;id=142471&amp;lvl=3&amp;lin=f&amp;keep=1&amp;srchmode=1&amp;unlock","142471")</f>
        <v>142471</v>
      </c>
      <c r="E433" t="s">
        <v>167</v>
      </c>
      <c r="F433" t="s">
        <v>167</v>
      </c>
      <c r="G433" t="str">
        <f>HYPERLINK("http://www.ncbi.nlm.nih.gov/Taxonomy/Browser/wwwtax.cgi?mode=Info&amp;id=142471&amp;lvl=3&amp;lin=f&amp;keep=1&amp;srchmode=1&amp;unlock","Passerina amoena")</f>
        <v>Passerina amoena</v>
      </c>
      <c r="H433" t="s">
        <v>206</v>
      </c>
      <c r="I433" t="str">
        <f>HYPERLINK("http://www.ncbi.nlm.nih.gov/protein/NXP85344.1","FABPL protein")</f>
        <v>FABPL protein</v>
      </c>
      <c r="J433">
        <v>187.58</v>
      </c>
      <c r="K433" t="s">
        <v>25</v>
      </c>
      <c r="L433">
        <v>139</v>
      </c>
      <c r="M433">
        <v>50.68</v>
      </c>
      <c r="N433">
        <v>74.349999999999994</v>
      </c>
      <c r="O433" t="s">
        <v>20</v>
      </c>
      <c r="P433" t="s">
        <v>21</v>
      </c>
      <c r="Q433" t="s">
        <v>20</v>
      </c>
      <c r="R433" t="str">
        <f>HYPERLINK("https://cfpub.epa.gov/ecotox/explore.cfm?ncbi=142471","Explore in ECOTOX")</f>
        <v>Explore in ECOTOX</v>
      </c>
    </row>
    <row r="434" spans="1:18" x14ac:dyDescent="0.25">
      <c r="A434">
        <v>6</v>
      </c>
      <c r="B434" t="str">
        <f>HYPERLINK("http://www.ncbi.nlm.nih.gov/protein/NXJ89368.1","NXJ89368.1")</f>
        <v>NXJ89368.1</v>
      </c>
      <c r="C434">
        <v>14263</v>
      </c>
      <c r="D434" t="str">
        <f>HYPERLINK("http://www.ncbi.nlm.nih.gov/Taxonomy/Browser/wwwtax.cgi?mode=Info&amp;id=103956&amp;lvl=3&amp;lin=f&amp;keep=1&amp;srchmode=1&amp;unlock","103956")</f>
        <v>103956</v>
      </c>
      <c r="E434" t="s">
        <v>167</v>
      </c>
      <c r="F434" t="s">
        <v>167</v>
      </c>
      <c r="G434" t="str">
        <f>HYPERLINK("http://www.ncbi.nlm.nih.gov/Taxonomy/Browser/wwwtax.cgi?mode=Info&amp;id=103956&amp;lvl=3&amp;lin=f&amp;keep=1&amp;srchmode=1&amp;unlock","Corythaixoides concolor")</f>
        <v>Corythaixoides concolor</v>
      </c>
      <c r="H434" t="s">
        <v>422</v>
      </c>
      <c r="I434" t="str">
        <f>HYPERLINK("http://www.ncbi.nlm.nih.gov/protein/NXJ89368.1","FABPL protein")</f>
        <v>FABPL protein</v>
      </c>
      <c r="J434">
        <v>187.19</v>
      </c>
      <c r="K434" t="s">
        <v>25</v>
      </c>
      <c r="L434">
        <v>139</v>
      </c>
      <c r="M434">
        <v>50.68</v>
      </c>
      <c r="N434">
        <v>74.2</v>
      </c>
      <c r="O434" t="s">
        <v>20</v>
      </c>
      <c r="P434" t="s">
        <v>21</v>
      </c>
      <c r="Q434" t="s">
        <v>20</v>
      </c>
      <c r="R434" t="str">
        <f>HYPERLINK("https://cfpub.epa.gov/ecotox/explore.cfm?ncbi=103956","Explore in ECOTOX")</f>
        <v>Explore in ECOTOX</v>
      </c>
    </row>
    <row r="435" spans="1:18" x14ac:dyDescent="0.25">
      <c r="A435">
        <v>6</v>
      </c>
      <c r="B435" t="str">
        <f>HYPERLINK("http://www.ncbi.nlm.nih.gov/protein/NWZ83855.1","NWZ83855.1")</f>
        <v>NWZ83855.1</v>
      </c>
      <c r="C435">
        <v>14278</v>
      </c>
      <c r="D435" t="str">
        <f>HYPERLINK("http://www.ncbi.nlm.nih.gov/Taxonomy/Browser/wwwtax.cgi?mode=Info&amp;id=48891&amp;lvl=3&amp;lin=f&amp;keep=1&amp;srchmode=1&amp;unlock","48891")</f>
        <v>48891</v>
      </c>
      <c r="E435" t="s">
        <v>167</v>
      </c>
      <c r="F435" t="s">
        <v>167</v>
      </c>
      <c r="G435" t="str">
        <f>HYPERLINK("http://www.ncbi.nlm.nih.gov/Taxonomy/Browser/wwwtax.cgi?mode=Info&amp;id=48891&amp;lvl=3&amp;lin=f&amp;keep=1&amp;srchmode=1&amp;unlock","Poecile atricapillus")</f>
        <v>Poecile atricapillus</v>
      </c>
      <c r="H435" t="s">
        <v>423</v>
      </c>
      <c r="I435" t="str">
        <f>HYPERLINK("http://www.ncbi.nlm.nih.gov/protein/NWZ83855.1","FABPL protein")</f>
        <v>FABPL protein</v>
      </c>
      <c r="J435">
        <v>187.19</v>
      </c>
      <c r="K435" t="s">
        <v>25</v>
      </c>
      <c r="L435">
        <v>139</v>
      </c>
      <c r="M435">
        <v>50.68</v>
      </c>
      <c r="N435">
        <v>74.2</v>
      </c>
      <c r="O435" t="s">
        <v>20</v>
      </c>
      <c r="P435" t="s">
        <v>21</v>
      </c>
      <c r="Q435" t="s">
        <v>20</v>
      </c>
      <c r="R435" t="str">
        <f>HYPERLINK("https://cfpub.epa.gov/ecotox/explore.cfm?ncbi=48891","Explore in ECOTOX")</f>
        <v>Explore in ECOTOX</v>
      </c>
    </row>
    <row r="436" spans="1:18" x14ac:dyDescent="0.25">
      <c r="A436">
        <v>6</v>
      </c>
      <c r="B436" t="str">
        <f>HYPERLINK("http://www.ncbi.nlm.nih.gov/protein/NXK84374.1","NXK84374.1")</f>
        <v>NXK84374.1</v>
      </c>
      <c r="C436">
        <v>14236</v>
      </c>
      <c r="D436" t="str">
        <f>HYPERLINK("http://www.ncbi.nlm.nih.gov/Taxonomy/Browser/wwwtax.cgi?mode=Info&amp;id=175529&amp;lvl=3&amp;lin=f&amp;keep=1&amp;srchmode=1&amp;unlock","175529")</f>
        <v>175529</v>
      </c>
      <c r="E436" t="s">
        <v>167</v>
      </c>
      <c r="F436" t="s">
        <v>167</v>
      </c>
      <c r="G436" t="str">
        <f>HYPERLINK("http://www.ncbi.nlm.nih.gov/Taxonomy/Browser/wwwtax.cgi?mode=Info&amp;id=175529&amp;lvl=3&amp;lin=f&amp;keep=1&amp;srchmode=1&amp;unlock","Amazona guildingii")</f>
        <v>Amazona guildingii</v>
      </c>
      <c r="H436" t="s">
        <v>424</v>
      </c>
      <c r="I436" t="str">
        <f>HYPERLINK("http://www.ncbi.nlm.nih.gov/protein/NXK84374.1","FABPL protein")</f>
        <v>FABPL protein</v>
      </c>
      <c r="J436">
        <v>187.19</v>
      </c>
      <c r="K436" t="s">
        <v>25</v>
      </c>
      <c r="L436">
        <v>139</v>
      </c>
      <c r="M436">
        <v>50.68</v>
      </c>
      <c r="N436">
        <v>74.2</v>
      </c>
      <c r="O436" t="s">
        <v>20</v>
      </c>
      <c r="P436" t="s">
        <v>21</v>
      </c>
      <c r="Q436" t="s">
        <v>20</v>
      </c>
      <c r="R436" t="str">
        <f>HYPERLINK("https://cfpub.epa.gov/ecotox/explore.cfm?ncbi=175529","Explore in ECOTOX")</f>
        <v>Explore in ECOTOX</v>
      </c>
    </row>
    <row r="437" spans="1:18" x14ac:dyDescent="0.25">
      <c r="A437">
        <v>6</v>
      </c>
      <c r="B437" t="str">
        <f>HYPERLINK("http://www.ncbi.nlm.nih.gov/protein/NWT23251.1","NWT23251.1")</f>
        <v>NWT23251.1</v>
      </c>
      <c r="C437">
        <v>14099</v>
      </c>
      <c r="D437" t="str">
        <f>HYPERLINK("http://www.ncbi.nlm.nih.gov/Taxonomy/Browser/wwwtax.cgi?mode=Info&amp;id=98964&amp;lvl=3&amp;lin=f&amp;keep=1&amp;srchmode=1&amp;unlock","98964")</f>
        <v>98964</v>
      </c>
      <c r="E437" t="s">
        <v>167</v>
      </c>
      <c r="F437" t="s">
        <v>167</v>
      </c>
      <c r="G437" t="str">
        <f>HYPERLINK("http://www.ncbi.nlm.nih.gov/Taxonomy/Browser/wwwtax.cgi?mode=Info&amp;id=98964&amp;lvl=3&amp;lin=f&amp;keep=1&amp;srchmode=1&amp;unlock","Cardinalis cardinalis")</f>
        <v>Cardinalis cardinalis</v>
      </c>
      <c r="H437" t="s">
        <v>425</v>
      </c>
      <c r="I437" t="str">
        <f>HYPERLINK("http://www.ncbi.nlm.nih.gov/protein/NWT23251.1","FABPL protein")</f>
        <v>FABPL protein</v>
      </c>
      <c r="J437">
        <v>186.81</v>
      </c>
      <c r="K437" t="s">
        <v>25</v>
      </c>
      <c r="L437">
        <v>139</v>
      </c>
      <c r="M437">
        <v>50.68</v>
      </c>
      <c r="N437">
        <v>74.040000000000006</v>
      </c>
      <c r="O437" t="s">
        <v>20</v>
      </c>
      <c r="P437" t="s">
        <v>21</v>
      </c>
      <c r="Q437" t="s">
        <v>20</v>
      </c>
      <c r="R437" t="str">
        <f>HYPERLINK("https://cfpub.epa.gov/ecotox/explore.cfm?ncbi=98964","Explore in ECOTOX")</f>
        <v>Explore in ECOTOX</v>
      </c>
    </row>
    <row r="438" spans="1:18" x14ac:dyDescent="0.25">
      <c r="A438">
        <v>6</v>
      </c>
      <c r="B438" t="str">
        <f>HYPERLINK("http://www.ncbi.nlm.nih.gov/protein/NWZ09512.1","NWZ09512.1")</f>
        <v>NWZ09512.1</v>
      </c>
      <c r="C438">
        <v>14309</v>
      </c>
      <c r="D438" t="str">
        <f>HYPERLINK("http://www.ncbi.nlm.nih.gov/Taxonomy/Browser/wwwtax.cgi?mode=Info&amp;id=39638&amp;lvl=3&amp;lin=f&amp;keep=1&amp;srchmode=1&amp;unlock","39638")</f>
        <v>39638</v>
      </c>
      <c r="E438" t="s">
        <v>167</v>
      </c>
      <c r="F438" t="s">
        <v>167</v>
      </c>
      <c r="G438" t="str">
        <f>HYPERLINK("http://www.ncbi.nlm.nih.gov/Taxonomy/Browser/wwwtax.cgi?mode=Info&amp;id=39638&amp;lvl=3&amp;lin=f&amp;keep=1&amp;srchmode=1&amp;unlock","Agelaius phoeniceus")</f>
        <v>Agelaius phoeniceus</v>
      </c>
      <c r="H438" t="s">
        <v>426</v>
      </c>
      <c r="I438" t="str">
        <f>HYPERLINK("http://www.ncbi.nlm.nih.gov/protein/NWZ09512.1","FABPL protein")</f>
        <v>FABPL protein</v>
      </c>
      <c r="J438">
        <v>186.81</v>
      </c>
      <c r="K438" t="s">
        <v>25</v>
      </c>
      <c r="L438">
        <v>139</v>
      </c>
      <c r="M438">
        <v>50.68</v>
      </c>
      <c r="N438">
        <v>74.040000000000006</v>
      </c>
      <c r="O438" t="s">
        <v>20</v>
      </c>
      <c r="P438" t="s">
        <v>21</v>
      </c>
      <c r="Q438" t="s">
        <v>20</v>
      </c>
      <c r="R438" t="str">
        <f>HYPERLINK("https://cfpub.epa.gov/ecotox/explore.cfm?ncbi=39638","Explore in ECOTOX")</f>
        <v>Explore in ECOTOX</v>
      </c>
    </row>
    <row r="439" spans="1:18" x14ac:dyDescent="0.25">
      <c r="A439">
        <v>6</v>
      </c>
      <c r="B439" t="str">
        <f>HYPERLINK("http://www.ncbi.nlm.nih.gov/protein/NXT96824.1","NXT96824.1")</f>
        <v>NXT96824.1</v>
      </c>
      <c r="C439">
        <v>11123</v>
      </c>
      <c r="D439" t="str">
        <f>HYPERLINK("http://www.ncbi.nlm.nih.gov/Taxonomy/Browser/wwwtax.cgi?mode=Info&amp;id=245048&amp;lvl=3&amp;lin=f&amp;keep=1&amp;srchmode=1&amp;unlock","245048")</f>
        <v>245048</v>
      </c>
      <c r="E439" t="s">
        <v>167</v>
      </c>
      <c r="F439" t="s">
        <v>167</v>
      </c>
      <c r="G439" t="str">
        <f>HYPERLINK("http://www.ncbi.nlm.nih.gov/Taxonomy/Browser/wwwtax.cgi?mode=Info&amp;id=245048&amp;lvl=3&amp;lin=f&amp;keep=1&amp;srchmode=1&amp;unlock","Buphagus erythrorhynchus")</f>
        <v>Buphagus erythrorhynchus</v>
      </c>
      <c r="H439" t="s">
        <v>427</v>
      </c>
      <c r="I439" t="str">
        <f>HYPERLINK("http://www.ncbi.nlm.nih.gov/protein/NXT96824.1","FABPL protein")</f>
        <v>FABPL protein</v>
      </c>
      <c r="J439">
        <v>186.81</v>
      </c>
      <c r="K439" t="s">
        <v>25</v>
      </c>
      <c r="L439">
        <v>139</v>
      </c>
      <c r="M439">
        <v>50.68</v>
      </c>
      <c r="N439">
        <v>74.040000000000006</v>
      </c>
      <c r="O439" t="s">
        <v>20</v>
      </c>
      <c r="P439" t="s">
        <v>21</v>
      </c>
      <c r="Q439" t="s">
        <v>20</v>
      </c>
      <c r="R439" t="str">
        <f>HYPERLINK("https://cfpub.epa.gov/ecotox/explore.cfm?ncbi=245048","Explore in ECOTOX")</f>
        <v>Explore in ECOTOX</v>
      </c>
    </row>
    <row r="440" spans="1:18" x14ac:dyDescent="0.25">
      <c r="A440">
        <v>6</v>
      </c>
      <c r="B440" t="str">
        <f>HYPERLINK("http://www.ncbi.nlm.nih.gov/protein/NXQ69441.1","NXQ69441.1")</f>
        <v>NXQ69441.1</v>
      </c>
      <c r="C440">
        <v>13681</v>
      </c>
      <c r="D440" t="str">
        <f>HYPERLINK("http://www.ncbi.nlm.nih.gov/Taxonomy/Browser/wwwtax.cgi?mode=Info&amp;id=64278&amp;lvl=3&amp;lin=f&amp;keep=1&amp;srchmode=1&amp;unlock","64278")</f>
        <v>64278</v>
      </c>
      <c r="E440" t="s">
        <v>167</v>
      </c>
      <c r="F440" t="s">
        <v>167</v>
      </c>
      <c r="G440" t="str">
        <f>HYPERLINK("http://www.ncbi.nlm.nih.gov/Taxonomy/Browser/wwwtax.cgi?mode=Info&amp;id=64278&amp;lvl=3&amp;lin=f&amp;keep=1&amp;srchmode=1&amp;unlock","Quiscalus mexicanus")</f>
        <v>Quiscalus mexicanus</v>
      </c>
      <c r="H440" t="s">
        <v>428</v>
      </c>
      <c r="I440" t="str">
        <f>HYPERLINK("http://www.ncbi.nlm.nih.gov/protein/NXQ69441.1","FABPL protein")</f>
        <v>FABPL protein</v>
      </c>
      <c r="J440">
        <v>186.81</v>
      </c>
      <c r="K440" t="s">
        <v>25</v>
      </c>
      <c r="L440">
        <v>139</v>
      </c>
      <c r="M440">
        <v>50.68</v>
      </c>
      <c r="N440">
        <v>74.040000000000006</v>
      </c>
      <c r="O440" t="s">
        <v>20</v>
      </c>
      <c r="P440" t="s">
        <v>21</v>
      </c>
      <c r="Q440" t="s">
        <v>20</v>
      </c>
      <c r="R440" t="str">
        <f>HYPERLINK("https://cfpub.epa.gov/ecotox/explore.cfm?ncbi=64278","Explore in ECOTOX")</f>
        <v>Explore in ECOTOX</v>
      </c>
    </row>
    <row r="441" spans="1:18" x14ac:dyDescent="0.25">
      <c r="A441">
        <v>6</v>
      </c>
      <c r="B441" t="str">
        <f>HYPERLINK("http://www.ncbi.nlm.nih.gov/protein/NWR22390.1","NWR22390.1")</f>
        <v>NWR22390.1</v>
      </c>
      <c r="C441">
        <v>13259</v>
      </c>
      <c r="D441" t="str">
        <f>HYPERLINK("http://www.ncbi.nlm.nih.gov/Taxonomy/Browser/wwwtax.cgi?mode=Info&amp;id=337179&amp;lvl=3&amp;lin=f&amp;keep=1&amp;srchmode=1&amp;unlock","337179")</f>
        <v>337179</v>
      </c>
      <c r="E441" t="s">
        <v>167</v>
      </c>
      <c r="F441" t="s">
        <v>167</v>
      </c>
      <c r="G441" t="str">
        <f>HYPERLINK("http://www.ncbi.nlm.nih.gov/Taxonomy/Browser/wwwtax.cgi?mode=Info&amp;id=337179&amp;lvl=3&amp;lin=f&amp;keep=1&amp;srchmode=1&amp;unlock","Emberiza fucata")</f>
        <v>Emberiza fucata</v>
      </c>
      <c r="H441" t="s">
        <v>429</v>
      </c>
      <c r="I441" t="str">
        <f>HYPERLINK("http://www.ncbi.nlm.nih.gov/protein/NWR22390.1","FABPL protein")</f>
        <v>FABPL protein</v>
      </c>
      <c r="J441">
        <v>186.81</v>
      </c>
      <c r="K441" t="s">
        <v>25</v>
      </c>
      <c r="L441">
        <v>139</v>
      </c>
      <c r="M441">
        <v>50.68</v>
      </c>
      <c r="N441">
        <v>74.040000000000006</v>
      </c>
      <c r="O441" t="s">
        <v>20</v>
      </c>
      <c r="P441" t="s">
        <v>21</v>
      </c>
      <c r="Q441" t="s">
        <v>20</v>
      </c>
      <c r="R441" t="str">
        <f>HYPERLINK("https://cfpub.epa.gov/ecotox/explore.cfm?ncbi=337179","Explore in ECOTOX")</f>
        <v>Explore in ECOTOX</v>
      </c>
    </row>
    <row r="442" spans="1:18" x14ac:dyDescent="0.25">
      <c r="A442">
        <v>6</v>
      </c>
      <c r="B442" t="str">
        <f>HYPERLINK("http://www.ncbi.nlm.nih.gov/protein/NWS28074.1","NWS28074.1")</f>
        <v>NWS28074.1</v>
      </c>
      <c r="C442">
        <v>13635</v>
      </c>
      <c r="D442" t="str">
        <f>HYPERLINK("http://www.ncbi.nlm.nih.gov/Taxonomy/Browser/wwwtax.cgi?mode=Info&amp;id=66707&amp;lvl=3&amp;lin=f&amp;keep=1&amp;srchmode=1&amp;unlock","66707")</f>
        <v>66707</v>
      </c>
      <c r="E442" t="s">
        <v>167</v>
      </c>
      <c r="F442" t="s">
        <v>167</v>
      </c>
      <c r="G442" t="str">
        <f>HYPERLINK("http://www.ncbi.nlm.nih.gov/Taxonomy/Browser/wwwtax.cgi?mode=Info&amp;id=66707&amp;lvl=3&amp;lin=f&amp;keep=1&amp;srchmode=1&amp;unlock","Polioptila caerulea")</f>
        <v>Polioptila caerulea</v>
      </c>
      <c r="H442" t="s">
        <v>206</v>
      </c>
      <c r="I442" t="str">
        <f>HYPERLINK("http://www.ncbi.nlm.nih.gov/protein/NWS28074.1","FABPL protein")</f>
        <v>FABPL protein</v>
      </c>
      <c r="J442">
        <v>186.81</v>
      </c>
      <c r="K442" t="s">
        <v>25</v>
      </c>
      <c r="L442">
        <v>139</v>
      </c>
      <c r="M442">
        <v>50.68</v>
      </c>
      <c r="N442">
        <v>74.040000000000006</v>
      </c>
      <c r="O442" t="s">
        <v>20</v>
      </c>
      <c r="P442" t="s">
        <v>21</v>
      </c>
      <c r="Q442" t="s">
        <v>20</v>
      </c>
      <c r="R442" t="str">
        <f>HYPERLINK("https://cfpub.epa.gov/ecotox/explore.cfm?ncbi=66707","Explore in ECOTOX")</f>
        <v>Explore in ECOTOX</v>
      </c>
    </row>
    <row r="443" spans="1:18" x14ac:dyDescent="0.25">
      <c r="A443">
        <v>6</v>
      </c>
      <c r="B443" t="str">
        <f>HYPERLINK("http://www.ncbi.nlm.nih.gov/protein/XP_036238470.1","XP_036238470.1")</f>
        <v>XP_036238470.1</v>
      </c>
      <c r="C443">
        <v>44051</v>
      </c>
      <c r="D443" t="str">
        <f>HYPERLINK("http://www.ncbi.nlm.nih.gov/Taxonomy/Browser/wwwtax.cgi?mode=Info&amp;id=84834&amp;lvl=3&amp;lin=f&amp;keep=1&amp;srchmode=1&amp;unlock","84834")</f>
        <v>84834</v>
      </c>
      <c r="E443" t="s">
        <v>167</v>
      </c>
      <c r="F443" t="s">
        <v>167</v>
      </c>
      <c r="G443" t="str">
        <f>HYPERLINK("http://www.ncbi.nlm.nih.gov/Taxonomy/Browser/wwwtax.cgi?mode=Info&amp;id=84834&amp;lvl=3&amp;lin=f&amp;keep=1&amp;srchmode=1&amp;unlock","Molothrus ater")</f>
        <v>Molothrus ater</v>
      </c>
      <c r="H443" t="s">
        <v>430</v>
      </c>
      <c r="I443" t="str">
        <f>HYPERLINK("http://www.ncbi.nlm.nih.gov/protein/XP_036238470.1","fatty acid-binding protein, liver")</f>
        <v>fatty acid-binding protein, liver</v>
      </c>
      <c r="J443">
        <v>186.81</v>
      </c>
      <c r="K443" t="s">
        <v>25</v>
      </c>
      <c r="L443">
        <v>139</v>
      </c>
      <c r="M443">
        <v>50.68</v>
      </c>
      <c r="N443">
        <v>74.040000000000006</v>
      </c>
      <c r="O443" t="s">
        <v>20</v>
      </c>
      <c r="P443" t="s">
        <v>21</v>
      </c>
      <c r="Q443" t="s">
        <v>20</v>
      </c>
      <c r="R443" t="str">
        <f>HYPERLINK("https://cfpub.epa.gov/ecotox/explore.cfm?ncbi=84834","Explore in ECOTOX")</f>
        <v>Explore in ECOTOX</v>
      </c>
    </row>
    <row r="444" spans="1:18" x14ac:dyDescent="0.25">
      <c r="A444">
        <v>6</v>
      </c>
      <c r="B444" t="str">
        <f>HYPERLINK("http://www.ncbi.nlm.nih.gov/protein/NWR36987.1","NWR36987.1")</f>
        <v>NWR36987.1</v>
      </c>
      <c r="C444">
        <v>14362</v>
      </c>
      <c r="D444" t="str">
        <f>HYPERLINK("http://www.ncbi.nlm.nih.gov/Taxonomy/Browser/wwwtax.cgi?mode=Info&amp;id=495162&amp;lvl=3&amp;lin=f&amp;keep=1&amp;srchmode=1&amp;unlock","495162")</f>
        <v>495162</v>
      </c>
      <c r="E444" t="s">
        <v>167</v>
      </c>
      <c r="F444" t="s">
        <v>167</v>
      </c>
      <c r="G444" t="str">
        <f>HYPERLINK("http://www.ncbi.nlm.nih.gov/Taxonomy/Browser/wwwtax.cgi?mode=Info&amp;id=495162&amp;lvl=3&amp;lin=f&amp;keep=1&amp;srchmode=1&amp;unlock","Tachuris rubrigastra")</f>
        <v>Tachuris rubrigastra</v>
      </c>
      <c r="H444" t="s">
        <v>206</v>
      </c>
      <c r="I444" t="str">
        <f>HYPERLINK("http://www.ncbi.nlm.nih.gov/protein/NWR36987.1","FABPL protein")</f>
        <v>FABPL protein</v>
      </c>
      <c r="J444">
        <v>186.81</v>
      </c>
      <c r="K444" t="s">
        <v>25</v>
      </c>
      <c r="L444">
        <v>139</v>
      </c>
      <c r="M444">
        <v>50.68</v>
      </c>
      <c r="N444">
        <v>74.040000000000006</v>
      </c>
      <c r="O444" t="s">
        <v>20</v>
      </c>
      <c r="P444" t="s">
        <v>21</v>
      </c>
      <c r="Q444" t="s">
        <v>20</v>
      </c>
      <c r="R444" t="str">
        <f>HYPERLINK("https://cfpub.epa.gov/ecotox/explore.cfm?ncbi=495162","Explore in ECOTOX")</f>
        <v>Explore in ECOTOX</v>
      </c>
    </row>
    <row r="445" spans="1:18" x14ac:dyDescent="0.25">
      <c r="A445">
        <v>6</v>
      </c>
      <c r="B445" t="str">
        <f>HYPERLINK("http://www.ncbi.nlm.nih.gov/protein/NWX65269.1","NWX65269.1")</f>
        <v>NWX65269.1</v>
      </c>
      <c r="C445">
        <v>14100</v>
      </c>
      <c r="D445" t="str">
        <f>HYPERLINK("http://www.ncbi.nlm.nih.gov/Taxonomy/Browser/wwwtax.cgi?mode=Info&amp;id=254652&amp;lvl=3&amp;lin=f&amp;keep=1&amp;srchmode=1&amp;unlock","254652")</f>
        <v>254652</v>
      </c>
      <c r="E445" t="s">
        <v>167</v>
      </c>
      <c r="F445" t="s">
        <v>167</v>
      </c>
      <c r="G445" t="str">
        <f>HYPERLINK("http://www.ncbi.nlm.nih.gov/Taxonomy/Browser/wwwtax.cgi?mode=Info&amp;id=254652&amp;lvl=3&amp;lin=f&amp;keep=1&amp;srchmode=1&amp;unlock","Promerops cafer")</f>
        <v>Promerops cafer</v>
      </c>
      <c r="H445" t="s">
        <v>431</v>
      </c>
      <c r="I445" t="str">
        <f>HYPERLINK("http://www.ncbi.nlm.nih.gov/protein/NWX65269.1","FABPL protein")</f>
        <v>FABPL protein</v>
      </c>
      <c r="J445">
        <v>186.81</v>
      </c>
      <c r="K445" t="s">
        <v>25</v>
      </c>
      <c r="L445">
        <v>139</v>
      </c>
      <c r="M445">
        <v>50.68</v>
      </c>
      <c r="N445">
        <v>74.040000000000006</v>
      </c>
      <c r="O445" t="s">
        <v>20</v>
      </c>
      <c r="P445" t="s">
        <v>21</v>
      </c>
      <c r="Q445" t="s">
        <v>20</v>
      </c>
      <c r="R445" t="str">
        <f>HYPERLINK("https://cfpub.epa.gov/ecotox/explore.cfm?ncbi=254652","Explore in ECOTOX")</f>
        <v>Explore in ECOTOX</v>
      </c>
    </row>
    <row r="446" spans="1:18" x14ac:dyDescent="0.25">
      <c r="A446">
        <v>6</v>
      </c>
      <c r="B446" t="str">
        <f>HYPERLINK("http://www.ncbi.nlm.nih.gov/protein/NWZ88992.1","NWZ88992.1")</f>
        <v>NWZ88992.1</v>
      </c>
      <c r="C446">
        <v>14106</v>
      </c>
      <c r="D446" t="str">
        <f>HYPERLINK("http://www.ncbi.nlm.nih.gov/Taxonomy/Browser/wwwtax.cgi?mode=Info&amp;id=381881&amp;lvl=3&amp;lin=f&amp;keep=1&amp;srchmode=1&amp;unlock","381881")</f>
        <v>381881</v>
      </c>
      <c r="E446" t="s">
        <v>167</v>
      </c>
      <c r="F446" t="s">
        <v>167</v>
      </c>
      <c r="G446" t="str">
        <f>HYPERLINK("http://www.ncbi.nlm.nih.gov/Taxonomy/Browser/wwwtax.cgi?mode=Info&amp;id=381881&amp;lvl=3&amp;lin=f&amp;keep=1&amp;srchmode=1&amp;unlock","Nesospiza acunhae")</f>
        <v>Nesospiza acunhae</v>
      </c>
      <c r="H446" t="s">
        <v>414</v>
      </c>
      <c r="I446" t="str">
        <f>HYPERLINK("http://www.ncbi.nlm.nih.gov/protein/NWZ88992.1","FABPL protein")</f>
        <v>FABPL protein</v>
      </c>
      <c r="J446">
        <v>186.81</v>
      </c>
      <c r="K446" t="s">
        <v>25</v>
      </c>
      <c r="L446">
        <v>139</v>
      </c>
      <c r="M446">
        <v>50.68</v>
      </c>
      <c r="N446">
        <v>74.040000000000006</v>
      </c>
      <c r="O446" t="s">
        <v>20</v>
      </c>
      <c r="P446" t="s">
        <v>21</v>
      </c>
      <c r="Q446" t="s">
        <v>20</v>
      </c>
      <c r="R446" t="str">
        <f>HYPERLINK("https://cfpub.epa.gov/ecotox/explore.cfm?ncbi=381881","Explore in ECOTOX")</f>
        <v>Explore in ECOTOX</v>
      </c>
    </row>
    <row r="447" spans="1:18" x14ac:dyDescent="0.25">
      <c r="A447">
        <v>6</v>
      </c>
      <c r="B447" t="str">
        <f>HYPERLINK("http://www.ncbi.nlm.nih.gov/protein/NWR85746.1","NWR85746.1")</f>
        <v>NWR85746.1</v>
      </c>
      <c r="C447">
        <v>13898</v>
      </c>
      <c r="D447" t="str">
        <f>HYPERLINK("http://www.ncbi.nlm.nih.gov/Taxonomy/Browser/wwwtax.cgi?mode=Info&amp;id=463165&amp;lvl=3&amp;lin=f&amp;keep=1&amp;srchmode=1&amp;unlock","463165")</f>
        <v>463165</v>
      </c>
      <c r="E447" t="s">
        <v>167</v>
      </c>
      <c r="F447" t="s">
        <v>167</v>
      </c>
      <c r="G447" t="str">
        <f>HYPERLINK("http://www.ncbi.nlm.nih.gov/Taxonomy/Browser/wwwtax.cgi?mode=Info&amp;id=463165&amp;lvl=3&amp;lin=f&amp;keep=1&amp;srchmode=1&amp;unlock","Furnarius figulus")</f>
        <v>Furnarius figulus</v>
      </c>
      <c r="H447" t="s">
        <v>206</v>
      </c>
      <c r="I447" t="str">
        <f>HYPERLINK("http://www.ncbi.nlm.nih.gov/protein/NWR85746.1","FABPL protein")</f>
        <v>FABPL protein</v>
      </c>
      <c r="J447">
        <v>186.42</v>
      </c>
      <c r="K447" t="s">
        <v>20</v>
      </c>
      <c r="L447">
        <v>139</v>
      </c>
      <c r="M447">
        <v>50.68</v>
      </c>
      <c r="N447">
        <v>73.89</v>
      </c>
      <c r="O447" t="s">
        <v>20</v>
      </c>
      <c r="P447" t="s">
        <v>21</v>
      </c>
      <c r="Q447" t="s">
        <v>20</v>
      </c>
      <c r="R447" t="str">
        <f>HYPERLINK("https://cfpub.epa.gov/ecotox/explore.cfm?ncbi=463165","Explore in ECOTOX")</f>
        <v>Explore in ECOTOX</v>
      </c>
    </row>
    <row r="448" spans="1:18" x14ac:dyDescent="0.25">
      <c r="A448">
        <v>6</v>
      </c>
      <c r="B448" t="str">
        <f>HYPERLINK("http://www.ncbi.nlm.nih.gov/protein/XP_005446431.1","XP_005446431.1")</f>
        <v>XP_005446431.1</v>
      </c>
      <c r="C448">
        <v>30432</v>
      </c>
      <c r="D448" t="str">
        <f>HYPERLINK("http://www.ncbi.nlm.nih.gov/Taxonomy/Browser/wwwtax.cgi?mode=Info&amp;id=345164&amp;lvl=3&amp;lin=f&amp;keep=1&amp;srchmode=1&amp;unlock","345164")</f>
        <v>345164</v>
      </c>
      <c r="E448" t="s">
        <v>167</v>
      </c>
      <c r="F448" t="s">
        <v>167</v>
      </c>
      <c r="G448" t="str">
        <f>HYPERLINK("http://www.ncbi.nlm.nih.gov/Taxonomy/Browser/wwwtax.cgi?mode=Info&amp;id=345164&amp;lvl=3&amp;lin=f&amp;keep=1&amp;srchmode=1&amp;unlock","Falco cherrug")</f>
        <v>Falco cherrug</v>
      </c>
      <c r="H448" t="s">
        <v>432</v>
      </c>
      <c r="I448" t="str">
        <f>HYPERLINK("http://www.ncbi.nlm.nih.gov/protein/XP_005446431.1","fatty acid-binding protein, liver")</f>
        <v>fatty acid-binding protein, liver</v>
      </c>
      <c r="J448">
        <v>186.42</v>
      </c>
      <c r="K448" t="s">
        <v>20</v>
      </c>
      <c r="L448">
        <v>139</v>
      </c>
      <c r="M448">
        <v>50.68</v>
      </c>
      <c r="N448">
        <v>73.89</v>
      </c>
      <c r="O448" t="s">
        <v>20</v>
      </c>
      <c r="P448" t="s">
        <v>21</v>
      </c>
      <c r="Q448" t="s">
        <v>20</v>
      </c>
      <c r="R448" t="str">
        <f>HYPERLINK("https://cfpub.epa.gov/ecotox/explore.cfm?ncbi=345164","Explore in ECOTOX")</f>
        <v>Explore in ECOTOX</v>
      </c>
    </row>
    <row r="449" spans="1:18" x14ac:dyDescent="0.25">
      <c r="A449">
        <v>6</v>
      </c>
      <c r="B449" t="str">
        <f>HYPERLINK("http://www.ncbi.nlm.nih.gov/protein/XP_040447347.1","XP_040447347.1")</f>
        <v>XP_040447347.1</v>
      </c>
      <c r="C449">
        <v>41476</v>
      </c>
      <c r="D449" t="str">
        <f>HYPERLINK("http://www.ncbi.nlm.nih.gov/Taxonomy/Browser/wwwtax.cgi?mode=Info&amp;id=148594&amp;lvl=3&amp;lin=f&amp;keep=1&amp;srchmode=1&amp;unlock","148594")</f>
        <v>148594</v>
      </c>
      <c r="E449" t="s">
        <v>167</v>
      </c>
      <c r="F449" t="s">
        <v>167</v>
      </c>
      <c r="G449" t="str">
        <f>HYPERLINK("http://www.ncbi.nlm.nih.gov/Taxonomy/Browser/wwwtax.cgi?mode=Info&amp;id=148594&amp;lvl=3&amp;lin=f&amp;keep=1&amp;srchmode=1&amp;unlock","Falco naumanni")</f>
        <v>Falco naumanni</v>
      </c>
      <c r="H449" t="s">
        <v>433</v>
      </c>
      <c r="I449" t="str">
        <f>HYPERLINK("http://www.ncbi.nlm.nih.gov/protein/XP_040447347.1","fatty acid-binding protein, liver")</f>
        <v>fatty acid-binding protein, liver</v>
      </c>
      <c r="J449">
        <v>186.42</v>
      </c>
      <c r="K449" t="s">
        <v>20</v>
      </c>
      <c r="L449">
        <v>139</v>
      </c>
      <c r="M449">
        <v>50.68</v>
      </c>
      <c r="N449">
        <v>73.89</v>
      </c>
      <c r="O449" t="s">
        <v>20</v>
      </c>
      <c r="P449" t="s">
        <v>21</v>
      </c>
      <c r="Q449" t="s">
        <v>20</v>
      </c>
      <c r="R449" t="str">
        <f>HYPERLINK("https://cfpub.epa.gov/ecotox/explore.cfm?ncbi=148594","Explore in ECOTOX")</f>
        <v>Explore in ECOTOX</v>
      </c>
    </row>
    <row r="450" spans="1:18" x14ac:dyDescent="0.25">
      <c r="A450">
        <v>6</v>
      </c>
      <c r="B450" t="str">
        <f>HYPERLINK("http://www.ncbi.nlm.nih.gov/protein/NXE68482.1","NXE68482.1")</f>
        <v>NXE68482.1</v>
      </c>
      <c r="C450">
        <v>13710</v>
      </c>
      <c r="D450" t="str">
        <f>HYPERLINK("http://www.ncbi.nlm.nih.gov/Taxonomy/Browser/wwwtax.cgi?mode=Info&amp;id=198940&amp;lvl=3&amp;lin=f&amp;keep=1&amp;srchmode=1&amp;unlock","198940")</f>
        <v>198940</v>
      </c>
      <c r="E450" t="s">
        <v>167</v>
      </c>
      <c r="F450" t="s">
        <v>167</v>
      </c>
      <c r="G450" t="str">
        <f>HYPERLINK("http://www.ncbi.nlm.nih.gov/Taxonomy/Browser/wwwtax.cgi?mode=Info&amp;id=198940&amp;lvl=3&amp;lin=f&amp;keep=1&amp;srchmode=1&amp;unlock","Calcarius ornatus")</f>
        <v>Calcarius ornatus</v>
      </c>
      <c r="H450" t="s">
        <v>206</v>
      </c>
      <c r="I450" t="str">
        <f>HYPERLINK("http://www.ncbi.nlm.nih.gov/protein/NXE68482.1","FABPL protein")</f>
        <v>FABPL protein</v>
      </c>
      <c r="J450">
        <v>186.42</v>
      </c>
      <c r="K450" t="s">
        <v>25</v>
      </c>
      <c r="L450">
        <v>139</v>
      </c>
      <c r="M450">
        <v>50.68</v>
      </c>
      <c r="N450">
        <v>73.89</v>
      </c>
      <c r="O450" t="s">
        <v>20</v>
      </c>
      <c r="P450" t="s">
        <v>21</v>
      </c>
      <c r="Q450" t="s">
        <v>20</v>
      </c>
      <c r="R450" t="str">
        <f>HYPERLINK("https://cfpub.epa.gov/ecotox/explore.cfm?ncbi=198940","Explore in ECOTOX")</f>
        <v>Explore in ECOTOX</v>
      </c>
    </row>
    <row r="451" spans="1:18" x14ac:dyDescent="0.25">
      <c r="A451">
        <v>6</v>
      </c>
      <c r="B451" t="str">
        <f>HYPERLINK("http://www.ncbi.nlm.nih.gov/protein/NXK61331.1","NXK61331.1")</f>
        <v>NXK61331.1</v>
      </c>
      <c r="C451">
        <v>13823</v>
      </c>
      <c r="D451" t="str">
        <f>HYPERLINK("http://www.ncbi.nlm.nih.gov/Taxonomy/Browser/wwwtax.cgi?mode=Info&amp;id=208069&amp;lvl=3&amp;lin=f&amp;keep=1&amp;srchmode=1&amp;unlock","208069")</f>
        <v>208069</v>
      </c>
      <c r="E451" t="s">
        <v>167</v>
      </c>
      <c r="F451" t="s">
        <v>167</v>
      </c>
      <c r="G451" t="str">
        <f>HYPERLINK("http://www.ncbi.nlm.nih.gov/Taxonomy/Browser/wwwtax.cgi?mode=Info&amp;id=208069&amp;lvl=3&amp;lin=f&amp;keep=1&amp;srchmode=1&amp;unlock","Sylvietta virens")</f>
        <v>Sylvietta virens</v>
      </c>
      <c r="H451" t="s">
        <v>434</v>
      </c>
      <c r="I451" t="str">
        <f>HYPERLINK("http://www.ncbi.nlm.nih.gov/protein/NXK61331.1","FABPL protein")</f>
        <v>FABPL protein</v>
      </c>
      <c r="J451">
        <v>186.42</v>
      </c>
      <c r="K451" t="s">
        <v>25</v>
      </c>
      <c r="L451">
        <v>139</v>
      </c>
      <c r="M451">
        <v>50.68</v>
      </c>
      <c r="N451">
        <v>73.89</v>
      </c>
      <c r="O451" t="s">
        <v>20</v>
      </c>
      <c r="P451" t="s">
        <v>21</v>
      </c>
      <c r="Q451" t="s">
        <v>20</v>
      </c>
      <c r="R451" t="str">
        <f>HYPERLINK("https://cfpub.epa.gov/ecotox/explore.cfm?ncbi=208069","Explore in ECOTOX")</f>
        <v>Explore in ECOTOX</v>
      </c>
    </row>
    <row r="452" spans="1:18" x14ac:dyDescent="0.25">
      <c r="A452">
        <v>6</v>
      </c>
      <c r="B452" t="str">
        <f>HYPERLINK("http://www.ncbi.nlm.nih.gov/protein/XP_005229910.1","XP_005229910.1")</f>
        <v>XP_005229910.1</v>
      </c>
      <c r="C452">
        <v>31321</v>
      </c>
      <c r="D452" t="str">
        <f>HYPERLINK("http://www.ncbi.nlm.nih.gov/Taxonomy/Browser/wwwtax.cgi?mode=Info&amp;id=8954&amp;lvl=3&amp;lin=f&amp;keep=1&amp;srchmode=1&amp;unlock","8954")</f>
        <v>8954</v>
      </c>
      <c r="E452" t="s">
        <v>167</v>
      </c>
      <c r="F452" t="s">
        <v>167</v>
      </c>
      <c r="G452" t="str">
        <f>HYPERLINK("http://www.ncbi.nlm.nih.gov/Taxonomy/Browser/wwwtax.cgi?mode=Info&amp;id=8954&amp;lvl=3&amp;lin=f&amp;keep=1&amp;srchmode=1&amp;unlock","Falco peregrinus")</f>
        <v>Falco peregrinus</v>
      </c>
      <c r="H452" t="s">
        <v>435</v>
      </c>
      <c r="I452" t="str">
        <f>HYPERLINK("http://www.ncbi.nlm.nih.gov/protein/XP_005229910.1","fatty acid-binding protein, liver")</f>
        <v>fatty acid-binding protein, liver</v>
      </c>
      <c r="J452">
        <v>186.42</v>
      </c>
      <c r="K452" t="s">
        <v>20</v>
      </c>
      <c r="L452">
        <v>139</v>
      </c>
      <c r="M452">
        <v>50.68</v>
      </c>
      <c r="N452">
        <v>73.89</v>
      </c>
      <c r="O452" t="s">
        <v>20</v>
      </c>
      <c r="P452" t="s">
        <v>21</v>
      </c>
      <c r="Q452" t="s">
        <v>20</v>
      </c>
      <c r="R452" t="str">
        <f>HYPERLINK("https://cfpub.epa.gov/ecotox/explore.cfm?ncbi=8954","Explore in ECOTOX")</f>
        <v>Explore in ECOTOX</v>
      </c>
    </row>
    <row r="453" spans="1:18" x14ac:dyDescent="0.25">
      <c r="A453">
        <v>6</v>
      </c>
      <c r="B453" t="str">
        <f>HYPERLINK("http://www.ncbi.nlm.nih.gov/protein/NXF77255.1","NXF77255.1")</f>
        <v>NXF77255.1</v>
      </c>
      <c r="C453">
        <v>14134</v>
      </c>
      <c r="D453" t="str">
        <f>HYPERLINK("http://www.ncbi.nlm.nih.gov/Taxonomy/Browser/wwwtax.cgi?mode=Info&amp;id=265632&amp;lvl=3&amp;lin=f&amp;keep=1&amp;srchmode=1&amp;unlock","265632")</f>
        <v>265632</v>
      </c>
      <c r="E453" t="s">
        <v>167</v>
      </c>
      <c r="F453" t="s">
        <v>167</v>
      </c>
      <c r="G453" t="str">
        <f>HYPERLINK("http://www.ncbi.nlm.nih.gov/Taxonomy/Browser/wwwtax.cgi?mode=Info&amp;id=265632&amp;lvl=3&amp;lin=f&amp;keep=1&amp;srchmode=1&amp;unlock","Sclerurus mexicanus")</f>
        <v>Sclerurus mexicanus</v>
      </c>
      <c r="H453" t="s">
        <v>436</v>
      </c>
      <c r="I453" t="str">
        <f>HYPERLINK("http://www.ncbi.nlm.nih.gov/protein/NXF77255.1","FABPL protein")</f>
        <v>FABPL protein</v>
      </c>
      <c r="J453">
        <v>186.42</v>
      </c>
      <c r="K453" t="s">
        <v>25</v>
      </c>
      <c r="L453">
        <v>139</v>
      </c>
      <c r="M453">
        <v>50.68</v>
      </c>
      <c r="N453">
        <v>73.89</v>
      </c>
      <c r="O453" t="s">
        <v>20</v>
      </c>
      <c r="P453" t="s">
        <v>21</v>
      </c>
      <c r="Q453" t="s">
        <v>20</v>
      </c>
      <c r="R453" t="str">
        <f>HYPERLINK("https://cfpub.epa.gov/ecotox/explore.cfm?ncbi=265632","Explore in ECOTOX")</f>
        <v>Explore in ECOTOX</v>
      </c>
    </row>
    <row r="454" spans="1:18" x14ac:dyDescent="0.25">
      <c r="A454">
        <v>6</v>
      </c>
      <c r="B454" t="str">
        <f>HYPERLINK("http://www.ncbi.nlm.nih.gov/protein/XP_037243286.1","XP_037243286.1")</f>
        <v>XP_037243286.1</v>
      </c>
      <c r="C454">
        <v>41450</v>
      </c>
      <c r="D454" t="str">
        <f>HYPERLINK("http://www.ncbi.nlm.nih.gov/Taxonomy/Browser/wwwtax.cgi?mode=Info&amp;id=120794&amp;lvl=3&amp;lin=f&amp;keep=1&amp;srchmode=1&amp;unlock","120794")</f>
        <v>120794</v>
      </c>
      <c r="E454" t="s">
        <v>167</v>
      </c>
      <c r="F454" t="s">
        <v>167</v>
      </c>
      <c r="G454" t="str">
        <f>HYPERLINK("http://www.ncbi.nlm.nih.gov/Taxonomy/Browser/wwwtax.cgi?mode=Info&amp;id=120794&amp;lvl=3&amp;lin=f&amp;keep=1&amp;srchmode=1&amp;unlock","Falco rusticolus")</f>
        <v>Falco rusticolus</v>
      </c>
      <c r="H454" t="s">
        <v>437</v>
      </c>
      <c r="I454" t="str">
        <f>HYPERLINK("http://www.ncbi.nlm.nih.gov/protein/XP_037243286.1","fatty acid-binding protein, liver")</f>
        <v>fatty acid-binding protein, liver</v>
      </c>
      <c r="J454">
        <v>186.42</v>
      </c>
      <c r="K454" t="s">
        <v>20</v>
      </c>
      <c r="L454">
        <v>139</v>
      </c>
      <c r="M454">
        <v>50.68</v>
      </c>
      <c r="N454">
        <v>73.89</v>
      </c>
      <c r="O454" t="s">
        <v>20</v>
      </c>
      <c r="P454" t="s">
        <v>21</v>
      </c>
      <c r="Q454" t="s">
        <v>20</v>
      </c>
      <c r="R454" t="str">
        <f>HYPERLINK("https://cfpub.epa.gov/ecotox/explore.cfm?ncbi=120794","Explore in ECOTOX")</f>
        <v>Explore in ECOTOX</v>
      </c>
    </row>
    <row r="455" spans="1:18" x14ac:dyDescent="0.25">
      <c r="A455">
        <v>6</v>
      </c>
      <c r="B455" t="str">
        <f>HYPERLINK("http://www.ncbi.nlm.nih.gov/protein/NWT93831.1","NWT93831.1")</f>
        <v>NWT93831.1</v>
      </c>
      <c r="C455">
        <v>13723</v>
      </c>
      <c r="D455" t="str">
        <f>HYPERLINK("http://www.ncbi.nlm.nih.gov/Taxonomy/Browser/wwwtax.cgi?mode=Info&amp;id=571890&amp;lvl=3&amp;lin=f&amp;keep=1&amp;srchmode=1&amp;unlock","571890")</f>
        <v>571890</v>
      </c>
      <c r="E455" t="s">
        <v>167</v>
      </c>
      <c r="F455" t="s">
        <v>167</v>
      </c>
      <c r="G455" t="str">
        <f>HYPERLINK("http://www.ncbi.nlm.nih.gov/Taxonomy/Browser/wwwtax.cgi?mode=Info&amp;id=571890&amp;lvl=3&amp;lin=f&amp;keep=1&amp;srchmode=1&amp;unlock","Urocynchramus pylzowi")</f>
        <v>Urocynchramus pylzowi</v>
      </c>
      <c r="H455" t="s">
        <v>206</v>
      </c>
      <c r="I455" t="str">
        <f>HYPERLINK("http://www.ncbi.nlm.nih.gov/protein/NWT93831.1","FABPL protein")</f>
        <v>FABPL protein</v>
      </c>
      <c r="J455">
        <v>186.42</v>
      </c>
      <c r="K455" t="s">
        <v>25</v>
      </c>
      <c r="L455">
        <v>139</v>
      </c>
      <c r="M455">
        <v>50.68</v>
      </c>
      <c r="N455">
        <v>73.89</v>
      </c>
      <c r="O455" t="s">
        <v>20</v>
      </c>
      <c r="P455" t="s">
        <v>21</v>
      </c>
      <c r="Q455" t="s">
        <v>20</v>
      </c>
      <c r="R455" t="str">
        <f>HYPERLINK("https://cfpub.epa.gov/ecotox/explore.cfm?ncbi=571890","Explore in ECOTOX")</f>
        <v>Explore in ECOTOX</v>
      </c>
    </row>
    <row r="456" spans="1:18" x14ac:dyDescent="0.25">
      <c r="A456">
        <v>6</v>
      </c>
      <c r="B456" t="str">
        <f>HYPERLINK("http://www.ncbi.nlm.nih.gov/protein/NXT62212.1","NXT62212.1")</f>
        <v>NXT62212.1</v>
      </c>
      <c r="C456">
        <v>13266</v>
      </c>
      <c r="D456" t="str">
        <f>HYPERLINK("http://www.ncbi.nlm.nih.gov/Taxonomy/Browser/wwwtax.cgi?mode=Info&amp;id=221966&amp;lvl=3&amp;lin=f&amp;keep=1&amp;srchmode=1&amp;unlock","221966")</f>
        <v>221966</v>
      </c>
      <c r="E456" t="s">
        <v>167</v>
      </c>
      <c r="F456" t="s">
        <v>167</v>
      </c>
      <c r="G456" t="str">
        <f>HYPERLINK("http://www.ncbi.nlm.nih.gov/Taxonomy/Browser/wwwtax.cgi?mode=Info&amp;id=221966&amp;lvl=3&amp;lin=f&amp;keep=1&amp;srchmode=1&amp;unlock","Chaetops frenatus")</f>
        <v>Chaetops frenatus</v>
      </c>
      <c r="H456" t="s">
        <v>438</v>
      </c>
      <c r="I456" t="str">
        <f>HYPERLINK("http://www.ncbi.nlm.nih.gov/protein/NXT62212.1","FABPL protein")</f>
        <v>FABPL protein</v>
      </c>
      <c r="J456">
        <v>186.42</v>
      </c>
      <c r="K456" t="s">
        <v>25</v>
      </c>
      <c r="L456">
        <v>139</v>
      </c>
      <c r="M456">
        <v>50.68</v>
      </c>
      <c r="N456">
        <v>73.89</v>
      </c>
      <c r="O456" t="s">
        <v>20</v>
      </c>
      <c r="P456" t="s">
        <v>21</v>
      </c>
      <c r="Q456" t="s">
        <v>20</v>
      </c>
      <c r="R456" t="str">
        <f>HYPERLINK("https://cfpub.epa.gov/ecotox/explore.cfm?ncbi=221966","Explore in ECOTOX")</f>
        <v>Explore in ECOTOX</v>
      </c>
    </row>
    <row r="457" spans="1:18" x14ac:dyDescent="0.25">
      <c r="A457">
        <v>6</v>
      </c>
      <c r="B457" t="str">
        <f>HYPERLINK("http://www.ncbi.nlm.nih.gov/protein/NWZ61713.1","NWZ61713.1")</f>
        <v>NWZ61713.1</v>
      </c>
      <c r="C457">
        <v>14269</v>
      </c>
      <c r="D457" t="str">
        <f>HYPERLINK("http://www.ncbi.nlm.nih.gov/Taxonomy/Browser/wwwtax.cgi?mode=Info&amp;id=39621&amp;lvl=3&amp;lin=f&amp;keep=1&amp;srchmode=1&amp;unlock","39621")</f>
        <v>39621</v>
      </c>
      <c r="E457" t="s">
        <v>167</v>
      </c>
      <c r="F457" t="s">
        <v>167</v>
      </c>
      <c r="G457" t="str">
        <f>HYPERLINK("http://www.ncbi.nlm.nih.gov/Taxonomy/Browser/wwwtax.cgi?mode=Info&amp;id=39621&amp;lvl=3&amp;lin=f&amp;keep=1&amp;srchmode=1&amp;unlock","Acrocephalus arundinaceus")</f>
        <v>Acrocephalus arundinaceus</v>
      </c>
      <c r="H457" t="s">
        <v>439</v>
      </c>
      <c r="I457" t="str">
        <f>HYPERLINK("http://www.ncbi.nlm.nih.gov/protein/NWZ61713.1","FABPL protein")</f>
        <v>FABPL protein</v>
      </c>
      <c r="J457">
        <v>186.04</v>
      </c>
      <c r="K457" t="s">
        <v>25</v>
      </c>
      <c r="L457">
        <v>139</v>
      </c>
      <c r="M457">
        <v>50.68</v>
      </c>
      <c r="N457">
        <v>73.739999999999995</v>
      </c>
      <c r="O457" t="s">
        <v>20</v>
      </c>
      <c r="P457" t="s">
        <v>21</v>
      </c>
      <c r="Q457" t="s">
        <v>20</v>
      </c>
      <c r="R457" t="str">
        <f>HYPERLINK("https://cfpub.epa.gov/ecotox/explore.cfm?ncbi=39621","Explore in ECOTOX")</f>
        <v>Explore in ECOTOX</v>
      </c>
    </row>
    <row r="458" spans="1:18" x14ac:dyDescent="0.25">
      <c r="A458">
        <v>6</v>
      </c>
      <c r="B458" t="str">
        <f>HYPERLINK("http://www.ncbi.nlm.nih.gov/protein/NXR47844.1","NXR47844.1")</f>
        <v>NXR47844.1</v>
      </c>
      <c r="C458">
        <v>13717</v>
      </c>
      <c r="D458" t="str">
        <f>HYPERLINK("http://www.ncbi.nlm.nih.gov/Taxonomy/Browser/wwwtax.cgi?mode=Info&amp;id=68497&amp;lvl=3&amp;lin=f&amp;keep=1&amp;srchmode=1&amp;unlock","68497")</f>
        <v>68497</v>
      </c>
      <c r="E458" t="s">
        <v>167</v>
      </c>
      <c r="F458" t="s">
        <v>167</v>
      </c>
      <c r="G458" t="str">
        <f>HYPERLINK("http://www.ncbi.nlm.nih.gov/Taxonomy/Browser/wwwtax.cgi?mode=Info&amp;id=68497&amp;lvl=3&amp;lin=f&amp;keep=1&amp;srchmode=1&amp;unlock","Hippolais icterina")</f>
        <v>Hippolais icterina</v>
      </c>
      <c r="H458" t="s">
        <v>440</v>
      </c>
      <c r="I458" t="str">
        <f>HYPERLINK("http://www.ncbi.nlm.nih.gov/protein/NXR47844.1","FABPL protein")</f>
        <v>FABPL protein</v>
      </c>
      <c r="J458">
        <v>186.04</v>
      </c>
      <c r="K458" t="s">
        <v>25</v>
      </c>
      <c r="L458">
        <v>139</v>
      </c>
      <c r="M458">
        <v>50.68</v>
      </c>
      <c r="N458">
        <v>73.739999999999995</v>
      </c>
      <c r="O458" t="s">
        <v>20</v>
      </c>
      <c r="P458" t="s">
        <v>21</v>
      </c>
      <c r="Q458" t="s">
        <v>20</v>
      </c>
      <c r="R458" t="str">
        <f>HYPERLINK("https://cfpub.epa.gov/ecotox/explore.cfm?ncbi=68497","Explore in ECOTOX")</f>
        <v>Explore in ECOTOX</v>
      </c>
    </row>
    <row r="459" spans="1:18" x14ac:dyDescent="0.25">
      <c r="A459">
        <v>6</v>
      </c>
      <c r="B459" t="str">
        <f>HYPERLINK("http://www.ncbi.nlm.nih.gov/protein/NWI58476.1","NWI58476.1")</f>
        <v>NWI58476.1</v>
      </c>
      <c r="C459">
        <v>13255</v>
      </c>
      <c r="D459" t="str">
        <f>HYPERLINK("http://www.ncbi.nlm.nih.gov/Taxonomy/Browser/wwwtax.cgi?mode=Info&amp;id=135972&amp;lvl=3&amp;lin=f&amp;keep=1&amp;srchmode=1&amp;unlock","135972")</f>
        <v>135972</v>
      </c>
      <c r="E459" t="s">
        <v>167</v>
      </c>
      <c r="F459" t="s">
        <v>167</v>
      </c>
      <c r="G459" t="str">
        <f>HYPERLINK("http://www.ncbi.nlm.nih.gov/Taxonomy/Browser/wwwtax.cgi?mode=Info&amp;id=135972&amp;lvl=3&amp;lin=f&amp;keep=1&amp;srchmode=1&amp;unlock","Calyptomena viridis")</f>
        <v>Calyptomena viridis</v>
      </c>
      <c r="H459" t="s">
        <v>441</v>
      </c>
      <c r="I459" t="str">
        <f>HYPERLINK("http://www.ncbi.nlm.nih.gov/protein/NWI58476.1","FABPL protein")</f>
        <v>FABPL protein</v>
      </c>
      <c r="J459">
        <v>186.04</v>
      </c>
      <c r="K459" t="s">
        <v>20</v>
      </c>
      <c r="L459">
        <v>139</v>
      </c>
      <c r="M459">
        <v>50.68</v>
      </c>
      <c r="N459">
        <v>73.739999999999995</v>
      </c>
      <c r="O459" t="s">
        <v>20</v>
      </c>
      <c r="P459" t="s">
        <v>21</v>
      </c>
      <c r="Q459" t="s">
        <v>20</v>
      </c>
      <c r="R459" t="str">
        <f>HYPERLINK("https://cfpub.epa.gov/ecotox/explore.cfm?ncbi=135972","Explore in ECOTOX")</f>
        <v>Explore in ECOTOX</v>
      </c>
    </row>
    <row r="460" spans="1:18" x14ac:dyDescent="0.25">
      <c r="A460">
        <v>6</v>
      </c>
      <c r="B460" t="str">
        <f>HYPERLINK("http://www.ncbi.nlm.nih.gov/protein/NWY74904.1","NWY74904.1")</f>
        <v>NWY74904.1</v>
      </c>
      <c r="C460">
        <v>13909</v>
      </c>
      <c r="D460" t="str">
        <f>HYPERLINK("http://www.ncbi.nlm.nih.gov/Taxonomy/Browser/wwwtax.cgi?mode=Info&amp;id=37610&amp;lvl=3&amp;lin=f&amp;keep=1&amp;srchmode=1&amp;unlock","37610")</f>
        <v>37610</v>
      </c>
      <c r="E460" t="s">
        <v>167</v>
      </c>
      <c r="F460" t="s">
        <v>167</v>
      </c>
      <c r="G460" t="str">
        <f>HYPERLINK("http://www.ncbi.nlm.nih.gov/Taxonomy/Browser/wwwtax.cgi?mode=Info&amp;id=37610&amp;lvl=3&amp;lin=f&amp;keep=1&amp;srchmode=1&amp;unlock","Erithacus rubecula")</f>
        <v>Erithacus rubecula</v>
      </c>
      <c r="H460" t="s">
        <v>442</v>
      </c>
      <c r="I460" t="str">
        <f>HYPERLINK("http://www.ncbi.nlm.nih.gov/protein/NWY74904.1","FABPL protein")</f>
        <v>FABPL protein</v>
      </c>
      <c r="J460">
        <v>186.04</v>
      </c>
      <c r="K460" t="s">
        <v>25</v>
      </c>
      <c r="L460">
        <v>139</v>
      </c>
      <c r="M460">
        <v>50.68</v>
      </c>
      <c r="N460">
        <v>73.739999999999995</v>
      </c>
      <c r="O460" t="s">
        <v>20</v>
      </c>
      <c r="P460" t="s">
        <v>21</v>
      </c>
      <c r="Q460" t="s">
        <v>20</v>
      </c>
      <c r="R460" t="str">
        <f>HYPERLINK("https://cfpub.epa.gov/ecotox/explore.cfm?ncbi=37610","Explore in ECOTOX")</f>
        <v>Explore in ECOTOX</v>
      </c>
    </row>
    <row r="461" spans="1:18" x14ac:dyDescent="0.25">
      <c r="A461">
        <v>6</v>
      </c>
      <c r="B461" t="str">
        <f>HYPERLINK("http://www.ncbi.nlm.nih.gov/protein/NXM66314.1","NXM66314.1")</f>
        <v>NXM66314.1</v>
      </c>
      <c r="C461">
        <v>14138</v>
      </c>
      <c r="D461" t="str">
        <f>HYPERLINK("http://www.ncbi.nlm.nih.gov/Taxonomy/Browser/wwwtax.cgi?mode=Info&amp;id=239386&amp;lvl=3&amp;lin=f&amp;keep=1&amp;srchmode=1&amp;unlock","239386")</f>
        <v>239386</v>
      </c>
      <c r="E461" t="s">
        <v>167</v>
      </c>
      <c r="F461" t="s">
        <v>167</v>
      </c>
      <c r="G461" t="str">
        <f>HYPERLINK("http://www.ncbi.nlm.nih.gov/Taxonomy/Browser/wwwtax.cgi?mode=Info&amp;id=239386&amp;lvl=3&amp;lin=f&amp;keep=1&amp;srchmode=1&amp;unlock","Serilophus lunatus")</f>
        <v>Serilophus lunatus</v>
      </c>
      <c r="H461" t="s">
        <v>443</v>
      </c>
      <c r="I461" t="str">
        <f>HYPERLINK("http://www.ncbi.nlm.nih.gov/protein/NXM66314.1","FABPL protein")</f>
        <v>FABPL protein</v>
      </c>
      <c r="J461">
        <v>185.65</v>
      </c>
      <c r="K461" t="s">
        <v>25</v>
      </c>
      <c r="L461">
        <v>139</v>
      </c>
      <c r="M461">
        <v>50.68</v>
      </c>
      <c r="N461">
        <v>73.59</v>
      </c>
      <c r="O461" t="s">
        <v>20</v>
      </c>
      <c r="P461" t="s">
        <v>21</v>
      </c>
      <c r="Q461" t="s">
        <v>20</v>
      </c>
      <c r="R461" t="str">
        <f>HYPERLINK("https://cfpub.epa.gov/ecotox/explore.cfm?ncbi=239386","Explore in ECOTOX")</f>
        <v>Explore in ECOTOX</v>
      </c>
    </row>
    <row r="462" spans="1:18" x14ac:dyDescent="0.25">
      <c r="A462">
        <v>6</v>
      </c>
      <c r="B462" t="str">
        <f>HYPERLINK("http://www.ncbi.nlm.nih.gov/protein/NWY89422.1","NWY89422.1")</f>
        <v>NWY89422.1</v>
      </c>
      <c r="C462">
        <v>12391</v>
      </c>
      <c r="D462" t="str">
        <f>HYPERLINK("http://www.ncbi.nlm.nih.gov/Taxonomy/Browser/wwwtax.cgi?mode=Info&amp;id=468512&amp;lvl=3&amp;lin=f&amp;keep=1&amp;srchmode=1&amp;unlock","468512")</f>
        <v>468512</v>
      </c>
      <c r="E462" t="s">
        <v>167</v>
      </c>
      <c r="F462" t="s">
        <v>167</v>
      </c>
      <c r="G462" t="str">
        <f>HYPERLINK("http://www.ncbi.nlm.nih.gov/Taxonomy/Browser/wwwtax.cgi?mode=Info&amp;id=468512&amp;lvl=3&amp;lin=f&amp;keep=1&amp;srchmode=1&amp;unlock","Rhegmatorhina hoffmannsi")</f>
        <v>Rhegmatorhina hoffmannsi</v>
      </c>
      <c r="H462" t="s">
        <v>444</v>
      </c>
      <c r="I462" t="str">
        <f>HYPERLINK("http://www.ncbi.nlm.nih.gov/protein/NWY89422.1","FABPL protein")</f>
        <v>FABPL protein</v>
      </c>
      <c r="J462">
        <v>185.65</v>
      </c>
      <c r="K462" t="s">
        <v>25</v>
      </c>
      <c r="L462">
        <v>139</v>
      </c>
      <c r="M462">
        <v>50.68</v>
      </c>
      <c r="N462">
        <v>73.59</v>
      </c>
      <c r="O462" t="s">
        <v>20</v>
      </c>
      <c r="P462" t="s">
        <v>21</v>
      </c>
      <c r="Q462" t="s">
        <v>20</v>
      </c>
      <c r="R462" t="str">
        <f>HYPERLINK("https://cfpub.epa.gov/ecotox/explore.cfm?ncbi=468512","Explore in ECOTOX")</f>
        <v>Explore in ECOTOX</v>
      </c>
    </row>
    <row r="463" spans="1:18" x14ac:dyDescent="0.25">
      <c r="A463">
        <v>6</v>
      </c>
      <c r="B463" t="str">
        <f>HYPERLINK("http://www.ncbi.nlm.nih.gov/protein/KQK83089.1","KQK83089.1")</f>
        <v>KQK83089.1</v>
      </c>
      <c r="C463">
        <v>16224</v>
      </c>
      <c r="D463" t="str">
        <f>HYPERLINK("http://www.ncbi.nlm.nih.gov/Taxonomy/Browser/wwwtax.cgi?mode=Info&amp;id=12930&amp;lvl=3&amp;lin=f&amp;keep=1&amp;srchmode=1&amp;unlock","12930")</f>
        <v>12930</v>
      </c>
      <c r="E463" t="s">
        <v>167</v>
      </c>
      <c r="F463" t="s">
        <v>167</v>
      </c>
      <c r="G463" t="str">
        <f>HYPERLINK("http://www.ncbi.nlm.nih.gov/Taxonomy/Browser/wwwtax.cgi?mode=Info&amp;id=12930&amp;lvl=3&amp;lin=f&amp;keep=1&amp;srchmode=1&amp;unlock","Amazona aestiva")</f>
        <v>Amazona aestiva</v>
      </c>
      <c r="H463" t="s">
        <v>445</v>
      </c>
      <c r="I463" t="str">
        <f>HYPERLINK("http://www.ncbi.nlm.nih.gov/protein/KQK83089.1","fatty acid-binding protein, liver")</f>
        <v>fatty acid-binding protein, liver</v>
      </c>
      <c r="J463">
        <v>185.65</v>
      </c>
      <c r="K463" t="s">
        <v>20</v>
      </c>
      <c r="L463">
        <v>139</v>
      </c>
      <c r="M463">
        <v>50.68</v>
      </c>
      <c r="N463">
        <v>73.59</v>
      </c>
      <c r="O463" t="s">
        <v>20</v>
      </c>
      <c r="P463" t="s">
        <v>21</v>
      </c>
      <c r="Q463" t="s">
        <v>20</v>
      </c>
      <c r="R463" t="str">
        <f>HYPERLINK("https://cfpub.epa.gov/ecotox/explore.cfm?ncbi=12930","Explore in ECOTOX")</f>
        <v>Explore in ECOTOX</v>
      </c>
    </row>
    <row r="464" spans="1:18" x14ac:dyDescent="0.25">
      <c r="A464">
        <v>6</v>
      </c>
      <c r="B464" t="str">
        <f>HYPERLINK("http://www.ncbi.nlm.nih.gov/protein/NP_001258453.2","NP_001258453.2")</f>
        <v>NP_001258453.2</v>
      </c>
      <c r="C464">
        <v>45119</v>
      </c>
      <c r="D464" t="str">
        <f>HYPERLINK("http://www.ncbi.nlm.nih.gov/Taxonomy/Browser/wwwtax.cgi?mode=Info&amp;id=59729&amp;lvl=3&amp;lin=f&amp;keep=1&amp;srchmode=1&amp;unlock","59729")</f>
        <v>59729</v>
      </c>
      <c r="E464" t="s">
        <v>167</v>
      </c>
      <c r="F464" t="s">
        <v>167</v>
      </c>
      <c r="G464" t="str">
        <f>HYPERLINK("http://www.ncbi.nlm.nih.gov/Taxonomy/Browser/wwwtax.cgi?mode=Info&amp;id=59729&amp;lvl=3&amp;lin=f&amp;keep=1&amp;srchmode=1&amp;unlock","Taeniopygia guttata")</f>
        <v>Taeniopygia guttata</v>
      </c>
      <c r="H464" t="s">
        <v>446</v>
      </c>
      <c r="I464" t="str">
        <f>HYPERLINK("http://www.ncbi.nlm.nih.gov/protein/NP_001258453.2","fatty acid-binding protein, liver")</f>
        <v>fatty acid-binding protein, liver</v>
      </c>
      <c r="J464">
        <v>185.65</v>
      </c>
      <c r="K464" t="s">
        <v>25</v>
      </c>
      <c r="L464">
        <v>139</v>
      </c>
      <c r="M464">
        <v>50.68</v>
      </c>
      <c r="N464">
        <v>73.59</v>
      </c>
      <c r="O464" t="s">
        <v>20</v>
      </c>
      <c r="P464" t="s">
        <v>21</v>
      </c>
      <c r="Q464" t="s">
        <v>20</v>
      </c>
      <c r="R464" t="str">
        <f>HYPERLINK("https://cfpub.epa.gov/ecotox/explore.cfm?ncbi=59729","Explore in ECOTOX")</f>
        <v>Explore in ECOTOX</v>
      </c>
    </row>
    <row r="465" spans="1:18" x14ac:dyDescent="0.25">
      <c r="A465">
        <v>6</v>
      </c>
      <c r="B465" t="str">
        <f>HYPERLINK("http://www.ncbi.nlm.nih.gov/protein/XP_021391415.1","XP_021391415.1")</f>
        <v>XP_021391415.1</v>
      </c>
      <c r="C465">
        <v>43851</v>
      </c>
      <c r="D465" t="str">
        <f>HYPERLINK("http://www.ncbi.nlm.nih.gov/Taxonomy/Browser/wwwtax.cgi?mode=Info&amp;id=299123&amp;lvl=3&amp;lin=f&amp;keep=1&amp;srchmode=1&amp;unlock","299123")</f>
        <v>299123</v>
      </c>
      <c r="E465" t="s">
        <v>167</v>
      </c>
      <c r="F465" t="s">
        <v>167</v>
      </c>
      <c r="G465" t="str">
        <f>HYPERLINK("http://www.ncbi.nlm.nih.gov/Taxonomy/Browser/wwwtax.cgi?mode=Info&amp;id=299123&amp;lvl=3&amp;lin=f&amp;keep=1&amp;srchmode=1&amp;unlock","Lonchura striata domestica")</f>
        <v>Lonchura striata domestica</v>
      </c>
      <c r="H465" t="s">
        <v>447</v>
      </c>
      <c r="I465" t="str">
        <f>HYPERLINK("http://www.ncbi.nlm.nih.gov/protein/XP_021391415.1","fatty acid-binding protein, liver")</f>
        <v>fatty acid-binding protein, liver</v>
      </c>
      <c r="J465">
        <v>185.65</v>
      </c>
      <c r="K465" t="s">
        <v>25</v>
      </c>
      <c r="L465">
        <v>139</v>
      </c>
      <c r="M465">
        <v>50.68</v>
      </c>
      <c r="N465">
        <v>73.59</v>
      </c>
      <c r="O465" t="s">
        <v>20</v>
      </c>
      <c r="P465" t="s">
        <v>21</v>
      </c>
      <c r="Q465" t="s">
        <v>20</v>
      </c>
      <c r="R465" t="str">
        <f>HYPERLINK("https://cfpub.epa.gov/ecotox/explore.cfm?ncbi=299123","Explore in ECOTOX")</f>
        <v>Explore in ECOTOX</v>
      </c>
    </row>
    <row r="466" spans="1:18" x14ac:dyDescent="0.25">
      <c r="A466">
        <v>6</v>
      </c>
      <c r="B466" t="str">
        <f>HYPERLINK("http://www.ncbi.nlm.nih.gov/protein/XP_015481243.1","XP_015481243.1")</f>
        <v>XP_015481243.1</v>
      </c>
      <c r="C466">
        <v>39858</v>
      </c>
      <c r="D466" t="str">
        <f>HYPERLINK("http://www.ncbi.nlm.nih.gov/Taxonomy/Browser/wwwtax.cgi?mode=Info&amp;id=9157&amp;lvl=3&amp;lin=f&amp;keep=1&amp;srchmode=1&amp;unlock","9157")</f>
        <v>9157</v>
      </c>
      <c r="E466" t="s">
        <v>167</v>
      </c>
      <c r="F466" t="s">
        <v>167</v>
      </c>
      <c r="G466" t="str">
        <f>HYPERLINK("http://www.ncbi.nlm.nih.gov/Taxonomy/Browser/wwwtax.cgi?mode=Info&amp;id=9157&amp;lvl=3&amp;lin=f&amp;keep=1&amp;srchmode=1&amp;unlock","Parus major")</f>
        <v>Parus major</v>
      </c>
      <c r="H466" t="s">
        <v>448</v>
      </c>
      <c r="I466" t="str">
        <f>HYPERLINK("http://www.ncbi.nlm.nih.gov/protein/XP_015481243.1","fatty acid-binding protein, liver")</f>
        <v>fatty acid-binding protein, liver</v>
      </c>
      <c r="J466">
        <v>185.65</v>
      </c>
      <c r="K466" t="s">
        <v>25</v>
      </c>
      <c r="L466">
        <v>139</v>
      </c>
      <c r="M466">
        <v>50.68</v>
      </c>
      <c r="N466">
        <v>73.59</v>
      </c>
      <c r="O466" t="s">
        <v>20</v>
      </c>
      <c r="P466" t="s">
        <v>21</v>
      </c>
      <c r="Q466" t="s">
        <v>20</v>
      </c>
      <c r="R466" t="str">
        <f>HYPERLINK("https://cfpub.epa.gov/ecotox/explore.cfm?ncbi=9157","Explore in ECOTOX")</f>
        <v>Explore in ECOTOX</v>
      </c>
    </row>
    <row r="467" spans="1:18" x14ac:dyDescent="0.25">
      <c r="A467">
        <v>6</v>
      </c>
      <c r="B467" t="str">
        <f>HYPERLINK("http://www.ncbi.nlm.nih.gov/protein/NXB74913.1","NXB74913.1")</f>
        <v>NXB74913.1</v>
      </c>
      <c r="C467">
        <v>13760</v>
      </c>
      <c r="D467" t="str">
        <f>HYPERLINK("http://www.ncbi.nlm.nih.gov/Taxonomy/Browser/wwwtax.cgi?mode=Info&amp;id=237420&amp;lvl=3&amp;lin=f&amp;keep=1&amp;srchmode=1&amp;unlock","237420")</f>
        <v>237420</v>
      </c>
      <c r="E467" t="s">
        <v>167</v>
      </c>
      <c r="F467" t="s">
        <v>167</v>
      </c>
      <c r="G467" t="str">
        <f>HYPERLINK("http://www.ncbi.nlm.nih.gov/Taxonomy/Browser/wwwtax.cgi?mode=Info&amp;id=237420&amp;lvl=3&amp;lin=f&amp;keep=1&amp;srchmode=1&amp;unlock","Donacobius atricapilla")</f>
        <v>Donacobius atricapilla</v>
      </c>
      <c r="H467" t="s">
        <v>206</v>
      </c>
      <c r="I467" t="str">
        <f>HYPERLINK("http://www.ncbi.nlm.nih.gov/protein/NXB74913.1","FABPL protein")</f>
        <v>FABPL protein</v>
      </c>
      <c r="J467">
        <v>185.65</v>
      </c>
      <c r="K467" t="s">
        <v>25</v>
      </c>
      <c r="L467">
        <v>139</v>
      </c>
      <c r="M467">
        <v>50.68</v>
      </c>
      <c r="N467">
        <v>73.59</v>
      </c>
      <c r="O467" t="s">
        <v>20</v>
      </c>
      <c r="P467" t="s">
        <v>21</v>
      </c>
      <c r="Q467" t="s">
        <v>20</v>
      </c>
      <c r="R467" t="str">
        <f>HYPERLINK("https://cfpub.epa.gov/ecotox/explore.cfm?ncbi=237420","Explore in ECOTOX")</f>
        <v>Explore in ECOTOX</v>
      </c>
    </row>
    <row r="468" spans="1:18" x14ac:dyDescent="0.25">
      <c r="A468">
        <v>6</v>
      </c>
      <c r="B468" t="str">
        <f>HYPERLINK("http://www.ncbi.nlm.nih.gov/protein/NWH36506.1","NWH36506.1")</f>
        <v>NWH36506.1</v>
      </c>
      <c r="C468">
        <v>13554</v>
      </c>
      <c r="D468" t="str">
        <f>HYPERLINK("http://www.ncbi.nlm.nih.gov/Taxonomy/Browser/wwwtax.cgi?mode=Info&amp;id=667144&amp;lvl=3&amp;lin=f&amp;keep=1&amp;srchmode=1&amp;unlock","667144")</f>
        <v>667144</v>
      </c>
      <c r="E468" t="s">
        <v>167</v>
      </c>
      <c r="F468" t="s">
        <v>167</v>
      </c>
      <c r="G468" t="str">
        <f>HYPERLINK("http://www.ncbi.nlm.nih.gov/Taxonomy/Browser/wwwtax.cgi?mode=Info&amp;id=667144&amp;lvl=3&amp;lin=f&amp;keep=1&amp;srchmode=1&amp;unlock","Chloropsis hardwickii")</f>
        <v>Chloropsis hardwickii</v>
      </c>
      <c r="H468" t="s">
        <v>206</v>
      </c>
      <c r="I468" t="str">
        <f>HYPERLINK("http://www.ncbi.nlm.nih.gov/protein/NWH36506.1","FABPL protein")</f>
        <v>FABPL protein</v>
      </c>
      <c r="J468">
        <v>185.27</v>
      </c>
      <c r="K468" t="s">
        <v>25</v>
      </c>
      <c r="L468">
        <v>139</v>
      </c>
      <c r="M468">
        <v>50.68</v>
      </c>
      <c r="N468">
        <v>73.430000000000007</v>
      </c>
      <c r="O468" t="s">
        <v>20</v>
      </c>
      <c r="P468" t="s">
        <v>21</v>
      </c>
      <c r="Q468" t="s">
        <v>20</v>
      </c>
      <c r="R468" t="str">
        <f>HYPERLINK("https://cfpub.epa.gov/ecotox/explore.cfm?ncbi=667144","Explore in ECOTOX")</f>
        <v>Explore in ECOTOX</v>
      </c>
    </row>
    <row r="469" spans="1:18" x14ac:dyDescent="0.25">
      <c r="A469">
        <v>6</v>
      </c>
      <c r="B469" t="str">
        <f>HYPERLINK("http://www.ncbi.nlm.nih.gov/protein/NXU98636.1","NXU98636.1")</f>
        <v>NXU98636.1</v>
      </c>
      <c r="C469">
        <v>14925</v>
      </c>
      <c r="D469" t="str">
        <f>HYPERLINK("http://www.ncbi.nlm.nih.gov/Taxonomy/Browser/wwwtax.cgi?mode=Info&amp;id=68486&amp;lvl=3&amp;lin=f&amp;keep=1&amp;srchmode=1&amp;unlock","68486")</f>
        <v>68486</v>
      </c>
      <c r="E469" t="s">
        <v>167</v>
      </c>
      <c r="F469" t="s">
        <v>167</v>
      </c>
      <c r="G469" t="str">
        <f>HYPERLINK("http://www.ncbi.nlm.nih.gov/Taxonomy/Browser/wwwtax.cgi?mode=Info&amp;id=68486&amp;lvl=3&amp;lin=f&amp;keep=1&amp;srchmode=1&amp;unlock","Cettia cetti")</f>
        <v>Cettia cetti</v>
      </c>
      <c r="H469" t="s">
        <v>395</v>
      </c>
      <c r="I469" t="str">
        <f>HYPERLINK("http://www.ncbi.nlm.nih.gov/protein/NXU98636.1","FABPL protein")</f>
        <v>FABPL protein</v>
      </c>
      <c r="J469">
        <v>185.27</v>
      </c>
      <c r="K469" t="s">
        <v>25</v>
      </c>
      <c r="L469">
        <v>139</v>
      </c>
      <c r="M469">
        <v>50.68</v>
      </c>
      <c r="N469">
        <v>73.430000000000007</v>
      </c>
      <c r="O469" t="s">
        <v>20</v>
      </c>
      <c r="P469" t="s">
        <v>21</v>
      </c>
      <c r="Q469" t="s">
        <v>20</v>
      </c>
      <c r="R469" t="str">
        <f>HYPERLINK("https://cfpub.epa.gov/ecotox/explore.cfm?ncbi=68486","Explore in ECOTOX")</f>
        <v>Explore in ECOTOX</v>
      </c>
    </row>
    <row r="470" spans="1:18" x14ac:dyDescent="0.25">
      <c r="A470">
        <v>6</v>
      </c>
      <c r="B470" t="str">
        <f>HYPERLINK("http://www.ncbi.nlm.nih.gov/protein/TRZ19107.1","TRZ19107.1")</f>
        <v>TRZ19107.1</v>
      </c>
      <c r="C470">
        <v>22654</v>
      </c>
      <c r="D470" t="str">
        <f>HYPERLINK("http://www.ncbi.nlm.nih.gov/Taxonomy/Browser/wwwtax.cgi?mode=Info&amp;id=364589&amp;lvl=3&amp;lin=f&amp;keep=1&amp;srchmode=1&amp;unlock","364589")</f>
        <v>364589</v>
      </c>
      <c r="E470" t="s">
        <v>167</v>
      </c>
      <c r="F470" t="s">
        <v>167</v>
      </c>
      <c r="G470" t="str">
        <f>HYPERLINK("http://www.ncbi.nlm.nih.gov/Taxonomy/Browser/wwwtax.cgi?mode=Info&amp;id=364589&amp;lvl=3&amp;lin=f&amp;keep=1&amp;srchmode=1&amp;unlock","Zosterops borbonicus")</f>
        <v>Zosterops borbonicus</v>
      </c>
      <c r="H470" t="s">
        <v>449</v>
      </c>
      <c r="I470" t="str">
        <f>HYPERLINK("http://www.ncbi.nlm.nih.gov/protein/TRZ19107.1","hypothetical protein HGM15179_007946")</f>
        <v>hypothetical protein HGM15179_007946</v>
      </c>
      <c r="J470">
        <v>185.27</v>
      </c>
      <c r="K470" t="s">
        <v>25</v>
      </c>
      <c r="L470">
        <v>139</v>
      </c>
      <c r="M470">
        <v>50.68</v>
      </c>
      <c r="N470">
        <v>73.430000000000007</v>
      </c>
      <c r="O470" t="s">
        <v>20</v>
      </c>
      <c r="P470" t="s">
        <v>21</v>
      </c>
      <c r="Q470" t="s">
        <v>20</v>
      </c>
      <c r="R470" t="str">
        <f>HYPERLINK("https://cfpub.epa.gov/ecotox/explore.cfm?ncbi=364589","Explore in ECOTOX")</f>
        <v>Explore in ECOTOX</v>
      </c>
    </row>
    <row r="471" spans="1:18" x14ac:dyDescent="0.25">
      <c r="A471">
        <v>6</v>
      </c>
      <c r="B471" t="str">
        <f>HYPERLINK("http://www.ncbi.nlm.nih.gov/protein/NWS07738.1","NWS07738.1")</f>
        <v>NWS07738.1</v>
      </c>
      <c r="C471">
        <v>13661</v>
      </c>
      <c r="D471" t="str">
        <f>HYPERLINK("http://www.ncbi.nlm.nih.gov/Taxonomy/Browser/wwwtax.cgi?mode=Info&amp;id=45807&amp;lvl=3&amp;lin=f&amp;keep=1&amp;srchmode=1&amp;unlock","45807")</f>
        <v>45807</v>
      </c>
      <c r="E471" t="s">
        <v>167</v>
      </c>
      <c r="F471" t="s">
        <v>167</v>
      </c>
      <c r="G471" t="str">
        <f>HYPERLINK("http://www.ncbi.nlm.nih.gov/Taxonomy/Browser/wwwtax.cgi?mode=Info&amp;id=45807&amp;lvl=3&amp;lin=f&amp;keep=1&amp;srchmode=1&amp;unlock","Motacilla alba")</f>
        <v>Motacilla alba</v>
      </c>
      <c r="H471" t="s">
        <v>450</v>
      </c>
      <c r="I471" t="str">
        <f>HYPERLINK("http://www.ncbi.nlm.nih.gov/protein/NWS07738.1","FABPL protein")</f>
        <v>FABPL protein</v>
      </c>
      <c r="J471">
        <v>185.27</v>
      </c>
      <c r="K471" t="s">
        <v>25</v>
      </c>
      <c r="L471">
        <v>139</v>
      </c>
      <c r="M471">
        <v>50.68</v>
      </c>
      <c r="N471">
        <v>73.430000000000007</v>
      </c>
      <c r="O471" t="s">
        <v>20</v>
      </c>
      <c r="P471" t="s">
        <v>21</v>
      </c>
      <c r="Q471" t="s">
        <v>20</v>
      </c>
      <c r="R471" t="str">
        <f>HYPERLINK("https://cfpub.epa.gov/ecotox/explore.cfm?ncbi=45807","Explore in ECOTOX")</f>
        <v>Explore in ECOTOX</v>
      </c>
    </row>
    <row r="472" spans="1:18" x14ac:dyDescent="0.25">
      <c r="A472">
        <v>6</v>
      </c>
      <c r="B472" t="str">
        <f>HYPERLINK("http://www.ncbi.nlm.nih.gov/protein/NXI14671.1","NXI14671.1")</f>
        <v>NXI14671.1</v>
      </c>
      <c r="C472">
        <v>14281</v>
      </c>
      <c r="D472" t="str">
        <f>HYPERLINK("http://www.ncbi.nlm.nih.gov/Taxonomy/Browser/wwwtax.cgi?mode=Info&amp;id=175120&amp;lvl=3&amp;lin=f&amp;keep=1&amp;srchmode=1&amp;unlock","175120")</f>
        <v>175120</v>
      </c>
      <c r="E472" t="s">
        <v>167</v>
      </c>
      <c r="F472" t="s">
        <v>167</v>
      </c>
      <c r="G472" t="str">
        <f>HYPERLINK("http://www.ncbi.nlm.nih.gov/Taxonomy/Browser/wwwtax.cgi?mode=Info&amp;id=175120&amp;lvl=3&amp;lin=f&amp;keep=1&amp;srchmode=1&amp;unlock","Irena cyanogastra")</f>
        <v>Irena cyanogastra</v>
      </c>
      <c r="H472" t="s">
        <v>451</v>
      </c>
      <c r="I472" t="str">
        <f>HYPERLINK("http://www.ncbi.nlm.nih.gov/protein/NXI14671.1","FABPL protein")</f>
        <v>FABPL protein</v>
      </c>
      <c r="J472">
        <v>185.27</v>
      </c>
      <c r="K472" t="s">
        <v>25</v>
      </c>
      <c r="L472">
        <v>139</v>
      </c>
      <c r="M472">
        <v>50.68</v>
      </c>
      <c r="N472">
        <v>73.430000000000007</v>
      </c>
      <c r="O472" t="s">
        <v>20</v>
      </c>
      <c r="P472" t="s">
        <v>21</v>
      </c>
      <c r="Q472" t="s">
        <v>20</v>
      </c>
      <c r="R472" t="str">
        <f>HYPERLINK("https://cfpub.epa.gov/ecotox/explore.cfm?ncbi=175120","Explore in ECOTOX")</f>
        <v>Explore in ECOTOX</v>
      </c>
    </row>
    <row r="473" spans="1:18" x14ac:dyDescent="0.25">
      <c r="A473">
        <v>6</v>
      </c>
      <c r="B473" t="str">
        <f>HYPERLINK("http://www.ncbi.nlm.nih.gov/protein/NWI96963.1","NWI96963.1")</f>
        <v>NWI96963.1</v>
      </c>
      <c r="C473">
        <v>13920</v>
      </c>
      <c r="D473" t="str">
        <f>HYPERLINK("http://www.ncbi.nlm.nih.gov/Taxonomy/Browser/wwwtax.cgi?mode=Info&amp;id=9163&amp;lvl=3&amp;lin=f&amp;keep=1&amp;srchmode=1&amp;unlock","9163")</f>
        <v>9163</v>
      </c>
      <c r="E473" t="s">
        <v>167</v>
      </c>
      <c r="F473" t="s">
        <v>167</v>
      </c>
      <c r="G473" t="str">
        <f>HYPERLINK("http://www.ncbi.nlm.nih.gov/Taxonomy/Browser/wwwtax.cgi?mode=Info&amp;id=9163&amp;lvl=3&amp;lin=f&amp;keep=1&amp;srchmode=1&amp;unlock","Pitta sordida")</f>
        <v>Pitta sordida</v>
      </c>
      <c r="H473" t="s">
        <v>452</v>
      </c>
      <c r="I473" t="str">
        <f>HYPERLINK("http://www.ncbi.nlm.nih.gov/protein/NWI96963.1","FABPL protein")</f>
        <v>FABPL protein</v>
      </c>
      <c r="J473">
        <v>185.27</v>
      </c>
      <c r="K473" t="s">
        <v>25</v>
      </c>
      <c r="L473">
        <v>139</v>
      </c>
      <c r="M473">
        <v>50.68</v>
      </c>
      <c r="N473">
        <v>73.430000000000007</v>
      </c>
      <c r="O473" t="s">
        <v>20</v>
      </c>
      <c r="P473" t="s">
        <v>21</v>
      </c>
      <c r="Q473" t="s">
        <v>20</v>
      </c>
      <c r="R473" t="str">
        <f>HYPERLINK("https://cfpub.epa.gov/ecotox/explore.cfm?ncbi=9163","Explore in ECOTOX")</f>
        <v>Explore in ECOTOX</v>
      </c>
    </row>
    <row r="474" spans="1:18" x14ac:dyDescent="0.25">
      <c r="A474">
        <v>6</v>
      </c>
      <c r="B474" t="str">
        <f>HYPERLINK("http://www.ncbi.nlm.nih.gov/protein/XP_037992041.1","XP_037992041.1")</f>
        <v>XP_037992041.1</v>
      </c>
      <c r="C474">
        <v>42237</v>
      </c>
      <c r="D474" t="str">
        <f>HYPERLINK("http://www.ncbi.nlm.nih.gov/Taxonomy/Browser/wwwtax.cgi?mode=Info&amp;id=1094192&amp;lvl=3&amp;lin=f&amp;keep=1&amp;srchmode=1&amp;unlock","1094192")</f>
        <v>1094192</v>
      </c>
      <c r="E474" t="s">
        <v>167</v>
      </c>
      <c r="F474" t="s">
        <v>167</v>
      </c>
      <c r="G474" t="str">
        <f>HYPERLINK("http://www.ncbi.nlm.nih.gov/Taxonomy/Browser/wwwtax.cgi?mode=Info&amp;id=1094192&amp;lvl=3&amp;lin=f&amp;keep=1&amp;srchmode=1&amp;unlock","Motacilla alba alba")</f>
        <v>Motacilla alba alba</v>
      </c>
      <c r="H474" t="s">
        <v>450</v>
      </c>
      <c r="I474" t="str">
        <f>HYPERLINK("http://www.ncbi.nlm.nih.gov/protein/XP_037992041.1","fatty acid-binding protein, liver")</f>
        <v>fatty acid-binding protein, liver</v>
      </c>
      <c r="J474">
        <v>185.27</v>
      </c>
      <c r="K474" t="s">
        <v>25</v>
      </c>
      <c r="L474">
        <v>139</v>
      </c>
      <c r="M474">
        <v>50.68</v>
      </c>
      <c r="N474">
        <v>73.430000000000007</v>
      </c>
      <c r="O474" t="s">
        <v>20</v>
      </c>
      <c r="P474" t="s">
        <v>21</v>
      </c>
      <c r="Q474" t="s">
        <v>20</v>
      </c>
      <c r="R474" t="str">
        <f>HYPERLINK("https://cfpub.epa.gov/ecotox/explore.cfm?ncbi=1094192","Explore in ECOTOX")</f>
        <v>Explore in ECOTOX</v>
      </c>
    </row>
    <row r="475" spans="1:18" x14ac:dyDescent="0.25">
      <c r="A475">
        <v>6</v>
      </c>
      <c r="B475" t="str">
        <f>HYPERLINK("http://www.ncbi.nlm.nih.gov/protein/NXF20663.1","NXF20663.1")</f>
        <v>NXF20663.1</v>
      </c>
      <c r="C475">
        <v>14142</v>
      </c>
      <c r="D475" t="str">
        <f>HYPERLINK("http://www.ncbi.nlm.nih.gov/Taxonomy/Browser/wwwtax.cgi?mode=Info&amp;id=58203&amp;lvl=3&amp;lin=f&amp;keep=1&amp;srchmode=1&amp;unlock","58203")</f>
        <v>58203</v>
      </c>
      <c r="E475" t="s">
        <v>167</v>
      </c>
      <c r="F475" t="s">
        <v>167</v>
      </c>
      <c r="G475" t="str">
        <f>HYPERLINK("http://www.ncbi.nlm.nih.gov/Taxonomy/Browser/wwwtax.cgi?mode=Info&amp;id=58203&amp;lvl=3&amp;lin=f&amp;keep=1&amp;srchmode=1&amp;unlock","Rhodinocichla rosea")</f>
        <v>Rhodinocichla rosea</v>
      </c>
      <c r="H475" t="s">
        <v>414</v>
      </c>
      <c r="I475" t="str">
        <f>HYPERLINK("http://www.ncbi.nlm.nih.gov/protein/NXF20663.1","FABPL protein")</f>
        <v>FABPL protein</v>
      </c>
      <c r="J475">
        <v>185.27</v>
      </c>
      <c r="K475" t="s">
        <v>25</v>
      </c>
      <c r="L475">
        <v>139</v>
      </c>
      <c r="M475">
        <v>50.68</v>
      </c>
      <c r="N475">
        <v>73.430000000000007</v>
      </c>
      <c r="O475" t="s">
        <v>20</v>
      </c>
      <c r="P475" t="s">
        <v>21</v>
      </c>
      <c r="Q475" t="s">
        <v>20</v>
      </c>
      <c r="R475" t="str">
        <f>HYPERLINK("https://cfpub.epa.gov/ecotox/explore.cfm?ncbi=58203","Explore in ECOTOX")</f>
        <v>Explore in ECOTOX</v>
      </c>
    </row>
    <row r="476" spans="1:18" x14ac:dyDescent="0.25">
      <c r="A476">
        <v>6</v>
      </c>
      <c r="B476" t="str">
        <f>HYPERLINK("http://www.ncbi.nlm.nih.gov/protein/XP_019382191.1","XP_019382191.1")</f>
        <v>XP_019382191.1</v>
      </c>
      <c r="C476">
        <v>27413</v>
      </c>
      <c r="D476" t="str">
        <f>HYPERLINK("http://www.ncbi.nlm.nih.gov/Taxonomy/Browser/wwwtax.cgi?mode=Info&amp;id=94835&amp;lvl=3&amp;lin=f&amp;keep=1&amp;srchmode=1&amp;unlock","94835")</f>
        <v>94835</v>
      </c>
      <c r="E476" t="s">
        <v>371</v>
      </c>
      <c r="F476" t="s">
        <v>371</v>
      </c>
      <c r="G476" t="str">
        <f>HYPERLINK("http://www.ncbi.nlm.nih.gov/Taxonomy/Browser/wwwtax.cgi?mode=Info&amp;id=94835&amp;lvl=3&amp;lin=f&amp;keep=1&amp;srchmode=1&amp;unlock","Gavialis gangeticus")</f>
        <v>Gavialis gangeticus</v>
      </c>
      <c r="H476" t="s">
        <v>453</v>
      </c>
      <c r="I476" t="str">
        <f>HYPERLINK("http://www.ncbi.nlm.nih.gov/protein/XP_019382191.1","PREDICTED: fatty acid-binding protein, liver")</f>
        <v>PREDICTED: fatty acid-binding protein, liver</v>
      </c>
      <c r="J476">
        <v>184.88</v>
      </c>
      <c r="K476" t="s">
        <v>25</v>
      </c>
      <c r="L476">
        <v>139</v>
      </c>
      <c r="M476">
        <v>50.68</v>
      </c>
      <c r="N476">
        <v>73.28</v>
      </c>
      <c r="O476" t="s">
        <v>20</v>
      </c>
      <c r="P476" t="s">
        <v>21</v>
      </c>
      <c r="Q476" t="s">
        <v>20</v>
      </c>
      <c r="R476" t="str">
        <f>HYPERLINK("https://cfpub.epa.gov/ecotox/explore.cfm?ncbi=94835","Explore in ECOTOX")</f>
        <v>Explore in ECOTOX</v>
      </c>
    </row>
    <row r="477" spans="1:18" x14ac:dyDescent="0.25">
      <c r="A477">
        <v>6</v>
      </c>
      <c r="B477" t="str">
        <f>HYPERLINK("http://www.ncbi.nlm.nih.gov/protein/XP_021252775.1","XP_021252775.1")</f>
        <v>XP_021252775.1</v>
      </c>
      <c r="C477">
        <v>43424</v>
      </c>
      <c r="D477" t="str">
        <f>HYPERLINK("http://www.ncbi.nlm.nih.gov/Taxonomy/Browser/wwwtax.cgi?mode=Info&amp;id=8996&amp;lvl=3&amp;lin=f&amp;keep=1&amp;srchmode=1&amp;unlock","8996")</f>
        <v>8996</v>
      </c>
      <c r="E477" t="s">
        <v>167</v>
      </c>
      <c r="F477" t="s">
        <v>167</v>
      </c>
      <c r="G477" t="str">
        <f>HYPERLINK("http://www.ncbi.nlm.nih.gov/Taxonomy/Browser/wwwtax.cgi?mode=Info&amp;id=8996&amp;lvl=3&amp;lin=f&amp;keep=1&amp;srchmode=1&amp;unlock","Numida meleagris")</f>
        <v>Numida meleagris</v>
      </c>
      <c r="H477" t="s">
        <v>454</v>
      </c>
      <c r="I477" t="str">
        <f>HYPERLINK("http://www.ncbi.nlm.nih.gov/protein/XP_021252775.1","fatty acid-binding protein, liver")</f>
        <v>fatty acid-binding protein, liver</v>
      </c>
      <c r="J477">
        <v>184.88</v>
      </c>
      <c r="K477" t="s">
        <v>25</v>
      </c>
      <c r="L477">
        <v>139</v>
      </c>
      <c r="M477">
        <v>50.68</v>
      </c>
      <c r="N477">
        <v>73.28</v>
      </c>
      <c r="O477" t="s">
        <v>20</v>
      </c>
      <c r="P477" t="s">
        <v>21</v>
      </c>
      <c r="Q477" t="s">
        <v>20</v>
      </c>
      <c r="R477" t="str">
        <f>HYPERLINK("https://cfpub.epa.gov/ecotox/explore.cfm?ncbi=8996","Explore in ECOTOX")</f>
        <v>Explore in ECOTOX</v>
      </c>
    </row>
    <row r="478" spans="1:18" x14ac:dyDescent="0.25">
      <c r="A478">
        <v>6</v>
      </c>
      <c r="B478" t="str">
        <f>HYPERLINK("http://www.ncbi.nlm.nih.gov/protein/XP_023781477.1","XP_023781477.1")</f>
        <v>XP_023781477.1</v>
      </c>
      <c r="C478">
        <v>31627</v>
      </c>
      <c r="D478" t="str">
        <f>HYPERLINK("http://www.ncbi.nlm.nih.gov/Taxonomy/Browser/wwwtax.cgi?mode=Info&amp;id=156563&amp;lvl=3&amp;lin=f&amp;keep=1&amp;srchmode=1&amp;unlock","156563")</f>
        <v>156563</v>
      </c>
      <c r="E478" t="s">
        <v>167</v>
      </c>
      <c r="F478" t="s">
        <v>167</v>
      </c>
      <c r="G478" t="str">
        <f>HYPERLINK("http://www.ncbi.nlm.nih.gov/Taxonomy/Browser/wwwtax.cgi?mode=Info&amp;id=156563&amp;lvl=3&amp;lin=f&amp;keep=1&amp;srchmode=1&amp;unlock","Cyanistes caeruleus")</f>
        <v>Cyanistes caeruleus</v>
      </c>
      <c r="H478" t="s">
        <v>455</v>
      </c>
      <c r="I478" t="str">
        <f>HYPERLINK("http://www.ncbi.nlm.nih.gov/protein/XP_023781477.1","fatty acid-binding protein, liver")</f>
        <v>fatty acid-binding protein, liver</v>
      </c>
      <c r="J478">
        <v>184.88</v>
      </c>
      <c r="K478" t="s">
        <v>25</v>
      </c>
      <c r="L478">
        <v>139</v>
      </c>
      <c r="M478">
        <v>50.68</v>
      </c>
      <c r="N478">
        <v>73.28</v>
      </c>
      <c r="O478" t="s">
        <v>20</v>
      </c>
      <c r="P478" t="s">
        <v>21</v>
      </c>
      <c r="Q478" t="s">
        <v>20</v>
      </c>
      <c r="R478" t="str">
        <f>HYPERLINK("https://cfpub.epa.gov/ecotox/explore.cfm?ncbi=156563","Explore in ECOTOX")</f>
        <v>Explore in ECOTOX</v>
      </c>
    </row>
    <row r="479" spans="1:18" x14ac:dyDescent="0.25">
      <c r="A479">
        <v>6</v>
      </c>
      <c r="B479" t="str">
        <f>HYPERLINK("http://www.ncbi.nlm.nih.gov/protein/NXH02214.1","NXH02214.1")</f>
        <v>NXH02214.1</v>
      </c>
      <c r="C479">
        <v>14012</v>
      </c>
      <c r="D479" t="str">
        <f>HYPERLINK("http://www.ncbi.nlm.nih.gov/Taxonomy/Browser/wwwtax.cgi?mode=Info&amp;id=96539&amp;lvl=3&amp;lin=f&amp;keep=1&amp;srchmode=1&amp;unlock","96539")</f>
        <v>96539</v>
      </c>
      <c r="E479" t="s">
        <v>167</v>
      </c>
      <c r="F479" t="s">
        <v>167</v>
      </c>
      <c r="G479" t="str">
        <f>HYPERLINK("http://www.ncbi.nlm.nih.gov/Taxonomy/Browser/wwwtax.cgi?mode=Info&amp;id=96539&amp;lvl=3&amp;lin=f&amp;keep=1&amp;srchmode=1&amp;unlock","Loxia leucoptera")</f>
        <v>Loxia leucoptera</v>
      </c>
      <c r="H479" t="s">
        <v>456</v>
      </c>
      <c r="I479" t="str">
        <f>HYPERLINK("http://www.ncbi.nlm.nih.gov/protein/NXH02214.1","FABPL protein")</f>
        <v>FABPL protein</v>
      </c>
      <c r="J479">
        <v>184.88</v>
      </c>
      <c r="K479" t="s">
        <v>25</v>
      </c>
      <c r="L479">
        <v>139</v>
      </c>
      <c r="M479">
        <v>50.68</v>
      </c>
      <c r="N479">
        <v>73.28</v>
      </c>
      <c r="O479" t="s">
        <v>20</v>
      </c>
      <c r="P479" t="s">
        <v>21</v>
      </c>
      <c r="Q479" t="s">
        <v>20</v>
      </c>
      <c r="R479" t="str">
        <f>HYPERLINK("https://cfpub.epa.gov/ecotox/explore.cfm?ncbi=96539","Explore in ECOTOX")</f>
        <v>Explore in ECOTOX</v>
      </c>
    </row>
    <row r="480" spans="1:18" x14ac:dyDescent="0.25">
      <c r="A480">
        <v>6</v>
      </c>
      <c r="B480" t="str">
        <f>HYPERLINK("http://www.ncbi.nlm.nih.gov/protein/NXM10673.1","NXM10673.1")</f>
        <v>NXM10673.1</v>
      </c>
      <c r="C480">
        <v>13548</v>
      </c>
      <c r="D480" t="str">
        <f>HYPERLINK("http://www.ncbi.nlm.nih.gov/Taxonomy/Browser/wwwtax.cgi?mode=Info&amp;id=441696&amp;lvl=3&amp;lin=f&amp;keep=1&amp;srchmode=1&amp;unlock","441696")</f>
        <v>441696</v>
      </c>
      <c r="E480" t="s">
        <v>167</v>
      </c>
      <c r="F480" t="s">
        <v>167</v>
      </c>
      <c r="G480" t="str">
        <f>HYPERLINK("http://www.ncbi.nlm.nih.gov/Taxonomy/Browser/wwwtax.cgi?mode=Info&amp;id=441696&amp;lvl=3&amp;lin=f&amp;keep=1&amp;srchmode=1&amp;unlock","Ploceus nigricollis")</f>
        <v>Ploceus nigricollis</v>
      </c>
      <c r="H480" t="s">
        <v>206</v>
      </c>
      <c r="I480" t="str">
        <f>HYPERLINK("http://www.ncbi.nlm.nih.gov/protein/NXM10673.1","FABPL protein")</f>
        <v>FABPL protein</v>
      </c>
      <c r="J480">
        <v>184.88</v>
      </c>
      <c r="K480" t="s">
        <v>25</v>
      </c>
      <c r="L480">
        <v>139</v>
      </c>
      <c r="M480">
        <v>50.68</v>
      </c>
      <c r="N480">
        <v>73.28</v>
      </c>
      <c r="O480" t="s">
        <v>20</v>
      </c>
      <c r="P480" t="s">
        <v>21</v>
      </c>
      <c r="Q480" t="s">
        <v>20</v>
      </c>
      <c r="R480" t="str">
        <f>HYPERLINK("https://cfpub.epa.gov/ecotox/explore.cfm?ncbi=441696","Explore in ECOTOX")</f>
        <v>Explore in ECOTOX</v>
      </c>
    </row>
    <row r="481" spans="1:18" x14ac:dyDescent="0.25">
      <c r="A481">
        <v>6</v>
      </c>
      <c r="B481" t="str">
        <f>HYPERLINK("http://www.ncbi.nlm.nih.gov/protein/NWY90578.1","NWY90578.1")</f>
        <v>NWY90578.1</v>
      </c>
      <c r="C481">
        <v>14648</v>
      </c>
      <c r="D481" t="str">
        <f>HYPERLINK("http://www.ncbi.nlm.nih.gov/Taxonomy/Browser/wwwtax.cgi?mode=Info&amp;id=64802&amp;lvl=3&amp;lin=f&amp;keep=1&amp;srchmode=1&amp;unlock","64802")</f>
        <v>64802</v>
      </c>
      <c r="E481" t="s">
        <v>167</v>
      </c>
      <c r="F481" t="s">
        <v>167</v>
      </c>
      <c r="G481" t="str">
        <f>HYPERLINK("http://www.ncbi.nlm.nih.gov/Taxonomy/Browser/wwwtax.cgi?mode=Info&amp;id=64802&amp;lvl=3&amp;lin=f&amp;keep=1&amp;srchmode=1&amp;unlock","Loxia curvirostra")</f>
        <v>Loxia curvirostra</v>
      </c>
      <c r="H481" t="s">
        <v>457</v>
      </c>
      <c r="I481" t="str">
        <f>HYPERLINK("http://www.ncbi.nlm.nih.gov/protein/NWY90578.1","FABPL protein")</f>
        <v>FABPL protein</v>
      </c>
      <c r="J481">
        <v>184.88</v>
      </c>
      <c r="K481" t="s">
        <v>25</v>
      </c>
      <c r="L481">
        <v>139</v>
      </c>
      <c r="M481">
        <v>50.68</v>
      </c>
      <c r="N481">
        <v>73.28</v>
      </c>
      <c r="O481" t="s">
        <v>20</v>
      </c>
      <c r="P481" t="s">
        <v>21</v>
      </c>
      <c r="Q481" t="s">
        <v>20</v>
      </c>
      <c r="R481" t="str">
        <f>HYPERLINK("https://cfpub.epa.gov/ecotox/explore.cfm?ncbi=64802","Explore in ECOTOX")</f>
        <v>Explore in ECOTOX</v>
      </c>
    </row>
    <row r="482" spans="1:18" x14ac:dyDescent="0.25">
      <c r="A482">
        <v>6</v>
      </c>
      <c r="B482" t="str">
        <f>HYPERLINK("http://www.ncbi.nlm.nih.gov/protein/POI25699.1","POI25699.1")</f>
        <v>POI25699.1</v>
      </c>
      <c r="C482">
        <v>18021</v>
      </c>
      <c r="D482" t="str">
        <f>HYPERLINK("http://www.ncbi.nlm.nih.gov/Taxonomy/Browser/wwwtax.cgi?mode=Info&amp;id=9083&amp;lvl=3&amp;lin=f&amp;keep=1&amp;srchmode=1&amp;unlock","9083")</f>
        <v>9083</v>
      </c>
      <c r="E482" t="s">
        <v>167</v>
      </c>
      <c r="F482" t="s">
        <v>167</v>
      </c>
      <c r="G482" t="str">
        <f>HYPERLINK("http://www.ncbi.nlm.nih.gov/Taxonomy/Browser/wwwtax.cgi?mode=Info&amp;id=9083&amp;lvl=3&amp;lin=f&amp;keep=1&amp;srchmode=1&amp;unlock","Bambusicola thoracicus")</f>
        <v>Bambusicola thoracicus</v>
      </c>
      <c r="H482" t="s">
        <v>458</v>
      </c>
      <c r="I482" t="str">
        <f>HYPERLINK("http://www.ncbi.nlm.nih.gov/protein/POI25699.1","hypothetical protein CIB84_010551")</f>
        <v>hypothetical protein CIB84_010551</v>
      </c>
      <c r="J482">
        <v>184.88</v>
      </c>
      <c r="K482" t="s">
        <v>25</v>
      </c>
      <c r="L482">
        <v>139</v>
      </c>
      <c r="M482">
        <v>50.68</v>
      </c>
      <c r="N482">
        <v>73.28</v>
      </c>
      <c r="O482" t="s">
        <v>20</v>
      </c>
      <c r="P482" t="s">
        <v>21</v>
      </c>
      <c r="Q482" t="s">
        <v>20</v>
      </c>
      <c r="R482" t="str">
        <f>HYPERLINK("https://cfpub.epa.gov/ecotox/explore.cfm?ncbi=9083","Explore in ECOTOX")</f>
        <v>Explore in ECOTOX</v>
      </c>
    </row>
    <row r="483" spans="1:18" x14ac:dyDescent="0.25">
      <c r="A483">
        <v>6</v>
      </c>
      <c r="B483" t="str">
        <f>HYPERLINK("http://www.ncbi.nlm.nih.gov/protein/NXH52808.1","NXH52808.1")</f>
        <v>NXH52808.1</v>
      </c>
      <c r="C483">
        <v>14389</v>
      </c>
      <c r="D483" t="str">
        <f>HYPERLINK("http://www.ncbi.nlm.nih.gov/Taxonomy/Browser/wwwtax.cgi?mode=Info&amp;id=237438&amp;lvl=3&amp;lin=f&amp;keep=1&amp;srchmode=1&amp;unlock","237438")</f>
        <v>237438</v>
      </c>
      <c r="E483" t="s">
        <v>167</v>
      </c>
      <c r="F483" t="s">
        <v>167</v>
      </c>
      <c r="G483" t="str">
        <f>HYPERLINK("http://www.ncbi.nlm.nih.gov/Taxonomy/Browser/wwwtax.cgi?mode=Info&amp;id=237438&amp;lvl=3&amp;lin=f&amp;keep=1&amp;srchmode=1&amp;unlock","Rhabdornis inornatus")</f>
        <v>Rhabdornis inornatus</v>
      </c>
      <c r="H483" t="s">
        <v>206</v>
      </c>
      <c r="I483" t="str">
        <f>HYPERLINK("http://www.ncbi.nlm.nih.gov/protein/NXH52808.1","FABPL protein")</f>
        <v>FABPL protein</v>
      </c>
      <c r="J483">
        <v>184.5</v>
      </c>
      <c r="K483" t="s">
        <v>25</v>
      </c>
      <c r="L483">
        <v>139</v>
      </c>
      <c r="M483">
        <v>50.68</v>
      </c>
      <c r="N483">
        <v>73.13</v>
      </c>
      <c r="O483" t="s">
        <v>20</v>
      </c>
      <c r="P483" t="s">
        <v>21</v>
      </c>
      <c r="Q483" t="s">
        <v>20</v>
      </c>
      <c r="R483" t="str">
        <f>HYPERLINK("https://cfpub.epa.gov/ecotox/explore.cfm?ncbi=237438","Explore in ECOTOX")</f>
        <v>Explore in ECOTOX</v>
      </c>
    </row>
    <row r="484" spans="1:18" x14ac:dyDescent="0.25">
      <c r="A484">
        <v>6</v>
      </c>
      <c r="B484" t="str">
        <f>HYPERLINK("http://www.ncbi.nlm.nih.gov/protein/NXO22126.1","NXO22126.1")</f>
        <v>NXO22126.1</v>
      </c>
      <c r="C484">
        <v>13483</v>
      </c>
      <c r="D484" t="str">
        <f>HYPERLINK("http://www.ncbi.nlm.nih.gov/Taxonomy/Browser/wwwtax.cgi?mode=Info&amp;id=52622&amp;lvl=3&amp;lin=f&amp;keep=1&amp;srchmode=1&amp;unlock","52622")</f>
        <v>52622</v>
      </c>
      <c r="E484" t="s">
        <v>167</v>
      </c>
      <c r="F484" t="s">
        <v>167</v>
      </c>
      <c r="G484" t="str">
        <f>HYPERLINK("http://www.ncbi.nlm.nih.gov/Taxonomy/Browser/wwwtax.cgi?mode=Info&amp;id=52622&amp;lvl=3&amp;lin=f&amp;keep=1&amp;srchmode=1&amp;unlock","Cisticola juncidis")</f>
        <v>Cisticola juncidis</v>
      </c>
      <c r="H484" t="s">
        <v>206</v>
      </c>
      <c r="I484" t="str">
        <f>HYPERLINK("http://www.ncbi.nlm.nih.gov/protein/NXO22126.1","FABPL protein")</f>
        <v>FABPL protein</v>
      </c>
      <c r="J484">
        <v>184.5</v>
      </c>
      <c r="K484" t="s">
        <v>25</v>
      </c>
      <c r="L484">
        <v>139</v>
      </c>
      <c r="M484">
        <v>50.68</v>
      </c>
      <c r="N484">
        <v>73.13</v>
      </c>
      <c r="O484" t="s">
        <v>20</v>
      </c>
      <c r="P484" t="s">
        <v>21</v>
      </c>
      <c r="Q484" t="s">
        <v>20</v>
      </c>
      <c r="R484" t="str">
        <f>HYPERLINK("https://cfpub.epa.gov/ecotox/explore.cfm?ncbi=52622","Explore in ECOTOX")</f>
        <v>Explore in ECOTOX</v>
      </c>
    </row>
    <row r="485" spans="1:18" x14ac:dyDescent="0.25">
      <c r="A485">
        <v>6</v>
      </c>
      <c r="B485" t="str">
        <f>HYPERLINK("http://www.ncbi.nlm.nih.gov/protein/NXL76627.1","NXL76627.1")</f>
        <v>NXL76627.1</v>
      </c>
      <c r="C485">
        <v>13740</v>
      </c>
      <c r="D485" t="str">
        <f>HYPERLINK("http://www.ncbi.nlm.nih.gov/Taxonomy/Browser/wwwtax.cgi?mode=Info&amp;id=2585812&amp;lvl=3&amp;lin=f&amp;keep=1&amp;srchmode=1&amp;unlock","2585812")</f>
        <v>2585812</v>
      </c>
      <c r="E485" t="s">
        <v>167</v>
      </c>
      <c r="F485" t="s">
        <v>167</v>
      </c>
      <c r="G485" t="str">
        <f>HYPERLINK("http://www.ncbi.nlm.nih.gov/Taxonomy/Browser/wwwtax.cgi?mode=Info&amp;id=2585812&amp;lvl=3&amp;lin=f&amp;keep=1&amp;srchmode=1&amp;unlock","Leptocoma aspasia")</f>
        <v>Leptocoma aspasia</v>
      </c>
      <c r="H485" t="s">
        <v>206</v>
      </c>
      <c r="I485" t="str">
        <f>HYPERLINK("http://www.ncbi.nlm.nih.gov/protein/NXL76627.1","FABPL protein")</f>
        <v>FABPL protein</v>
      </c>
      <c r="J485">
        <v>184.5</v>
      </c>
      <c r="K485" t="s">
        <v>25</v>
      </c>
      <c r="L485">
        <v>139</v>
      </c>
      <c r="M485">
        <v>50.68</v>
      </c>
      <c r="N485">
        <v>73.13</v>
      </c>
      <c r="O485" t="s">
        <v>20</v>
      </c>
      <c r="P485" t="s">
        <v>21</v>
      </c>
      <c r="Q485" t="s">
        <v>20</v>
      </c>
      <c r="R485" t="str">
        <f>HYPERLINK("https://cfpub.epa.gov/ecotox/explore.cfm?ncbi=2585812","Explore in ECOTOX")</f>
        <v>Explore in ECOTOX</v>
      </c>
    </row>
    <row r="486" spans="1:18" x14ac:dyDescent="0.25">
      <c r="A486">
        <v>6</v>
      </c>
      <c r="B486" t="str">
        <f>HYPERLINK("http://www.ncbi.nlm.nih.gov/protein/NWY37338.1","NWY37338.1")</f>
        <v>NWY37338.1</v>
      </c>
      <c r="C486">
        <v>13444</v>
      </c>
      <c r="D486" t="str">
        <f>HYPERLINK("http://www.ncbi.nlm.nih.gov/Taxonomy/Browser/wwwtax.cgi?mode=Info&amp;id=48155&amp;lvl=3&amp;lin=f&amp;keep=1&amp;srchmode=1&amp;unlock","48155")</f>
        <v>48155</v>
      </c>
      <c r="E486" t="s">
        <v>167</v>
      </c>
      <c r="F486" t="s">
        <v>167</v>
      </c>
      <c r="G486" t="str">
        <f>HYPERLINK("http://www.ncbi.nlm.nih.gov/Taxonomy/Browser/wwwtax.cgi?mode=Info&amp;id=48155&amp;lvl=3&amp;lin=f&amp;keep=1&amp;srchmode=1&amp;unlock","Sylvia atricapilla")</f>
        <v>Sylvia atricapilla</v>
      </c>
      <c r="H486" t="s">
        <v>459</v>
      </c>
      <c r="I486" t="str">
        <f>HYPERLINK("http://www.ncbi.nlm.nih.gov/protein/NWY37338.1","FABPL protein")</f>
        <v>FABPL protein</v>
      </c>
      <c r="J486">
        <v>184.11</v>
      </c>
      <c r="K486" t="s">
        <v>25</v>
      </c>
      <c r="L486">
        <v>139</v>
      </c>
      <c r="M486">
        <v>50.68</v>
      </c>
      <c r="N486">
        <v>72.98</v>
      </c>
      <c r="O486" t="s">
        <v>20</v>
      </c>
      <c r="P486" t="s">
        <v>21</v>
      </c>
      <c r="Q486" t="s">
        <v>20</v>
      </c>
      <c r="R486" t="str">
        <f>HYPERLINK("https://cfpub.epa.gov/ecotox/explore.cfm?ncbi=48155","Explore in ECOTOX")</f>
        <v>Explore in ECOTOX</v>
      </c>
    </row>
    <row r="487" spans="1:18" x14ac:dyDescent="0.25">
      <c r="A487">
        <v>6</v>
      </c>
      <c r="B487" t="str">
        <f>HYPERLINK("http://www.ncbi.nlm.nih.gov/protein/NXC99862.1","NXC99862.1")</f>
        <v>NXC99862.1</v>
      </c>
      <c r="C487">
        <v>13258</v>
      </c>
      <c r="D487" t="str">
        <f>HYPERLINK("http://www.ncbi.nlm.nih.gov/Taxonomy/Browser/wwwtax.cgi?mode=Info&amp;id=73333&amp;lvl=3&amp;lin=f&amp;keep=1&amp;srchmode=1&amp;unlock","73333")</f>
        <v>73333</v>
      </c>
      <c r="E487" t="s">
        <v>167</v>
      </c>
      <c r="F487" t="s">
        <v>167</v>
      </c>
      <c r="G487" t="str">
        <f>HYPERLINK("http://www.ncbi.nlm.nih.gov/Taxonomy/Browser/wwwtax.cgi?mode=Info&amp;id=73333&amp;lvl=3&amp;lin=f&amp;keep=1&amp;srchmode=1&amp;unlock","Certhia familiaris")</f>
        <v>Certhia familiaris</v>
      </c>
      <c r="H487" t="s">
        <v>460</v>
      </c>
      <c r="I487" t="str">
        <f>HYPERLINK("http://www.ncbi.nlm.nih.gov/protein/NXC99862.1","FABPL protein")</f>
        <v>FABPL protein</v>
      </c>
      <c r="J487">
        <v>184.11</v>
      </c>
      <c r="K487" t="s">
        <v>25</v>
      </c>
      <c r="L487">
        <v>139</v>
      </c>
      <c r="M487">
        <v>50.68</v>
      </c>
      <c r="N487">
        <v>72.98</v>
      </c>
      <c r="O487" t="s">
        <v>20</v>
      </c>
      <c r="P487" t="s">
        <v>21</v>
      </c>
      <c r="Q487" t="s">
        <v>20</v>
      </c>
      <c r="R487" t="str">
        <f>HYPERLINK("https://cfpub.epa.gov/ecotox/explore.cfm?ncbi=73333","Explore in ECOTOX")</f>
        <v>Explore in ECOTOX</v>
      </c>
    </row>
    <row r="488" spans="1:18" x14ac:dyDescent="0.25">
      <c r="A488">
        <v>6</v>
      </c>
      <c r="B488" t="str">
        <f>HYPERLINK("http://www.ncbi.nlm.nih.gov/protein/RLW08993.1","RLW08993.1")</f>
        <v>RLW08993.1</v>
      </c>
      <c r="C488">
        <v>19082</v>
      </c>
      <c r="D488" t="str">
        <f>HYPERLINK("http://www.ncbi.nlm.nih.gov/Taxonomy/Browser/wwwtax.cgi?mode=Info&amp;id=44316&amp;lvl=3&amp;lin=f&amp;keep=1&amp;srchmode=1&amp;unlock","44316")</f>
        <v>44316</v>
      </c>
      <c r="E488" t="s">
        <v>167</v>
      </c>
      <c r="F488" t="s">
        <v>167</v>
      </c>
      <c r="G488" t="str">
        <f>HYPERLINK("http://www.ncbi.nlm.nih.gov/Taxonomy/Browser/wwwtax.cgi?mode=Info&amp;id=44316&amp;lvl=3&amp;lin=f&amp;keep=1&amp;srchmode=1&amp;unlock","Chloebia gouldiae")</f>
        <v>Chloebia gouldiae</v>
      </c>
      <c r="H488" t="s">
        <v>461</v>
      </c>
      <c r="I488" t="str">
        <f>HYPERLINK("http://www.ncbi.nlm.nih.gov/protein/RLW08993.1","hypothetical protein DV515_00003039")</f>
        <v>hypothetical protein DV515_00003039</v>
      </c>
      <c r="J488">
        <v>184.11</v>
      </c>
      <c r="K488" t="s">
        <v>25</v>
      </c>
      <c r="L488">
        <v>139</v>
      </c>
      <c r="M488">
        <v>50.68</v>
      </c>
      <c r="N488">
        <v>72.98</v>
      </c>
      <c r="O488" t="s">
        <v>20</v>
      </c>
      <c r="P488" t="s">
        <v>21</v>
      </c>
      <c r="Q488" t="s">
        <v>20</v>
      </c>
      <c r="R488" t="str">
        <f>HYPERLINK("https://cfpub.epa.gov/ecotox/explore.cfm?ncbi=44316","Explore in ECOTOX")</f>
        <v>Explore in ECOTOX</v>
      </c>
    </row>
    <row r="489" spans="1:18" x14ac:dyDescent="0.25">
      <c r="A489">
        <v>6</v>
      </c>
      <c r="B489" t="str">
        <f>HYPERLINK("http://www.ncbi.nlm.nih.gov/protein/NXR85476.1","NXR85476.1")</f>
        <v>NXR85476.1</v>
      </c>
      <c r="C489">
        <v>12418</v>
      </c>
      <c r="D489" t="str">
        <f>HYPERLINK("http://www.ncbi.nlm.nih.gov/Taxonomy/Browser/wwwtax.cgi?mode=Info&amp;id=589841&amp;lvl=3&amp;lin=f&amp;keep=1&amp;srchmode=1&amp;unlock","589841")</f>
        <v>589841</v>
      </c>
      <c r="E489" t="s">
        <v>167</v>
      </c>
      <c r="F489" t="s">
        <v>167</v>
      </c>
      <c r="G489" t="str">
        <f>HYPERLINK("http://www.ncbi.nlm.nih.gov/Taxonomy/Browser/wwwtax.cgi?mode=Info&amp;id=589841&amp;lvl=3&amp;lin=f&amp;keep=1&amp;srchmode=1&amp;unlock","Hypocryptadius cinnamomeus")</f>
        <v>Hypocryptadius cinnamomeus</v>
      </c>
      <c r="H489" t="s">
        <v>449</v>
      </c>
      <c r="I489" t="str">
        <f>HYPERLINK("http://www.ncbi.nlm.nih.gov/protein/NXR85476.1","FABPL protein")</f>
        <v>FABPL protein</v>
      </c>
      <c r="J489">
        <v>184.11</v>
      </c>
      <c r="K489" t="s">
        <v>25</v>
      </c>
      <c r="L489">
        <v>139</v>
      </c>
      <c r="M489">
        <v>50.68</v>
      </c>
      <c r="N489">
        <v>72.98</v>
      </c>
      <c r="O489" t="s">
        <v>20</v>
      </c>
      <c r="P489" t="s">
        <v>21</v>
      </c>
      <c r="Q489" t="s">
        <v>20</v>
      </c>
      <c r="R489" t="str">
        <f>HYPERLINK("https://cfpub.epa.gov/ecotox/explore.cfm?ncbi=589841","Explore in ECOTOX")</f>
        <v>Explore in ECOTOX</v>
      </c>
    </row>
    <row r="490" spans="1:18" x14ac:dyDescent="0.25">
      <c r="A490">
        <v>6</v>
      </c>
      <c r="B490" t="str">
        <f>HYPERLINK("http://www.ncbi.nlm.nih.gov/protein/XP_017690742.1","XP_017690742.1")</f>
        <v>XP_017690742.1</v>
      </c>
      <c r="C490">
        <v>36957</v>
      </c>
      <c r="D490" t="str">
        <f>HYPERLINK("http://www.ncbi.nlm.nih.gov/Taxonomy/Browser/wwwtax.cgi?mode=Info&amp;id=321398&amp;lvl=3&amp;lin=f&amp;keep=1&amp;srchmode=1&amp;unlock","321398")</f>
        <v>321398</v>
      </c>
      <c r="E490" t="s">
        <v>167</v>
      </c>
      <c r="F490" t="s">
        <v>167</v>
      </c>
      <c r="G490" t="str">
        <f>HYPERLINK("http://www.ncbi.nlm.nih.gov/Taxonomy/Browser/wwwtax.cgi?mode=Info&amp;id=321398&amp;lvl=3&amp;lin=f&amp;keep=1&amp;srchmode=1&amp;unlock","Lepidothrix coronata")</f>
        <v>Lepidothrix coronata</v>
      </c>
      <c r="H490" t="s">
        <v>462</v>
      </c>
      <c r="I490" t="str">
        <f>HYPERLINK("http://www.ncbi.nlm.nih.gov/protein/XP_017690742.1","PREDICTED: fatty acid-binding protein, liver")</f>
        <v>PREDICTED: fatty acid-binding protein, liver</v>
      </c>
      <c r="J490">
        <v>184.11</v>
      </c>
      <c r="K490" t="s">
        <v>20</v>
      </c>
      <c r="L490">
        <v>139</v>
      </c>
      <c r="M490">
        <v>50.68</v>
      </c>
      <c r="N490">
        <v>72.98</v>
      </c>
      <c r="O490" t="s">
        <v>20</v>
      </c>
      <c r="P490" t="s">
        <v>21</v>
      </c>
      <c r="Q490" t="s">
        <v>20</v>
      </c>
      <c r="R490" t="str">
        <f>HYPERLINK("https://cfpub.epa.gov/ecotox/explore.cfm?ncbi=321398","Explore in ECOTOX")</f>
        <v>Explore in ECOTOX</v>
      </c>
    </row>
    <row r="491" spans="1:18" x14ac:dyDescent="0.25">
      <c r="A491">
        <v>6</v>
      </c>
      <c r="B491" t="str">
        <f>HYPERLINK("http://www.ncbi.nlm.nih.gov/protein/NXL17438.1","NXL17438.1")</f>
        <v>NXL17438.1</v>
      </c>
      <c r="C491">
        <v>13919</v>
      </c>
      <c r="D491" t="str">
        <f>HYPERLINK("http://www.ncbi.nlm.nih.gov/Taxonomy/Browser/wwwtax.cgi?mode=Info&amp;id=298831&amp;lvl=3&amp;lin=f&amp;keep=1&amp;srchmode=1&amp;unlock","298831")</f>
        <v>298831</v>
      </c>
      <c r="E491" t="s">
        <v>167</v>
      </c>
      <c r="F491" t="s">
        <v>167</v>
      </c>
      <c r="G491" t="str">
        <f>HYPERLINK("http://www.ncbi.nlm.nih.gov/Taxonomy/Browser/wwwtax.cgi?mode=Info&amp;id=298831&amp;lvl=3&amp;lin=f&amp;keep=1&amp;srchmode=1&amp;unlock","Setophaga kirtlandii")</f>
        <v>Setophaga kirtlandii</v>
      </c>
      <c r="H491" t="s">
        <v>463</v>
      </c>
      <c r="I491" t="str">
        <f>HYPERLINK("http://www.ncbi.nlm.nih.gov/protein/NXL17438.1","FABPL protein")</f>
        <v>FABPL protein</v>
      </c>
      <c r="J491">
        <v>184.11</v>
      </c>
      <c r="K491" t="s">
        <v>25</v>
      </c>
      <c r="L491">
        <v>139</v>
      </c>
      <c r="M491">
        <v>50.68</v>
      </c>
      <c r="N491">
        <v>72.98</v>
      </c>
      <c r="O491" t="s">
        <v>20</v>
      </c>
      <c r="P491" t="s">
        <v>21</v>
      </c>
      <c r="Q491" t="s">
        <v>20</v>
      </c>
      <c r="R491" t="str">
        <f>HYPERLINK("https://cfpub.epa.gov/ecotox/explore.cfm?ncbi=298831","Explore in ECOTOX")</f>
        <v>Explore in ECOTOX</v>
      </c>
    </row>
    <row r="492" spans="1:18" x14ac:dyDescent="0.25">
      <c r="A492">
        <v>6</v>
      </c>
      <c r="B492" t="str">
        <f>HYPERLINK("http://www.ncbi.nlm.nih.gov/protein/NXB95450.1","NXB95450.1")</f>
        <v>NXB95450.1</v>
      </c>
      <c r="C492">
        <v>14691</v>
      </c>
      <c r="D492" t="str">
        <f>HYPERLINK("http://www.ncbi.nlm.nih.gov/Taxonomy/Browser/wwwtax.cgi?mode=Info&amp;id=81927&amp;lvl=3&amp;lin=f&amp;keep=1&amp;srchmode=1&amp;unlock","81927")</f>
        <v>81927</v>
      </c>
      <c r="E492" t="s">
        <v>167</v>
      </c>
      <c r="F492" t="s">
        <v>167</v>
      </c>
      <c r="G492" t="str">
        <f>HYPERLINK("http://www.ncbi.nlm.nih.gov/Taxonomy/Browser/wwwtax.cgi?mode=Info&amp;id=81927&amp;lvl=3&amp;lin=f&amp;keep=1&amp;srchmode=1&amp;unlock","Vidua chalybeata")</f>
        <v>Vidua chalybeata</v>
      </c>
      <c r="H492" t="s">
        <v>206</v>
      </c>
      <c r="I492" t="str">
        <f>HYPERLINK("http://www.ncbi.nlm.nih.gov/protein/NXB95450.1","FABPL protein")</f>
        <v>FABPL protein</v>
      </c>
      <c r="J492">
        <v>183.73</v>
      </c>
      <c r="K492" t="s">
        <v>25</v>
      </c>
      <c r="L492">
        <v>139</v>
      </c>
      <c r="M492">
        <v>50.68</v>
      </c>
      <c r="N492">
        <v>72.819999999999993</v>
      </c>
      <c r="O492" t="s">
        <v>20</v>
      </c>
      <c r="P492" t="s">
        <v>21</v>
      </c>
      <c r="Q492" t="s">
        <v>20</v>
      </c>
      <c r="R492" t="str">
        <f>HYPERLINK("https://cfpub.epa.gov/ecotox/explore.cfm?ncbi=81927","Explore in ECOTOX")</f>
        <v>Explore in ECOTOX</v>
      </c>
    </row>
    <row r="493" spans="1:18" x14ac:dyDescent="0.25">
      <c r="A493">
        <v>6</v>
      </c>
      <c r="B493" t="str">
        <f>HYPERLINK("http://www.ncbi.nlm.nih.gov/protein/NXR71563.1","NXR71563.1")</f>
        <v>NXR71563.1</v>
      </c>
      <c r="C493">
        <v>13978</v>
      </c>
      <c r="D493" t="str">
        <f>HYPERLINK("http://www.ncbi.nlm.nih.gov/Taxonomy/Browser/wwwtax.cgi?mode=Info&amp;id=182897&amp;lvl=3&amp;lin=f&amp;keep=1&amp;srchmode=1&amp;unlock","182897")</f>
        <v>182897</v>
      </c>
      <c r="E493" t="s">
        <v>167</v>
      </c>
      <c r="F493" t="s">
        <v>167</v>
      </c>
      <c r="G493" t="str">
        <f>HYPERLINK("http://www.ncbi.nlm.nih.gov/Taxonomy/Browser/wwwtax.cgi?mode=Info&amp;id=182897&amp;lvl=3&amp;lin=f&amp;keep=1&amp;srchmode=1&amp;unlock","Pycnonotus jocosus")</f>
        <v>Pycnonotus jocosus</v>
      </c>
      <c r="H493" t="s">
        <v>464</v>
      </c>
      <c r="I493" t="str">
        <f>HYPERLINK("http://www.ncbi.nlm.nih.gov/protein/NXR71563.1","FABPL protein")</f>
        <v>FABPL protein</v>
      </c>
      <c r="J493">
        <v>183.73</v>
      </c>
      <c r="K493" t="s">
        <v>25</v>
      </c>
      <c r="L493">
        <v>139</v>
      </c>
      <c r="M493">
        <v>50.68</v>
      </c>
      <c r="N493">
        <v>72.819999999999993</v>
      </c>
      <c r="O493" t="s">
        <v>20</v>
      </c>
      <c r="P493" t="s">
        <v>21</v>
      </c>
      <c r="Q493" t="s">
        <v>20</v>
      </c>
      <c r="R493" t="str">
        <f>HYPERLINK("https://cfpub.epa.gov/ecotox/explore.cfm?ncbi=182897","Explore in ECOTOX")</f>
        <v>Explore in ECOTOX</v>
      </c>
    </row>
    <row r="494" spans="1:18" x14ac:dyDescent="0.25">
      <c r="A494">
        <v>6</v>
      </c>
      <c r="B494" t="str">
        <f>HYPERLINK("http://www.ncbi.nlm.nih.gov/protein/NXQ07871.1","NXQ07871.1")</f>
        <v>NXQ07871.1</v>
      </c>
      <c r="C494">
        <v>13115</v>
      </c>
      <c r="D494" t="str">
        <f>HYPERLINK("http://www.ncbi.nlm.nih.gov/Taxonomy/Browser/wwwtax.cgi?mode=Info&amp;id=187451&amp;lvl=3&amp;lin=f&amp;keep=1&amp;srchmode=1&amp;unlock","187451")</f>
        <v>187451</v>
      </c>
      <c r="E494" t="s">
        <v>167</v>
      </c>
      <c r="F494" t="s">
        <v>167</v>
      </c>
      <c r="G494" t="str">
        <f>HYPERLINK("http://www.ncbi.nlm.nih.gov/Taxonomy/Browser/wwwtax.cgi?mode=Info&amp;id=187451&amp;lvl=3&amp;lin=f&amp;keep=1&amp;srchmode=1&amp;unlock","Vidua macroura")</f>
        <v>Vidua macroura</v>
      </c>
      <c r="H494" t="s">
        <v>206</v>
      </c>
      <c r="I494" t="str">
        <f>HYPERLINK("http://www.ncbi.nlm.nih.gov/protein/NXQ07871.1","FABPL protein")</f>
        <v>FABPL protein</v>
      </c>
      <c r="J494">
        <v>183.73</v>
      </c>
      <c r="K494" t="s">
        <v>25</v>
      </c>
      <c r="L494">
        <v>139</v>
      </c>
      <c r="M494">
        <v>50.68</v>
      </c>
      <c r="N494">
        <v>72.819999999999993</v>
      </c>
      <c r="O494" t="s">
        <v>20</v>
      </c>
      <c r="P494" t="s">
        <v>21</v>
      </c>
      <c r="Q494" t="s">
        <v>20</v>
      </c>
      <c r="R494" t="str">
        <f>HYPERLINK("https://cfpub.epa.gov/ecotox/explore.cfm?ncbi=187451","Explore in ECOTOX")</f>
        <v>Explore in ECOTOX</v>
      </c>
    </row>
    <row r="495" spans="1:18" x14ac:dyDescent="0.25">
      <c r="A495">
        <v>6</v>
      </c>
      <c r="B495" t="str">
        <f>HYPERLINK("http://www.ncbi.nlm.nih.gov/protein/XP_005490901.1","XP_005490901.1")</f>
        <v>XP_005490901.1</v>
      </c>
      <c r="C495">
        <v>26699</v>
      </c>
      <c r="D495" t="str">
        <f>HYPERLINK("http://www.ncbi.nlm.nih.gov/Taxonomy/Browser/wwwtax.cgi?mode=Info&amp;id=44394&amp;lvl=3&amp;lin=f&amp;keep=1&amp;srchmode=1&amp;unlock","44394")</f>
        <v>44394</v>
      </c>
      <c r="E495" t="s">
        <v>167</v>
      </c>
      <c r="F495" t="s">
        <v>167</v>
      </c>
      <c r="G495" t="str">
        <f>HYPERLINK("http://www.ncbi.nlm.nih.gov/Taxonomy/Browser/wwwtax.cgi?mode=Info&amp;id=44394&amp;lvl=3&amp;lin=f&amp;keep=1&amp;srchmode=1&amp;unlock","Zonotrichia albicollis")</f>
        <v>Zonotrichia albicollis</v>
      </c>
      <c r="H495" t="s">
        <v>465</v>
      </c>
      <c r="I495" t="str">
        <f>HYPERLINK("http://www.ncbi.nlm.nih.gov/protein/XP_005490901.1","fatty acid-binding protein, liver")</f>
        <v>fatty acid-binding protein, liver</v>
      </c>
      <c r="J495">
        <v>183.73</v>
      </c>
      <c r="K495" t="s">
        <v>25</v>
      </c>
      <c r="L495">
        <v>139</v>
      </c>
      <c r="M495">
        <v>50.68</v>
      </c>
      <c r="N495">
        <v>72.819999999999993</v>
      </c>
      <c r="O495" t="s">
        <v>20</v>
      </c>
      <c r="P495" t="s">
        <v>21</v>
      </c>
      <c r="Q495" t="s">
        <v>20</v>
      </c>
      <c r="R495" t="str">
        <f>HYPERLINK("https://cfpub.epa.gov/ecotox/explore.cfm?ncbi=44394","Explore in ECOTOX")</f>
        <v>Explore in ECOTOX</v>
      </c>
    </row>
    <row r="496" spans="1:18" x14ac:dyDescent="0.25">
      <c r="A496">
        <v>6</v>
      </c>
      <c r="B496" t="str">
        <f>HYPERLINK("http://www.ncbi.nlm.nih.gov/protein/NXM26489.1","NXM26489.1")</f>
        <v>NXM26489.1</v>
      </c>
      <c r="C496">
        <v>14068</v>
      </c>
      <c r="D496" t="str">
        <f>HYPERLINK("http://www.ncbi.nlm.nih.gov/Taxonomy/Browser/wwwtax.cgi?mode=Info&amp;id=114331&amp;lvl=3&amp;lin=f&amp;keep=1&amp;srchmode=1&amp;unlock","114331")</f>
        <v>114331</v>
      </c>
      <c r="E496" t="s">
        <v>167</v>
      </c>
      <c r="F496" t="s">
        <v>167</v>
      </c>
      <c r="G496" t="str">
        <f>HYPERLINK("http://www.ncbi.nlm.nih.gov/Taxonomy/Browser/wwwtax.cgi?mode=Info&amp;id=114331&amp;lvl=3&amp;lin=f&amp;keep=1&amp;srchmode=1&amp;unlock","Oxyruncus cristatus")</f>
        <v>Oxyruncus cristatus</v>
      </c>
      <c r="H496" t="s">
        <v>466</v>
      </c>
      <c r="I496" t="str">
        <f>HYPERLINK("http://www.ncbi.nlm.nih.gov/protein/NXM26489.1","FABPL protein")</f>
        <v>FABPL protein</v>
      </c>
      <c r="J496">
        <v>183.34</v>
      </c>
      <c r="K496" t="s">
        <v>25</v>
      </c>
      <c r="L496">
        <v>139</v>
      </c>
      <c r="M496">
        <v>50.68</v>
      </c>
      <c r="N496">
        <v>72.67</v>
      </c>
      <c r="O496" t="s">
        <v>20</v>
      </c>
      <c r="P496" t="s">
        <v>21</v>
      </c>
      <c r="Q496" t="s">
        <v>20</v>
      </c>
      <c r="R496" t="str">
        <f>HYPERLINK("https://cfpub.epa.gov/ecotox/explore.cfm?ncbi=114331","Explore in ECOTOX")</f>
        <v>Explore in ECOTOX</v>
      </c>
    </row>
    <row r="497" spans="1:18" x14ac:dyDescent="0.25">
      <c r="A497">
        <v>6</v>
      </c>
      <c r="B497" t="str">
        <f>HYPERLINK("http://www.ncbi.nlm.nih.gov/protein/NXR63866.1","NXR63866.1")</f>
        <v>NXR63866.1</v>
      </c>
      <c r="C497">
        <v>13653</v>
      </c>
      <c r="D497" t="str">
        <f>HYPERLINK("http://www.ncbi.nlm.nih.gov/Taxonomy/Browser/wwwtax.cgi?mode=Info&amp;id=2585818&amp;lvl=3&amp;lin=f&amp;keep=1&amp;srchmode=1&amp;unlock","2585818")</f>
        <v>2585818</v>
      </c>
      <c r="E497" t="s">
        <v>167</v>
      </c>
      <c r="F497" t="s">
        <v>167</v>
      </c>
      <c r="G497" t="str">
        <f>HYPERLINK("http://www.ncbi.nlm.nih.gov/Taxonomy/Browser/wwwtax.cgi?mode=Info&amp;id=2585818&amp;lvl=3&amp;lin=f&amp;keep=1&amp;srchmode=1&amp;unlock","Rhadina sibilatrix")</f>
        <v>Rhadina sibilatrix</v>
      </c>
      <c r="H497" t="s">
        <v>206</v>
      </c>
      <c r="I497" t="str">
        <f>HYPERLINK("http://www.ncbi.nlm.nih.gov/protein/NXR63866.1","FABPL protein")</f>
        <v>FABPL protein</v>
      </c>
      <c r="J497">
        <v>183.34</v>
      </c>
      <c r="K497" t="s">
        <v>25</v>
      </c>
      <c r="L497">
        <v>139</v>
      </c>
      <c r="M497">
        <v>50.68</v>
      </c>
      <c r="N497">
        <v>72.67</v>
      </c>
      <c r="O497" t="s">
        <v>20</v>
      </c>
      <c r="P497" t="s">
        <v>21</v>
      </c>
      <c r="Q497" t="s">
        <v>20</v>
      </c>
      <c r="R497" t="str">
        <f>HYPERLINK("https://cfpub.epa.gov/ecotox/explore.cfm?ncbi=2585818","Explore in ECOTOX")</f>
        <v>Explore in ECOTOX</v>
      </c>
    </row>
    <row r="498" spans="1:18" x14ac:dyDescent="0.25">
      <c r="A498">
        <v>6</v>
      </c>
      <c r="B498" t="str">
        <f>HYPERLINK("http://www.ncbi.nlm.nih.gov/protein/NWT74060.1","NWT74060.1")</f>
        <v>NWT74060.1</v>
      </c>
      <c r="C498">
        <v>13939</v>
      </c>
      <c r="D498" t="str">
        <f>HYPERLINK("http://www.ncbi.nlm.nih.gov/Taxonomy/Browser/wwwtax.cgi?mode=Info&amp;id=670356&amp;lvl=3&amp;lin=f&amp;keep=1&amp;srchmode=1&amp;unlock","670356")</f>
        <v>670356</v>
      </c>
      <c r="E498" t="s">
        <v>167</v>
      </c>
      <c r="F498" t="s">
        <v>167</v>
      </c>
      <c r="G498" t="str">
        <f>HYPERLINK("http://www.ncbi.nlm.nih.gov/Taxonomy/Browser/wwwtax.cgi?mode=Info&amp;id=670356&amp;lvl=3&amp;lin=f&amp;keep=1&amp;srchmode=1&amp;unlock","Prunella himalayana")</f>
        <v>Prunella himalayana</v>
      </c>
      <c r="H498" t="s">
        <v>467</v>
      </c>
      <c r="I498" t="str">
        <f>HYPERLINK("http://www.ncbi.nlm.nih.gov/protein/NWT74060.1","FABPL protein")</f>
        <v>FABPL protein</v>
      </c>
      <c r="J498">
        <v>182.96</v>
      </c>
      <c r="K498" t="s">
        <v>25</v>
      </c>
      <c r="L498">
        <v>139</v>
      </c>
      <c r="M498">
        <v>50.68</v>
      </c>
      <c r="N498">
        <v>72.52</v>
      </c>
      <c r="O498" t="s">
        <v>20</v>
      </c>
      <c r="P498" t="s">
        <v>21</v>
      </c>
      <c r="Q498" t="s">
        <v>20</v>
      </c>
      <c r="R498" t="str">
        <f>HYPERLINK("https://cfpub.epa.gov/ecotox/explore.cfm?ncbi=670356","Explore in ECOTOX")</f>
        <v>Explore in ECOTOX</v>
      </c>
    </row>
    <row r="499" spans="1:18" x14ac:dyDescent="0.25">
      <c r="A499">
        <v>6</v>
      </c>
      <c r="B499" t="str">
        <f>HYPERLINK("http://www.ncbi.nlm.nih.gov/protein/NP_001116883.1","NP_001116883.1")</f>
        <v>NP_001116883.1</v>
      </c>
      <c r="C499">
        <v>122938</v>
      </c>
      <c r="D499" t="str">
        <f>HYPERLINK("http://www.ncbi.nlm.nih.gov/Taxonomy/Browser/wwwtax.cgi?mode=Info&amp;id=8364&amp;lvl=3&amp;lin=f&amp;keep=1&amp;srchmode=1&amp;unlock","8364")</f>
        <v>8364</v>
      </c>
      <c r="E499" t="s">
        <v>134</v>
      </c>
      <c r="F499" t="s">
        <v>134</v>
      </c>
      <c r="G499" t="str">
        <f>HYPERLINK("http://www.ncbi.nlm.nih.gov/Taxonomy/Browser/wwwtax.cgi?mode=Info&amp;id=8364&amp;lvl=3&amp;lin=f&amp;keep=1&amp;srchmode=1&amp;unlock","Xenopus tropicalis")</f>
        <v>Xenopus tropicalis</v>
      </c>
      <c r="H499" t="s">
        <v>468</v>
      </c>
      <c r="I499" t="str">
        <f>HYPERLINK("http://www.ncbi.nlm.nih.gov/protein/NP_001116883.1","fatty acid-binding protein, liver")</f>
        <v>fatty acid-binding protein, liver</v>
      </c>
      <c r="J499">
        <v>182.96</v>
      </c>
      <c r="K499" t="s">
        <v>25</v>
      </c>
      <c r="L499">
        <v>139</v>
      </c>
      <c r="M499">
        <v>50.68</v>
      </c>
      <c r="N499">
        <v>72.52</v>
      </c>
      <c r="O499" t="s">
        <v>20</v>
      </c>
      <c r="P499" t="s">
        <v>21</v>
      </c>
      <c r="Q499" t="s">
        <v>20</v>
      </c>
      <c r="R499" t="str">
        <f>HYPERLINK("https://cfpub.epa.gov/ecotox/explore.cfm?ncbi=8364","Explore in ECOTOX")</f>
        <v>Explore in ECOTOX</v>
      </c>
    </row>
    <row r="500" spans="1:18" x14ac:dyDescent="0.25">
      <c r="A500">
        <v>6</v>
      </c>
      <c r="B500" t="str">
        <f>HYPERLINK("http://www.ncbi.nlm.nih.gov/protein/NXT11343.1","NXT11343.1")</f>
        <v>NXT11343.1</v>
      </c>
      <c r="C500">
        <v>13423</v>
      </c>
      <c r="D500" t="str">
        <f>HYPERLINK("http://www.ncbi.nlm.nih.gov/Taxonomy/Browser/wwwtax.cgi?mode=Info&amp;id=670355&amp;lvl=3&amp;lin=f&amp;keep=1&amp;srchmode=1&amp;unlock","670355")</f>
        <v>670355</v>
      </c>
      <c r="E500" t="s">
        <v>167</v>
      </c>
      <c r="F500" t="s">
        <v>167</v>
      </c>
      <c r="G500" t="str">
        <f>HYPERLINK("http://www.ncbi.nlm.nih.gov/Taxonomy/Browser/wwwtax.cgi?mode=Info&amp;id=670355&amp;lvl=3&amp;lin=f&amp;keep=1&amp;srchmode=1&amp;unlock","Prunella fulvescens")</f>
        <v>Prunella fulvescens</v>
      </c>
      <c r="H500" t="s">
        <v>469</v>
      </c>
      <c r="I500" t="str">
        <f>HYPERLINK("http://www.ncbi.nlm.nih.gov/protein/NXT11343.1","FABPL protein")</f>
        <v>FABPL protein</v>
      </c>
      <c r="J500">
        <v>182.96</v>
      </c>
      <c r="K500" t="s">
        <v>25</v>
      </c>
      <c r="L500">
        <v>139</v>
      </c>
      <c r="M500">
        <v>50.68</v>
      </c>
      <c r="N500">
        <v>72.52</v>
      </c>
      <c r="O500" t="s">
        <v>20</v>
      </c>
      <c r="P500" t="s">
        <v>21</v>
      </c>
      <c r="Q500" t="s">
        <v>20</v>
      </c>
      <c r="R500" t="str">
        <f>HYPERLINK("https://cfpub.epa.gov/ecotox/explore.cfm?ncbi=670355","Explore in ECOTOX")</f>
        <v>Explore in ECOTOX</v>
      </c>
    </row>
    <row r="501" spans="1:18" x14ac:dyDescent="0.25">
      <c r="A501">
        <v>6</v>
      </c>
      <c r="B501" t="str">
        <f>HYPERLINK("http://www.ncbi.nlm.nih.gov/protein/NWT54155.1","NWT54155.1")</f>
        <v>NWT54155.1</v>
      </c>
      <c r="C501">
        <v>14073</v>
      </c>
      <c r="D501" t="str">
        <f>HYPERLINK("http://www.ncbi.nlm.nih.gov/Taxonomy/Browser/wwwtax.cgi?mode=Info&amp;id=107208&amp;lvl=3&amp;lin=f&amp;keep=1&amp;srchmode=1&amp;unlock","107208")</f>
        <v>107208</v>
      </c>
      <c r="E501" t="s">
        <v>167</v>
      </c>
      <c r="F501" t="s">
        <v>167</v>
      </c>
      <c r="G501" t="str">
        <f>HYPERLINK("http://www.ncbi.nlm.nih.gov/Taxonomy/Browser/wwwtax.cgi?mode=Info&amp;id=107208&amp;lvl=3&amp;lin=f&amp;keep=1&amp;srchmode=1&amp;unlock","Erythrocercus mccallii")</f>
        <v>Erythrocercus mccallii</v>
      </c>
      <c r="H501" t="s">
        <v>206</v>
      </c>
      <c r="I501" t="str">
        <f>HYPERLINK("http://www.ncbi.nlm.nih.gov/protein/NWT54155.1","FABPL protein")</f>
        <v>FABPL protein</v>
      </c>
      <c r="J501">
        <v>182.96</v>
      </c>
      <c r="K501" t="s">
        <v>25</v>
      </c>
      <c r="L501">
        <v>139</v>
      </c>
      <c r="M501">
        <v>50.68</v>
      </c>
      <c r="N501">
        <v>72.52</v>
      </c>
      <c r="O501" t="s">
        <v>20</v>
      </c>
      <c r="P501" t="s">
        <v>21</v>
      </c>
      <c r="Q501" t="s">
        <v>20</v>
      </c>
      <c r="R501" t="str">
        <f>HYPERLINK("https://cfpub.epa.gov/ecotox/explore.cfm?ncbi=107208","Explore in ECOTOX")</f>
        <v>Explore in ECOTOX</v>
      </c>
    </row>
    <row r="502" spans="1:18" x14ac:dyDescent="0.25">
      <c r="A502">
        <v>6</v>
      </c>
      <c r="B502" t="str">
        <f>HYPERLINK("http://www.ncbi.nlm.nih.gov/protein/NWZ42434.1","NWZ42434.1")</f>
        <v>NWZ42434.1</v>
      </c>
      <c r="C502">
        <v>12884</v>
      </c>
      <c r="D502" t="str">
        <f>HYPERLINK("http://www.ncbi.nlm.nih.gov/Taxonomy/Browser/wwwtax.cgi?mode=Info&amp;id=182895&amp;lvl=3&amp;lin=f&amp;keep=1&amp;srchmode=1&amp;unlock","182895")</f>
        <v>182895</v>
      </c>
      <c r="E502" t="s">
        <v>167</v>
      </c>
      <c r="F502" t="s">
        <v>167</v>
      </c>
      <c r="G502" t="str">
        <f>HYPERLINK("http://www.ncbi.nlm.nih.gov/Taxonomy/Browser/wwwtax.cgi?mode=Info&amp;id=182895&amp;lvl=3&amp;lin=f&amp;keep=1&amp;srchmode=1&amp;unlock","Brachypodius atriceps")</f>
        <v>Brachypodius atriceps</v>
      </c>
      <c r="H502" t="s">
        <v>470</v>
      </c>
      <c r="I502" t="str">
        <f>HYPERLINK("http://www.ncbi.nlm.nih.gov/protein/NWZ42434.1","FABPL protein")</f>
        <v>FABPL protein</v>
      </c>
      <c r="J502">
        <v>182.96</v>
      </c>
      <c r="K502" t="s">
        <v>25</v>
      </c>
      <c r="L502">
        <v>139</v>
      </c>
      <c r="M502">
        <v>50.68</v>
      </c>
      <c r="N502">
        <v>72.52</v>
      </c>
      <c r="O502" t="s">
        <v>20</v>
      </c>
      <c r="P502" t="s">
        <v>21</v>
      </c>
      <c r="Q502" t="s">
        <v>20</v>
      </c>
      <c r="R502" t="str">
        <f>HYPERLINK("https://cfpub.epa.gov/ecotox/explore.cfm?ncbi=182895","Explore in ECOTOX")</f>
        <v>Explore in ECOTOX</v>
      </c>
    </row>
    <row r="503" spans="1:18" x14ac:dyDescent="0.25">
      <c r="A503">
        <v>6</v>
      </c>
      <c r="B503" t="str">
        <f>HYPERLINK("http://www.ncbi.nlm.nih.gov/protein/NXU64553.1","NXU64553.1")</f>
        <v>NXU64553.1</v>
      </c>
      <c r="C503">
        <v>9908</v>
      </c>
      <c r="D503" t="str">
        <f>HYPERLINK("http://www.ncbi.nlm.nih.gov/Taxonomy/Browser/wwwtax.cgi?mode=Info&amp;id=2585811&amp;lvl=3&amp;lin=f&amp;keep=1&amp;srchmode=1&amp;unlock","2585811")</f>
        <v>2585811</v>
      </c>
      <c r="E503" t="s">
        <v>167</v>
      </c>
      <c r="F503" t="s">
        <v>167</v>
      </c>
      <c r="G503" t="str">
        <f>HYPERLINK("http://www.ncbi.nlm.nih.gov/Taxonomy/Browser/wwwtax.cgi?mode=Info&amp;id=2585811&amp;lvl=3&amp;lin=f&amp;keep=1&amp;srchmode=1&amp;unlock","Horornis vulcanius")</f>
        <v>Horornis vulcanius</v>
      </c>
      <c r="H503" t="s">
        <v>206</v>
      </c>
      <c r="I503" t="str">
        <f>HYPERLINK("http://www.ncbi.nlm.nih.gov/protein/NXU64553.1","FABPL protein")</f>
        <v>FABPL protein</v>
      </c>
      <c r="J503">
        <v>182.57</v>
      </c>
      <c r="K503" t="s">
        <v>25</v>
      </c>
      <c r="L503">
        <v>139</v>
      </c>
      <c r="M503">
        <v>50.68</v>
      </c>
      <c r="N503">
        <v>72.36</v>
      </c>
      <c r="O503" t="s">
        <v>20</v>
      </c>
      <c r="P503" t="s">
        <v>21</v>
      </c>
      <c r="Q503" t="s">
        <v>20</v>
      </c>
      <c r="R503" t="str">
        <f>HYPERLINK("https://cfpub.epa.gov/ecotox/explore.cfm?ncbi=2585811","Explore in ECOTOX")</f>
        <v>Explore in ECOTOX</v>
      </c>
    </row>
    <row r="504" spans="1:18" x14ac:dyDescent="0.25">
      <c r="A504">
        <v>6</v>
      </c>
      <c r="B504" t="str">
        <f>HYPERLINK("http://www.ncbi.nlm.nih.gov/protein/NXP01548.1","NXP01548.1")</f>
        <v>NXP01548.1</v>
      </c>
      <c r="C504">
        <v>13923</v>
      </c>
      <c r="D504" t="str">
        <f>HYPERLINK("http://www.ncbi.nlm.nih.gov/Taxonomy/Browser/wwwtax.cgi?mode=Info&amp;id=73330&amp;lvl=3&amp;lin=f&amp;keep=1&amp;srchmode=1&amp;unlock","73330")</f>
        <v>73330</v>
      </c>
      <c r="E504" t="s">
        <v>167</v>
      </c>
      <c r="F504" t="s">
        <v>167</v>
      </c>
      <c r="G504" t="str">
        <f>HYPERLINK("http://www.ncbi.nlm.nih.gov/Taxonomy/Browser/wwwtax.cgi?mode=Info&amp;id=73330&amp;lvl=3&amp;lin=f&amp;keep=1&amp;srchmode=1&amp;unlock","Certhia brachydactyla")</f>
        <v>Certhia brachydactyla</v>
      </c>
      <c r="H504" t="s">
        <v>471</v>
      </c>
      <c r="I504" t="str">
        <f>HYPERLINK("http://www.ncbi.nlm.nih.gov/protein/NXP01548.1","FABPL protein")</f>
        <v>FABPL protein</v>
      </c>
      <c r="J504">
        <v>182.57</v>
      </c>
      <c r="K504" t="s">
        <v>25</v>
      </c>
      <c r="L504">
        <v>139</v>
      </c>
      <c r="M504">
        <v>50.68</v>
      </c>
      <c r="N504">
        <v>72.36</v>
      </c>
      <c r="O504" t="s">
        <v>20</v>
      </c>
      <c r="P504" t="s">
        <v>21</v>
      </c>
      <c r="Q504" t="s">
        <v>20</v>
      </c>
      <c r="R504" t="str">
        <f>HYPERLINK("https://cfpub.epa.gov/ecotox/explore.cfm?ncbi=73330","Explore in ECOTOX")</f>
        <v>Explore in ECOTOX</v>
      </c>
    </row>
    <row r="505" spans="1:18" x14ac:dyDescent="0.25">
      <c r="A505">
        <v>6</v>
      </c>
      <c r="B505" t="str">
        <f>HYPERLINK("http://www.ncbi.nlm.nih.gov/protein/XP_020836189.1","XP_020836189.1")</f>
        <v>XP_020836189.1</v>
      </c>
      <c r="C505">
        <v>47290</v>
      </c>
      <c r="D505" t="str">
        <f>HYPERLINK("http://www.ncbi.nlm.nih.gov/Taxonomy/Browser/wwwtax.cgi?mode=Info&amp;id=38626&amp;lvl=3&amp;lin=f&amp;keep=1&amp;srchmode=1&amp;unlock","38626")</f>
        <v>38626</v>
      </c>
      <c r="E505" t="s">
        <v>18</v>
      </c>
      <c r="F505" t="s">
        <v>18</v>
      </c>
      <c r="G505" t="str">
        <f>HYPERLINK("http://www.ncbi.nlm.nih.gov/Taxonomy/Browser/wwwtax.cgi?mode=Info&amp;id=38626&amp;lvl=3&amp;lin=f&amp;keep=1&amp;srchmode=1&amp;unlock","Phascolarctos cinereus")</f>
        <v>Phascolarctos cinereus</v>
      </c>
      <c r="H505" t="s">
        <v>472</v>
      </c>
      <c r="I505" t="str">
        <f>HYPERLINK("http://www.ncbi.nlm.nih.gov/protein/XP_020836189.1","fatty acid-binding protein, liver-like")</f>
        <v>fatty acid-binding protein, liver-like</v>
      </c>
      <c r="J505">
        <v>182.57</v>
      </c>
      <c r="K505" t="s">
        <v>25</v>
      </c>
      <c r="L505">
        <v>139</v>
      </c>
      <c r="M505">
        <v>50.68</v>
      </c>
      <c r="N505">
        <v>72.36</v>
      </c>
      <c r="O505" t="s">
        <v>20</v>
      </c>
      <c r="P505" t="s">
        <v>21</v>
      </c>
      <c r="Q505" t="s">
        <v>20</v>
      </c>
      <c r="R505" t="str">
        <f>HYPERLINK("https://cfpub.epa.gov/ecotox/explore.cfm?ncbi=38626","Explore in ECOTOX")</f>
        <v>Explore in ECOTOX</v>
      </c>
    </row>
    <row r="506" spans="1:18" x14ac:dyDescent="0.25">
      <c r="A506">
        <v>6</v>
      </c>
      <c r="B506" t="str">
        <f>HYPERLINK("http://www.ncbi.nlm.nih.gov/protein/XP_018081038.1","XP_018081038.1")</f>
        <v>XP_018081038.1</v>
      </c>
      <c r="C506">
        <v>129058</v>
      </c>
      <c r="D506" t="str">
        <f>HYPERLINK("http://www.ncbi.nlm.nih.gov/Taxonomy/Browser/wwwtax.cgi?mode=Info&amp;id=8355&amp;lvl=3&amp;lin=f&amp;keep=1&amp;srchmode=1&amp;unlock","8355")</f>
        <v>8355</v>
      </c>
      <c r="E506" t="s">
        <v>134</v>
      </c>
      <c r="F506" t="s">
        <v>134</v>
      </c>
      <c r="G506" t="str">
        <f>HYPERLINK("http://www.ncbi.nlm.nih.gov/Taxonomy/Browser/wwwtax.cgi?mode=Info&amp;id=8355&amp;lvl=3&amp;lin=f&amp;keep=1&amp;srchmode=1&amp;unlock","Xenopus laevis")</f>
        <v>Xenopus laevis</v>
      </c>
      <c r="H506" t="s">
        <v>473</v>
      </c>
      <c r="I506" t="str">
        <f>HYPERLINK("http://www.ncbi.nlm.nih.gov/protein/XP_018081038.1","PREDICTED: fatty acid-binding protein 1, liver-like")</f>
        <v>PREDICTED: fatty acid-binding protein 1, liver-like</v>
      </c>
      <c r="J506">
        <v>182.57</v>
      </c>
      <c r="K506" t="s">
        <v>25</v>
      </c>
      <c r="L506">
        <v>139</v>
      </c>
      <c r="M506">
        <v>50.68</v>
      </c>
      <c r="N506">
        <v>72.36</v>
      </c>
      <c r="O506" t="s">
        <v>20</v>
      </c>
      <c r="P506" t="s">
        <v>21</v>
      </c>
      <c r="Q506" t="s">
        <v>20</v>
      </c>
      <c r="R506" t="str">
        <f>HYPERLINK("https://cfpub.epa.gov/ecotox/explore.cfm?ncbi=8355","Explore in ECOTOX")</f>
        <v>Explore in ECOTOX</v>
      </c>
    </row>
    <row r="507" spans="1:18" x14ac:dyDescent="0.25">
      <c r="A507">
        <v>6</v>
      </c>
      <c r="B507" t="str">
        <f>HYPERLINK("http://www.ncbi.nlm.nih.gov/protein/XP_003222417.1","XP_003222417.1")</f>
        <v>XP_003222417.1</v>
      </c>
      <c r="C507">
        <v>35704</v>
      </c>
      <c r="D507" t="str">
        <f>HYPERLINK("http://www.ncbi.nlm.nih.gov/Taxonomy/Browser/wwwtax.cgi?mode=Info&amp;id=28377&amp;lvl=3&amp;lin=f&amp;keep=1&amp;srchmode=1&amp;unlock","28377")</f>
        <v>28377</v>
      </c>
      <c r="E507" t="s">
        <v>236</v>
      </c>
      <c r="F507" t="s">
        <v>236</v>
      </c>
      <c r="G507" t="str">
        <f>HYPERLINK("http://www.ncbi.nlm.nih.gov/Taxonomy/Browser/wwwtax.cgi?mode=Info&amp;id=28377&amp;lvl=3&amp;lin=f&amp;keep=1&amp;srchmode=1&amp;unlock","Anolis carolinensis")</f>
        <v>Anolis carolinensis</v>
      </c>
      <c r="H507" t="s">
        <v>474</v>
      </c>
      <c r="I507" t="str">
        <f>HYPERLINK("http://www.ncbi.nlm.nih.gov/protein/XP_003222417.1","PREDICTED: fatty acid-binding protein, liver")</f>
        <v>PREDICTED: fatty acid-binding protein, liver</v>
      </c>
      <c r="J507">
        <v>181.41</v>
      </c>
      <c r="K507" t="s">
        <v>25</v>
      </c>
      <c r="L507">
        <v>139</v>
      </c>
      <c r="M507">
        <v>50.68</v>
      </c>
      <c r="N507">
        <v>71.91</v>
      </c>
      <c r="O507" t="s">
        <v>20</v>
      </c>
      <c r="P507" t="s">
        <v>21</v>
      </c>
      <c r="Q507" t="s">
        <v>20</v>
      </c>
      <c r="R507" t="str">
        <f>HYPERLINK("https://cfpub.epa.gov/ecotox/explore.cfm?ncbi=28377","Explore in ECOTOX")</f>
        <v>Explore in ECOTOX</v>
      </c>
    </row>
    <row r="508" spans="1:18" x14ac:dyDescent="0.25">
      <c r="A508">
        <v>6</v>
      </c>
      <c r="B508" t="str">
        <f>HYPERLINK("http://www.ncbi.nlm.nih.gov/protein/NXP63778.1","NXP63778.1")</f>
        <v>NXP63778.1</v>
      </c>
      <c r="C508">
        <v>12587</v>
      </c>
      <c r="D508" t="str">
        <f>HYPERLINK("http://www.ncbi.nlm.nih.gov/Taxonomy/Browser/wwwtax.cgi?mode=Info&amp;id=1218682&amp;lvl=3&amp;lin=f&amp;keep=1&amp;srchmode=1&amp;unlock","1218682")</f>
        <v>1218682</v>
      </c>
      <c r="E508" t="s">
        <v>167</v>
      </c>
      <c r="F508" t="s">
        <v>167</v>
      </c>
      <c r="G508" t="str">
        <f>HYPERLINK("http://www.ncbi.nlm.nih.gov/Taxonomy/Browser/wwwtax.cgi?mode=Info&amp;id=1218682&amp;lvl=3&amp;lin=f&amp;keep=1&amp;srchmode=1&amp;unlock","Chloropsis cyanopogon")</f>
        <v>Chloropsis cyanopogon</v>
      </c>
      <c r="H508" t="s">
        <v>206</v>
      </c>
      <c r="I508" t="str">
        <f>HYPERLINK("http://www.ncbi.nlm.nih.gov/protein/NXP63778.1","FABPL protein")</f>
        <v>FABPL protein</v>
      </c>
      <c r="J508">
        <v>181.41</v>
      </c>
      <c r="K508" t="s">
        <v>25</v>
      </c>
      <c r="L508">
        <v>139</v>
      </c>
      <c r="M508">
        <v>50.68</v>
      </c>
      <c r="N508">
        <v>71.91</v>
      </c>
      <c r="O508" t="s">
        <v>20</v>
      </c>
      <c r="P508" t="s">
        <v>21</v>
      </c>
      <c r="Q508" t="s">
        <v>20</v>
      </c>
      <c r="R508" t="str">
        <f>HYPERLINK("https://cfpub.epa.gov/ecotox/explore.cfm?ncbi=1218682","Explore in ECOTOX")</f>
        <v>Explore in ECOTOX</v>
      </c>
    </row>
    <row r="509" spans="1:18" x14ac:dyDescent="0.25">
      <c r="A509">
        <v>6</v>
      </c>
      <c r="B509" t="str">
        <f>HYPERLINK("http://www.ncbi.nlm.nih.gov/protein/TEA40845.1","TEA40845.1")</f>
        <v>TEA40845.1</v>
      </c>
      <c r="C509">
        <v>19921</v>
      </c>
      <c r="D509" t="str">
        <f>HYPERLINK("http://www.ncbi.nlm.nih.gov/Taxonomy/Browser/wwwtax.cgi?mode=Info&amp;id=103600&amp;lvl=3&amp;lin=f&amp;keep=1&amp;srchmode=1&amp;unlock","103600")</f>
        <v>103600</v>
      </c>
      <c r="E509" t="s">
        <v>18</v>
      </c>
      <c r="F509" t="s">
        <v>18</v>
      </c>
      <c r="G509" t="str">
        <f>HYPERLINK("http://www.ncbi.nlm.nih.gov/Taxonomy/Browser/wwwtax.cgi?mode=Info&amp;id=103600&amp;lvl=3&amp;lin=f&amp;keep=1&amp;srchmode=1&amp;unlock","Sousa chinensis")</f>
        <v>Sousa chinensis</v>
      </c>
      <c r="H509" t="s">
        <v>475</v>
      </c>
      <c r="I509" t="str">
        <f>HYPERLINK("http://www.ncbi.nlm.nih.gov/protein/TEA40845.1","hypothetical protein DBR06_SOUSAS19710057, partial")</f>
        <v>hypothetical protein DBR06_SOUSAS19710057, partial</v>
      </c>
      <c r="J509">
        <v>181.41</v>
      </c>
      <c r="K509" t="s">
        <v>20</v>
      </c>
      <c r="L509">
        <v>139</v>
      </c>
      <c r="M509">
        <v>50.68</v>
      </c>
      <c r="N509">
        <v>71.91</v>
      </c>
      <c r="O509" t="s">
        <v>20</v>
      </c>
      <c r="P509" t="s">
        <v>21</v>
      </c>
      <c r="Q509" t="s">
        <v>20</v>
      </c>
      <c r="R509" t="str">
        <f>HYPERLINK("https://cfpub.epa.gov/ecotox/explore.cfm?ncbi=103600","Explore in ECOTOX")</f>
        <v>Explore in ECOTOX</v>
      </c>
    </row>
    <row r="510" spans="1:18" x14ac:dyDescent="0.25">
      <c r="A510">
        <v>6</v>
      </c>
      <c r="B510" t="str">
        <f>HYPERLINK("http://www.ncbi.nlm.nih.gov/protein/NWH84766.1","NWH84766.1")</f>
        <v>NWH84766.1</v>
      </c>
      <c r="C510">
        <v>13453</v>
      </c>
      <c r="D510" t="str">
        <f>HYPERLINK("http://www.ncbi.nlm.nih.gov/Taxonomy/Browser/wwwtax.cgi?mode=Info&amp;id=73327&amp;lvl=3&amp;lin=f&amp;keep=1&amp;srchmode=1&amp;unlock","73327")</f>
        <v>73327</v>
      </c>
      <c r="E510" t="s">
        <v>167</v>
      </c>
      <c r="F510" t="s">
        <v>167</v>
      </c>
      <c r="G510" t="str">
        <f>HYPERLINK("http://www.ncbi.nlm.nih.gov/Taxonomy/Browser/wwwtax.cgi?mode=Info&amp;id=73327&amp;lvl=3&amp;lin=f&amp;keep=1&amp;srchmode=1&amp;unlock","Aegithalos caudatus")</f>
        <v>Aegithalos caudatus</v>
      </c>
      <c r="H510" t="s">
        <v>476</v>
      </c>
      <c r="I510" t="str">
        <f>HYPERLINK("http://www.ncbi.nlm.nih.gov/protein/NWH84766.1","FABPL protein")</f>
        <v>FABPL protein</v>
      </c>
      <c r="J510">
        <v>181.41</v>
      </c>
      <c r="K510" t="s">
        <v>25</v>
      </c>
      <c r="L510">
        <v>139</v>
      </c>
      <c r="M510">
        <v>50.68</v>
      </c>
      <c r="N510">
        <v>71.91</v>
      </c>
      <c r="O510" t="s">
        <v>20</v>
      </c>
      <c r="P510" t="s">
        <v>21</v>
      </c>
      <c r="Q510" t="s">
        <v>20</v>
      </c>
      <c r="R510" t="str">
        <f>HYPERLINK("https://cfpub.epa.gov/ecotox/explore.cfm?ncbi=73327","Explore in ECOTOX")</f>
        <v>Explore in ECOTOX</v>
      </c>
    </row>
    <row r="511" spans="1:18" x14ac:dyDescent="0.25">
      <c r="A511">
        <v>6</v>
      </c>
      <c r="B511" t="str">
        <f>HYPERLINK("http://www.ncbi.nlm.nih.gov/protein/XP_009096822.1","XP_009096822.1")</f>
        <v>XP_009096822.1</v>
      </c>
      <c r="C511">
        <v>30512</v>
      </c>
      <c r="D511" t="str">
        <f>HYPERLINK("http://www.ncbi.nlm.nih.gov/Taxonomy/Browser/wwwtax.cgi?mode=Info&amp;id=9135&amp;lvl=3&amp;lin=f&amp;keep=1&amp;srchmode=1&amp;unlock","9135")</f>
        <v>9135</v>
      </c>
      <c r="E511" t="s">
        <v>167</v>
      </c>
      <c r="F511" t="s">
        <v>167</v>
      </c>
      <c r="G511" t="str">
        <f>HYPERLINK("http://www.ncbi.nlm.nih.gov/Taxonomy/Browser/wwwtax.cgi?mode=Info&amp;id=9135&amp;lvl=3&amp;lin=f&amp;keep=1&amp;srchmode=1&amp;unlock","Serinus canaria")</f>
        <v>Serinus canaria</v>
      </c>
      <c r="H511" t="s">
        <v>477</v>
      </c>
      <c r="I511" t="str">
        <f>HYPERLINK("http://www.ncbi.nlm.nih.gov/protein/XP_009096822.1","fatty acid-binding protein, liver")</f>
        <v>fatty acid-binding protein, liver</v>
      </c>
      <c r="J511">
        <v>181.41</v>
      </c>
      <c r="K511" t="s">
        <v>25</v>
      </c>
      <c r="L511">
        <v>139</v>
      </c>
      <c r="M511">
        <v>50.68</v>
      </c>
      <c r="N511">
        <v>71.91</v>
      </c>
      <c r="O511" t="s">
        <v>20</v>
      </c>
      <c r="P511" t="s">
        <v>21</v>
      </c>
      <c r="Q511" t="s">
        <v>20</v>
      </c>
      <c r="R511" t="str">
        <f>HYPERLINK("https://cfpub.epa.gov/ecotox/explore.cfm?ncbi=9135","Explore in ECOTOX")</f>
        <v>Explore in ECOTOX</v>
      </c>
    </row>
    <row r="512" spans="1:18" x14ac:dyDescent="0.25">
      <c r="A512">
        <v>6</v>
      </c>
      <c r="B512" t="str">
        <f>HYPERLINK("http://www.ncbi.nlm.nih.gov/protein/XP_027578629.2","XP_027578629.2")</f>
        <v>XP_027578629.2</v>
      </c>
      <c r="C512">
        <v>35867</v>
      </c>
      <c r="D512" t="str">
        <f>HYPERLINK("http://www.ncbi.nlm.nih.gov/Taxonomy/Browser/wwwtax.cgi?mode=Info&amp;id=649802&amp;lvl=3&amp;lin=f&amp;keep=1&amp;srchmode=1&amp;unlock","649802")</f>
        <v>649802</v>
      </c>
      <c r="E512" t="s">
        <v>167</v>
      </c>
      <c r="F512" t="s">
        <v>167</v>
      </c>
      <c r="G512" t="str">
        <f>HYPERLINK("http://www.ncbi.nlm.nih.gov/Taxonomy/Browser/wwwtax.cgi?mode=Info&amp;id=649802&amp;lvl=3&amp;lin=f&amp;keep=1&amp;srchmode=1&amp;unlock","Pipra filicauda")</f>
        <v>Pipra filicauda</v>
      </c>
      <c r="H512" t="s">
        <v>478</v>
      </c>
      <c r="I512" t="str">
        <f>HYPERLINK("http://www.ncbi.nlm.nih.gov/protein/XP_027578629.2","fatty acid-binding protein, liver")</f>
        <v>fatty acid-binding protein, liver</v>
      </c>
      <c r="J512">
        <v>181.41</v>
      </c>
      <c r="K512" t="s">
        <v>25</v>
      </c>
      <c r="L512">
        <v>139</v>
      </c>
      <c r="M512">
        <v>50.68</v>
      </c>
      <c r="N512">
        <v>71.91</v>
      </c>
      <c r="O512" t="s">
        <v>20</v>
      </c>
      <c r="P512" t="s">
        <v>21</v>
      </c>
      <c r="Q512" t="s">
        <v>20</v>
      </c>
      <c r="R512" t="str">
        <f>HYPERLINK("https://cfpub.epa.gov/ecotox/explore.cfm?ncbi=649802","Explore in ECOTOX")</f>
        <v>Explore in ECOTOX</v>
      </c>
    </row>
    <row r="513" spans="1:18" x14ac:dyDescent="0.25">
      <c r="A513">
        <v>6</v>
      </c>
      <c r="B513" t="str">
        <f>HYPERLINK("http://www.ncbi.nlm.nih.gov/protein/XP_029476361.1","XP_029476361.1")</f>
        <v>XP_029476361.1</v>
      </c>
      <c r="C513">
        <v>69382</v>
      </c>
      <c r="D513" t="str">
        <f>HYPERLINK("http://www.ncbi.nlm.nih.gov/Taxonomy/Browser/wwwtax.cgi?mode=Info&amp;id=8023&amp;lvl=3&amp;lin=f&amp;keep=1&amp;srchmode=1&amp;unlock","8023")</f>
        <v>8023</v>
      </c>
      <c r="E513" t="s">
        <v>384</v>
      </c>
      <c r="F513" t="s">
        <v>384</v>
      </c>
      <c r="G513" t="str">
        <f>HYPERLINK("http://www.ncbi.nlm.nih.gov/Taxonomy/Browser/wwwtax.cgi?mode=Info&amp;id=8023&amp;lvl=3&amp;lin=f&amp;keep=1&amp;srchmode=1&amp;unlock","Oncorhynchus nerka")</f>
        <v>Oncorhynchus nerka</v>
      </c>
      <c r="H513" t="s">
        <v>479</v>
      </c>
      <c r="I513" t="str">
        <f>HYPERLINK("http://www.ncbi.nlm.nih.gov/protein/XP_029476361.1","fatty acid-binding protein, liver")</f>
        <v>fatty acid-binding protein, liver</v>
      </c>
      <c r="J513">
        <v>181.03</v>
      </c>
      <c r="K513" t="s">
        <v>25</v>
      </c>
      <c r="L513">
        <v>139</v>
      </c>
      <c r="M513">
        <v>50.68</v>
      </c>
      <c r="N513">
        <v>71.75</v>
      </c>
      <c r="O513" t="s">
        <v>20</v>
      </c>
      <c r="P513" t="s">
        <v>21</v>
      </c>
      <c r="Q513" t="s">
        <v>20</v>
      </c>
      <c r="R513" t="str">
        <f>HYPERLINK("https://cfpub.epa.gov/ecotox/explore.cfm?ncbi=8023","Explore in ECOTOX")</f>
        <v>Explore in ECOTOX</v>
      </c>
    </row>
    <row r="514" spans="1:18" x14ac:dyDescent="0.25">
      <c r="A514">
        <v>6</v>
      </c>
      <c r="B514" t="str">
        <f>HYPERLINK("http://www.ncbi.nlm.nih.gov/protein/NXG12623.1","NXG12623.1")</f>
        <v>NXG12623.1</v>
      </c>
      <c r="C514">
        <v>14155</v>
      </c>
      <c r="D514" t="str">
        <f>HYPERLINK("http://www.ncbi.nlm.nih.gov/Taxonomy/Browser/wwwtax.cgi?mode=Info&amp;id=419690&amp;lvl=3&amp;lin=f&amp;keep=1&amp;srchmode=1&amp;unlock","419690")</f>
        <v>419690</v>
      </c>
      <c r="E514" t="s">
        <v>167</v>
      </c>
      <c r="F514" t="s">
        <v>167</v>
      </c>
      <c r="G514" t="str">
        <f>HYPERLINK("http://www.ncbi.nlm.nih.gov/Taxonomy/Browser/wwwtax.cgi?mode=Info&amp;id=419690&amp;lvl=3&amp;lin=f&amp;keep=1&amp;srchmode=1&amp;unlock","Sakesphorus luctuosus")</f>
        <v>Sakesphorus luctuosus</v>
      </c>
      <c r="H514" t="s">
        <v>206</v>
      </c>
      <c r="I514" t="str">
        <f>HYPERLINK("http://www.ncbi.nlm.nih.gov/protein/NXG12623.1","FABPL protein")</f>
        <v>FABPL protein</v>
      </c>
      <c r="J514">
        <v>181.03</v>
      </c>
      <c r="K514" t="s">
        <v>20</v>
      </c>
      <c r="L514">
        <v>139</v>
      </c>
      <c r="M514">
        <v>50.68</v>
      </c>
      <c r="N514">
        <v>71.75</v>
      </c>
      <c r="O514" t="s">
        <v>20</v>
      </c>
      <c r="P514" t="s">
        <v>21</v>
      </c>
      <c r="Q514" t="s">
        <v>20</v>
      </c>
      <c r="R514" t="str">
        <f>HYPERLINK("https://cfpub.epa.gov/ecotox/explore.cfm?ncbi=419690","Explore in ECOTOX")</f>
        <v>Explore in ECOTOX</v>
      </c>
    </row>
    <row r="515" spans="1:18" x14ac:dyDescent="0.25">
      <c r="A515">
        <v>6</v>
      </c>
      <c r="B515" t="str">
        <f>HYPERLINK("http://www.ncbi.nlm.nih.gov/protein/XP_038821244.1","XP_038821244.1")</f>
        <v>XP_038821244.1</v>
      </c>
      <c r="C515">
        <v>58413</v>
      </c>
      <c r="D515" t="str">
        <f>HYPERLINK("http://www.ncbi.nlm.nih.gov/Taxonomy/Browser/wwwtax.cgi?mode=Info&amp;id=8040&amp;lvl=3&amp;lin=f&amp;keep=1&amp;srchmode=1&amp;unlock","8040")</f>
        <v>8040</v>
      </c>
      <c r="E515" t="s">
        <v>384</v>
      </c>
      <c r="F515" t="s">
        <v>384</v>
      </c>
      <c r="G515" t="str">
        <f>HYPERLINK("http://www.ncbi.nlm.nih.gov/Taxonomy/Browser/wwwtax.cgi?mode=Info&amp;id=8040&amp;lvl=3&amp;lin=f&amp;keep=1&amp;srchmode=1&amp;unlock","Salvelinus namaycush")</f>
        <v>Salvelinus namaycush</v>
      </c>
      <c r="H515" t="s">
        <v>480</v>
      </c>
      <c r="I515" t="str">
        <f>HYPERLINK("http://www.ncbi.nlm.nih.gov/protein/XP_038821244.1","fatty acid-binding protein, liver-type-like")</f>
        <v>fatty acid-binding protein, liver-type-like</v>
      </c>
      <c r="J515">
        <v>181.03</v>
      </c>
      <c r="K515" t="s">
        <v>25</v>
      </c>
      <c r="L515">
        <v>139</v>
      </c>
      <c r="M515">
        <v>50.68</v>
      </c>
      <c r="N515">
        <v>71.75</v>
      </c>
      <c r="O515" t="s">
        <v>20</v>
      </c>
      <c r="P515" t="s">
        <v>21</v>
      </c>
      <c r="Q515" t="s">
        <v>20</v>
      </c>
      <c r="R515" t="str">
        <f>HYPERLINK("https://cfpub.epa.gov/ecotox/explore.cfm?ncbi=8040","Explore in ECOTOX")</f>
        <v>Explore in ECOTOX</v>
      </c>
    </row>
    <row r="516" spans="1:18" x14ac:dyDescent="0.25">
      <c r="A516">
        <v>6</v>
      </c>
      <c r="B516" t="str">
        <f>HYPERLINK("http://www.ncbi.nlm.nih.gov/protein/XP_034398181.1","XP_034398181.1")</f>
        <v>XP_034398181.1</v>
      </c>
      <c r="C516">
        <v>38712</v>
      </c>
      <c r="D516" t="str">
        <f>HYPERLINK("http://www.ncbi.nlm.nih.gov/Taxonomy/Browser/wwwtax.cgi?mode=Info&amp;id=8103&amp;lvl=3&amp;lin=f&amp;keep=1&amp;srchmode=1&amp;unlock","8103")</f>
        <v>8103</v>
      </c>
      <c r="E516" t="s">
        <v>384</v>
      </c>
      <c r="F516" t="s">
        <v>384</v>
      </c>
      <c r="G516" t="str">
        <f>HYPERLINK("http://www.ncbi.nlm.nih.gov/Taxonomy/Browser/wwwtax.cgi?mode=Info&amp;id=8103&amp;lvl=3&amp;lin=f&amp;keep=1&amp;srchmode=1&amp;unlock","Cyclopterus lumpus")</f>
        <v>Cyclopterus lumpus</v>
      </c>
      <c r="H516" t="s">
        <v>481</v>
      </c>
      <c r="I516" t="str">
        <f>HYPERLINK("http://www.ncbi.nlm.nih.gov/protein/XP_034398181.1","fatty acid-binding protein, liver-type-like")</f>
        <v>fatty acid-binding protein, liver-type-like</v>
      </c>
      <c r="J516">
        <v>181.03</v>
      </c>
      <c r="K516" t="s">
        <v>25</v>
      </c>
      <c r="L516">
        <v>139</v>
      </c>
      <c r="M516">
        <v>50.68</v>
      </c>
      <c r="N516">
        <v>71.75</v>
      </c>
      <c r="O516" t="s">
        <v>20</v>
      </c>
      <c r="P516" t="s">
        <v>21</v>
      </c>
      <c r="Q516" t="s">
        <v>20</v>
      </c>
      <c r="R516" t="str">
        <f>HYPERLINK("https://cfpub.epa.gov/ecotox/explore.cfm?ncbi=8103","Explore in ECOTOX")</f>
        <v>Explore in ECOTOX</v>
      </c>
    </row>
    <row r="517" spans="1:18" x14ac:dyDescent="0.25">
      <c r="A517">
        <v>6</v>
      </c>
      <c r="B517" t="str">
        <f>HYPERLINK("http://www.ncbi.nlm.nih.gov/protein/XP_021446645.2","XP_021446645.2")</f>
        <v>XP_021446645.2</v>
      </c>
      <c r="C517">
        <v>150751</v>
      </c>
      <c r="D517" t="str">
        <f>HYPERLINK("http://www.ncbi.nlm.nih.gov/Taxonomy/Browser/wwwtax.cgi?mode=Info&amp;id=8022&amp;lvl=3&amp;lin=f&amp;keep=1&amp;srchmode=1&amp;unlock","8022")</f>
        <v>8022</v>
      </c>
      <c r="E517" t="s">
        <v>384</v>
      </c>
      <c r="F517" t="s">
        <v>384</v>
      </c>
      <c r="G517" t="str">
        <f>HYPERLINK("http://www.ncbi.nlm.nih.gov/Taxonomy/Browser/wwwtax.cgi?mode=Info&amp;id=8022&amp;lvl=3&amp;lin=f&amp;keep=1&amp;srchmode=1&amp;unlock","Oncorhynchus mykiss")</f>
        <v>Oncorhynchus mykiss</v>
      </c>
      <c r="H517" t="s">
        <v>482</v>
      </c>
      <c r="I517" t="str">
        <f>HYPERLINK("http://www.ncbi.nlm.nih.gov/protein/XP_021446645.2","fatty acid-binding protein, liver-type")</f>
        <v>fatty acid-binding protein, liver-type</v>
      </c>
      <c r="J517">
        <v>181.03</v>
      </c>
      <c r="K517" t="s">
        <v>25</v>
      </c>
      <c r="L517">
        <v>139</v>
      </c>
      <c r="M517">
        <v>50.68</v>
      </c>
      <c r="N517">
        <v>71.75</v>
      </c>
      <c r="O517" t="s">
        <v>20</v>
      </c>
      <c r="P517" t="s">
        <v>21</v>
      </c>
      <c r="Q517" t="s">
        <v>20</v>
      </c>
      <c r="R517" t="str">
        <f>HYPERLINK("https://cfpub.epa.gov/ecotox/explore.cfm?ncbi=8022","Explore in ECOTOX")</f>
        <v>Explore in ECOTOX</v>
      </c>
    </row>
    <row r="518" spans="1:18" x14ac:dyDescent="0.25">
      <c r="A518">
        <v>6</v>
      </c>
      <c r="B518" t="str">
        <f>HYPERLINK("http://www.ncbi.nlm.nih.gov/protein/XP_023843509.1","XP_023843509.1")</f>
        <v>XP_023843509.1</v>
      </c>
      <c r="C518">
        <v>60779</v>
      </c>
      <c r="D518" t="str">
        <f>HYPERLINK("http://www.ncbi.nlm.nih.gov/Taxonomy/Browser/wwwtax.cgi?mode=Info&amp;id=8036&amp;lvl=3&amp;lin=f&amp;keep=1&amp;srchmode=1&amp;unlock","8036")</f>
        <v>8036</v>
      </c>
      <c r="E518" t="s">
        <v>384</v>
      </c>
      <c r="F518" t="s">
        <v>384</v>
      </c>
      <c r="G518" t="str">
        <f>HYPERLINK("http://www.ncbi.nlm.nih.gov/Taxonomy/Browser/wwwtax.cgi?mode=Info&amp;id=8036&amp;lvl=3&amp;lin=f&amp;keep=1&amp;srchmode=1&amp;unlock","Salvelinus alpinus")</f>
        <v>Salvelinus alpinus</v>
      </c>
      <c r="H518" t="s">
        <v>483</v>
      </c>
      <c r="I518" t="str">
        <f>HYPERLINK("http://www.ncbi.nlm.nih.gov/protein/XP_023843509.1","fatty acid-binding protein, liver")</f>
        <v>fatty acid-binding protein, liver</v>
      </c>
      <c r="J518">
        <v>181.03</v>
      </c>
      <c r="K518" t="s">
        <v>25</v>
      </c>
      <c r="L518">
        <v>139</v>
      </c>
      <c r="M518">
        <v>50.68</v>
      </c>
      <c r="N518">
        <v>71.75</v>
      </c>
      <c r="O518" t="s">
        <v>20</v>
      </c>
      <c r="P518" t="s">
        <v>21</v>
      </c>
      <c r="Q518" t="s">
        <v>20</v>
      </c>
      <c r="R518" t="str">
        <f>HYPERLINK("https://cfpub.epa.gov/ecotox/explore.cfm?ncbi=8036","Explore in ECOTOX")</f>
        <v>Explore in ECOTOX</v>
      </c>
    </row>
    <row r="519" spans="1:18" x14ac:dyDescent="0.25">
      <c r="A519">
        <v>6</v>
      </c>
      <c r="B519" t="str">
        <f>HYPERLINK("http://www.ncbi.nlm.nih.gov/protein/XP_032542165.1","XP_032542165.1")</f>
        <v>XP_032542165.1</v>
      </c>
      <c r="C519">
        <v>39420</v>
      </c>
      <c r="D519" t="str">
        <f>HYPERLINK("http://www.ncbi.nlm.nih.gov/Taxonomy/Browser/wwwtax.cgi?mode=Info&amp;id=296741&amp;lvl=3&amp;lin=f&amp;keep=1&amp;srchmode=1&amp;unlock","296741")</f>
        <v>296741</v>
      </c>
      <c r="E519" t="s">
        <v>167</v>
      </c>
      <c r="F519" t="s">
        <v>167</v>
      </c>
      <c r="G519" t="str">
        <f>HYPERLINK("http://www.ncbi.nlm.nih.gov/Taxonomy/Browser/wwwtax.cgi?mode=Info&amp;id=296741&amp;lvl=3&amp;lin=f&amp;keep=1&amp;srchmode=1&amp;unlock","Chiroxiphia lanceolata")</f>
        <v>Chiroxiphia lanceolata</v>
      </c>
      <c r="H519" t="s">
        <v>484</v>
      </c>
      <c r="I519" t="str">
        <f>HYPERLINK("http://www.ncbi.nlm.nih.gov/protein/XP_032542165.1","fatty acid-binding protein, liver")</f>
        <v>fatty acid-binding protein, liver</v>
      </c>
      <c r="J519">
        <v>181.03</v>
      </c>
      <c r="K519" t="s">
        <v>20</v>
      </c>
      <c r="L519">
        <v>139</v>
      </c>
      <c r="M519">
        <v>50.68</v>
      </c>
      <c r="N519">
        <v>71.75</v>
      </c>
      <c r="O519" t="s">
        <v>20</v>
      </c>
      <c r="P519" t="s">
        <v>21</v>
      </c>
      <c r="Q519" t="s">
        <v>20</v>
      </c>
      <c r="R519" t="str">
        <f>HYPERLINK("https://cfpub.epa.gov/ecotox/explore.cfm?ncbi=296741","Explore in ECOTOX")</f>
        <v>Explore in ECOTOX</v>
      </c>
    </row>
    <row r="520" spans="1:18" x14ac:dyDescent="0.25">
      <c r="A520">
        <v>6</v>
      </c>
      <c r="B520" t="str">
        <f>HYPERLINK("http://www.ncbi.nlm.nih.gov/protein/NXA31413.1","NXA31413.1")</f>
        <v>NXA31413.1</v>
      </c>
      <c r="C520">
        <v>13771</v>
      </c>
      <c r="D520" t="str">
        <f>HYPERLINK("http://www.ncbi.nlm.nih.gov/Taxonomy/Browser/wwwtax.cgi?mode=Info&amp;id=8805&amp;lvl=3&amp;lin=f&amp;keep=1&amp;srchmode=1&amp;unlock","8805")</f>
        <v>8805</v>
      </c>
      <c r="E520" t="s">
        <v>167</v>
      </c>
      <c r="F520" t="s">
        <v>167</v>
      </c>
      <c r="G520" t="str">
        <f>HYPERLINK("http://www.ncbi.nlm.nih.gov/Taxonomy/Browser/wwwtax.cgi?mode=Info&amp;id=8805&amp;lvl=3&amp;lin=f&amp;keep=1&amp;srchmode=1&amp;unlock","Eudromia elegans")</f>
        <v>Eudromia elegans</v>
      </c>
      <c r="H520" t="s">
        <v>485</v>
      </c>
      <c r="I520" t="str">
        <f>HYPERLINK("http://www.ncbi.nlm.nih.gov/protein/NXA31413.1","FABPL protein")</f>
        <v>FABPL protein</v>
      </c>
      <c r="J520">
        <v>180.64</v>
      </c>
      <c r="K520" t="s">
        <v>20</v>
      </c>
      <c r="L520">
        <v>139</v>
      </c>
      <c r="M520">
        <v>50.68</v>
      </c>
      <c r="N520">
        <v>71.599999999999994</v>
      </c>
      <c r="O520" t="s">
        <v>20</v>
      </c>
      <c r="P520" t="s">
        <v>21</v>
      </c>
      <c r="Q520" t="s">
        <v>20</v>
      </c>
      <c r="R520" t="str">
        <f>HYPERLINK("https://cfpub.epa.gov/ecotox/explore.cfm?ncbi=8805","Explore in ECOTOX")</f>
        <v>Explore in ECOTOX</v>
      </c>
    </row>
    <row r="521" spans="1:18" x14ac:dyDescent="0.25">
      <c r="A521">
        <v>6</v>
      </c>
      <c r="B521" t="str">
        <f>HYPERLINK("http://www.ncbi.nlm.nih.gov/protein/NWU41497.1","NWU41497.1")</f>
        <v>NWU41497.1</v>
      </c>
      <c r="C521">
        <v>13565</v>
      </c>
      <c r="D521" t="str">
        <f>HYPERLINK("http://www.ncbi.nlm.nih.gov/Taxonomy/Browser/wwwtax.cgi?mode=Info&amp;id=208073&amp;lvl=3&amp;lin=f&amp;keep=1&amp;srchmode=1&amp;unlock","208073")</f>
        <v>208073</v>
      </c>
      <c r="E521" t="s">
        <v>167</v>
      </c>
      <c r="F521" t="s">
        <v>167</v>
      </c>
      <c r="G521" t="str">
        <f>HYPERLINK("http://www.ncbi.nlm.nih.gov/Taxonomy/Browser/wwwtax.cgi?mode=Info&amp;id=208073&amp;lvl=3&amp;lin=f&amp;keep=1&amp;srchmode=1&amp;unlock","Hylia prasina")</f>
        <v>Hylia prasina</v>
      </c>
      <c r="H521" t="s">
        <v>486</v>
      </c>
      <c r="I521" t="str">
        <f>HYPERLINK("http://www.ncbi.nlm.nih.gov/protein/NWU41497.1","FABPL protein")</f>
        <v>FABPL protein</v>
      </c>
      <c r="J521">
        <v>180.64</v>
      </c>
      <c r="K521" t="s">
        <v>25</v>
      </c>
      <c r="L521">
        <v>139</v>
      </c>
      <c r="M521">
        <v>50.68</v>
      </c>
      <c r="N521">
        <v>71.599999999999994</v>
      </c>
      <c r="O521" t="s">
        <v>20</v>
      </c>
      <c r="P521" t="s">
        <v>21</v>
      </c>
      <c r="Q521" t="s">
        <v>20</v>
      </c>
      <c r="R521" t="str">
        <f>HYPERLINK("https://cfpub.epa.gov/ecotox/explore.cfm?ncbi=208073","Explore in ECOTOX")</f>
        <v>Explore in ECOTOX</v>
      </c>
    </row>
    <row r="522" spans="1:18" x14ac:dyDescent="0.25">
      <c r="A522">
        <v>6</v>
      </c>
      <c r="B522" t="str">
        <f>HYPERLINK("http://www.ncbi.nlm.nih.gov/protein/NXA75040.1","NXA75040.1")</f>
        <v>NXA75040.1</v>
      </c>
      <c r="C522">
        <v>13718</v>
      </c>
      <c r="D522" t="str">
        <f>HYPERLINK("http://www.ncbi.nlm.nih.gov/Taxonomy/Browser/wwwtax.cgi?mode=Info&amp;id=74200&amp;lvl=3&amp;lin=f&amp;keep=1&amp;srchmode=1&amp;unlock","74200")</f>
        <v>74200</v>
      </c>
      <c r="E522" t="s">
        <v>167</v>
      </c>
      <c r="F522" t="s">
        <v>167</v>
      </c>
      <c r="G522" t="str">
        <f>HYPERLINK("http://www.ncbi.nlm.nih.gov/Taxonomy/Browser/wwwtax.cgi?mode=Info&amp;id=74200&amp;lvl=3&amp;lin=f&amp;keep=1&amp;srchmode=1&amp;unlock","Thryothorus ludovicianus")</f>
        <v>Thryothorus ludovicianus</v>
      </c>
      <c r="H522" t="s">
        <v>487</v>
      </c>
      <c r="I522" t="str">
        <f>HYPERLINK("http://www.ncbi.nlm.nih.gov/protein/NXA75040.1","FABPL protein")</f>
        <v>FABPL protein</v>
      </c>
      <c r="J522">
        <v>180.64</v>
      </c>
      <c r="K522" t="s">
        <v>25</v>
      </c>
      <c r="L522">
        <v>139</v>
      </c>
      <c r="M522">
        <v>50.68</v>
      </c>
      <c r="N522">
        <v>71.599999999999994</v>
      </c>
      <c r="O522" t="s">
        <v>20</v>
      </c>
      <c r="P522" t="s">
        <v>21</v>
      </c>
      <c r="Q522" t="s">
        <v>20</v>
      </c>
      <c r="R522" t="str">
        <f>HYPERLINK("https://cfpub.epa.gov/ecotox/explore.cfm?ncbi=74200","Explore in ECOTOX")</f>
        <v>Explore in ECOTOX</v>
      </c>
    </row>
    <row r="523" spans="1:18" x14ac:dyDescent="0.25">
      <c r="A523">
        <v>6</v>
      </c>
      <c r="B523" t="str">
        <f>HYPERLINK("http://www.ncbi.nlm.nih.gov/protein/XP_008929224.3","XP_008929224.3")</f>
        <v>XP_008929224.3</v>
      </c>
      <c r="C523">
        <v>37258</v>
      </c>
      <c r="D523" t="str">
        <f>HYPERLINK("http://www.ncbi.nlm.nih.gov/Taxonomy/Browser/wwwtax.cgi?mode=Info&amp;id=328815&amp;lvl=3&amp;lin=f&amp;keep=1&amp;srchmode=1&amp;unlock","328815")</f>
        <v>328815</v>
      </c>
      <c r="E523" t="s">
        <v>167</v>
      </c>
      <c r="F523" t="s">
        <v>167</v>
      </c>
      <c r="G523" t="str">
        <f>HYPERLINK("http://www.ncbi.nlm.nih.gov/Taxonomy/Browser/wwwtax.cgi?mode=Info&amp;id=328815&amp;lvl=3&amp;lin=f&amp;keep=1&amp;srchmode=1&amp;unlock","Manacus vitellinus")</f>
        <v>Manacus vitellinus</v>
      </c>
      <c r="H523" t="s">
        <v>488</v>
      </c>
      <c r="I523" t="str">
        <f>HYPERLINK("http://www.ncbi.nlm.nih.gov/protein/XP_008929224.3","fatty acid-binding protein, liver")</f>
        <v>fatty acid-binding protein, liver</v>
      </c>
      <c r="J523">
        <v>180.64</v>
      </c>
      <c r="K523" t="s">
        <v>25</v>
      </c>
      <c r="L523">
        <v>139</v>
      </c>
      <c r="M523">
        <v>50.68</v>
      </c>
      <c r="N523">
        <v>71.599999999999994</v>
      </c>
      <c r="O523" t="s">
        <v>20</v>
      </c>
      <c r="P523" t="s">
        <v>21</v>
      </c>
      <c r="Q523" t="s">
        <v>20</v>
      </c>
      <c r="R523" t="str">
        <f>HYPERLINK("https://cfpub.epa.gov/ecotox/explore.cfm?ncbi=328815","Explore in ECOTOX")</f>
        <v>Explore in ECOTOX</v>
      </c>
    </row>
    <row r="524" spans="1:18" x14ac:dyDescent="0.25">
      <c r="A524">
        <v>6</v>
      </c>
      <c r="B524" t="str">
        <f>HYPERLINK("http://www.ncbi.nlm.nih.gov/protein/XP_010876266.1","XP_010876266.1")</f>
        <v>XP_010876266.1</v>
      </c>
      <c r="C524">
        <v>59853</v>
      </c>
      <c r="D524" t="str">
        <f>HYPERLINK("http://www.ncbi.nlm.nih.gov/Taxonomy/Browser/wwwtax.cgi?mode=Info&amp;id=8010&amp;lvl=3&amp;lin=f&amp;keep=1&amp;srchmode=1&amp;unlock","8010")</f>
        <v>8010</v>
      </c>
      <c r="E524" t="s">
        <v>384</v>
      </c>
      <c r="F524" t="s">
        <v>384</v>
      </c>
      <c r="G524" t="str">
        <f>HYPERLINK("http://www.ncbi.nlm.nih.gov/Taxonomy/Browser/wwwtax.cgi?mode=Info&amp;id=8010&amp;lvl=3&amp;lin=f&amp;keep=1&amp;srchmode=1&amp;unlock","Esox lucius")</f>
        <v>Esox lucius</v>
      </c>
      <c r="H524" t="s">
        <v>489</v>
      </c>
      <c r="I524" t="str">
        <f>HYPERLINK("http://www.ncbi.nlm.nih.gov/protein/XP_010876266.1","fatty acid binding protein 1-A, liver")</f>
        <v>fatty acid binding protein 1-A, liver</v>
      </c>
      <c r="J524">
        <v>180.64</v>
      </c>
      <c r="K524" t="s">
        <v>25</v>
      </c>
      <c r="L524">
        <v>139</v>
      </c>
      <c r="M524">
        <v>50.68</v>
      </c>
      <c r="N524">
        <v>71.599999999999994</v>
      </c>
      <c r="O524" t="s">
        <v>20</v>
      </c>
      <c r="P524" t="s">
        <v>21</v>
      </c>
      <c r="Q524" t="s">
        <v>20</v>
      </c>
      <c r="R524" t="str">
        <f>HYPERLINK("https://cfpub.epa.gov/ecotox/explore.cfm?ncbi=8010","Explore in ECOTOX")</f>
        <v>Explore in ECOTOX</v>
      </c>
    </row>
    <row r="525" spans="1:18" x14ac:dyDescent="0.25">
      <c r="A525">
        <v>6</v>
      </c>
      <c r="B525" t="str">
        <f>HYPERLINK("http://www.ncbi.nlm.nih.gov/protein/XP_013984144.1","XP_013984144.1")</f>
        <v>XP_013984144.1</v>
      </c>
      <c r="C525">
        <v>111579</v>
      </c>
      <c r="D525" t="str">
        <f>HYPERLINK("http://www.ncbi.nlm.nih.gov/Taxonomy/Browser/wwwtax.cgi?mode=Info&amp;id=8030&amp;lvl=3&amp;lin=f&amp;keep=1&amp;srchmode=1&amp;unlock","8030")</f>
        <v>8030</v>
      </c>
      <c r="E525" t="s">
        <v>384</v>
      </c>
      <c r="F525" t="s">
        <v>384</v>
      </c>
      <c r="G525" t="str">
        <f>HYPERLINK("http://www.ncbi.nlm.nih.gov/Taxonomy/Browser/wwwtax.cgi?mode=Info&amp;id=8030&amp;lvl=3&amp;lin=f&amp;keep=1&amp;srchmode=1&amp;unlock","Salmo salar")</f>
        <v>Salmo salar</v>
      </c>
      <c r="H525" t="s">
        <v>490</v>
      </c>
      <c r="I525" t="str">
        <f>HYPERLINK("http://www.ncbi.nlm.nih.gov/protein/XP_013984144.1","PREDICTED: fatty acid-binding protein, liver")</f>
        <v>PREDICTED: fatty acid-binding protein, liver</v>
      </c>
      <c r="J525">
        <v>180.64</v>
      </c>
      <c r="K525" t="s">
        <v>25</v>
      </c>
      <c r="L525">
        <v>139</v>
      </c>
      <c r="M525">
        <v>50.68</v>
      </c>
      <c r="N525">
        <v>71.599999999999994</v>
      </c>
      <c r="O525" t="s">
        <v>20</v>
      </c>
      <c r="P525" t="s">
        <v>21</v>
      </c>
      <c r="Q525" t="s">
        <v>20</v>
      </c>
      <c r="R525" t="str">
        <f>HYPERLINK("https://cfpub.epa.gov/ecotox/explore.cfm?ncbi=8030","Explore in ECOTOX")</f>
        <v>Explore in ECOTOX</v>
      </c>
    </row>
    <row r="526" spans="1:18" x14ac:dyDescent="0.25">
      <c r="A526">
        <v>6</v>
      </c>
      <c r="B526" t="str">
        <f>HYPERLINK("http://www.ncbi.nlm.nih.gov/protein/XP_029625294.1","XP_029625294.1")</f>
        <v>XP_029625294.1</v>
      </c>
      <c r="C526">
        <v>88634</v>
      </c>
      <c r="D526" t="str">
        <f>HYPERLINK("http://www.ncbi.nlm.nih.gov/Taxonomy/Browser/wwwtax.cgi?mode=Info&amp;id=8032&amp;lvl=3&amp;lin=f&amp;keep=1&amp;srchmode=1&amp;unlock","8032")</f>
        <v>8032</v>
      </c>
      <c r="E526" t="s">
        <v>384</v>
      </c>
      <c r="F526" t="s">
        <v>384</v>
      </c>
      <c r="G526" t="str">
        <f>HYPERLINK("http://www.ncbi.nlm.nih.gov/Taxonomy/Browser/wwwtax.cgi?mode=Info&amp;id=8032&amp;lvl=3&amp;lin=f&amp;keep=1&amp;srchmode=1&amp;unlock","Salmo trutta")</f>
        <v>Salmo trutta</v>
      </c>
      <c r="H526" t="s">
        <v>491</v>
      </c>
      <c r="I526" t="str">
        <f>HYPERLINK("http://www.ncbi.nlm.nih.gov/protein/XP_029625294.1","fatty acid-binding protein, liver")</f>
        <v>fatty acid-binding protein, liver</v>
      </c>
      <c r="J526">
        <v>180.64</v>
      </c>
      <c r="K526" t="s">
        <v>25</v>
      </c>
      <c r="L526">
        <v>139</v>
      </c>
      <c r="M526">
        <v>50.68</v>
      </c>
      <c r="N526">
        <v>71.599999999999994</v>
      </c>
      <c r="O526" t="s">
        <v>20</v>
      </c>
      <c r="P526" t="s">
        <v>21</v>
      </c>
      <c r="Q526" t="s">
        <v>20</v>
      </c>
      <c r="R526" t="str">
        <f>HYPERLINK("https://cfpub.epa.gov/ecotox/explore.cfm?ncbi=8032","Explore in ECOTOX")</f>
        <v>Explore in ECOTOX</v>
      </c>
    </row>
    <row r="527" spans="1:18" x14ac:dyDescent="0.25">
      <c r="A527">
        <v>6</v>
      </c>
      <c r="B527" t="str">
        <f>HYPERLINK("http://www.ncbi.nlm.nih.gov/protein/XP_035628149.1","XP_035628149.1")</f>
        <v>XP_035628149.1</v>
      </c>
      <c r="C527">
        <v>67512</v>
      </c>
      <c r="D527" t="str">
        <f>HYPERLINK("http://www.ncbi.nlm.nih.gov/Taxonomy/Browser/wwwtax.cgi?mode=Info&amp;id=8018&amp;lvl=3&amp;lin=f&amp;keep=1&amp;srchmode=1&amp;unlock","8018")</f>
        <v>8018</v>
      </c>
      <c r="E527" t="s">
        <v>384</v>
      </c>
      <c r="F527" t="s">
        <v>384</v>
      </c>
      <c r="G527" t="str">
        <f>HYPERLINK("http://www.ncbi.nlm.nih.gov/Taxonomy/Browser/wwwtax.cgi?mode=Info&amp;id=8018&amp;lvl=3&amp;lin=f&amp;keep=1&amp;srchmode=1&amp;unlock","Oncorhynchus keta")</f>
        <v>Oncorhynchus keta</v>
      </c>
      <c r="H527" t="s">
        <v>492</v>
      </c>
      <c r="I527" t="str">
        <f>HYPERLINK("http://www.ncbi.nlm.nih.gov/protein/XP_035628149.1","fatty acid-binding protein, liver-type-like")</f>
        <v>fatty acid-binding protein, liver-type-like</v>
      </c>
      <c r="J527">
        <v>180.26</v>
      </c>
      <c r="K527" t="s">
        <v>25</v>
      </c>
      <c r="L527">
        <v>139</v>
      </c>
      <c r="M527">
        <v>50.68</v>
      </c>
      <c r="N527">
        <v>71.45</v>
      </c>
      <c r="O527" t="s">
        <v>20</v>
      </c>
      <c r="P527" t="s">
        <v>21</v>
      </c>
      <c r="Q527" t="s">
        <v>20</v>
      </c>
      <c r="R527" t="str">
        <f>HYPERLINK("https://cfpub.epa.gov/ecotox/explore.cfm?ncbi=8018","Explore in ECOTOX")</f>
        <v>Explore in ECOTOX</v>
      </c>
    </row>
    <row r="528" spans="1:18" x14ac:dyDescent="0.25">
      <c r="A528">
        <v>6</v>
      </c>
      <c r="B528" t="str">
        <f>HYPERLINK("http://www.ncbi.nlm.nih.gov/protein/XP_027522972.1","XP_027522972.1")</f>
        <v>XP_027522972.1</v>
      </c>
      <c r="C528">
        <v>39234</v>
      </c>
      <c r="D528" t="str">
        <f>HYPERLINK("http://www.ncbi.nlm.nih.gov/Taxonomy/Browser/wwwtax.cgi?mode=Info&amp;id=415028&amp;lvl=3&amp;lin=f&amp;keep=1&amp;srchmode=1&amp;unlock","415028")</f>
        <v>415028</v>
      </c>
      <c r="E528" t="s">
        <v>167</v>
      </c>
      <c r="F528" t="s">
        <v>167</v>
      </c>
      <c r="G528" t="str">
        <f>HYPERLINK("http://www.ncbi.nlm.nih.gov/Taxonomy/Browser/wwwtax.cgi?mode=Info&amp;id=415028&amp;lvl=3&amp;lin=f&amp;keep=1&amp;srchmode=1&amp;unlock","Corapipo altera")</f>
        <v>Corapipo altera</v>
      </c>
      <c r="H528" t="s">
        <v>493</v>
      </c>
      <c r="I528" t="str">
        <f>HYPERLINK("http://www.ncbi.nlm.nih.gov/protein/XP_027522972.1","fatty acid-binding protein, liver")</f>
        <v>fatty acid-binding protein, liver</v>
      </c>
      <c r="J528">
        <v>180.26</v>
      </c>
      <c r="K528" t="s">
        <v>20</v>
      </c>
      <c r="L528">
        <v>139</v>
      </c>
      <c r="M528">
        <v>50.68</v>
      </c>
      <c r="N528">
        <v>71.45</v>
      </c>
      <c r="O528" t="s">
        <v>20</v>
      </c>
      <c r="P528" t="s">
        <v>21</v>
      </c>
      <c r="Q528" t="s">
        <v>20</v>
      </c>
      <c r="R528" t="str">
        <f>HYPERLINK("https://cfpub.epa.gov/ecotox/explore.cfm?ncbi=415028","Explore in ECOTOX")</f>
        <v>Explore in ECOTOX</v>
      </c>
    </row>
    <row r="529" spans="1:18" x14ac:dyDescent="0.25">
      <c r="A529">
        <v>6</v>
      </c>
      <c r="B529" t="str">
        <f>HYPERLINK("http://www.ncbi.nlm.nih.gov/protein/CAB1332787.1","CAB1332787.1")</f>
        <v>CAB1332787.1</v>
      </c>
      <c r="C529">
        <v>41735</v>
      </c>
      <c r="D529" t="str">
        <f>HYPERLINK("http://www.ncbi.nlm.nih.gov/Taxonomy/Browser/wwwtax.cgi?mode=Info&amp;id=861768&amp;lvl=3&amp;lin=f&amp;keep=1&amp;srchmode=1&amp;unlock","861768")</f>
        <v>861768</v>
      </c>
      <c r="E529" t="s">
        <v>384</v>
      </c>
      <c r="F529" t="s">
        <v>384</v>
      </c>
      <c r="G529" t="str">
        <f>HYPERLINK("http://www.ncbi.nlm.nih.gov/Taxonomy/Browser/wwwtax.cgi?mode=Info&amp;id=861768&amp;lvl=3&amp;lin=f&amp;keep=1&amp;srchmode=1&amp;unlock","Coregonus sp. 'balchen'")</f>
        <v>Coregonus sp. 'balchen'</v>
      </c>
      <c r="H529" t="s">
        <v>494</v>
      </c>
      <c r="I529" t="str">
        <f>HYPERLINK("http://www.ncbi.nlm.nih.gov/protein/CAB1332787.1","unnamed protein product")</f>
        <v>unnamed protein product</v>
      </c>
      <c r="J529">
        <v>179.87</v>
      </c>
      <c r="K529" t="s">
        <v>25</v>
      </c>
      <c r="L529">
        <v>139</v>
      </c>
      <c r="M529">
        <v>50.68</v>
      </c>
      <c r="N529">
        <v>71.3</v>
      </c>
      <c r="O529" t="s">
        <v>20</v>
      </c>
      <c r="P529" t="s">
        <v>21</v>
      </c>
      <c r="Q529" t="s">
        <v>20</v>
      </c>
      <c r="R529" t="str">
        <f>HYPERLINK("https://cfpub.epa.gov/ecotox/explore.cfm?ncbi=861768","Explore in ECOTOX")</f>
        <v>Explore in ECOTOX</v>
      </c>
    </row>
    <row r="530" spans="1:18" x14ac:dyDescent="0.25">
      <c r="A530">
        <v>6</v>
      </c>
      <c r="B530" t="str">
        <f>HYPERLINK("http://www.ncbi.nlm.nih.gov/protein/NWW73441.1","NWW73441.1")</f>
        <v>NWW73441.1</v>
      </c>
      <c r="C530">
        <v>14135</v>
      </c>
      <c r="D530" t="str">
        <f>HYPERLINK("http://www.ncbi.nlm.nih.gov/Taxonomy/Browser/wwwtax.cgi?mode=Info&amp;id=47695&amp;lvl=3&amp;lin=f&amp;keep=1&amp;srchmode=1&amp;unlock","47695")</f>
        <v>47695</v>
      </c>
      <c r="E530" t="s">
        <v>167</v>
      </c>
      <c r="F530" t="s">
        <v>167</v>
      </c>
      <c r="G530" t="str">
        <f>HYPERLINK("http://www.ncbi.nlm.nih.gov/Taxonomy/Browser/wwwtax.cgi?mode=Info&amp;id=47695&amp;lvl=3&amp;lin=f&amp;keep=1&amp;srchmode=1&amp;unlock","Climacteris rufus")</f>
        <v>Climacteris rufus</v>
      </c>
      <c r="H530" t="s">
        <v>495</v>
      </c>
      <c r="I530" t="str">
        <f>HYPERLINK("http://www.ncbi.nlm.nih.gov/protein/NWW73441.1","FABPL protein")</f>
        <v>FABPL protein</v>
      </c>
      <c r="J530">
        <v>179.87</v>
      </c>
      <c r="K530" t="s">
        <v>20</v>
      </c>
      <c r="L530">
        <v>139</v>
      </c>
      <c r="M530">
        <v>50.68</v>
      </c>
      <c r="N530">
        <v>71.3</v>
      </c>
      <c r="O530" t="s">
        <v>20</v>
      </c>
      <c r="P530" t="s">
        <v>21</v>
      </c>
      <c r="Q530" t="s">
        <v>20</v>
      </c>
      <c r="R530" t="str">
        <f>HYPERLINK("https://cfpub.epa.gov/ecotox/explore.cfm?ncbi=47695","Explore in ECOTOX")</f>
        <v>Explore in ECOTOX</v>
      </c>
    </row>
    <row r="531" spans="1:18" x14ac:dyDescent="0.25">
      <c r="A531">
        <v>6</v>
      </c>
      <c r="B531" t="str">
        <f>HYPERLINK("http://www.ncbi.nlm.nih.gov/protein/NXQ16868.1","NXQ16868.1")</f>
        <v>NXQ16868.1</v>
      </c>
      <c r="C531">
        <v>13701</v>
      </c>
      <c r="D531" t="str">
        <f>HYPERLINK("http://www.ncbi.nlm.nih.gov/Taxonomy/Browser/wwwtax.cgi?mode=Info&amp;id=135441&amp;lvl=3&amp;lin=f&amp;keep=1&amp;srchmode=1&amp;unlock","135441")</f>
        <v>135441</v>
      </c>
      <c r="E531" t="s">
        <v>167</v>
      </c>
      <c r="F531" t="s">
        <v>167</v>
      </c>
      <c r="G531" t="str">
        <f>HYPERLINK("http://www.ncbi.nlm.nih.gov/Taxonomy/Browser/wwwtax.cgi?mode=Info&amp;id=135441&amp;lvl=3&amp;lin=f&amp;keep=1&amp;srchmode=1&amp;unlock","Peucedramus taeniatus")</f>
        <v>Peucedramus taeniatus</v>
      </c>
      <c r="H531" t="s">
        <v>496</v>
      </c>
      <c r="I531" t="str">
        <f>HYPERLINK("http://www.ncbi.nlm.nih.gov/protein/NXQ16868.1","FABPL protein")</f>
        <v>FABPL protein</v>
      </c>
      <c r="J531">
        <v>179.49</v>
      </c>
      <c r="K531" t="s">
        <v>25</v>
      </c>
      <c r="L531">
        <v>139</v>
      </c>
      <c r="M531">
        <v>50.68</v>
      </c>
      <c r="N531">
        <v>71.14</v>
      </c>
      <c r="O531" t="s">
        <v>20</v>
      </c>
      <c r="P531" t="s">
        <v>21</v>
      </c>
      <c r="Q531" t="s">
        <v>20</v>
      </c>
      <c r="R531" t="str">
        <f>HYPERLINK("https://cfpub.epa.gov/ecotox/explore.cfm?ncbi=135441","Explore in ECOTOX")</f>
        <v>Explore in ECOTOX</v>
      </c>
    </row>
    <row r="532" spans="1:18" x14ac:dyDescent="0.25">
      <c r="A532">
        <v>6</v>
      </c>
      <c r="B532" t="str">
        <f>HYPERLINK("http://www.ncbi.nlm.nih.gov/protein/NWS47962.1","NWS47962.1")</f>
        <v>NWS47962.1</v>
      </c>
      <c r="C532">
        <v>14029</v>
      </c>
      <c r="D532" t="str">
        <f>HYPERLINK("http://www.ncbi.nlm.nih.gov/Taxonomy/Browser/wwwtax.cgi?mode=Info&amp;id=141839&amp;lvl=3&amp;lin=f&amp;keep=1&amp;srchmode=1&amp;unlock","141839")</f>
        <v>141839</v>
      </c>
      <c r="E532" t="s">
        <v>167</v>
      </c>
      <c r="F532" t="s">
        <v>167</v>
      </c>
      <c r="G532" t="str">
        <f>HYPERLINK("http://www.ncbi.nlm.nih.gov/Taxonomy/Browser/wwwtax.cgi?mode=Info&amp;id=141839&amp;lvl=3&amp;lin=f&amp;keep=1&amp;srchmode=1&amp;unlock","Probosciger aterrimus")</f>
        <v>Probosciger aterrimus</v>
      </c>
      <c r="H532" t="s">
        <v>497</v>
      </c>
      <c r="I532" t="str">
        <f>HYPERLINK("http://www.ncbi.nlm.nih.gov/protein/NWS47962.1","FABPL protein")</f>
        <v>FABPL protein</v>
      </c>
      <c r="J532">
        <v>179.49</v>
      </c>
      <c r="K532" t="s">
        <v>25</v>
      </c>
      <c r="L532">
        <v>139</v>
      </c>
      <c r="M532">
        <v>50.68</v>
      </c>
      <c r="N532">
        <v>71.14</v>
      </c>
      <c r="O532" t="s">
        <v>20</v>
      </c>
      <c r="P532" t="s">
        <v>21</v>
      </c>
      <c r="Q532" t="s">
        <v>20</v>
      </c>
      <c r="R532" t="str">
        <f>HYPERLINK("https://cfpub.epa.gov/ecotox/explore.cfm?ncbi=141839","Explore in ECOTOX")</f>
        <v>Explore in ECOTOX</v>
      </c>
    </row>
    <row r="533" spans="1:18" x14ac:dyDescent="0.25">
      <c r="A533">
        <v>6</v>
      </c>
      <c r="B533" t="str">
        <f>HYPERLINK("http://www.ncbi.nlm.nih.gov/protein/KAG5271990.1","KAG5271990.1")</f>
        <v>KAG5271990.1</v>
      </c>
      <c r="C533">
        <v>26424</v>
      </c>
      <c r="D533" t="str">
        <f>HYPERLINK("http://www.ncbi.nlm.nih.gov/Taxonomy/Browser/wwwtax.cgi?mode=Info&amp;id=278164&amp;lvl=3&amp;lin=f&amp;keep=1&amp;srchmode=1&amp;unlock","278164")</f>
        <v>278164</v>
      </c>
      <c r="E533" t="s">
        <v>384</v>
      </c>
      <c r="F533" t="s">
        <v>384</v>
      </c>
      <c r="G533" t="str">
        <f>HYPERLINK("http://www.ncbi.nlm.nih.gov/Taxonomy/Browser/wwwtax.cgi?mode=Info&amp;id=278164&amp;lvl=3&amp;lin=f&amp;keep=1&amp;srchmode=1&amp;unlock","Alosa alosa")</f>
        <v>Alosa alosa</v>
      </c>
      <c r="H533" t="s">
        <v>498</v>
      </c>
      <c r="I533" t="str">
        <f>HYPERLINK("http://www.ncbi.nlm.nih.gov/protein/KAG5271990.1","hypothetical protein AALO_G00160430")</f>
        <v>hypothetical protein AALO_G00160430</v>
      </c>
      <c r="J533">
        <v>179.49</v>
      </c>
      <c r="K533" t="s">
        <v>25</v>
      </c>
      <c r="L533">
        <v>139</v>
      </c>
      <c r="M533">
        <v>50.68</v>
      </c>
      <c r="N533">
        <v>71.14</v>
      </c>
      <c r="O533" t="s">
        <v>20</v>
      </c>
      <c r="P533" t="s">
        <v>21</v>
      </c>
      <c r="Q533" t="s">
        <v>20</v>
      </c>
      <c r="R533" t="str">
        <f>HYPERLINK("https://cfpub.epa.gov/ecotox/explore.cfm?ncbi=278164","Explore in ECOTOX")</f>
        <v>Explore in ECOTOX</v>
      </c>
    </row>
    <row r="534" spans="1:18" x14ac:dyDescent="0.25">
      <c r="A534">
        <v>6</v>
      </c>
      <c r="B534" t="str">
        <f>HYPERLINK("http://www.ncbi.nlm.nih.gov/protein/XP_019742251.1","XP_019742251.1")</f>
        <v>XP_019742251.1</v>
      </c>
      <c r="C534">
        <v>42023</v>
      </c>
      <c r="D534" t="str">
        <f>HYPERLINK("http://www.ncbi.nlm.nih.gov/Taxonomy/Browser/wwwtax.cgi?mode=Info&amp;id=109280&amp;lvl=3&amp;lin=f&amp;keep=1&amp;srchmode=1&amp;unlock","109280")</f>
        <v>109280</v>
      </c>
      <c r="E534" t="s">
        <v>384</v>
      </c>
      <c r="F534" t="s">
        <v>384</v>
      </c>
      <c r="G534" t="str">
        <f>HYPERLINK("http://www.ncbi.nlm.nih.gov/Taxonomy/Browser/wwwtax.cgi?mode=Info&amp;id=109280&amp;lvl=3&amp;lin=f&amp;keep=1&amp;srchmode=1&amp;unlock","Hippocampus comes")</f>
        <v>Hippocampus comes</v>
      </c>
      <c r="H534" t="s">
        <v>499</v>
      </c>
      <c r="I534" t="str">
        <f>HYPERLINK("http://www.ncbi.nlm.nih.gov/protein/XP_019742251.1","PREDICTED: fatty acid-binding protein, liver, partial")</f>
        <v>PREDICTED: fatty acid-binding protein, liver, partial</v>
      </c>
      <c r="J534">
        <v>179.49</v>
      </c>
      <c r="K534" t="s">
        <v>25</v>
      </c>
      <c r="L534">
        <v>139</v>
      </c>
      <c r="M534">
        <v>50.68</v>
      </c>
      <c r="N534">
        <v>71.14</v>
      </c>
      <c r="O534" t="s">
        <v>20</v>
      </c>
      <c r="P534" t="s">
        <v>21</v>
      </c>
      <c r="Q534" t="s">
        <v>20</v>
      </c>
      <c r="R534" t="str">
        <f>HYPERLINK("https://cfpub.epa.gov/ecotox/explore.cfm?ncbi=109280","Explore in ECOTOX")</f>
        <v>Explore in ECOTOX</v>
      </c>
    </row>
    <row r="535" spans="1:18" x14ac:dyDescent="0.25">
      <c r="A535">
        <v>6</v>
      </c>
      <c r="B535" t="str">
        <f>HYPERLINK("http://www.ncbi.nlm.nih.gov/protein/XP_024253295.1","XP_024253295.1")</f>
        <v>XP_024253295.1</v>
      </c>
      <c r="C535">
        <v>73759</v>
      </c>
      <c r="D535" t="str">
        <f>HYPERLINK("http://www.ncbi.nlm.nih.gov/Taxonomy/Browser/wwwtax.cgi?mode=Info&amp;id=74940&amp;lvl=3&amp;lin=f&amp;keep=1&amp;srchmode=1&amp;unlock","74940")</f>
        <v>74940</v>
      </c>
      <c r="E535" t="s">
        <v>384</v>
      </c>
      <c r="F535" t="s">
        <v>384</v>
      </c>
      <c r="G535" t="str">
        <f>HYPERLINK("http://www.ncbi.nlm.nih.gov/Taxonomy/Browser/wwwtax.cgi?mode=Info&amp;id=74940&amp;lvl=3&amp;lin=f&amp;keep=1&amp;srchmode=1&amp;unlock","Oncorhynchus tshawytscha")</f>
        <v>Oncorhynchus tshawytscha</v>
      </c>
      <c r="H535" t="s">
        <v>500</v>
      </c>
      <c r="I535" t="str">
        <f>HYPERLINK("http://www.ncbi.nlm.nih.gov/protein/XP_024253295.1","fatty acid-binding protein, liver-type-like")</f>
        <v>fatty acid-binding protein, liver-type-like</v>
      </c>
      <c r="J535">
        <v>179.1</v>
      </c>
      <c r="K535" t="s">
        <v>25</v>
      </c>
      <c r="L535">
        <v>139</v>
      </c>
      <c r="M535">
        <v>50.68</v>
      </c>
      <c r="N535">
        <v>70.989999999999995</v>
      </c>
      <c r="O535" t="s">
        <v>20</v>
      </c>
      <c r="P535" t="s">
        <v>21</v>
      </c>
      <c r="Q535" t="s">
        <v>20</v>
      </c>
      <c r="R535" t="str">
        <f>HYPERLINK("https://cfpub.epa.gov/ecotox/explore.cfm?ncbi=74940","Explore in ECOTOX")</f>
        <v>Explore in ECOTOX</v>
      </c>
    </row>
    <row r="536" spans="1:18" x14ac:dyDescent="0.25">
      <c r="A536">
        <v>6</v>
      </c>
      <c r="B536" t="str">
        <f>HYPERLINK("http://www.ncbi.nlm.nih.gov/protein/XP_020321356.1","XP_020321356.1")</f>
        <v>XP_020321356.1</v>
      </c>
      <c r="C536">
        <v>89590</v>
      </c>
      <c r="D536" t="str">
        <f>HYPERLINK("http://www.ncbi.nlm.nih.gov/Taxonomy/Browser/wwwtax.cgi?mode=Info&amp;id=8019&amp;lvl=3&amp;lin=f&amp;keep=1&amp;srchmode=1&amp;unlock","8019")</f>
        <v>8019</v>
      </c>
      <c r="E536" t="s">
        <v>384</v>
      </c>
      <c r="F536" t="s">
        <v>384</v>
      </c>
      <c r="G536" t="str">
        <f>HYPERLINK("http://www.ncbi.nlm.nih.gov/Taxonomy/Browser/wwwtax.cgi?mode=Info&amp;id=8019&amp;lvl=3&amp;lin=f&amp;keep=1&amp;srchmode=1&amp;unlock","Oncorhynchus kisutch")</f>
        <v>Oncorhynchus kisutch</v>
      </c>
      <c r="H536" t="s">
        <v>501</v>
      </c>
      <c r="I536" t="str">
        <f>HYPERLINK("http://www.ncbi.nlm.nih.gov/protein/XP_020321356.1","fatty acid-binding protein, liver-type")</f>
        <v>fatty acid-binding protein, liver-type</v>
      </c>
      <c r="J536">
        <v>179.1</v>
      </c>
      <c r="K536" t="s">
        <v>25</v>
      </c>
      <c r="L536">
        <v>139</v>
      </c>
      <c r="M536">
        <v>50.68</v>
      </c>
      <c r="N536">
        <v>70.989999999999995</v>
      </c>
      <c r="O536" t="s">
        <v>20</v>
      </c>
      <c r="P536" t="s">
        <v>21</v>
      </c>
      <c r="Q536" t="s">
        <v>20</v>
      </c>
      <c r="R536" t="str">
        <f>HYPERLINK("https://cfpub.epa.gov/ecotox/explore.cfm?ncbi=8019","Explore in ECOTOX")</f>
        <v>Explore in ECOTOX</v>
      </c>
    </row>
    <row r="537" spans="1:18" x14ac:dyDescent="0.25">
      <c r="A537">
        <v>6</v>
      </c>
      <c r="B537" t="str">
        <f>HYPERLINK("http://www.ncbi.nlm.nih.gov/protein/NXB19095.1","NXB19095.1")</f>
        <v>NXB19095.1</v>
      </c>
      <c r="C537">
        <v>14272</v>
      </c>
      <c r="D537" t="str">
        <f>HYPERLINK("http://www.ncbi.nlm.nih.gov/Taxonomy/Browser/wwwtax.cgi?mode=Info&amp;id=156170&amp;lvl=3&amp;lin=f&amp;keep=1&amp;srchmode=1&amp;unlock","156170")</f>
        <v>156170</v>
      </c>
      <c r="E537" t="s">
        <v>167</v>
      </c>
      <c r="F537" t="s">
        <v>167</v>
      </c>
      <c r="G537" t="str">
        <f>HYPERLINK("http://www.ncbi.nlm.nih.gov/Taxonomy/Browser/wwwtax.cgi?mode=Info&amp;id=156170&amp;lvl=3&amp;lin=f&amp;keep=1&amp;srchmode=1&amp;unlock","Rhagologus leucostigma")</f>
        <v>Rhagologus leucostigma</v>
      </c>
      <c r="H537" t="s">
        <v>502</v>
      </c>
      <c r="I537" t="str">
        <f>HYPERLINK("http://www.ncbi.nlm.nih.gov/protein/NXB19095.1","FABPL protein")</f>
        <v>FABPL protein</v>
      </c>
      <c r="J537">
        <v>178.72</v>
      </c>
      <c r="K537" t="s">
        <v>25</v>
      </c>
      <c r="L537">
        <v>139</v>
      </c>
      <c r="M537">
        <v>50.68</v>
      </c>
      <c r="N537">
        <v>70.84</v>
      </c>
      <c r="O537" t="s">
        <v>20</v>
      </c>
      <c r="P537" t="s">
        <v>21</v>
      </c>
      <c r="Q537" t="s">
        <v>20</v>
      </c>
      <c r="R537" t="str">
        <f>HYPERLINK("https://cfpub.epa.gov/ecotox/explore.cfm?ncbi=156170","Explore in ECOTOX")</f>
        <v>Explore in ECOTOX</v>
      </c>
    </row>
    <row r="538" spans="1:18" x14ac:dyDescent="0.25">
      <c r="A538">
        <v>6</v>
      </c>
      <c r="B538" t="str">
        <f>HYPERLINK("http://www.ncbi.nlm.nih.gov/protein/NWR05044.1","NWR05044.1")</f>
        <v>NWR05044.1</v>
      </c>
      <c r="C538">
        <v>14772</v>
      </c>
      <c r="D538" t="str">
        <f>HYPERLINK("http://www.ncbi.nlm.nih.gov/Taxonomy/Browser/wwwtax.cgi?mode=Info&amp;id=337173&amp;lvl=3&amp;lin=f&amp;keep=1&amp;srchmode=1&amp;unlock","337173")</f>
        <v>337173</v>
      </c>
      <c r="E538" t="s">
        <v>167</v>
      </c>
      <c r="F538" t="s">
        <v>167</v>
      </c>
      <c r="G538" t="str">
        <f>HYPERLINK("http://www.ncbi.nlm.nih.gov/Taxonomy/Browser/wwwtax.cgi?mode=Info&amp;id=337173&amp;lvl=3&amp;lin=f&amp;keep=1&amp;srchmode=1&amp;unlock","Sinosuthora webbiana")</f>
        <v>Sinosuthora webbiana</v>
      </c>
      <c r="H538" t="s">
        <v>503</v>
      </c>
      <c r="I538" t="str">
        <f>HYPERLINK("http://www.ncbi.nlm.nih.gov/protein/NWR05044.1","FABPL protein")</f>
        <v>FABPL protein</v>
      </c>
      <c r="J538">
        <v>178.72</v>
      </c>
      <c r="K538" t="s">
        <v>25</v>
      </c>
      <c r="L538">
        <v>139</v>
      </c>
      <c r="M538">
        <v>50.68</v>
      </c>
      <c r="N538">
        <v>70.84</v>
      </c>
      <c r="O538" t="s">
        <v>20</v>
      </c>
      <c r="P538" t="s">
        <v>21</v>
      </c>
      <c r="Q538" t="s">
        <v>20</v>
      </c>
      <c r="R538" t="str">
        <f>HYPERLINK("https://cfpub.epa.gov/ecotox/explore.cfm?ncbi=337173","Explore in ECOTOX")</f>
        <v>Explore in ECOTOX</v>
      </c>
    </row>
    <row r="539" spans="1:18" x14ac:dyDescent="0.25">
      <c r="A539">
        <v>6</v>
      </c>
      <c r="B539" t="str">
        <f>HYPERLINK("http://www.ncbi.nlm.nih.gov/protein/XP_010077592.1","XP_010077592.1")</f>
        <v>XP_010077592.1</v>
      </c>
      <c r="C539">
        <v>27073</v>
      </c>
      <c r="D539" t="str">
        <f>HYPERLINK("http://www.ncbi.nlm.nih.gov/Taxonomy/Browser/wwwtax.cgi?mode=Info&amp;id=240206&amp;lvl=3&amp;lin=f&amp;keep=1&amp;srchmode=1&amp;unlock","240206")</f>
        <v>240206</v>
      </c>
      <c r="E539" t="s">
        <v>167</v>
      </c>
      <c r="F539" t="s">
        <v>167</v>
      </c>
      <c r="G539" t="str">
        <f>HYPERLINK("http://www.ncbi.nlm.nih.gov/Taxonomy/Browser/wwwtax.cgi?mode=Info&amp;id=240206&amp;lvl=3&amp;lin=f&amp;keep=1&amp;srchmode=1&amp;unlock","Pterocles gutturalis")</f>
        <v>Pterocles gutturalis</v>
      </c>
      <c r="H539" t="s">
        <v>504</v>
      </c>
      <c r="I539" t="str">
        <f>HYPERLINK("http://www.ncbi.nlm.nih.gov/protein/XP_010077592.1","PREDICTED: fatty acid-binding protein, liver")</f>
        <v>PREDICTED: fatty acid-binding protein, liver</v>
      </c>
      <c r="J539">
        <v>177.56</v>
      </c>
      <c r="K539" t="s">
        <v>25</v>
      </c>
      <c r="L539">
        <v>139</v>
      </c>
      <c r="M539">
        <v>50.68</v>
      </c>
      <c r="N539">
        <v>70.38</v>
      </c>
      <c r="O539" t="s">
        <v>20</v>
      </c>
      <c r="P539" t="s">
        <v>21</v>
      </c>
      <c r="Q539" t="s">
        <v>20</v>
      </c>
      <c r="R539" t="str">
        <f>HYPERLINK("https://cfpub.epa.gov/ecotox/explore.cfm?ncbi=240206","Explore in ECOTOX")</f>
        <v>Explore in ECOTOX</v>
      </c>
    </row>
    <row r="540" spans="1:18" x14ac:dyDescent="0.25">
      <c r="A540">
        <v>6</v>
      </c>
      <c r="B540" t="str">
        <f>HYPERLINK("http://www.ncbi.nlm.nih.gov/protein/NWV86238.1","NWV86238.1")</f>
        <v>NWV86238.1</v>
      </c>
      <c r="C540">
        <v>14411</v>
      </c>
      <c r="D540" t="str">
        <f>HYPERLINK("http://www.ncbi.nlm.nih.gov/Taxonomy/Browser/wwwtax.cgi?mode=Info&amp;id=243059&amp;lvl=3&amp;lin=f&amp;keep=1&amp;srchmode=1&amp;unlock","243059")</f>
        <v>243059</v>
      </c>
      <c r="E540" t="s">
        <v>167</v>
      </c>
      <c r="F540" t="s">
        <v>167</v>
      </c>
      <c r="G540" t="str">
        <f>HYPERLINK("http://www.ncbi.nlm.nih.gov/Taxonomy/Browser/wwwtax.cgi?mode=Info&amp;id=243059&amp;lvl=3&amp;lin=f&amp;keep=1&amp;srchmode=1&amp;unlock","Dasyornis broadbenti")</f>
        <v>Dasyornis broadbenti</v>
      </c>
      <c r="H540" t="s">
        <v>505</v>
      </c>
      <c r="I540" t="str">
        <f>HYPERLINK("http://www.ncbi.nlm.nih.gov/protein/NWV86238.1","FABPL protein")</f>
        <v>FABPL protein</v>
      </c>
      <c r="J540">
        <v>176.79</v>
      </c>
      <c r="K540" t="s">
        <v>25</v>
      </c>
      <c r="L540">
        <v>139</v>
      </c>
      <c r="M540">
        <v>50.68</v>
      </c>
      <c r="N540">
        <v>70.069999999999993</v>
      </c>
      <c r="O540" t="s">
        <v>20</v>
      </c>
      <c r="P540" t="s">
        <v>21</v>
      </c>
      <c r="Q540" t="s">
        <v>20</v>
      </c>
      <c r="R540" t="str">
        <f>HYPERLINK("https://cfpub.epa.gov/ecotox/explore.cfm?ncbi=243059","Explore in ECOTOX")</f>
        <v>Explore in ECOTOX</v>
      </c>
    </row>
    <row r="541" spans="1:18" x14ac:dyDescent="0.25">
      <c r="A541">
        <v>6</v>
      </c>
      <c r="B541" t="str">
        <f>HYPERLINK("http://www.ncbi.nlm.nih.gov/protein/NXE07216.1","NXE07216.1")</f>
        <v>NXE07216.1</v>
      </c>
      <c r="C541">
        <v>13942</v>
      </c>
      <c r="D541" t="str">
        <f>HYPERLINK("http://www.ncbi.nlm.nih.gov/Taxonomy/Browser/wwwtax.cgi?mode=Info&amp;id=172689&amp;lvl=3&amp;lin=f&amp;keep=1&amp;srchmode=1&amp;unlock","172689")</f>
        <v>172689</v>
      </c>
      <c r="E541" t="s">
        <v>167</v>
      </c>
      <c r="F541" t="s">
        <v>167</v>
      </c>
      <c r="G541" t="str">
        <f>HYPERLINK("http://www.ncbi.nlm.nih.gov/Taxonomy/Browser/wwwtax.cgi?mode=Info&amp;id=172689&amp;lvl=3&amp;lin=f&amp;keep=1&amp;srchmode=1&amp;unlock","Lophotis ruficrista")</f>
        <v>Lophotis ruficrista</v>
      </c>
      <c r="H541" t="s">
        <v>182</v>
      </c>
      <c r="I541" t="str">
        <f>HYPERLINK("http://www.ncbi.nlm.nih.gov/protein/NXE07216.1","FABPL protein")</f>
        <v>FABPL protein</v>
      </c>
      <c r="J541">
        <v>176.79</v>
      </c>
      <c r="K541" t="s">
        <v>25</v>
      </c>
      <c r="L541">
        <v>139</v>
      </c>
      <c r="M541">
        <v>50.68</v>
      </c>
      <c r="N541">
        <v>70.069999999999993</v>
      </c>
      <c r="O541" t="s">
        <v>20</v>
      </c>
      <c r="P541" t="s">
        <v>21</v>
      </c>
      <c r="Q541" t="s">
        <v>20</v>
      </c>
      <c r="R541" t="str">
        <f>HYPERLINK("https://cfpub.epa.gov/ecotox/explore.cfm?ncbi=172689","Explore in ECOTOX")</f>
        <v>Explore in ECOTOX</v>
      </c>
    </row>
    <row r="542" spans="1:18" x14ac:dyDescent="0.25">
      <c r="A542">
        <v>6</v>
      </c>
      <c r="B542" t="str">
        <f>HYPERLINK("http://www.ncbi.nlm.nih.gov/protein/XP_028829487.1","XP_028829487.1")</f>
        <v>XP_028829487.1</v>
      </c>
      <c r="C542">
        <v>50098</v>
      </c>
      <c r="D542" t="str">
        <f>HYPERLINK("http://www.ncbi.nlm.nih.gov/Taxonomy/Browser/wwwtax.cgi?mode=Info&amp;id=299321&amp;lvl=3&amp;lin=f&amp;keep=1&amp;srchmode=1&amp;unlock","299321")</f>
        <v>299321</v>
      </c>
      <c r="E542" t="s">
        <v>384</v>
      </c>
      <c r="F542" t="s">
        <v>384</v>
      </c>
      <c r="G542" t="str">
        <f>HYPERLINK("http://www.ncbi.nlm.nih.gov/Taxonomy/Browser/wwwtax.cgi?mode=Info&amp;id=299321&amp;lvl=3&amp;lin=f&amp;keep=1&amp;srchmode=1&amp;unlock","Denticeps clupeoides")</f>
        <v>Denticeps clupeoides</v>
      </c>
      <c r="H542" t="s">
        <v>506</v>
      </c>
      <c r="I542" t="str">
        <f>HYPERLINK("http://www.ncbi.nlm.nih.gov/protein/XP_028829487.1","fatty acid-binding protein, liver-type-like")</f>
        <v>fatty acid-binding protein, liver-type-like</v>
      </c>
      <c r="J542">
        <v>176.41</v>
      </c>
      <c r="K542" t="s">
        <v>25</v>
      </c>
      <c r="L542">
        <v>139</v>
      </c>
      <c r="M542">
        <v>50.68</v>
      </c>
      <c r="N542">
        <v>69.92</v>
      </c>
      <c r="O542" t="s">
        <v>20</v>
      </c>
      <c r="P542" t="s">
        <v>21</v>
      </c>
      <c r="Q542" t="s">
        <v>20</v>
      </c>
      <c r="R542" t="str">
        <f>HYPERLINK("https://cfpub.epa.gov/ecotox/explore.cfm?ncbi=299321","Explore in ECOTOX")</f>
        <v>Explore in ECOTOX</v>
      </c>
    </row>
    <row r="543" spans="1:18" x14ac:dyDescent="0.25">
      <c r="A543">
        <v>6</v>
      </c>
      <c r="B543" t="str">
        <f>HYPERLINK("http://www.ncbi.nlm.nih.gov/protein/XP_036436059.1","XP_036436059.1")</f>
        <v>XP_036436059.1</v>
      </c>
      <c r="C543">
        <v>43803</v>
      </c>
      <c r="D543" t="str">
        <f>HYPERLINK("http://www.ncbi.nlm.nih.gov/Taxonomy/Browser/wwwtax.cgi?mode=Info&amp;id=42526&amp;lvl=3&amp;lin=f&amp;keep=1&amp;srchmode=1&amp;unlock","42526")</f>
        <v>42526</v>
      </c>
      <c r="E543" t="s">
        <v>384</v>
      </c>
      <c r="F543" t="s">
        <v>384</v>
      </c>
      <c r="G543" t="str">
        <f>HYPERLINK("http://www.ncbi.nlm.nih.gov/Taxonomy/Browser/wwwtax.cgi?mode=Info&amp;id=42526&amp;lvl=3&amp;lin=f&amp;keep=1&amp;srchmode=1&amp;unlock","Colossoma macropomum")</f>
        <v>Colossoma macropomum</v>
      </c>
      <c r="H543" t="s">
        <v>507</v>
      </c>
      <c r="I543" t="str">
        <f>HYPERLINK("http://www.ncbi.nlm.nih.gov/protein/XP_036436059.1","fatty acid binding protein 1-A, liver")</f>
        <v>fatty acid binding protein 1-A, liver</v>
      </c>
      <c r="J543">
        <v>176.02</v>
      </c>
      <c r="K543" t="s">
        <v>25</v>
      </c>
      <c r="L543">
        <v>139</v>
      </c>
      <c r="M543">
        <v>50.68</v>
      </c>
      <c r="N543">
        <v>69.77</v>
      </c>
      <c r="O543" t="s">
        <v>20</v>
      </c>
      <c r="P543" t="s">
        <v>21</v>
      </c>
      <c r="Q543" t="s">
        <v>20</v>
      </c>
      <c r="R543" t="str">
        <f>HYPERLINK("https://cfpub.epa.gov/ecotox/explore.cfm?ncbi=42526","Explore in ECOTOX")</f>
        <v>Explore in ECOTOX</v>
      </c>
    </row>
    <row r="544" spans="1:18" x14ac:dyDescent="0.25">
      <c r="A544">
        <v>6</v>
      </c>
      <c r="B544" t="str">
        <f>HYPERLINK("http://www.ncbi.nlm.nih.gov/protein/XP_007254048.1","XP_007254048.1")</f>
        <v>XP_007254048.1</v>
      </c>
      <c r="C544">
        <v>42884</v>
      </c>
      <c r="D544" t="str">
        <f>HYPERLINK("http://www.ncbi.nlm.nih.gov/Taxonomy/Browser/wwwtax.cgi?mode=Info&amp;id=7994&amp;lvl=3&amp;lin=f&amp;keep=1&amp;srchmode=1&amp;unlock","7994")</f>
        <v>7994</v>
      </c>
      <c r="E544" t="s">
        <v>384</v>
      </c>
      <c r="F544" t="s">
        <v>384</v>
      </c>
      <c r="G544" t="str">
        <f>HYPERLINK("http://www.ncbi.nlm.nih.gov/Taxonomy/Browser/wwwtax.cgi?mode=Info&amp;id=7994&amp;lvl=3&amp;lin=f&amp;keep=1&amp;srchmode=1&amp;unlock","Astyanax mexicanus")</f>
        <v>Astyanax mexicanus</v>
      </c>
      <c r="H544" t="s">
        <v>508</v>
      </c>
      <c r="I544" t="str">
        <f>HYPERLINK("http://www.ncbi.nlm.nih.gov/protein/XP_007254048.1","fatty acid-binding protein, liver-type")</f>
        <v>fatty acid-binding protein, liver-type</v>
      </c>
      <c r="J544">
        <v>176.02</v>
      </c>
      <c r="K544" t="s">
        <v>25</v>
      </c>
      <c r="L544">
        <v>139</v>
      </c>
      <c r="M544">
        <v>50.68</v>
      </c>
      <c r="N544">
        <v>69.77</v>
      </c>
      <c r="O544" t="s">
        <v>20</v>
      </c>
      <c r="P544" t="s">
        <v>21</v>
      </c>
      <c r="Q544" t="s">
        <v>20</v>
      </c>
      <c r="R544" t="str">
        <f>HYPERLINK("https://cfpub.epa.gov/ecotox/explore.cfm?ncbi=7994","Explore in ECOTOX")</f>
        <v>Explore in ECOTOX</v>
      </c>
    </row>
    <row r="545" spans="1:18" x14ac:dyDescent="0.25">
      <c r="A545">
        <v>6</v>
      </c>
      <c r="B545" t="str">
        <f>HYPERLINK("http://www.ncbi.nlm.nih.gov/protein/NXT29598.1","NXT29598.1")</f>
        <v>NXT29598.1</v>
      </c>
      <c r="C545">
        <v>13562</v>
      </c>
      <c r="D545" t="str">
        <f>HYPERLINK("http://www.ncbi.nlm.nih.gov/Taxonomy/Browser/wwwtax.cgi?mode=Info&amp;id=302527&amp;lvl=3&amp;lin=f&amp;keep=1&amp;srchmode=1&amp;unlock","302527")</f>
        <v>302527</v>
      </c>
      <c r="E545" t="s">
        <v>167</v>
      </c>
      <c r="F545" t="s">
        <v>167</v>
      </c>
      <c r="G545" t="str">
        <f>HYPERLINK("http://www.ncbi.nlm.nih.gov/Taxonomy/Browser/wwwtax.cgi?mode=Info&amp;id=302527&amp;lvl=3&amp;lin=f&amp;keep=1&amp;srchmode=1&amp;unlock","Syrrhaptes paradoxus")</f>
        <v>Syrrhaptes paradoxus</v>
      </c>
      <c r="H545" t="s">
        <v>509</v>
      </c>
      <c r="I545" t="str">
        <f>HYPERLINK("http://www.ncbi.nlm.nih.gov/protein/NXT29598.1","FABPL protein")</f>
        <v>FABPL protein</v>
      </c>
      <c r="J545">
        <v>176.02</v>
      </c>
      <c r="K545" t="s">
        <v>20</v>
      </c>
      <c r="L545">
        <v>139</v>
      </c>
      <c r="M545">
        <v>50.68</v>
      </c>
      <c r="N545">
        <v>69.77</v>
      </c>
      <c r="O545" t="s">
        <v>20</v>
      </c>
      <c r="P545" t="s">
        <v>21</v>
      </c>
      <c r="Q545" t="s">
        <v>20</v>
      </c>
      <c r="R545" t="str">
        <f>HYPERLINK("https://cfpub.epa.gov/ecotox/explore.cfm?ncbi=302527","Explore in ECOTOX")</f>
        <v>Explore in ECOTOX</v>
      </c>
    </row>
    <row r="546" spans="1:18" x14ac:dyDescent="0.25">
      <c r="A546">
        <v>6</v>
      </c>
      <c r="B546" t="str">
        <f>HYPERLINK("http://www.ncbi.nlm.nih.gov/protein/XP_017557159.1","XP_017557159.1")</f>
        <v>XP_017557159.1</v>
      </c>
      <c r="C546">
        <v>50677</v>
      </c>
      <c r="D546" t="str">
        <f>HYPERLINK("http://www.ncbi.nlm.nih.gov/Taxonomy/Browser/wwwtax.cgi?mode=Info&amp;id=42514&amp;lvl=3&amp;lin=f&amp;keep=1&amp;srchmode=1&amp;unlock","42514")</f>
        <v>42514</v>
      </c>
      <c r="E546" t="s">
        <v>384</v>
      </c>
      <c r="F546" t="s">
        <v>384</v>
      </c>
      <c r="G546" t="str">
        <f>HYPERLINK("http://www.ncbi.nlm.nih.gov/Taxonomy/Browser/wwwtax.cgi?mode=Info&amp;id=42514&amp;lvl=3&amp;lin=f&amp;keep=1&amp;srchmode=1&amp;unlock","Pygocentrus nattereri")</f>
        <v>Pygocentrus nattereri</v>
      </c>
      <c r="H546" t="s">
        <v>510</v>
      </c>
      <c r="I546" t="str">
        <f>HYPERLINK("http://www.ncbi.nlm.nih.gov/protein/XP_017557159.1","fatty acid binding protein 1-A, liver")</f>
        <v>fatty acid binding protein 1-A, liver</v>
      </c>
      <c r="J546">
        <v>175.64</v>
      </c>
      <c r="K546" t="s">
        <v>20</v>
      </c>
      <c r="L546">
        <v>139</v>
      </c>
      <c r="M546">
        <v>50.68</v>
      </c>
      <c r="N546">
        <v>69.62</v>
      </c>
      <c r="O546" t="s">
        <v>20</v>
      </c>
      <c r="P546" t="s">
        <v>21</v>
      </c>
      <c r="Q546" t="s">
        <v>20</v>
      </c>
      <c r="R546" t="str">
        <f>HYPERLINK("https://cfpub.epa.gov/ecotox/explore.cfm?ncbi=42514","Explore in ECOTOX")</f>
        <v>Explore in ECOTOX</v>
      </c>
    </row>
    <row r="547" spans="1:18" x14ac:dyDescent="0.25">
      <c r="A547">
        <v>6</v>
      </c>
      <c r="B547" t="str">
        <f>HYPERLINK("http://www.ncbi.nlm.nih.gov/protein/ALF07222.1","ALF07222.1")</f>
        <v>ALF07222.1</v>
      </c>
      <c r="C547">
        <v>484</v>
      </c>
      <c r="D547" t="str">
        <f>HYPERLINK("http://www.ncbi.nlm.nih.gov/Taxonomy/Browser/wwwtax.cgi?mode=Info&amp;id=34892&amp;lvl=3&amp;lin=f&amp;keep=1&amp;srchmode=1&amp;unlock","34892")</f>
        <v>34892</v>
      </c>
      <c r="E547" t="s">
        <v>18</v>
      </c>
      <c r="F547" t="s">
        <v>18</v>
      </c>
      <c r="G547" t="str">
        <f>HYPERLINK("http://www.ncbi.nlm.nih.gov/Taxonomy/Browser/wwwtax.cgi?mode=Info&amp;id=34892&amp;lvl=3&amp;lin=f&amp;keep=1&amp;srchmode=1&amp;unlock","Neophocaena phocaenoides")</f>
        <v>Neophocaena phocaenoides</v>
      </c>
      <c r="H547" t="s">
        <v>511</v>
      </c>
      <c r="I547" t="str">
        <f>HYPERLINK("http://www.ncbi.nlm.nih.gov/protein/ALF07222.1","liver fatty acid binding protein 1, partial")</f>
        <v>liver fatty acid binding protein 1, partial</v>
      </c>
      <c r="J547">
        <v>175.64</v>
      </c>
      <c r="K547" t="s">
        <v>20</v>
      </c>
      <c r="L547">
        <v>139</v>
      </c>
      <c r="M547">
        <v>50.68</v>
      </c>
      <c r="N547">
        <v>69.62</v>
      </c>
      <c r="O547" t="s">
        <v>20</v>
      </c>
      <c r="P547" t="s">
        <v>21</v>
      </c>
      <c r="Q547" t="s">
        <v>20</v>
      </c>
      <c r="R547" t="str">
        <f>HYPERLINK("https://cfpub.epa.gov/ecotox/explore.cfm?ncbi=34892","Explore in ECOTOX")</f>
        <v>Explore in ECOTOX</v>
      </c>
    </row>
    <row r="548" spans="1:18" x14ac:dyDescent="0.25">
      <c r="A548">
        <v>6</v>
      </c>
      <c r="B548" t="str">
        <f>HYPERLINK("http://www.ncbi.nlm.nih.gov/protein/XP_034782898.1","XP_034782898.1")</f>
        <v>XP_034782898.1</v>
      </c>
      <c r="C548">
        <v>89392</v>
      </c>
      <c r="D548" t="str">
        <f>HYPERLINK("http://www.ncbi.nlm.nih.gov/Taxonomy/Browser/wwwtax.cgi?mode=Info&amp;id=7906&amp;lvl=3&amp;lin=f&amp;keep=1&amp;srchmode=1&amp;unlock","7906")</f>
        <v>7906</v>
      </c>
      <c r="E548" t="s">
        <v>384</v>
      </c>
      <c r="F548" t="s">
        <v>384</v>
      </c>
      <c r="G548" t="str">
        <f>HYPERLINK("http://www.ncbi.nlm.nih.gov/Taxonomy/Browser/wwwtax.cgi?mode=Info&amp;id=7906&amp;lvl=3&amp;lin=f&amp;keep=1&amp;srchmode=1&amp;unlock","Acipenser ruthenus")</f>
        <v>Acipenser ruthenus</v>
      </c>
      <c r="H548" t="s">
        <v>512</v>
      </c>
      <c r="I548" t="str">
        <f>HYPERLINK("http://www.ncbi.nlm.nih.gov/protein/XP_034782898.1","fatty acid-binding protein, liver-type-like")</f>
        <v>fatty acid-binding protein, liver-type-like</v>
      </c>
      <c r="J548">
        <v>175.25</v>
      </c>
      <c r="K548" t="s">
        <v>25</v>
      </c>
      <c r="L548">
        <v>139</v>
      </c>
      <c r="M548">
        <v>50.68</v>
      </c>
      <c r="N548">
        <v>69.459999999999994</v>
      </c>
      <c r="O548" t="s">
        <v>20</v>
      </c>
      <c r="P548" t="s">
        <v>21</v>
      </c>
      <c r="Q548" t="s">
        <v>20</v>
      </c>
      <c r="R548" t="str">
        <f>HYPERLINK("https://cfpub.epa.gov/ecotox/explore.cfm?ncbi=7906","Explore in ECOTOX")</f>
        <v>Explore in ECOTOX</v>
      </c>
    </row>
    <row r="549" spans="1:18" x14ac:dyDescent="0.25">
      <c r="A549">
        <v>6</v>
      </c>
      <c r="B549" t="str">
        <f>HYPERLINK("http://www.ncbi.nlm.nih.gov/protein/NWX87093.1","NWX87093.1")</f>
        <v>NWX87093.1</v>
      </c>
      <c r="C549">
        <v>13431</v>
      </c>
      <c r="D549" t="str">
        <f>HYPERLINK("http://www.ncbi.nlm.nih.gov/Taxonomy/Browser/wwwtax.cgi?mode=Info&amp;id=2585814&amp;lvl=3&amp;lin=f&amp;keep=1&amp;srchmode=1&amp;unlock","2585814")</f>
        <v>2585814</v>
      </c>
      <c r="E549" t="s">
        <v>167</v>
      </c>
      <c r="F549" t="s">
        <v>167</v>
      </c>
      <c r="G549" t="str">
        <f>HYPERLINK("http://www.ncbi.nlm.nih.gov/Taxonomy/Browser/wwwtax.cgi?mode=Info&amp;id=2585814&amp;lvl=3&amp;lin=f&amp;keep=1&amp;srchmode=1&amp;unlock","Nothoprocta pentlandii")</f>
        <v>Nothoprocta pentlandii</v>
      </c>
      <c r="H549" t="s">
        <v>196</v>
      </c>
      <c r="I549" t="str">
        <f>HYPERLINK("http://www.ncbi.nlm.nih.gov/protein/NWX87093.1","FABPL protein")</f>
        <v>FABPL protein</v>
      </c>
      <c r="J549">
        <v>175.25</v>
      </c>
      <c r="K549" t="s">
        <v>20</v>
      </c>
      <c r="L549">
        <v>139</v>
      </c>
      <c r="M549">
        <v>50.68</v>
      </c>
      <c r="N549">
        <v>69.459999999999994</v>
      </c>
      <c r="O549" t="s">
        <v>20</v>
      </c>
      <c r="P549" t="s">
        <v>21</v>
      </c>
      <c r="Q549" t="s">
        <v>20</v>
      </c>
      <c r="R549" t="str">
        <f>HYPERLINK("https://cfpub.epa.gov/ecotox/explore.cfm?ncbi=2585814","Explore in ECOTOX")</f>
        <v>Explore in ECOTOX</v>
      </c>
    </row>
    <row r="550" spans="1:18" x14ac:dyDescent="0.25">
      <c r="A550">
        <v>6</v>
      </c>
      <c r="B550" t="str">
        <f>HYPERLINK("http://www.ncbi.nlm.nih.gov/protein/NXH50913.1","NXH50913.1")</f>
        <v>NXH50913.1</v>
      </c>
      <c r="C550">
        <v>13663</v>
      </c>
      <c r="D550" t="str">
        <f>HYPERLINK("http://www.ncbi.nlm.nih.gov/Taxonomy/Browser/wwwtax.cgi?mode=Info&amp;id=667154&amp;lvl=3&amp;lin=f&amp;keep=1&amp;srchmode=1&amp;unlock","667154")</f>
        <v>667154</v>
      </c>
      <c r="E550" t="s">
        <v>167</v>
      </c>
      <c r="F550" t="s">
        <v>167</v>
      </c>
      <c r="G550" t="str">
        <f>HYPERLINK("http://www.ncbi.nlm.nih.gov/Taxonomy/Browser/wwwtax.cgi?mode=Info&amp;id=667154&amp;lvl=3&amp;lin=f&amp;keep=1&amp;srchmode=1&amp;unlock","Dicaeum eximium")</f>
        <v>Dicaeum eximium</v>
      </c>
      <c r="H550" t="s">
        <v>206</v>
      </c>
      <c r="I550" t="str">
        <f>HYPERLINK("http://www.ncbi.nlm.nih.gov/protein/NXH50913.1","FABPL protein")</f>
        <v>FABPL protein</v>
      </c>
      <c r="J550">
        <v>175.25</v>
      </c>
      <c r="K550" t="s">
        <v>25</v>
      </c>
      <c r="L550">
        <v>139</v>
      </c>
      <c r="M550">
        <v>50.68</v>
      </c>
      <c r="N550">
        <v>69.459999999999994</v>
      </c>
      <c r="O550" t="s">
        <v>20</v>
      </c>
      <c r="P550" t="s">
        <v>21</v>
      </c>
      <c r="Q550" t="s">
        <v>20</v>
      </c>
      <c r="R550" t="str">
        <f>HYPERLINK("https://cfpub.epa.gov/ecotox/explore.cfm?ncbi=667154","Explore in ECOTOX")</f>
        <v>Explore in ECOTOX</v>
      </c>
    </row>
    <row r="551" spans="1:18" x14ac:dyDescent="0.25">
      <c r="A551">
        <v>6</v>
      </c>
      <c r="B551" t="str">
        <f>HYPERLINK("http://www.ncbi.nlm.nih.gov/protein/NWX96389.1","NWX96389.1")</f>
        <v>NWX96389.1</v>
      </c>
      <c r="C551">
        <v>13754</v>
      </c>
      <c r="D551" t="str">
        <f>HYPERLINK("http://www.ncbi.nlm.nih.gov/Taxonomy/Browser/wwwtax.cgi?mode=Info&amp;id=83376&amp;lvl=3&amp;lin=f&amp;keep=1&amp;srchmode=1&amp;unlock","83376")</f>
        <v>83376</v>
      </c>
      <c r="E551" t="s">
        <v>167</v>
      </c>
      <c r="F551" t="s">
        <v>167</v>
      </c>
      <c r="G551" t="str">
        <f>HYPERLINK("http://www.ncbi.nlm.nih.gov/Taxonomy/Browser/wwwtax.cgi?mode=Info&amp;id=83376&amp;lvl=3&amp;lin=f&amp;keep=1&amp;srchmode=1&amp;unlock","Nothoprocta ornata")</f>
        <v>Nothoprocta ornata</v>
      </c>
      <c r="H551" t="s">
        <v>196</v>
      </c>
      <c r="I551" t="str">
        <f>HYPERLINK("http://www.ncbi.nlm.nih.gov/protein/NWX96389.1","FABPL protein")</f>
        <v>FABPL protein</v>
      </c>
      <c r="J551">
        <v>175.25</v>
      </c>
      <c r="K551" t="s">
        <v>20</v>
      </c>
      <c r="L551">
        <v>139</v>
      </c>
      <c r="M551">
        <v>50.68</v>
      </c>
      <c r="N551">
        <v>69.459999999999994</v>
      </c>
      <c r="O551" t="s">
        <v>20</v>
      </c>
      <c r="P551" t="s">
        <v>21</v>
      </c>
      <c r="Q551" t="s">
        <v>20</v>
      </c>
      <c r="R551" t="str">
        <f>HYPERLINK("https://cfpub.epa.gov/ecotox/explore.cfm?ncbi=83376","Explore in ECOTOX")</f>
        <v>Explore in ECOTOX</v>
      </c>
    </row>
    <row r="552" spans="1:18" x14ac:dyDescent="0.25">
      <c r="A552">
        <v>6</v>
      </c>
      <c r="B552" t="str">
        <f>HYPERLINK("http://www.ncbi.nlm.nih.gov/protein/KAG1957691.1","KAG1957691.1")</f>
        <v>KAG1957691.1</v>
      </c>
      <c r="C552">
        <v>96106</v>
      </c>
      <c r="D552" t="str">
        <f>HYPERLINK("http://www.ncbi.nlm.nih.gov/Taxonomy/Browser/wwwtax.cgi?mode=Info&amp;id=90988&amp;lvl=3&amp;lin=f&amp;keep=1&amp;srchmode=1&amp;unlock","90988")</f>
        <v>90988</v>
      </c>
      <c r="E552" t="s">
        <v>384</v>
      </c>
      <c r="F552" t="s">
        <v>384</v>
      </c>
      <c r="G552" t="str">
        <f>HYPERLINK("http://www.ncbi.nlm.nih.gov/Taxonomy/Browser/wwwtax.cgi?mode=Info&amp;id=90988&amp;lvl=3&amp;lin=f&amp;keep=1&amp;srchmode=1&amp;unlock","Pimephales promelas")</f>
        <v>Pimephales promelas</v>
      </c>
      <c r="H552" t="s">
        <v>513</v>
      </c>
      <c r="I552" t="str">
        <f>HYPERLINK("http://www.ncbi.nlm.nih.gov/protein/KAG1957691.1","fatty acid-binding protein, liver")</f>
        <v>fatty acid-binding protein, liver</v>
      </c>
      <c r="J552">
        <v>174.48</v>
      </c>
      <c r="K552" t="s">
        <v>25</v>
      </c>
      <c r="L552">
        <v>139</v>
      </c>
      <c r="M552">
        <v>50.68</v>
      </c>
      <c r="N552">
        <v>69.16</v>
      </c>
      <c r="O552" t="s">
        <v>20</v>
      </c>
      <c r="P552" t="s">
        <v>21</v>
      </c>
      <c r="Q552" t="s">
        <v>20</v>
      </c>
      <c r="R552" t="str">
        <f>HYPERLINK("https://cfpub.epa.gov/ecotox/explore.cfm?ncbi=90988","Explore in ECOTOX")</f>
        <v>Explore in ECOTOX</v>
      </c>
    </row>
    <row r="553" spans="1:18" x14ac:dyDescent="0.25">
      <c r="A553">
        <v>6</v>
      </c>
      <c r="B553" t="str">
        <f>HYPERLINK("http://www.ncbi.nlm.nih.gov/protein/NXJ35422.1","NXJ35422.1")</f>
        <v>NXJ35422.1</v>
      </c>
      <c r="C553">
        <v>13317</v>
      </c>
      <c r="D553" t="str">
        <f>HYPERLINK("http://www.ncbi.nlm.nih.gov/Taxonomy/Browser/wwwtax.cgi?mode=Info&amp;id=52777&amp;lvl=3&amp;lin=f&amp;keep=1&amp;srchmode=1&amp;unlock","52777")</f>
        <v>52777</v>
      </c>
      <c r="E553" t="s">
        <v>167</v>
      </c>
      <c r="F553" t="s">
        <v>167</v>
      </c>
      <c r="G553" t="str">
        <f>HYPERLINK("http://www.ncbi.nlm.nih.gov/Taxonomy/Browser/wwwtax.cgi?mode=Info&amp;id=52777&amp;lvl=3&amp;lin=f&amp;keep=1&amp;srchmode=1&amp;unlock","Ciconia maguari")</f>
        <v>Ciconia maguari</v>
      </c>
      <c r="H553" t="s">
        <v>514</v>
      </c>
      <c r="I553" t="str">
        <f>HYPERLINK("http://www.ncbi.nlm.nih.gov/protein/NXJ35422.1","FABPL protein")</f>
        <v>FABPL protein</v>
      </c>
      <c r="J553">
        <v>174.1</v>
      </c>
      <c r="K553" t="s">
        <v>20</v>
      </c>
      <c r="L553">
        <v>139</v>
      </c>
      <c r="M553">
        <v>50.68</v>
      </c>
      <c r="N553">
        <v>69.010000000000005</v>
      </c>
      <c r="O553" t="s">
        <v>20</v>
      </c>
      <c r="P553" t="s">
        <v>21</v>
      </c>
      <c r="Q553" t="s">
        <v>20</v>
      </c>
      <c r="R553" t="str">
        <f>HYPERLINK("https://cfpub.epa.gov/ecotox/explore.cfm?ncbi=52777","Explore in ECOTOX")</f>
        <v>Explore in ECOTOX</v>
      </c>
    </row>
    <row r="554" spans="1:18" x14ac:dyDescent="0.25">
      <c r="A554">
        <v>6</v>
      </c>
      <c r="B554" t="str">
        <f>HYPERLINK("http://www.ncbi.nlm.nih.gov/protein/XP_033472370.1","XP_033472370.1")</f>
        <v>XP_033472370.1</v>
      </c>
      <c r="C554">
        <v>43073</v>
      </c>
      <c r="D554" t="str">
        <f>HYPERLINK("http://www.ncbi.nlm.nih.gov/Taxonomy/Browser/wwwtax.cgi?mode=Info&amp;id=310571&amp;lvl=3&amp;lin=f&amp;keep=1&amp;srchmode=1&amp;unlock","310571")</f>
        <v>310571</v>
      </c>
      <c r="E554" t="s">
        <v>384</v>
      </c>
      <c r="F554" t="s">
        <v>384</v>
      </c>
      <c r="G554" t="str">
        <f>HYPERLINK("http://www.ncbi.nlm.nih.gov/Taxonomy/Browser/wwwtax.cgi?mode=Info&amp;id=310571&amp;lvl=3&amp;lin=f&amp;keep=1&amp;srchmode=1&amp;unlock","Epinephelus lanceolatus")</f>
        <v>Epinephelus lanceolatus</v>
      </c>
      <c r="H554" t="s">
        <v>515</v>
      </c>
      <c r="I554" t="str">
        <f>HYPERLINK("http://www.ncbi.nlm.nih.gov/protein/XP_033472370.1","fatty acid-binding protein, liver-type")</f>
        <v>fatty acid-binding protein, liver-type</v>
      </c>
      <c r="J554">
        <v>174.1</v>
      </c>
      <c r="K554" t="s">
        <v>25</v>
      </c>
      <c r="L554">
        <v>139</v>
      </c>
      <c r="M554">
        <v>50.68</v>
      </c>
      <c r="N554">
        <v>69.010000000000005</v>
      </c>
      <c r="O554" t="s">
        <v>20</v>
      </c>
      <c r="P554" t="s">
        <v>21</v>
      </c>
      <c r="Q554" t="s">
        <v>20</v>
      </c>
      <c r="R554" t="str">
        <f>HYPERLINK("https://cfpub.epa.gov/ecotox/explore.cfm?ncbi=310571","Explore in ECOTOX")</f>
        <v>Explore in ECOTOX</v>
      </c>
    </row>
    <row r="555" spans="1:18" x14ac:dyDescent="0.25">
      <c r="A555">
        <v>6</v>
      </c>
      <c r="B555" t="str">
        <f>HYPERLINK("http://www.ncbi.nlm.nih.gov/protein/RXN13305.1","RXN13305.1")</f>
        <v>RXN13305.1</v>
      </c>
      <c r="C555">
        <v>37718</v>
      </c>
      <c r="D555" t="str">
        <f>HYPERLINK("http://www.ncbi.nlm.nih.gov/Taxonomy/Browser/wwwtax.cgi?mode=Info&amp;id=84645&amp;lvl=3&amp;lin=f&amp;keep=1&amp;srchmode=1&amp;unlock","84645")</f>
        <v>84645</v>
      </c>
      <c r="E555" t="s">
        <v>384</v>
      </c>
      <c r="F555" t="s">
        <v>384</v>
      </c>
      <c r="G555" t="str">
        <f>HYPERLINK("http://www.ncbi.nlm.nih.gov/Taxonomy/Browser/wwwtax.cgi?mode=Info&amp;id=84645&amp;lvl=3&amp;lin=f&amp;keep=1&amp;srchmode=1&amp;unlock","Labeo rohita")</f>
        <v>Labeo rohita</v>
      </c>
      <c r="H555" t="s">
        <v>516</v>
      </c>
      <c r="I555" t="str">
        <f>HYPERLINK("http://www.ncbi.nlm.nih.gov/protein/RXN13305.1","fatty acid-binding liver")</f>
        <v>fatty acid-binding liver</v>
      </c>
      <c r="J555">
        <v>173.71</v>
      </c>
      <c r="K555" t="s">
        <v>25</v>
      </c>
      <c r="L555">
        <v>139</v>
      </c>
      <c r="M555">
        <v>50.68</v>
      </c>
      <c r="N555">
        <v>68.849999999999994</v>
      </c>
      <c r="O555" t="s">
        <v>20</v>
      </c>
      <c r="P555" t="s">
        <v>21</v>
      </c>
      <c r="Q555" t="s">
        <v>20</v>
      </c>
      <c r="R555" t="str">
        <f>HYPERLINK("https://cfpub.epa.gov/ecotox/explore.cfm?ncbi=84645","Explore in ECOTOX")</f>
        <v>Explore in ECOTOX</v>
      </c>
    </row>
    <row r="556" spans="1:18" x14ac:dyDescent="0.25">
      <c r="A556">
        <v>6</v>
      </c>
      <c r="B556" t="str">
        <f>HYPERLINK("http://www.ncbi.nlm.nih.gov/protein/KAF5915014.1","KAF5915014.1")</f>
        <v>KAF5915014.1</v>
      </c>
      <c r="C556">
        <v>19611</v>
      </c>
      <c r="D556" t="str">
        <f>HYPERLINK("http://www.ncbi.nlm.nih.gov/Taxonomy/Browser/wwwtax.cgi?mode=Info&amp;id=77932&amp;lvl=3&amp;lin=f&amp;keep=1&amp;srchmode=1&amp;unlock","77932")</f>
        <v>77932</v>
      </c>
      <c r="E556" t="s">
        <v>18</v>
      </c>
      <c r="F556" t="s">
        <v>18</v>
      </c>
      <c r="G556" t="str">
        <f>HYPERLINK("http://www.ncbi.nlm.nih.gov/Taxonomy/Browser/wwwtax.cgi?mode=Info&amp;id=77932&amp;lvl=3&amp;lin=f&amp;keep=1&amp;srchmode=1&amp;unlock","Diceros bicornis minor")</f>
        <v>Diceros bicornis minor</v>
      </c>
      <c r="H556" t="s">
        <v>517</v>
      </c>
      <c r="I556" t="str">
        <f>HYPERLINK("http://www.ncbi.nlm.nih.gov/protein/KAF5915014.1","hypothetical protein HPG69_003514")</f>
        <v>hypothetical protein HPG69_003514</v>
      </c>
      <c r="J556">
        <v>173.33</v>
      </c>
      <c r="K556" t="s">
        <v>20</v>
      </c>
      <c r="L556">
        <v>139</v>
      </c>
      <c r="M556">
        <v>50.68</v>
      </c>
      <c r="N556">
        <v>68.7</v>
      </c>
      <c r="O556" t="s">
        <v>20</v>
      </c>
      <c r="P556" t="s">
        <v>21</v>
      </c>
      <c r="Q556" t="s">
        <v>20</v>
      </c>
      <c r="R556" t="str">
        <f>HYPERLINK("https://cfpub.epa.gov/ecotox/explore.cfm?ncbi=77932","Explore in ECOTOX")</f>
        <v>Explore in ECOTOX</v>
      </c>
    </row>
    <row r="557" spans="1:18" x14ac:dyDescent="0.25">
      <c r="A557">
        <v>6</v>
      </c>
      <c r="B557" t="str">
        <f>HYPERLINK("http://www.ncbi.nlm.nih.gov/protein/XP_026066362.1","XP_026066362.1")</f>
        <v>XP_026066362.1</v>
      </c>
      <c r="C557">
        <v>98599</v>
      </c>
      <c r="D557" t="str">
        <f>HYPERLINK("http://www.ncbi.nlm.nih.gov/Taxonomy/Browser/wwwtax.cgi?mode=Info&amp;id=7957&amp;lvl=3&amp;lin=f&amp;keep=1&amp;srchmode=1&amp;unlock","7957")</f>
        <v>7957</v>
      </c>
      <c r="E557" t="s">
        <v>384</v>
      </c>
      <c r="F557" t="s">
        <v>384</v>
      </c>
      <c r="G557" t="str">
        <f>HYPERLINK("http://www.ncbi.nlm.nih.gov/Taxonomy/Browser/wwwtax.cgi?mode=Info&amp;id=7957&amp;lvl=3&amp;lin=f&amp;keep=1&amp;srchmode=1&amp;unlock","Carassius auratus")</f>
        <v>Carassius auratus</v>
      </c>
      <c r="H557" t="s">
        <v>518</v>
      </c>
      <c r="I557" t="str">
        <f>HYPERLINK("http://www.ncbi.nlm.nih.gov/protein/XP_026066362.1","fatty acid-binding protein, liver")</f>
        <v>fatty acid-binding protein, liver</v>
      </c>
      <c r="J557">
        <v>173.33</v>
      </c>
      <c r="K557" t="s">
        <v>25</v>
      </c>
      <c r="L557">
        <v>139</v>
      </c>
      <c r="M557">
        <v>50.68</v>
      </c>
      <c r="N557">
        <v>68.7</v>
      </c>
      <c r="O557" t="s">
        <v>20</v>
      </c>
      <c r="P557" t="s">
        <v>21</v>
      </c>
      <c r="Q557" t="s">
        <v>20</v>
      </c>
      <c r="R557" t="str">
        <f>HYPERLINK("https://cfpub.epa.gov/ecotox/explore.cfm?ncbi=7957","Explore in ECOTOX")</f>
        <v>Explore in ECOTOX</v>
      </c>
    </row>
    <row r="558" spans="1:18" x14ac:dyDescent="0.25">
      <c r="A558">
        <v>6</v>
      </c>
      <c r="B558" t="str">
        <f>HYPERLINK("http://www.ncbi.nlm.nih.gov/protein/QRE01784.1","QRE01784.1")</f>
        <v>QRE01784.1</v>
      </c>
      <c r="C558">
        <v>774</v>
      </c>
      <c r="D558" t="str">
        <f>HYPERLINK("http://www.ncbi.nlm.nih.gov/Taxonomy/Browser/wwwtax.cgi?mode=Info&amp;id=119488&amp;lvl=3&amp;lin=f&amp;keep=1&amp;srchmode=1&amp;unlock","119488")</f>
        <v>119488</v>
      </c>
      <c r="E558" t="s">
        <v>384</v>
      </c>
      <c r="F558" t="s">
        <v>384</v>
      </c>
      <c r="G558" t="str">
        <f>HYPERLINK("http://www.ncbi.nlm.nih.gov/Taxonomy/Browser/wwwtax.cgi?mode=Info&amp;id=119488&amp;lvl=3&amp;lin=f&amp;keep=1&amp;srchmode=1&amp;unlock","Siniperca chuatsi")</f>
        <v>Siniperca chuatsi</v>
      </c>
      <c r="H558" t="s">
        <v>519</v>
      </c>
      <c r="I558" t="str">
        <f>HYPERLINK("http://www.ncbi.nlm.nih.gov/protein/QRE01784.1","fatty acid-binding protein 1")</f>
        <v>fatty acid-binding protein 1</v>
      </c>
      <c r="J558">
        <v>172.56</v>
      </c>
      <c r="K558" t="s">
        <v>25</v>
      </c>
      <c r="L558">
        <v>139</v>
      </c>
      <c r="M558">
        <v>50.68</v>
      </c>
      <c r="N558">
        <v>68.39</v>
      </c>
      <c r="O558" t="s">
        <v>20</v>
      </c>
      <c r="P558" t="s">
        <v>21</v>
      </c>
      <c r="Q558" t="s">
        <v>20</v>
      </c>
      <c r="R558" t="str">
        <f>HYPERLINK("https://cfpub.epa.gov/ecotox/explore.cfm?ncbi=119488","Explore in ECOTOX")</f>
        <v>Explore in ECOTOX</v>
      </c>
    </row>
    <row r="559" spans="1:18" x14ac:dyDescent="0.25">
      <c r="A559">
        <v>6</v>
      </c>
      <c r="B559" t="str">
        <f>HYPERLINK("http://www.ncbi.nlm.nih.gov/protein/XP_013858101.1","XP_013858101.1")</f>
        <v>XP_013858101.1</v>
      </c>
      <c r="C559">
        <v>35359</v>
      </c>
      <c r="D559" t="str">
        <f>HYPERLINK("http://www.ncbi.nlm.nih.gov/Taxonomy/Browser/wwwtax.cgi?mode=Info&amp;id=52670&amp;lvl=3&amp;lin=f&amp;keep=1&amp;srchmode=1&amp;unlock","52670")</f>
        <v>52670</v>
      </c>
      <c r="E559" t="s">
        <v>384</v>
      </c>
      <c r="F559" t="s">
        <v>384</v>
      </c>
      <c r="G559" t="str">
        <f>HYPERLINK("http://www.ncbi.nlm.nih.gov/Taxonomy/Browser/wwwtax.cgi?mode=Info&amp;id=52670&amp;lvl=3&amp;lin=f&amp;keep=1&amp;srchmode=1&amp;unlock","Austrofundulus limnaeus")</f>
        <v>Austrofundulus limnaeus</v>
      </c>
      <c r="H559" t="s">
        <v>520</v>
      </c>
      <c r="I559" t="str">
        <f>HYPERLINK("http://www.ncbi.nlm.nih.gov/protein/XP_013858101.1","PREDICTED: fatty acid-binding protein, liver-type-like isoform X1")</f>
        <v>PREDICTED: fatty acid-binding protein, liver-type-like isoform X1</v>
      </c>
      <c r="J559">
        <v>172.56</v>
      </c>
      <c r="K559" t="s">
        <v>25</v>
      </c>
      <c r="L559">
        <v>139</v>
      </c>
      <c r="M559">
        <v>50.68</v>
      </c>
      <c r="N559">
        <v>68.39</v>
      </c>
      <c r="O559" t="s">
        <v>20</v>
      </c>
      <c r="P559" t="s">
        <v>21</v>
      </c>
      <c r="Q559" t="s">
        <v>20</v>
      </c>
      <c r="R559" t="str">
        <f>HYPERLINK("https://cfpub.epa.gov/ecotox/explore.cfm?ncbi=52670","Explore in ECOTOX")</f>
        <v>Explore in ECOTOX</v>
      </c>
    </row>
    <row r="560" spans="1:18" x14ac:dyDescent="0.25">
      <c r="A560">
        <v>6</v>
      </c>
      <c r="B560" t="str">
        <f>HYPERLINK("http://www.ncbi.nlm.nih.gov/protein/XP_020788026.1","XP_020788026.1")</f>
        <v>XP_020788026.1</v>
      </c>
      <c r="C560">
        <v>25404</v>
      </c>
      <c r="D560" t="str">
        <f>HYPERLINK("http://www.ncbi.nlm.nih.gov/Taxonomy/Browser/wwwtax.cgi?mode=Info&amp;id=150288&amp;lvl=3&amp;lin=f&amp;keep=1&amp;srchmode=1&amp;unlock","150288")</f>
        <v>150288</v>
      </c>
      <c r="E560" t="s">
        <v>384</v>
      </c>
      <c r="F560" t="s">
        <v>384</v>
      </c>
      <c r="G560" t="str">
        <f>HYPERLINK("http://www.ncbi.nlm.nih.gov/Taxonomy/Browser/wwwtax.cgi?mode=Info&amp;id=150288&amp;lvl=3&amp;lin=f&amp;keep=1&amp;srchmode=1&amp;unlock","Boleophthalmus pectinirostris")</f>
        <v>Boleophthalmus pectinirostris</v>
      </c>
      <c r="H560" t="s">
        <v>521</v>
      </c>
      <c r="I560" t="str">
        <f>HYPERLINK("http://www.ncbi.nlm.nih.gov/protein/XP_020788026.1","fatty acid-binding protein, liver-type-like")</f>
        <v>fatty acid-binding protein, liver-type-like</v>
      </c>
      <c r="J560">
        <v>172.56</v>
      </c>
      <c r="K560" t="s">
        <v>25</v>
      </c>
      <c r="L560">
        <v>139</v>
      </c>
      <c r="M560">
        <v>50.68</v>
      </c>
      <c r="N560">
        <v>68.39</v>
      </c>
      <c r="O560" t="s">
        <v>20</v>
      </c>
      <c r="P560" t="s">
        <v>21</v>
      </c>
      <c r="Q560" t="s">
        <v>20</v>
      </c>
      <c r="R560" t="str">
        <f>HYPERLINK("https://cfpub.epa.gov/ecotox/explore.cfm?ncbi=150288","Explore in ECOTOX")</f>
        <v>Explore in ECOTOX</v>
      </c>
    </row>
    <row r="561" spans="1:18" x14ac:dyDescent="0.25">
      <c r="A561">
        <v>6</v>
      </c>
      <c r="B561" t="str">
        <f>HYPERLINK("http://www.ncbi.nlm.nih.gov/protein/XP_028660485.1","XP_028660485.1")</f>
        <v>XP_028660485.1</v>
      </c>
      <c r="C561">
        <v>35768</v>
      </c>
      <c r="D561" t="str">
        <f>HYPERLINK("http://www.ncbi.nlm.nih.gov/Taxonomy/Browser/wwwtax.cgi?mode=Info&amp;id=27687&amp;lvl=3&amp;lin=f&amp;keep=1&amp;srchmode=1&amp;unlock","27687")</f>
        <v>27687</v>
      </c>
      <c r="E561" t="s">
        <v>522</v>
      </c>
      <c r="F561" t="s">
        <v>522</v>
      </c>
      <c r="G561" t="str">
        <f>HYPERLINK("http://www.ncbi.nlm.nih.gov/Taxonomy/Browser/wwwtax.cgi?mode=Info&amp;id=27687&amp;lvl=3&amp;lin=f&amp;keep=1&amp;srchmode=1&amp;unlock","Erpetoichthys calabaricus")</f>
        <v>Erpetoichthys calabaricus</v>
      </c>
      <c r="H561" t="s">
        <v>523</v>
      </c>
      <c r="I561" t="str">
        <f>HYPERLINK("http://www.ncbi.nlm.nih.gov/protein/XP_028660485.1","fatty acid-binding protein, liver")</f>
        <v>fatty acid-binding protein, liver</v>
      </c>
      <c r="J561">
        <v>172.17</v>
      </c>
      <c r="K561" t="s">
        <v>25</v>
      </c>
      <c r="L561">
        <v>139</v>
      </c>
      <c r="M561">
        <v>50.68</v>
      </c>
      <c r="N561">
        <v>68.239999999999995</v>
      </c>
      <c r="O561" t="s">
        <v>20</v>
      </c>
      <c r="P561" t="s">
        <v>21</v>
      </c>
      <c r="Q561" t="s">
        <v>20</v>
      </c>
      <c r="R561" t="str">
        <f>HYPERLINK("https://cfpub.epa.gov/ecotox/explore.cfm?ncbi=27687","Explore in ECOTOX")</f>
        <v>Explore in ECOTOX</v>
      </c>
    </row>
    <row r="562" spans="1:18" x14ac:dyDescent="0.25">
      <c r="A562">
        <v>6</v>
      </c>
      <c r="B562" t="str">
        <f>HYPERLINK("http://www.ncbi.nlm.nih.gov/protein/XP_035021869.1","XP_035021869.1")</f>
        <v>XP_035021869.1</v>
      </c>
      <c r="C562">
        <v>65062</v>
      </c>
      <c r="D562" t="str">
        <f>HYPERLINK("http://www.ncbi.nlm.nih.gov/Taxonomy/Browser/wwwtax.cgi?mode=Info&amp;id=195615&amp;lvl=3&amp;lin=f&amp;keep=1&amp;srchmode=1&amp;unlock","195615")</f>
        <v>195615</v>
      </c>
      <c r="E562" t="s">
        <v>384</v>
      </c>
      <c r="F562" t="s">
        <v>384</v>
      </c>
      <c r="G562" t="str">
        <f>HYPERLINK("http://www.ncbi.nlm.nih.gov/Taxonomy/Browser/wwwtax.cgi?mode=Info&amp;id=195615&amp;lvl=3&amp;lin=f&amp;keep=1&amp;srchmode=1&amp;unlock","Hippoglossus stenolepis")</f>
        <v>Hippoglossus stenolepis</v>
      </c>
      <c r="H562" t="s">
        <v>524</v>
      </c>
      <c r="I562" t="str">
        <f>HYPERLINK("http://www.ncbi.nlm.nih.gov/protein/XP_035021869.1","fatty acid-binding protein, liver-type-like")</f>
        <v>fatty acid-binding protein, liver-type-like</v>
      </c>
      <c r="J562">
        <v>172.17</v>
      </c>
      <c r="K562" t="s">
        <v>25</v>
      </c>
      <c r="L562">
        <v>139</v>
      </c>
      <c r="M562">
        <v>50.68</v>
      </c>
      <c r="N562">
        <v>68.239999999999995</v>
      </c>
      <c r="O562" t="s">
        <v>20</v>
      </c>
      <c r="P562" t="s">
        <v>21</v>
      </c>
      <c r="Q562" t="s">
        <v>20</v>
      </c>
      <c r="R562" t="str">
        <f>HYPERLINK("https://cfpub.epa.gov/ecotox/explore.cfm?ncbi=195615","Explore in ECOTOX")</f>
        <v>Explore in ECOTOX</v>
      </c>
    </row>
    <row r="563" spans="1:18" x14ac:dyDescent="0.25">
      <c r="A563">
        <v>6</v>
      </c>
      <c r="B563" t="str">
        <f>HYPERLINK("http://www.ncbi.nlm.nih.gov/protein/XP_023133436.1","XP_023133436.1")</f>
        <v>XP_023133436.1</v>
      </c>
      <c r="C563">
        <v>48634</v>
      </c>
      <c r="D563" t="str">
        <f>HYPERLINK("http://www.ncbi.nlm.nih.gov/Taxonomy/Browser/wwwtax.cgi?mode=Info&amp;id=80972&amp;lvl=3&amp;lin=f&amp;keep=1&amp;srchmode=1&amp;unlock","80972")</f>
        <v>80972</v>
      </c>
      <c r="E563" t="s">
        <v>384</v>
      </c>
      <c r="F563" t="s">
        <v>384</v>
      </c>
      <c r="G563" t="str">
        <f>HYPERLINK("http://www.ncbi.nlm.nih.gov/Taxonomy/Browser/wwwtax.cgi?mode=Info&amp;id=80972&amp;lvl=3&amp;lin=f&amp;keep=1&amp;srchmode=1&amp;unlock","Amphiprion ocellaris")</f>
        <v>Amphiprion ocellaris</v>
      </c>
      <c r="H563" t="s">
        <v>525</v>
      </c>
      <c r="I563" t="str">
        <f>HYPERLINK("http://www.ncbi.nlm.nih.gov/protein/XP_023133436.1","fatty acid-binding protein, liver-type")</f>
        <v>fatty acid-binding protein, liver-type</v>
      </c>
      <c r="J563">
        <v>172.17</v>
      </c>
      <c r="K563" t="s">
        <v>25</v>
      </c>
      <c r="L563">
        <v>139</v>
      </c>
      <c r="M563">
        <v>50.68</v>
      </c>
      <c r="N563">
        <v>68.239999999999995</v>
      </c>
      <c r="O563" t="s">
        <v>20</v>
      </c>
      <c r="P563" t="s">
        <v>21</v>
      </c>
      <c r="Q563" t="s">
        <v>20</v>
      </c>
      <c r="R563" t="str">
        <f>HYPERLINK("https://cfpub.epa.gov/ecotox/explore.cfm?ncbi=80972","Explore in ECOTOX")</f>
        <v>Explore in ECOTOX</v>
      </c>
    </row>
    <row r="564" spans="1:18" x14ac:dyDescent="0.25">
      <c r="A564">
        <v>6</v>
      </c>
      <c r="B564" t="str">
        <f>HYPERLINK("http://www.ncbi.nlm.nih.gov/protein/NXS09246.1","NXS09246.1")</f>
        <v>NXS09246.1</v>
      </c>
      <c r="C564">
        <v>8871</v>
      </c>
      <c r="D564" t="str">
        <f>HYPERLINK("http://www.ncbi.nlm.nih.gov/Taxonomy/Browser/wwwtax.cgi?mode=Info&amp;id=254563&amp;lvl=3&amp;lin=f&amp;keep=1&amp;srchmode=1&amp;unlock","254563")</f>
        <v>254563</v>
      </c>
      <c r="E564" t="s">
        <v>167</v>
      </c>
      <c r="F564" t="s">
        <v>167</v>
      </c>
      <c r="G564" t="str">
        <f>HYPERLINK("http://www.ncbi.nlm.nih.gov/Taxonomy/Browser/wwwtax.cgi?mode=Info&amp;id=254563&amp;lvl=3&amp;lin=f&amp;keep=1&amp;srchmode=1&amp;unlock","Neodrepanis coruscans")</f>
        <v>Neodrepanis coruscans</v>
      </c>
      <c r="H564" t="s">
        <v>526</v>
      </c>
      <c r="I564" t="str">
        <f>HYPERLINK("http://www.ncbi.nlm.nih.gov/protein/NXS09246.1","FABPL protein")</f>
        <v>FABPL protein</v>
      </c>
      <c r="J564">
        <v>172.17</v>
      </c>
      <c r="K564" t="s">
        <v>25</v>
      </c>
      <c r="L564">
        <v>139</v>
      </c>
      <c r="M564">
        <v>50.68</v>
      </c>
      <c r="N564">
        <v>68.239999999999995</v>
      </c>
      <c r="O564" t="s">
        <v>20</v>
      </c>
      <c r="P564" t="s">
        <v>21</v>
      </c>
      <c r="Q564" t="s">
        <v>20</v>
      </c>
      <c r="R564" t="str">
        <f>HYPERLINK("https://cfpub.epa.gov/ecotox/explore.cfm?ncbi=254563","Explore in ECOTOX")</f>
        <v>Explore in ECOTOX</v>
      </c>
    </row>
    <row r="565" spans="1:18" x14ac:dyDescent="0.25">
      <c r="A565">
        <v>6</v>
      </c>
      <c r="B565" t="str">
        <f>HYPERLINK("http://www.ncbi.nlm.nih.gov/protein/ALC78631.1","ALC78631.1")</f>
        <v>ALC78631.1</v>
      </c>
      <c r="C565">
        <v>433</v>
      </c>
      <c r="D565" t="str">
        <f>HYPERLINK("http://www.ncbi.nlm.nih.gov/Taxonomy/Browser/wwwtax.cgi?mode=Info&amp;id=28829&amp;lvl=3&amp;lin=f&amp;keep=1&amp;srchmode=1&amp;unlock","28829")</f>
        <v>28829</v>
      </c>
      <c r="E565" t="s">
        <v>384</v>
      </c>
      <c r="F565" t="s">
        <v>384</v>
      </c>
      <c r="G565" t="str">
        <f>HYPERLINK("http://www.ncbi.nlm.nih.gov/Taxonomy/Browser/wwwtax.cgi?mode=Info&amp;id=28829&amp;lvl=3&amp;lin=f&amp;keep=1&amp;srchmode=1&amp;unlock","Solea senegalensis")</f>
        <v>Solea senegalensis</v>
      </c>
      <c r="H565" t="s">
        <v>527</v>
      </c>
      <c r="I565" t="str">
        <f>HYPERLINK("http://www.ncbi.nlm.nih.gov/protein/ALC78631.1","fatty acid binding protein 1")</f>
        <v>fatty acid binding protein 1</v>
      </c>
      <c r="J565">
        <v>171.78</v>
      </c>
      <c r="K565" t="s">
        <v>25</v>
      </c>
      <c r="L565">
        <v>139</v>
      </c>
      <c r="M565">
        <v>50.68</v>
      </c>
      <c r="N565">
        <v>68.09</v>
      </c>
      <c r="O565" t="s">
        <v>20</v>
      </c>
      <c r="P565" t="s">
        <v>21</v>
      </c>
      <c r="Q565" t="s">
        <v>20</v>
      </c>
      <c r="R565" t="str">
        <f>HYPERLINK("https://cfpub.epa.gov/ecotox/explore.cfm?ncbi=28829","Explore in ECOTOX")</f>
        <v>Explore in ECOTOX</v>
      </c>
    </row>
    <row r="566" spans="1:18" x14ac:dyDescent="0.25">
      <c r="A566">
        <v>6</v>
      </c>
      <c r="B566" t="str">
        <f>HYPERLINK("http://www.ncbi.nlm.nih.gov/protein/TKS78254.1","TKS78254.1")</f>
        <v>TKS78254.1</v>
      </c>
      <c r="C566">
        <v>28569</v>
      </c>
      <c r="D566" t="str">
        <f>HYPERLINK("http://www.ncbi.nlm.nih.gov/Taxonomy/Browser/wwwtax.cgi?mode=Info&amp;id=240159&amp;lvl=3&amp;lin=f&amp;keep=1&amp;srchmode=1&amp;unlock","240159")</f>
        <v>240159</v>
      </c>
      <c r="E566" t="s">
        <v>384</v>
      </c>
      <c r="F566" t="s">
        <v>384</v>
      </c>
      <c r="G566" t="str">
        <f>HYPERLINK("http://www.ncbi.nlm.nih.gov/Taxonomy/Browser/wwwtax.cgi?mode=Info&amp;id=240159&amp;lvl=3&amp;lin=f&amp;keep=1&amp;srchmode=1&amp;unlock","Collichthys lucidus")</f>
        <v>Collichthys lucidus</v>
      </c>
      <c r="H566" t="s">
        <v>528</v>
      </c>
      <c r="I566" t="str">
        <f>HYPERLINK("http://www.ncbi.nlm.nih.gov/protein/TKS78254.1","Fatty acid-binding protein, liver-type")</f>
        <v>Fatty acid-binding protein, liver-type</v>
      </c>
      <c r="J566">
        <v>171.78</v>
      </c>
      <c r="K566" t="s">
        <v>25</v>
      </c>
      <c r="L566">
        <v>139</v>
      </c>
      <c r="M566">
        <v>50.68</v>
      </c>
      <c r="N566">
        <v>68.09</v>
      </c>
      <c r="O566" t="s">
        <v>20</v>
      </c>
      <c r="P566" t="s">
        <v>21</v>
      </c>
      <c r="Q566" t="s">
        <v>20</v>
      </c>
      <c r="R566" t="str">
        <f>HYPERLINK("https://cfpub.epa.gov/ecotox/explore.cfm?ncbi=240159","Explore in ECOTOX")</f>
        <v>Explore in ECOTOX</v>
      </c>
    </row>
    <row r="567" spans="1:18" x14ac:dyDescent="0.25">
      <c r="A567">
        <v>6</v>
      </c>
      <c r="B567" t="str">
        <f>HYPERLINK("http://www.ncbi.nlm.nih.gov/protein/XP_016324559.1","XP_016324559.1")</f>
        <v>XP_016324559.1</v>
      </c>
      <c r="C567">
        <v>68489</v>
      </c>
      <c r="D567" t="str">
        <f>HYPERLINK("http://www.ncbi.nlm.nih.gov/Taxonomy/Browser/wwwtax.cgi?mode=Info&amp;id=1608454&amp;lvl=3&amp;lin=f&amp;keep=1&amp;srchmode=1&amp;unlock","1608454")</f>
        <v>1608454</v>
      </c>
      <c r="E567" t="s">
        <v>384</v>
      </c>
      <c r="F567" t="s">
        <v>384</v>
      </c>
      <c r="G567" t="str">
        <f>HYPERLINK("http://www.ncbi.nlm.nih.gov/Taxonomy/Browser/wwwtax.cgi?mode=Info&amp;id=1608454&amp;lvl=3&amp;lin=f&amp;keep=1&amp;srchmode=1&amp;unlock","Sinocyclocheilus anshuiensis")</f>
        <v>Sinocyclocheilus anshuiensis</v>
      </c>
      <c r="H567" t="s">
        <v>529</v>
      </c>
      <c r="I567" t="str">
        <f>HYPERLINK("http://www.ncbi.nlm.nih.gov/protein/XP_016324559.1","PREDICTED: fatty acid-binding protein, liver")</f>
        <v>PREDICTED: fatty acid-binding protein, liver</v>
      </c>
      <c r="J567">
        <v>171.78</v>
      </c>
      <c r="K567" t="s">
        <v>25</v>
      </c>
      <c r="L567">
        <v>139</v>
      </c>
      <c r="M567">
        <v>50.68</v>
      </c>
      <c r="N567">
        <v>68.09</v>
      </c>
      <c r="O567" t="s">
        <v>20</v>
      </c>
      <c r="P567" t="s">
        <v>21</v>
      </c>
      <c r="Q567" t="s">
        <v>20</v>
      </c>
      <c r="R567" t="str">
        <f>HYPERLINK("https://cfpub.epa.gov/ecotox/explore.cfm?ncbi=1608454","Explore in ECOTOX")</f>
        <v>Explore in ECOTOX</v>
      </c>
    </row>
    <row r="568" spans="1:18" x14ac:dyDescent="0.25">
      <c r="A568">
        <v>6</v>
      </c>
      <c r="B568" t="str">
        <f>HYPERLINK("http://www.ncbi.nlm.nih.gov/protein/XP_037114705.1","XP_037114705.1")</f>
        <v>XP_037114705.1</v>
      </c>
      <c r="C568">
        <v>41996</v>
      </c>
      <c r="D568" t="str">
        <f>HYPERLINK("http://www.ncbi.nlm.nih.gov/Taxonomy/Browser/wwwtax.cgi?mode=Info&amp;id=161584&amp;lvl=3&amp;lin=f&amp;keep=1&amp;srchmode=1&amp;unlock","161584")</f>
        <v>161584</v>
      </c>
      <c r="E568" t="s">
        <v>384</v>
      </c>
      <c r="F568" t="s">
        <v>384</v>
      </c>
      <c r="G568" t="str">
        <f>HYPERLINK("http://www.ncbi.nlm.nih.gov/Taxonomy/Browser/wwwtax.cgi?mode=Info&amp;id=161584&amp;lvl=3&amp;lin=f&amp;keep=1&amp;srchmode=1&amp;unlock","Syngnathus acus")</f>
        <v>Syngnathus acus</v>
      </c>
      <c r="H568" t="s">
        <v>530</v>
      </c>
      <c r="I568" t="str">
        <f>HYPERLINK("http://www.ncbi.nlm.nih.gov/protein/XP_037114705.1","fatty acid-binding protein, liver-type-like")</f>
        <v>fatty acid-binding protein, liver-type-like</v>
      </c>
      <c r="J568">
        <v>171.78</v>
      </c>
      <c r="K568" t="s">
        <v>25</v>
      </c>
      <c r="L568">
        <v>139</v>
      </c>
      <c r="M568">
        <v>50.68</v>
      </c>
      <c r="N568">
        <v>68.09</v>
      </c>
      <c r="O568" t="s">
        <v>20</v>
      </c>
      <c r="P568" t="s">
        <v>21</v>
      </c>
      <c r="Q568" t="s">
        <v>20</v>
      </c>
      <c r="R568" t="str">
        <f>HYPERLINK("https://cfpub.epa.gov/ecotox/explore.cfm?ncbi=161584","Explore in ECOTOX")</f>
        <v>Explore in ECOTOX</v>
      </c>
    </row>
    <row r="569" spans="1:18" x14ac:dyDescent="0.25">
      <c r="A569">
        <v>6</v>
      </c>
      <c r="B569" t="str">
        <f>HYPERLINK("http://www.ncbi.nlm.nih.gov/protein/XP_040899087.1","XP_040899087.1")</f>
        <v>XP_040899087.1</v>
      </c>
      <c r="C569">
        <v>38442</v>
      </c>
      <c r="D569" t="str">
        <f>HYPERLINK("http://www.ncbi.nlm.nih.gov/Taxonomy/Browser/wwwtax.cgi?mode=Info&amp;id=941984&amp;lvl=3&amp;lin=f&amp;keep=1&amp;srchmode=1&amp;unlock","941984")</f>
        <v>941984</v>
      </c>
      <c r="E569" t="s">
        <v>384</v>
      </c>
      <c r="F569" t="s">
        <v>384</v>
      </c>
      <c r="G569" t="str">
        <f>HYPERLINK("http://www.ncbi.nlm.nih.gov/Taxonomy/Browser/wwwtax.cgi?mode=Info&amp;id=941984&amp;lvl=3&amp;lin=f&amp;keep=1&amp;srchmode=1&amp;unlock","Toxotes jaculatrix")</f>
        <v>Toxotes jaculatrix</v>
      </c>
      <c r="H569" t="s">
        <v>531</v>
      </c>
      <c r="I569" t="str">
        <f>HYPERLINK("http://www.ncbi.nlm.nih.gov/protein/XP_040899087.1","fatty acid-binding protein, liver-type")</f>
        <v>fatty acid-binding protein, liver-type</v>
      </c>
      <c r="J569">
        <v>171.78</v>
      </c>
      <c r="K569" t="s">
        <v>25</v>
      </c>
      <c r="L569">
        <v>139</v>
      </c>
      <c r="M569">
        <v>50.68</v>
      </c>
      <c r="N569">
        <v>68.09</v>
      </c>
      <c r="O569" t="s">
        <v>20</v>
      </c>
      <c r="P569" t="s">
        <v>21</v>
      </c>
      <c r="Q569" t="s">
        <v>20</v>
      </c>
      <c r="R569" t="str">
        <f>HYPERLINK("https://cfpub.epa.gov/ecotox/explore.cfm?ncbi=941984","Explore in ECOTOX")</f>
        <v>Explore in ECOTOX</v>
      </c>
    </row>
    <row r="570" spans="1:18" x14ac:dyDescent="0.25">
      <c r="A570">
        <v>6</v>
      </c>
      <c r="B570" t="str">
        <f>HYPERLINK("http://www.ncbi.nlm.nih.gov/protein/XP_018530340.1","XP_018530340.1")</f>
        <v>XP_018530340.1</v>
      </c>
      <c r="C570">
        <v>45628</v>
      </c>
      <c r="D570" t="str">
        <f>HYPERLINK("http://www.ncbi.nlm.nih.gov/Taxonomy/Browser/wwwtax.cgi?mode=Info&amp;id=8187&amp;lvl=3&amp;lin=f&amp;keep=1&amp;srchmode=1&amp;unlock","8187")</f>
        <v>8187</v>
      </c>
      <c r="E570" t="s">
        <v>384</v>
      </c>
      <c r="F570" t="s">
        <v>384</v>
      </c>
      <c r="G570" t="str">
        <f>HYPERLINK("http://www.ncbi.nlm.nih.gov/Taxonomy/Browser/wwwtax.cgi?mode=Info&amp;id=8187&amp;lvl=3&amp;lin=f&amp;keep=1&amp;srchmode=1&amp;unlock","Lates calcarifer")</f>
        <v>Lates calcarifer</v>
      </c>
      <c r="H570" t="s">
        <v>532</v>
      </c>
      <c r="I570" t="str">
        <f>HYPERLINK("http://www.ncbi.nlm.nih.gov/protein/XP_018530340.1","PREDICTED: fatty acid-binding protein, liver")</f>
        <v>PREDICTED: fatty acid-binding protein, liver</v>
      </c>
      <c r="J570">
        <v>171.4</v>
      </c>
      <c r="K570" t="s">
        <v>25</v>
      </c>
      <c r="L570">
        <v>139</v>
      </c>
      <c r="M570">
        <v>50.68</v>
      </c>
      <c r="N570">
        <v>67.94</v>
      </c>
      <c r="O570" t="s">
        <v>20</v>
      </c>
      <c r="P570" t="s">
        <v>21</v>
      </c>
      <c r="Q570" t="s">
        <v>20</v>
      </c>
      <c r="R570" t="str">
        <f>HYPERLINK("https://cfpub.epa.gov/ecotox/explore.cfm?ncbi=8187","Explore in ECOTOX")</f>
        <v>Explore in ECOTOX</v>
      </c>
    </row>
    <row r="571" spans="1:18" x14ac:dyDescent="0.25">
      <c r="A571">
        <v>6</v>
      </c>
      <c r="B571" t="str">
        <f>HYPERLINK("http://www.ncbi.nlm.nih.gov/protein/XP_029916132.1","XP_029916132.1")</f>
        <v>XP_029916132.1</v>
      </c>
      <c r="C571">
        <v>38165</v>
      </c>
      <c r="D571" t="str">
        <f>HYPERLINK("http://www.ncbi.nlm.nih.gov/Taxonomy/Browser/wwwtax.cgi?mode=Info&amp;id=586833&amp;lvl=3&amp;lin=f&amp;keep=1&amp;srchmode=1&amp;unlock","586833")</f>
        <v>586833</v>
      </c>
      <c r="E571" t="s">
        <v>384</v>
      </c>
      <c r="F571" t="s">
        <v>384</v>
      </c>
      <c r="G571" t="str">
        <f>HYPERLINK("http://www.ncbi.nlm.nih.gov/Taxonomy/Browser/wwwtax.cgi?mode=Info&amp;id=586833&amp;lvl=3&amp;lin=f&amp;keep=1&amp;srchmode=1&amp;unlock","Myripristis murdjan")</f>
        <v>Myripristis murdjan</v>
      </c>
      <c r="H571" t="s">
        <v>533</v>
      </c>
      <c r="I571" t="str">
        <f>HYPERLINK("http://www.ncbi.nlm.nih.gov/protein/XP_029916132.1","fatty acid-binding protein, liver")</f>
        <v>fatty acid-binding protein, liver</v>
      </c>
      <c r="J571">
        <v>171.4</v>
      </c>
      <c r="K571" t="s">
        <v>25</v>
      </c>
      <c r="L571">
        <v>139</v>
      </c>
      <c r="M571">
        <v>50.68</v>
      </c>
      <c r="N571">
        <v>67.94</v>
      </c>
      <c r="O571" t="s">
        <v>20</v>
      </c>
      <c r="P571" t="s">
        <v>21</v>
      </c>
      <c r="Q571" t="s">
        <v>20</v>
      </c>
      <c r="R571" t="str">
        <f>HYPERLINK("https://cfpub.epa.gov/ecotox/explore.cfm?ncbi=586833","Explore in ECOTOX")</f>
        <v>Explore in ECOTOX</v>
      </c>
    </row>
    <row r="572" spans="1:18" x14ac:dyDescent="0.25">
      <c r="A572">
        <v>6</v>
      </c>
      <c r="B572" t="str">
        <f>HYPERLINK("http://www.ncbi.nlm.nih.gov/protein/NWV31892.1","NWV31892.1")</f>
        <v>NWV31892.1</v>
      </c>
      <c r="C572">
        <v>14091</v>
      </c>
      <c r="D572" t="str">
        <f>HYPERLINK("http://www.ncbi.nlm.nih.gov/Taxonomy/Browser/wwwtax.cgi?mode=Info&amp;id=266360&amp;lvl=3&amp;lin=f&amp;keep=1&amp;srchmode=1&amp;unlock","266360")</f>
        <v>266360</v>
      </c>
      <c r="E572" t="s">
        <v>167</v>
      </c>
      <c r="F572" t="s">
        <v>167</v>
      </c>
      <c r="G572" t="str">
        <f>HYPERLINK("http://www.ncbi.nlm.nih.gov/Taxonomy/Browser/wwwtax.cgi?mode=Info&amp;id=266360&amp;lvl=3&amp;lin=f&amp;keep=1&amp;srchmode=1&amp;unlock","Grantiella picta")</f>
        <v>Grantiella picta</v>
      </c>
      <c r="H572" t="s">
        <v>369</v>
      </c>
      <c r="I572" t="str">
        <f>HYPERLINK("http://www.ncbi.nlm.nih.gov/protein/NWV31892.1","FABP1 protein")</f>
        <v>FABP1 protein</v>
      </c>
      <c r="J572">
        <v>171.4</v>
      </c>
      <c r="K572" t="s">
        <v>25</v>
      </c>
      <c r="L572">
        <v>139</v>
      </c>
      <c r="M572">
        <v>50.68</v>
      </c>
      <c r="N572">
        <v>67.94</v>
      </c>
      <c r="O572" t="s">
        <v>20</v>
      </c>
      <c r="P572" t="s">
        <v>21</v>
      </c>
      <c r="Q572" t="s">
        <v>20</v>
      </c>
      <c r="R572" t="str">
        <f>HYPERLINK("https://cfpub.epa.gov/ecotox/explore.cfm?ncbi=266360","Explore in ECOTOX")</f>
        <v>Explore in ECOTOX</v>
      </c>
    </row>
    <row r="573" spans="1:18" x14ac:dyDescent="0.25">
      <c r="A573">
        <v>6</v>
      </c>
      <c r="B573" t="str">
        <f>HYPERLINK("http://www.ncbi.nlm.nih.gov/protein/XP_029961342.1","XP_029961342.1")</f>
        <v>XP_029961342.1</v>
      </c>
      <c r="C573">
        <v>39284</v>
      </c>
      <c r="D573" t="str">
        <f>HYPERLINK("http://www.ncbi.nlm.nih.gov/Taxonomy/Browser/wwwtax.cgi?mode=Info&amp;id=181472&amp;lvl=3&amp;lin=f&amp;keep=1&amp;srchmode=1&amp;unlock","181472")</f>
        <v>181472</v>
      </c>
      <c r="E573" t="s">
        <v>384</v>
      </c>
      <c r="F573" t="s">
        <v>384</v>
      </c>
      <c r="G573" t="str">
        <f>HYPERLINK("http://www.ncbi.nlm.nih.gov/Taxonomy/Browser/wwwtax.cgi?mode=Info&amp;id=181472&amp;lvl=3&amp;lin=f&amp;keep=1&amp;srchmode=1&amp;unlock","Salarias fasciatus")</f>
        <v>Salarias fasciatus</v>
      </c>
      <c r="H573" t="s">
        <v>534</v>
      </c>
      <c r="I573" t="str">
        <f>HYPERLINK("http://www.ncbi.nlm.nih.gov/protein/XP_029961342.1","fatty acid-binding protein, liver isoform X1")</f>
        <v>fatty acid-binding protein, liver isoform X1</v>
      </c>
      <c r="J573">
        <v>171.4</v>
      </c>
      <c r="K573" t="s">
        <v>25</v>
      </c>
      <c r="L573">
        <v>139</v>
      </c>
      <c r="M573">
        <v>50.68</v>
      </c>
      <c r="N573">
        <v>67.94</v>
      </c>
      <c r="O573" t="s">
        <v>20</v>
      </c>
      <c r="P573" t="s">
        <v>21</v>
      </c>
      <c r="Q573" t="s">
        <v>20</v>
      </c>
      <c r="R573" t="str">
        <f>HYPERLINK("https://cfpub.epa.gov/ecotox/explore.cfm?ncbi=181472","Explore in ECOTOX")</f>
        <v>Explore in ECOTOX</v>
      </c>
    </row>
    <row r="574" spans="1:18" x14ac:dyDescent="0.25">
      <c r="A574">
        <v>6</v>
      </c>
      <c r="B574" t="str">
        <f>HYPERLINK("http://www.ncbi.nlm.nih.gov/protein/NP_001038177.1","NP_001038177.1")</f>
        <v>NP_001038177.1</v>
      </c>
      <c r="C574">
        <v>87653</v>
      </c>
      <c r="D574" t="str">
        <f>HYPERLINK("http://www.ncbi.nlm.nih.gov/Taxonomy/Browser/wwwtax.cgi?mode=Info&amp;id=7955&amp;lvl=3&amp;lin=f&amp;keep=1&amp;srchmode=1&amp;unlock","7955")</f>
        <v>7955</v>
      </c>
      <c r="E574" t="s">
        <v>384</v>
      </c>
      <c r="F574" t="s">
        <v>384</v>
      </c>
      <c r="G574" t="str">
        <f>HYPERLINK("http://www.ncbi.nlm.nih.gov/Taxonomy/Browser/wwwtax.cgi?mode=Info&amp;id=7955&amp;lvl=3&amp;lin=f&amp;keep=1&amp;srchmode=1&amp;unlock","Danio rerio")</f>
        <v>Danio rerio</v>
      </c>
      <c r="H574" t="s">
        <v>535</v>
      </c>
      <c r="I574" t="str">
        <f>HYPERLINK("http://www.ncbi.nlm.nih.gov/protein/NP_001038177.1","fatty acid binding protein 1-A, liver")</f>
        <v>fatty acid binding protein 1-A, liver</v>
      </c>
      <c r="J574">
        <v>171.4</v>
      </c>
      <c r="K574" t="s">
        <v>20</v>
      </c>
      <c r="L574">
        <v>139</v>
      </c>
      <c r="M574">
        <v>50.68</v>
      </c>
      <c r="N574">
        <v>67.94</v>
      </c>
      <c r="O574" t="s">
        <v>20</v>
      </c>
      <c r="P574" t="s">
        <v>21</v>
      </c>
      <c r="Q574" t="s">
        <v>20</v>
      </c>
      <c r="R574" t="str">
        <f>HYPERLINK("https://cfpub.epa.gov/ecotox/explore.cfm?ncbi=7955","Explore in ECOTOX")</f>
        <v>Explore in ECOTOX</v>
      </c>
    </row>
    <row r="575" spans="1:18" x14ac:dyDescent="0.25">
      <c r="A575">
        <v>6</v>
      </c>
      <c r="B575" t="str">
        <f>HYPERLINK("http://www.ncbi.nlm.nih.gov/protein/XP_031712715.1","XP_031712715.1")</f>
        <v>XP_031712715.1</v>
      </c>
      <c r="C575">
        <v>41911</v>
      </c>
      <c r="D575" t="str">
        <f>HYPERLINK("http://www.ncbi.nlm.nih.gov/Taxonomy/Browser/wwwtax.cgi?mode=Info&amp;id=433405&amp;lvl=3&amp;lin=f&amp;keep=1&amp;srchmode=1&amp;unlock","433405")</f>
        <v>433405</v>
      </c>
      <c r="E575" t="s">
        <v>384</v>
      </c>
      <c r="F575" t="s">
        <v>384</v>
      </c>
      <c r="G575" t="str">
        <f>HYPERLINK("http://www.ncbi.nlm.nih.gov/Taxonomy/Browser/wwwtax.cgi?mode=Info&amp;id=433405&amp;lvl=3&amp;lin=f&amp;keep=1&amp;srchmode=1&amp;unlock","Anarrhichthys ocellatus")</f>
        <v>Anarrhichthys ocellatus</v>
      </c>
      <c r="H575" t="s">
        <v>536</v>
      </c>
      <c r="I575" t="str">
        <f>HYPERLINK("http://www.ncbi.nlm.nih.gov/protein/XP_031712715.1","fatty acid-binding protein, liver")</f>
        <v>fatty acid-binding protein, liver</v>
      </c>
      <c r="J575">
        <v>171.01</v>
      </c>
      <c r="K575" t="s">
        <v>25</v>
      </c>
      <c r="L575">
        <v>139</v>
      </c>
      <c r="M575">
        <v>50.68</v>
      </c>
      <c r="N575">
        <v>67.78</v>
      </c>
      <c r="O575" t="s">
        <v>20</v>
      </c>
      <c r="P575" t="s">
        <v>21</v>
      </c>
      <c r="Q575" t="s">
        <v>20</v>
      </c>
      <c r="R575" t="str">
        <f>HYPERLINK("https://cfpub.epa.gov/ecotox/explore.cfm?ncbi=433405","Explore in ECOTOX")</f>
        <v>Explore in ECOTOX</v>
      </c>
    </row>
    <row r="576" spans="1:18" x14ac:dyDescent="0.25">
      <c r="A576">
        <v>6</v>
      </c>
      <c r="B576" t="str">
        <f>HYPERLINK("http://www.ncbi.nlm.nih.gov/protein/XP_006626561.1","XP_006626561.1")</f>
        <v>XP_006626561.1</v>
      </c>
      <c r="C576">
        <v>41863</v>
      </c>
      <c r="D576" t="str">
        <f>HYPERLINK("http://www.ncbi.nlm.nih.gov/Taxonomy/Browser/wwwtax.cgi?mode=Info&amp;id=7918&amp;lvl=3&amp;lin=f&amp;keep=1&amp;srchmode=1&amp;unlock","7918")</f>
        <v>7918</v>
      </c>
      <c r="E576" t="s">
        <v>384</v>
      </c>
      <c r="F576" t="s">
        <v>384</v>
      </c>
      <c r="G576" t="str">
        <f>HYPERLINK("http://www.ncbi.nlm.nih.gov/Taxonomy/Browser/wwwtax.cgi?mode=Info&amp;id=7918&amp;lvl=3&amp;lin=f&amp;keep=1&amp;srchmode=1&amp;unlock","Lepisosteus oculatus")</f>
        <v>Lepisosteus oculatus</v>
      </c>
      <c r="H576" t="s">
        <v>537</v>
      </c>
      <c r="I576" t="str">
        <f>HYPERLINK("http://www.ncbi.nlm.nih.gov/protein/XP_006626561.1","PREDICTED: fatty acid-binding protein, liver")</f>
        <v>PREDICTED: fatty acid-binding protein, liver</v>
      </c>
      <c r="J576">
        <v>171.01</v>
      </c>
      <c r="K576" t="s">
        <v>25</v>
      </c>
      <c r="L576">
        <v>139</v>
      </c>
      <c r="M576">
        <v>50.68</v>
      </c>
      <c r="N576">
        <v>67.78</v>
      </c>
      <c r="O576" t="s">
        <v>20</v>
      </c>
      <c r="P576" t="s">
        <v>21</v>
      </c>
      <c r="Q576" t="s">
        <v>20</v>
      </c>
      <c r="R576" t="str">
        <f>HYPERLINK("https://cfpub.epa.gov/ecotox/explore.cfm?ncbi=7918","Explore in ECOTOX")</f>
        <v>Explore in ECOTOX</v>
      </c>
    </row>
    <row r="577" spans="1:18" x14ac:dyDescent="0.25">
      <c r="A577">
        <v>6</v>
      </c>
      <c r="B577" t="str">
        <f>HYPERLINK("http://www.ncbi.nlm.nih.gov/protein/XP_016414672.1","XP_016414672.1")</f>
        <v>XP_016414672.1</v>
      </c>
      <c r="C577">
        <v>68583</v>
      </c>
      <c r="D577" t="str">
        <f>HYPERLINK("http://www.ncbi.nlm.nih.gov/Taxonomy/Browser/wwwtax.cgi?mode=Info&amp;id=307959&amp;lvl=3&amp;lin=f&amp;keep=1&amp;srchmode=1&amp;unlock","307959")</f>
        <v>307959</v>
      </c>
      <c r="E577" t="s">
        <v>384</v>
      </c>
      <c r="F577" t="s">
        <v>384</v>
      </c>
      <c r="G577" t="str">
        <f>HYPERLINK("http://www.ncbi.nlm.nih.gov/Taxonomy/Browser/wwwtax.cgi?mode=Info&amp;id=307959&amp;lvl=3&amp;lin=f&amp;keep=1&amp;srchmode=1&amp;unlock","Sinocyclocheilus rhinocerous")</f>
        <v>Sinocyclocheilus rhinocerous</v>
      </c>
      <c r="H577" t="s">
        <v>529</v>
      </c>
      <c r="I577" t="str">
        <f>HYPERLINK("http://www.ncbi.nlm.nih.gov/protein/XP_016414672.1","PREDICTED: fatty acid binding protein 1-A, liver")</f>
        <v>PREDICTED: fatty acid binding protein 1-A, liver</v>
      </c>
      <c r="J577">
        <v>171.01</v>
      </c>
      <c r="K577" t="s">
        <v>25</v>
      </c>
      <c r="L577">
        <v>139</v>
      </c>
      <c r="M577">
        <v>50.68</v>
      </c>
      <c r="N577">
        <v>67.78</v>
      </c>
      <c r="O577" t="s">
        <v>20</v>
      </c>
      <c r="P577" t="s">
        <v>21</v>
      </c>
      <c r="Q577" t="s">
        <v>20</v>
      </c>
      <c r="R577" t="str">
        <f>HYPERLINK("https://cfpub.epa.gov/ecotox/explore.cfm?ncbi=307959","Explore in ECOTOX")</f>
        <v>Explore in ECOTOX</v>
      </c>
    </row>
    <row r="578" spans="1:18" x14ac:dyDescent="0.25">
      <c r="A578">
        <v>6</v>
      </c>
      <c r="B578" t="str">
        <f>HYPERLINK("http://www.ncbi.nlm.nih.gov/protein/XP_034452876.1","XP_034452876.1")</f>
        <v>XP_034452876.1</v>
      </c>
      <c r="C578">
        <v>47299</v>
      </c>
      <c r="D578" t="str">
        <f>HYPERLINK("http://www.ncbi.nlm.nih.gov/Taxonomy/Browser/wwwtax.cgi?mode=Info&amp;id=8267&amp;lvl=3&amp;lin=f&amp;keep=1&amp;srchmode=1&amp;unlock","8267")</f>
        <v>8267</v>
      </c>
      <c r="E578" t="s">
        <v>384</v>
      </c>
      <c r="F578" t="s">
        <v>384</v>
      </c>
      <c r="G578" t="str">
        <f>HYPERLINK("http://www.ncbi.nlm.nih.gov/Taxonomy/Browser/wwwtax.cgi?mode=Info&amp;id=8267&amp;lvl=3&amp;lin=f&amp;keep=1&amp;srchmode=1&amp;unlock","Hippoglossus hippoglossus")</f>
        <v>Hippoglossus hippoglossus</v>
      </c>
      <c r="H578" t="s">
        <v>538</v>
      </c>
      <c r="I578" t="str">
        <f>HYPERLINK("http://www.ncbi.nlm.nih.gov/protein/XP_034452876.1","fatty acid-binding protein, liver-type-like")</f>
        <v>fatty acid-binding protein, liver-type-like</v>
      </c>
      <c r="J578">
        <v>171.01</v>
      </c>
      <c r="K578" t="s">
        <v>25</v>
      </c>
      <c r="L578">
        <v>139</v>
      </c>
      <c r="M578">
        <v>50.68</v>
      </c>
      <c r="N578">
        <v>67.78</v>
      </c>
      <c r="O578" t="s">
        <v>20</v>
      </c>
      <c r="P578" t="s">
        <v>21</v>
      </c>
      <c r="Q578" t="s">
        <v>20</v>
      </c>
      <c r="R578" t="str">
        <f>HYPERLINK("https://cfpub.epa.gov/ecotox/explore.cfm?ncbi=8267","Explore in ECOTOX")</f>
        <v>Explore in ECOTOX</v>
      </c>
    </row>
    <row r="579" spans="1:18" x14ac:dyDescent="0.25">
      <c r="A579">
        <v>6</v>
      </c>
      <c r="B579" t="str">
        <f>HYPERLINK("http://www.ncbi.nlm.nih.gov/protein/XP_031161071.2","XP_031161071.2")</f>
        <v>XP_031161071.2</v>
      </c>
      <c r="C579">
        <v>56683</v>
      </c>
      <c r="D579" t="str">
        <f>HYPERLINK("http://www.ncbi.nlm.nih.gov/Taxonomy/Browser/wwwtax.cgi?mode=Info&amp;id=283035&amp;lvl=3&amp;lin=f&amp;keep=1&amp;srchmode=1&amp;unlock","283035")</f>
        <v>283035</v>
      </c>
      <c r="E579" t="s">
        <v>384</v>
      </c>
      <c r="F579" t="s">
        <v>384</v>
      </c>
      <c r="G579" t="str">
        <f>HYPERLINK("http://www.ncbi.nlm.nih.gov/Taxonomy/Browser/wwwtax.cgi?mode=Info&amp;id=283035&amp;lvl=3&amp;lin=f&amp;keep=1&amp;srchmode=1&amp;unlock","Sander lucioperca")</f>
        <v>Sander lucioperca</v>
      </c>
      <c r="H579" t="s">
        <v>539</v>
      </c>
      <c r="I579" t="str">
        <f>HYPERLINK("http://www.ncbi.nlm.nih.gov/protein/XP_031161071.2","fatty acid-binding protein, liver-type isoform X1")</f>
        <v>fatty acid-binding protein, liver-type isoform X1</v>
      </c>
      <c r="J579">
        <v>171.01</v>
      </c>
      <c r="K579" t="s">
        <v>25</v>
      </c>
      <c r="L579">
        <v>139</v>
      </c>
      <c r="M579">
        <v>50.68</v>
      </c>
      <c r="N579">
        <v>67.78</v>
      </c>
      <c r="O579" t="s">
        <v>20</v>
      </c>
      <c r="P579" t="s">
        <v>21</v>
      </c>
      <c r="Q579" t="s">
        <v>20</v>
      </c>
      <c r="R579" t="str">
        <f>HYPERLINK("https://cfpub.epa.gov/ecotox/explore.cfm?ncbi=283035","Explore in ECOTOX")</f>
        <v>Explore in ECOTOX</v>
      </c>
    </row>
    <row r="580" spans="1:18" x14ac:dyDescent="0.25">
      <c r="A580">
        <v>6</v>
      </c>
      <c r="B580" t="str">
        <f>HYPERLINK("http://www.ncbi.nlm.nih.gov/protein/XP_026177327.1","XP_026177327.1")</f>
        <v>XP_026177327.1</v>
      </c>
      <c r="C580">
        <v>42451</v>
      </c>
      <c r="D580" t="str">
        <f>HYPERLINK("http://www.ncbi.nlm.nih.gov/Taxonomy/Browser/wwwtax.cgi?mode=Info&amp;id=205130&amp;lvl=3&amp;lin=f&amp;keep=1&amp;srchmode=1&amp;unlock","205130")</f>
        <v>205130</v>
      </c>
      <c r="E580" t="s">
        <v>384</v>
      </c>
      <c r="F580" t="s">
        <v>384</v>
      </c>
      <c r="G580" t="str">
        <f>HYPERLINK("http://www.ncbi.nlm.nih.gov/Taxonomy/Browser/wwwtax.cgi?mode=Info&amp;id=205130&amp;lvl=3&amp;lin=f&amp;keep=1&amp;srchmode=1&amp;unlock","Mastacembelus armatus")</f>
        <v>Mastacembelus armatus</v>
      </c>
      <c r="H580" t="s">
        <v>540</v>
      </c>
      <c r="I580" t="str">
        <f>HYPERLINK("http://www.ncbi.nlm.nih.gov/protein/XP_026177327.1","fatty acid-binding protein, liver")</f>
        <v>fatty acid-binding protein, liver</v>
      </c>
      <c r="J580">
        <v>170.63</v>
      </c>
      <c r="K580" t="s">
        <v>25</v>
      </c>
      <c r="L580">
        <v>139</v>
      </c>
      <c r="M580">
        <v>50.68</v>
      </c>
      <c r="N580">
        <v>67.63</v>
      </c>
      <c r="O580" t="s">
        <v>20</v>
      </c>
      <c r="P580" t="s">
        <v>21</v>
      </c>
      <c r="Q580" t="s">
        <v>20</v>
      </c>
      <c r="R580" t="str">
        <f>HYPERLINK("https://cfpub.epa.gov/ecotox/explore.cfm?ncbi=205130","Explore in ECOTOX")</f>
        <v>Explore in ECOTOX</v>
      </c>
    </row>
    <row r="581" spans="1:18" x14ac:dyDescent="0.25">
      <c r="A581">
        <v>6</v>
      </c>
      <c r="B581" t="str">
        <f>HYPERLINK("http://www.ncbi.nlm.nih.gov/protein/XP_038560557.1","XP_038560557.1")</f>
        <v>XP_038560557.1</v>
      </c>
      <c r="C581">
        <v>48256</v>
      </c>
      <c r="D581" t="str">
        <f>HYPERLINK("http://www.ncbi.nlm.nih.gov/Taxonomy/Browser/wwwtax.cgi?mode=Info&amp;id=27706&amp;lvl=3&amp;lin=f&amp;keep=1&amp;srchmode=1&amp;unlock","27706")</f>
        <v>27706</v>
      </c>
      <c r="E581" t="s">
        <v>384</v>
      </c>
      <c r="F581" t="s">
        <v>384</v>
      </c>
      <c r="G581" t="str">
        <f>HYPERLINK("http://www.ncbi.nlm.nih.gov/Taxonomy/Browser/wwwtax.cgi?mode=Info&amp;id=27706&amp;lvl=3&amp;lin=f&amp;keep=1&amp;srchmode=1&amp;unlock","Micropterus salmoides")</f>
        <v>Micropterus salmoides</v>
      </c>
      <c r="H581" t="s">
        <v>541</v>
      </c>
      <c r="I581" t="str">
        <f>HYPERLINK("http://www.ncbi.nlm.nih.gov/protein/XP_038560557.1","fatty acid-binding protein, liver-type")</f>
        <v>fatty acid-binding protein, liver-type</v>
      </c>
      <c r="J581">
        <v>170.63</v>
      </c>
      <c r="K581" t="s">
        <v>25</v>
      </c>
      <c r="L581">
        <v>139</v>
      </c>
      <c r="M581">
        <v>50.68</v>
      </c>
      <c r="N581">
        <v>67.63</v>
      </c>
      <c r="O581" t="s">
        <v>20</v>
      </c>
      <c r="P581" t="s">
        <v>21</v>
      </c>
      <c r="Q581" t="s">
        <v>20</v>
      </c>
      <c r="R581" t="str">
        <f>HYPERLINK("https://cfpub.epa.gov/ecotox/explore.cfm?ncbi=27706","Explore in ECOTOX")</f>
        <v>Explore in ECOTOX</v>
      </c>
    </row>
    <row r="582" spans="1:18" x14ac:dyDescent="0.25">
      <c r="A582">
        <v>6</v>
      </c>
      <c r="B582" t="str">
        <f>HYPERLINK("http://www.ncbi.nlm.nih.gov/protein/TNN50194.1","TNN50194.1")</f>
        <v>TNN50194.1</v>
      </c>
      <c r="C582">
        <v>68294</v>
      </c>
      <c r="D582" t="str">
        <f>HYPERLINK("http://www.ncbi.nlm.nih.gov/Taxonomy/Browser/wwwtax.cgi?mode=Info&amp;id=230148&amp;lvl=3&amp;lin=f&amp;keep=1&amp;srchmode=1&amp;unlock","230148")</f>
        <v>230148</v>
      </c>
      <c r="E582" t="s">
        <v>384</v>
      </c>
      <c r="F582" t="s">
        <v>384</v>
      </c>
      <c r="G582" t="str">
        <f>HYPERLINK("http://www.ncbi.nlm.nih.gov/Taxonomy/Browser/wwwtax.cgi?mode=Info&amp;id=230148&amp;lvl=3&amp;lin=f&amp;keep=1&amp;srchmode=1&amp;unlock","Liparis tanakae")</f>
        <v>Liparis tanakae</v>
      </c>
      <c r="H582" t="s">
        <v>542</v>
      </c>
      <c r="I582" t="str">
        <f>HYPERLINK("http://www.ncbi.nlm.nih.gov/protein/TNN50194.1","Fatty acid-binding protein, liver-type")</f>
        <v>Fatty acid-binding protein, liver-type</v>
      </c>
      <c r="J582">
        <v>170.63</v>
      </c>
      <c r="K582" t="s">
        <v>25</v>
      </c>
      <c r="L582">
        <v>139</v>
      </c>
      <c r="M582">
        <v>50.68</v>
      </c>
      <c r="N582">
        <v>67.63</v>
      </c>
      <c r="O582" t="s">
        <v>20</v>
      </c>
      <c r="P582" t="s">
        <v>21</v>
      </c>
      <c r="Q582" t="s">
        <v>20</v>
      </c>
      <c r="R582" t="str">
        <f>HYPERLINK("https://cfpub.epa.gov/ecotox/explore.cfm?ncbi=230148","Explore in ECOTOX")</f>
        <v>Explore in ECOTOX</v>
      </c>
    </row>
    <row r="583" spans="1:18" x14ac:dyDescent="0.25">
      <c r="A583">
        <v>6</v>
      </c>
      <c r="B583" t="str">
        <f>HYPERLINK("http://www.ncbi.nlm.nih.gov/protein/XP_016144627.1","XP_016144627.1")</f>
        <v>XP_016144627.1</v>
      </c>
      <c r="C583">
        <v>67440</v>
      </c>
      <c r="D583" t="str">
        <f>HYPERLINK("http://www.ncbi.nlm.nih.gov/Taxonomy/Browser/wwwtax.cgi?mode=Info&amp;id=75366&amp;lvl=3&amp;lin=f&amp;keep=1&amp;srchmode=1&amp;unlock","75366")</f>
        <v>75366</v>
      </c>
      <c r="E583" t="s">
        <v>384</v>
      </c>
      <c r="F583" t="s">
        <v>384</v>
      </c>
      <c r="G583" t="str">
        <f>HYPERLINK("http://www.ncbi.nlm.nih.gov/Taxonomy/Browser/wwwtax.cgi?mode=Info&amp;id=75366&amp;lvl=3&amp;lin=f&amp;keep=1&amp;srchmode=1&amp;unlock","Sinocyclocheilus grahami")</f>
        <v>Sinocyclocheilus grahami</v>
      </c>
      <c r="H583" t="s">
        <v>529</v>
      </c>
      <c r="I583" t="str">
        <f>HYPERLINK("http://www.ncbi.nlm.nih.gov/protein/XP_016144627.1","PREDICTED: fatty acid binding protein 1-A, liver")</f>
        <v>PREDICTED: fatty acid binding protein 1-A, liver</v>
      </c>
      <c r="J583">
        <v>170.63</v>
      </c>
      <c r="K583" t="s">
        <v>25</v>
      </c>
      <c r="L583">
        <v>139</v>
      </c>
      <c r="M583">
        <v>50.68</v>
      </c>
      <c r="N583">
        <v>67.63</v>
      </c>
      <c r="O583" t="s">
        <v>20</v>
      </c>
      <c r="P583" t="s">
        <v>21</v>
      </c>
      <c r="Q583" t="s">
        <v>20</v>
      </c>
      <c r="R583" t="str">
        <f>HYPERLINK("https://cfpub.epa.gov/ecotox/explore.cfm?ncbi=75366","Explore in ECOTOX")</f>
        <v>Explore in ECOTOX</v>
      </c>
    </row>
    <row r="584" spans="1:18" x14ac:dyDescent="0.25">
      <c r="A584">
        <v>6</v>
      </c>
      <c r="B584" t="str">
        <f>HYPERLINK("http://www.ncbi.nlm.nih.gov/protein/AOW69614.1","AOW69614.1")</f>
        <v>AOW69614.1</v>
      </c>
      <c r="C584">
        <v>339</v>
      </c>
      <c r="D584" t="str">
        <f>HYPERLINK("http://www.ncbi.nlm.nih.gov/Taxonomy/Browser/wwwtax.cgi?mode=Info&amp;id=8164&amp;lvl=3&amp;lin=f&amp;keep=1&amp;srchmode=1&amp;unlock","8164")</f>
        <v>8164</v>
      </c>
      <c r="E584" t="s">
        <v>384</v>
      </c>
      <c r="F584" t="s">
        <v>384</v>
      </c>
      <c r="G584" t="str">
        <f>HYPERLINK("http://www.ncbi.nlm.nih.gov/Taxonomy/Browser/wwwtax.cgi?mode=Info&amp;id=8164&amp;lvl=3&amp;lin=f&amp;keep=1&amp;srchmode=1&amp;unlock","Lateolabrax japonicus")</f>
        <v>Lateolabrax japonicus</v>
      </c>
      <c r="H584" t="s">
        <v>543</v>
      </c>
      <c r="I584" t="str">
        <f>HYPERLINK("http://www.ncbi.nlm.nih.gov/protein/AOW69614.1","liver-type fatty acid-binding protein")</f>
        <v>liver-type fatty acid-binding protein</v>
      </c>
      <c r="J584">
        <v>170.24</v>
      </c>
      <c r="K584" t="s">
        <v>25</v>
      </c>
      <c r="L584">
        <v>139</v>
      </c>
      <c r="M584">
        <v>50.68</v>
      </c>
      <c r="N584">
        <v>67.48</v>
      </c>
      <c r="O584" t="s">
        <v>20</v>
      </c>
      <c r="P584" t="s">
        <v>21</v>
      </c>
      <c r="Q584" t="s">
        <v>20</v>
      </c>
      <c r="R584" t="str">
        <f>HYPERLINK("https://cfpub.epa.gov/ecotox/explore.cfm?ncbi=8164","Explore in ECOTOX")</f>
        <v>Explore in ECOTOX</v>
      </c>
    </row>
    <row r="585" spans="1:18" x14ac:dyDescent="0.25">
      <c r="A585">
        <v>6</v>
      </c>
      <c r="B585" t="str">
        <f>HYPERLINK("http://www.ncbi.nlm.nih.gov/protein/XP_034728078.1","XP_034728078.1")</f>
        <v>XP_034728078.1</v>
      </c>
      <c r="C585">
        <v>45233</v>
      </c>
      <c r="D585" t="str">
        <f>HYPERLINK("http://www.ncbi.nlm.nih.gov/Taxonomy/Browser/wwwtax.cgi?mode=Info&amp;id=417921&amp;lvl=3&amp;lin=f&amp;keep=1&amp;srchmode=1&amp;unlock","417921")</f>
        <v>417921</v>
      </c>
      <c r="E585" t="s">
        <v>384</v>
      </c>
      <c r="F585" t="s">
        <v>384</v>
      </c>
      <c r="G585" t="str">
        <f>HYPERLINK("http://www.ncbi.nlm.nih.gov/Taxonomy/Browser/wwwtax.cgi?mode=Info&amp;id=417921&amp;lvl=3&amp;lin=f&amp;keep=1&amp;srchmode=1&amp;unlock","Etheostoma cragini")</f>
        <v>Etheostoma cragini</v>
      </c>
      <c r="H585" t="s">
        <v>544</v>
      </c>
      <c r="I585" t="str">
        <f>HYPERLINK("http://www.ncbi.nlm.nih.gov/protein/XP_034728078.1","fatty acid-binding protein, liver-type")</f>
        <v>fatty acid-binding protein, liver-type</v>
      </c>
      <c r="J585">
        <v>170.24</v>
      </c>
      <c r="K585" t="s">
        <v>25</v>
      </c>
      <c r="L585">
        <v>139</v>
      </c>
      <c r="M585">
        <v>50.68</v>
      </c>
      <c r="N585">
        <v>67.48</v>
      </c>
      <c r="O585" t="s">
        <v>20</v>
      </c>
      <c r="P585" t="s">
        <v>21</v>
      </c>
      <c r="Q585" t="s">
        <v>20</v>
      </c>
      <c r="R585" t="str">
        <f>HYPERLINK("https://cfpub.epa.gov/ecotox/explore.cfm?ncbi=417921","Explore in ECOTOX")</f>
        <v>Explore in ECOTOX</v>
      </c>
    </row>
    <row r="586" spans="1:18" x14ac:dyDescent="0.25">
      <c r="A586">
        <v>6</v>
      </c>
      <c r="B586" t="str">
        <f>HYPERLINK("http://www.ncbi.nlm.nih.gov/protein/XP_028434716.1","XP_028434716.1")</f>
        <v>XP_028434716.1</v>
      </c>
      <c r="C586">
        <v>65039</v>
      </c>
      <c r="D586" t="str">
        <f>HYPERLINK("http://www.ncbi.nlm.nih.gov/Taxonomy/Browser/wwwtax.cgi?mode=Info&amp;id=8167&amp;lvl=3&amp;lin=f&amp;keep=1&amp;srchmode=1&amp;unlock","8167")</f>
        <v>8167</v>
      </c>
      <c r="E586" t="s">
        <v>384</v>
      </c>
      <c r="F586" t="s">
        <v>384</v>
      </c>
      <c r="G586" t="str">
        <f>HYPERLINK("http://www.ncbi.nlm.nih.gov/Taxonomy/Browser/wwwtax.cgi?mode=Info&amp;id=8167&amp;lvl=3&amp;lin=f&amp;keep=1&amp;srchmode=1&amp;unlock","Perca flavescens")</f>
        <v>Perca flavescens</v>
      </c>
      <c r="H586" t="s">
        <v>545</v>
      </c>
      <c r="I586" t="str">
        <f>HYPERLINK("http://www.ncbi.nlm.nih.gov/protein/XP_028434716.1","fatty acid-binding protein, liver-type-like")</f>
        <v>fatty acid-binding protein, liver-type-like</v>
      </c>
      <c r="J586">
        <v>170.24</v>
      </c>
      <c r="K586" t="s">
        <v>25</v>
      </c>
      <c r="L586">
        <v>139</v>
      </c>
      <c r="M586">
        <v>50.68</v>
      </c>
      <c r="N586">
        <v>67.48</v>
      </c>
      <c r="O586" t="s">
        <v>20</v>
      </c>
      <c r="P586" t="s">
        <v>21</v>
      </c>
      <c r="Q586" t="s">
        <v>20</v>
      </c>
      <c r="R586" t="str">
        <f>HYPERLINK("https://cfpub.epa.gov/ecotox/explore.cfm?ncbi=8167","Explore in ECOTOX")</f>
        <v>Explore in ECOTOX</v>
      </c>
    </row>
    <row r="587" spans="1:18" x14ac:dyDescent="0.25">
      <c r="A587">
        <v>6</v>
      </c>
      <c r="B587" t="str">
        <f>HYPERLINK("http://www.ncbi.nlm.nih.gov/protein/XP_008284849.1","XP_008284849.1")</f>
        <v>XP_008284849.1</v>
      </c>
      <c r="C587">
        <v>31743</v>
      </c>
      <c r="D587" t="str">
        <f>HYPERLINK("http://www.ncbi.nlm.nih.gov/Taxonomy/Browser/wwwtax.cgi?mode=Info&amp;id=144197&amp;lvl=3&amp;lin=f&amp;keep=1&amp;srchmode=1&amp;unlock","144197")</f>
        <v>144197</v>
      </c>
      <c r="E587" t="s">
        <v>384</v>
      </c>
      <c r="F587" t="s">
        <v>384</v>
      </c>
      <c r="G587" t="str">
        <f>HYPERLINK("http://www.ncbi.nlm.nih.gov/Taxonomy/Browser/wwwtax.cgi?mode=Info&amp;id=144197&amp;lvl=3&amp;lin=f&amp;keep=1&amp;srchmode=1&amp;unlock","Stegastes partitus")</f>
        <v>Stegastes partitus</v>
      </c>
      <c r="H587" t="s">
        <v>546</v>
      </c>
      <c r="I587" t="str">
        <f>HYPERLINK("http://www.ncbi.nlm.nih.gov/protein/XP_008284849.1","PREDICTED: fatty acid-binding protein, liver")</f>
        <v>PREDICTED: fatty acid-binding protein, liver</v>
      </c>
      <c r="J587">
        <v>169.86</v>
      </c>
      <c r="K587" t="s">
        <v>25</v>
      </c>
      <c r="L587">
        <v>139</v>
      </c>
      <c r="M587">
        <v>50.68</v>
      </c>
      <c r="N587">
        <v>67.33</v>
      </c>
      <c r="O587" t="s">
        <v>20</v>
      </c>
      <c r="P587" t="s">
        <v>21</v>
      </c>
      <c r="Q587" t="s">
        <v>20</v>
      </c>
      <c r="R587" t="str">
        <f>HYPERLINK("https://cfpub.epa.gov/ecotox/explore.cfm?ncbi=144197","Explore in ECOTOX")</f>
        <v>Explore in ECOTOX</v>
      </c>
    </row>
    <row r="588" spans="1:18" x14ac:dyDescent="0.25">
      <c r="A588">
        <v>6</v>
      </c>
      <c r="B588" t="str">
        <f>HYPERLINK("http://www.ncbi.nlm.nih.gov/protein/XP_020449296.1","XP_020449296.1")</f>
        <v>XP_020449296.1</v>
      </c>
      <c r="C588">
        <v>40892</v>
      </c>
      <c r="D588" t="str">
        <f>HYPERLINK("http://www.ncbi.nlm.nih.gov/Taxonomy/Browser/wwwtax.cgi?mode=Info&amp;id=43700&amp;lvl=3&amp;lin=f&amp;keep=1&amp;srchmode=1&amp;unlock","43700")</f>
        <v>43700</v>
      </c>
      <c r="E588" t="s">
        <v>384</v>
      </c>
      <c r="F588" t="s">
        <v>384</v>
      </c>
      <c r="G588" t="str">
        <f>HYPERLINK("http://www.ncbi.nlm.nih.gov/Taxonomy/Browser/wwwtax.cgi?mode=Info&amp;id=43700&amp;lvl=3&amp;lin=f&amp;keep=1&amp;srchmode=1&amp;unlock","Monopterus albus")</f>
        <v>Monopterus albus</v>
      </c>
      <c r="H588" t="s">
        <v>547</v>
      </c>
      <c r="I588" t="str">
        <f>HYPERLINK("http://www.ncbi.nlm.nih.gov/protein/XP_020449296.1","fatty acid-binding protein, liver-type-like")</f>
        <v>fatty acid-binding protein, liver-type-like</v>
      </c>
      <c r="J588">
        <v>169.86</v>
      </c>
      <c r="K588" t="s">
        <v>20</v>
      </c>
      <c r="L588">
        <v>139</v>
      </c>
      <c r="M588">
        <v>50.68</v>
      </c>
      <c r="N588">
        <v>67.33</v>
      </c>
      <c r="O588" t="s">
        <v>20</v>
      </c>
      <c r="P588" t="s">
        <v>21</v>
      </c>
      <c r="Q588" t="s">
        <v>20</v>
      </c>
      <c r="R588" t="str">
        <f>HYPERLINK("https://cfpub.epa.gov/ecotox/explore.cfm?ncbi=43700","Explore in ECOTOX")</f>
        <v>Explore in ECOTOX</v>
      </c>
    </row>
    <row r="589" spans="1:18" x14ac:dyDescent="0.25">
      <c r="A589">
        <v>6</v>
      </c>
      <c r="B589" t="str">
        <f>HYPERLINK("http://www.ncbi.nlm.nih.gov/protein/NWV65356.1","NWV65356.1")</f>
        <v>NWV65356.1</v>
      </c>
      <c r="C589">
        <v>14078</v>
      </c>
      <c r="D589" t="str">
        <f>HYPERLINK("http://www.ncbi.nlm.nih.gov/Taxonomy/Browser/wwwtax.cgi?mode=Info&amp;id=720584&amp;lvl=3&amp;lin=f&amp;keep=1&amp;srchmode=1&amp;unlock","720584")</f>
        <v>720584</v>
      </c>
      <c r="E589" t="s">
        <v>167</v>
      </c>
      <c r="F589" t="s">
        <v>167</v>
      </c>
      <c r="G589" t="str">
        <f>HYPERLINK("http://www.ncbi.nlm.nih.gov/Taxonomy/Browser/wwwtax.cgi?mode=Info&amp;id=720584&amp;lvl=3&amp;lin=f&amp;keep=1&amp;srchmode=1&amp;unlock","Malurus elegans")</f>
        <v>Malurus elegans</v>
      </c>
      <c r="H589" t="s">
        <v>548</v>
      </c>
      <c r="I589" t="str">
        <f>HYPERLINK("http://www.ncbi.nlm.nih.gov/protein/NWV65356.1","FABP1 protein")</f>
        <v>FABP1 protein</v>
      </c>
      <c r="J589">
        <v>169.86</v>
      </c>
      <c r="K589" t="s">
        <v>25</v>
      </c>
      <c r="L589">
        <v>139</v>
      </c>
      <c r="M589">
        <v>50.68</v>
      </c>
      <c r="N589">
        <v>67.33</v>
      </c>
      <c r="O589" t="s">
        <v>20</v>
      </c>
      <c r="P589" t="s">
        <v>21</v>
      </c>
      <c r="Q589" t="s">
        <v>20</v>
      </c>
      <c r="R589" t="str">
        <f>HYPERLINK("https://cfpub.epa.gov/ecotox/explore.cfm?ncbi=720584","Explore in ECOTOX")</f>
        <v>Explore in ECOTOX</v>
      </c>
    </row>
    <row r="590" spans="1:18" x14ac:dyDescent="0.25">
      <c r="A590">
        <v>6</v>
      </c>
      <c r="B590" t="str">
        <f>HYPERLINK("http://www.ncbi.nlm.nih.gov/protein/XP_028270578.1","XP_028270578.1")</f>
        <v>XP_028270578.1</v>
      </c>
      <c r="C590">
        <v>41035</v>
      </c>
      <c r="D590" t="str">
        <f>HYPERLINK("http://www.ncbi.nlm.nih.gov/Taxonomy/Browser/wwwtax.cgi?mode=Info&amp;id=210632&amp;lvl=3&amp;lin=f&amp;keep=1&amp;srchmode=1&amp;unlock","210632")</f>
        <v>210632</v>
      </c>
      <c r="E590" t="s">
        <v>384</v>
      </c>
      <c r="F590" t="s">
        <v>384</v>
      </c>
      <c r="G590" t="str">
        <f>HYPERLINK("http://www.ncbi.nlm.nih.gov/Taxonomy/Browser/wwwtax.cgi?mode=Info&amp;id=210632&amp;lvl=3&amp;lin=f&amp;keep=1&amp;srchmode=1&amp;unlock","Parambassis ranga")</f>
        <v>Parambassis ranga</v>
      </c>
      <c r="H590" t="s">
        <v>549</v>
      </c>
      <c r="I590" t="str">
        <f>HYPERLINK("http://www.ncbi.nlm.nih.gov/protein/XP_028270578.1","fatty acid-binding protein, liver")</f>
        <v>fatty acid-binding protein, liver</v>
      </c>
      <c r="J590">
        <v>169.86</v>
      </c>
      <c r="K590" t="s">
        <v>25</v>
      </c>
      <c r="L590">
        <v>139</v>
      </c>
      <c r="M590">
        <v>50.68</v>
      </c>
      <c r="N590">
        <v>67.33</v>
      </c>
      <c r="O590" t="s">
        <v>20</v>
      </c>
      <c r="P590" t="s">
        <v>21</v>
      </c>
      <c r="Q590" t="s">
        <v>20</v>
      </c>
      <c r="R590" t="str">
        <f>HYPERLINK("https://cfpub.epa.gov/ecotox/explore.cfm?ncbi=210632","Explore in ECOTOX")</f>
        <v>Explore in ECOTOX</v>
      </c>
    </row>
    <row r="591" spans="1:18" x14ac:dyDescent="0.25">
      <c r="A591">
        <v>6</v>
      </c>
      <c r="B591" t="str">
        <f>HYPERLINK("http://www.ncbi.nlm.nih.gov/protein/GCC37018.1","GCC37018.1")</f>
        <v>GCC37018.1</v>
      </c>
      <c r="C591">
        <v>33621</v>
      </c>
      <c r="D591" t="str">
        <f>HYPERLINK("http://www.ncbi.nlm.nih.gov/Taxonomy/Browser/wwwtax.cgi?mode=Info&amp;id=137246&amp;lvl=3&amp;lin=f&amp;keep=1&amp;srchmode=1&amp;unlock","137246")</f>
        <v>137246</v>
      </c>
      <c r="E591" t="s">
        <v>550</v>
      </c>
      <c r="F591" t="s">
        <v>550</v>
      </c>
      <c r="G591" t="str">
        <f>HYPERLINK("http://www.ncbi.nlm.nih.gov/Taxonomy/Browser/wwwtax.cgi?mode=Info&amp;id=137246&amp;lvl=3&amp;lin=f&amp;keep=1&amp;srchmode=1&amp;unlock","Chiloscyllium punctatum")</f>
        <v>Chiloscyllium punctatum</v>
      </c>
      <c r="H591" t="s">
        <v>551</v>
      </c>
      <c r="I591" t="str">
        <f>HYPERLINK("http://www.ncbi.nlm.nih.gov/protein/GCC37018.1","hypothetical protein")</f>
        <v>hypothetical protein</v>
      </c>
      <c r="J591">
        <v>169.86</v>
      </c>
      <c r="K591" t="s">
        <v>25</v>
      </c>
      <c r="L591">
        <v>139</v>
      </c>
      <c r="M591">
        <v>50.68</v>
      </c>
      <c r="N591">
        <v>67.33</v>
      </c>
      <c r="O591" t="s">
        <v>20</v>
      </c>
      <c r="P591" t="s">
        <v>21</v>
      </c>
      <c r="Q591" t="s">
        <v>20</v>
      </c>
      <c r="R591" t="str">
        <f>HYPERLINK("https://cfpub.epa.gov/ecotox/explore.cfm?ncbi=137246","Explore in ECOTOX")</f>
        <v>Explore in ECOTOX</v>
      </c>
    </row>
    <row r="592" spans="1:18" x14ac:dyDescent="0.25">
      <c r="A592">
        <v>6</v>
      </c>
      <c r="B592" t="str">
        <f>HYPERLINK("http://www.ncbi.nlm.nih.gov/protein/NWH58491.1","NWH58491.1")</f>
        <v>NWH58491.1</v>
      </c>
      <c r="C592">
        <v>13556</v>
      </c>
      <c r="D592" t="str">
        <f>HYPERLINK("http://www.ncbi.nlm.nih.gov/Taxonomy/Browser/wwwtax.cgi?mode=Info&amp;id=8947&amp;lvl=3&amp;lin=f&amp;keep=1&amp;srchmode=1&amp;unlock","8947")</f>
        <v>8947</v>
      </c>
      <c r="E592" t="s">
        <v>167</v>
      </c>
      <c r="F592" t="s">
        <v>167</v>
      </c>
      <c r="G592" t="str">
        <f>HYPERLINK("http://www.ncbi.nlm.nih.gov/Taxonomy/Browser/wwwtax.cgi?mode=Info&amp;id=8947&amp;lvl=3&amp;lin=f&amp;keep=1&amp;srchmode=1&amp;unlock","Geococcyx californianus")</f>
        <v>Geococcyx californianus</v>
      </c>
      <c r="H592" t="s">
        <v>552</v>
      </c>
      <c r="I592" t="str">
        <f>HYPERLINK("http://www.ncbi.nlm.nih.gov/protein/NWH58491.1","FABP1 protein")</f>
        <v>FABP1 protein</v>
      </c>
      <c r="J592">
        <v>169.86</v>
      </c>
      <c r="K592" t="s">
        <v>20</v>
      </c>
      <c r="L592">
        <v>139</v>
      </c>
      <c r="M592">
        <v>50.68</v>
      </c>
      <c r="N592">
        <v>67.33</v>
      </c>
      <c r="O592" t="s">
        <v>20</v>
      </c>
      <c r="P592" t="s">
        <v>21</v>
      </c>
      <c r="Q592" t="s">
        <v>20</v>
      </c>
      <c r="R592" t="str">
        <f>HYPERLINK("https://cfpub.epa.gov/ecotox/explore.cfm?ncbi=8947","Explore in ECOTOX")</f>
        <v>Explore in ECOTOX</v>
      </c>
    </row>
    <row r="593" spans="1:18" x14ac:dyDescent="0.25">
      <c r="A593">
        <v>6</v>
      </c>
      <c r="B593" t="str">
        <f>HYPERLINK("http://www.ncbi.nlm.nih.gov/protein/XP_026199525.1","XP_026199525.1")</f>
        <v>XP_026199525.1</v>
      </c>
      <c r="C593">
        <v>40631</v>
      </c>
      <c r="D593" t="str">
        <f>HYPERLINK("http://www.ncbi.nlm.nih.gov/Taxonomy/Browser/wwwtax.cgi?mode=Info&amp;id=64144&amp;lvl=3&amp;lin=f&amp;keep=1&amp;srchmode=1&amp;unlock","64144")</f>
        <v>64144</v>
      </c>
      <c r="E593" t="s">
        <v>384</v>
      </c>
      <c r="F593" t="s">
        <v>384</v>
      </c>
      <c r="G593" t="str">
        <f>HYPERLINK("http://www.ncbi.nlm.nih.gov/Taxonomy/Browser/wwwtax.cgi?mode=Info&amp;id=64144&amp;lvl=3&amp;lin=f&amp;keep=1&amp;srchmode=1&amp;unlock","Anabas testudineus")</f>
        <v>Anabas testudineus</v>
      </c>
      <c r="H593" t="s">
        <v>553</v>
      </c>
      <c r="I593" t="str">
        <f>HYPERLINK("http://www.ncbi.nlm.nih.gov/protein/XP_026199525.1","fatty acid-binding protein, liver-type")</f>
        <v>fatty acid-binding protein, liver-type</v>
      </c>
      <c r="J593">
        <v>169.47</v>
      </c>
      <c r="K593" t="s">
        <v>25</v>
      </c>
      <c r="L593">
        <v>139</v>
      </c>
      <c r="M593">
        <v>50.68</v>
      </c>
      <c r="N593">
        <v>67.17</v>
      </c>
      <c r="O593" t="s">
        <v>20</v>
      </c>
      <c r="P593" t="s">
        <v>21</v>
      </c>
      <c r="Q593" t="s">
        <v>20</v>
      </c>
      <c r="R593" t="str">
        <f>HYPERLINK("https://cfpub.epa.gov/ecotox/explore.cfm?ncbi=64144","Explore in ECOTOX")</f>
        <v>Explore in ECOTOX</v>
      </c>
    </row>
    <row r="594" spans="1:18" x14ac:dyDescent="0.25">
      <c r="A594">
        <v>6</v>
      </c>
      <c r="B594" t="str">
        <f>HYPERLINK("http://www.ncbi.nlm.nih.gov/protein/XP_039615032.1","XP_039615032.1")</f>
        <v>XP_039615032.1</v>
      </c>
      <c r="C594">
        <v>64388</v>
      </c>
      <c r="D594" t="str">
        <f>HYPERLINK("http://www.ncbi.nlm.nih.gov/Taxonomy/Browser/wwwtax.cgi?mode=Info&amp;id=55291&amp;lvl=3&amp;lin=f&amp;keep=1&amp;srchmode=1&amp;unlock","55291")</f>
        <v>55291</v>
      </c>
      <c r="E594" t="s">
        <v>522</v>
      </c>
      <c r="F594" t="s">
        <v>522</v>
      </c>
      <c r="G594" t="str">
        <f>HYPERLINK("http://www.ncbi.nlm.nih.gov/Taxonomy/Browser/wwwtax.cgi?mode=Info&amp;id=55291&amp;lvl=3&amp;lin=f&amp;keep=1&amp;srchmode=1&amp;unlock","Polypterus senegalus")</f>
        <v>Polypterus senegalus</v>
      </c>
      <c r="H594" t="s">
        <v>554</v>
      </c>
      <c r="I594" t="str">
        <f>HYPERLINK("http://www.ncbi.nlm.nih.gov/protein/XP_039615032.1","fatty acid-binding protein 1, liver-like isoform X1")</f>
        <v>fatty acid-binding protein 1, liver-like isoform X1</v>
      </c>
      <c r="J594">
        <v>169.09</v>
      </c>
      <c r="K594" t="s">
        <v>25</v>
      </c>
      <c r="L594">
        <v>139</v>
      </c>
      <c r="M594">
        <v>50.68</v>
      </c>
      <c r="N594">
        <v>67.02</v>
      </c>
      <c r="O594" t="s">
        <v>20</v>
      </c>
      <c r="P594" t="s">
        <v>21</v>
      </c>
      <c r="Q594" t="s">
        <v>20</v>
      </c>
      <c r="R594" t="str">
        <f>HYPERLINK("https://cfpub.epa.gov/ecotox/explore.cfm?ncbi=55291","Explore in ECOTOX")</f>
        <v>Explore in ECOTOX</v>
      </c>
    </row>
    <row r="595" spans="1:18" x14ac:dyDescent="0.25">
      <c r="A595">
        <v>6</v>
      </c>
      <c r="B595" t="str">
        <f>HYPERLINK("http://www.ncbi.nlm.nih.gov/protein/XP_035514644.1","XP_035514644.1")</f>
        <v>XP_035514644.1</v>
      </c>
      <c r="C595">
        <v>31138</v>
      </c>
      <c r="D595" t="str">
        <f>HYPERLINK("http://www.ncbi.nlm.nih.gov/Taxonomy/Browser/wwwtax.cgi?mode=Info&amp;id=34816&amp;lvl=3&amp;lin=f&amp;keep=1&amp;srchmode=1&amp;unlock","34816")</f>
        <v>34816</v>
      </c>
      <c r="E595" t="s">
        <v>384</v>
      </c>
      <c r="F595" t="s">
        <v>384</v>
      </c>
      <c r="G595" t="str">
        <f>HYPERLINK("http://www.ncbi.nlm.nih.gov/Taxonomy/Browser/wwwtax.cgi?mode=Info&amp;id=34816&amp;lvl=3&amp;lin=f&amp;keep=1&amp;srchmode=1&amp;unlock","Morone saxatilis")</f>
        <v>Morone saxatilis</v>
      </c>
      <c r="H595" t="s">
        <v>555</v>
      </c>
      <c r="I595" t="str">
        <f>HYPERLINK("http://www.ncbi.nlm.nih.gov/protein/XP_035514644.1","fatty acid-binding protein, liver-type")</f>
        <v>fatty acid-binding protein, liver-type</v>
      </c>
      <c r="J595">
        <v>169.09</v>
      </c>
      <c r="K595" t="s">
        <v>25</v>
      </c>
      <c r="L595">
        <v>139</v>
      </c>
      <c r="M595">
        <v>50.68</v>
      </c>
      <c r="N595">
        <v>67.02</v>
      </c>
      <c r="O595" t="s">
        <v>20</v>
      </c>
      <c r="P595" t="s">
        <v>21</v>
      </c>
      <c r="Q595" t="s">
        <v>20</v>
      </c>
      <c r="R595" t="str">
        <f>HYPERLINK("https://cfpub.epa.gov/ecotox/explore.cfm?ncbi=34816","Explore in ECOTOX")</f>
        <v>Explore in ECOTOX</v>
      </c>
    </row>
    <row r="596" spans="1:18" x14ac:dyDescent="0.25">
      <c r="A596">
        <v>6</v>
      </c>
      <c r="B596" t="str">
        <f>HYPERLINK("http://www.ncbi.nlm.nih.gov/protein/XP_015828391.1","XP_015828391.1")</f>
        <v>XP_015828391.1</v>
      </c>
      <c r="C596">
        <v>70065</v>
      </c>
      <c r="D596" t="str">
        <f>HYPERLINK("http://www.ncbi.nlm.nih.gov/Taxonomy/Browser/wwwtax.cgi?mode=Info&amp;id=105023&amp;lvl=3&amp;lin=f&amp;keep=1&amp;srchmode=1&amp;unlock","105023")</f>
        <v>105023</v>
      </c>
      <c r="E596" t="s">
        <v>384</v>
      </c>
      <c r="F596" t="s">
        <v>384</v>
      </c>
      <c r="G596" t="str">
        <f>HYPERLINK("http://www.ncbi.nlm.nih.gov/Taxonomy/Browser/wwwtax.cgi?mode=Info&amp;id=105023&amp;lvl=3&amp;lin=f&amp;keep=1&amp;srchmode=1&amp;unlock","Nothobranchius furzeri")</f>
        <v>Nothobranchius furzeri</v>
      </c>
      <c r="H596" t="s">
        <v>556</v>
      </c>
      <c r="I596" t="str">
        <f>HYPERLINK("http://www.ncbi.nlm.nih.gov/protein/XP_015828391.1","PREDICTED: fatty acid-binding protein, liver")</f>
        <v>PREDICTED: fatty acid-binding protein, liver</v>
      </c>
      <c r="J596">
        <v>168.7</v>
      </c>
      <c r="K596" t="s">
        <v>25</v>
      </c>
      <c r="L596">
        <v>139</v>
      </c>
      <c r="M596">
        <v>50.68</v>
      </c>
      <c r="N596">
        <v>66.87</v>
      </c>
      <c r="O596" t="s">
        <v>20</v>
      </c>
      <c r="P596" t="s">
        <v>21</v>
      </c>
      <c r="Q596" t="s">
        <v>20</v>
      </c>
      <c r="R596" t="str">
        <f>HYPERLINK("https://cfpub.epa.gov/ecotox/explore.cfm?ncbi=105023","Explore in ECOTOX")</f>
        <v>Explore in ECOTOX</v>
      </c>
    </row>
    <row r="597" spans="1:18" x14ac:dyDescent="0.25">
      <c r="A597">
        <v>6</v>
      </c>
      <c r="B597" t="str">
        <f>HYPERLINK("http://www.ncbi.nlm.nih.gov/protein/XP_010731481.1","XP_010731481.1")</f>
        <v>XP_010731481.1</v>
      </c>
      <c r="C597">
        <v>94451</v>
      </c>
      <c r="D597" t="str">
        <f>HYPERLINK("http://www.ncbi.nlm.nih.gov/Taxonomy/Browser/wwwtax.cgi?mode=Info&amp;id=215358&amp;lvl=3&amp;lin=f&amp;keep=1&amp;srchmode=1&amp;unlock","215358")</f>
        <v>215358</v>
      </c>
      <c r="E597" t="s">
        <v>384</v>
      </c>
      <c r="F597" t="s">
        <v>384</v>
      </c>
      <c r="G597" t="str">
        <f>HYPERLINK("http://www.ncbi.nlm.nih.gov/Taxonomy/Browser/wwwtax.cgi?mode=Info&amp;id=215358&amp;lvl=3&amp;lin=f&amp;keep=1&amp;srchmode=1&amp;unlock","Larimichthys crocea")</f>
        <v>Larimichthys crocea</v>
      </c>
      <c r="H597" t="s">
        <v>557</v>
      </c>
      <c r="I597" t="str">
        <f>HYPERLINK("http://www.ncbi.nlm.nih.gov/protein/XP_010731481.1","fatty acid-binding protein, liver")</f>
        <v>fatty acid-binding protein, liver</v>
      </c>
      <c r="J597">
        <v>168.7</v>
      </c>
      <c r="K597" t="s">
        <v>25</v>
      </c>
      <c r="L597">
        <v>139</v>
      </c>
      <c r="M597">
        <v>50.68</v>
      </c>
      <c r="N597">
        <v>66.87</v>
      </c>
      <c r="O597" t="s">
        <v>20</v>
      </c>
      <c r="P597" t="s">
        <v>21</v>
      </c>
      <c r="Q597" t="s">
        <v>20</v>
      </c>
      <c r="R597" t="str">
        <f>HYPERLINK("https://cfpub.epa.gov/ecotox/explore.cfm?ncbi=215358","Explore in ECOTOX")</f>
        <v>Explore in ECOTOX</v>
      </c>
    </row>
    <row r="598" spans="1:18" x14ac:dyDescent="0.25">
      <c r="A598">
        <v>6</v>
      </c>
      <c r="B598" t="str">
        <f>HYPERLINK("http://www.ncbi.nlm.nih.gov/protein/Q8JJ04.1","Q8JJ04.1")</f>
        <v>Q8JJ04.1</v>
      </c>
      <c r="C598">
        <v>1801</v>
      </c>
      <c r="D598" t="str">
        <f>HYPERLINK("http://www.ncbi.nlm.nih.gov/Taxonomy/Browser/wwwtax.cgi?mode=Info&amp;id=94232&amp;lvl=3&amp;lin=f&amp;keep=1&amp;srchmode=1&amp;unlock","94232")</f>
        <v>94232</v>
      </c>
      <c r="E598" t="s">
        <v>384</v>
      </c>
      <c r="F598" t="s">
        <v>384</v>
      </c>
      <c r="G598" t="str">
        <f>HYPERLINK("http://www.ncbi.nlm.nih.gov/Taxonomy/Browser/wwwtax.cgi?mode=Info&amp;id=94232&amp;lvl=3&amp;lin=f&amp;keep=1&amp;srchmode=1&amp;unlock","Epinephelus coioides")</f>
        <v>Epinephelus coioides</v>
      </c>
      <c r="H598" t="s">
        <v>558</v>
      </c>
      <c r="I598" t="str">
        <f>HYPERLINK("http://www.ncbi.nlm.nih.gov/protein/Q8JJ04.1","RecName: Full=Fatty acid-binding protein, liver-type; AltName: Full=Fatty acid-binding protein 1; AltName: Full=Liver-type fatty acid-binding protein; Short=L-FABP")</f>
        <v>RecName: Full=Fatty acid-binding protein, liver-type; AltName: Full=Fatty acid-binding protein 1; AltName: Full=Liver-type fatty acid-binding protein; Short=L-FABP</v>
      </c>
      <c r="J598">
        <v>168.7</v>
      </c>
      <c r="K598" t="s">
        <v>25</v>
      </c>
      <c r="L598">
        <v>139</v>
      </c>
      <c r="M598">
        <v>50.68</v>
      </c>
      <c r="N598">
        <v>66.87</v>
      </c>
      <c r="O598" t="s">
        <v>20</v>
      </c>
      <c r="P598" t="s">
        <v>21</v>
      </c>
      <c r="Q598" t="s">
        <v>20</v>
      </c>
      <c r="R598" t="str">
        <f>HYPERLINK("https://cfpub.epa.gov/ecotox/explore.cfm?ncbi=94232","Explore in ECOTOX")</f>
        <v>Explore in ECOTOX</v>
      </c>
    </row>
    <row r="599" spans="1:18" x14ac:dyDescent="0.25">
      <c r="A599">
        <v>6</v>
      </c>
      <c r="B599" t="str">
        <f>HYPERLINK("http://www.ncbi.nlm.nih.gov/protein/KAF4112710.1","KAF4112710.1")</f>
        <v>KAF4112710.1</v>
      </c>
      <c r="C599">
        <v>24833</v>
      </c>
      <c r="D599" t="str">
        <f>HYPERLINK("http://www.ncbi.nlm.nih.gov/Taxonomy/Browser/wwwtax.cgi?mode=Info&amp;id=369639&amp;lvl=3&amp;lin=f&amp;keep=1&amp;srchmode=1&amp;unlock","369639")</f>
        <v>369639</v>
      </c>
      <c r="E599" t="s">
        <v>384</v>
      </c>
      <c r="F599" t="s">
        <v>384</v>
      </c>
      <c r="G599" t="str">
        <f>HYPERLINK("http://www.ncbi.nlm.nih.gov/Taxonomy/Browser/wwwtax.cgi?mode=Info&amp;id=369639&amp;lvl=3&amp;lin=f&amp;keep=1&amp;srchmode=1&amp;unlock","Onychostoma macrolepis")</f>
        <v>Onychostoma macrolepis</v>
      </c>
      <c r="H599" t="s">
        <v>529</v>
      </c>
      <c r="I599" t="str">
        <f>HYPERLINK("http://www.ncbi.nlm.nih.gov/protein/KAF4112710.1","hypothetical protein G5714_005255")</f>
        <v>hypothetical protein G5714_005255</v>
      </c>
      <c r="J599">
        <v>168.32</v>
      </c>
      <c r="K599" t="s">
        <v>25</v>
      </c>
      <c r="L599">
        <v>139</v>
      </c>
      <c r="M599">
        <v>50.68</v>
      </c>
      <c r="N599">
        <v>66.72</v>
      </c>
      <c r="O599" t="s">
        <v>20</v>
      </c>
      <c r="P599" t="s">
        <v>21</v>
      </c>
      <c r="Q599" t="s">
        <v>20</v>
      </c>
      <c r="R599" t="str">
        <f>HYPERLINK("https://cfpub.epa.gov/ecotox/explore.cfm?ncbi=369639","Explore in ECOTOX")</f>
        <v>Explore in ECOTOX</v>
      </c>
    </row>
    <row r="600" spans="1:18" x14ac:dyDescent="0.25">
      <c r="A600">
        <v>6</v>
      </c>
      <c r="B600" t="str">
        <f>HYPERLINK("http://www.ncbi.nlm.nih.gov/protein/NWS67372.1","NWS67372.1")</f>
        <v>NWS67372.1</v>
      </c>
      <c r="C600">
        <v>13919</v>
      </c>
      <c r="D600" t="str">
        <f>HYPERLINK("http://www.ncbi.nlm.nih.gov/Taxonomy/Browser/wwwtax.cgi?mode=Info&amp;id=33598&amp;lvl=3&amp;lin=f&amp;keep=1&amp;srchmode=1&amp;unlock","33598")</f>
        <v>33598</v>
      </c>
      <c r="E600" t="s">
        <v>167</v>
      </c>
      <c r="F600" t="s">
        <v>167</v>
      </c>
      <c r="G600" t="str">
        <f>HYPERLINK("http://www.ncbi.nlm.nih.gov/Taxonomy/Browser/wwwtax.cgi?mode=Info&amp;id=33598&amp;lvl=3&amp;lin=f&amp;keep=1&amp;srchmode=1&amp;unlock","Crotophaga sulcirostris")</f>
        <v>Crotophaga sulcirostris</v>
      </c>
      <c r="H600" t="s">
        <v>559</v>
      </c>
      <c r="I600" t="str">
        <f>HYPERLINK("http://www.ncbi.nlm.nih.gov/protein/NWS67372.1","FABP1 protein")</f>
        <v>FABP1 protein</v>
      </c>
      <c r="J600">
        <v>167.93</v>
      </c>
      <c r="K600" t="s">
        <v>20</v>
      </c>
      <c r="L600">
        <v>139</v>
      </c>
      <c r="M600">
        <v>50.68</v>
      </c>
      <c r="N600">
        <v>66.56</v>
      </c>
      <c r="O600" t="s">
        <v>20</v>
      </c>
      <c r="P600" t="s">
        <v>21</v>
      </c>
      <c r="Q600" t="s">
        <v>20</v>
      </c>
      <c r="R600" t="str">
        <f>HYPERLINK("https://cfpub.epa.gov/ecotox/explore.cfm?ncbi=33598","Explore in ECOTOX")</f>
        <v>Explore in ECOTOX</v>
      </c>
    </row>
    <row r="601" spans="1:18" x14ac:dyDescent="0.25">
      <c r="A601">
        <v>6</v>
      </c>
      <c r="B601" t="str">
        <f>HYPERLINK("http://www.ncbi.nlm.nih.gov/protein/XP_014648229.1","XP_014648229.1")</f>
        <v>XP_014648229.1</v>
      </c>
      <c r="C601">
        <v>33636</v>
      </c>
      <c r="D601" t="str">
        <f>HYPERLINK("http://www.ncbi.nlm.nih.gov/Taxonomy/Browser/wwwtax.cgi?mode=Info&amp;id=73337&amp;lvl=3&amp;lin=f&amp;keep=1&amp;srchmode=1&amp;unlock","73337")</f>
        <v>73337</v>
      </c>
      <c r="E601" t="s">
        <v>18</v>
      </c>
      <c r="F601" t="s">
        <v>18</v>
      </c>
      <c r="G601" t="str">
        <f>HYPERLINK("http://www.ncbi.nlm.nih.gov/Taxonomy/Browser/wwwtax.cgi?mode=Info&amp;id=73337&amp;lvl=3&amp;lin=f&amp;keep=1&amp;srchmode=1&amp;unlock","Ceratotherium simum simum")</f>
        <v>Ceratotherium simum simum</v>
      </c>
      <c r="H601" t="s">
        <v>560</v>
      </c>
      <c r="I601" t="str">
        <f>HYPERLINK("http://www.ncbi.nlm.nih.gov/protein/XP_014648229.1","PREDICTED: fatty acid-binding protein, liver")</f>
        <v>PREDICTED: fatty acid-binding protein, liver</v>
      </c>
      <c r="J601">
        <v>167.55</v>
      </c>
      <c r="K601" t="s">
        <v>20</v>
      </c>
      <c r="L601">
        <v>139</v>
      </c>
      <c r="M601">
        <v>50.68</v>
      </c>
      <c r="N601">
        <v>66.41</v>
      </c>
      <c r="O601" t="s">
        <v>20</v>
      </c>
      <c r="P601" t="s">
        <v>21</v>
      </c>
      <c r="Q601" t="s">
        <v>20</v>
      </c>
      <c r="R601" t="str">
        <f>HYPERLINK("https://cfpub.epa.gov/ecotox/explore.cfm?ncbi=73337","Explore in ECOTOX")</f>
        <v>Explore in ECOTOX</v>
      </c>
    </row>
    <row r="602" spans="1:18" x14ac:dyDescent="0.25">
      <c r="A602">
        <v>6</v>
      </c>
      <c r="B602" t="str">
        <f>HYPERLINK("http://www.ncbi.nlm.nih.gov/protein/XP_029998978.1","XP_029998978.1")</f>
        <v>XP_029998978.1</v>
      </c>
      <c r="C602">
        <v>42352</v>
      </c>
      <c r="D602" t="str">
        <f>HYPERLINK("http://www.ncbi.nlm.nih.gov/Taxonomy/Browser/wwwtax.cgi?mode=Info&amp;id=375764&amp;lvl=3&amp;lin=f&amp;keep=1&amp;srchmode=1&amp;unlock","375764")</f>
        <v>375764</v>
      </c>
      <c r="E602" t="s">
        <v>384</v>
      </c>
      <c r="F602" t="s">
        <v>384</v>
      </c>
      <c r="G602" t="str">
        <f>HYPERLINK("http://www.ncbi.nlm.nih.gov/Taxonomy/Browser/wwwtax.cgi?mode=Info&amp;id=375764&amp;lvl=3&amp;lin=f&amp;keep=1&amp;srchmode=1&amp;unlock","Sphaeramia orbicularis")</f>
        <v>Sphaeramia orbicularis</v>
      </c>
      <c r="H602" t="s">
        <v>561</v>
      </c>
      <c r="I602" t="str">
        <f>HYPERLINK("http://www.ncbi.nlm.nih.gov/protein/XP_029998978.1","fatty acid-binding protein, liver")</f>
        <v>fatty acid-binding protein, liver</v>
      </c>
      <c r="J602">
        <v>167.55</v>
      </c>
      <c r="K602" t="s">
        <v>25</v>
      </c>
      <c r="L602">
        <v>139</v>
      </c>
      <c r="M602">
        <v>50.68</v>
      </c>
      <c r="N602">
        <v>66.41</v>
      </c>
      <c r="O602" t="s">
        <v>20</v>
      </c>
      <c r="P602" t="s">
        <v>21</v>
      </c>
      <c r="Q602" t="s">
        <v>20</v>
      </c>
      <c r="R602" t="str">
        <f>HYPERLINK("https://cfpub.epa.gov/ecotox/explore.cfm?ncbi=375764","Explore in ECOTOX")</f>
        <v>Explore in ECOTOX</v>
      </c>
    </row>
    <row r="603" spans="1:18" x14ac:dyDescent="0.25">
      <c r="A603">
        <v>6</v>
      </c>
      <c r="B603" t="str">
        <f>HYPERLINK("http://www.ncbi.nlm.nih.gov/protein/XP_034162154.1","XP_034162154.1")</f>
        <v>XP_034162154.1</v>
      </c>
      <c r="C603">
        <v>66732</v>
      </c>
      <c r="D603" t="str">
        <f>HYPERLINK("http://www.ncbi.nlm.nih.gov/Taxonomy/Browser/wwwtax.cgi?mode=Info&amp;id=310915&amp;lvl=3&amp;lin=f&amp;keep=1&amp;srchmode=1&amp;unlock","310915")</f>
        <v>310915</v>
      </c>
      <c r="E603" t="s">
        <v>384</v>
      </c>
      <c r="F603" t="s">
        <v>384</v>
      </c>
      <c r="G603" t="str">
        <f>HYPERLINK("http://www.ncbi.nlm.nih.gov/Taxonomy/Browser/wwwtax.cgi?mode=Info&amp;id=310915&amp;lvl=3&amp;lin=f&amp;keep=1&amp;srchmode=1&amp;unlock","Pangasianodon hypophthalmus")</f>
        <v>Pangasianodon hypophthalmus</v>
      </c>
      <c r="H603" t="s">
        <v>562</v>
      </c>
      <c r="I603" t="str">
        <f>HYPERLINK("http://www.ncbi.nlm.nih.gov/protein/XP_034162154.1","fatty acid binding protein 1-B.1-like")</f>
        <v>fatty acid binding protein 1-B.1-like</v>
      </c>
      <c r="J603">
        <v>167.55</v>
      </c>
      <c r="K603" t="s">
        <v>20</v>
      </c>
      <c r="L603">
        <v>139</v>
      </c>
      <c r="M603">
        <v>50.68</v>
      </c>
      <c r="N603">
        <v>66.41</v>
      </c>
      <c r="O603" t="s">
        <v>20</v>
      </c>
      <c r="P603" t="s">
        <v>21</v>
      </c>
      <c r="Q603" t="s">
        <v>20</v>
      </c>
      <c r="R603" t="str">
        <f>HYPERLINK("https://cfpub.epa.gov/ecotox/explore.cfm?ncbi=310915","Explore in ECOTOX")</f>
        <v>Explore in ECOTOX</v>
      </c>
    </row>
    <row r="604" spans="1:18" x14ac:dyDescent="0.25">
      <c r="A604">
        <v>6</v>
      </c>
      <c r="B604" t="str">
        <f>HYPERLINK("http://www.ncbi.nlm.nih.gov/protein/XP_019954673.1","XP_019954673.1")</f>
        <v>XP_019954673.1</v>
      </c>
      <c r="C604">
        <v>37796</v>
      </c>
      <c r="D604" t="str">
        <f>HYPERLINK("http://www.ncbi.nlm.nih.gov/Taxonomy/Browser/wwwtax.cgi?mode=Info&amp;id=8255&amp;lvl=3&amp;lin=f&amp;keep=1&amp;srchmode=1&amp;unlock","8255")</f>
        <v>8255</v>
      </c>
      <c r="E604" t="s">
        <v>384</v>
      </c>
      <c r="F604" t="s">
        <v>384</v>
      </c>
      <c r="G604" t="str">
        <f>HYPERLINK("http://www.ncbi.nlm.nih.gov/Taxonomy/Browser/wwwtax.cgi?mode=Info&amp;id=8255&amp;lvl=3&amp;lin=f&amp;keep=1&amp;srchmode=1&amp;unlock","Paralichthys olivaceus")</f>
        <v>Paralichthys olivaceus</v>
      </c>
      <c r="H604" t="s">
        <v>563</v>
      </c>
      <c r="I604" t="str">
        <f>HYPERLINK("http://www.ncbi.nlm.nih.gov/protein/XP_019954673.1","PREDICTED: fatty acid-binding protein, liver")</f>
        <v>PREDICTED: fatty acid-binding protein, liver</v>
      </c>
      <c r="J604">
        <v>167.55</v>
      </c>
      <c r="K604" t="s">
        <v>25</v>
      </c>
      <c r="L604">
        <v>139</v>
      </c>
      <c r="M604">
        <v>50.68</v>
      </c>
      <c r="N604">
        <v>66.41</v>
      </c>
      <c r="O604" t="s">
        <v>20</v>
      </c>
      <c r="P604" t="s">
        <v>21</v>
      </c>
      <c r="Q604" t="s">
        <v>20</v>
      </c>
      <c r="R604" t="str">
        <f>HYPERLINK("https://cfpub.epa.gov/ecotox/explore.cfm?ncbi=8255","Explore in ECOTOX")</f>
        <v>Explore in ECOTOX</v>
      </c>
    </row>
    <row r="605" spans="1:18" x14ac:dyDescent="0.25">
      <c r="A605">
        <v>6</v>
      </c>
      <c r="B605" t="str">
        <f>HYPERLINK("http://www.ncbi.nlm.nih.gov/protein/XP_036382481.1","XP_036382481.1")</f>
        <v>XP_036382481.1</v>
      </c>
      <c r="C605">
        <v>40209</v>
      </c>
      <c r="D605" t="str">
        <f>HYPERLINK("http://www.ncbi.nlm.nih.gov/Taxonomy/Browser/wwwtax.cgi?mode=Info&amp;id=118141&amp;lvl=3&amp;lin=f&amp;keep=1&amp;srchmode=1&amp;unlock","118141")</f>
        <v>118141</v>
      </c>
      <c r="E605" t="s">
        <v>384</v>
      </c>
      <c r="F605" t="s">
        <v>384</v>
      </c>
      <c r="G605" t="str">
        <f>HYPERLINK("http://www.ncbi.nlm.nih.gov/Taxonomy/Browser/wwwtax.cgi?mode=Info&amp;id=118141&amp;lvl=3&amp;lin=f&amp;keep=1&amp;srchmode=1&amp;unlock","Megalops cyprinoides")</f>
        <v>Megalops cyprinoides</v>
      </c>
      <c r="H605" t="s">
        <v>564</v>
      </c>
      <c r="I605" t="str">
        <f>HYPERLINK("http://www.ncbi.nlm.nih.gov/protein/XP_036382481.1","fatty acid-binding protein, liver-type-like")</f>
        <v>fatty acid-binding protein, liver-type-like</v>
      </c>
      <c r="J605">
        <v>167.55</v>
      </c>
      <c r="K605" t="s">
        <v>25</v>
      </c>
      <c r="L605">
        <v>139</v>
      </c>
      <c r="M605">
        <v>50.68</v>
      </c>
      <c r="N605">
        <v>66.41</v>
      </c>
      <c r="O605" t="s">
        <v>20</v>
      </c>
      <c r="P605" t="s">
        <v>21</v>
      </c>
      <c r="Q605" t="s">
        <v>20</v>
      </c>
      <c r="R605" t="str">
        <f>HYPERLINK("https://cfpub.epa.gov/ecotox/explore.cfm?ncbi=118141","Explore in ECOTOX")</f>
        <v>Explore in ECOTOX</v>
      </c>
    </row>
    <row r="606" spans="1:18" x14ac:dyDescent="0.25">
      <c r="A606">
        <v>6</v>
      </c>
      <c r="B606" t="str">
        <f>HYPERLINK("http://www.ncbi.nlm.nih.gov/protein/XP_037536187.1","XP_037536187.1")</f>
        <v>XP_037536187.1</v>
      </c>
      <c r="C606">
        <v>24152</v>
      </c>
      <c r="D606" t="str">
        <f>HYPERLINK("http://www.ncbi.nlm.nih.gov/Taxonomy/Browser/wwwtax.cgi?mode=Info&amp;id=451745&amp;lvl=3&amp;lin=f&amp;keep=1&amp;srchmode=1&amp;unlock","451745")</f>
        <v>451745</v>
      </c>
      <c r="E606" t="s">
        <v>384</v>
      </c>
      <c r="F606" t="s">
        <v>384</v>
      </c>
      <c r="G606" t="str">
        <f>HYPERLINK("http://www.ncbi.nlm.nih.gov/Taxonomy/Browser/wwwtax.cgi?mode=Info&amp;id=451745&amp;lvl=3&amp;lin=f&amp;keep=1&amp;srchmode=1&amp;unlock","Nematolebias whitei")</f>
        <v>Nematolebias whitei</v>
      </c>
      <c r="H606" t="s">
        <v>565</v>
      </c>
      <c r="I606" t="str">
        <f>HYPERLINK("http://www.ncbi.nlm.nih.gov/protein/XP_037536187.1","fatty acid-binding protein, liver-type-like")</f>
        <v>fatty acid-binding protein, liver-type-like</v>
      </c>
      <c r="J606">
        <v>167.55</v>
      </c>
      <c r="K606" t="s">
        <v>25</v>
      </c>
      <c r="L606">
        <v>139</v>
      </c>
      <c r="M606">
        <v>50.68</v>
      </c>
      <c r="N606">
        <v>66.41</v>
      </c>
      <c r="O606" t="s">
        <v>20</v>
      </c>
      <c r="P606" t="s">
        <v>21</v>
      </c>
      <c r="Q606" t="s">
        <v>20</v>
      </c>
      <c r="R606" t="str">
        <f>HYPERLINK("https://cfpub.epa.gov/ecotox/explore.cfm?ncbi=451745","Explore in ECOTOX")</f>
        <v>Explore in ECOTOX</v>
      </c>
    </row>
    <row r="607" spans="1:18" x14ac:dyDescent="0.25">
      <c r="A607">
        <v>6</v>
      </c>
      <c r="B607" t="str">
        <f>HYPERLINK("http://www.ncbi.nlm.nih.gov/protein/XP_030213930.1","XP_030213930.1")</f>
        <v>XP_030213930.1</v>
      </c>
      <c r="C607">
        <v>47233</v>
      </c>
      <c r="D607" t="str">
        <f>HYPERLINK("http://www.ncbi.nlm.nih.gov/Taxonomy/Browser/wwwtax.cgi?mode=Info&amp;id=8049&amp;lvl=3&amp;lin=f&amp;keep=1&amp;srchmode=1&amp;unlock","8049")</f>
        <v>8049</v>
      </c>
      <c r="E607" t="s">
        <v>384</v>
      </c>
      <c r="F607" t="s">
        <v>384</v>
      </c>
      <c r="G607" t="str">
        <f>HYPERLINK("http://www.ncbi.nlm.nih.gov/Taxonomy/Browser/wwwtax.cgi?mode=Info&amp;id=8049&amp;lvl=3&amp;lin=f&amp;keep=1&amp;srchmode=1&amp;unlock","Gadus morhua")</f>
        <v>Gadus morhua</v>
      </c>
      <c r="H607" t="s">
        <v>566</v>
      </c>
      <c r="I607" t="str">
        <f>HYPERLINK("http://www.ncbi.nlm.nih.gov/protein/XP_030213930.1","fatty acid-binding protein, liver")</f>
        <v>fatty acid-binding protein, liver</v>
      </c>
      <c r="J607">
        <v>167.55</v>
      </c>
      <c r="K607" t="s">
        <v>25</v>
      </c>
      <c r="L607">
        <v>139</v>
      </c>
      <c r="M607">
        <v>50.68</v>
      </c>
      <c r="N607">
        <v>66.41</v>
      </c>
      <c r="O607" t="s">
        <v>20</v>
      </c>
      <c r="P607" t="s">
        <v>21</v>
      </c>
      <c r="Q607" t="s">
        <v>20</v>
      </c>
      <c r="R607" t="str">
        <f>HYPERLINK("https://cfpub.epa.gov/ecotox/explore.cfm?ncbi=8049","Explore in ECOTOX")</f>
        <v>Explore in ECOTOX</v>
      </c>
    </row>
    <row r="608" spans="1:18" x14ac:dyDescent="0.25">
      <c r="A608">
        <v>6</v>
      </c>
      <c r="B608" t="str">
        <f>HYPERLINK("http://www.ncbi.nlm.nih.gov/protein/XP_030274010.1","XP_030274010.1")</f>
        <v>XP_030274010.1</v>
      </c>
      <c r="C608">
        <v>54133</v>
      </c>
      <c r="D608" t="str">
        <f>HYPERLINK("http://www.ncbi.nlm.nih.gov/Taxonomy/Browser/wwwtax.cgi?mode=Info&amp;id=8175&amp;lvl=3&amp;lin=f&amp;keep=1&amp;srchmode=1&amp;unlock","8175")</f>
        <v>8175</v>
      </c>
      <c r="E608" t="s">
        <v>384</v>
      </c>
      <c r="F608" t="s">
        <v>384</v>
      </c>
      <c r="G608" t="str">
        <f>HYPERLINK("http://www.ncbi.nlm.nih.gov/Taxonomy/Browser/wwwtax.cgi?mode=Info&amp;id=8175&amp;lvl=3&amp;lin=f&amp;keep=1&amp;srchmode=1&amp;unlock","Sparus aurata")</f>
        <v>Sparus aurata</v>
      </c>
      <c r="H608" t="s">
        <v>567</v>
      </c>
      <c r="I608" t="str">
        <f>HYPERLINK("http://www.ncbi.nlm.nih.gov/protein/XP_030274010.1","fatty acid-binding protein, liver")</f>
        <v>fatty acid-binding protein, liver</v>
      </c>
      <c r="J608">
        <v>167.16</v>
      </c>
      <c r="K608" t="s">
        <v>25</v>
      </c>
      <c r="L608">
        <v>139</v>
      </c>
      <c r="M608">
        <v>50.68</v>
      </c>
      <c r="N608">
        <v>66.260000000000005</v>
      </c>
      <c r="O608" t="s">
        <v>20</v>
      </c>
      <c r="P608" t="s">
        <v>21</v>
      </c>
      <c r="Q608" t="s">
        <v>20</v>
      </c>
      <c r="R608" t="str">
        <f>HYPERLINK("https://cfpub.epa.gov/ecotox/explore.cfm?ncbi=8175","Explore in ECOTOX")</f>
        <v>Explore in ECOTOX</v>
      </c>
    </row>
    <row r="609" spans="1:18" x14ac:dyDescent="0.25">
      <c r="A609">
        <v>6</v>
      </c>
      <c r="B609" t="str">
        <f>HYPERLINK("http://www.ncbi.nlm.nih.gov/protein/XP_032372665.1","XP_032372665.1")</f>
        <v>XP_032372665.1</v>
      </c>
      <c r="C609">
        <v>64531</v>
      </c>
      <c r="D609" t="str">
        <f>HYPERLINK("http://www.ncbi.nlm.nih.gov/Taxonomy/Browser/wwwtax.cgi?mode=Info&amp;id=54343&amp;lvl=3&amp;lin=f&amp;keep=1&amp;srchmode=1&amp;unlock","54343")</f>
        <v>54343</v>
      </c>
      <c r="E609" t="s">
        <v>384</v>
      </c>
      <c r="F609" t="s">
        <v>384</v>
      </c>
      <c r="G609" t="str">
        <f>HYPERLINK("http://www.ncbi.nlm.nih.gov/Taxonomy/Browser/wwwtax.cgi?mode=Info&amp;id=54343&amp;lvl=3&amp;lin=f&amp;keep=1&amp;srchmode=1&amp;unlock","Etheostoma spectabile")</f>
        <v>Etheostoma spectabile</v>
      </c>
      <c r="H609" t="s">
        <v>568</v>
      </c>
      <c r="I609" t="str">
        <f>HYPERLINK("http://www.ncbi.nlm.nih.gov/protein/XP_032372665.1","fatty acid-binding protein, liver-type-like")</f>
        <v>fatty acid-binding protein, liver-type-like</v>
      </c>
      <c r="J609">
        <v>167.16</v>
      </c>
      <c r="K609" t="s">
        <v>25</v>
      </c>
      <c r="L609">
        <v>139</v>
      </c>
      <c r="M609">
        <v>50.68</v>
      </c>
      <c r="N609">
        <v>66.260000000000005</v>
      </c>
      <c r="O609" t="s">
        <v>20</v>
      </c>
      <c r="P609" t="s">
        <v>21</v>
      </c>
      <c r="Q609" t="s">
        <v>20</v>
      </c>
      <c r="R609" t="str">
        <f>HYPERLINK("https://cfpub.epa.gov/ecotox/explore.cfm?ncbi=54343","Explore in ECOTOX")</f>
        <v>Explore in ECOTOX</v>
      </c>
    </row>
    <row r="610" spans="1:18" x14ac:dyDescent="0.25">
      <c r="A610">
        <v>6</v>
      </c>
      <c r="B610" t="str">
        <f>HYPERLINK("http://www.ncbi.nlm.nih.gov/protein/PWA15825.1","PWA15825.1")</f>
        <v>PWA15825.1</v>
      </c>
      <c r="C610">
        <v>19610</v>
      </c>
      <c r="D610" t="str">
        <f>HYPERLINK("http://www.ncbi.nlm.nih.gov/Taxonomy/Browser/wwwtax.cgi?mode=Info&amp;id=33528&amp;lvl=3&amp;lin=f&amp;keep=1&amp;srchmode=1&amp;unlock","33528")</f>
        <v>33528</v>
      </c>
      <c r="E610" t="s">
        <v>384</v>
      </c>
      <c r="F610" t="s">
        <v>384</v>
      </c>
      <c r="G610" t="str">
        <f>HYPERLINK("http://www.ncbi.nlm.nih.gov/Taxonomy/Browser/wwwtax.cgi?mode=Info&amp;id=33528&amp;lvl=3&amp;lin=f&amp;keep=1&amp;srchmode=1&amp;unlock","Gambusia affinis")</f>
        <v>Gambusia affinis</v>
      </c>
      <c r="H610" t="s">
        <v>569</v>
      </c>
      <c r="I610" t="str">
        <f>HYPERLINK("http://www.ncbi.nlm.nih.gov/protein/PWA15825.1","hypothetical protein CCH79_00008890")</f>
        <v>hypothetical protein CCH79_00008890</v>
      </c>
      <c r="J610">
        <v>166.78</v>
      </c>
      <c r="K610" t="s">
        <v>20</v>
      </c>
      <c r="L610">
        <v>139</v>
      </c>
      <c r="M610">
        <v>50.68</v>
      </c>
      <c r="N610">
        <v>66.099999999999994</v>
      </c>
      <c r="O610" t="s">
        <v>20</v>
      </c>
      <c r="P610" t="s">
        <v>21</v>
      </c>
      <c r="Q610" t="s">
        <v>20</v>
      </c>
      <c r="R610" t="str">
        <f>HYPERLINK("https://cfpub.epa.gov/ecotox/explore.cfm?ncbi=33528","Explore in ECOTOX")</f>
        <v>Explore in ECOTOX</v>
      </c>
    </row>
    <row r="611" spans="1:18" x14ac:dyDescent="0.25">
      <c r="A611">
        <v>6</v>
      </c>
      <c r="B611" t="str">
        <f>HYPERLINK("http://www.ncbi.nlm.nih.gov/protein/XP_036954147.1","XP_036954147.1")</f>
        <v>XP_036954147.1</v>
      </c>
      <c r="C611">
        <v>54695</v>
      </c>
      <c r="D611" t="str">
        <f>HYPERLINK("http://www.ncbi.nlm.nih.gov/Taxonomy/Browser/wwwtax.cgi?mode=Info&amp;id=8177&amp;lvl=3&amp;lin=f&amp;keep=1&amp;srchmode=1&amp;unlock","8177")</f>
        <v>8177</v>
      </c>
      <c r="E611" t="s">
        <v>384</v>
      </c>
      <c r="F611" t="s">
        <v>384</v>
      </c>
      <c r="G611" t="str">
        <f>HYPERLINK("http://www.ncbi.nlm.nih.gov/Taxonomy/Browser/wwwtax.cgi?mode=Info&amp;id=8177&amp;lvl=3&amp;lin=f&amp;keep=1&amp;srchmode=1&amp;unlock","Acanthopagrus latus")</f>
        <v>Acanthopagrus latus</v>
      </c>
      <c r="H611" t="s">
        <v>570</v>
      </c>
      <c r="I611" t="str">
        <f>HYPERLINK("http://www.ncbi.nlm.nih.gov/protein/XP_036954147.1","fatty acid-binding protein, liver-type")</f>
        <v>fatty acid-binding protein, liver-type</v>
      </c>
      <c r="J611">
        <v>166.78</v>
      </c>
      <c r="K611" t="s">
        <v>25</v>
      </c>
      <c r="L611">
        <v>139</v>
      </c>
      <c r="M611">
        <v>50.68</v>
      </c>
      <c r="N611">
        <v>66.099999999999994</v>
      </c>
      <c r="O611" t="s">
        <v>20</v>
      </c>
      <c r="P611" t="s">
        <v>21</v>
      </c>
      <c r="Q611" t="s">
        <v>20</v>
      </c>
      <c r="R611" t="str">
        <f>HYPERLINK("https://cfpub.epa.gov/ecotox/explore.cfm?ncbi=8177","Explore in ECOTOX")</f>
        <v>Explore in ECOTOX</v>
      </c>
    </row>
    <row r="612" spans="1:18" x14ac:dyDescent="0.25">
      <c r="A612">
        <v>6</v>
      </c>
      <c r="B612" t="str">
        <f>HYPERLINK("http://www.ncbi.nlm.nih.gov/protein/XP_012725415.1","XP_012725415.1")</f>
        <v>XP_012725415.1</v>
      </c>
      <c r="C612">
        <v>50120</v>
      </c>
      <c r="D612" t="str">
        <f>HYPERLINK("http://www.ncbi.nlm.nih.gov/Taxonomy/Browser/wwwtax.cgi?mode=Info&amp;id=8078&amp;lvl=3&amp;lin=f&amp;keep=1&amp;srchmode=1&amp;unlock","8078")</f>
        <v>8078</v>
      </c>
      <c r="E612" t="s">
        <v>384</v>
      </c>
      <c r="F612" t="s">
        <v>384</v>
      </c>
      <c r="G612" t="str">
        <f>HYPERLINK("http://www.ncbi.nlm.nih.gov/Taxonomy/Browser/wwwtax.cgi?mode=Info&amp;id=8078&amp;lvl=3&amp;lin=f&amp;keep=1&amp;srchmode=1&amp;unlock","Fundulus heteroclitus")</f>
        <v>Fundulus heteroclitus</v>
      </c>
      <c r="H612" t="s">
        <v>571</v>
      </c>
      <c r="I612" t="str">
        <f>HYPERLINK("http://www.ncbi.nlm.nih.gov/protein/XP_012725415.1","fatty acid-binding protein, liver-type")</f>
        <v>fatty acid-binding protein, liver-type</v>
      </c>
      <c r="J612">
        <v>166.39</v>
      </c>
      <c r="K612" t="s">
        <v>25</v>
      </c>
      <c r="L612">
        <v>139</v>
      </c>
      <c r="M612">
        <v>50.68</v>
      </c>
      <c r="N612">
        <v>65.95</v>
      </c>
      <c r="O612" t="s">
        <v>20</v>
      </c>
      <c r="P612" t="s">
        <v>21</v>
      </c>
      <c r="Q612" t="s">
        <v>20</v>
      </c>
      <c r="R612" t="str">
        <f>HYPERLINK("https://cfpub.epa.gov/ecotox/explore.cfm?ncbi=8078","Explore in ECOTOX")</f>
        <v>Explore in ECOTOX</v>
      </c>
    </row>
    <row r="613" spans="1:18" x14ac:dyDescent="0.25">
      <c r="A613">
        <v>6</v>
      </c>
      <c r="B613" t="str">
        <f>HYPERLINK("http://www.ncbi.nlm.nih.gov/protein/XP_034547736.1","XP_034547736.1")</f>
        <v>XP_034547736.1</v>
      </c>
      <c r="C613">
        <v>39441</v>
      </c>
      <c r="D613" t="str">
        <f>HYPERLINK("http://www.ncbi.nlm.nih.gov/Taxonomy/Browser/wwwtax.cgi?mode=Info&amp;id=1203425&amp;lvl=3&amp;lin=f&amp;keep=1&amp;srchmode=1&amp;unlock","1203425")</f>
        <v>1203425</v>
      </c>
      <c r="E613" t="s">
        <v>384</v>
      </c>
      <c r="F613" t="s">
        <v>384</v>
      </c>
      <c r="G613" t="str">
        <f>HYPERLINK("http://www.ncbi.nlm.nih.gov/Taxonomy/Browser/wwwtax.cgi?mode=Info&amp;id=1203425&amp;lvl=3&amp;lin=f&amp;keep=1&amp;srchmode=1&amp;unlock","Notolabrus celidotus")</f>
        <v>Notolabrus celidotus</v>
      </c>
      <c r="H613" t="s">
        <v>572</v>
      </c>
      <c r="I613" t="str">
        <f>HYPERLINK("http://www.ncbi.nlm.nih.gov/protein/XP_034547736.1","fatty acid-binding protein, liver-type")</f>
        <v>fatty acid-binding protein, liver-type</v>
      </c>
      <c r="J613">
        <v>166.39</v>
      </c>
      <c r="K613" t="s">
        <v>25</v>
      </c>
      <c r="L613">
        <v>139</v>
      </c>
      <c r="M613">
        <v>50.68</v>
      </c>
      <c r="N613">
        <v>65.95</v>
      </c>
      <c r="O613" t="s">
        <v>20</v>
      </c>
      <c r="P613" t="s">
        <v>21</v>
      </c>
      <c r="Q613" t="s">
        <v>20</v>
      </c>
      <c r="R613" t="str">
        <f>HYPERLINK("https://cfpub.epa.gov/ecotox/explore.cfm?ncbi=1203425","Explore in ECOTOX")</f>
        <v>Explore in ECOTOX</v>
      </c>
    </row>
    <row r="614" spans="1:18" x14ac:dyDescent="0.25">
      <c r="A614">
        <v>6</v>
      </c>
      <c r="B614" t="str">
        <f>HYPERLINK("http://www.ncbi.nlm.nih.gov/protein/XP_040012404.1","XP_040012404.1")</f>
        <v>XP_040012404.1</v>
      </c>
      <c r="C614">
        <v>44807</v>
      </c>
      <c r="D614" t="str">
        <f>HYPERLINK("http://www.ncbi.nlm.nih.gov/Taxonomy/Browser/wwwtax.cgi?mode=Info&amp;id=8245&amp;lvl=3&amp;lin=f&amp;keep=1&amp;srchmode=1&amp;unlock","8245")</f>
        <v>8245</v>
      </c>
      <c r="E614" t="s">
        <v>384</v>
      </c>
      <c r="F614" t="s">
        <v>384</v>
      </c>
      <c r="G614" t="str">
        <f>HYPERLINK("http://www.ncbi.nlm.nih.gov/Taxonomy/Browser/wwwtax.cgi?mode=Info&amp;id=8245&amp;lvl=3&amp;lin=f&amp;keep=1&amp;srchmode=1&amp;unlock","Xiphias gladius")</f>
        <v>Xiphias gladius</v>
      </c>
      <c r="H614" t="s">
        <v>573</v>
      </c>
      <c r="I614" t="str">
        <f>HYPERLINK("http://www.ncbi.nlm.nih.gov/protein/XP_040012404.1","fatty acid-binding protein, liver-type-like")</f>
        <v>fatty acid-binding protein, liver-type-like</v>
      </c>
      <c r="J614">
        <v>166.01</v>
      </c>
      <c r="K614" t="s">
        <v>25</v>
      </c>
      <c r="L614">
        <v>139</v>
      </c>
      <c r="M614">
        <v>50.68</v>
      </c>
      <c r="N614">
        <v>65.8</v>
      </c>
      <c r="O614" t="s">
        <v>20</v>
      </c>
      <c r="P614" t="s">
        <v>21</v>
      </c>
      <c r="Q614" t="s">
        <v>20</v>
      </c>
      <c r="R614" t="str">
        <f>HYPERLINK("https://cfpub.epa.gov/ecotox/explore.cfm?ncbi=8245","Explore in ECOTOX")</f>
        <v>Explore in ECOTOX</v>
      </c>
    </row>
    <row r="615" spans="1:18" x14ac:dyDescent="0.25">
      <c r="A615">
        <v>6</v>
      </c>
      <c r="B615" t="str">
        <f>HYPERLINK("http://www.ncbi.nlm.nih.gov/protein/NXE45026.1","NXE45026.1")</f>
        <v>NXE45026.1</v>
      </c>
      <c r="C615">
        <v>13811</v>
      </c>
      <c r="D615" t="str">
        <f>HYPERLINK("http://www.ncbi.nlm.nih.gov/Taxonomy/Browser/wwwtax.cgi?mode=Info&amp;id=8787&amp;lvl=3&amp;lin=f&amp;keep=1&amp;srchmode=1&amp;unlock","8787")</f>
        <v>8787</v>
      </c>
      <c r="E615" t="s">
        <v>167</v>
      </c>
      <c r="F615" t="s">
        <v>167</v>
      </c>
      <c r="G615" t="str">
        <f>HYPERLINK("http://www.ncbi.nlm.nih.gov/Taxonomy/Browser/wwwtax.cgi?mode=Info&amp;id=8787&amp;lvl=3&amp;lin=f&amp;keep=1&amp;srchmode=1&amp;unlock","Casuarius casuarius")</f>
        <v>Casuarius casuarius</v>
      </c>
      <c r="H615" t="s">
        <v>574</v>
      </c>
      <c r="I615" t="str">
        <f>HYPERLINK("http://www.ncbi.nlm.nih.gov/protein/NXE45026.1","FABP1 protein")</f>
        <v>FABP1 protein</v>
      </c>
      <c r="J615">
        <v>166.01</v>
      </c>
      <c r="K615" t="s">
        <v>25</v>
      </c>
      <c r="L615">
        <v>139</v>
      </c>
      <c r="M615">
        <v>50.68</v>
      </c>
      <c r="N615">
        <v>65.8</v>
      </c>
      <c r="O615" t="s">
        <v>20</v>
      </c>
      <c r="P615" t="s">
        <v>21</v>
      </c>
      <c r="Q615" t="s">
        <v>20</v>
      </c>
      <c r="R615" t="str">
        <f>HYPERLINK("https://cfpub.epa.gov/ecotox/explore.cfm?ncbi=8787","Explore in ECOTOX")</f>
        <v>Explore in ECOTOX</v>
      </c>
    </row>
    <row r="616" spans="1:18" x14ac:dyDescent="0.25">
      <c r="A616">
        <v>6</v>
      </c>
      <c r="B616" t="str">
        <f>HYPERLINK("http://www.ncbi.nlm.nih.gov/protein/XP_029295977.1","XP_029295977.1")</f>
        <v>XP_029295977.1</v>
      </c>
      <c r="C616">
        <v>37869</v>
      </c>
      <c r="D616" t="str">
        <f>HYPERLINK("http://www.ncbi.nlm.nih.gov/Taxonomy/Browser/wwwtax.cgi?mode=Info&amp;id=56716&amp;lvl=3&amp;lin=f&amp;keep=1&amp;srchmode=1&amp;unlock","56716")</f>
        <v>56716</v>
      </c>
      <c r="E616" t="s">
        <v>384</v>
      </c>
      <c r="F616" t="s">
        <v>384</v>
      </c>
      <c r="G616" t="str">
        <f>HYPERLINK("http://www.ncbi.nlm.nih.gov/Taxonomy/Browser/wwwtax.cgi?mode=Info&amp;id=56716&amp;lvl=3&amp;lin=f&amp;keep=1&amp;srchmode=1&amp;unlock","Cottoperca gobio")</f>
        <v>Cottoperca gobio</v>
      </c>
      <c r="H616" t="s">
        <v>575</v>
      </c>
      <c r="I616" t="str">
        <f>HYPERLINK("http://www.ncbi.nlm.nih.gov/protein/XP_029295977.1","fatty acid-binding protein, liver-type-like")</f>
        <v>fatty acid-binding protein, liver-type-like</v>
      </c>
      <c r="J616">
        <v>166.01</v>
      </c>
      <c r="K616" t="s">
        <v>25</v>
      </c>
      <c r="L616">
        <v>139</v>
      </c>
      <c r="M616">
        <v>50.68</v>
      </c>
      <c r="N616">
        <v>65.8</v>
      </c>
      <c r="O616" t="s">
        <v>20</v>
      </c>
      <c r="P616" t="s">
        <v>21</v>
      </c>
      <c r="Q616" t="s">
        <v>20</v>
      </c>
      <c r="R616" t="str">
        <f>HYPERLINK("https://cfpub.epa.gov/ecotox/explore.cfm?ncbi=56716","Explore in ECOTOX")</f>
        <v>Explore in ECOTOX</v>
      </c>
    </row>
    <row r="617" spans="1:18" x14ac:dyDescent="0.25">
      <c r="A617">
        <v>6</v>
      </c>
      <c r="B617" t="str">
        <f>HYPERLINK("http://www.ncbi.nlm.nih.gov/protein/XP_033947697.1","XP_033947697.1")</f>
        <v>XP_033947697.1</v>
      </c>
      <c r="C617">
        <v>38002</v>
      </c>
      <c r="D617" t="str">
        <f>HYPERLINK("http://www.ncbi.nlm.nih.gov/Taxonomy/Browser/wwwtax.cgi?mode=Info&amp;id=52239&amp;lvl=3&amp;lin=f&amp;keep=1&amp;srchmode=1&amp;unlock","52239")</f>
        <v>52239</v>
      </c>
      <c r="E617" t="s">
        <v>384</v>
      </c>
      <c r="F617" t="s">
        <v>384</v>
      </c>
      <c r="G617" t="str">
        <f>HYPERLINK("http://www.ncbi.nlm.nih.gov/Taxonomy/Browser/wwwtax.cgi?mode=Info&amp;id=52239&amp;lvl=3&amp;lin=f&amp;keep=1&amp;srchmode=1&amp;unlock","Pseudochaenichthys georgianus")</f>
        <v>Pseudochaenichthys georgianus</v>
      </c>
      <c r="H617" t="s">
        <v>576</v>
      </c>
      <c r="I617" t="str">
        <f>HYPERLINK("http://www.ncbi.nlm.nih.gov/protein/XP_033947697.1","fatty acid-binding protein, liver-type-like")</f>
        <v>fatty acid-binding protein, liver-type-like</v>
      </c>
      <c r="J617">
        <v>166.01</v>
      </c>
      <c r="K617" t="s">
        <v>25</v>
      </c>
      <c r="L617">
        <v>139</v>
      </c>
      <c r="M617">
        <v>50.68</v>
      </c>
      <c r="N617">
        <v>65.8</v>
      </c>
      <c r="O617" t="s">
        <v>20</v>
      </c>
      <c r="P617" t="s">
        <v>21</v>
      </c>
      <c r="Q617" t="s">
        <v>20</v>
      </c>
      <c r="R617" t="str">
        <f>HYPERLINK("https://cfpub.epa.gov/ecotox/explore.cfm?ncbi=52239","Explore in ECOTOX")</f>
        <v>Explore in ECOTOX</v>
      </c>
    </row>
    <row r="618" spans="1:18" x14ac:dyDescent="0.25">
      <c r="A618">
        <v>6</v>
      </c>
      <c r="B618" t="str">
        <f>HYPERLINK("http://www.ncbi.nlm.nih.gov/protein/XP_034090900.1","XP_034090900.1")</f>
        <v>XP_034090900.1</v>
      </c>
      <c r="C618">
        <v>45860</v>
      </c>
      <c r="D618" t="str">
        <f>HYPERLINK("http://www.ncbi.nlm.nih.gov/Taxonomy/Browser/wwwtax.cgi?mode=Info&amp;id=8218&amp;lvl=3&amp;lin=f&amp;keep=1&amp;srchmode=1&amp;unlock","8218")</f>
        <v>8218</v>
      </c>
      <c r="E618" t="s">
        <v>384</v>
      </c>
      <c r="F618" t="s">
        <v>384</v>
      </c>
      <c r="G618" t="str">
        <f>HYPERLINK("http://www.ncbi.nlm.nih.gov/Taxonomy/Browser/wwwtax.cgi?mode=Info&amp;id=8218&amp;lvl=3&amp;lin=f&amp;keep=1&amp;srchmode=1&amp;unlock","Gymnodraco acuticeps")</f>
        <v>Gymnodraco acuticeps</v>
      </c>
      <c r="H618" t="s">
        <v>577</v>
      </c>
      <c r="I618" t="str">
        <f>HYPERLINK("http://www.ncbi.nlm.nih.gov/protein/XP_034090900.1","fatty acid-binding protein, liver-type-like")</f>
        <v>fatty acid-binding protein, liver-type-like</v>
      </c>
      <c r="J618">
        <v>166.01</v>
      </c>
      <c r="K618" t="s">
        <v>25</v>
      </c>
      <c r="L618">
        <v>139</v>
      </c>
      <c r="M618">
        <v>50.68</v>
      </c>
      <c r="N618">
        <v>65.8</v>
      </c>
      <c r="O618" t="s">
        <v>20</v>
      </c>
      <c r="P618" t="s">
        <v>21</v>
      </c>
      <c r="Q618" t="s">
        <v>20</v>
      </c>
      <c r="R618" t="str">
        <f>HYPERLINK("https://cfpub.epa.gov/ecotox/explore.cfm?ncbi=8218","Explore in ECOTOX")</f>
        <v>Explore in ECOTOX</v>
      </c>
    </row>
    <row r="619" spans="1:18" x14ac:dyDescent="0.25">
      <c r="A619">
        <v>6</v>
      </c>
      <c r="B619" t="str">
        <f>HYPERLINK("http://www.ncbi.nlm.nih.gov/protein/ACO51701.1","ACO51701.1")</f>
        <v>ACO51701.1</v>
      </c>
      <c r="C619">
        <v>30167</v>
      </c>
      <c r="D619" t="str">
        <f>HYPERLINK("http://www.ncbi.nlm.nih.gov/Taxonomy/Browser/wwwtax.cgi?mode=Info&amp;id=8400&amp;lvl=3&amp;lin=f&amp;keep=1&amp;srchmode=1&amp;unlock","8400")</f>
        <v>8400</v>
      </c>
      <c r="E619" t="s">
        <v>134</v>
      </c>
      <c r="F619" t="s">
        <v>134</v>
      </c>
      <c r="G619" t="str">
        <f>HYPERLINK("http://www.ncbi.nlm.nih.gov/Taxonomy/Browser/wwwtax.cgi?mode=Info&amp;id=8400&amp;lvl=3&amp;lin=f&amp;keep=1&amp;srchmode=1&amp;unlock","Lithobates catesbeianus")</f>
        <v>Lithobates catesbeianus</v>
      </c>
      <c r="H619" t="s">
        <v>578</v>
      </c>
      <c r="I619" t="str">
        <f>HYPERLINK("http://www.ncbi.nlm.nih.gov/protein/ACO51701.1","Fatty acid-binding protein, liver")</f>
        <v>Fatty acid-binding protein, liver</v>
      </c>
      <c r="J619">
        <v>166.01</v>
      </c>
      <c r="K619" t="s">
        <v>25</v>
      </c>
      <c r="L619">
        <v>139</v>
      </c>
      <c r="M619">
        <v>50.68</v>
      </c>
      <c r="N619">
        <v>65.8</v>
      </c>
      <c r="O619" t="s">
        <v>20</v>
      </c>
      <c r="P619" t="s">
        <v>21</v>
      </c>
      <c r="Q619" t="s">
        <v>20</v>
      </c>
      <c r="R619" t="str">
        <f>HYPERLINK("https://cfpub.epa.gov/ecotox/explore.cfm?ncbi=8400","Explore in ECOTOX")</f>
        <v>Explore in ECOTOX</v>
      </c>
    </row>
    <row r="620" spans="1:18" x14ac:dyDescent="0.25">
      <c r="A620">
        <v>6</v>
      </c>
      <c r="B620" t="str">
        <f>HYPERLINK("http://www.ncbi.nlm.nih.gov/protein/XP_040275212.1","XP_040275212.1")</f>
        <v>XP_040275212.1</v>
      </c>
      <c r="C620">
        <v>38439</v>
      </c>
      <c r="D620" t="str">
        <f>HYPERLINK("http://www.ncbi.nlm.nih.gov/Taxonomy/Browser/wwwtax.cgi?mode=Info&amp;id=8384&amp;lvl=3&amp;lin=f&amp;keep=1&amp;srchmode=1&amp;unlock","8384")</f>
        <v>8384</v>
      </c>
      <c r="E620" t="s">
        <v>134</v>
      </c>
      <c r="F620" t="s">
        <v>134</v>
      </c>
      <c r="G620" t="str">
        <f>HYPERLINK("http://www.ncbi.nlm.nih.gov/Taxonomy/Browser/wwwtax.cgi?mode=Info&amp;id=8384&amp;lvl=3&amp;lin=f&amp;keep=1&amp;srchmode=1&amp;unlock","Bufo bufo")</f>
        <v>Bufo bufo</v>
      </c>
      <c r="H620" t="s">
        <v>579</v>
      </c>
      <c r="I620" t="str">
        <f>HYPERLINK("http://www.ncbi.nlm.nih.gov/protein/XP_040275212.1","fatty acid-binding protein 1, liver-like")</f>
        <v>fatty acid-binding protein 1, liver-like</v>
      </c>
      <c r="J620">
        <v>165.62</v>
      </c>
      <c r="K620" t="s">
        <v>20</v>
      </c>
      <c r="L620">
        <v>139</v>
      </c>
      <c r="M620">
        <v>50.68</v>
      </c>
      <c r="N620">
        <v>65.650000000000006</v>
      </c>
      <c r="O620" t="s">
        <v>20</v>
      </c>
      <c r="P620" t="s">
        <v>21</v>
      </c>
      <c r="Q620" t="s">
        <v>20</v>
      </c>
      <c r="R620" t="str">
        <f>HYPERLINK("https://cfpub.epa.gov/ecotox/explore.cfm?ncbi=8384","Explore in ECOTOX")</f>
        <v>Explore in ECOTOX</v>
      </c>
    </row>
    <row r="621" spans="1:18" x14ac:dyDescent="0.25">
      <c r="A621">
        <v>6</v>
      </c>
      <c r="B621" t="str">
        <f>HYPERLINK("http://www.ncbi.nlm.nih.gov/protein/XP_008334230.1","XP_008334230.1")</f>
        <v>XP_008334230.1</v>
      </c>
      <c r="C621">
        <v>39998</v>
      </c>
      <c r="D621" t="str">
        <f>HYPERLINK("http://www.ncbi.nlm.nih.gov/Taxonomy/Browser/wwwtax.cgi?mode=Info&amp;id=244447&amp;lvl=3&amp;lin=f&amp;keep=1&amp;srchmode=1&amp;unlock","244447")</f>
        <v>244447</v>
      </c>
      <c r="E621" t="s">
        <v>384</v>
      </c>
      <c r="F621" t="s">
        <v>384</v>
      </c>
      <c r="G621" t="str">
        <f>HYPERLINK("http://www.ncbi.nlm.nih.gov/Taxonomy/Browser/wwwtax.cgi?mode=Info&amp;id=244447&amp;lvl=3&amp;lin=f&amp;keep=1&amp;srchmode=1&amp;unlock","Cynoglossus semilaevis")</f>
        <v>Cynoglossus semilaevis</v>
      </c>
      <c r="H621" t="s">
        <v>580</v>
      </c>
      <c r="I621" t="str">
        <f>HYPERLINK("http://www.ncbi.nlm.nih.gov/protein/XP_008334230.1","fatty acid-binding protein, liver")</f>
        <v>fatty acid-binding protein, liver</v>
      </c>
      <c r="J621">
        <v>165.62</v>
      </c>
      <c r="K621" t="s">
        <v>25</v>
      </c>
      <c r="L621">
        <v>139</v>
      </c>
      <c r="M621">
        <v>50.68</v>
      </c>
      <c r="N621">
        <v>65.650000000000006</v>
      </c>
      <c r="O621" t="s">
        <v>20</v>
      </c>
      <c r="P621" t="s">
        <v>21</v>
      </c>
      <c r="Q621" t="s">
        <v>20</v>
      </c>
      <c r="R621" t="str">
        <f>HYPERLINK("https://cfpub.epa.gov/ecotox/explore.cfm?ncbi=244447","Explore in ECOTOX")</f>
        <v>Explore in ECOTOX</v>
      </c>
    </row>
    <row r="622" spans="1:18" x14ac:dyDescent="0.25">
      <c r="A622">
        <v>6</v>
      </c>
      <c r="B622" t="str">
        <f>HYPERLINK("http://www.ncbi.nlm.nih.gov/protein/NWH27385.1","NWH27385.1")</f>
        <v>NWH27385.1</v>
      </c>
      <c r="C622">
        <v>13830</v>
      </c>
      <c r="D622" t="str">
        <f>HYPERLINK("http://www.ncbi.nlm.nih.gov/Taxonomy/Browser/wwwtax.cgi?mode=Info&amp;id=9117&amp;lvl=3&amp;lin=f&amp;keep=1&amp;srchmode=1&amp;unlock","9117")</f>
        <v>9117</v>
      </c>
      <c r="E622" t="s">
        <v>167</v>
      </c>
      <c r="F622" t="s">
        <v>167</v>
      </c>
      <c r="G622" t="str">
        <f>HYPERLINK("http://www.ncbi.nlm.nih.gov/Taxonomy/Browser/wwwtax.cgi?mode=Info&amp;id=9117&amp;lvl=3&amp;lin=f&amp;keep=1&amp;srchmode=1&amp;unlock","Grus americana")</f>
        <v>Grus americana</v>
      </c>
      <c r="H622" t="s">
        <v>581</v>
      </c>
      <c r="I622" t="str">
        <f>HYPERLINK("http://www.ncbi.nlm.nih.gov/protein/NWH27385.1","FABPL protein")</f>
        <v>FABPL protein</v>
      </c>
      <c r="J622">
        <v>165.62</v>
      </c>
      <c r="K622" t="s">
        <v>25</v>
      </c>
      <c r="L622">
        <v>139</v>
      </c>
      <c r="M622">
        <v>50.68</v>
      </c>
      <c r="N622">
        <v>65.650000000000006</v>
      </c>
      <c r="O622" t="s">
        <v>20</v>
      </c>
      <c r="P622" t="s">
        <v>21</v>
      </c>
      <c r="Q622" t="s">
        <v>20</v>
      </c>
      <c r="R622" t="str">
        <f>HYPERLINK("https://cfpub.epa.gov/ecotox/explore.cfm?ncbi=9117","Explore in ECOTOX")</f>
        <v>Explore in ECOTOX</v>
      </c>
    </row>
    <row r="623" spans="1:18" x14ac:dyDescent="0.25">
      <c r="A623">
        <v>6</v>
      </c>
      <c r="B623" t="str">
        <f>HYPERLINK("http://www.ncbi.nlm.nih.gov/protein/XP_039659152.1","XP_039659152.1")</f>
        <v>XP_039659152.1</v>
      </c>
      <c r="C623">
        <v>74410</v>
      </c>
      <c r="D623" t="str">
        <f>HYPERLINK("http://www.ncbi.nlm.nih.gov/Taxonomy/Browser/wwwtax.cgi?mode=Info&amp;id=8168&amp;lvl=3&amp;lin=f&amp;keep=1&amp;srchmode=1&amp;unlock","8168")</f>
        <v>8168</v>
      </c>
      <c r="E623" t="s">
        <v>384</v>
      </c>
      <c r="F623" t="s">
        <v>384</v>
      </c>
      <c r="G623" t="str">
        <f>HYPERLINK("http://www.ncbi.nlm.nih.gov/Taxonomy/Browser/wwwtax.cgi?mode=Info&amp;id=8168&amp;lvl=3&amp;lin=f&amp;keep=1&amp;srchmode=1&amp;unlock","Perca fluviatilis")</f>
        <v>Perca fluviatilis</v>
      </c>
      <c r="H623" t="s">
        <v>582</v>
      </c>
      <c r="I623" t="str">
        <f>HYPERLINK("http://www.ncbi.nlm.nih.gov/protein/XP_039659152.1","fatty acid-binding protein, liver-type-like")</f>
        <v>fatty acid-binding protein, liver-type-like</v>
      </c>
      <c r="J623">
        <v>165.62</v>
      </c>
      <c r="K623" t="s">
        <v>25</v>
      </c>
      <c r="L623">
        <v>139</v>
      </c>
      <c r="M623">
        <v>50.68</v>
      </c>
      <c r="N623">
        <v>65.650000000000006</v>
      </c>
      <c r="O623" t="s">
        <v>20</v>
      </c>
      <c r="P623" t="s">
        <v>21</v>
      </c>
      <c r="Q623" t="s">
        <v>20</v>
      </c>
      <c r="R623" t="str">
        <f>HYPERLINK("https://cfpub.epa.gov/ecotox/explore.cfm?ncbi=8168","Explore in ECOTOX")</f>
        <v>Explore in ECOTOX</v>
      </c>
    </row>
    <row r="624" spans="1:18" x14ac:dyDescent="0.25">
      <c r="A624">
        <v>6</v>
      </c>
      <c r="B624" t="str">
        <f>HYPERLINK("http://www.ncbi.nlm.nih.gov/protein/XP_017267948.1","XP_017267948.1")</f>
        <v>XP_017267948.1</v>
      </c>
      <c r="C624">
        <v>43416</v>
      </c>
      <c r="D624" t="str">
        <f>HYPERLINK("http://www.ncbi.nlm.nih.gov/Taxonomy/Browser/wwwtax.cgi?mode=Info&amp;id=37003&amp;lvl=3&amp;lin=f&amp;keep=1&amp;srchmode=1&amp;unlock","37003")</f>
        <v>37003</v>
      </c>
      <c r="E624" t="s">
        <v>384</v>
      </c>
      <c r="F624" t="s">
        <v>384</v>
      </c>
      <c r="G624" t="str">
        <f>HYPERLINK("http://www.ncbi.nlm.nih.gov/Taxonomy/Browser/wwwtax.cgi?mode=Info&amp;id=37003&amp;lvl=3&amp;lin=f&amp;keep=1&amp;srchmode=1&amp;unlock","Kryptolebias marmoratus")</f>
        <v>Kryptolebias marmoratus</v>
      </c>
      <c r="H624" t="s">
        <v>583</v>
      </c>
      <c r="I624" t="str">
        <f>HYPERLINK("http://www.ncbi.nlm.nih.gov/protein/XP_017267948.1","fatty acid-binding protein, liver-type")</f>
        <v>fatty acid-binding protein, liver-type</v>
      </c>
      <c r="J624">
        <v>165.62</v>
      </c>
      <c r="K624" t="s">
        <v>25</v>
      </c>
      <c r="L624">
        <v>139</v>
      </c>
      <c r="M624">
        <v>50.68</v>
      </c>
      <c r="N624">
        <v>65.650000000000006</v>
      </c>
      <c r="O624" t="s">
        <v>20</v>
      </c>
      <c r="P624" t="s">
        <v>21</v>
      </c>
      <c r="Q624" t="s">
        <v>20</v>
      </c>
      <c r="R624" t="str">
        <f>HYPERLINK("https://cfpub.epa.gov/ecotox/explore.cfm?ncbi=37003","Explore in ECOTOX")</f>
        <v>Explore in ECOTOX</v>
      </c>
    </row>
    <row r="625" spans="1:18" x14ac:dyDescent="0.25">
      <c r="A625">
        <v>6</v>
      </c>
      <c r="B625" t="str">
        <f>HYPERLINK("http://www.ncbi.nlm.nih.gov/protein/XP_022613519.1","XP_022613519.1")</f>
        <v>XP_022613519.1</v>
      </c>
      <c r="C625">
        <v>32883</v>
      </c>
      <c r="D625" t="str">
        <f>HYPERLINK("http://www.ncbi.nlm.nih.gov/Taxonomy/Browser/wwwtax.cgi?mode=Info&amp;id=41447&amp;lvl=3&amp;lin=f&amp;keep=1&amp;srchmode=1&amp;unlock","41447")</f>
        <v>41447</v>
      </c>
      <c r="E625" t="s">
        <v>384</v>
      </c>
      <c r="F625" t="s">
        <v>384</v>
      </c>
      <c r="G625" t="str">
        <f>HYPERLINK("http://www.ncbi.nlm.nih.gov/Taxonomy/Browser/wwwtax.cgi?mode=Info&amp;id=41447&amp;lvl=3&amp;lin=f&amp;keep=1&amp;srchmode=1&amp;unlock","Seriola dumerili")</f>
        <v>Seriola dumerili</v>
      </c>
      <c r="H625" t="s">
        <v>584</v>
      </c>
      <c r="I625" t="str">
        <f>HYPERLINK("http://www.ncbi.nlm.nih.gov/protein/XP_022613519.1","fatty acid-binding protein, liver")</f>
        <v>fatty acid-binding protein, liver</v>
      </c>
      <c r="J625">
        <v>165.24</v>
      </c>
      <c r="K625" t="s">
        <v>25</v>
      </c>
      <c r="L625">
        <v>139</v>
      </c>
      <c r="M625">
        <v>50.68</v>
      </c>
      <c r="N625">
        <v>65.489999999999995</v>
      </c>
      <c r="O625" t="s">
        <v>20</v>
      </c>
      <c r="P625" t="s">
        <v>21</v>
      </c>
      <c r="Q625" t="s">
        <v>20</v>
      </c>
      <c r="R625" t="str">
        <f>HYPERLINK("https://cfpub.epa.gov/ecotox/explore.cfm?ncbi=41447","Explore in ECOTOX")</f>
        <v>Explore in ECOTOX</v>
      </c>
    </row>
    <row r="626" spans="1:18" x14ac:dyDescent="0.25">
      <c r="A626">
        <v>6</v>
      </c>
      <c r="B626" t="str">
        <f>HYPERLINK("http://www.ncbi.nlm.nih.gov/protein/NXD62146.1","NXD62146.1")</f>
        <v>NXD62146.1</v>
      </c>
      <c r="C626">
        <v>13476</v>
      </c>
      <c r="D626" t="str">
        <f>HYPERLINK("http://www.ncbi.nlm.nih.gov/Taxonomy/Browser/wwwtax.cgi?mode=Info&amp;id=176039&amp;lvl=3&amp;lin=f&amp;keep=1&amp;srchmode=1&amp;unlock","176039")</f>
        <v>176039</v>
      </c>
      <c r="E626" t="s">
        <v>167</v>
      </c>
      <c r="F626" t="s">
        <v>167</v>
      </c>
      <c r="G626" t="str">
        <f>HYPERLINK("http://www.ncbi.nlm.nih.gov/Taxonomy/Browser/wwwtax.cgi?mode=Info&amp;id=176039&amp;lvl=3&amp;lin=f&amp;keep=1&amp;srchmode=1&amp;unlock","Eolophus roseicapilla")</f>
        <v>Eolophus roseicapilla</v>
      </c>
      <c r="H626" t="s">
        <v>585</v>
      </c>
      <c r="I626" t="str">
        <f>HYPERLINK("http://www.ncbi.nlm.nih.gov/protein/NXD62146.1","FABPL protein")</f>
        <v>FABPL protein</v>
      </c>
      <c r="J626">
        <v>165.24</v>
      </c>
      <c r="K626" t="s">
        <v>25</v>
      </c>
      <c r="L626">
        <v>139</v>
      </c>
      <c r="M626">
        <v>50.68</v>
      </c>
      <c r="N626">
        <v>65.489999999999995</v>
      </c>
      <c r="O626" t="s">
        <v>20</v>
      </c>
      <c r="P626" t="s">
        <v>21</v>
      </c>
      <c r="Q626" t="s">
        <v>20</v>
      </c>
      <c r="R626" t="str">
        <f>HYPERLINK("https://cfpub.epa.gov/ecotox/explore.cfm?ncbi=176039","Explore in ECOTOX")</f>
        <v>Explore in ECOTOX</v>
      </c>
    </row>
    <row r="627" spans="1:18" x14ac:dyDescent="0.25">
      <c r="A627">
        <v>6</v>
      </c>
      <c r="B627" t="str">
        <f>HYPERLINK("http://www.ncbi.nlm.nih.gov/protein/XP_028313810.1","XP_028313810.1")</f>
        <v>XP_028313810.1</v>
      </c>
      <c r="C627">
        <v>43564</v>
      </c>
      <c r="D627" t="str">
        <f>HYPERLINK("http://www.ncbi.nlm.nih.gov/Taxonomy/Browser/wwwtax.cgi?mode=Info&amp;id=441366&amp;lvl=3&amp;lin=f&amp;keep=1&amp;srchmode=1&amp;unlock","441366")</f>
        <v>441366</v>
      </c>
      <c r="E627" t="s">
        <v>384</v>
      </c>
      <c r="F627" t="s">
        <v>384</v>
      </c>
      <c r="G627" t="str">
        <f>HYPERLINK("http://www.ncbi.nlm.nih.gov/Taxonomy/Browser/wwwtax.cgi?mode=Info&amp;id=441366&amp;lvl=3&amp;lin=f&amp;keep=1&amp;srchmode=1&amp;unlock","Gouania willdenowi")</f>
        <v>Gouania willdenowi</v>
      </c>
      <c r="H627" t="s">
        <v>586</v>
      </c>
      <c r="I627" t="str">
        <f>HYPERLINK("http://www.ncbi.nlm.nih.gov/protein/XP_028313810.1","fatty acid-binding protein, liver")</f>
        <v>fatty acid-binding protein, liver</v>
      </c>
      <c r="J627">
        <v>164.85</v>
      </c>
      <c r="K627" t="s">
        <v>25</v>
      </c>
      <c r="L627">
        <v>139</v>
      </c>
      <c r="M627">
        <v>50.68</v>
      </c>
      <c r="N627">
        <v>65.34</v>
      </c>
      <c r="O627" t="s">
        <v>20</v>
      </c>
      <c r="P627" t="s">
        <v>21</v>
      </c>
      <c r="Q627" t="s">
        <v>20</v>
      </c>
      <c r="R627" t="str">
        <f>HYPERLINK("https://cfpub.epa.gov/ecotox/explore.cfm?ncbi=441366","Explore in ECOTOX")</f>
        <v>Explore in ECOTOX</v>
      </c>
    </row>
    <row r="628" spans="1:18" x14ac:dyDescent="0.25">
      <c r="A628">
        <v>6</v>
      </c>
      <c r="B628" t="str">
        <f>HYPERLINK("http://www.ncbi.nlm.nih.gov/protein/KAF3851239.1","KAF3851239.1")</f>
        <v>KAF3851239.1</v>
      </c>
      <c r="C628">
        <v>29423</v>
      </c>
      <c r="D628" t="str">
        <f>HYPERLINK("http://www.ncbi.nlm.nih.gov/Taxonomy/Browser/wwwtax.cgi?mode=Info&amp;id=36200&amp;lvl=3&amp;lin=f&amp;keep=1&amp;srchmode=1&amp;unlock","36200")</f>
        <v>36200</v>
      </c>
      <c r="E628" t="s">
        <v>384</v>
      </c>
      <c r="F628" t="s">
        <v>384</v>
      </c>
      <c r="G628" t="str">
        <f>HYPERLINK("http://www.ncbi.nlm.nih.gov/Taxonomy/Browser/wwwtax.cgi?mode=Info&amp;id=36200&amp;lvl=3&amp;lin=f&amp;keep=1&amp;srchmode=1&amp;unlock","Dissostichus mawsoni")</f>
        <v>Dissostichus mawsoni</v>
      </c>
      <c r="H628" t="s">
        <v>587</v>
      </c>
      <c r="I628" t="str">
        <f>HYPERLINK("http://www.ncbi.nlm.nih.gov/protein/KAF3851239.1","hypothetical protein F7725_013011")</f>
        <v>hypothetical protein F7725_013011</v>
      </c>
      <c r="J628">
        <v>164.85</v>
      </c>
      <c r="K628" t="s">
        <v>25</v>
      </c>
      <c r="L628">
        <v>139</v>
      </c>
      <c r="M628">
        <v>50.68</v>
      </c>
      <c r="N628">
        <v>65.34</v>
      </c>
      <c r="O628" t="s">
        <v>20</v>
      </c>
      <c r="P628" t="s">
        <v>21</v>
      </c>
      <c r="Q628" t="s">
        <v>20</v>
      </c>
      <c r="R628" t="str">
        <f>HYPERLINK("https://cfpub.epa.gov/ecotox/explore.cfm?ncbi=36200","Explore in ECOTOX")</f>
        <v>Explore in ECOTOX</v>
      </c>
    </row>
    <row r="629" spans="1:18" x14ac:dyDescent="0.25">
      <c r="A629">
        <v>6</v>
      </c>
      <c r="B629" t="str">
        <f>HYPERLINK("http://www.ncbi.nlm.nih.gov/protein/XP_029366833.1","XP_029366833.1")</f>
        <v>XP_029366833.1</v>
      </c>
      <c r="C629">
        <v>38279</v>
      </c>
      <c r="D629" t="str">
        <f>HYPERLINK("http://www.ncbi.nlm.nih.gov/Taxonomy/Browser/wwwtax.cgi?mode=Info&amp;id=173247&amp;lvl=3&amp;lin=f&amp;keep=1&amp;srchmode=1&amp;unlock","173247")</f>
        <v>173247</v>
      </c>
      <c r="E629" t="s">
        <v>384</v>
      </c>
      <c r="F629" t="s">
        <v>384</v>
      </c>
      <c r="G629" t="str">
        <f>HYPERLINK("http://www.ncbi.nlm.nih.gov/Taxonomy/Browser/wwwtax.cgi?mode=Info&amp;id=173247&amp;lvl=3&amp;lin=f&amp;keep=1&amp;srchmode=1&amp;unlock","Echeneis naucrates")</f>
        <v>Echeneis naucrates</v>
      </c>
      <c r="H629" t="s">
        <v>588</v>
      </c>
      <c r="I629" t="str">
        <f>HYPERLINK("http://www.ncbi.nlm.nih.gov/protein/XP_029366833.1","fatty acid-binding protein, liver")</f>
        <v>fatty acid-binding protein, liver</v>
      </c>
      <c r="J629">
        <v>164.85</v>
      </c>
      <c r="K629" t="s">
        <v>25</v>
      </c>
      <c r="L629">
        <v>139</v>
      </c>
      <c r="M629">
        <v>50.68</v>
      </c>
      <c r="N629">
        <v>65.34</v>
      </c>
      <c r="O629" t="s">
        <v>20</v>
      </c>
      <c r="P629" t="s">
        <v>21</v>
      </c>
      <c r="Q629" t="s">
        <v>20</v>
      </c>
      <c r="R629" t="str">
        <f>HYPERLINK("https://cfpub.epa.gov/ecotox/explore.cfm?ncbi=173247","Explore in ECOTOX")</f>
        <v>Explore in ECOTOX</v>
      </c>
    </row>
    <row r="630" spans="1:18" x14ac:dyDescent="0.25">
      <c r="A630">
        <v>6</v>
      </c>
      <c r="B630" t="str">
        <f>HYPERLINK("http://www.ncbi.nlm.nih.gov/protein/NXN73455.1","NXN73455.1")</f>
        <v>NXN73455.1</v>
      </c>
      <c r="C630">
        <v>14348</v>
      </c>
      <c r="D630" t="str">
        <f>HYPERLINK("http://www.ncbi.nlm.nih.gov/Taxonomy/Browser/wwwtax.cgi?mode=Info&amp;id=225398&amp;lvl=3&amp;lin=f&amp;keep=1&amp;srchmode=1&amp;unlock","225398")</f>
        <v>225398</v>
      </c>
      <c r="E630" t="s">
        <v>167</v>
      </c>
      <c r="F630" t="s">
        <v>167</v>
      </c>
      <c r="G630" t="str">
        <f>HYPERLINK("http://www.ncbi.nlm.nih.gov/Taxonomy/Browser/wwwtax.cgi?mode=Info&amp;id=225398&amp;lvl=3&amp;lin=f&amp;keep=1&amp;srchmode=1&amp;unlock","Himantopus himantopus")</f>
        <v>Himantopus himantopus</v>
      </c>
      <c r="H630" t="s">
        <v>589</v>
      </c>
      <c r="I630" t="str">
        <f>HYPERLINK("http://www.ncbi.nlm.nih.gov/protein/NXN73455.1","FABP1 protein")</f>
        <v>FABP1 protein</v>
      </c>
      <c r="J630">
        <v>164.85</v>
      </c>
      <c r="K630" t="s">
        <v>25</v>
      </c>
      <c r="L630">
        <v>139</v>
      </c>
      <c r="M630">
        <v>50.68</v>
      </c>
      <c r="N630">
        <v>65.34</v>
      </c>
      <c r="O630" t="s">
        <v>20</v>
      </c>
      <c r="P630" t="s">
        <v>21</v>
      </c>
      <c r="Q630" t="s">
        <v>20</v>
      </c>
      <c r="R630" t="str">
        <f>HYPERLINK("https://cfpub.epa.gov/ecotox/explore.cfm?ncbi=225398","Explore in ECOTOX")</f>
        <v>Explore in ECOTOX</v>
      </c>
    </row>
    <row r="631" spans="1:18" x14ac:dyDescent="0.25">
      <c r="A631">
        <v>6</v>
      </c>
      <c r="B631" t="str">
        <f>HYPERLINK("http://www.ncbi.nlm.nih.gov/protein/XP_010708891.1","XP_010708891.1")</f>
        <v>XP_010708891.1</v>
      </c>
      <c r="C631">
        <v>30542</v>
      </c>
      <c r="D631" t="str">
        <f>HYPERLINK("http://www.ncbi.nlm.nih.gov/Taxonomy/Browser/wwwtax.cgi?mode=Info&amp;id=9103&amp;lvl=3&amp;lin=f&amp;keep=1&amp;srchmode=1&amp;unlock","9103")</f>
        <v>9103</v>
      </c>
      <c r="E631" t="s">
        <v>167</v>
      </c>
      <c r="F631" t="s">
        <v>167</v>
      </c>
      <c r="G631" t="str">
        <f>HYPERLINK("http://www.ncbi.nlm.nih.gov/Taxonomy/Browser/wwwtax.cgi?mode=Info&amp;id=9103&amp;lvl=3&amp;lin=f&amp;keep=1&amp;srchmode=1&amp;unlock","Meleagris gallopavo")</f>
        <v>Meleagris gallopavo</v>
      </c>
      <c r="H631" t="s">
        <v>590</v>
      </c>
      <c r="I631" t="str">
        <f>HYPERLINK("http://www.ncbi.nlm.nih.gov/protein/XP_010708891.1","fatty acid-binding protein, liver")</f>
        <v>fatty acid-binding protein, liver</v>
      </c>
      <c r="J631">
        <v>164.85</v>
      </c>
      <c r="K631" t="s">
        <v>25</v>
      </c>
      <c r="L631">
        <v>139</v>
      </c>
      <c r="M631">
        <v>50.68</v>
      </c>
      <c r="N631">
        <v>65.34</v>
      </c>
      <c r="O631" t="s">
        <v>20</v>
      </c>
      <c r="P631" t="s">
        <v>21</v>
      </c>
      <c r="Q631" t="s">
        <v>20</v>
      </c>
      <c r="R631" t="str">
        <f>HYPERLINK("https://cfpub.epa.gov/ecotox/explore.cfm?ncbi=9103","Explore in ECOTOX")</f>
        <v>Explore in ECOTOX</v>
      </c>
    </row>
    <row r="632" spans="1:18" x14ac:dyDescent="0.25">
      <c r="A632">
        <v>6</v>
      </c>
      <c r="B632" t="str">
        <f>HYPERLINK("http://www.ncbi.nlm.nih.gov/protein/XP_023250027.1","XP_023250027.1")</f>
        <v>XP_023250027.1</v>
      </c>
      <c r="C632">
        <v>38822</v>
      </c>
      <c r="D632" t="str">
        <f>HYPERLINK("http://www.ncbi.nlm.nih.gov/Taxonomy/Browser/wwwtax.cgi?mode=Info&amp;id=1841481&amp;lvl=3&amp;lin=f&amp;keep=1&amp;srchmode=1&amp;unlock","1841481")</f>
        <v>1841481</v>
      </c>
      <c r="E632" t="s">
        <v>384</v>
      </c>
      <c r="F632" t="s">
        <v>384</v>
      </c>
      <c r="G632" t="str">
        <f>HYPERLINK("http://www.ncbi.nlm.nih.gov/Taxonomy/Browser/wwwtax.cgi?mode=Info&amp;id=1841481&amp;lvl=3&amp;lin=f&amp;keep=1&amp;srchmode=1&amp;unlock","Seriola lalandi dorsalis")</f>
        <v>Seriola lalandi dorsalis</v>
      </c>
      <c r="H632" t="s">
        <v>591</v>
      </c>
      <c r="I632" t="str">
        <f>HYPERLINK("http://www.ncbi.nlm.nih.gov/protein/XP_023250027.1","fatty acid-binding protein, liver")</f>
        <v>fatty acid-binding protein, liver</v>
      </c>
      <c r="J632">
        <v>164.47</v>
      </c>
      <c r="K632" t="s">
        <v>25</v>
      </c>
      <c r="L632">
        <v>139</v>
      </c>
      <c r="M632">
        <v>50.68</v>
      </c>
      <c r="N632">
        <v>65.19</v>
      </c>
      <c r="O632" t="s">
        <v>20</v>
      </c>
      <c r="P632" t="s">
        <v>21</v>
      </c>
      <c r="Q632" t="s">
        <v>20</v>
      </c>
      <c r="R632" t="str">
        <f>HYPERLINK("https://cfpub.epa.gov/ecotox/explore.cfm?ncbi=1841481","Explore in ECOTOX")</f>
        <v>Explore in ECOTOX</v>
      </c>
    </row>
    <row r="633" spans="1:18" x14ac:dyDescent="0.25">
      <c r="A633">
        <v>6</v>
      </c>
      <c r="B633" t="str">
        <f>HYPERLINK("http://www.ncbi.nlm.nih.gov/protein/XP_029019510.1","XP_029019510.1")</f>
        <v>XP_029019510.1</v>
      </c>
      <c r="C633">
        <v>49355</v>
      </c>
      <c r="D633" t="str">
        <f>HYPERLINK("http://www.ncbi.nlm.nih.gov/Taxonomy/Browser/wwwtax.cgi?mode=Info&amp;id=158456&amp;lvl=3&amp;lin=f&amp;keep=1&amp;srchmode=1&amp;unlock","158456")</f>
        <v>158456</v>
      </c>
      <c r="E633" t="s">
        <v>384</v>
      </c>
      <c r="F633" t="s">
        <v>384</v>
      </c>
      <c r="G633" t="str">
        <f>HYPERLINK("http://www.ncbi.nlm.nih.gov/Taxonomy/Browser/wwwtax.cgi?mode=Info&amp;id=158456&amp;lvl=3&amp;lin=f&amp;keep=1&amp;srchmode=1&amp;unlock","Betta splendens")</f>
        <v>Betta splendens</v>
      </c>
      <c r="H633" t="s">
        <v>592</v>
      </c>
      <c r="I633" t="str">
        <f>HYPERLINK("http://www.ncbi.nlm.nih.gov/protein/XP_029019510.1","fatty acid-binding protein, liver-type-like")</f>
        <v>fatty acid-binding protein, liver-type-like</v>
      </c>
      <c r="J633">
        <v>164.47</v>
      </c>
      <c r="K633" t="s">
        <v>25</v>
      </c>
      <c r="L633">
        <v>139</v>
      </c>
      <c r="M633">
        <v>50.68</v>
      </c>
      <c r="N633">
        <v>65.19</v>
      </c>
      <c r="O633" t="s">
        <v>20</v>
      </c>
      <c r="P633" t="s">
        <v>21</v>
      </c>
      <c r="Q633" t="s">
        <v>20</v>
      </c>
      <c r="R633" t="str">
        <f>HYPERLINK("https://cfpub.epa.gov/ecotox/explore.cfm?ncbi=158456","Explore in ECOTOX")</f>
        <v>Explore in ECOTOX</v>
      </c>
    </row>
    <row r="634" spans="1:18" x14ac:dyDescent="0.25">
      <c r="A634">
        <v>6</v>
      </c>
      <c r="B634" t="str">
        <f>HYPERLINK("http://www.ncbi.nlm.nih.gov/protein/NP_001187954.1","NP_001187954.1")</f>
        <v>NP_001187954.1</v>
      </c>
      <c r="C634">
        <v>51410</v>
      </c>
      <c r="D634" t="str">
        <f>HYPERLINK("http://www.ncbi.nlm.nih.gov/Taxonomy/Browser/wwwtax.cgi?mode=Info&amp;id=7998&amp;lvl=3&amp;lin=f&amp;keep=1&amp;srchmode=1&amp;unlock","7998")</f>
        <v>7998</v>
      </c>
      <c r="E634" t="s">
        <v>384</v>
      </c>
      <c r="F634" t="s">
        <v>384</v>
      </c>
      <c r="G634" t="str">
        <f>HYPERLINK("http://www.ncbi.nlm.nih.gov/Taxonomy/Browser/wwwtax.cgi?mode=Info&amp;id=7998&amp;lvl=3&amp;lin=f&amp;keep=1&amp;srchmode=1&amp;unlock","Ictalurus punctatus")</f>
        <v>Ictalurus punctatus</v>
      </c>
      <c r="H634" t="s">
        <v>593</v>
      </c>
      <c r="I634" t="str">
        <f>HYPERLINK("http://www.ncbi.nlm.nih.gov/protein/NP_001187954.1","fatty acid-binding protein, liver")</f>
        <v>fatty acid-binding protein, liver</v>
      </c>
      <c r="J634">
        <v>164.47</v>
      </c>
      <c r="K634" t="s">
        <v>20</v>
      </c>
      <c r="L634">
        <v>139</v>
      </c>
      <c r="M634">
        <v>50.68</v>
      </c>
      <c r="N634">
        <v>65.19</v>
      </c>
      <c r="O634" t="s">
        <v>20</v>
      </c>
      <c r="P634" t="s">
        <v>21</v>
      </c>
      <c r="Q634" t="s">
        <v>20</v>
      </c>
      <c r="R634" t="str">
        <f>HYPERLINK("https://cfpub.epa.gov/ecotox/explore.cfm?ncbi=7998","Explore in ECOTOX")</f>
        <v>Explore in ECOTOX</v>
      </c>
    </row>
    <row r="635" spans="1:18" x14ac:dyDescent="0.25">
      <c r="A635">
        <v>6</v>
      </c>
      <c r="B635" t="str">
        <f>HYPERLINK("http://www.ncbi.nlm.nih.gov/protein/XP_033828885.1","XP_033828885.1")</f>
        <v>XP_033828885.1</v>
      </c>
      <c r="C635">
        <v>27762</v>
      </c>
      <c r="D635" t="str">
        <f>HYPERLINK("http://www.ncbi.nlm.nih.gov/Taxonomy/Browser/wwwtax.cgi?mode=Info&amp;id=409849&amp;lvl=3&amp;lin=f&amp;keep=1&amp;srchmode=1&amp;unlock","409849")</f>
        <v>409849</v>
      </c>
      <c r="E635" t="s">
        <v>384</v>
      </c>
      <c r="F635" t="s">
        <v>384</v>
      </c>
      <c r="G635" t="str">
        <f>HYPERLINK("http://www.ncbi.nlm.nih.gov/Taxonomy/Browser/wwwtax.cgi?mode=Info&amp;id=409849&amp;lvl=3&amp;lin=f&amp;keep=1&amp;srchmode=1&amp;unlock","Periophthalmus magnuspinnatus")</f>
        <v>Periophthalmus magnuspinnatus</v>
      </c>
      <c r="H635" t="s">
        <v>594</v>
      </c>
      <c r="I635" t="str">
        <f>HYPERLINK("http://www.ncbi.nlm.nih.gov/protein/XP_033828885.1","fatty acid-binding protein, liver-type-like")</f>
        <v>fatty acid-binding protein, liver-type-like</v>
      </c>
      <c r="J635">
        <v>164.08</v>
      </c>
      <c r="K635" t="s">
        <v>25</v>
      </c>
      <c r="L635">
        <v>139</v>
      </c>
      <c r="M635">
        <v>50.68</v>
      </c>
      <c r="N635">
        <v>65.040000000000006</v>
      </c>
      <c r="O635" t="s">
        <v>20</v>
      </c>
      <c r="P635" t="s">
        <v>21</v>
      </c>
      <c r="Q635" t="s">
        <v>20</v>
      </c>
      <c r="R635" t="str">
        <f>HYPERLINK("https://cfpub.epa.gov/ecotox/explore.cfm?ncbi=409849","Explore in ECOTOX")</f>
        <v>Explore in ECOTOX</v>
      </c>
    </row>
    <row r="636" spans="1:18" x14ac:dyDescent="0.25">
      <c r="A636">
        <v>6</v>
      </c>
      <c r="B636" t="str">
        <f>HYPERLINK("http://www.ncbi.nlm.nih.gov/protein/XP_035496657.1","XP_035496657.1")</f>
        <v>XP_035496657.1</v>
      </c>
      <c r="C636">
        <v>101851</v>
      </c>
      <c r="D636" t="str">
        <f>HYPERLINK("http://www.ncbi.nlm.nih.gov/Taxonomy/Browser/wwwtax.cgi?mode=Info&amp;id=52904&amp;lvl=3&amp;lin=f&amp;keep=1&amp;srchmode=1&amp;unlock","52904")</f>
        <v>52904</v>
      </c>
      <c r="E636" t="s">
        <v>384</v>
      </c>
      <c r="F636" t="s">
        <v>384</v>
      </c>
      <c r="G636" t="str">
        <f>HYPERLINK("http://www.ncbi.nlm.nih.gov/Taxonomy/Browser/wwwtax.cgi?mode=Info&amp;id=52904&amp;lvl=3&amp;lin=f&amp;keep=1&amp;srchmode=1&amp;unlock","Scophthalmus maximus")</f>
        <v>Scophthalmus maximus</v>
      </c>
      <c r="H636" t="s">
        <v>595</v>
      </c>
      <c r="I636" t="str">
        <f>HYPERLINK("http://www.ncbi.nlm.nih.gov/protein/XP_035496657.1","fatty acid-binding protein, liver-type-like")</f>
        <v>fatty acid-binding protein, liver-type-like</v>
      </c>
      <c r="J636">
        <v>163.69999999999999</v>
      </c>
      <c r="K636" t="s">
        <v>25</v>
      </c>
      <c r="L636">
        <v>139</v>
      </c>
      <c r="M636">
        <v>50.68</v>
      </c>
      <c r="N636">
        <v>64.88</v>
      </c>
      <c r="O636" t="s">
        <v>20</v>
      </c>
      <c r="P636" t="s">
        <v>21</v>
      </c>
      <c r="Q636" t="s">
        <v>20</v>
      </c>
      <c r="R636" t="str">
        <f>HYPERLINK("https://cfpub.epa.gov/ecotox/explore.cfm?ncbi=52904","Explore in ECOTOX")</f>
        <v>Explore in ECOTOX</v>
      </c>
    </row>
    <row r="637" spans="1:18" x14ac:dyDescent="0.25">
      <c r="A637">
        <v>6</v>
      </c>
      <c r="B637" t="str">
        <f>HYPERLINK("http://www.ncbi.nlm.nih.gov/protein/XP_015232611.1","XP_015232611.1")</f>
        <v>XP_015232611.1</v>
      </c>
      <c r="C637">
        <v>36661</v>
      </c>
      <c r="D637" t="str">
        <f>HYPERLINK("http://www.ncbi.nlm.nih.gov/Taxonomy/Browser/wwwtax.cgi?mode=Info&amp;id=28743&amp;lvl=3&amp;lin=f&amp;keep=1&amp;srchmode=1&amp;unlock","28743")</f>
        <v>28743</v>
      </c>
      <c r="E637" t="s">
        <v>384</v>
      </c>
      <c r="F637" t="s">
        <v>384</v>
      </c>
      <c r="G637" t="str">
        <f>HYPERLINK("http://www.ncbi.nlm.nih.gov/Taxonomy/Browser/wwwtax.cgi?mode=Info&amp;id=28743&amp;lvl=3&amp;lin=f&amp;keep=1&amp;srchmode=1&amp;unlock","Cyprinodon variegatus")</f>
        <v>Cyprinodon variegatus</v>
      </c>
      <c r="H637" t="s">
        <v>596</v>
      </c>
      <c r="I637" t="str">
        <f>HYPERLINK("http://www.ncbi.nlm.nih.gov/protein/XP_015232611.1","PREDICTED: fatty acid-binding protein, liver-type-like")</f>
        <v>PREDICTED: fatty acid-binding protein, liver-type-like</v>
      </c>
      <c r="J637">
        <v>162.93</v>
      </c>
      <c r="K637" t="s">
        <v>25</v>
      </c>
      <c r="L637">
        <v>139</v>
      </c>
      <c r="M637">
        <v>50.68</v>
      </c>
      <c r="N637">
        <v>64.58</v>
      </c>
      <c r="O637" t="s">
        <v>20</v>
      </c>
      <c r="P637" t="s">
        <v>21</v>
      </c>
      <c r="Q637" t="s">
        <v>20</v>
      </c>
      <c r="R637" t="str">
        <f>HYPERLINK("https://cfpub.epa.gov/ecotox/explore.cfm?ncbi=28743","Explore in ECOTOX")</f>
        <v>Explore in ECOTOX</v>
      </c>
    </row>
    <row r="638" spans="1:18" x14ac:dyDescent="0.25">
      <c r="A638">
        <v>6</v>
      </c>
      <c r="B638" t="str">
        <f>HYPERLINK("http://www.ncbi.nlm.nih.gov/protein/XP_038163975.1","XP_038163975.1")</f>
        <v>XP_038163975.1</v>
      </c>
      <c r="C638">
        <v>42390</v>
      </c>
      <c r="D638" t="str">
        <f>HYPERLINK("http://www.ncbi.nlm.nih.gov/Taxonomy/Browser/wwwtax.cgi?mode=Info&amp;id=77115&amp;lvl=3&amp;lin=f&amp;keep=1&amp;srchmode=1&amp;unlock","77115")</f>
        <v>77115</v>
      </c>
      <c r="E638" t="s">
        <v>384</v>
      </c>
      <c r="F638" t="s">
        <v>384</v>
      </c>
      <c r="G638" t="str">
        <f>HYPERLINK("http://www.ncbi.nlm.nih.gov/Taxonomy/Browser/wwwtax.cgi?mode=Info&amp;id=77115&amp;lvl=3&amp;lin=f&amp;keep=1&amp;srchmode=1&amp;unlock","Cyprinodon tularosa")</f>
        <v>Cyprinodon tularosa</v>
      </c>
      <c r="H638" t="s">
        <v>597</v>
      </c>
      <c r="I638" t="str">
        <f>HYPERLINK("http://www.ncbi.nlm.nih.gov/protein/XP_038163975.1","fatty acid-binding protein, liver-type-like isoform X1")</f>
        <v>fatty acid-binding protein, liver-type-like isoform X1</v>
      </c>
      <c r="J638">
        <v>162.54</v>
      </c>
      <c r="K638" t="s">
        <v>25</v>
      </c>
      <c r="L638">
        <v>139</v>
      </c>
      <c r="M638">
        <v>50.68</v>
      </c>
      <c r="N638">
        <v>64.430000000000007</v>
      </c>
      <c r="O638" t="s">
        <v>20</v>
      </c>
      <c r="P638" t="s">
        <v>21</v>
      </c>
      <c r="Q638" t="s">
        <v>20</v>
      </c>
      <c r="R638" t="str">
        <f>HYPERLINK("https://cfpub.epa.gov/ecotox/explore.cfm?ncbi=77115","Explore in ECOTOX")</f>
        <v>Explore in ECOTOX</v>
      </c>
    </row>
    <row r="639" spans="1:18" x14ac:dyDescent="0.25">
      <c r="A639">
        <v>6</v>
      </c>
      <c r="B639" t="str">
        <f>HYPERLINK("http://www.ncbi.nlm.nih.gov/protein/XP_010795638.1","XP_010795638.1")</f>
        <v>XP_010795638.1</v>
      </c>
      <c r="C639">
        <v>32359</v>
      </c>
      <c r="D639" t="str">
        <f>HYPERLINK("http://www.ncbi.nlm.nih.gov/Taxonomy/Browser/wwwtax.cgi?mode=Info&amp;id=8208&amp;lvl=3&amp;lin=f&amp;keep=1&amp;srchmode=1&amp;unlock","8208")</f>
        <v>8208</v>
      </c>
      <c r="E639" t="s">
        <v>384</v>
      </c>
      <c r="F639" t="s">
        <v>384</v>
      </c>
      <c r="G639" t="str">
        <f>HYPERLINK("http://www.ncbi.nlm.nih.gov/Taxonomy/Browser/wwwtax.cgi?mode=Info&amp;id=8208&amp;lvl=3&amp;lin=f&amp;keep=1&amp;srchmode=1&amp;unlock","Notothenia coriiceps")</f>
        <v>Notothenia coriiceps</v>
      </c>
      <c r="H639" t="s">
        <v>598</v>
      </c>
      <c r="I639" t="str">
        <f>HYPERLINK("http://www.ncbi.nlm.nih.gov/protein/XP_010795638.1","PREDICTED: fatty acid-binding protein, liver")</f>
        <v>PREDICTED: fatty acid-binding protein, liver</v>
      </c>
      <c r="J639">
        <v>162.54</v>
      </c>
      <c r="K639" t="s">
        <v>25</v>
      </c>
      <c r="L639">
        <v>139</v>
      </c>
      <c r="M639">
        <v>50.68</v>
      </c>
      <c r="N639">
        <v>64.430000000000007</v>
      </c>
      <c r="O639" t="s">
        <v>20</v>
      </c>
      <c r="P639" t="s">
        <v>21</v>
      </c>
      <c r="Q639" t="s">
        <v>20</v>
      </c>
      <c r="R639" t="str">
        <f>HYPERLINK("https://cfpub.epa.gov/ecotox/explore.cfm?ncbi=8208","Explore in ECOTOX")</f>
        <v>Explore in ECOTOX</v>
      </c>
    </row>
    <row r="640" spans="1:18" x14ac:dyDescent="0.25">
      <c r="A640">
        <v>6</v>
      </c>
      <c r="B640" t="str">
        <f>HYPERLINK("http://www.ncbi.nlm.nih.gov/protein/XP_011943946.1","XP_011943946.1")</f>
        <v>XP_011943946.1</v>
      </c>
      <c r="C640">
        <v>66421</v>
      </c>
      <c r="D640" t="str">
        <f>HYPERLINK("http://www.ncbi.nlm.nih.gov/Taxonomy/Browser/wwwtax.cgi?mode=Info&amp;id=9531&amp;lvl=3&amp;lin=f&amp;keep=1&amp;srchmode=1&amp;unlock","9531")</f>
        <v>9531</v>
      </c>
      <c r="E640" t="s">
        <v>18</v>
      </c>
      <c r="F640" t="s">
        <v>18</v>
      </c>
      <c r="G640" t="str">
        <f>HYPERLINK("http://www.ncbi.nlm.nih.gov/Taxonomy/Browser/wwwtax.cgi?mode=Info&amp;id=9531&amp;lvl=3&amp;lin=f&amp;keep=1&amp;srchmode=1&amp;unlock","Cercocebus atys")</f>
        <v>Cercocebus atys</v>
      </c>
      <c r="H640" t="s">
        <v>599</v>
      </c>
      <c r="I640" t="str">
        <f>HYPERLINK("http://www.ncbi.nlm.nih.gov/protein/XP_011943946.1","PREDICTED: fatty acid-binding protein, liver")</f>
        <v>PREDICTED: fatty acid-binding protein, liver</v>
      </c>
      <c r="J640">
        <v>162.16</v>
      </c>
      <c r="K640" t="s">
        <v>25</v>
      </c>
      <c r="L640">
        <v>139</v>
      </c>
      <c r="M640">
        <v>50.68</v>
      </c>
      <c r="N640">
        <v>64.27</v>
      </c>
      <c r="O640" t="s">
        <v>20</v>
      </c>
      <c r="P640" t="s">
        <v>21</v>
      </c>
      <c r="Q640" t="s">
        <v>20</v>
      </c>
      <c r="R640" t="str">
        <f>HYPERLINK("https://cfpub.epa.gov/ecotox/explore.cfm?ncbi=9531","Explore in ECOTOX")</f>
        <v>Explore in ECOTOX</v>
      </c>
    </row>
    <row r="641" spans="1:18" x14ac:dyDescent="0.25">
      <c r="A641">
        <v>6</v>
      </c>
      <c r="B641" t="str">
        <f>HYPERLINK("http://www.ncbi.nlm.nih.gov/protein/XP_014889721.1","XP_014889721.1")</f>
        <v>XP_014889721.1</v>
      </c>
      <c r="C641">
        <v>47232</v>
      </c>
      <c r="D641" t="str">
        <f>HYPERLINK("http://www.ncbi.nlm.nih.gov/Taxonomy/Browser/wwwtax.cgi?mode=Info&amp;id=48699&amp;lvl=3&amp;lin=f&amp;keep=1&amp;srchmode=1&amp;unlock","48699")</f>
        <v>48699</v>
      </c>
      <c r="E641" t="s">
        <v>384</v>
      </c>
      <c r="F641" t="s">
        <v>384</v>
      </c>
      <c r="G641" t="str">
        <f>HYPERLINK("http://www.ncbi.nlm.nih.gov/Taxonomy/Browser/wwwtax.cgi?mode=Info&amp;id=48699&amp;lvl=3&amp;lin=f&amp;keep=1&amp;srchmode=1&amp;unlock","Poecilia latipinna")</f>
        <v>Poecilia latipinna</v>
      </c>
      <c r="H641" t="s">
        <v>600</v>
      </c>
      <c r="I641" t="str">
        <f>HYPERLINK("http://www.ncbi.nlm.nih.gov/protein/XP_014889721.1","PREDICTED: fatty acid-binding protein, liver")</f>
        <v>PREDICTED: fatty acid-binding protein, liver</v>
      </c>
      <c r="J641">
        <v>162.16</v>
      </c>
      <c r="K641" t="s">
        <v>25</v>
      </c>
      <c r="L641">
        <v>139</v>
      </c>
      <c r="M641">
        <v>50.68</v>
      </c>
      <c r="N641">
        <v>64.27</v>
      </c>
      <c r="O641" t="s">
        <v>20</v>
      </c>
      <c r="P641" t="s">
        <v>21</v>
      </c>
      <c r="Q641" t="s">
        <v>20</v>
      </c>
      <c r="R641" t="str">
        <f>HYPERLINK("https://cfpub.epa.gov/ecotox/explore.cfm?ncbi=48699","Explore in ECOTOX")</f>
        <v>Explore in ECOTOX</v>
      </c>
    </row>
    <row r="642" spans="1:18" x14ac:dyDescent="0.25">
      <c r="A642">
        <v>6</v>
      </c>
      <c r="B642" t="str">
        <f>HYPERLINK("http://www.ncbi.nlm.nih.gov/protein/XP_020385610.1","XP_020385610.1")</f>
        <v>XP_020385610.1</v>
      </c>
      <c r="C642">
        <v>27965</v>
      </c>
      <c r="D642" t="str">
        <f>HYPERLINK("http://www.ncbi.nlm.nih.gov/Taxonomy/Browser/wwwtax.cgi?mode=Info&amp;id=259920&amp;lvl=3&amp;lin=f&amp;keep=1&amp;srchmode=1&amp;unlock","259920")</f>
        <v>259920</v>
      </c>
      <c r="E642" t="s">
        <v>550</v>
      </c>
      <c r="F642" t="s">
        <v>550</v>
      </c>
      <c r="G642" t="str">
        <f>HYPERLINK("http://www.ncbi.nlm.nih.gov/Taxonomy/Browser/wwwtax.cgi?mode=Info&amp;id=259920&amp;lvl=3&amp;lin=f&amp;keep=1&amp;srchmode=1&amp;unlock","Rhincodon typus")</f>
        <v>Rhincodon typus</v>
      </c>
      <c r="H642" t="s">
        <v>601</v>
      </c>
      <c r="I642" t="str">
        <f>HYPERLINK("http://www.ncbi.nlm.nih.gov/protein/XP_020385610.1","fatty acid-binding protein, liver-like")</f>
        <v>fatty acid-binding protein, liver-like</v>
      </c>
      <c r="J642">
        <v>161.77000000000001</v>
      </c>
      <c r="K642" t="s">
        <v>25</v>
      </c>
      <c r="L642">
        <v>139</v>
      </c>
      <c r="M642">
        <v>50.68</v>
      </c>
      <c r="N642">
        <v>64.12</v>
      </c>
      <c r="O642" t="s">
        <v>20</v>
      </c>
      <c r="P642" t="s">
        <v>21</v>
      </c>
      <c r="Q642" t="s">
        <v>20</v>
      </c>
      <c r="R642" t="str">
        <f>HYPERLINK("https://cfpub.epa.gov/ecotox/explore.cfm?ncbi=259920","Explore in ECOTOX")</f>
        <v>Explore in ECOTOX</v>
      </c>
    </row>
    <row r="643" spans="1:18" x14ac:dyDescent="0.25">
      <c r="A643">
        <v>6</v>
      </c>
      <c r="B643" t="str">
        <f>HYPERLINK("http://www.ncbi.nlm.nih.gov/protein/KAF7695229.1","KAF7695229.1")</f>
        <v>KAF7695229.1</v>
      </c>
      <c r="C643">
        <v>22862</v>
      </c>
      <c r="D643" t="str">
        <f>HYPERLINK("http://www.ncbi.nlm.nih.gov/Taxonomy/Browser/wwwtax.cgi?mode=Info&amp;id=175797&amp;lvl=3&amp;lin=f&amp;keep=1&amp;srchmode=1&amp;unlock","175797")</f>
        <v>175797</v>
      </c>
      <c r="E643" t="s">
        <v>384</v>
      </c>
      <c r="F643" t="s">
        <v>384</v>
      </c>
      <c r="G643" t="str">
        <f>HYPERLINK("http://www.ncbi.nlm.nih.gov/Taxonomy/Browser/wwwtax.cgi?mode=Info&amp;id=175797&amp;lvl=3&amp;lin=f&amp;keep=1&amp;srchmode=1&amp;unlock","Silurus meridionalis")</f>
        <v>Silurus meridionalis</v>
      </c>
      <c r="H643" t="s">
        <v>602</v>
      </c>
      <c r="I643" t="str">
        <f>HYPERLINK("http://www.ncbi.nlm.nih.gov/protein/KAF7695229.1","hypothetical protein HF521_006952")</f>
        <v>hypothetical protein HF521_006952</v>
      </c>
      <c r="J643">
        <v>161.77000000000001</v>
      </c>
      <c r="K643" t="s">
        <v>25</v>
      </c>
      <c r="L643">
        <v>139</v>
      </c>
      <c r="M643">
        <v>50.68</v>
      </c>
      <c r="N643">
        <v>64.12</v>
      </c>
      <c r="O643" t="s">
        <v>20</v>
      </c>
      <c r="P643" t="s">
        <v>21</v>
      </c>
      <c r="Q643" t="s">
        <v>20</v>
      </c>
      <c r="R643" t="str">
        <f>HYPERLINK("https://cfpub.epa.gov/ecotox/explore.cfm?ncbi=175797","Explore in ECOTOX")</f>
        <v>Explore in ECOTOX</v>
      </c>
    </row>
    <row r="644" spans="1:18" x14ac:dyDescent="0.25">
      <c r="A644">
        <v>6</v>
      </c>
      <c r="B644" t="str">
        <f>HYPERLINK("http://www.ncbi.nlm.nih.gov/protein/NWJ01252.1","NWJ01252.1")</f>
        <v>NWJ01252.1</v>
      </c>
      <c r="C644">
        <v>14086</v>
      </c>
      <c r="D644" t="str">
        <f>HYPERLINK("http://www.ncbi.nlm.nih.gov/Taxonomy/Browser/wwwtax.cgi?mode=Info&amp;id=48396&amp;lvl=3&amp;lin=f&amp;keep=1&amp;srchmode=1&amp;unlock","48396")</f>
        <v>48396</v>
      </c>
      <c r="E644" t="s">
        <v>167</v>
      </c>
      <c r="F644" t="s">
        <v>167</v>
      </c>
      <c r="G644" t="str">
        <f>HYPERLINK("http://www.ncbi.nlm.nih.gov/Taxonomy/Browser/wwwtax.cgi?mode=Info&amp;id=48396&amp;lvl=3&amp;lin=f&amp;keep=1&amp;srchmode=1&amp;unlock","Crypturellus undulatus")</f>
        <v>Crypturellus undulatus</v>
      </c>
      <c r="H644" t="s">
        <v>196</v>
      </c>
      <c r="I644" t="str">
        <f>HYPERLINK("http://www.ncbi.nlm.nih.gov/protein/NWJ01252.1","FABPL protein")</f>
        <v>FABPL protein</v>
      </c>
      <c r="J644">
        <v>161.38</v>
      </c>
      <c r="K644" t="s">
        <v>25</v>
      </c>
      <c r="L644">
        <v>139</v>
      </c>
      <c r="M644">
        <v>50.68</v>
      </c>
      <c r="N644">
        <v>63.97</v>
      </c>
      <c r="O644" t="s">
        <v>20</v>
      </c>
      <c r="P644" t="s">
        <v>21</v>
      </c>
      <c r="Q644" t="s">
        <v>20</v>
      </c>
      <c r="R644" t="str">
        <f>HYPERLINK("https://cfpub.epa.gov/ecotox/explore.cfm?ncbi=48396","Explore in ECOTOX")</f>
        <v>Explore in ECOTOX</v>
      </c>
    </row>
    <row r="645" spans="1:18" x14ac:dyDescent="0.25">
      <c r="A645">
        <v>6</v>
      </c>
      <c r="B645" t="str">
        <f>HYPERLINK("http://www.ncbi.nlm.nih.gov/protein/XP_033974371.1","XP_033974371.1")</f>
        <v>XP_033974371.1</v>
      </c>
      <c r="C645">
        <v>41297</v>
      </c>
      <c r="D645" t="str">
        <f>HYPERLINK("http://www.ncbi.nlm.nih.gov/Taxonomy/Browser/wwwtax.cgi?mode=Info&amp;id=40690&amp;lvl=3&amp;lin=f&amp;keep=1&amp;srchmode=1&amp;unlock","40690")</f>
        <v>40690</v>
      </c>
      <c r="E645" t="s">
        <v>384</v>
      </c>
      <c r="F645" t="s">
        <v>384</v>
      </c>
      <c r="G645" t="str">
        <f>HYPERLINK("http://www.ncbi.nlm.nih.gov/Taxonomy/Browser/wwwtax.cgi?mode=Info&amp;id=40690&amp;lvl=3&amp;lin=f&amp;keep=1&amp;srchmode=1&amp;unlock","Trematomus bernacchii")</f>
        <v>Trematomus bernacchii</v>
      </c>
      <c r="H645" t="s">
        <v>603</v>
      </c>
      <c r="I645" t="str">
        <f>HYPERLINK("http://www.ncbi.nlm.nih.gov/protein/XP_033974371.1","fatty acid-binding protein, liver-type-like")</f>
        <v>fatty acid-binding protein, liver-type-like</v>
      </c>
      <c r="J645">
        <v>161</v>
      </c>
      <c r="K645" t="s">
        <v>25</v>
      </c>
      <c r="L645">
        <v>139</v>
      </c>
      <c r="M645">
        <v>50.68</v>
      </c>
      <c r="N645">
        <v>63.81</v>
      </c>
      <c r="O645" t="s">
        <v>20</v>
      </c>
      <c r="P645" t="s">
        <v>21</v>
      </c>
      <c r="Q645" t="s">
        <v>20</v>
      </c>
      <c r="R645" t="str">
        <f>HYPERLINK("https://cfpub.epa.gov/ecotox/explore.cfm?ncbi=40690","Explore in ECOTOX")</f>
        <v>Explore in ECOTOX</v>
      </c>
    </row>
    <row r="646" spans="1:18" x14ac:dyDescent="0.25">
      <c r="A646">
        <v>6</v>
      </c>
      <c r="B646" t="str">
        <f>HYPERLINK("http://www.ncbi.nlm.nih.gov/protein/NXL42791.1","NXL42791.1")</f>
        <v>NXL42791.1</v>
      </c>
      <c r="C646">
        <v>14232</v>
      </c>
      <c r="D646" t="str">
        <f>HYPERLINK("http://www.ncbi.nlm.nih.gov/Taxonomy/Browser/wwwtax.cgi?mode=Info&amp;id=9252&amp;lvl=3&amp;lin=f&amp;keep=1&amp;srchmode=1&amp;unlock","9252")</f>
        <v>9252</v>
      </c>
      <c r="E646" t="s">
        <v>167</v>
      </c>
      <c r="F646" t="s">
        <v>167</v>
      </c>
      <c r="G646" t="str">
        <f>HYPERLINK("http://www.ncbi.nlm.nih.gov/Taxonomy/Browser/wwwtax.cgi?mode=Info&amp;id=9252&amp;lvl=3&amp;lin=f&amp;keep=1&amp;srchmode=1&amp;unlock","Podilymbus podiceps")</f>
        <v>Podilymbus podiceps</v>
      </c>
      <c r="H646" t="s">
        <v>604</v>
      </c>
      <c r="I646" t="str">
        <f>HYPERLINK("http://www.ncbi.nlm.nih.gov/protein/NXL42791.1","FABPL protein")</f>
        <v>FABPL protein</v>
      </c>
      <c r="J646">
        <v>161</v>
      </c>
      <c r="K646" t="s">
        <v>25</v>
      </c>
      <c r="L646">
        <v>139</v>
      </c>
      <c r="M646">
        <v>50.68</v>
      </c>
      <c r="N646">
        <v>63.81</v>
      </c>
      <c r="O646" t="s">
        <v>20</v>
      </c>
      <c r="P646" t="s">
        <v>21</v>
      </c>
      <c r="Q646" t="s">
        <v>20</v>
      </c>
      <c r="R646" t="str">
        <f>HYPERLINK("https://cfpub.epa.gov/ecotox/explore.cfm?ncbi=9252","Explore in ECOTOX")</f>
        <v>Explore in ECOTOX</v>
      </c>
    </row>
    <row r="647" spans="1:18" x14ac:dyDescent="0.25">
      <c r="A647">
        <v>6</v>
      </c>
      <c r="B647" t="str">
        <f>HYPERLINK("http://www.ncbi.nlm.nih.gov/protein/XP_040051500.1","XP_040051500.1")</f>
        <v>XP_040051500.1</v>
      </c>
      <c r="C647">
        <v>45331</v>
      </c>
      <c r="D647" t="str">
        <f>HYPERLINK("http://www.ncbi.nlm.nih.gov/Taxonomy/Browser/wwwtax.cgi?mode=Info&amp;id=481459&amp;lvl=3&amp;lin=f&amp;keep=1&amp;srchmode=1&amp;unlock","481459")</f>
        <v>481459</v>
      </c>
      <c r="E647" t="s">
        <v>384</v>
      </c>
      <c r="F647" t="s">
        <v>384</v>
      </c>
      <c r="G647" t="str">
        <f>HYPERLINK("http://www.ncbi.nlm.nih.gov/Taxonomy/Browser/wwwtax.cgi?mode=Info&amp;id=481459&amp;lvl=3&amp;lin=f&amp;keep=1&amp;srchmode=1&amp;unlock","Gasterosteus aculeatus aculeatus")</f>
        <v>Gasterosteus aculeatus aculeatus</v>
      </c>
      <c r="H647" t="s">
        <v>605</v>
      </c>
      <c r="I647" t="str">
        <f>HYPERLINK("http://www.ncbi.nlm.nih.gov/protein/XP_040051500.1","fatty acid-binding protein, liver-type-like")</f>
        <v>fatty acid-binding protein, liver-type-like</v>
      </c>
      <c r="J647">
        <v>160.61000000000001</v>
      </c>
      <c r="K647" t="s">
        <v>25</v>
      </c>
      <c r="L647">
        <v>139</v>
      </c>
      <c r="M647">
        <v>50.68</v>
      </c>
      <c r="N647">
        <v>63.66</v>
      </c>
      <c r="O647" t="s">
        <v>20</v>
      </c>
      <c r="P647" t="s">
        <v>21</v>
      </c>
      <c r="Q647" t="s">
        <v>20</v>
      </c>
      <c r="R647" t="str">
        <f>HYPERLINK("https://cfpub.epa.gov/ecotox/explore.cfm?ncbi=481459","Explore in ECOTOX")</f>
        <v>Explore in ECOTOX</v>
      </c>
    </row>
    <row r="648" spans="1:18" x14ac:dyDescent="0.25">
      <c r="A648">
        <v>6</v>
      </c>
      <c r="B648" t="str">
        <f>HYPERLINK("http://www.ncbi.nlm.nih.gov/protein/XP_026855613.1","XP_026855613.1")</f>
        <v>XP_026855613.1</v>
      </c>
      <c r="C648">
        <v>45368</v>
      </c>
      <c r="D648" t="str">
        <f>HYPERLINK("http://www.ncbi.nlm.nih.gov/Taxonomy/Browser/wwwtax.cgi?mode=Info&amp;id=8005&amp;lvl=3&amp;lin=f&amp;keep=1&amp;srchmode=1&amp;unlock","8005")</f>
        <v>8005</v>
      </c>
      <c r="E648" t="s">
        <v>384</v>
      </c>
      <c r="F648" t="s">
        <v>384</v>
      </c>
      <c r="G648" t="str">
        <f>HYPERLINK("http://www.ncbi.nlm.nih.gov/Taxonomy/Browser/wwwtax.cgi?mode=Info&amp;id=8005&amp;lvl=3&amp;lin=f&amp;keep=1&amp;srchmode=1&amp;unlock","Electrophorus electricus")</f>
        <v>Electrophorus electricus</v>
      </c>
      <c r="H648" t="s">
        <v>606</v>
      </c>
      <c r="I648" t="str">
        <f>HYPERLINK("http://www.ncbi.nlm.nih.gov/protein/XP_026855613.1","fatty acid binding protein 1-B.1")</f>
        <v>fatty acid binding protein 1-B.1</v>
      </c>
      <c r="J648">
        <v>160.61000000000001</v>
      </c>
      <c r="K648" t="s">
        <v>20</v>
      </c>
      <c r="L648">
        <v>139</v>
      </c>
      <c r="M648">
        <v>50.68</v>
      </c>
      <c r="N648">
        <v>63.66</v>
      </c>
      <c r="O648" t="s">
        <v>20</v>
      </c>
      <c r="P648" t="s">
        <v>21</v>
      </c>
      <c r="Q648" t="s">
        <v>20</v>
      </c>
      <c r="R648" t="str">
        <f>HYPERLINK("https://cfpub.epa.gov/ecotox/explore.cfm?ncbi=8005","Explore in ECOTOX")</f>
        <v>Explore in ECOTOX</v>
      </c>
    </row>
    <row r="649" spans="1:18" x14ac:dyDescent="0.25">
      <c r="A649">
        <v>6</v>
      </c>
      <c r="B649" t="str">
        <f>HYPERLINK("http://www.ncbi.nlm.nih.gov/protein/XP_040191396.1","XP_040191396.1")</f>
        <v>XP_040191396.1</v>
      </c>
      <c r="C649">
        <v>42547</v>
      </c>
      <c r="D649" t="str">
        <f>HYPERLINK("http://www.ncbi.nlm.nih.gov/Taxonomy/Browser/wwwtax.cgi?mode=Info&amp;id=8407&amp;lvl=3&amp;lin=f&amp;keep=1&amp;srchmode=1&amp;unlock","8407")</f>
        <v>8407</v>
      </c>
      <c r="E649" t="s">
        <v>134</v>
      </c>
      <c r="F649" t="s">
        <v>134</v>
      </c>
      <c r="G649" t="str">
        <f>HYPERLINK("http://www.ncbi.nlm.nih.gov/Taxonomy/Browser/wwwtax.cgi?mode=Info&amp;id=8407&amp;lvl=3&amp;lin=f&amp;keep=1&amp;srchmode=1&amp;unlock","Rana temporaria")</f>
        <v>Rana temporaria</v>
      </c>
      <c r="H649" t="s">
        <v>607</v>
      </c>
      <c r="I649" t="str">
        <f>HYPERLINK("http://www.ncbi.nlm.nih.gov/protein/XP_040191396.1","fatty acid-binding protein 1, liver-like")</f>
        <v>fatty acid-binding protein 1, liver-like</v>
      </c>
      <c r="J649">
        <v>160.61000000000001</v>
      </c>
      <c r="K649" t="s">
        <v>25</v>
      </c>
      <c r="L649">
        <v>139</v>
      </c>
      <c r="M649">
        <v>50.68</v>
      </c>
      <c r="N649">
        <v>63.66</v>
      </c>
      <c r="O649" t="s">
        <v>20</v>
      </c>
      <c r="P649" t="s">
        <v>21</v>
      </c>
      <c r="Q649" t="s">
        <v>20</v>
      </c>
      <c r="R649" t="str">
        <f>HYPERLINK("https://cfpub.epa.gov/ecotox/explore.cfm?ncbi=8407","Explore in ECOTOX")</f>
        <v>Explore in ECOTOX</v>
      </c>
    </row>
    <row r="650" spans="1:18" x14ac:dyDescent="0.25">
      <c r="A650">
        <v>6</v>
      </c>
      <c r="B650" t="str">
        <f>HYPERLINK("http://www.ncbi.nlm.nih.gov/protein/NWI20487.1","NWI20487.1")</f>
        <v>NWI20487.1</v>
      </c>
      <c r="C650">
        <v>14222</v>
      </c>
      <c r="D650" t="str">
        <f>HYPERLINK("http://www.ncbi.nlm.nih.gov/Taxonomy/Browser/wwwtax.cgi?mode=Info&amp;id=458187&amp;lvl=3&amp;lin=f&amp;keep=1&amp;srchmode=1&amp;unlock","458187")</f>
        <v>458187</v>
      </c>
      <c r="E650" t="s">
        <v>167</v>
      </c>
      <c r="F650" t="s">
        <v>167</v>
      </c>
      <c r="G650" t="str">
        <f>HYPERLINK("http://www.ncbi.nlm.nih.gov/Taxonomy/Browser/wwwtax.cgi?mode=Info&amp;id=458187&amp;lvl=3&amp;lin=f&amp;keep=1&amp;srchmode=1&amp;unlock","Crypturellus soui")</f>
        <v>Crypturellus soui</v>
      </c>
      <c r="H650" t="s">
        <v>196</v>
      </c>
      <c r="I650" t="str">
        <f>HYPERLINK("http://www.ncbi.nlm.nih.gov/protein/NWI20487.1","FABPL protein")</f>
        <v>FABPL protein</v>
      </c>
      <c r="J650">
        <v>160.22999999999999</v>
      </c>
      <c r="K650" t="s">
        <v>20</v>
      </c>
      <c r="L650">
        <v>139</v>
      </c>
      <c r="M650">
        <v>50.68</v>
      </c>
      <c r="N650">
        <v>63.51</v>
      </c>
      <c r="O650" t="s">
        <v>20</v>
      </c>
      <c r="P650" t="s">
        <v>21</v>
      </c>
      <c r="Q650" t="s">
        <v>20</v>
      </c>
      <c r="R650" t="str">
        <f>HYPERLINK("https://cfpub.epa.gov/ecotox/explore.cfm?ncbi=458187","Explore in ECOTOX")</f>
        <v>Explore in ECOTOX</v>
      </c>
    </row>
    <row r="651" spans="1:18" x14ac:dyDescent="0.25">
      <c r="A651">
        <v>6</v>
      </c>
      <c r="B651" t="str">
        <f>HYPERLINK("http://www.ncbi.nlm.nih.gov/protein/AFK10903.1","AFK10903.1")</f>
        <v>AFK10903.1</v>
      </c>
      <c r="C651">
        <v>32968</v>
      </c>
      <c r="D651" t="str">
        <f>HYPERLINK("http://www.ncbi.nlm.nih.gov/Taxonomy/Browser/wwwtax.cgi?mode=Info&amp;id=7868&amp;lvl=3&amp;lin=f&amp;keep=1&amp;srchmode=1&amp;unlock","7868")</f>
        <v>7868</v>
      </c>
      <c r="E651" t="s">
        <v>550</v>
      </c>
      <c r="F651" t="s">
        <v>550</v>
      </c>
      <c r="G651" t="str">
        <f>HYPERLINK("http://www.ncbi.nlm.nih.gov/Taxonomy/Browser/wwwtax.cgi?mode=Info&amp;id=7868&amp;lvl=3&amp;lin=f&amp;keep=1&amp;srchmode=1&amp;unlock","Callorhinchus milii")</f>
        <v>Callorhinchus milii</v>
      </c>
      <c r="H651" t="s">
        <v>608</v>
      </c>
      <c r="I651" t="str">
        <f>HYPERLINK("http://www.ncbi.nlm.nih.gov/protein/AFK10903.1","fatty acid-binding protein 1-like protein")</f>
        <v>fatty acid-binding protein 1-like protein</v>
      </c>
      <c r="J651">
        <v>160.22999999999999</v>
      </c>
      <c r="K651" t="s">
        <v>25</v>
      </c>
      <c r="L651">
        <v>139</v>
      </c>
      <c r="M651">
        <v>50.68</v>
      </c>
      <c r="N651">
        <v>63.51</v>
      </c>
      <c r="O651" t="s">
        <v>20</v>
      </c>
      <c r="P651" t="s">
        <v>21</v>
      </c>
      <c r="Q651" t="s">
        <v>20</v>
      </c>
      <c r="R651" t="str">
        <f>HYPERLINK("https://cfpub.epa.gov/ecotox/explore.cfm?ncbi=7868","Explore in ECOTOX")</f>
        <v>Explore in ECOTOX</v>
      </c>
    </row>
    <row r="652" spans="1:18" x14ac:dyDescent="0.25">
      <c r="A652">
        <v>6</v>
      </c>
      <c r="B652" t="str">
        <f>HYPERLINK("http://www.ncbi.nlm.nih.gov/protein/XP_034025367.1","XP_034025367.1")</f>
        <v>XP_034025367.1</v>
      </c>
      <c r="C652">
        <v>36364</v>
      </c>
      <c r="D652" t="str">
        <f>HYPERLINK("http://www.ncbi.nlm.nih.gov/Taxonomy/Browser/wwwtax.cgi?mode=Info&amp;id=390379&amp;lvl=3&amp;lin=f&amp;keep=1&amp;srchmode=1&amp;unlock","390379")</f>
        <v>390379</v>
      </c>
      <c r="E652" t="s">
        <v>384</v>
      </c>
      <c r="F652" t="s">
        <v>384</v>
      </c>
      <c r="G652" t="str">
        <f>HYPERLINK("http://www.ncbi.nlm.nih.gov/Taxonomy/Browser/wwwtax.cgi?mode=Info&amp;id=390379&amp;lvl=3&amp;lin=f&amp;keep=1&amp;srchmode=1&amp;unlock","Thalassophryne amazonica")</f>
        <v>Thalassophryne amazonica</v>
      </c>
      <c r="H652" t="s">
        <v>609</v>
      </c>
      <c r="I652" t="str">
        <f>HYPERLINK("http://www.ncbi.nlm.nih.gov/protein/XP_034025367.1","fatty acid-binding protein, liver-type-like")</f>
        <v>fatty acid-binding protein, liver-type-like</v>
      </c>
      <c r="J652">
        <v>159.84</v>
      </c>
      <c r="K652" t="s">
        <v>25</v>
      </c>
      <c r="L652">
        <v>139</v>
      </c>
      <c r="M652">
        <v>50.68</v>
      </c>
      <c r="N652">
        <v>63.36</v>
      </c>
      <c r="O652" t="s">
        <v>20</v>
      </c>
      <c r="P652" t="s">
        <v>21</v>
      </c>
      <c r="Q652" t="s">
        <v>20</v>
      </c>
      <c r="R652" t="str">
        <f>HYPERLINK("https://cfpub.epa.gov/ecotox/explore.cfm?ncbi=390379","Explore in ECOTOX")</f>
        <v>Explore in ECOTOX</v>
      </c>
    </row>
    <row r="653" spans="1:18" x14ac:dyDescent="0.25">
      <c r="A653">
        <v>6</v>
      </c>
      <c r="B653" t="str">
        <f>HYPERLINK("http://www.ncbi.nlm.nih.gov/protein/NXL61776.1","NXL61776.1")</f>
        <v>NXL61776.1</v>
      </c>
      <c r="C653">
        <v>14052</v>
      </c>
      <c r="D653" t="str">
        <f>HYPERLINK("http://www.ncbi.nlm.nih.gov/Taxonomy/Browser/wwwtax.cgi?mode=Info&amp;id=118183&amp;lvl=3&amp;lin=f&amp;keep=1&amp;srchmode=1&amp;unlock","118183")</f>
        <v>118183</v>
      </c>
      <c r="E653" t="s">
        <v>167</v>
      </c>
      <c r="F653" t="s">
        <v>167</v>
      </c>
      <c r="G653" t="str">
        <f>HYPERLINK("http://www.ncbi.nlm.nih.gov/Taxonomy/Browser/wwwtax.cgi?mode=Info&amp;id=118183&amp;lvl=3&amp;lin=f&amp;keep=1&amp;srchmode=1&amp;unlock","Chordeiles acutipennis")</f>
        <v>Chordeiles acutipennis</v>
      </c>
      <c r="H653" t="s">
        <v>610</v>
      </c>
      <c r="I653" t="str">
        <f>HYPERLINK("http://www.ncbi.nlm.nih.gov/protein/NXL61776.1","FABPL protein")</f>
        <v>FABPL protein</v>
      </c>
      <c r="J653">
        <v>159.84</v>
      </c>
      <c r="K653" t="s">
        <v>25</v>
      </c>
      <c r="L653">
        <v>139</v>
      </c>
      <c r="M653">
        <v>50.68</v>
      </c>
      <c r="N653">
        <v>63.36</v>
      </c>
      <c r="O653" t="s">
        <v>20</v>
      </c>
      <c r="P653" t="s">
        <v>21</v>
      </c>
      <c r="Q653" t="s">
        <v>20</v>
      </c>
      <c r="R653" t="str">
        <f>HYPERLINK("https://cfpub.epa.gov/ecotox/explore.cfm?ncbi=118183","Explore in ECOTOX")</f>
        <v>Explore in ECOTOX</v>
      </c>
    </row>
    <row r="654" spans="1:18" x14ac:dyDescent="0.25">
      <c r="A654">
        <v>6</v>
      </c>
      <c r="B654" t="str">
        <f>HYPERLINK("http://www.ncbi.nlm.nih.gov/protein/XP_037633906.1","XP_037633906.1")</f>
        <v>XP_037633906.1</v>
      </c>
      <c r="C654">
        <v>50721</v>
      </c>
      <c r="D654" t="str">
        <f>HYPERLINK("http://www.ncbi.nlm.nih.gov/Taxonomy/Browser/wwwtax.cgi?mode=Info&amp;id=72105&amp;lvl=3&amp;lin=f&amp;keep=1&amp;srchmode=1&amp;unlock","72105")</f>
        <v>72105</v>
      </c>
      <c r="E654" t="s">
        <v>384</v>
      </c>
      <c r="F654" t="s">
        <v>384</v>
      </c>
      <c r="G654" t="str">
        <f>HYPERLINK("http://www.ncbi.nlm.nih.gov/Taxonomy/Browser/wwwtax.cgi?mode=Info&amp;id=72105&amp;lvl=3&amp;lin=f&amp;keep=1&amp;srchmode=1&amp;unlock","Sebastes umbrosus")</f>
        <v>Sebastes umbrosus</v>
      </c>
      <c r="H654" t="s">
        <v>611</v>
      </c>
      <c r="I654" t="str">
        <f>HYPERLINK("http://www.ncbi.nlm.nih.gov/protein/XP_037633906.1","fatty acid-binding protein, liver-type-like")</f>
        <v>fatty acid-binding protein, liver-type-like</v>
      </c>
      <c r="J654">
        <v>159.84</v>
      </c>
      <c r="K654" t="s">
        <v>25</v>
      </c>
      <c r="L654">
        <v>139</v>
      </c>
      <c r="M654">
        <v>50.68</v>
      </c>
      <c r="N654">
        <v>63.36</v>
      </c>
      <c r="O654" t="s">
        <v>20</v>
      </c>
      <c r="P654" t="s">
        <v>21</v>
      </c>
      <c r="Q654" t="s">
        <v>20</v>
      </c>
      <c r="R654" t="str">
        <f>HYPERLINK("https://cfpub.epa.gov/ecotox/explore.cfm?ncbi=72105","Explore in ECOTOX")</f>
        <v>Explore in ECOTOX</v>
      </c>
    </row>
    <row r="655" spans="1:18" x14ac:dyDescent="0.25">
      <c r="A655">
        <v>6</v>
      </c>
      <c r="B655" t="str">
        <f>HYPERLINK("http://www.ncbi.nlm.nih.gov/protein/KAA0714485.1","KAA0714485.1")</f>
        <v>KAA0714485.1</v>
      </c>
      <c r="C655">
        <v>24328</v>
      </c>
      <c r="D655" t="str">
        <f>HYPERLINK("http://www.ncbi.nlm.nih.gov/Taxonomy/Browser/wwwtax.cgi?mode=Info&amp;id=1572043&amp;lvl=3&amp;lin=f&amp;keep=1&amp;srchmode=1&amp;unlock","1572043")</f>
        <v>1572043</v>
      </c>
      <c r="E655" t="s">
        <v>384</v>
      </c>
      <c r="F655" t="s">
        <v>384</v>
      </c>
      <c r="G655" t="str">
        <f>HYPERLINK("http://www.ncbi.nlm.nih.gov/Taxonomy/Browser/wwwtax.cgi?mode=Info&amp;id=1572043&amp;lvl=3&amp;lin=f&amp;keep=1&amp;srchmode=1&amp;unlock","Triplophysa tibetana")</f>
        <v>Triplophysa tibetana</v>
      </c>
      <c r="H655" t="s">
        <v>612</v>
      </c>
      <c r="I655" t="str">
        <f>HYPERLINK("http://www.ncbi.nlm.nih.gov/protein/KAA0714485.1","Fatty acid binding protein 1-B.1")</f>
        <v>Fatty acid binding protein 1-B.1</v>
      </c>
      <c r="J655">
        <v>159.84</v>
      </c>
      <c r="K655" t="s">
        <v>20</v>
      </c>
      <c r="L655">
        <v>139</v>
      </c>
      <c r="M655">
        <v>50.68</v>
      </c>
      <c r="N655">
        <v>63.36</v>
      </c>
      <c r="O655" t="s">
        <v>20</v>
      </c>
      <c r="P655" t="s">
        <v>21</v>
      </c>
      <c r="Q655" t="s">
        <v>20</v>
      </c>
      <c r="R655" t="str">
        <f>HYPERLINK("https://cfpub.epa.gov/ecotox/explore.cfm?ncbi=1572043","Explore in ECOTOX")</f>
        <v>Explore in ECOTOX</v>
      </c>
    </row>
    <row r="656" spans="1:18" x14ac:dyDescent="0.25">
      <c r="A656">
        <v>6</v>
      </c>
      <c r="B656" t="str">
        <f>HYPERLINK("http://www.ncbi.nlm.nih.gov/protein/XP_007557616.1","XP_007557616.1")</f>
        <v>XP_007557616.1</v>
      </c>
      <c r="C656">
        <v>49656</v>
      </c>
      <c r="D656" t="str">
        <f>HYPERLINK("http://www.ncbi.nlm.nih.gov/Taxonomy/Browser/wwwtax.cgi?mode=Info&amp;id=48698&amp;lvl=3&amp;lin=f&amp;keep=1&amp;srchmode=1&amp;unlock","48698")</f>
        <v>48698</v>
      </c>
      <c r="E656" t="s">
        <v>384</v>
      </c>
      <c r="F656" t="s">
        <v>384</v>
      </c>
      <c r="G656" t="str">
        <f>HYPERLINK("http://www.ncbi.nlm.nih.gov/Taxonomy/Browser/wwwtax.cgi?mode=Info&amp;id=48698&amp;lvl=3&amp;lin=f&amp;keep=1&amp;srchmode=1&amp;unlock","Poecilia formosa")</f>
        <v>Poecilia formosa</v>
      </c>
      <c r="H656" t="s">
        <v>613</v>
      </c>
      <c r="I656" t="str">
        <f>HYPERLINK("http://www.ncbi.nlm.nih.gov/protein/XP_007557616.1","PREDICTED: fatty acid-binding protein, liver-type-like")</f>
        <v>PREDICTED: fatty acid-binding protein, liver-type-like</v>
      </c>
      <c r="J656">
        <v>159.07</v>
      </c>
      <c r="K656" t="s">
        <v>25</v>
      </c>
      <c r="L656">
        <v>139</v>
      </c>
      <c r="M656">
        <v>50.68</v>
      </c>
      <c r="N656">
        <v>63.05</v>
      </c>
      <c r="O656" t="s">
        <v>20</v>
      </c>
      <c r="P656" t="s">
        <v>21</v>
      </c>
      <c r="Q656" t="s">
        <v>20</v>
      </c>
      <c r="R656" t="str">
        <f>HYPERLINK("https://cfpub.epa.gov/ecotox/explore.cfm?ncbi=48698","Explore in ECOTOX")</f>
        <v>Explore in ECOTOX</v>
      </c>
    </row>
    <row r="657" spans="1:18" x14ac:dyDescent="0.25">
      <c r="A657">
        <v>6</v>
      </c>
      <c r="B657" t="str">
        <f>HYPERLINK("http://www.ncbi.nlm.nih.gov/protein/XP_038632789.1","XP_038632789.1")</f>
        <v>XP_038632789.1</v>
      </c>
      <c r="C657">
        <v>50056</v>
      </c>
      <c r="D657" t="str">
        <f>HYPERLINK("http://www.ncbi.nlm.nih.gov/Taxonomy/Browser/wwwtax.cgi?mode=Info&amp;id=7830&amp;lvl=3&amp;lin=f&amp;keep=1&amp;srchmode=1&amp;unlock","7830")</f>
        <v>7830</v>
      </c>
      <c r="E657" t="s">
        <v>550</v>
      </c>
      <c r="F657" t="s">
        <v>550</v>
      </c>
      <c r="G657" t="str">
        <f>HYPERLINK("http://www.ncbi.nlm.nih.gov/Taxonomy/Browser/wwwtax.cgi?mode=Info&amp;id=7830&amp;lvl=3&amp;lin=f&amp;keep=1&amp;srchmode=1&amp;unlock","Scyliorhinus canicula")</f>
        <v>Scyliorhinus canicula</v>
      </c>
      <c r="H657" t="s">
        <v>614</v>
      </c>
      <c r="I657" t="str">
        <f>HYPERLINK("http://www.ncbi.nlm.nih.gov/protein/XP_038632789.1","fatty acid-binding protein 1, liver-like")</f>
        <v>fatty acid-binding protein 1, liver-like</v>
      </c>
      <c r="J657">
        <v>159.07</v>
      </c>
      <c r="K657" t="s">
        <v>25</v>
      </c>
      <c r="L657">
        <v>139</v>
      </c>
      <c r="M657">
        <v>50.68</v>
      </c>
      <c r="N657">
        <v>63.05</v>
      </c>
      <c r="O657" t="s">
        <v>20</v>
      </c>
      <c r="P657" t="s">
        <v>21</v>
      </c>
      <c r="Q657" t="s">
        <v>20</v>
      </c>
      <c r="R657" t="str">
        <f>HYPERLINK("https://cfpub.epa.gov/ecotox/explore.cfm?ncbi=7830","Explore in ECOTOX")</f>
        <v>Explore in ECOTOX</v>
      </c>
    </row>
    <row r="658" spans="1:18" x14ac:dyDescent="0.25">
      <c r="A658">
        <v>6</v>
      </c>
      <c r="B658" t="str">
        <f>HYPERLINK("http://www.ncbi.nlm.nih.gov/protein/XP_014862905.1","XP_014862905.1")</f>
        <v>XP_014862905.1</v>
      </c>
      <c r="C658">
        <v>47807</v>
      </c>
      <c r="D658" t="str">
        <f>HYPERLINK("http://www.ncbi.nlm.nih.gov/Taxonomy/Browser/wwwtax.cgi?mode=Info&amp;id=48701&amp;lvl=3&amp;lin=f&amp;keep=1&amp;srchmode=1&amp;unlock","48701")</f>
        <v>48701</v>
      </c>
      <c r="E658" t="s">
        <v>384</v>
      </c>
      <c r="F658" t="s">
        <v>384</v>
      </c>
      <c r="G658" t="str">
        <f>HYPERLINK("http://www.ncbi.nlm.nih.gov/Taxonomy/Browser/wwwtax.cgi?mode=Info&amp;id=48701&amp;lvl=3&amp;lin=f&amp;keep=1&amp;srchmode=1&amp;unlock","Poecilia mexicana")</f>
        <v>Poecilia mexicana</v>
      </c>
      <c r="H658" t="s">
        <v>615</v>
      </c>
      <c r="I658" t="str">
        <f>HYPERLINK("http://www.ncbi.nlm.nih.gov/protein/XP_014862905.1","PREDICTED: fatty acid-binding protein, liver")</f>
        <v>PREDICTED: fatty acid-binding protein, liver</v>
      </c>
      <c r="J658">
        <v>158.69</v>
      </c>
      <c r="K658" t="s">
        <v>25</v>
      </c>
      <c r="L658">
        <v>139</v>
      </c>
      <c r="M658">
        <v>50.68</v>
      </c>
      <c r="N658">
        <v>62.9</v>
      </c>
      <c r="O658" t="s">
        <v>20</v>
      </c>
      <c r="P658" t="s">
        <v>21</v>
      </c>
      <c r="Q658" t="s">
        <v>20</v>
      </c>
      <c r="R658" t="str">
        <f>HYPERLINK("https://cfpub.epa.gov/ecotox/explore.cfm?ncbi=48701","Explore in ECOTOX")</f>
        <v>Explore in ECOTOX</v>
      </c>
    </row>
    <row r="659" spans="1:18" x14ac:dyDescent="0.25">
      <c r="A659">
        <v>6</v>
      </c>
      <c r="B659" t="str">
        <f>HYPERLINK("http://www.ncbi.nlm.nih.gov/protein/TRZ03162.1","TRZ03162.1")</f>
        <v>TRZ03162.1</v>
      </c>
      <c r="C659">
        <v>35331</v>
      </c>
      <c r="D659" t="str">
        <f>HYPERLINK("http://www.ncbi.nlm.nih.gov/Taxonomy/Browser/wwwtax.cgi?mode=Info&amp;id=623744&amp;lvl=3&amp;lin=f&amp;keep=1&amp;srchmode=1&amp;unlock","623744")</f>
        <v>623744</v>
      </c>
      <c r="E659" t="s">
        <v>384</v>
      </c>
      <c r="F659" t="s">
        <v>384</v>
      </c>
      <c r="G659" t="str">
        <f>HYPERLINK("http://www.ncbi.nlm.nih.gov/Taxonomy/Browser/wwwtax.cgi?mode=Info&amp;id=623744&amp;lvl=3&amp;lin=f&amp;keep=1&amp;srchmode=1&amp;unlock","Danionella translucida")</f>
        <v>Danionella translucida</v>
      </c>
      <c r="H659" t="s">
        <v>529</v>
      </c>
      <c r="I659" t="str">
        <f>HYPERLINK("http://www.ncbi.nlm.nih.gov/protein/TRZ03162.1","hypothetical protein DNTS_014551")</f>
        <v>hypothetical protein DNTS_014551</v>
      </c>
      <c r="J659">
        <v>158.69</v>
      </c>
      <c r="K659" t="s">
        <v>25</v>
      </c>
      <c r="L659">
        <v>139</v>
      </c>
      <c r="M659">
        <v>50.68</v>
      </c>
      <c r="N659">
        <v>62.9</v>
      </c>
      <c r="O659" t="s">
        <v>20</v>
      </c>
      <c r="P659" t="s">
        <v>21</v>
      </c>
      <c r="Q659" t="s">
        <v>20</v>
      </c>
      <c r="R659" t="str">
        <f>HYPERLINK("https://cfpub.epa.gov/ecotox/explore.cfm?ncbi=623744","Explore in ECOTOX")</f>
        <v>Explore in ECOTOX</v>
      </c>
    </row>
    <row r="660" spans="1:18" x14ac:dyDescent="0.25">
      <c r="A660">
        <v>6</v>
      </c>
      <c r="B660" t="str">
        <f>HYPERLINK("http://www.ncbi.nlm.nih.gov/protein/XP_027022755.1","XP_027022755.1")</f>
        <v>XP_027022755.1</v>
      </c>
      <c r="C660">
        <v>47885</v>
      </c>
      <c r="D660" t="str">
        <f>HYPERLINK("http://www.ncbi.nlm.nih.gov/Taxonomy/Browser/wwwtax.cgi?mode=Info&amp;id=1234273&amp;lvl=3&amp;lin=f&amp;keep=1&amp;srchmode=1&amp;unlock","1234273")</f>
        <v>1234273</v>
      </c>
      <c r="E660" t="s">
        <v>384</v>
      </c>
      <c r="F660" t="s">
        <v>384</v>
      </c>
      <c r="G660" t="str">
        <f>HYPERLINK("http://www.ncbi.nlm.nih.gov/Taxonomy/Browser/wwwtax.cgi?mode=Info&amp;id=1234273&amp;lvl=3&amp;lin=f&amp;keep=1&amp;srchmode=1&amp;unlock","Tachysurus fulvidraco")</f>
        <v>Tachysurus fulvidraco</v>
      </c>
      <c r="H660" t="s">
        <v>616</v>
      </c>
      <c r="I660" t="str">
        <f>HYPERLINK("http://www.ncbi.nlm.nih.gov/protein/XP_027022755.1","fatty acid-binding protein, liver")</f>
        <v>fatty acid-binding protein, liver</v>
      </c>
      <c r="J660">
        <v>158.30000000000001</v>
      </c>
      <c r="K660" t="s">
        <v>25</v>
      </c>
      <c r="L660">
        <v>139</v>
      </c>
      <c r="M660">
        <v>50.68</v>
      </c>
      <c r="N660">
        <v>62.75</v>
      </c>
      <c r="O660" t="s">
        <v>20</v>
      </c>
      <c r="P660" t="s">
        <v>21</v>
      </c>
      <c r="Q660" t="s">
        <v>20</v>
      </c>
      <c r="R660" t="str">
        <f>HYPERLINK("https://cfpub.epa.gov/ecotox/explore.cfm?ncbi=1234273","Explore in ECOTOX")</f>
        <v>Explore in ECOTOX</v>
      </c>
    </row>
    <row r="661" spans="1:18" x14ac:dyDescent="0.25">
      <c r="A661">
        <v>6</v>
      </c>
      <c r="B661" t="str">
        <f>HYPERLINK("http://www.ncbi.nlm.nih.gov/protein/XP_037339533.1","XP_037339533.1")</f>
        <v>XP_037339533.1</v>
      </c>
      <c r="C661">
        <v>43840</v>
      </c>
      <c r="D661" t="str">
        <f>HYPERLINK("http://www.ncbi.nlm.nih.gov/Taxonomy/Browser/wwwtax.cgi?mode=Info&amp;id=134920&amp;lvl=3&amp;lin=f&amp;keep=1&amp;srchmode=1&amp;unlock","134920")</f>
        <v>134920</v>
      </c>
      <c r="E661" t="s">
        <v>384</v>
      </c>
      <c r="F661" t="s">
        <v>384</v>
      </c>
      <c r="G661" t="str">
        <f>HYPERLINK("http://www.ncbi.nlm.nih.gov/Taxonomy/Browser/wwwtax.cgi?mode=Info&amp;id=134920&amp;lvl=3&amp;lin=f&amp;keep=1&amp;srchmode=1&amp;unlock","Pungitius pungitius")</f>
        <v>Pungitius pungitius</v>
      </c>
      <c r="H661" t="s">
        <v>617</v>
      </c>
      <c r="I661" t="str">
        <f>HYPERLINK("http://www.ncbi.nlm.nih.gov/protein/XP_037339533.1","fatty acid-binding protein, liver-type-like")</f>
        <v>fatty acid-binding protein, liver-type-like</v>
      </c>
      <c r="J661">
        <v>158.30000000000001</v>
      </c>
      <c r="K661" t="s">
        <v>25</v>
      </c>
      <c r="L661">
        <v>139</v>
      </c>
      <c r="M661">
        <v>50.68</v>
      </c>
      <c r="N661">
        <v>62.75</v>
      </c>
      <c r="O661" t="s">
        <v>20</v>
      </c>
      <c r="P661" t="s">
        <v>21</v>
      </c>
      <c r="Q661" t="s">
        <v>20</v>
      </c>
      <c r="R661" t="str">
        <f>HYPERLINK("https://cfpub.epa.gov/ecotox/explore.cfm?ncbi=134920","Explore in ECOTOX")</f>
        <v>Explore in ECOTOX</v>
      </c>
    </row>
    <row r="662" spans="1:18" x14ac:dyDescent="0.25">
      <c r="A662">
        <v>6</v>
      </c>
      <c r="B662" t="str">
        <f>HYPERLINK("http://www.ncbi.nlm.nih.gov/protein/XP_020662870.1","XP_020662870.1")</f>
        <v>XP_020662870.1</v>
      </c>
      <c r="C662">
        <v>38807</v>
      </c>
      <c r="D662" t="str">
        <f>HYPERLINK("http://www.ncbi.nlm.nih.gov/Taxonomy/Browser/wwwtax.cgi?mode=Info&amp;id=103695&amp;lvl=3&amp;lin=f&amp;keep=1&amp;srchmode=1&amp;unlock","103695")</f>
        <v>103695</v>
      </c>
      <c r="E662" t="s">
        <v>236</v>
      </c>
      <c r="F662" t="s">
        <v>236</v>
      </c>
      <c r="G662" t="str">
        <f>HYPERLINK("http://www.ncbi.nlm.nih.gov/Taxonomy/Browser/wwwtax.cgi?mode=Info&amp;id=103695&amp;lvl=3&amp;lin=f&amp;keep=1&amp;srchmode=1&amp;unlock","Pogona vitticeps")</f>
        <v>Pogona vitticeps</v>
      </c>
      <c r="H662" t="s">
        <v>618</v>
      </c>
      <c r="I662" t="str">
        <f>HYPERLINK("http://www.ncbi.nlm.nih.gov/protein/XP_020662870.1","fatty acid-binding protein, liver")</f>
        <v>fatty acid-binding protein, liver</v>
      </c>
      <c r="J662">
        <v>157.91999999999999</v>
      </c>
      <c r="K662" t="s">
        <v>25</v>
      </c>
      <c r="L662">
        <v>139</v>
      </c>
      <c r="M662">
        <v>50.68</v>
      </c>
      <c r="N662">
        <v>62.59</v>
      </c>
      <c r="O662" t="s">
        <v>20</v>
      </c>
      <c r="P662" t="s">
        <v>21</v>
      </c>
      <c r="Q662" t="s">
        <v>20</v>
      </c>
      <c r="R662" t="str">
        <f>HYPERLINK("https://cfpub.epa.gov/ecotox/explore.cfm?ncbi=103695","Explore in ECOTOX")</f>
        <v>Explore in ECOTOX</v>
      </c>
    </row>
    <row r="663" spans="1:18" x14ac:dyDescent="0.25">
      <c r="A663">
        <v>6</v>
      </c>
      <c r="B663" t="str">
        <f>HYPERLINK("http://www.ncbi.nlm.nih.gov/protein/XP_035291474.1","XP_035291474.1")</f>
        <v>XP_035291474.1</v>
      </c>
      <c r="C663">
        <v>58879</v>
      </c>
      <c r="D663" t="str">
        <f>HYPERLINK("http://www.ncbi.nlm.nih.gov/Taxonomy/Browser/wwwtax.cgi?mode=Info&amp;id=7936&amp;lvl=3&amp;lin=f&amp;keep=1&amp;srchmode=1&amp;unlock","7936")</f>
        <v>7936</v>
      </c>
      <c r="E663" t="s">
        <v>384</v>
      </c>
      <c r="F663" t="s">
        <v>384</v>
      </c>
      <c r="G663" t="str">
        <f>HYPERLINK("http://www.ncbi.nlm.nih.gov/Taxonomy/Browser/wwwtax.cgi?mode=Info&amp;id=7936&amp;lvl=3&amp;lin=f&amp;keep=1&amp;srchmode=1&amp;unlock","Anguilla anguilla")</f>
        <v>Anguilla anguilla</v>
      </c>
      <c r="H663" t="s">
        <v>619</v>
      </c>
      <c r="I663" t="str">
        <f>HYPERLINK("http://www.ncbi.nlm.nih.gov/protein/XP_035291474.1","fatty acid-binding protein, liver-type-like")</f>
        <v>fatty acid-binding protein, liver-type-like</v>
      </c>
      <c r="J663">
        <v>157.91999999999999</v>
      </c>
      <c r="K663" t="s">
        <v>20</v>
      </c>
      <c r="L663">
        <v>139</v>
      </c>
      <c r="M663">
        <v>50.68</v>
      </c>
      <c r="N663">
        <v>62.59</v>
      </c>
      <c r="O663" t="s">
        <v>20</v>
      </c>
      <c r="P663" t="s">
        <v>21</v>
      </c>
      <c r="Q663" t="s">
        <v>20</v>
      </c>
      <c r="R663" t="str">
        <f>HYPERLINK("https://cfpub.epa.gov/ecotox/explore.cfm?ncbi=7936","Explore in ECOTOX")</f>
        <v>Explore in ECOTOX</v>
      </c>
    </row>
    <row r="664" spans="1:18" x14ac:dyDescent="0.25">
      <c r="A664">
        <v>6</v>
      </c>
      <c r="B664" t="str">
        <f>HYPERLINK("http://www.ncbi.nlm.nih.gov/protein/XP_032435134.1","XP_032435134.1")</f>
        <v>XP_032435134.1</v>
      </c>
      <c r="C664">
        <v>46452</v>
      </c>
      <c r="D664" t="str">
        <f>HYPERLINK("http://www.ncbi.nlm.nih.gov/Taxonomy/Browser/wwwtax.cgi?mode=Info&amp;id=8084&amp;lvl=3&amp;lin=f&amp;keep=1&amp;srchmode=1&amp;unlock","8084")</f>
        <v>8084</v>
      </c>
      <c r="E664" t="s">
        <v>384</v>
      </c>
      <c r="F664" t="s">
        <v>384</v>
      </c>
      <c r="G664" t="str">
        <f>HYPERLINK("http://www.ncbi.nlm.nih.gov/Taxonomy/Browser/wwwtax.cgi?mode=Info&amp;id=8084&amp;lvl=3&amp;lin=f&amp;keep=1&amp;srchmode=1&amp;unlock","Xiphophorus hellerii")</f>
        <v>Xiphophorus hellerii</v>
      </c>
      <c r="H664" t="s">
        <v>620</v>
      </c>
      <c r="I664" t="str">
        <f>HYPERLINK("http://www.ncbi.nlm.nih.gov/protein/XP_032435134.1","fatty acid-binding protein, liver")</f>
        <v>fatty acid-binding protein, liver</v>
      </c>
      <c r="J664">
        <v>157.91999999999999</v>
      </c>
      <c r="K664" t="s">
        <v>25</v>
      </c>
      <c r="L664">
        <v>139</v>
      </c>
      <c r="M664">
        <v>50.68</v>
      </c>
      <c r="N664">
        <v>62.59</v>
      </c>
      <c r="O664" t="s">
        <v>20</v>
      </c>
      <c r="P664" t="s">
        <v>21</v>
      </c>
      <c r="Q664" t="s">
        <v>20</v>
      </c>
      <c r="R664" t="str">
        <f>HYPERLINK("https://cfpub.epa.gov/ecotox/explore.cfm?ncbi=8084","Explore in ECOTOX")</f>
        <v>Explore in ECOTOX</v>
      </c>
    </row>
    <row r="665" spans="1:18" x14ac:dyDescent="0.25">
      <c r="A665">
        <v>6</v>
      </c>
      <c r="B665" t="str">
        <f>HYPERLINK("http://www.ncbi.nlm.nih.gov/protein/ROL44421.1","ROL44421.1")</f>
        <v>ROL44421.1</v>
      </c>
      <c r="C665">
        <v>23912</v>
      </c>
      <c r="D665" t="str">
        <f>HYPERLINK("http://www.ncbi.nlm.nih.gov/Taxonomy/Browser/wwwtax.cgi?mode=Info&amp;id=495550&amp;lvl=3&amp;lin=f&amp;keep=1&amp;srchmode=1&amp;unlock","495550")</f>
        <v>495550</v>
      </c>
      <c r="E665" t="s">
        <v>384</v>
      </c>
      <c r="F665" t="s">
        <v>384</v>
      </c>
      <c r="G665" t="str">
        <f>HYPERLINK("http://www.ncbi.nlm.nih.gov/Taxonomy/Browser/wwwtax.cgi?mode=Info&amp;id=495550&amp;lvl=3&amp;lin=f&amp;keep=1&amp;srchmode=1&amp;unlock","Anabarilius grahami")</f>
        <v>Anabarilius grahami</v>
      </c>
      <c r="H665" t="s">
        <v>529</v>
      </c>
      <c r="I665" t="str">
        <f>HYPERLINK("http://www.ncbi.nlm.nih.gov/protein/ROL44421.1","Fatty acid binding protein 1-A, liver")</f>
        <v>Fatty acid binding protein 1-A, liver</v>
      </c>
      <c r="J665">
        <v>157.53</v>
      </c>
      <c r="K665" t="s">
        <v>25</v>
      </c>
      <c r="L665">
        <v>139</v>
      </c>
      <c r="M665">
        <v>50.68</v>
      </c>
      <c r="N665">
        <v>62.44</v>
      </c>
      <c r="O665" t="s">
        <v>20</v>
      </c>
      <c r="P665" t="s">
        <v>21</v>
      </c>
      <c r="Q665" t="s">
        <v>20</v>
      </c>
      <c r="R665" t="str">
        <f>HYPERLINK("https://cfpub.epa.gov/ecotox/explore.cfm?ncbi=495550","Explore in ECOTOX")</f>
        <v>Explore in ECOTOX</v>
      </c>
    </row>
    <row r="666" spans="1:18" x14ac:dyDescent="0.25">
      <c r="A666">
        <v>6</v>
      </c>
      <c r="B666" t="str">
        <f>HYPERLINK("http://www.ncbi.nlm.nih.gov/protein/XP_027890178.1","XP_027890178.1")</f>
        <v>XP_027890178.1</v>
      </c>
      <c r="C666">
        <v>47115</v>
      </c>
      <c r="D666" t="str">
        <f>HYPERLINK("http://www.ncbi.nlm.nih.gov/Taxonomy/Browser/wwwtax.cgi?mode=Info&amp;id=32473&amp;lvl=3&amp;lin=f&amp;keep=1&amp;srchmode=1&amp;unlock","32473")</f>
        <v>32473</v>
      </c>
      <c r="E666" t="s">
        <v>384</v>
      </c>
      <c r="F666" t="s">
        <v>384</v>
      </c>
      <c r="G666" t="str">
        <f>HYPERLINK("http://www.ncbi.nlm.nih.gov/Taxonomy/Browser/wwwtax.cgi?mode=Info&amp;id=32473&amp;lvl=3&amp;lin=f&amp;keep=1&amp;srchmode=1&amp;unlock","Xiphophorus couchianus")</f>
        <v>Xiphophorus couchianus</v>
      </c>
      <c r="H666" t="s">
        <v>621</v>
      </c>
      <c r="I666" t="str">
        <f>HYPERLINK("http://www.ncbi.nlm.nih.gov/protein/XP_027890178.1","fatty acid-binding protein, liver")</f>
        <v>fatty acid-binding protein, liver</v>
      </c>
      <c r="J666">
        <v>156.38</v>
      </c>
      <c r="K666" t="s">
        <v>25</v>
      </c>
      <c r="L666">
        <v>139</v>
      </c>
      <c r="M666">
        <v>50.68</v>
      </c>
      <c r="N666">
        <v>61.98</v>
      </c>
      <c r="O666" t="s">
        <v>20</v>
      </c>
      <c r="P666" t="s">
        <v>21</v>
      </c>
      <c r="Q666" t="s">
        <v>20</v>
      </c>
      <c r="R666" t="str">
        <f>HYPERLINK("https://cfpub.epa.gov/ecotox/explore.cfm?ncbi=32473","Explore in ECOTOX")</f>
        <v>Explore in ECOTOX</v>
      </c>
    </row>
    <row r="667" spans="1:18" x14ac:dyDescent="0.25">
      <c r="A667">
        <v>6</v>
      </c>
      <c r="B667" t="str">
        <f>HYPERLINK("http://www.ncbi.nlm.nih.gov/protein/XP_030594149.1","XP_030594149.1")</f>
        <v>XP_030594149.1</v>
      </c>
      <c r="C667">
        <v>41125</v>
      </c>
      <c r="D667" t="str">
        <f>HYPERLINK("http://www.ncbi.nlm.nih.gov/Taxonomy/Browser/wwwtax.cgi?mode=Info&amp;id=63155&amp;lvl=3&amp;lin=f&amp;keep=1&amp;srchmode=1&amp;unlock","63155")</f>
        <v>63155</v>
      </c>
      <c r="E667" t="s">
        <v>384</v>
      </c>
      <c r="F667" t="s">
        <v>384</v>
      </c>
      <c r="G667" t="str">
        <f>HYPERLINK("http://www.ncbi.nlm.nih.gov/Taxonomy/Browser/wwwtax.cgi?mode=Info&amp;id=63155&amp;lvl=3&amp;lin=f&amp;keep=1&amp;srchmode=1&amp;unlock","Archocentrus centrarchus")</f>
        <v>Archocentrus centrarchus</v>
      </c>
      <c r="H667" t="s">
        <v>622</v>
      </c>
      <c r="I667" t="str">
        <f>HYPERLINK("http://www.ncbi.nlm.nih.gov/protein/XP_030594149.1","fatty acid-binding protein, liver")</f>
        <v>fatty acid-binding protein, liver</v>
      </c>
      <c r="J667">
        <v>155.61000000000001</v>
      </c>
      <c r="K667" t="s">
        <v>20</v>
      </c>
      <c r="L667">
        <v>139</v>
      </c>
      <c r="M667">
        <v>50.68</v>
      </c>
      <c r="N667">
        <v>61.68</v>
      </c>
      <c r="O667" t="s">
        <v>20</v>
      </c>
      <c r="P667" t="s">
        <v>21</v>
      </c>
      <c r="Q667" t="s">
        <v>20</v>
      </c>
      <c r="R667" t="str">
        <f>HYPERLINK("https://cfpub.epa.gov/ecotox/explore.cfm?ncbi=63155","Explore in ECOTOX")</f>
        <v>Explore in ECOTOX</v>
      </c>
    </row>
    <row r="668" spans="1:18" x14ac:dyDescent="0.25">
      <c r="A668">
        <v>6</v>
      </c>
      <c r="B668" t="str">
        <f>HYPERLINK("http://www.ncbi.nlm.nih.gov/protein/XP_020486114.1","XP_020486114.1")</f>
        <v>XP_020486114.1</v>
      </c>
      <c r="C668">
        <v>36766</v>
      </c>
      <c r="D668" t="str">
        <f>HYPERLINK("http://www.ncbi.nlm.nih.gov/Taxonomy/Browser/wwwtax.cgi?mode=Info&amp;id=56723&amp;lvl=3&amp;lin=f&amp;keep=1&amp;srchmode=1&amp;unlock","56723")</f>
        <v>56723</v>
      </c>
      <c r="E668" t="s">
        <v>384</v>
      </c>
      <c r="F668" t="s">
        <v>384</v>
      </c>
      <c r="G668" t="str">
        <f>HYPERLINK("http://www.ncbi.nlm.nih.gov/Taxonomy/Browser/wwwtax.cgi?mode=Info&amp;id=56723&amp;lvl=3&amp;lin=f&amp;keep=1&amp;srchmode=1&amp;unlock","Labrus bergylta")</f>
        <v>Labrus bergylta</v>
      </c>
      <c r="H668" t="s">
        <v>623</v>
      </c>
      <c r="I668" t="str">
        <f>HYPERLINK("http://www.ncbi.nlm.nih.gov/protein/XP_020486114.1","fatty acid-binding protein, liver")</f>
        <v>fatty acid-binding protein, liver</v>
      </c>
      <c r="J668">
        <v>155.61000000000001</v>
      </c>
      <c r="K668" t="s">
        <v>25</v>
      </c>
      <c r="L668">
        <v>139</v>
      </c>
      <c r="M668">
        <v>50.68</v>
      </c>
      <c r="N668">
        <v>61.68</v>
      </c>
      <c r="O668" t="s">
        <v>20</v>
      </c>
      <c r="P668" t="s">
        <v>21</v>
      </c>
      <c r="Q668" t="s">
        <v>20</v>
      </c>
      <c r="R668" t="str">
        <f>HYPERLINK("https://cfpub.epa.gov/ecotox/explore.cfm?ncbi=56723","Explore in ECOTOX")</f>
        <v>Explore in ECOTOX</v>
      </c>
    </row>
    <row r="669" spans="1:18" x14ac:dyDescent="0.25">
      <c r="A669">
        <v>6</v>
      </c>
      <c r="B669" t="str">
        <f>HYPERLINK("http://www.ncbi.nlm.nih.gov/protein/XP_005794978.1","XP_005794978.1")</f>
        <v>XP_005794978.1</v>
      </c>
      <c r="C669">
        <v>43734</v>
      </c>
      <c r="D669" t="str">
        <f>HYPERLINK("http://www.ncbi.nlm.nih.gov/Taxonomy/Browser/wwwtax.cgi?mode=Info&amp;id=8083&amp;lvl=3&amp;lin=f&amp;keep=1&amp;srchmode=1&amp;unlock","8083")</f>
        <v>8083</v>
      </c>
      <c r="E669" t="s">
        <v>384</v>
      </c>
      <c r="F669" t="s">
        <v>384</v>
      </c>
      <c r="G669" t="str">
        <f>HYPERLINK("http://www.ncbi.nlm.nih.gov/Taxonomy/Browser/wwwtax.cgi?mode=Info&amp;id=8083&amp;lvl=3&amp;lin=f&amp;keep=1&amp;srchmode=1&amp;unlock","Xiphophorus maculatus")</f>
        <v>Xiphophorus maculatus</v>
      </c>
      <c r="H669" t="s">
        <v>624</v>
      </c>
      <c r="I669" t="str">
        <f>HYPERLINK("http://www.ncbi.nlm.nih.gov/protein/XP_005794978.1","fatty acid-binding protein, liver")</f>
        <v>fatty acid-binding protein, liver</v>
      </c>
      <c r="J669">
        <v>155.22</v>
      </c>
      <c r="K669" t="s">
        <v>25</v>
      </c>
      <c r="L669">
        <v>139</v>
      </c>
      <c r="M669">
        <v>50.68</v>
      </c>
      <c r="N669">
        <v>61.52</v>
      </c>
      <c r="O669" t="s">
        <v>20</v>
      </c>
      <c r="P669" t="s">
        <v>21</v>
      </c>
      <c r="Q669" t="s">
        <v>20</v>
      </c>
      <c r="R669" t="str">
        <f>HYPERLINK("https://cfpub.epa.gov/ecotox/explore.cfm?ncbi=8083","Explore in ECOTOX")</f>
        <v>Explore in ECOTOX</v>
      </c>
    </row>
    <row r="670" spans="1:18" x14ac:dyDescent="0.25">
      <c r="A670">
        <v>6</v>
      </c>
      <c r="B670" t="str">
        <f>HYPERLINK("http://www.ncbi.nlm.nih.gov/protein/XP_018979800.1","XP_018979800.1")</f>
        <v>XP_018979800.1</v>
      </c>
      <c r="C670">
        <v>116977</v>
      </c>
      <c r="D670" t="str">
        <f>HYPERLINK("http://www.ncbi.nlm.nih.gov/Taxonomy/Browser/wwwtax.cgi?mode=Info&amp;id=7962&amp;lvl=3&amp;lin=f&amp;keep=1&amp;srchmode=1&amp;unlock","7962")</f>
        <v>7962</v>
      </c>
      <c r="E670" t="s">
        <v>384</v>
      </c>
      <c r="F670" t="s">
        <v>384</v>
      </c>
      <c r="G670" t="str">
        <f>HYPERLINK("http://www.ncbi.nlm.nih.gov/Taxonomy/Browser/wwwtax.cgi?mode=Info&amp;id=7962&amp;lvl=3&amp;lin=f&amp;keep=1&amp;srchmode=1&amp;unlock","Cyprinus carpio")</f>
        <v>Cyprinus carpio</v>
      </c>
      <c r="H670" t="s">
        <v>625</v>
      </c>
      <c r="I670" t="str">
        <f>HYPERLINK("http://www.ncbi.nlm.nih.gov/protein/XP_018979800.1","PREDICTED: fatty acid binding protein 1-B.1")</f>
        <v>PREDICTED: fatty acid binding protein 1-B.1</v>
      </c>
      <c r="J670">
        <v>154.84</v>
      </c>
      <c r="K670" t="s">
        <v>25</v>
      </c>
      <c r="L670">
        <v>139</v>
      </c>
      <c r="M670">
        <v>50.68</v>
      </c>
      <c r="N670">
        <v>61.37</v>
      </c>
      <c r="O670" t="s">
        <v>20</v>
      </c>
      <c r="P670" t="s">
        <v>21</v>
      </c>
      <c r="Q670" t="s">
        <v>20</v>
      </c>
      <c r="R670" t="str">
        <f>HYPERLINK("https://cfpub.epa.gov/ecotox/explore.cfm?ncbi=7962","Explore in ECOTOX")</f>
        <v>Explore in ECOTOX</v>
      </c>
    </row>
    <row r="671" spans="1:18" x14ac:dyDescent="0.25">
      <c r="A671">
        <v>6</v>
      </c>
      <c r="B671" t="str">
        <f>HYPERLINK("http://www.ncbi.nlm.nih.gov/protein/XP_031583207.1","XP_031583207.1")</f>
        <v>XP_031583207.1</v>
      </c>
      <c r="C671">
        <v>49810</v>
      </c>
      <c r="D671" t="str">
        <f>HYPERLINK("http://www.ncbi.nlm.nih.gov/Taxonomy/Browser/wwwtax.cgi?mode=Info&amp;id=47969&amp;lvl=3&amp;lin=f&amp;keep=1&amp;srchmode=1&amp;unlock","47969")</f>
        <v>47969</v>
      </c>
      <c r="E671" t="s">
        <v>384</v>
      </c>
      <c r="F671" t="s">
        <v>384</v>
      </c>
      <c r="G671" t="str">
        <f>HYPERLINK("http://www.ncbi.nlm.nih.gov/Taxonomy/Browser/wwwtax.cgi?mode=Info&amp;id=47969&amp;lvl=3&amp;lin=f&amp;keep=1&amp;srchmode=1&amp;unlock","Oreochromis aureus")</f>
        <v>Oreochromis aureus</v>
      </c>
      <c r="H671" t="s">
        <v>626</v>
      </c>
      <c r="I671" t="str">
        <f>HYPERLINK("http://www.ncbi.nlm.nih.gov/protein/XP_031583207.1","fatty acid-binding protein, liver-type")</f>
        <v>fatty acid-binding protein, liver-type</v>
      </c>
      <c r="J671">
        <v>152.13999999999999</v>
      </c>
      <c r="K671" t="s">
        <v>25</v>
      </c>
      <c r="L671">
        <v>139</v>
      </c>
      <c r="M671">
        <v>50.68</v>
      </c>
      <c r="N671">
        <v>60.3</v>
      </c>
      <c r="O671" t="s">
        <v>20</v>
      </c>
      <c r="P671" t="s">
        <v>21</v>
      </c>
      <c r="Q671" t="s">
        <v>20</v>
      </c>
      <c r="R671" t="str">
        <f>HYPERLINK("https://cfpub.epa.gov/ecotox/explore.cfm?ncbi=47969","Explore in ECOTOX")</f>
        <v>Explore in ECOTOX</v>
      </c>
    </row>
    <row r="672" spans="1:18" x14ac:dyDescent="0.25">
      <c r="A672">
        <v>6</v>
      </c>
      <c r="B672" t="str">
        <f>HYPERLINK("http://www.ncbi.nlm.nih.gov/protein/XP_018614471.1","XP_018614471.1")</f>
        <v>XP_018614471.1</v>
      </c>
      <c r="C672">
        <v>72416</v>
      </c>
      <c r="D672" t="str">
        <f>HYPERLINK("http://www.ncbi.nlm.nih.gov/Taxonomy/Browser/wwwtax.cgi?mode=Info&amp;id=113540&amp;lvl=3&amp;lin=f&amp;keep=1&amp;srchmode=1&amp;unlock","113540")</f>
        <v>113540</v>
      </c>
      <c r="E672" t="s">
        <v>384</v>
      </c>
      <c r="F672" t="s">
        <v>384</v>
      </c>
      <c r="G672" t="str">
        <f>HYPERLINK("http://www.ncbi.nlm.nih.gov/Taxonomy/Browser/wwwtax.cgi?mode=Info&amp;id=113540&amp;lvl=3&amp;lin=f&amp;keep=1&amp;srchmode=1&amp;unlock","Scleropages formosus")</f>
        <v>Scleropages formosus</v>
      </c>
      <c r="H672" t="s">
        <v>627</v>
      </c>
      <c r="I672" t="str">
        <f>HYPERLINK("http://www.ncbi.nlm.nih.gov/protein/XP_018614471.1","fatty acid-binding protein, liver isoform X2")</f>
        <v>fatty acid-binding protein, liver isoform X2</v>
      </c>
      <c r="J672">
        <v>151.75</v>
      </c>
      <c r="K672" t="s">
        <v>25</v>
      </c>
      <c r="L672">
        <v>139</v>
      </c>
      <c r="M672">
        <v>50.68</v>
      </c>
      <c r="N672">
        <v>60.15</v>
      </c>
      <c r="O672" t="s">
        <v>20</v>
      </c>
      <c r="P672" t="s">
        <v>21</v>
      </c>
      <c r="Q672" t="s">
        <v>20</v>
      </c>
      <c r="R672" t="str">
        <f>HYPERLINK("https://cfpub.epa.gov/ecotox/explore.cfm?ncbi=113540","Explore in ECOTOX")</f>
        <v>Explore in ECOTOX</v>
      </c>
    </row>
    <row r="673" spans="1:18" x14ac:dyDescent="0.25">
      <c r="A673">
        <v>6</v>
      </c>
      <c r="B673" t="str">
        <f>HYPERLINK("http://www.ncbi.nlm.nih.gov/protein/XP_003446140.1","XP_003446140.1")</f>
        <v>XP_003446140.1</v>
      </c>
      <c r="C673">
        <v>63394</v>
      </c>
      <c r="D673" t="str">
        <f>HYPERLINK("http://www.ncbi.nlm.nih.gov/Taxonomy/Browser/wwwtax.cgi?mode=Info&amp;id=8128&amp;lvl=3&amp;lin=f&amp;keep=1&amp;srchmode=1&amp;unlock","8128")</f>
        <v>8128</v>
      </c>
      <c r="E673" t="s">
        <v>384</v>
      </c>
      <c r="F673" t="s">
        <v>384</v>
      </c>
      <c r="G673" t="str">
        <f>HYPERLINK("http://www.ncbi.nlm.nih.gov/Taxonomy/Browser/wwwtax.cgi?mode=Info&amp;id=8128&amp;lvl=3&amp;lin=f&amp;keep=1&amp;srchmode=1&amp;unlock","Oreochromis niloticus")</f>
        <v>Oreochromis niloticus</v>
      </c>
      <c r="H673" t="s">
        <v>628</v>
      </c>
      <c r="I673" t="str">
        <f>HYPERLINK("http://www.ncbi.nlm.nih.gov/protein/XP_003446140.1","fatty acid-binding protein, liver")</f>
        <v>fatty acid-binding protein, liver</v>
      </c>
      <c r="J673">
        <v>151.37</v>
      </c>
      <c r="K673" t="s">
        <v>20</v>
      </c>
      <c r="L673">
        <v>139</v>
      </c>
      <c r="M673">
        <v>50.68</v>
      </c>
      <c r="N673">
        <v>60</v>
      </c>
      <c r="O673" t="s">
        <v>20</v>
      </c>
      <c r="P673" t="s">
        <v>21</v>
      </c>
      <c r="Q673" t="s">
        <v>20</v>
      </c>
      <c r="R673" t="str">
        <f>HYPERLINK("https://cfpub.epa.gov/ecotox/explore.cfm?ncbi=8128","Explore in ECOTOX")</f>
        <v>Explore in ECOTOX</v>
      </c>
    </row>
    <row r="674" spans="1:18" x14ac:dyDescent="0.25">
      <c r="A674">
        <v>6</v>
      </c>
      <c r="B674" t="str">
        <f>HYPERLINK("http://www.ncbi.nlm.nih.gov/protein/TWW60612.1","TWW60612.1")</f>
        <v>TWW60612.1</v>
      </c>
      <c r="C674">
        <v>29428</v>
      </c>
      <c r="D674" t="str">
        <f>HYPERLINK("http://www.ncbi.nlm.nih.gov/Taxonomy/Browser/wwwtax.cgi?mode=Info&amp;id=433684&amp;lvl=3&amp;lin=f&amp;keep=1&amp;srchmode=1&amp;unlock","433684")</f>
        <v>433684</v>
      </c>
      <c r="E674" t="s">
        <v>384</v>
      </c>
      <c r="F674" t="s">
        <v>384</v>
      </c>
      <c r="G674" t="str">
        <f>HYPERLINK("http://www.ncbi.nlm.nih.gov/Taxonomy/Browser/wwwtax.cgi?mode=Info&amp;id=433684&amp;lvl=3&amp;lin=f&amp;keep=1&amp;srchmode=1&amp;unlock","Takifugu flavidus")</f>
        <v>Takifugu flavidus</v>
      </c>
      <c r="H674" t="s">
        <v>629</v>
      </c>
      <c r="I674" t="str">
        <f>HYPERLINK("http://www.ncbi.nlm.nih.gov/protein/TWW60612.1","Fatty acid-binding protein, liver-type")</f>
        <v>Fatty acid-binding protein, liver-type</v>
      </c>
      <c r="J674">
        <v>150.6</v>
      </c>
      <c r="K674" t="s">
        <v>25</v>
      </c>
      <c r="L674">
        <v>139</v>
      </c>
      <c r="M674">
        <v>50.68</v>
      </c>
      <c r="N674">
        <v>59.69</v>
      </c>
      <c r="O674" t="s">
        <v>20</v>
      </c>
      <c r="P674" t="s">
        <v>21</v>
      </c>
      <c r="Q674" t="s">
        <v>20</v>
      </c>
      <c r="R674" t="str">
        <f>HYPERLINK("https://cfpub.epa.gov/ecotox/explore.cfm?ncbi=433684","Explore in ECOTOX")</f>
        <v>Explore in ECOTOX</v>
      </c>
    </row>
    <row r="675" spans="1:18" x14ac:dyDescent="0.25">
      <c r="A675">
        <v>6</v>
      </c>
      <c r="B675" t="str">
        <f>HYPERLINK("http://www.ncbi.nlm.nih.gov/protein/XP_003974856.1","XP_003974856.1")</f>
        <v>XP_003974856.1</v>
      </c>
      <c r="C675">
        <v>49062</v>
      </c>
      <c r="D675" t="str">
        <f>HYPERLINK("http://www.ncbi.nlm.nih.gov/Taxonomy/Browser/wwwtax.cgi?mode=Info&amp;id=31033&amp;lvl=3&amp;lin=f&amp;keep=1&amp;srchmode=1&amp;unlock","31033")</f>
        <v>31033</v>
      </c>
      <c r="E675" t="s">
        <v>384</v>
      </c>
      <c r="F675" t="s">
        <v>384</v>
      </c>
      <c r="G675" t="str">
        <f>HYPERLINK("http://www.ncbi.nlm.nih.gov/Taxonomy/Browser/wwwtax.cgi?mode=Info&amp;id=31033&amp;lvl=3&amp;lin=f&amp;keep=1&amp;srchmode=1&amp;unlock","Takifugu rubripes")</f>
        <v>Takifugu rubripes</v>
      </c>
      <c r="H675" t="s">
        <v>630</v>
      </c>
      <c r="I675" t="str">
        <f>HYPERLINK("http://www.ncbi.nlm.nih.gov/protein/XP_003974856.1","fatty acid-binding protein, liver-type")</f>
        <v>fatty acid-binding protein, liver-type</v>
      </c>
      <c r="J675">
        <v>150.6</v>
      </c>
      <c r="K675" t="s">
        <v>25</v>
      </c>
      <c r="L675">
        <v>139</v>
      </c>
      <c r="M675">
        <v>50.68</v>
      </c>
      <c r="N675">
        <v>59.69</v>
      </c>
      <c r="O675" t="s">
        <v>20</v>
      </c>
      <c r="P675" t="s">
        <v>21</v>
      </c>
      <c r="Q675" t="s">
        <v>20</v>
      </c>
      <c r="R675" t="str">
        <f>HYPERLINK("https://cfpub.epa.gov/ecotox/explore.cfm?ncbi=31033","Explore in ECOTOX")</f>
        <v>Explore in ECOTOX</v>
      </c>
    </row>
    <row r="676" spans="1:18" x14ac:dyDescent="0.25">
      <c r="A676">
        <v>6</v>
      </c>
      <c r="B676" t="str">
        <f>HYPERLINK("http://www.ncbi.nlm.nih.gov/protein/XP_008416522.1","XP_008416522.1")</f>
        <v>XP_008416522.1</v>
      </c>
      <c r="C676">
        <v>45406</v>
      </c>
      <c r="D676" t="str">
        <f>HYPERLINK("http://www.ncbi.nlm.nih.gov/Taxonomy/Browser/wwwtax.cgi?mode=Info&amp;id=8081&amp;lvl=3&amp;lin=f&amp;keep=1&amp;srchmode=1&amp;unlock","8081")</f>
        <v>8081</v>
      </c>
      <c r="E676" t="s">
        <v>384</v>
      </c>
      <c r="F676" t="s">
        <v>384</v>
      </c>
      <c r="G676" t="str">
        <f>HYPERLINK("http://www.ncbi.nlm.nih.gov/Taxonomy/Browser/wwwtax.cgi?mode=Info&amp;id=8081&amp;lvl=3&amp;lin=f&amp;keep=1&amp;srchmode=1&amp;unlock","Poecilia reticulata")</f>
        <v>Poecilia reticulata</v>
      </c>
      <c r="H676" t="s">
        <v>631</v>
      </c>
      <c r="I676" t="str">
        <f>HYPERLINK("http://www.ncbi.nlm.nih.gov/protein/XP_008416522.1","PREDICTED: fatty acid-binding protein, liver")</f>
        <v>PREDICTED: fatty acid-binding protein, liver</v>
      </c>
      <c r="J676">
        <v>150.6</v>
      </c>
      <c r="K676" t="s">
        <v>25</v>
      </c>
      <c r="L676">
        <v>139</v>
      </c>
      <c r="M676">
        <v>50.68</v>
      </c>
      <c r="N676">
        <v>59.69</v>
      </c>
      <c r="O676" t="s">
        <v>20</v>
      </c>
      <c r="P676" t="s">
        <v>21</v>
      </c>
      <c r="Q676" t="s">
        <v>20</v>
      </c>
      <c r="R676" t="str">
        <f>HYPERLINK("https://cfpub.epa.gov/ecotox/explore.cfm?ncbi=8081","Explore in ECOTOX")</f>
        <v>Explore in ECOTOX</v>
      </c>
    </row>
    <row r="677" spans="1:18" x14ac:dyDescent="0.25">
      <c r="A677">
        <v>6</v>
      </c>
      <c r="B677" t="str">
        <f>HYPERLINK("http://www.ncbi.nlm.nih.gov/protein/NWU61037.1","NWU61037.1")</f>
        <v>NWU61037.1</v>
      </c>
      <c r="C677">
        <v>13883</v>
      </c>
      <c r="D677" t="str">
        <f>HYPERLINK("http://www.ncbi.nlm.nih.gov/Taxonomy/Browser/wwwtax.cgi?mode=Info&amp;id=2585816&amp;lvl=3&amp;lin=f&amp;keep=1&amp;srchmode=1&amp;unlock","2585816")</f>
        <v>2585816</v>
      </c>
      <c r="E677" t="s">
        <v>167</v>
      </c>
      <c r="F677" t="s">
        <v>167</v>
      </c>
      <c r="G677" t="str">
        <f>HYPERLINK("http://www.ncbi.nlm.nih.gov/Taxonomy/Browser/wwwtax.cgi?mode=Info&amp;id=2585816&amp;lvl=3&amp;lin=f&amp;keep=1&amp;srchmode=1&amp;unlock","Pterocles burchelli")</f>
        <v>Pterocles burchelli</v>
      </c>
      <c r="H677" t="s">
        <v>217</v>
      </c>
      <c r="I677" t="str">
        <f>HYPERLINK("http://www.ncbi.nlm.nih.gov/protein/NWU61037.1","FABPL protein")</f>
        <v>FABPL protein</v>
      </c>
      <c r="J677">
        <v>148.29</v>
      </c>
      <c r="K677" t="s">
        <v>25</v>
      </c>
      <c r="L677">
        <v>139</v>
      </c>
      <c r="M677">
        <v>50.68</v>
      </c>
      <c r="N677">
        <v>58.78</v>
      </c>
      <c r="O677" t="s">
        <v>20</v>
      </c>
      <c r="P677" t="s">
        <v>21</v>
      </c>
      <c r="Q677" t="s">
        <v>20</v>
      </c>
      <c r="R677" t="str">
        <f>HYPERLINK("https://cfpub.epa.gov/ecotox/explore.cfm?ncbi=2585816","Explore in ECOTOX")</f>
        <v>Explore in ECOTOX</v>
      </c>
    </row>
    <row r="678" spans="1:18" x14ac:dyDescent="0.25">
      <c r="A678">
        <v>6</v>
      </c>
      <c r="B678" t="str">
        <f>HYPERLINK("http://www.ncbi.nlm.nih.gov/protein/MBN3326319.1","MBN3326319.1")</f>
        <v>MBN3326319.1</v>
      </c>
      <c r="C678">
        <v>15567</v>
      </c>
      <c r="D678" t="str">
        <f>HYPERLINK("http://www.ncbi.nlm.nih.gov/Taxonomy/Browser/wwwtax.cgi?mode=Info&amp;id=7917&amp;lvl=3&amp;lin=f&amp;keep=1&amp;srchmode=1&amp;unlock","7917")</f>
        <v>7917</v>
      </c>
      <c r="E678" t="s">
        <v>384</v>
      </c>
      <c r="F678" t="s">
        <v>384</v>
      </c>
      <c r="G678" t="str">
        <f>HYPERLINK("http://www.ncbi.nlm.nih.gov/Taxonomy/Browser/wwwtax.cgi?mode=Info&amp;id=7917&amp;lvl=3&amp;lin=f&amp;keep=1&amp;srchmode=1&amp;unlock","Atractosteus spatula")</f>
        <v>Atractosteus spatula</v>
      </c>
      <c r="H678" t="s">
        <v>632</v>
      </c>
      <c r="I678" t="str">
        <f>HYPERLINK("http://www.ncbi.nlm.nih.gov/protein/MBN3326319.1","FABP1 protein")</f>
        <v>FABP1 protein</v>
      </c>
      <c r="J678">
        <v>147.9</v>
      </c>
      <c r="K678" t="s">
        <v>25</v>
      </c>
      <c r="L678">
        <v>139</v>
      </c>
      <c r="M678">
        <v>50.68</v>
      </c>
      <c r="N678">
        <v>58.62</v>
      </c>
      <c r="O678" t="s">
        <v>20</v>
      </c>
      <c r="P678" t="s">
        <v>21</v>
      </c>
      <c r="Q678" t="s">
        <v>20</v>
      </c>
      <c r="R678" t="str">
        <f>HYPERLINK("https://cfpub.epa.gov/ecotox/explore.cfm?ncbi=7917","Explore in ECOTOX")</f>
        <v>Explore in ECOTOX</v>
      </c>
    </row>
    <row r="679" spans="1:18" x14ac:dyDescent="0.25">
      <c r="A679">
        <v>6</v>
      </c>
      <c r="B679" t="str">
        <f>HYPERLINK("http://www.ncbi.nlm.nih.gov/protein/XP_032900479.1","XP_032900479.1")</f>
        <v>XP_032900479.1</v>
      </c>
      <c r="C679">
        <v>38961</v>
      </c>
      <c r="D679" t="str">
        <f>HYPERLINK("http://www.ncbi.nlm.nih.gov/Taxonomy/Browser/wwwtax.cgi?mode=Info&amp;id=386614&amp;lvl=3&amp;lin=f&amp;keep=1&amp;srchmode=1&amp;unlock","386614")</f>
        <v>386614</v>
      </c>
      <c r="E679" t="s">
        <v>550</v>
      </c>
      <c r="F679" t="s">
        <v>550</v>
      </c>
      <c r="G679" t="str">
        <f>HYPERLINK("http://www.ncbi.nlm.nih.gov/Taxonomy/Browser/wwwtax.cgi?mode=Info&amp;id=386614&amp;lvl=3&amp;lin=f&amp;keep=1&amp;srchmode=1&amp;unlock","Amblyraja radiata")</f>
        <v>Amblyraja radiata</v>
      </c>
      <c r="H679" t="s">
        <v>633</v>
      </c>
      <c r="I679" t="str">
        <f>HYPERLINK("http://www.ncbi.nlm.nih.gov/protein/XP_032900479.1","fatty acid-binding protein 1, liver-like")</f>
        <v>fatty acid-binding protein 1, liver-like</v>
      </c>
      <c r="J679">
        <v>147.9</v>
      </c>
      <c r="K679" t="s">
        <v>25</v>
      </c>
      <c r="L679">
        <v>139</v>
      </c>
      <c r="M679">
        <v>50.68</v>
      </c>
      <c r="N679">
        <v>58.62</v>
      </c>
      <c r="O679" t="s">
        <v>20</v>
      </c>
      <c r="P679" t="s">
        <v>21</v>
      </c>
      <c r="Q679" t="s">
        <v>20</v>
      </c>
      <c r="R679" t="str">
        <f>HYPERLINK("https://cfpub.epa.gov/ecotox/explore.cfm?ncbi=386614","Explore in ECOTOX")</f>
        <v>Explore in ECOTOX</v>
      </c>
    </row>
    <row r="680" spans="1:18" x14ac:dyDescent="0.25">
      <c r="A680">
        <v>6</v>
      </c>
      <c r="B680" t="str">
        <f>HYPERLINK("http://www.ncbi.nlm.nih.gov/protein/OXB78785.1","OXB78785.1")</f>
        <v>OXB78785.1</v>
      </c>
      <c r="C680">
        <v>17233</v>
      </c>
      <c r="D680" t="str">
        <f>HYPERLINK("http://www.ncbi.nlm.nih.gov/Taxonomy/Browser/wwwtax.cgi?mode=Info&amp;id=9014&amp;lvl=3&amp;lin=f&amp;keep=1&amp;srchmode=1&amp;unlock","9014")</f>
        <v>9014</v>
      </c>
      <c r="E680" t="s">
        <v>167</v>
      </c>
      <c r="F680" t="s">
        <v>167</v>
      </c>
      <c r="G680" t="str">
        <f>HYPERLINK("http://www.ncbi.nlm.nih.gov/Taxonomy/Browser/wwwtax.cgi?mode=Info&amp;id=9014&amp;lvl=3&amp;lin=f&amp;keep=1&amp;srchmode=1&amp;unlock","Colinus virginianus")</f>
        <v>Colinus virginianus</v>
      </c>
      <c r="H680" t="s">
        <v>634</v>
      </c>
      <c r="I680" t="str">
        <f>HYPERLINK("http://www.ncbi.nlm.nih.gov/protein/OXB78785.1","hypothetical protein H355_011803")</f>
        <v>hypothetical protein H355_011803</v>
      </c>
      <c r="J680">
        <v>146.36000000000001</v>
      </c>
      <c r="K680" t="s">
        <v>25</v>
      </c>
      <c r="L680">
        <v>139</v>
      </c>
      <c r="M680">
        <v>50.68</v>
      </c>
      <c r="N680">
        <v>58.01</v>
      </c>
      <c r="O680" t="s">
        <v>20</v>
      </c>
      <c r="P680" t="s">
        <v>21</v>
      </c>
      <c r="Q680" t="s">
        <v>20</v>
      </c>
      <c r="R680" t="str">
        <f>HYPERLINK("https://cfpub.epa.gov/ecotox/explore.cfm?ncbi=9014","Explore in ECOTOX")</f>
        <v>Explore in ECOTOX</v>
      </c>
    </row>
    <row r="681" spans="1:18" x14ac:dyDescent="0.25">
      <c r="A681">
        <v>6</v>
      </c>
      <c r="B681" t="str">
        <f>HYPERLINK("http://www.ncbi.nlm.nih.gov/protein/XP_006789912.1","XP_006789912.1")</f>
        <v>XP_006789912.1</v>
      </c>
      <c r="C681">
        <v>36437</v>
      </c>
      <c r="D681" t="str">
        <f>HYPERLINK("http://www.ncbi.nlm.nih.gov/Taxonomy/Browser/wwwtax.cgi?mode=Info&amp;id=32507&amp;lvl=3&amp;lin=f&amp;keep=1&amp;srchmode=1&amp;unlock","32507")</f>
        <v>32507</v>
      </c>
      <c r="E681" t="s">
        <v>384</v>
      </c>
      <c r="F681" t="s">
        <v>384</v>
      </c>
      <c r="G681" t="str">
        <f>HYPERLINK("http://www.ncbi.nlm.nih.gov/Taxonomy/Browser/wwwtax.cgi?mode=Info&amp;id=32507&amp;lvl=3&amp;lin=f&amp;keep=1&amp;srchmode=1&amp;unlock","Neolamprologus brichardi")</f>
        <v>Neolamprologus brichardi</v>
      </c>
      <c r="H681" t="s">
        <v>635</v>
      </c>
      <c r="I681" t="str">
        <f>HYPERLINK("http://www.ncbi.nlm.nih.gov/protein/XP_006789912.1","fatty acid-binding protein, liver-type-like")</f>
        <v>fatty acid-binding protein, liver-type-like</v>
      </c>
      <c r="J681">
        <v>145.59</v>
      </c>
      <c r="K681" t="s">
        <v>25</v>
      </c>
      <c r="L681">
        <v>139</v>
      </c>
      <c r="M681">
        <v>50.68</v>
      </c>
      <c r="N681">
        <v>57.71</v>
      </c>
      <c r="O681" t="s">
        <v>20</v>
      </c>
      <c r="P681" t="s">
        <v>21</v>
      </c>
      <c r="Q681" t="s">
        <v>20</v>
      </c>
      <c r="R681" t="str">
        <f>HYPERLINK("https://cfpub.epa.gov/ecotox/explore.cfm?ncbi=32507","Explore in ECOTOX")</f>
        <v>Explore in ECOTOX</v>
      </c>
    </row>
    <row r="682" spans="1:18" x14ac:dyDescent="0.25">
      <c r="A682">
        <v>6</v>
      </c>
      <c r="B682" t="str">
        <f>HYPERLINK("http://www.ncbi.nlm.nih.gov/protein/GCB61992.1","GCB61992.1")</f>
        <v>GCB61992.1</v>
      </c>
      <c r="C682">
        <v>27748</v>
      </c>
      <c r="D682" t="str">
        <f>HYPERLINK("http://www.ncbi.nlm.nih.gov/Taxonomy/Browser/wwwtax.cgi?mode=Info&amp;id=75743&amp;lvl=3&amp;lin=f&amp;keep=1&amp;srchmode=1&amp;unlock","75743")</f>
        <v>75743</v>
      </c>
      <c r="E682" t="s">
        <v>550</v>
      </c>
      <c r="F682" t="s">
        <v>550</v>
      </c>
      <c r="G682" t="str">
        <f>HYPERLINK("http://www.ncbi.nlm.nih.gov/Taxonomy/Browser/wwwtax.cgi?mode=Info&amp;id=75743&amp;lvl=3&amp;lin=f&amp;keep=1&amp;srchmode=1&amp;unlock","Scyliorhinus torazame")</f>
        <v>Scyliorhinus torazame</v>
      </c>
      <c r="H682" t="s">
        <v>636</v>
      </c>
      <c r="I682" t="str">
        <f>HYPERLINK("http://www.ncbi.nlm.nih.gov/protein/GCB61992.1","hypothetical protein")</f>
        <v>hypothetical protein</v>
      </c>
      <c r="J682">
        <v>145.21</v>
      </c>
      <c r="K682" t="s">
        <v>25</v>
      </c>
      <c r="L682">
        <v>139</v>
      </c>
      <c r="M682">
        <v>50.68</v>
      </c>
      <c r="N682">
        <v>57.55</v>
      </c>
      <c r="O682" t="s">
        <v>20</v>
      </c>
      <c r="P682" t="s">
        <v>21</v>
      </c>
      <c r="Q682" t="s">
        <v>20</v>
      </c>
      <c r="R682" t="str">
        <f>HYPERLINK("https://cfpub.epa.gov/ecotox/explore.cfm?ncbi=75743","Explore in ECOTOX")</f>
        <v>Explore in ECOTOX</v>
      </c>
    </row>
    <row r="683" spans="1:18" x14ac:dyDescent="0.25">
      <c r="A683">
        <v>6</v>
      </c>
      <c r="B683" t="str">
        <f>HYPERLINK("http://www.ncbi.nlm.nih.gov/protein/XP_039906942.1","XP_039906942.1")</f>
        <v>XP_039906942.1</v>
      </c>
      <c r="C683">
        <v>53697</v>
      </c>
      <c r="D683" t="str">
        <f>HYPERLINK("http://www.ncbi.nlm.nih.gov/Taxonomy/Browser/wwwtax.cgi?mode=Info&amp;id=43689&amp;lvl=3&amp;lin=f&amp;keep=1&amp;srchmode=1&amp;unlock","43689")</f>
        <v>43689</v>
      </c>
      <c r="E683" t="s">
        <v>384</v>
      </c>
      <c r="F683" t="s">
        <v>384</v>
      </c>
      <c r="G683" t="str">
        <f>HYPERLINK("http://www.ncbi.nlm.nih.gov/Taxonomy/Browser/wwwtax.cgi?mode=Info&amp;id=43689&amp;lvl=3&amp;lin=f&amp;keep=1&amp;srchmode=1&amp;unlock","Simochromis diagramma")</f>
        <v>Simochromis diagramma</v>
      </c>
      <c r="H683" t="s">
        <v>637</v>
      </c>
      <c r="I683" t="str">
        <f>HYPERLINK("http://www.ncbi.nlm.nih.gov/protein/XP_039906942.1","fatty acid-binding protein, liver-type-like")</f>
        <v>fatty acid-binding protein, liver-type-like</v>
      </c>
      <c r="J683">
        <v>145.21</v>
      </c>
      <c r="K683" t="s">
        <v>25</v>
      </c>
      <c r="L683">
        <v>139</v>
      </c>
      <c r="M683">
        <v>50.68</v>
      </c>
      <c r="N683">
        <v>57.55</v>
      </c>
      <c r="O683" t="s">
        <v>20</v>
      </c>
      <c r="P683" t="s">
        <v>21</v>
      </c>
      <c r="Q683" t="s">
        <v>20</v>
      </c>
      <c r="R683" t="str">
        <f>HYPERLINK("https://cfpub.epa.gov/ecotox/explore.cfm?ncbi=43689","Explore in ECOTOX")</f>
        <v>Explore in ECOTOX</v>
      </c>
    </row>
    <row r="684" spans="1:18" x14ac:dyDescent="0.25">
      <c r="A684">
        <v>6</v>
      </c>
      <c r="B684" t="str">
        <f>HYPERLINK("http://www.ncbi.nlm.nih.gov/protein/XP_007477779.1","XP_007477779.1")</f>
        <v>XP_007477779.1</v>
      </c>
      <c r="C684">
        <v>51257</v>
      </c>
      <c r="D684" t="str">
        <f>HYPERLINK("http://www.ncbi.nlm.nih.gov/Taxonomy/Browser/wwwtax.cgi?mode=Info&amp;id=13616&amp;lvl=3&amp;lin=f&amp;keep=1&amp;srchmode=1&amp;unlock","13616")</f>
        <v>13616</v>
      </c>
      <c r="E684" t="s">
        <v>18</v>
      </c>
      <c r="F684" t="s">
        <v>18</v>
      </c>
      <c r="G684" t="str">
        <f>HYPERLINK("http://www.ncbi.nlm.nih.gov/Taxonomy/Browser/wwwtax.cgi?mode=Info&amp;id=13616&amp;lvl=3&amp;lin=f&amp;keep=1&amp;srchmode=1&amp;unlock","Monodelphis domestica")</f>
        <v>Monodelphis domestica</v>
      </c>
      <c r="H684" t="s">
        <v>638</v>
      </c>
      <c r="I684" t="str">
        <f>HYPERLINK("http://www.ncbi.nlm.nih.gov/protein/XP_007477779.1","PREDICTED: fatty acid-binding protein, liver isoform X3")</f>
        <v>PREDICTED: fatty acid-binding protein, liver isoform X3</v>
      </c>
      <c r="J684">
        <v>144.82</v>
      </c>
      <c r="K684" t="s">
        <v>25</v>
      </c>
      <c r="L684">
        <v>139</v>
      </c>
      <c r="M684">
        <v>50.68</v>
      </c>
      <c r="N684">
        <v>57.4</v>
      </c>
      <c r="O684" t="s">
        <v>20</v>
      </c>
      <c r="P684" t="s">
        <v>21</v>
      </c>
      <c r="Q684" t="s">
        <v>20</v>
      </c>
      <c r="R684" t="str">
        <f>HYPERLINK("https://cfpub.epa.gov/ecotox/explore.cfm?ncbi=13616","Explore in ECOTOX")</f>
        <v>Explore in ECOTOX</v>
      </c>
    </row>
    <row r="685" spans="1:18" x14ac:dyDescent="0.25">
      <c r="A685">
        <v>6</v>
      </c>
      <c r="B685" t="str">
        <f>HYPERLINK("http://www.ncbi.nlm.nih.gov/protein/XP_005741793.1","XP_005741793.1")</f>
        <v>XP_005741793.1</v>
      </c>
      <c r="C685">
        <v>38743</v>
      </c>
      <c r="D685" t="str">
        <f>HYPERLINK("http://www.ncbi.nlm.nih.gov/Taxonomy/Browser/wwwtax.cgi?mode=Info&amp;id=303518&amp;lvl=3&amp;lin=f&amp;keep=1&amp;srchmode=1&amp;unlock","303518")</f>
        <v>303518</v>
      </c>
      <c r="E685" t="s">
        <v>384</v>
      </c>
      <c r="F685" t="s">
        <v>384</v>
      </c>
      <c r="G685" t="str">
        <f>HYPERLINK("http://www.ncbi.nlm.nih.gov/Taxonomy/Browser/wwwtax.cgi?mode=Info&amp;id=303518&amp;lvl=3&amp;lin=f&amp;keep=1&amp;srchmode=1&amp;unlock","Pundamilia nyererei")</f>
        <v>Pundamilia nyererei</v>
      </c>
      <c r="H685" t="s">
        <v>637</v>
      </c>
      <c r="I685" t="str">
        <f>HYPERLINK("http://www.ncbi.nlm.nih.gov/protein/XP_005741793.1","PREDICTED: fatty acid-binding protein, liver")</f>
        <v>PREDICTED: fatty acid-binding protein, liver</v>
      </c>
      <c r="J685">
        <v>144.44</v>
      </c>
      <c r="K685" t="s">
        <v>20</v>
      </c>
      <c r="L685">
        <v>139</v>
      </c>
      <c r="M685">
        <v>50.68</v>
      </c>
      <c r="N685">
        <v>57.25</v>
      </c>
      <c r="O685" t="s">
        <v>20</v>
      </c>
      <c r="P685" t="s">
        <v>21</v>
      </c>
      <c r="Q685" t="s">
        <v>20</v>
      </c>
      <c r="R685" t="str">
        <f>HYPERLINK("https://cfpub.epa.gov/ecotox/explore.cfm?ncbi=303518","Explore in ECOTOX")</f>
        <v>Explore in ECOTOX</v>
      </c>
    </row>
    <row r="686" spans="1:18" x14ac:dyDescent="0.25">
      <c r="A686">
        <v>6</v>
      </c>
      <c r="B686" t="str">
        <f>HYPERLINK("http://www.ncbi.nlm.nih.gov/protein/XP_005919104.1","XP_005919104.1")</f>
        <v>XP_005919104.1</v>
      </c>
      <c r="C686">
        <v>45053</v>
      </c>
      <c r="D686" t="str">
        <f>HYPERLINK("http://www.ncbi.nlm.nih.gov/Taxonomy/Browser/wwwtax.cgi?mode=Info&amp;id=8153&amp;lvl=3&amp;lin=f&amp;keep=1&amp;srchmode=1&amp;unlock","8153")</f>
        <v>8153</v>
      </c>
      <c r="E686" t="s">
        <v>384</v>
      </c>
      <c r="F686" t="s">
        <v>384</v>
      </c>
      <c r="G686" t="str">
        <f>HYPERLINK("http://www.ncbi.nlm.nih.gov/Taxonomy/Browser/wwwtax.cgi?mode=Info&amp;id=8153&amp;lvl=3&amp;lin=f&amp;keep=1&amp;srchmode=1&amp;unlock","Haplochromis burtoni")</f>
        <v>Haplochromis burtoni</v>
      </c>
      <c r="H686" t="s">
        <v>639</v>
      </c>
      <c r="I686" t="str">
        <f>HYPERLINK("http://www.ncbi.nlm.nih.gov/protein/XP_005919104.1","PREDICTED: fatty acid-binding protein, liver")</f>
        <v>PREDICTED: fatty acid-binding protein, liver</v>
      </c>
      <c r="J686">
        <v>143.66</v>
      </c>
      <c r="K686" t="s">
        <v>20</v>
      </c>
      <c r="L686">
        <v>139</v>
      </c>
      <c r="M686">
        <v>50.68</v>
      </c>
      <c r="N686">
        <v>56.94</v>
      </c>
      <c r="O686" t="s">
        <v>20</v>
      </c>
      <c r="P686" t="s">
        <v>21</v>
      </c>
      <c r="Q686" t="s">
        <v>20</v>
      </c>
      <c r="R686" t="str">
        <f>HYPERLINK("https://cfpub.epa.gov/ecotox/explore.cfm?ncbi=8153","Explore in ECOTOX")</f>
        <v>Explore in ECOTOX</v>
      </c>
    </row>
    <row r="687" spans="1:18" x14ac:dyDescent="0.25">
      <c r="A687">
        <v>6</v>
      </c>
      <c r="B687" t="str">
        <f>HYPERLINK("http://www.ncbi.nlm.nih.gov/protein/XP_026041990.1","XP_026041990.1")</f>
        <v>XP_026041990.1</v>
      </c>
      <c r="C687">
        <v>52755</v>
      </c>
      <c r="D687" t="str">
        <f>HYPERLINK("http://www.ncbi.nlm.nih.gov/Taxonomy/Browser/wwwtax.cgi?mode=Info&amp;id=8154&amp;lvl=3&amp;lin=f&amp;keep=1&amp;srchmode=1&amp;unlock","8154")</f>
        <v>8154</v>
      </c>
      <c r="E687" t="s">
        <v>384</v>
      </c>
      <c r="F687" t="s">
        <v>384</v>
      </c>
      <c r="G687" t="str">
        <f>HYPERLINK("http://www.ncbi.nlm.nih.gov/Taxonomy/Browser/wwwtax.cgi?mode=Info&amp;id=8154&amp;lvl=3&amp;lin=f&amp;keep=1&amp;srchmode=1&amp;unlock","Astatotilapia calliptera")</f>
        <v>Astatotilapia calliptera</v>
      </c>
      <c r="H687" t="s">
        <v>640</v>
      </c>
      <c r="I687" t="str">
        <f>HYPERLINK("http://www.ncbi.nlm.nih.gov/protein/XP_026041990.1","fatty acid-binding protein, liver")</f>
        <v>fatty acid-binding protein, liver</v>
      </c>
      <c r="J687">
        <v>142.9</v>
      </c>
      <c r="K687" t="s">
        <v>20</v>
      </c>
      <c r="L687">
        <v>139</v>
      </c>
      <c r="M687">
        <v>50.68</v>
      </c>
      <c r="N687">
        <v>56.64</v>
      </c>
      <c r="O687" t="s">
        <v>20</v>
      </c>
      <c r="P687" t="s">
        <v>21</v>
      </c>
      <c r="Q687" t="s">
        <v>20</v>
      </c>
      <c r="R687" t="str">
        <f>HYPERLINK("https://cfpub.epa.gov/ecotox/explore.cfm?ncbi=8154","Explore in ECOTOX")</f>
        <v>Explore in ECOTOX</v>
      </c>
    </row>
    <row r="688" spans="1:18" x14ac:dyDescent="0.25">
      <c r="A688">
        <v>6</v>
      </c>
      <c r="B688" t="str">
        <f>HYPERLINK("http://www.ncbi.nlm.nih.gov/protein/XP_004547199.1","XP_004547199.1")</f>
        <v>XP_004547199.1</v>
      </c>
      <c r="C688">
        <v>46437</v>
      </c>
      <c r="D688" t="str">
        <f>HYPERLINK("http://www.ncbi.nlm.nih.gov/Taxonomy/Browser/wwwtax.cgi?mode=Info&amp;id=106582&amp;lvl=3&amp;lin=f&amp;keep=1&amp;srchmode=1&amp;unlock","106582")</f>
        <v>106582</v>
      </c>
      <c r="E688" t="s">
        <v>384</v>
      </c>
      <c r="F688" t="s">
        <v>384</v>
      </c>
      <c r="G688" t="str">
        <f>HYPERLINK("http://www.ncbi.nlm.nih.gov/Taxonomy/Browser/wwwtax.cgi?mode=Info&amp;id=106582&amp;lvl=3&amp;lin=f&amp;keep=1&amp;srchmode=1&amp;unlock","Maylandia zebra")</f>
        <v>Maylandia zebra</v>
      </c>
      <c r="H688" t="s">
        <v>641</v>
      </c>
      <c r="I688" t="str">
        <f>HYPERLINK("http://www.ncbi.nlm.nih.gov/protein/XP_004547199.1","fatty acid-binding protein, liver")</f>
        <v>fatty acid-binding protein, liver</v>
      </c>
      <c r="J688">
        <v>142.9</v>
      </c>
      <c r="K688" t="s">
        <v>20</v>
      </c>
      <c r="L688">
        <v>139</v>
      </c>
      <c r="M688">
        <v>50.68</v>
      </c>
      <c r="N688">
        <v>56.64</v>
      </c>
      <c r="O688" t="s">
        <v>20</v>
      </c>
      <c r="P688" t="s">
        <v>21</v>
      </c>
      <c r="Q688" t="s">
        <v>20</v>
      </c>
      <c r="R688" t="str">
        <f>HYPERLINK("https://cfpub.epa.gov/ecotox/explore.cfm?ncbi=106582","Explore in ECOTOX")</f>
        <v>Explore in ECOTOX</v>
      </c>
    </row>
    <row r="689" spans="1:18" x14ac:dyDescent="0.25">
      <c r="A689">
        <v>6</v>
      </c>
      <c r="B689" t="str">
        <f>HYPERLINK("http://www.ncbi.nlm.nih.gov/protein/XP_018423945.1","XP_018423945.1")</f>
        <v>XP_018423945.1</v>
      </c>
      <c r="C689">
        <v>24944</v>
      </c>
      <c r="D689" t="str">
        <f>HYPERLINK("http://www.ncbi.nlm.nih.gov/Taxonomy/Browser/wwwtax.cgi?mode=Info&amp;id=125878&amp;lvl=3&amp;lin=f&amp;keep=1&amp;srchmode=1&amp;unlock","125878")</f>
        <v>125878</v>
      </c>
      <c r="E689" t="s">
        <v>134</v>
      </c>
      <c r="F689" t="s">
        <v>134</v>
      </c>
      <c r="G689" t="str">
        <f>HYPERLINK("http://www.ncbi.nlm.nih.gov/Taxonomy/Browser/wwwtax.cgi?mode=Info&amp;id=125878&amp;lvl=3&amp;lin=f&amp;keep=1&amp;srchmode=1&amp;unlock","Nanorana parkeri")</f>
        <v>Nanorana parkeri</v>
      </c>
      <c r="H689" t="s">
        <v>642</v>
      </c>
      <c r="I689" t="str">
        <f>HYPERLINK("http://www.ncbi.nlm.nih.gov/protein/XP_018423945.1","PREDICTED: fatty acid-binding protein, liver-like")</f>
        <v>PREDICTED: fatty acid-binding protein, liver-like</v>
      </c>
      <c r="J689">
        <v>142.12</v>
      </c>
      <c r="K689" t="s">
        <v>25</v>
      </c>
      <c r="L689">
        <v>139</v>
      </c>
      <c r="M689">
        <v>50.68</v>
      </c>
      <c r="N689">
        <v>56.33</v>
      </c>
      <c r="O689" t="s">
        <v>20</v>
      </c>
      <c r="P689" t="s">
        <v>21</v>
      </c>
      <c r="Q689" t="s">
        <v>20</v>
      </c>
      <c r="R689" t="str">
        <f>HYPERLINK("https://cfpub.epa.gov/ecotox/explore.cfm?ncbi=125878","Explore in ECOTOX")</f>
        <v>Explore in ECOTOX</v>
      </c>
    </row>
    <row r="690" spans="1:18" x14ac:dyDescent="0.25">
      <c r="A690">
        <v>6</v>
      </c>
      <c r="B690" t="str">
        <f>HYPERLINK("http://www.ncbi.nlm.nih.gov/protein/RVE68033.1","RVE68033.1")</f>
        <v>RVE68033.1</v>
      </c>
      <c r="C690">
        <v>21540</v>
      </c>
      <c r="D690" t="str">
        <f>HYPERLINK("http://www.ncbi.nlm.nih.gov/Taxonomy/Browser/wwwtax.cgi?mode=Info&amp;id=123683&amp;lvl=3&amp;lin=f&amp;keep=1&amp;srchmode=1&amp;unlock","123683")</f>
        <v>123683</v>
      </c>
      <c r="E690" t="s">
        <v>384</v>
      </c>
      <c r="F690" t="s">
        <v>384</v>
      </c>
      <c r="G690" t="str">
        <f>HYPERLINK("http://www.ncbi.nlm.nih.gov/Taxonomy/Browser/wwwtax.cgi?mode=Info&amp;id=123683&amp;lvl=3&amp;lin=f&amp;keep=1&amp;srchmode=1&amp;unlock","Oryzias javanicus")</f>
        <v>Oryzias javanicus</v>
      </c>
      <c r="H690" t="s">
        <v>643</v>
      </c>
      <c r="I690" t="str">
        <f>HYPERLINK("http://www.ncbi.nlm.nih.gov/protein/RVE68033.1","hypothetical protein OJAV_G00087820")</f>
        <v>hypothetical protein OJAV_G00087820</v>
      </c>
      <c r="J690">
        <v>134.41999999999999</v>
      </c>
      <c r="K690" t="s">
        <v>25</v>
      </c>
      <c r="L690">
        <v>139</v>
      </c>
      <c r="M690">
        <v>50.68</v>
      </c>
      <c r="N690">
        <v>53.28</v>
      </c>
      <c r="O690" t="s">
        <v>20</v>
      </c>
      <c r="P690" t="s">
        <v>21</v>
      </c>
      <c r="Q690" t="s">
        <v>20</v>
      </c>
      <c r="R690" t="str">
        <f>HYPERLINK("https://cfpub.epa.gov/ecotox/explore.cfm?ncbi=123683","Explore in ECOTOX")</f>
        <v>Explore in ECOTOX</v>
      </c>
    </row>
    <row r="691" spans="1:18" x14ac:dyDescent="0.25">
      <c r="A691">
        <v>6</v>
      </c>
      <c r="B691" t="str">
        <f>HYPERLINK("http://www.ncbi.nlm.nih.gov/protein/XP_004072258.1","XP_004072258.1")</f>
        <v>XP_004072258.1</v>
      </c>
      <c r="C691">
        <v>47310</v>
      </c>
      <c r="D691" t="str">
        <f>HYPERLINK("http://www.ncbi.nlm.nih.gov/Taxonomy/Browser/wwwtax.cgi?mode=Info&amp;id=8090&amp;lvl=3&amp;lin=f&amp;keep=1&amp;srchmode=1&amp;unlock","8090")</f>
        <v>8090</v>
      </c>
      <c r="E691" t="s">
        <v>384</v>
      </c>
      <c r="F691" t="s">
        <v>384</v>
      </c>
      <c r="G691" t="str">
        <f>HYPERLINK("http://www.ncbi.nlm.nih.gov/Taxonomy/Browser/wwwtax.cgi?mode=Info&amp;id=8090&amp;lvl=3&amp;lin=f&amp;keep=1&amp;srchmode=1&amp;unlock","Oryzias latipes")</f>
        <v>Oryzias latipes</v>
      </c>
      <c r="H691" t="s">
        <v>644</v>
      </c>
      <c r="I691" t="str">
        <f>HYPERLINK("http://www.ncbi.nlm.nih.gov/protein/XP_004072258.1","fatty acid-binding protein, liver-type")</f>
        <v>fatty acid-binding protein, liver-type</v>
      </c>
      <c r="J691">
        <v>133.26</v>
      </c>
      <c r="K691" t="s">
        <v>25</v>
      </c>
      <c r="L691">
        <v>139</v>
      </c>
      <c r="M691">
        <v>50.68</v>
      </c>
      <c r="N691">
        <v>52.82</v>
      </c>
      <c r="O691" t="s">
        <v>20</v>
      </c>
      <c r="P691" t="s">
        <v>21</v>
      </c>
      <c r="Q691" t="s">
        <v>20</v>
      </c>
      <c r="R691" t="str">
        <f>HYPERLINK("https://cfpub.epa.gov/ecotox/explore.cfm?ncbi=8090","Explore in ECOTOX")</f>
        <v>Explore in ECOTOX</v>
      </c>
    </row>
    <row r="692" spans="1:18" x14ac:dyDescent="0.25">
      <c r="A692">
        <v>6</v>
      </c>
      <c r="B692" t="str">
        <f>HYPERLINK("http://www.ncbi.nlm.nih.gov/protein/XP_024131968.1","XP_024131968.1")</f>
        <v>XP_024131968.1</v>
      </c>
      <c r="C692">
        <v>69259</v>
      </c>
      <c r="D692" t="str">
        <f>HYPERLINK("http://www.ncbi.nlm.nih.gov/Taxonomy/Browser/wwwtax.cgi?mode=Info&amp;id=30732&amp;lvl=3&amp;lin=f&amp;keep=1&amp;srchmode=1&amp;unlock","30732")</f>
        <v>30732</v>
      </c>
      <c r="E692" t="s">
        <v>384</v>
      </c>
      <c r="F692" t="s">
        <v>384</v>
      </c>
      <c r="G692" t="str">
        <f>HYPERLINK("http://www.ncbi.nlm.nih.gov/Taxonomy/Browser/wwwtax.cgi?mode=Info&amp;id=30732&amp;lvl=3&amp;lin=f&amp;keep=1&amp;srchmode=1&amp;unlock","Oryzias melastigma")</f>
        <v>Oryzias melastigma</v>
      </c>
      <c r="H692" t="s">
        <v>645</v>
      </c>
      <c r="I692" t="str">
        <f>HYPERLINK("http://www.ncbi.nlm.nih.gov/protein/XP_024131968.1","fatty acid-binding protein, liver-type")</f>
        <v>fatty acid-binding protein, liver-type</v>
      </c>
      <c r="J692">
        <v>132.88</v>
      </c>
      <c r="K692" t="s">
        <v>25</v>
      </c>
      <c r="L692">
        <v>139</v>
      </c>
      <c r="M692">
        <v>50.68</v>
      </c>
      <c r="N692">
        <v>52.67</v>
      </c>
      <c r="O692" t="s">
        <v>20</v>
      </c>
      <c r="P692" t="s">
        <v>21</v>
      </c>
      <c r="Q692" t="s">
        <v>20</v>
      </c>
      <c r="R692" t="str">
        <f>HYPERLINK("https://cfpub.epa.gov/ecotox/explore.cfm?ncbi=30732","Explore in ECOTOX")</f>
        <v>Explore in ECOTOX</v>
      </c>
    </row>
    <row r="693" spans="1:18" x14ac:dyDescent="0.25">
      <c r="A693">
        <v>6</v>
      </c>
      <c r="B693" t="str">
        <f>HYPERLINK("http://www.ncbi.nlm.nih.gov/protein/XP_006014294.2","XP_006014294.2")</f>
        <v>XP_006014294.2</v>
      </c>
      <c r="C693">
        <v>34479</v>
      </c>
      <c r="D693" t="str">
        <f>HYPERLINK("http://www.ncbi.nlm.nih.gov/Taxonomy/Browser/wwwtax.cgi?mode=Info&amp;id=7897&amp;lvl=3&amp;lin=f&amp;keep=1&amp;srchmode=1&amp;unlock","7897")</f>
        <v>7897</v>
      </c>
      <c r="E693" t="s">
        <v>646</v>
      </c>
      <c r="F693" t="s">
        <v>646</v>
      </c>
      <c r="G693" t="str">
        <f>HYPERLINK("http://www.ncbi.nlm.nih.gov/Taxonomy/Browser/wwwtax.cgi?mode=Info&amp;id=7897&amp;lvl=3&amp;lin=f&amp;keep=1&amp;srchmode=1&amp;unlock","Latimeria chalumnae")</f>
        <v>Latimeria chalumnae</v>
      </c>
      <c r="H693" t="s">
        <v>647</v>
      </c>
      <c r="I693" t="str">
        <f>HYPERLINK("http://www.ncbi.nlm.nih.gov/protein/XP_006014294.2","PREDICTED: LOW QUALITY PROTEIN: fatty acid-binding protein, liver, partial")</f>
        <v>PREDICTED: LOW QUALITY PROTEIN: fatty acid-binding protein, liver, partial</v>
      </c>
      <c r="J693">
        <v>130.57</v>
      </c>
      <c r="K693" t="s">
        <v>20</v>
      </c>
      <c r="L693">
        <v>139</v>
      </c>
      <c r="M693">
        <v>50.68</v>
      </c>
      <c r="N693">
        <v>51.75</v>
      </c>
      <c r="O693" t="s">
        <v>20</v>
      </c>
      <c r="P693" t="s">
        <v>21</v>
      </c>
      <c r="Q693" t="s">
        <v>20</v>
      </c>
      <c r="R693" t="str">
        <f>HYPERLINK("https://cfpub.epa.gov/ecotox/explore.cfm?ncbi=7897","Explore in ECOTOX")</f>
        <v>Explore in ECOTOX</v>
      </c>
    </row>
    <row r="694" spans="1:18" x14ac:dyDescent="0.25">
      <c r="A694">
        <v>6</v>
      </c>
      <c r="B694" t="str">
        <f>HYPERLINK("http://www.ncbi.nlm.nih.gov/protein/XP_008591933.1","XP_008591933.1")</f>
        <v>XP_008591933.1</v>
      </c>
      <c r="C694">
        <v>32194</v>
      </c>
      <c r="D694" t="str">
        <f>HYPERLINK("http://www.ncbi.nlm.nih.gov/Taxonomy/Browser/wwwtax.cgi?mode=Info&amp;id=482537&amp;lvl=3&amp;lin=f&amp;keep=1&amp;srchmode=1&amp;unlock","482537")</f>
        <v>482537</v>
      </c>
      <c r="E694" t="s">
        <v>18</v>
      </c>
      <c r="F694" t="s">
        <v>18</v>
      </c>
      <c r="G694" t="str">
        <f>HYPERLINK("http://www.ncbi.nlm.nih.gov/Taxonomy/Browser/wwwtax.cgi?mode=Info&amp;id=482537&amp;lvl=3&amp;lin=f&amp;keep=1&amp;srchmode=1&amp;unlock","Galeopterus variegatus")</f>
        <v>Galeopterus variegatus</v>
      </c>
      <c r="H694" t="s">
        <v>648</v>
      </c>
      <c r="I694" t="str">
        <f>HYPERLINK("http://www.ncbi.nlm.nih.gov/protein/XP_008591933.1","PREDICTED: fatty acid-binding protein, liver")</f>
        <v>PREDICTED: fatty acid-binding protein, liver</v>
      </c>
      <c r="J694">
        <v>127.87</v>
      </c>
      <c r="K694" t="s">
        <v>20</v>
      </c>
      <c r="L694">
        <v>139</v>
      </c>
      <c r="M694">
        <v>50.68</v>
      </c>
      <c r="N694">
        <v>50.68</v>
      </c>
      <c r="O694" t="s">
        <v>20</v>
      </c>
      <c r="P694" t="s">
        <v>21</v>
      </c>
      <c r="Q694" t="s">
        <v>20</v>
      </c>
      <c r="R694" t="str">
        <f>HYPERLINK("https://cfpub.epa.gov/ecotox/explore.cfm?ncbi=482537","Explore in ECOTOX")</f>
        <v>Explore in ECOTOX</v>
      </c>
    </row>
    <row r="695" spans="1:18" x14ac:dyDescent="0.25">
      <c r="A695">
        <v>6</v>
      </c>
      <c r="B695" t="str">
        <f>HYPERLINK("http://www.ncbi.nlm.nih.gov/protein/XP_033782982.1","XP_033782982.1")</f>
        <v>XP_033782982.1</v>
      </c>
      <c r="C695">
        <v>50058</v>
      </c>
      <c r="D695" t="str">
        <f>HYPERLINK("http://www.ncbi.nlm.nih.gov/Taxonomy/Browser/wwwtax.cgi?mode=Info&amp;id=260995&amp;lvl=3&amp;lin=f&amp;keep=1&amp;srchmode=1&amp;unlock","260995")</f>
        <v>260995</v>
      </c>
      <c r="E695" t="s">
        <v>134</v>
      </c>
      <c r="F695" t="s">
        <v>134</v>
      </c>
      <c r="G695" t="str">
        <f>HYPERLINK("http://www.ncbi.nlm.nih.gov/Taxonomy/Browser/wwwtax.cgi?mode=Info&amp;id=260995&amp;lvl=3&amp;lin=f&amp;keep=1&amp;srchmode=1&amp;unlock","Geotrypetes seraphini")</f>
        <v>Geotrypetes seraphini</v>
      </c>
      <c r="H695" t="s">
        <v>649</v>
      </c>
      <c r="I695" t="str">
        <f>HYPERLINK("http://www.ncbi.nlm.nih.gov/protein/XP_033782982.1","gastrotropin isoform X3")</f>
        <v>gastrotropin isoform X3</v>
      </c>
      <c r="J695">
        <v>120.55</v>
      </c>
      <c r="K695" t="s">
        <v>25</v>
      </c>
      <c r="L695">
        <v>139</v>
      </c>
      <c r="M695">
        <v>50.68</v>
      </c>
      <c r="N695">
        <v>47.78</v>
      </c>
      <c r="O695" t="s">
        <v>20</v>
      </c>
      <c r="P695" t="s">
        <v>21</v>
      </c>
      <c r="Q695" t="s">
        <v>20</v>
      </c>
      <c r="R695" t="str">
        <f>HYPERLINK("https://cfpub.epa.gov/ecotox/explore.cfm?ncbi=260995","Explore in ECOTOX")</f>
        <v>Explore in ECOTOX</v>
      </c>
    </row>
    <row r="696" spans="1:18" x14ac:dyDescent="0.25">
      <c r="A696">
        <v>6</v>
      </c>
      <c r="B696" t="str">
        <f>HYPERLINK("http://www.ncbi.nlm.nih.gov/protein/XP_015271363.1","XP_015271363.1")</f>
        <v>XP_015271363.1</v>
      </c>
      <c r="C696">
        <v>24675</v>
      </c>
      <c r="D696" t="str">
        <f>HYPERLINK("http://www.ncbi.nlm.nih.gov/Taxonomy/Browser/wwwtax.cgi?mode=Info&amp;id=146911&amp;lvl=3&amp;lin=f&amp;keep=1&amp;srchmode=1&amp;unlock","146911")</f>
        <v>146911</v>
      </c>
      <c r="E696" t="s">
        <v>236</v>
      </c>
      <c r="F696" t="s">
        <v>236</v>
      </c>
      <c r="G696" t="str">
        <f>HYPERLINK("http://www.ncbi.nlm.nih.gov/Taxonomy/Browser/wwwtax.cgi?mode=Info&amp;id=146911&amp;lvl=3&amp;lin=f&amp;keep=1&amp;srchmode=1&amp;unlock","Gekko japonicus")</f>
        <v>Gekko japonicus</v>
      </c>
      <c r="H696" t="s">
        <v>650</v>
      </c>
      <c r="I696" t="str">
        <f>HYPERLINK("http://www.ncbi.nlm.nih.gov/protein/XP_015271363.1","PREDICTED: gastrotropin")</f>
        <v>PREDICTED: gastrotropin</v>
      </c>
      <c r="J696">
        <v>118.63</v>
      </c>
      <c r="K696" t="s">
        <v>25</v>
      </c>
      <c r="L696">
        <v>139</v>
      </c>
      <c r="M696">
        <v>50.68</v>
      </c>
      <c r="N696">
        <v>47.02</v>
      </c>
      <c r="O696" t="s">
        <v>20</v>
      </c>
      <c r="P696" t="s">
        <v>21</v>
      </c>
      <c r="Q696" t="s">
        <v>20</v>
      </c>
      <c r="R696" t="str">
        <f>HYPERLINK("https://cfpub.epa.gov/ecotox/explore.cfm?ncbi=146911","Explore in ECOTOX")</f>
        <v>Explore in ECOTOX</v>
      </c>
    </row>
    <row r="697" spans="1:18" x14ac:dyDescent="0.25">
      <c r="A697">
        <v>6</v>
      </c>
      <c r="B697" t="str">
        <f>HYPERLINK("http://www.ncbi.nlm.nih.gov/protein/GCF50385.1","GCF50385.1")</f>
        <v>GCF50385.1</v>
      </c>
      <c r="C697">
        <v>26813</v>
      </c>
      <c r="D697" t="str">
        <f>HYPERLINK("http://www.ncbi.nlm.nih.gov/Taxonomy/Browser/wwwtax.cgi?mode=Info&amp;id=143630&amp;lvl=3&amp;lin=f&amp;keep=1&amp;srchmode=1&amp;unlock","143630")</f>
        <v>143630</v>
      </c>
      <c r="E697" t="s">
        <v>236</v>
      </c>
      <c r="F697" t="s">
        <v>236</v>
      </c>
      <c r="G697" t="str">
        <f>HYPERLINK("http://www.ncbi.nlm.nih.gov/Taxonomy/Browser/wwwtax.cgi?mode=Info&amp;id=143630&amp;lvl=3&amp;lin=f&amp;keep=1&amp;srchmode=1&amp;unlock","Paroedura picta")</f>
        <v>Paroedura picta</v>
      </c>
      <c r="H697" t="s">
        <v>650</v>
      </c>
      <c r="I697" t="str">
        <f>HYPERLINK("http://www.ncbi.nlm.nih.gov/protein/GCF50385.1","hypothetical protein parPi_0011389, partial")</f>
        <v>hypothetical protein parPi_0011389, partial</v>
      </c>
      <c r="J697">
        <v>117.47</v>
      </c>
      <c r="K697" t="s">
        <v>25</v>
      </c>
      <c r="L697">
        <v>139</v>
      </c>
      <c r="M697">
        <v>50.68</v>
      </c>
      <c r="N697">
        <v>46.56</v>
      </c>
      <c r="O697" t="s">
        <v>20</v>
      </c>
      <c r="P697" t="s">
        <v>21</v>
      </c>
      <c r="Q697" t="s">
        <v>20</v>
      </c>
      <c r="R697" t="str">
        <f>HYPERLINK("https://cfpub.epa.gov/ecotox/explore.cfm?ncbi=143630","Explore in ECOTOX")</f>
        <v>Explore in ECOTOX</v>
      </c>
    </row>
    <row r="698" spans="1:18" x14ac:dyDescent="0.25">
      <c r="A698">
        <v>6</v>
      </c>
      <c r="B698" t="str">
        <f>HYPERLINK("http://www.ncbi.nlm.nih.gov/protein/XP_023689756.1","XP_023689756.1")</f>
        <v>XP_023689756.1</v>
      </c>
      <c r="C698">
        <v>55296</v>
      </c>
      <c r="D698" t="str">
        <f>HYPERLINK("http://www.ncbi.nlm.nih.gov/Taxonomy/Browser/wwwtax.cgi?mode=Info&amp;id=1676925&amp;lvl=3&amp;lin=f&amp;keep=1&amp;srchmode=1&amp;unlock","1676925")</f>
        <v>1676925</v>
      </c>
      <c r="E698" t="s">
        <v>384</v>
      </c>
      <c r="F698" t="s">
        <v>384</v>
      </c>
      <c r="G698" t="str">
        <f>HYPERLINK("http://www.ncbi.nlm.nih.gov/Taxonomy/Browser/wwwtax.cgi?mode=Info&amp;id=1676925&amp;lvl=3&amp;lin=f&amp;keep=1&amp;srchmode=1&amp;unlock","Paramormyrops kingsleyae")</f>
        <v>Paramormyrops kingsleyae</v>
      </c>
      <c r="H698" t="s">
        <v>651</v>
      </c>
      <c r="I698" t="str">
        <f>HYPERLINK("http://www.ncbi.nlm.nih.gov/protein/XP_023689756.1","gastrotropin")</f>
        <v>gastrotropin</v>
      </c>
      <c r="J698">
        <v>114</v>
      </c>
      <c r="K698" t="s">
        <v>25</v>
      </c>
      <c r="L698">
        <v>139</v>
      </c>
      <c r="M698">
        <v>50.68</v>
      </c>
      <c r="N698">
        <v>45.19</v>
      </c>
      <c r="O698" t="s">
        <v>20</v>
      </c>
      <c r="P698" t="s">
        <v>21</v>
      </c>
      <c r="Q698" t="s">
        <v>20</v>
      </c>
      <c r="R698" t="str">
        <f>HYPERLINK("https://cfpub.epa.gov/ecotox/explore.cfm?ncbi=1676925","Explore in ECOTOX")</f>
        <v>Explore in ECOTOX</v>
      </c>
    </row>
    <row r="699" spans="1:18" x14ac:dyDescent="0.25">
      <c r="A699">
        <v>6</v>
      </c>
      <c r="B699" t="str">
        <f>HYPERLINK("http://www.ncbi.nlm.nih.gov/protein/XP_012500256.1","XP_012500256.1")</f>
        <v>XP_012500256.1</v>
      </c>
      <c r="C699">
        <v>28331</v>
      </c>
      <c r="D699" t="str">
        <f>HYPERLINK("http://www.ncbi.nlm.nih.gov/Taxonomy/Browser/wwwtax.cgi?mode=Info&amp;id=379532&amp;lvl=3&amp;lin=f&amp;keep=1&amp;srchmode=1&amp;unlock","379532")</f>
        <v>379532</v>
      </c>
      <c r="E699" t="s">
        <v>18</v>
      </c>
      <c r="F699" t="s">
        <v>18</v>
      </c>
      <c r="G699" t="str">
        <f>HYPERLINK("http://www.ncbi.nlm.nih.gov/Taxonomy/Browser/wwwtax.cgi?mode=Info&amp;id=379532&amp;lvl=3&amp;lin=f&amp;keep=1&amp;srchmode=1&amp;unlock","Propithecus coquereli")</f>
        <v>Propithecus coquereli</v>
      </c>
      <c r="H699" t="s">
        <v>652</v>
      </c>
      <c r="I699" t="str">
        <f>HYPERLINK("http://www.ncbi.nlm.nih.gov/protein/XP_012500256.1","PREDICTED: gastrotropin")</f>
        <v>PREDICTED: gastrotropin</v>
      </c>
      <c r="J699">
        <v>113.23</v>
      </c>
      <c r="K699" t="s">
        <v>25</v>
      </c>
      <c r="L699">
        <v>139</v>
      </c>
      <c r="M699">
        <v>50.68</v>
      </c>
      <c r="N699">
        <v>44.88</v>
      </c>
      <c r="O699" t="s">
        <v>20</v>
      </c>
      <c r="P699" t="s">
        <v>21</v>
      </c>
      <c r="Q699" t="s">
        <v>20</v>
      </c>
      <c r="R699" t="str">
        <f>HYPERLINK("https://cfpub.epa.gov/ecotox/explore.cfm?ncbi=379532","Explore in ECOTOX")</f>
        <v>Explore in ECOTOX</v>
      </c>
    </row>
    <row r="700" spans="1:18" x14ac:dyDescent="0.25">
      <c r="A700">
        <v>6</v>
      </c>
      <c r="B700" t="str">
        <f>HYPERLINK("http://www.ncbi.nlm.nih.gov/protein/XP_013915439.1","XP_013915439.1")</f>
        <v>XP_013915439.1</v>
      </c>
      <c r="C700">
        <v>25644</v>
      </c>
      <c r="D700" t="str">
        <f>HYPERLINK("http://www.ncbi.nlm.nih.gov/Taxonomy/Browser/wwwtax.cgi?mode=Info&amp;id=35019&amp;lvl=3&amp;lin=f&amp;keep=1&amp;srchmode=1&amp;unlock","35019")</f>
        <v>35019</v>
      </c>
      <c r="E700" t="s">
        <v>236</v>
      </c>
      <c r="F700" t="s">
        <v>236</v>
      </c>
      <c r="G700" t="str">
        <f>HYPERLINK("http://www.ncbi.nlm.nih.gov/Taxonomy/Browser/wwwtax.cgi?mode=Info&amp;id=35019&amp;lvl=3&amp;lin=f&amp;keep=1&amp;srchmode=1&amp;unlock","Thamnophis sirtalis")</f>
        <v>Thamnophis sirtalis</v>
      </c>
      <c r="H700" t="s">
        <v>653</v>
      </c>
      <c r="I700" t="str">
        <f>HYPERLINK("http://www.ncbi.nlm.nih.gov/protein/XP_013915439.1","PREDICTED: gastrotropin")</f>
        <v>PREDICTED: gastrotropin</v>
      </c>
      <c r="J700">
        <v>113.23</v>
      </c>
      <c r="K700" t="s">
        <v>25</v>
      </c>
      <c r="L700">
        <v>139</v>
      </c>
      <c r="M700">
        <v>50.68</v>
      </c>
      <c r="N700">
        <v>44.88</v>
      </c>
      <c r="O700" t="s">
        <v>20</v>
      </c>
      <c r="P700" t="s">
        <v>21</v>
      </c>
      <c r="Q700" t="s">
        <v>20</v>
      </c>
      <c r="R700" t="str">
        <f>HYPERLINK("https://cfpub.epa.gov/ecotox/explore.cfm?ncbi=35019","Explore in ECOTOX")</f>
        <v>Explore in ECOTOX</v>
      </c>
    </row>
    <row r="701" spans="1:18" x14ac:dyDescent="0.25">
      <c r="A701">
        <v>6</v>
      </c>
      <c r="B701" t="str">
        <f>HYPERLINK("http://www.ncbi.nlm.nih.gov/protein/XP_032068229.1","XP_032068229.1")</f>
        <v>XP_032068229.1</v>
      </c>
      <c r="C701">
        <v>30930</v>
      </c>
      <c r="D701" t="str">
        <f>HYPERLINK("http://www.ncbi.nlm.nih.gov/Taxonomy/Browser/wwwtax.cgi?mode=Info&amp;id=35005&amp;lvl=3&amp;lin=f&amp;keep=1&amp;srchmode=1&amp;unlock","35005")</f>
        <v>35005</v>
      </c>
      <c r="E701" t="s">
        <v>236</v>
      </c>
      <c r="F701" t="s">
        <v>236</v>
      </c>
      <c r="G701" t="str">
        <f>HYPERLINK("http://www.ncbi.nlm.nih.gov/Taxonomy/Browser/wwwtax.cgi?mode=Info&amp;id=35005&amp;lvl=3&amp;lin=f&amp;keep=1&amp;srchmode=1&amp;unlock","Thamnophis elegans")</f>
        <v>Thamnophis elegans</v>
      </c>
      <c r="H701" t="s">
        <v>654</v>
      </c>
      <c r="I701" t="str">
        <f>HYPERLINK("http://www.ncbi.nlm.nih.gov/protein/XP_032068229.1","gastrotropin")</f>
        <v>gastrotropin</v>
      </c>
      <c r="J701">
        <v>112.08</v>
      </c>
      <c r="K701" t="s">
        <v>25</v>
      </c>
      <c r="L701">
        <v>139</v>
      </c>
      <c r="M701">
        <v>50.68</v>
      </c>
      <c r="N701">
        <v>44.42</v>
      </c>
      <c r="O701" t="s">
        <v>20</v>
      </c>
      <c r="P701" t="s">
        <v>21</v>
      </c>
      <c r="Q701" t="s">
        <v>20</v>
      </c>
      <c r="R701" t="str">
        <f>HYPERLINK("https://cfpub.epa.gov/ecotox/explore.cfm?ncbi=35005","Explore in ECOTOX")</f>
        <v>Explore in ECOTOX</v>
      </c>
    </row>
    <row r="702" spans="1:18" x14ac:dyDescent="0.25">
      <c r="A702">
        <v>6</v>
      </c>
      <c r="B702" t="str">
        <f>HYPERLINK("http://www.ncbi.nlm.nih.gov/protein/XP_015670829.1","XP_015670829.1")</f>
        <v>XP_015670829.1</v>
      </c>
      <c r="C702">
        <v>23978</v>
      </c>
      <c r="D702" t="str">
        <f>HYPERLINK("http://www.ncbi.nlm.nih.gov/Taxonomy/Browser/wwwtax.cgi?mode=Info&amp;id=103944&amp;lvl=3&amp;lin=f&amp;keep=1&amp;srchmode=1&amp;unlock","103944")</f>
        <v>103944</v>
      </c>
      <c r="E702" t="s">
        <v>236</v>
      </c>
      <c r="F702" t="s">
        <v>236</v>
      </c>
      <c r="G702" t="str">
        <f>HYPERLINK("http://www.ncbi.nlm.nih.gov/Taxonomy/Browser/wwwtax.cgi?mode=Info&amp;id=103944&amp;lvl=3&amp;lin=f&amp;keep=1&amp;srchmode=1&amp;unlock","Protobothrops mucrosquamatus")</f>
        <v>Protobothrops mucrosquamatus</v>
      </c>
      <c r="H702" t="s">
        <v>655</v>
      </c>
      <c r="I702" t="str">
        <f>HYPERLINK("http://www.ncbi.nlm.nih.gov/protein/XP_015670829.1","gastrotropin")</f>
        <v>gastrotropin</v>
      </c>
      <c r="J702">
        <v>111.69</v>
      </c>
      <c r="K702" t="s">
        <v>25</v>
      </c>
      <c r="L702">
        <v>139</v>
      </c>
      <c r="M702">
        <v>50.68</v>
      </c>
      <c r="N702">
        <v>44.27</v>
      </c>
      <c r="O702" t="s">
        <v>20</v>
      </c>
      <c r="P702" t="s">
        <v>21</v>
      </c>
      <c r="Q702" t="s">
        <v>20</v>
      </c>
      <c r="R702" t="str">
        <f>HYPERLINK("https://cfpub.epa.gov/ecotox/explore.cfm?ncbi=103944","Explore in ECOTOX")</f>
        <v>Explore in ECOTOX</v>
      </c>
    </row>
    <row r="703" spans="1:18" x14ac:dyDescent="0.25">
      <c r="A703">
        <v>6</v>
      </c>
      <c r="B703" t="str">
        <f>HYPERLINK("http://www.ncbi.nlm.nih.gov/protein/XP_026537290.1","XP_026537290.1")</f>
        <v>XP_026537290.1</v>
      </c>
      <c r="C703">
        <v>31324</v>
      </c>
      <c r="D703" t="str">
        <f>HYPERLINK("http://www.ncbi.nlm.nih.gov/Taxonomy/Browser/wwwtax.cgi?mode=Info&amp;id=8663&amp;lvl=3&amp;lin=f&amp;keep=1&amp;srchmode=1&amp;unlock","8663")</f>
        <v>8663</v>
      </c>
      <c r="E703" t="s">
        <v>236</v>
      </c>
      <c r="F703" t="s">
        <v>236</v>
      </c>
      <c r="G703" t="str">
        <f>HYPERLINK("http://www.ncbi.nlm.nih.gov/Taxonomy/Browser/wwwtax.cgi?mode=Info&amp;id=8663&amp;lvl=3&amp;lin=f&amp;keep=1&amp;srchmode=1&amp;unlock","Notechis scutatus")</f>
        <v>Notechis scutatus</v>
      </c>
      <c r="H703" t="s">
        <v>656</v>
      </c>
      <c r="I703" t="str">
        <f>HYPERLINK("http://www.ncbi.nlm.nih.gov/protein/XP_026537290.1","gastrotropin-like")</f>
        <v>gastrotropin-like</v>
      </c>
      <c r="J703">
        <v>110.92</v>
      </c>
      <c r="K703" t="s">
        <v>25</v>
      </c>
      <c r="L703">
        <v>139</v>
      </c>
      <c r="M703">
        <v>50.68</v>
      </c>
      <c r="N703">
        <v>43.97</v>
      </c>
      <c r="O703" t="s">
        <v>20</v>
      </c>
      <c r="P703" t="s">
        <v>21</v>
      </c>
      <c r="Q703" t="s">
        <v>20</v>
      </c>
      <c r="R703" t="str">
        <f>HYPERLINK("https://cfpub.epa.gov/ecotox/explore.cfm?ncbi=8663","Explore in ECOTOX")</f>
        <v>Explore in ECOTOX</v>
      </c>
    </row>
    <row r="704" spans="1:18" x14ac:dyDescent="0.25">
      <c r="A704">
        <v>6</v>
      </c>
      <c r="B704" t="str">
        <f>HYPERLINK("http://www.ncbi.nlm.nih.gov/protein/XP_026552107.1","XP_026552107.1")</f>
        <v>XP_026552107.1</v>
      </c>
      <c r="C704">
        <v>31816</v>
      </c>
      <c r="D704" t="str">
        <f>HYPERLINK("http://www.ncbi.nlm.nih.gov/Taxonomy/Browser/wwwtax.cgi?mode=Info&amp;id=8673&amp;lvl=3&amp;lin=f&amp;keep=1&amp;srchmode=1&amp;unlock","8673")</f>
        <v>8673</v>
      </c>
      <c r="E704" t="s">
        <v>236</v>
      </c>
      <c r="F704" t="s">
        <v>236</v>
      </c>
      <c r="G704" t="str">
        <f>HYPERLINK("http://www.ncbi.nlm.nih.gov/Taxonomy/Browser/wwwtax.cgi?mode=Info&amp;id=8673&amp;lvl=3&amp;lin=f&amp;keep=1&amp;srchmode=1&amp;unlock","Pseudonaja textilis")</f>
        <v>Pseudonaja textilis</v>
      </c>
      <c r="H704" t="s">
        <v>657</v>
      </c>
      <c r="I704" t="str">
        <f>HYPERLINK("http://www.ncbi.nlm.nih.gov/protein/XP_026552107.1","gastrotropin")</f>
        <v>gastrotropin</v>
      </c>
      <c r="J704">
        <v>110.92</v>
      </c>
      <c r="K704" t="s">
        <v>25</v>
      </c>
      <c r="L704">
        <v>139</v>
      </c>
      <c r="M704">
        <v>50.68</v>
      </c>
      <c r="N704">
        <v>43.97</v>
      </c>
      <c r="O704" t="s">
        <v>20</v>
      </c>
      <c r="P704" t="s">
        <v>21</v>
      </c>
      <c r="Q704" t="s">
        <v>20</v>
      </c>
      <c r="R704" t="str">
        <f>HYPERLINK("https://cfpub.epa.gov/ecotox/explore.cfm?ncbi=8673","Explore in ECOTOX")</f>
        <v>Explore in ECOTOX</v>
      </c>
    </row>
    <row r="705" spans="1:18" x14ac:dyDescent="0.25">
      <c r="A705">
        <v>6</v>
      </c>
      <c r="B705" t="str">
        <f>HYPERLINK("http://www.ncbi.nlm.nih.gov/protein/XP_030638555.1","XP_030638555.1")</f>
        <v>XP_030638555.1</v>
      </c>
      <c r="C705">
        <v>30173</v>
      </c>
      <c r="D705" t="str">
        <f>HYPERLINK("http://www.ncbi.nlm.nih.gov/Taxonomy/Browser/wwwtax.cgi?mode=Info&amp;id=29144&amp;lvl=3&amp;lin=f&amp;keep=1&amp;srchmode=1&amp;unlock","29144")</f>
        <v>29144</v>
      </c>
      <c r="E705" t="s">
        <v>384</v>
      </c>
      <c r="F705" t="s">
        <v>384</v>
      </c>
      <c r="G705" t="str">
        <f>HYPERLINK("http://www.ncbi.nlm.nih.gov/Taxonomy/Browser/wwwtax.cgi?mode=Info&amp;id=29144&amp;lvl=3&amp;lin=f&amp;keep=1&amp;srchmode=1&amp;unlock","Chanos chanos")</f>
        <v>Chanos chanos</v>
      </c>
      <c r="H705" t="s">
        <v>658</v>
      </c>
      <c r="I705" t="str">
        <f>HYPERLINK("http://www.ncbi.nlm.nih.gov/protein/XP_030638555.1","gastrotropin-like")</f>
        <v>gastrotropin-like</v>
      </c>
      <c r="J705">
        <v>110.54</v>
      </c>
      <c r="K705" t="s">
        <v>25</v>
      </c>
      <c r="L705">
        <v>139</v>
      </c>
      <c r="M705">
        <v>50.68</v>
      </c>
      <c r="N705">
        <v>43.81</v>
      </c>
      <c r="O705" t="s">
        <v>20</v>
      </c>
      <c r="P705" t="s">
        <v>21</v>
      </c>
      <c r="Q705" t="s">
        <v>20</v>
      </c>
      <c r="R705" t="str">
        <f>HYPERLINK("https://cfpub.epa.gov/ecotox/explore.cfm?ncbi=29144","Explore in ECOTOX")</f>
        <v>Explore in ECOTOX</v>
      </c>
    </row>
    <row r="706" spans="1:18" x14ac:dyDescent="0.25">
      <c r="A706">
        <v>6</v>
      </c>
      <c r="B706" t="str">
        <f>HYPERLINK("http://www.ncbi.nlm.nih.gov/protein/XP_034262435.1","XP_034262435.1")</f>
        <v>XP_034262435.1</v>
      </c>
      <c r="C706">
        <v>41827</v>
      </c>
      <c r="D706" t="str">
        <f>HYPERLINK("http://www.ncbi.nlm.nih.gov/Taxonomy/Browser/wwwtax.cgi?mode=Info&amp;id=94885&amp;lvl=3&amp;lin=f&amp;keep=1&amp;srchmode=1&amp;unlock","94885")</f>
        <v>94885</v>
      </c>
      <c r="E706" t="s">
        <v>236</v>
      </c>
      <c r="F706" t="s">
        <v>236</v>
      </c>
      <c r="G706" t="str">
        <f>HYPERLINK("http://www.ncbi.nlm.nih.gov/Taxonomy/Browser/wwwtax.cgi?mode=Info&amp;id=94885&amp;lvl=3&amp;lin=f&amp;keep=1&amp;srchmode=1&amp;unlock","Pantherophis guttatus")</f>
        <v>Pantherophis guttatus</v>
      </c>
      <c r="H706" t="s">
        <v>653</v>
      </c>
      <c r="I706" t="str">
        <f>HYPERLINK("http://www.ncbi.nlm.nih.gov/protein/XP_034262435.1","gastrotropin isoform X6")</f>
        <v>gastrotropin isoform X6</v>
      </c>
      <c r="J706">
        <v>110.15</v>
      </c>
      <c r="K706" t="s">
        <v>25</v>
      </c>
      <c r="L706">
        <v>139</v>
      </c>
      <c r="M706">
        <v>50.68</v>
      </c>
      <c r="N706">
        <v>43.66</v>
      </c>
      <c r="O706" t="s">
        <v>20</v>
      </c>
      <c r="P706" t="s">
        <v>21</v>
      </c>
      <c r="Q706" t="s">
        <v>20</v>
      </c>
      <c r="R706" t="str">
        <f>HYPERLINK("https://cfpub.epa.gov/ecotox/explore.cfm?ncbi=94885","Explore in ECOTOX")</f>
        <v>Explore in ECOTOX</v>
      </c>
    </row>
    <row r="707" spans="1:18" x14ac:dyDescent="0.25">
      <c r="A707">
        <v>6</v>
      </c>
      <c r="B707" t="str">
        <f>HYPERLINK("http://www.ncbi.nlm.nih.gov/protein/QLH01979.1","QLH01979.1")</f>
        <v>QLH01979.1</v>
      </c>
      <c r="C707">
        <v>509</v>
      </c>
      <c r="D707" t="str">
        <f>HYPERLINK("http://www.ncbi.nlm.nih.gov/Taxonomy/Browser/wwwtax.cgi?mode=Info&amp;id=173339&amp;lvl=3&amp;lin=f&amp;keep=1&amp;srchmode=1&amp;unlock","173339")</f>
        <v>173339</v>
      </c>
      <c r="E707" t="s">
        <v>384</v>
      </c>
      <c r="F707" t="s">
        <v>384</v>
      </c>
      <c r="G707" t="str">
        <f>HYPERLINK("http://www.ncbi.nlm.nih.gov/Taxonomy/Browser/wwwtax.cgi?mode=Info&amp;id=173339&amp;lvl=3&amp;lin=f&amp;keep=1&amp;srchmode=1&amp;unlock","Trachinotus ovatus")</f>
        <v>Trachinotus ovatus</v>
      </c>
      <c r="H707" t="s">
        <v>659</v>
      </c>
      <c r="I707" t="str">
        <f>HYPERLINK("http://www.ncbi.nlm.nih.gov/protein/QLH01979.1","fatty acid binding-protein 6a")</f>
        <v>fatty acid binding-protein 6a</v>
      </c>
      <c r="J707">
        <v>109</v>
      </c>
      <c r="K707" t="s">
        <v>25</v>
      </c>
      <c r="L707">
        <v>139</v>
      </c>
      <c r="M707">
        <v>50.68</v>
      </c>
      <c r="N707">
        <v>43.2</v>
      </c>
      <c r="O707" t="s">
        <v>20</v>
      </c>
      <c r="P707" t="s">
        <v>21</v>
      </c>
      <c r="Q707" t="s">
        <v>20</v>
      </c>
      <c r="R707" t="str">
        <f>HYPERLINK("https://cfpub.epa.gov/ecotox/explore.cfm?ncbi=173339","Explore in ECOTOX")</f>
        <v>Explore in ECOTOX</v>
      </c>
    </row>
    <row r="708" spans="1:18" x14ac:dyDescent="0.25">
      <c r="A708">
        <v>6</v>
      </c>
      <c r="B708" t="str">
        <f>HYPERLINK("http://www.ncbi.nlm.nih.gov/protein/XP_039199344.1","XP_039199344.1")</f>
        <v>XP_039199344.1</v>
      </c>
      <c r="C708">
        <v>51713</v>
      </c>
      <c r="D708" t="str">
        <f>HYPERLINK("http://www.ncbi.nlm.nih.gov/Taxonomy/Browser/wwwtax.cgi?mode=Info&amp;id=88082&amp;lvl=3&amp;lin=f&amp;keep=1&amp;srchmode=1&amp;unlock","88082")</f>
        <v>88082</v>
      </c>
      <c r="E708" t="s">
        <v>236</v>
      </c>
      <c r="F708" t="s">
        <v>236</v>
      </c>
      <c r="G708" t="str">
        <f>HYPERLINK("http://www.ncbi.nlm.nih.gov/Taxonomy/Browser/wwwtax.cgi?mode=Info&amp;id=88082&amp;lvl=3&amp;lin=f&amp;keep=1&amp;srchmode=1&amp;unlock","Crotalus tigris")</f>
        <v>Crotalus tigris</v>
      </c>
      <c r="H708" t="s">
        <v>660</v>
      </c>
      <c r="I708" t="str">
        <f>HYPERLINK("http://www.ncbi.nlm.nih.gov/protein/XP_039199344.1","gastrotropin")</f>
        <v>gastrotropin</v>
      </c>
      <c r="J708">
        <v>108.23</v>
      </c>
      <c r="K708" t="s">
        <v>25</v>
      </c>
      <c r="L708">
        <v>139</v>
      </c>
      <c r="M708">
        <v>50.68</v>
      </c>
      <c r="N708">
        <v>42.9</v>
      </c>
      <c r="O708" t="s">
        <v>20</v>
      </c>
      <c r="P708" t="s">
        <v>21</v>
      </c>
      <c r="Q708" t="s">
        <v>20</v>
      </c>
      <c r="R708" t="str">
        <f>HYPERLINK("https://cfpub.epa.gov/ecotox/explore.cfm?ncbi=88082","Explore in ECOTOX")</f>
        <v>Explore in ECOTOX</v>
      </c>
    </row>
    <row r="709" spans="1:18" x14ac:dyDescent="0.25">
      <c r="A709">
        <v>6</v>
      </c>
      <c r="B709" t="str">
        <f>HYPERLINK("http://www.ncbi.nlm.nih.gov/protein/NXQ45972.1","NXQ45972.1")</f>
        <v>NXQ45972.1</v>
      </c>
      <c r="C709">
        <v>13978</v>
      </c>
      <c r="D709" t="str">
        <f>HYPERLINK("http://www.ncbi.nlm.nih.gov/Taxonomy/Browser/wwwtax.cgi?mode=Info&amp;id=159581&amp;lvl=3&amp;lin=f&amp;keep=1&amp;srchmode=1&amp;unlock","159581")</f>
        <v>159581</v>
      </c>
      <c r="E709" t="s">
        <v>167</v>
      </c>
      <c r="F709" t="s">
        <v>167</v>
      </c>
      <c r="G709" t="str">
        <f>HYPERLINK("http://www.ncbi.nlm.nih.gov/Taxonomy/Browser/wwwtax.cgi?mode=Info&amp;id=159581&amp;lvl=3&amp;lin=f&amp;keep=1&amp;srchmode=1&amp;unlock","Catharus fuscescens")</f>
        <v>Catharus fuscescens</v>
      </c>
      <c r="H709" t="s">
        <v>661</v>
      </c>
      <c r="I709" t="str">
        <f>HYPERLINK("http://www.ncbi.nlm.nih.gov/protein/NXQ45972.1","FABP6 protein")</f>
        <v>FABP6 protein</v>
      </c>
      <c r="J709">
        <v>107.07</v>
      </c>
      <c r="K709" t="s">
        <v>25</v>
      </c>
      <c r="L709">
        <v>139</v>
      </c>
      <c r="M709">
        <v>50.68</v>
      </c>
      <c r="N709">
        <v>42.44</v>
      </c>
      <c r="O709" t="s">
        <v>20</v>
      </c>
      <c r="P709" t="s">
        <v>21</v>
      </c>
      <c r="Q709" t="s">
        <v>20</v>
      </c>
      <c r="R709" t="str">
        <f>HYPERLINK("https://cfpub.epa.gov/ecotox/explore.cfm?ncbi=159581","Explore in ECOTOX")</f>
        <v>Explore in ECOTOX</v>
      </c>
    </row>
    <row r="710" spans="1:18" x14ac:dyDescent="0.25">
      <c r="A710">
        <v>6</v>
      </c>
      <c r="B710" t="str">
        <f>HYPERLINK("http://www.ncbi.nlm.nih.gov/protein/ABW38784.1","ABW38784.1")</f>
        <v>ABW38784.1</v>
      </c>
      <c r="C710">
        <v>2173</v>
      </c>
      <c r="D710" t="str">
        <f>HYPERLINK("http://www.ncbi.nlm.nih.gov/Taxonomy/Browser/wwwtax.cgi?mode=Info&amp;id=7959&amp;lvl=3&amp;lin=f&amp;keep=1&amp;srchmode=1&amp;unlock","7959")</f>
        <v>7959</v>
      </c>
      <c r="E710" t="s">
        <v>384</v>
      </c>
      <c r="F710" t="s">
        <v>384</v>
      </c>
      <c r="G710" t="str">
        <f>HYPERLINK("http://www.ncbi.nlm.nih.gov/Taxonomy/Browser/wwwtax.cgi?mode=Info&amp;id=7959&amp;lvl=3&amp;lin=f&amp;keep=1&amp;srchmode=1&amp;unlock","Ctenopharyngodon idella")</f>
        <v>Ctenopharyngodon idella</v>
      </c>
      <c r="H710" t="s">
        <v>662</v>
      </c>
      <c r="I710" t="str">
        <f>HYPERLINK("http://www.ncbi.nlm.nih.gov/protein/ABW38784.1","liver-type fatty acid-binding protein")</f>
        <v>liver-type fatty acid-binding protein</v>
      </c>
      <c r="J710">
        <v>106.69</v>
      </c>
      <c r="K710" t="s">
        <v>25</v>
      </c>
      <c r="L710">
        <v>139</v>
      </c>
      <c r="M710">
        <v>50.68</v>
      </c>
      <c r="N710">
        <v>42.29</v>
      </c>
      <c r="O710" t="s">
        <v>20</v>
      </c>
      <c r="P710" t="s">
        <v>21</v>
      </c>
      <c r="Q710" t="s">
        <v>20</v>
      </c>
      <c r="R710" t="str">
        <f>HYPERLINK("https://cfpub.epa.gov/ecotox/explore.cfm?ncbi=7959","Explore in ECOTOX")</f>
        <v>Explore in ECOTOX</v>
      </c>
    </row>
    <row r="711" spans="1:18" x14ac:dyDescent="0.25">
      <c r="A711">
        <v>6</v>
      </c>
      <c r="B711" t="str">
        <f>HYPERLINK("http://www.ncbi.nlm.nih.gov/protein/KAF4077361.1","KAF4077361.1")</f>
        <v>KAF4077361.1</v>
      </c>
      <c r="C711">
        <v>24478</v>
      </c>
      <c r="D711" t="str">
        <f>HYPERLINK("http://www.ncbi.nlm.nih.gov/Taxonomy/Browser/wwwtax.cgi?mode=Info&amp;id=219545&amp;lvl=3&amp;lin=f&amp;keep=1&amp;srchmode=1&amp;unlock","219545")</f>
        <v>219545</v>
      </c>
      <c r="E711" t="s">
        <v>384</v>
      </c>
      <c r="F711" t="s">
        <v>384</v>
      </c>
      <c r="G711" t="str">
        <f>HYPERLINK("http://www.ncbi.nlm.nih.gov/Taxonomy/Browser/wwwtax.cgi?mode=Info&amp;id=219545&amp;lvl=3&amp;lin=f&amp;keep=1&amp;srchmode=1&amp;unlock","Ameiurus melas")</f>
        <v>Ameiurus melas</v>
      </c>
      <c r="H711" t="s">
        <v>663</v>
      </c>
      <c r="I711" t="str">
        <f>HYPERLINK("http://www.ncbi.nlm.nih.gov/protein/KAF4077361.1","hypothetical protein AMELA_G00207130")</f>
        <v>hypothetical protein AMELA_G00207130</v>
      </c>
      <c r="J711">
        <v>106.69</v>
      </c>
      <c r="K711" t="s">
        <v>25</v>
      </c>
      <c r="L711">
        <v>139</v>
      </c>
      <c r="M711">
        <v>50.68</v>
      </c>
      <c r="N711">
        <v>42.29</v>
      </c>
      <c r="O711" t="s">
        <v>20</v>
      </c>
      <c r="P711" t="s">
        <v>21</v>
      </c>
      <c r="Q711" t="s">
        <v>20</v>
      </c>
      <c r="R711" t="str">
        <f>HYPERLINK("https://cfpub.epa.gov/ecotox/explore.cfm?ncbi=219545","Explore in ECOTOX")</f>
        <v>Explore in ECOTOX</v>
      </c>
    </row>
    <row r="712" spans="1:18" x14ac:dyDescent="0.25">
      <c r="A712">
        <v>6</v>
      </c>
      <c r="B712" t="str">
        <f>HYPERLINK("http://www.ncbi.nlm.nih.gov/protein/NXR33508.1","NXR33508.1")</f>
        <v>NXR33508.1</v>
      </c>
      <c r="C712">
        <v>13732</v>
      </c>
      <c r="D712" t="str">
        <f>HYPERLINK("http://www.ncbi.nlm.nih.gov/Taxonomy/Browser/wwwtax.cgi?mode=Info&amp;id=2485327&amp;lvl=3&amp;lin=f&amp;keep=1&amp;srchmode=1&amp;unlock","2485327")</f>
        <v>2485327</v>
      </c>
      <c r="E712" t="s">
        <v>167</v>
      </c>
      <c r="F712" t="s">
        <v>167</v>
      </c>
      <c r="G712" t="str">
        <f>HYPERLINK("http://www.ncbi.nlm.nih.gov/Taxonomy/Browser/wwwtax.cgi?mode=Info&amp;id=2485327&amp;lvl=3&amp;lin=f&amp;keep=1&amp;srchmode=1&amp;unlock","Zosterops hypoxanthus")</f>
        <v>Zosterops hypoxanthus</v>
      </c>
      <c r="H712" t="s">
        <v>449</v>
      </c>
      <c r="I712" t="str">
        <f>HYPERLINK("http://www.ncbi.nlm.nih.gov/protein/NXR33508.1","FABP6 protein")</f>
        <v>FABP6 protein</v>
      </c>
      <c r="J712">
        <v>106.3</v>
      </c>
      <c r="K712" t="s">
        <v>25</v>
      </c>
      <c r="L712">
        <v>139</v>
      </c>
      <c r="M712">
        <v>50.68</v>
      </c>
      <c r="N712">
        <v>42.13</v>
      </c>
      <c r="O712" t="s">
        <v>20</v>
      </c>
      <c r="P712" t="s">
        <v>21</v>
      </c>
      <c r="Q712" t="s">
        <v>20</v>
      </c>
      <c r="R712" t="str">
        <f>HYPERLINK("https://cfpub.epa.gov/ecotox/explore.cfm?ncbi=2485327","Explore in ECOTOX")</f>
        <v>Explore in ECOTOX</v>
      </c>
    </row>
    <row r="713" spans="1:18" x14ac:dyDescent="0.25">
      <c r="A713">
        <v>6</v>
      </c>
      <c r="B713" t="str">
        <f>HYPERLINK("http://www.ncbi.nlm.nih.gov/protein/NXP38718.1","NXP38718.1")</f>
        <v>NXP38718.1</v>
      </c>
      <c r="C713">
        <v>13696</v>
      </c>
      <c r="D713" t="str">
        <f>HYPERLINK("http://www.ncbi.nlm.nih.gov/Taxonomy/Browser/wwwtax.cgi?mode=Info&amp;id=36275&amp;lvl=3&amp;lin=f&amp;keep=1&amp;srchmode=1&amp;unlock","36275")</f>
        <v>36275</v>
      </c>
      <c r="E713" t="s">
        <v>167</v>
      </c>
      <c r="F713" t="s">
        <v>167</v>
      </c>
      <c r="G713" t="str">
        <f>HYPERLINK("http://www.ncbi.nlm.nih.gov/Taxonomy/Browser/wwwtax.cgi?mode=Info&amp;id=36275&amp;lvl=3&amp;lin=f&amp;keep=1&amp;srchmode=1&amp;unlock","Leiothrix lutea")</f>
        <v>Leiothrix lutea</v>
      </c>
      <c r="H713" t="s">
        <v>664</v>
      </c>
      <c r="I713" t="str">
        <f>HYPERLINK("http://www.ncbi.nlm.nih.gov/protein/NXP38718.1","FABP6 protein")</f>
        <v>FABP6 protein</v>
      </c>
      <c r="J713">
        <v>106.3</v>
      </c>
      <c r="K713" t="s">
        <v>25</v>
      </c>
      <c r="L713">
        <v>139</v>
      </c>
      <c r="M713">
        <v>50.68</v>
      </c>
      <c r="N713">
        <v>42.13</v>
      </c>
      <c r="O713" t="s">
        <v>20</v>
      </c>
      <c r="P713" t="s">
        <v>21</v>
      </c>
      <c r="Q713" t="s">
        <v>20</v>
      </c>
      <c r="R713" t="str">
        <f>HYPERLINK("https://cfpub.epa.gov/ecotox/explore.cfm?ncbi=36275","Explore in ECOTOX")</f>
        <v>Explore in ECOTOX</v>
      </c>
    </row>
    <row r="714" spans="1:18" x14ac:dyDescent="0.25">
      <c r="A714">
        <v>6</v>
      </c>
      <c r="B714" t="str">
        <f>HYPERLINK("http://www.ncbi.nlm.nih.gov/protein/P81653.2","P81653.2")</f>
        <v>P81653.2</v>
      </c>
      <c r="C714">
        <v>7</v>
      </c>
      <c r="D714" t="str">
        <f>HYPERLINK("http://www.ncbi.nlm.nih.gov/Taxonomy/Browser/wwwtax.cgi?mode=Info&amp;id=458609&amp;lvl=3&amp;lin=f&amp;keep=1&amp;srchmode=1&amp;unlock","458609")</f>
        <v>458609</v>
      </c>
      <c r="E714" t="s">
        <v>550</v>
      </c>
      <c r="F714" t="s">
        <v>550</v>
      </c>
      <c r="G714" t="str">
        <f>HYPERLINK("http://www.ncbi.nlm.nih.gov/Taxonomy/Browser/wwwtax.cgi?mode=Info&amp;id=458609&amp;lvl=3&amp;lin=f&amp;keep=1&amp;srchmode=1&amp;unlock","Schroederichthys bivius")</f>
        <v>Schroederichthys bivius</v>
      </c>
      <c r="H714" t="s">
        <v>665</v>
      </c>
      <c r="I714" t="str">
        <f>HYPERLINK("http://www.ncbi.nlm.nih.gov/protein/P81653.2","RecName: Full=Fatty acid-binding protein, liver; AltName: Full=Fatty acid-binding protein 1; AltName: Full=Liver-type fatty acid-binding protein; Short=L-FABP")</f>
        <v>RecName: Full=Fatty acid-binding protein, liver; AltName: Full=Fatty acid-binding protein 1; AltName: Full=Liver-type fatty acid-binding protein; Short=L-FABP</v>
      </c>
      <c r="J714">
        <v>105.92</v>
      </c>
      <c r="K714" t="s">
        <v>25</v>
      </c>
      <c r="L714">
        <v>139</v>
      </c>
      <c r="M714">
        <v>50.68</v>
      </c>
      <c r="N714">
        <v>41.98</v>
      </c>
      <c r="O714" t="s">
        <v>20</v>
      </c>
      <c r="P714" t="s">
        <v>21</v>
      </c>
      <c r="Q714" t="s">
        <v>20</v>
      </c>
      <c r="R714" t="str">
        <f>HYPERLINK("https://cfpub.epa.gov/ecotox/explore.cfm?ncbi=458609","Explore in ECOTOX")</f>
        <v>Explore in ECOTOX</v>
      </c>
    </row>
    <row r="715" spans="1:18" x14ac:dyDescent="0.25">
      <c r="A715">
        <v>6</v>
      </c>
      <c r="B715" t="str">
        <f>HYPERLINK("http://www.ncbi.nlm.nih.gov/protein/NXY34781.1","NXY34781.1")</f>
        <v>NXY34781.1</v>
      </c>
      <c r="C715">
        <v>13354</v>
      </c>
      <c r="D715" t="str">
        <f>HYPERLINK("http://www.ncbi.nlm.nih.gov/Taxonomy/Browser/wwwtax.cgi?mode=Info&amp;id=932028&amp;lvl=3&amp;lin=f&amp;keep=1&amp;srchmode=1&amp;unlock","932028")</f>
        <v>932028</v>
      </c>
      <c r="E715" t="s">
        <v>167</v>
      </c>
      <c r="F715" t="s">
        <v>167</v>
      </c>
      <c r="G715" t="str">
        <f>HYPERLINK("http://www.ncbi.nlm.nih.gov/Taxonomy/Browser/wwwtax.cgi?mode=Info&amp;id=932028&amp;lvl=3&amp;lin=f&amp;keep=1&amp;srchmode=1&amp;unlock","Pomatorhinus ruficollis")</f>
        <v>Pomatorhinus ruficollis</v>
      </c>
      <c r="H715" t="s">
        <v>666</v>
      </c>
      <c r="I715" t="str">
        <f>HYPERLINK("http://www.ncbi.nlm.nih.gov/protein/NXY34781.1","FABP6 protein")</f>
        <v>FABP6 protein</v>
      </c>
      <c r="J715">
        <v>104.76</v>
      </c>
      <c r="K715" t="s">
        <v>25</v>
      </c>
      <c r="L715">
        <v>139</v>
      </c>
      <c r="M715">
        <v>50.68</v>
      </c>
      <c r="N715">
        <v>41.52</v>
      </c>
      <c r="O715" t="s">
        <v>20</v>
      </c>
      <c r="P715" t="s">
        <v>21</v>
      </c>
      <c r="Q715" t="s">
        <v>20</v>
      </c>
      <c r="R715" t="str">
        <f>HYPERLINK("https://cfpub.epa.gov/ecotox/explore.cfm?ncbi=932028","Explore in ECOTOX")</f>
        <v>Explore in ECOTOX</v>
      </c>
    </row>
    <row r="716" spans="1:18" x14ac:dyDescent="0.25">
      <c r="A716">
        <v>6</v>
      </c>
      <c r="B716" t="str">
        <f>HYPERLINK("http://www.ncbi.nlm.nih.gov/protein/ACQ58324.1","ACQ58324.1")</f>
        <v>ACQ58324.1</v>
      </c>
      <c r="C716">
        <v>1373</v>
      </c>
      <c r="D716" t="str">
        <f>HYPERLINK("http://www.ncbi.nlm.nih.gov/Taxonomy/Browser/wwwtax.cgi?mode=Info&amp;id=229290&amp;lvl=3&amp;lin=f&amp;keep=1&amp;srchmode=1&amp;unlock","229290")</f>
        <v>229290</v>
      </c>
      <c r="E716" t="s">
        <v>384</v>
      </c>
      <c r="F716" t="s">
        <v>384</v>
      </c>
      <c r="G716" t="str">
        <f>HYPERLINK("http://www.ncbi.nlm.nih.gov/Taxonomy/Browser/wwwtax.cgi?mode=Info&amp;id=229290&amp;lvl=3&amp;lin=f&amp;keep=1&amp;srchmode=1&amp;unlock","Anoplopoma fimbria")</f>
        <v>Anoplopoma fimbria</v>
      </c>
      <c r="H716" t="s">
        <v>667</v>
      </c>
      <c r="I716" t="str">
        <f>HYPERLINK("http://www.ncbi.nlm.nih.gov/protein/ACQ58324.1","Gastrotropin")</f>
        <v>Gastrotropin</v>
      </c>
      <c r="J716">
        <v>103.99</v>
      </c>
      <c r="K716" t="s">
        <v>25</v>
      </c>
      <c r="L716">
        <v>139</v>
      </c>
      <c r="M716">
        <v>50.68</v>
      </c>
      <c r="N716">
        <v>41.22</v>
      </c>
      <c r="O716" t="s">
        <v>20</v>
      </c>
      <c r="P716" t="s">
        <v>21</v>
      </c>
      <c r="Q716" t="s">
        <v>20</v>
      </c>
      <c r="R716" t="str">
        <f>HYPERLINK("https://cfpub.epa.gov/ecotox/explore.cfm?ncbi=229290","Explore in ECOTOX")</f>
        <v>Explore in ECOTOX</v>
      </c>
    </row>
    <row r="717" spans="1:18" x14ac:dyDescent="0.25">
      <c r="A717">
        <v>6</v>
      </c>
      <c r="B717" t="str">
        <f>HYPERLINK("http://www.ncbi.nlm.nih.gov/protein/KAF4803334.1","KAF4803334.1")</f>
        <v>KAF4803334.1</v>
      </c>
      <c r="C717">
        <v>18372</v>
      </c>
      <c r="D717" t="str">
        <f>HYPERLINK("http://www.ncbi.nlm.nih.gov/Taxonomy/Browser/wwwtax.cgi?mode=Info&amp;id=311356&amp;lvl=3&amp;lin=f&amp;keep=1&amp;srchmode=1&amp;unlock","311356")</f>
        <v>311356</v>
      </c>
      <c r="E717" t="s">
        <v>167</v>
      </c>
      <c r="F717" t="s">
        <v>167</v>
      </c>
      <c r="G717" t="str">
        <f>HYPERLINK("http://www.ncbi.nlm.nih.gov/Taxonomy/Browser/wwwtax.cgi?mode=Info&amp;id=311356&amp;lvl=3&amp;lin=f&amp;keep=1&amp;srchmode=1&amp;unlock","Turdus rufiventris")</f>
        <v>Turdus rufiventris</v>
      </c>
      <c r="H717" t="s">
        <v>668</v>
      </c>
      <c r="I717" t="str">
        <f>HYPERLINK("http://www.ncbi.nlm.nih.gov/protein/KAF4803334.1","Gastrotropin")</f>
        <v>Gastrotropin</v>
      </c>
      <c r="J717">
        <v>103.22</v>
      </c>
      <c r="K717" t="s">
        <v>25</v>
      </c>
      <c r="L717">
        <v>139</v>
      </c>
      <c r="M717">
        <v>50.68</v>
      </c>
      <c r="N717">
        <v>40.909999999999997</v>
      </c>
      <c r="O717" t="s">
        <v>20</v>
      </c>
      <c r="P717" t="s">
        <v>21</v>
      </c>
      <c r="Q717" t="s">
        <v>20</v>
      </c>
      <c r="R717" t="str">
        <f>HYPERLINK("https://cfpub.epa.gov/ecotox/explore.cfm?ncbi=311356","Explore in ECOTOX")</f>
        <v>Explore in ECOTOX</v>
      </c>
    </row>
    <row r="718" spans="1:18" x14ac:dyDescent="0.25">
      <c r="A718">
        <v>6</v>
      </c>
      <c r="B718" t="str">
        <f>HYPERLINK("http://www.ncbi.nlm.nih.gov/protein/NWR46865.1","NWR46865.1")</f>
        <v>NWR46865.1</v>
      </c>
      <c r="C718">
        <v>13036</v>
      </c>
      <c r="D718" t="str">
        <f>HYPERLINK("http://www.ncbi.nlm.nih.gov/Taxonomy/Browser/wwwtax.cgi?mode=Info&amp;id=13245&amp;lvl=3&amp;lin=f&amp;keep=1&amp;srchmode=1&amp;unlock","13245")</f>
        <v>13245</v>
      </c>
      <c r="E718" t="s">
        <v>167</v>
      </c>
      <c r="F718" t="s">
        <v>167</v>
      </c>
      <c r="G718" t="str">
        <f>HYPERLINK("http://www.ncbi.nlm.nih.gov/Taxonomy/Browser/wwwtax.cgi?mode=Info&amp;id=13245&amp;lvl=3&amp;lin=f&amp;keep=1&amp;srchmode=1&amp;unlock","Regulus satrapa")</f>
        <v>Regulus satrapa</v>
      </c>
      <c r="H718" t="s">
        <v>669</v>
      </c>
      <c r="I718" t="str">
        <f>HYPERLINK("http://www.ncbi.nlm.nih.gov/protein/NWR46865.1","FABP6 protein")</f>
        <v>FABP6 protein</v>
      </c>
      <c r="J718">
        <v>103.22</v>
      </c>
      <c r="K718" t="s">
        <v>25</v>
      </c>
      <c r="L718">
        <v>139</v>
      </c>
      <c r="M718">
        <v>50.68</v>
      </c>
      <c r="N718">
        <v>40.909999999999997</v>
      </c>
      <c r="O718" t="s">
        <v>20</v>
      </c>
      <c r="P718" t="s">
        <v>21</v>
      </c>
      <c r="Q718" t="s">
        <v>20</v>
      </c>
      <c r="R718" t="str">
        <f>HYPERLINK("https://cfpub.epa.gov/ecotox/explore.cfm?ncbi=13245","Explore in ECOTOX")</f>
        <v>Explore in ECOTOX</v>
      </c>
    </row>
    <row r="719" spans="1:18" x14ac:dyDescent="0.25">
      <c r="A719">
        <v>6</v>
      </c>
      <c r="B719" t="str">
        <f>HYPERLINK("http://www.ncbi.nlm.nih.gov/protein/TSY41760.1","TSY41760.1")</f>
        <v>TSY41760.1</v>
      </c>
      <c r="C719">
        <v>17327</v>
      </c>
      <c r="D719" t="str">
        <f>HYPERLINK("http://www.ncbi.nlm.nih.gov/Taxonomy/Browser/wwwtax.cgi?mode=Info&amp;id=175774&amp;lvl=3&amp;lin=f&amp;keep=1&amp;srchmode=1&amp;unlock","175774")</f>
        <v>175774</v>
      </c>
      <c r="E719" t="s">
        <v>384</v>
      </c>
      <c r="F719" t="s">
        <v>384</v>
      </c>
      <c r="G719" t="str">
        <f>HYPERLINK("http://www.ncbi.nlm.nih.gov/Taxonomy/Browser/wwwtax.cgi?mode=Info&amp;id=175774&amp;lvl=3&amp;lin=f&amp;keep=1&amp;srchmode=1&amp;unlock","Bagarius yarrelli")</f>
        <v>Bagarius yarrelli</v>
      </c>
      <c r="H719" t="s">
        <v>670</v>
      </c>
      <c r="I719" t="str">
        <f>HYPERLINK("http://www.ncbi.nlm.nih.gov/protein/TSY41760.1","Fatty acid binding protein 1-B.1")</f>
        <v>Fatty acid binding protein 1-B.1</v>
      </c>
      <c r="J719">
        <v>103.22</v>
      </c>
      <c r="K719" t="s">
        <v>25</v>
      </c>
      <c r="L719">
        <v>139</v>
      </c>
      <c r="M719">
        <v>50.68</v>
      </c>
      <c r="N719">
        <v>40.909999999999997</v>
      </c>
      <c r="O719" t="s">
        <v>20</v>
      </c>
      <c r="P719" t="s">
        <v>21</v>
      </c>
      <c r="Q719" t="s">
        <v>20</v>
      </c>
      <c r="R719" t="str">
        <f>HYPERLINK("https://cfpub.epa.gov/ecotox/explore.cfm?ncbi=175774","Explore in ECOTOX")</f>
        <v>Explore in ECOTOX</v>
      </c>
    </row>
    <row r="720" spans="1:18" x14ac:dyDescent="0.25">
      <c r="A720">
        <v>6</v>
      </c>
      <c r="B720" t="str">
        <f>HYPERLINK("http://www.ncbi.nlm.nih.gov/protein/AAP93878.1","AAP93878.1")</f>
        <v>AAP93878.1</v>
      </c>
      <c r="C720">
        <v>318</v>
      </c>
      <c r="D720" t="str">
        <f>HYPERLINK("http://www.ncbi.nlm.nih.gov/Taxonomy/Browser/wwwtax.cgi?mode=Info&amp;id=8260&amp;lvl=3&amp;lin=f&amp;keep=1&amp;srchmode=1&amp;unlock","8260")</f>
        <v>8260</v>
      </c>
      <c r="E720" t="s">
        <v>384</v>
      </c>
      <c r="F720" t="s">
        <v>384</v>
      </c>
      <c r="G720" t="str">
        <f>HYPERLINK("http://www.ncbi.nlm.nih.gov/Taxonomy/Browser/wwwtax.cgi?mode=Info&amp;id=8260&amp;lvl=3&amp;lin=f&amp;keep=1&amp;srchmode=1&amp;unlock","Platichthys flesus")</f>
        <v>Platichthys flesus</v>
      </c>
      <c r="H720" t="s">
        <v>671</v>
      </c>
      <c r="I720" t="str">
        <f>HYPERLINK("http://www.ncbi.nlm.nih.gov/protein/AAP93878.1","fatty acid-binding protein")</f>
        <v>fatty acid-binding protein</v>
      </c>
      <c r="J720">
        <v>103.22</v>
      </c>
      <c r="K720" t="s">
        <v>25</v>
      </c>
      <c r="L720">
        <v>139</v>
      </c>
      <c r="M720">
        <v>50.68</v>
      </c>
      <c r="N720">
        <v>40.909999999999997</v>
      </c>
      <c r="O720" t="s">
        <v>20</v>
      </c>
      <c r="P720" t="s">
        <v>21</v>
      </c>
      <c r="Q720" t="s">
        <v>20</v>
      </c>
      <c r="R720" t="str">
        <f>HYPERLINK("https://cfpub.epa.gov/ecotox/explore.cfm?ncbi=8260","Explore in ECOTOX")</f>
        <v>Explore in ECOTOX</v>
      </c>
    </row>
    <row r="721" spans="1:18" x14ac:dyDescent="0.25">
      <c r="A721">
        <v>6</v>
      </c>
      <c r="B721" t="str">
        <f>HYPERLINK("http://www.ncbi.nlm.nih.gov/protein/NXM56706.1","NXM56706.1")</f>
        <v>NXM56706.1</v>
      </c>
      <c r="C721">
        <v>13437</v>
      </c>
      <c r="D721" t="str">
        <f>HYPERLINK("http://www.ncbi.nlm.nih.gov/Taxonomy/Browser/wwwtax.cgi?mode=Info&amp;id=201329&amp;lvl=3&amp;lin=f&amp;keep=1&amp;srchmode=1&amp;unlock","201329")</f>
        <v>201329</v>
      </c>
      <c r="E721" t="s">
        <v>167</v>
      </c>
      <c r="F721" t="s">
        <v>167</v>
      </c>
      <c r="G721" t="str">
        <f>HYPERLINK("http://www.ncbi.nlm.nih.gov/Taxonomy/Browser/wwwtax.cgi?mode=Info&amp;id=201329&amp;lvl=3&amp;lin=f&amp;keep=1&amp;srchmode=1&amp;unlock","Illadopsis cleaveri")</f>
        <v>Illadopsis cleaveri</v>
      </c>
      <c r="H721" t="s">
        <v>672</v>
      </c>
      <c r="I721" t="str">
        <f>HYPERLINK("http://www.ncbi.nlm.nih.gov/protein/NXM56706.1","FABP6 protein")</f>
        <v>FABP6 protein</v>
      </c>
      <c r="J721">
        <v>102.83</v>
      </c>
      <c r="K721" t="s">
        <v>25</v>
      </c>
      <c r="L721">
        <v>139</v>
      </c>
      <c r="M721">
        <v>50.68</v>
      </c>
      <c r="N721">
        <v>40.76</v>
      </c>
      <c r="O721" t="s">
        <v>20</v>
      </c>
      <c r="P721" t="s">
        <v>21</v>
      </c>
      <c r="Q721" t="s">
        <v>20</v>
      </c>
      <c r="R721" t="str">
        <f>HYPERLINK("https://cfpub.epa.gov/ecotox/explore.cfm?ncbi=201329","Explore in ECOTOX")</f>
        <v>Explore in ECOTOX</v>
      </c>
    </row>
    <row r="722" spans="1:18" x14ac:dyDescent="0.25">
      <c r="A722">
        <v>6</v>
      </c>
      <c r="B722" t="str">
        <f>HYPERLINK("http://www.ncbi.nlm.nih.gov/protein/ADO28127.1","ADO28127.1")</f>
        <v>ADO28127.1</v>
      </c>
      <c r="C722">
        <v>802</v>
      </c>
      <c r="D722" t="str">
        <f>HYPERLINK("http://www.ncbi.nlm.nih.gov/Taxonomy/Browser/wwwtax.cgi?mode=Info&amp;id=66913&amp;lvl=3&amp;lin=f&amp;keep=1&amp;srchmode=1&amp;unlock","66913")</f>
        <v>66913</v>
      </c>
      <c r="E722" t="s">
        <v>384</v>
      </c>
      <c r="F722" t="s">
        <v>384</v>
      </c>
      <c r="G722" t="str">
        <f>HYPERLINK("http://www.ncbi.nlm.nih.gov/Taxonomy/Browser/wwwtax.cgi?mode=Info&amp;id=66913&amp;lvl=3&amp;lin=f&amp;keep=1&amp;srchmode=1&amp;unlock","Ictalurus furcatus")</f>
        <v>Ictalurus furcatus</v>
      </c>
      <c r="H722" t="s">
        <v>673</v>
      </c>
      <c r="I722" t="str">
        <f>HYPERLINK("http://www.ncbi.nlm.nih.gov/protein/ADO28127.1","fatty acid-binding protein liver")</f>
        <v>fatty acid-binding protein liver</v>
      </c>
      <c r="J722">
        <v>102.45</v>
      </c>
      <c r="K722" t="s">
        <v>25</v>
      </c>
      <c r="L722">
        <v>139</v>
      </c>
      <c r="M722">
        <v>50.68</v>
      </c>
      <c r="N722">
        <v>40.61</v>
      </c>
      <c r="O722" t="s">
        <v>20</v>
      </c>
      <c r="P722" t="s">
        <v>21</v>
      </c>
      <c r="Q722" t="s">
        <v>20</v>
      </c>
      <c r="R722" t="str">
        <f>HYPERLINK("https://cfpub.epa.gov/ecotox/explore.cfm?ncbi=66913","Explore in ECOTOX")</f>
        <v>Explore in ECOTOX</v>
      </c>
    </row>
    <row r="723" spans="1:18" x14ac:dyDescent="0.25">
      <c r="A723">
        <v>6</v>
      </c>
      <c r="B723" t="str">
        <f>HYPERLINK("http://www.ncbi.nlm.nih.gov/protein/NXN09468.1","NXN09468.1")</f>
        <v>NXN09468.1</v>
      </c>
      <c r="C723">
        <v>14026</v>
      </c>
      <c r="D723" t="str">
        <f>HYPERLINK("http://www.ncbi.nlm.nih.gov/Taxonomy/Browser/wwwtax.cgi?mode=Info&amp;id=545262&amp;lvl=3&amp;lin=f&amp;keep=1&amp;srchmode=1&amp;unlock","545262")</f>
        <v>545262</v>
      </c>
      <c r="E723" t="s">
        <v>167</v>
      </c>
      <c r="F723" t="s">
        <v>167</v>
      </c>
      <c r="G723" t="str">
        <f>HYPERLINK("http://www.ncbi.nlm.nih.gov/Taxonomy/Browser/wwwtax.cgi?mode=Info&amp;id=545262&amp;lvl=3&amp;lin=f&amp;keep=1&amp;srchmode=1&amp;unlock","Indicator maculatus")</f>
        <v>Indicator maculatus</v>
      </c>
      <c r="H723" t="s">
        <v>674</v>
      </c>
      <c r="I723" t="str">
        <f>HYPERLINK("http://www.ncbi.nlm.nih.gov/protein/NXN09468.1","FABP6 protein")</f>
        <v>FABP6 protein</v>
      </c>
      <c r="J723">
        <v>102.45</v>
      </c>
      <c r="K723" t="s">
        <v>25</v>
      </c>
      <c r="L723">
        <v>139</v>
      </c>
      <c r="M723">
        <v>50.68</v>
      </c>
      <c r="N723">
        <v>40.61</v>
      </c>
      <c r="O723" t="s">
        <v>20</v>
      </c>
      <c r="P723" t="s">
        <v>21</v>
      </c>
      <c r="Q723" t="s">
        <v>20</v>
      </c>
      <c r="R723" t="str">
        <f>HYPERLINK("https://cfpub.epa.gov/ecotox/explore.cfm?ncbi=545262","Explore in ECOTOX")</f>
        <v>Explore in ECOTOX</v>
      </c>
    </row>
    <row r="724" spans="1:18" x14ac:dyDescent="0.25">
      <c r="A724">
        <v>6</v>
      </c>
      <c r="B724" t="str">
        <f>HYPERLINK("http://www.ncbi.nlm.nih.gov/protein/TNM97693.1","TNM97693.1")</f>
        <v>TNM97693.1</v>
      </c>
      <c r="C724">
        <v>20163</v>
      </c>
      <c r="D724" t="str">
        <f>HYPERLINK("http://www.ncbi.nlm.nih.gov/Taxonomy/Browser/wwwtax.cgi?mode=Info&amp;id=433685&amp;lvl=3&amp;lin=f&amp;keep=1&amp;srchmode=1&amp;unlock","433685")</f>
        <v>433685</v>
      </c>
      <c r="E724" t="s">
        <v>384</v>
      </c>
      <c r="F724" t="s">
        <v>384</v>
      </c>
      <c r="G724" t="str">
        <f>HYPERLINK("http://www.ncbi.nlm.nih.gov/Taxonomy/Browser/wwwtax.cgi?mode=Info&amp;id=433685&amp;lvl=3&amp;lin=f&amp;keep=1&amp;srchmode=1&amp;unlock","Takifugu bimaculatus")</f>
        <v>Takifugu bimaculatus</v>
      </c>
      <c r="H724" t="s">
        <v>675</v>
      </c>
      <c r="I724" t="str">
        <f>HYPERLINK("http://www.ncbi.nlm.nih.gov/protein/TNM97693.1","hypothetical protein fugu_013939")</f>
        <v>hypothetical protein fugu_013939</v>
      </c>
      <c r="J724">
        <v>101.29</v>
      </c>
      <c r="K724" t="s">
        <v>25</v>
      </c>
      <c r="L724">
        <v>139</v>
      </c>
      <c r="M724">
        <v>50.68</v>
      </c>
      <c r="N724">
        <v>40.15</v>
      </c>
      <c r="O724" t="s">
        <v>20</v>
      </c>
      <c r="P724" t="s">
        <v>21</v>
      </c>
      <c r="Q724" t="s">
        <v>20</v>
      </c>
      <c r="R724" t="str">
        <f>HYPERLINK("https://cfpub.epa.gov/ecotox/explore.cfm?ncbi=433685","Explore in ECOTOX")</f>
        <v>Explore in ECOTOX</v>
      </c>
    </row>
    <row r="725" spans="1:18" x14ac:dyDescent="0.25">
      <c r="A725">
        <v>6</v>
      </c>
      <c r="B725" t="str">
        <f>HYPERLINK("http://www.ncbi.nlm.nih.gov/protein/P83409.2","P83409.2")</f>
        <v>P83409.2</v>
      </c>
      <c r="C725">
        <v>29</v>
      </c>
      <c r="D725" t="str">
        <f>HYPERLINK("http://www.ncbi.nlm.nih.gov/Taxonomy/Browser/wwwtax.cgi?mode=Info&amp;id=38577&amp;lvl=3&amp;lin=f&amp;keep=1&amp;srchmode=1&amp;unlock","38577")</f>
        <v>38577</v>
      </c>
      <c r="E725" t="s">
        <v>134</v>
      </c>
      <c r="F725" t="s">
        <v>134</v>
      </c>
      <c r="G725" t="str">
        <f>HYPERLINK("http://www.ncbi.nlm.nih.gov/Taxonomy/Browser/wwwtax.cgi?mode=Info&amp;id=38577&amp;lvl=3&amp;lin=f&amp;keep=1&amp;srchmode=1&amp;unlock","Rhinella arenarum")</f>
        <v>Rhinella arenarum</v>
      </c>
      <c r="H725" t="s">
        <v>676</v>
      </c>
      <c r="I725" t="str">
        <f>HYPERLINK("http://www.ncbi.nlm.nih.gov/protein/P83409.2","RecName: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725">
        <v>100.91</v>
      </c>
      <c r="K725" t="s">
        <v>25</v>
      </c>
      <c r="L725">
        <v>139</v>
      </c>
      <c r="M725">
        <v>50.68</v>
      </c>
      <c r="N725">
        <v>40</v>
      </c>
      <c r="O725" t="s">
        <v>20</v>
      </c>
      <c r="P725" t="s">
        <v>21</v>
      </c>
      <c r="Q725" t="s">
        <v>20</v>
      </c>
      <c r="R725" t="str">
        <f>HYPERLINK("https://cfpub.epa.gov/ecotox/explore.cfm?ncbi=38577","Explore in ECOTOX")</f>
        <v>Explore in ECOTOX</v>
      </c>
    </row>
    <row r="726" spans="1:18" x14ac:dyDescent="0.25">
      <c r="A726">
        <v>6</v>
      </c>
      <c r="B726" t="str">
        <f>HYPERLINK("http://www.ncbi.nlm.nih.gov/protein/Q90239.3","Q90239.3")</f>
        <v>Q90239.3</v>
      </c>
      <c r="C726">
        <v>393</v>
      </c>
      <c r="D726" t="str">
        <f>HYPERLINK("http://www.ncbi.nlm.nih.gov/Taxonomy/Browser/wwwtax.cgi?mode=Info&amp;id=40675&amp;lvl=3&amp;lin=f&amp;keep=1&amp;srchmode=1&amp;unlock","40675")</f>
        <v>40675</v>
      </c>
      <c r="E726" t="s">
        <v>236</v>
      </c>
      <c r="F726" t="s">
        <v>236</v>
      </c>
      <c r="G726" t="str">
        <f>HYPERLINK("http://www.ncbi.nlm.nih.gov/Taxonomy/Browser/wwwtax.cgi?mode=Info&amp;id=40675&amp;lvl=3&amp;lin=f&amp;keep=1&amp;srchmode=1&amp;unlock","Anolis pulchellus")</f>
        <v>Anolis pulchellus</v>
      </c>
      <c r="H726" t="s">
        <v>677</v>
      </c>
      <c r="I726" t="str">
        <f>HYPERLINK("http://www.ncbi.nlm.nih.gov/protein/Q90239.3","RecName: Full=Fatty acid-binding protein, liver; AltName: Full=Liver basic FABP; Short=LB-FABP; AltName: Full=Liver-type fatty acid-binding protein; Short=L-FABP")</f>
        <v>RecName: Full=Fatty acid-binding protein, liver; AltName: Full=Liver basic FABP; Short=LB-FABP; AltName: Full=Liver-type fatty acid-binding protein; Short=L-FABP</v>
      </c>
      <c r="J726">
        <v>98.98</v>
      </c>
      <c r="K726" t="s">
        <v>25</v>
      </c>
      <c r="L726">
        <v>139</v>
      </c>
      <c r="M726">
        <v>50.68</v>
      </c>
      <c r="N726">
        <v>39.229999999999997</v>
      </c>
      <c r="O726" t="s">
        <v>20</v>
      </c>
      <c r="P726" t="s">
        <v>21</v>
      </c>
      <c r="Q726" t="s">
        <v>20</v>
      </c>
      <c r="R726" t="str">
        <f>HYPERLINK("https://cfpub.epa.gov/ecotox/explore.cfm?ncbi=40675","Explore in ECOTOX")</f>
        <v>Explore in ECOTOX</v>
      </c>
    </row>
    <row r="727" spans="1:18" x14ac:dyDescent="0.25">
      <c r="A727">
        <v>6</v>
      </c>
      <c r="B727" t="str">
        <f>HYPERLINK("http://www.ncbi.nlm.nih.gov/protein/QIE07388.1","QIE07388.1")</f>
        <v>QIE07388.1</v>
      </c>
      <c r="C727">
        <v>204</v>
      </c>
      <c r="D727" t="str">
        <f>HYPERLINK("http://www.ncbi.nlm.nih.gov/Taxonomy/Browser/wwwtax.cgi?mode=Info&amp;id=267130&amp;lvl=3&amp;lin=f&amp;keep=1&amp;srchmode=1&amp;unlock","267130")</f>
        <v>267130</v>
      </c>
      <c r="E727" t="s">
        <v>384</v>
      </c>
      <c r="F727" t="s">
        <v>384</v>
      </c>
      <c r="G727" t="str">
        <f>HYPERLINK("http://www.ncbi.nlm.nih.gov/Taxonomy/Browser/wwwtax.cgi?mode=Info&amp;id=267130&amp;lvl=3&amp;lin=f&amp;keep=1&amp;srchmode=1&amp;unlock","Acanthogobius hasta")</f>
        <v>Acanthogobius hasta</v>
      </c>
      <c r="H727" t="s">
        <v>678</v>
      </c>
      <c r="I727" t="str">
        <f>HYPERLINK("http://www.ncbi.nlm.nih.gov/protein/QIE07388.1","liver-type fatty acid-binding protein")</f>
        <v>liver-type fatty acid-binding protein</v>
      </c>
      <c r="J727">
        <v>98.98</v>
      </c>
      <c r="K727" t="s">
        <v>25</v>
      </c>
      <c r="L727">
        <v>139</v>
      </c>
      <c r="M727">
        <v>50.68</v>
      </c>
      <c r="N727">
        <v>39.229999999999997</v>
      </c>
      <c r="O727" t="s">
        <v>20</v>
      </c>
      <c r="P727" t="s">
        <v>21</v>
      </c>
      <c r="Q727" t="s">
        <v>20</v>
      </c>
      <c r="R727" t="str">
        <f>HYPERLINK("https://cfpub.epa.gov/ecotox/explore.cfm?ncbi=267130","Explore in ECOTOX")</f>
        <v>Explore in ECOTOX</v>
      </c>
    </row>
    <row r="728" spans="1:18" x14ac:dyDescent="0.25">
      <c r="A728">
        <v>6</v>
      </c>
      <c r="B728" t="str">
        <f>HYPERLINK("http://www.ncbi.nlm.nih.gov/protein/P80856.2","P80856.2")</f>
        <v>P80856.2</v>
      </c>
      <c r="C728">
        <v>12</v>
      </c>
      <c r="D728" t="str">
        <f>HYPERLINK("http://www.ncbi.nlm.nih.gov/Taxonomy/Browser/wwwtax.cgi?mode=Info&amp;id=55673&amp;lvl=3&amp;lin=f&amp;keep=1&amp;srchmode=1&amp;unlock","55673")</f>
        <v>55673</v>
      </c>
      <c r="E728" t="s">
        <v>384</v>
      </c>
      <c r="F728" t="s">
        <v>384</v>
      </c>
      <c r="G728" t="str">
        <f>HYPERLINK("http://www.ncbi.nlm.nih.gov/Taxonomy/Browser/wwwtax.cgi?mode=Info&amp;id=55673&amp;lvl=3&amp;lin=f&amp;keep=1&amp;srchmode=1&amp;unlock","Rhamdia sapo")</f>
        <v>Rhamdia sapo</v>
      </c>
      <c r="H728" t="s">
        <v>679</v>
      </c>
      <c r="I728" t="str">
        <f>HYPERLINK("http://www.ncbi.nlm.nih.gov/protein/P80856.2","RecName: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728">
        <v>98.98</v>
      </c>
      <c r="K728" t="s">
        <v>25</v>
      </c>
      <c r="L728">
        <v>139</v>
      </c>
      <c r="M728">
        <v>50.68</v>
      </c>
      <c r="N728">
        <v>39.229999999999997</v>
      </c>
      <c r="O728" t="s">
        <v>20</v>
      </c>
      <c r="P728" t="s">
        <v>21</v>
      </c>
      <c r="Q728" t="s">
        <v>20</v>
      </c>
      <c r="R728" t="str">
        <f>HYPERLINK("https://cfpub.epa.gov/ecotox/explore.cfm?ncbi=55673","Explore in ECOTOX")</f>
        <v>Explore in ECOTOX</v>
      </c>
    </row>
    <row r="729" spans="1:18" x14ac:dyDescent="0.25">
      <c r="A729">
        <v>6</v>
      </c>
      <c r="B729" t="str">
        <f>HYPERLINK("http://www.ncbi.nlm.nih.gov/protein/XP_032825799.1","XP_032825799.1")</f>
        <v>XP_032825799.1</v>
      </c>
      <c r="C729">
        <v>40521</v>
      </c>
      <c r="D729" t="str">
        <f>HYPERLINK("http://www.ncbi.nlm.nih.gov/Taxonomy/Browser/wwwtax.cgi?mode=Info&amp;id=7757&amp;lvl=3&amp;lin=f&amp;keep=1&amp;srchmode=1&amp;unlock","7757")</f>
        <v>7757</v>
      </c>
      <c r="E729" t="s">
        <v>680</v>
      </c>
      <c r="F729" t="s">
        <v>680</v>
      </c>
      <c r="G729" t="str">
        <f>HYPERLINK("http://www.ncbi.nlm.nih.gov/Taxonomy/Browser/wwwtax.cgi?mode=Info&amp;id=7757&amp;lvl=3&amp;lin=f&amp;keep=1&amp;srchmode=1&amp;unlock","Petromyzon marinus")</f>
        <v>Petromyzon marinus</v>
      </c>
      <c r="H729" t="s">
        <v>681</v>
      </c>
      <c r="I729" t="str">
        <f>HYPERLINK("http://www.ncbi.nlm.nih.gov/protein/XP_032825799.1","fatty acid-binding protein 1, liver-like isoform X2")</f>
        <v>fatty acid-binding protein 1, liver-like isoform X2</v>
      </c>
      <c r="J729">
        <v>98.6</v>
      </c>
      <c r="K729" t="s">
        <v>25</v>
      </c>
      <c r="L729">
        <v>139</v>
      </c>
      <c r="M729">
        <v>50.68</v>
      </c>
      <c r="N729">
        <v>39.08</v>
      </c>
      <c r="O729" t="s">
        <v>25</v>
      </c>
      <c r="P729" t="s">
        <v>21</v>
      </c>
      <c r="Q729" t="s">
        <v>20</v>
      </c>
      <c r="R729" t="str">
        <f>HYPERLINK("https://cfpub.epa.gov/ecotox/explore.cfm?ncbi=7757","Explore in ECOTOX")</f>
        <v>Explore in ECOTOX</v>
      </c>
    </row>
    <row r="730" spans="1:18" x14ac:dyDescent="0.25">
      <c r="A730">
        <v>6</v>
      </c>
      <c r="B730" t="str">
        <f>HYPERLINK("http://www.ncbi.nlm.nih.gov/protein/AIL82448.1","AIL82448.1")</f>
        <v>AIL82448.1</v>
      </c>
      <c r="C730">
        <v>585</v>
      </c>
      <c r="D730" t="str">
        <f>HYPERLINK("http://www.ncbi.nlm.nih.gov/Taxonomy/Browser/wwwtax.cgi?mode=Info&amp;id=64152&amp;lvl=3&amp;lin=f&amp;keep=1&amp;srchmode=1&amp;unlock","64152")</f>
        <v>64152</v>
      </c>
      <c r="E730" t="s">
        <v>384</v>
      </c>
      <c r="F730" t="s">
        <v>384</v>
      </c>
      <c r="G730" t="str">
        <f>HYPERLINK("http://www.ncbi.nlm.nih.gov/Taxonomy/Browser/wwwtax.cgi?mode=Info&amp;id=64152&amp;lvl=3&amp;lin=f&amp;keep=1&amp;srchmode=1&amp;unlock","Channa striata")</f>
        <v>Channa striata</v>
      </c>
      <c r="H730" t="s">
        <v>682</v>
      </c>
      <c r="I730" t="str">
        <f>HYPERLINK("http://www.ncbi.nlm.nih.gov/protein/AIL82448.1","fatty acid binding protein")</f>
        <v>fatty acid binding protein</v>
      </c>
      <c r="J730">
        <v>98.6</v>
      </c>
      <c r="K730" t="s">
        <v>25</v>
      </c>
      <c r="L730">
        <v>139</v>
      </c>
      <c r="M730">
        <v>50.68</v>
      </c>
      <c r="N730">
        <v>39.08</v>
      </c>
      <c r="O730" t="s">
        <v>20</v>
      </c>
      <c r="P730" t="s">
        <v>21</v>
      </c>
      <c r="Q730" t="s">
        <v>20</v>
      </c>
      <c r="R730" t="str">
        <f>HYPERLINK("https://cfpub.epa.gov/ecotox/explore.cfm?ncbi=64152","Explore in ECOTOX")</f>
        <v>Explore in ECOTOX</v>
      </c>
    </row>
    <row r="731" spans="1:18" x14ac:dyDescent="0.25">
      <c r="A731">
        <v>6</v>
      </c>
      <c r="B731" t="str">
        <f>HYPERLINK("http://www.ncbi.nlm.nih.gov/protein/KAF3692201.1","KAF3692201.1")</f>
        <v>KAF3692201.1</v>
      </c>
      <c r="C731">
        <v>22736</v>
      </c>
      <c r="D731" t="str">
        <f>HYPERLINK("http://www.ncbi.nlm.nih.gov/Taxonomy/Browser/wwwtax.cgi?mode=Info&amp;id=215402&amp;lvl=3&amp;lin=f&amp;keep=1&amp;srchmode=1&amp;unlock","215402")</f>
        <v>215402</v>
      </c>
      <c r="E731" t="s">
        <v>384</v>
      </c>
      <c r="F731" t="s">
        <v>384</v>
      </c>
      <c r="G731" t="str">
        <f>HYPERLINK("http://www.ncbi.nlm.nih.gov/Taxonomy/Browser/wwwtax.cgi?mode=Info&amp;id=215402&amp;lvl=3&amp;lin=f&amp;keep=1&amp;srchmode=1&amp;unlock","Channa argus")</f>
        <v>Channa argus</v>
      </c>
      <c r="H731" t="s">
        <v>683</v>
      </c>
      <c r="I731" t="str">
        <f>HYPERLINK("http://www.ncbi.nlm.nih.gov/protein/KAF3692201.1","Fatty acid-binding protein 10-A, liver basic")</f>
        <v>Fatty acid-binding protein 10-A, liver basic</v>
      </c>
      <c r="J731">
        <v>98.21</v>
      </c>
      <c r="K731" t="s">
        <v>25</v>
      </c>
      <c r="L731">
        <v>139</v>
      </c>
      <c r="M731">
        <v>50.68</v>
      </c>
      <c r="N731">
        <v>38.93</v>
      </c>
      <c r="O731" t="s">
        <v>20</v>
      </c>
      <c r="P731" t="s">
        <v>21</v>
      </c>
      <c r="Q731" t="s">
        <v>20</v>
      </c>
      <c r="R731" t="str">
        <f>HYPERLINK("https://cfpub.epa.gov/ecotox/explore.cfm?ncbi=215402","Explore in ECOTOX")</f>
        <v>Explore in ECOTOX</v>
      </c>
    </row>
    <row r="732" spans="1:18" x14ac:dyDescent="0.25">
      <c r="A732">
        <v>6</v>
      </c>
      <c r="B732" t="str">
        <f>HYPERLINK("http://www.ncbi.nlm.nih.gov/protein/ADN04913.1","ADN04913.1")</f>
        <v>ADN04913.1</v>
      </c>
      <c r="C732">
        <v>98</v>
      </c>
      <c r="D732" t="str">
        <f>HYPERLINK("http://www.ncbi.nlm.nih.gov/Taxonomy/Browser/wwwtax.cgi?mode=Info&amp;id=162300&amp;lvl=3&amp;lin=f&amp;keep=1&amp;srchmode=1&amp;unlock","162300")</f>
        <v>162300</v>
      </c>
      <c r="E732" t="s">
        <v>384</v>
      </c>
      <c r="F732" t="s">
        <v>384</v>
      </c>
      <c r="G732" t="str">
        <f>HYPERLINK("http://www.ncbi.nlm.nih.gov/Taxonomy/Browser/wwwtax.cgi?mode=Info&amp;id=162300&amp;lvl=3&amp;lin=f&amp;keep=1&amp;srchmode=1&amp;unlock","Epinephelus malabaricus")</f>
        <v>Epinephelus malabaricus</v>
      </c>
      <c r="H732" t="s">
        <v>684</v>
      </c>
      <c r="I732" t="str">
        <f>HYPERLINK("http://www.ncbi.nlm.nih.gov/protein/ADN04913.1","fatty acid-binding protein")</f>
        <v>fatty acid-binding protein</v>
      </c>
      <c r="J732">
        <v>98.21</v>
      </c>
      <c r="K732" t="s">
        <v>25</v>
      </c>
      <c r="L732">
        <v>139</v>
      </c>
      <c r="M732">
        <v>50.68</v>
      </c>
      <c r="N732">
        <v>38.93</v>
      </c>
      <c r="O732" t="s">
        <v>20</v>
      </c>
      <c r="P732" t="s">
        <v>21</v>
      </c>
      <c r="Q732" t="s">
        <v>20</v>
      </c>
      <c r="R732" t="str">
        <f>HYPERLINK("https://cfpub.epa.gov/ecotox/explore.cfm?ncbi=162300","Explore in ECOTOX")</f>
        <v>Explore in ECOTOX</v>
      </c>
    </row>
    <row r="733" spans="1:18" x14ac:dyDescent="0.25">
      <c r="A733">
        <v>6</v>
      </c>
      <c r="B733" t="str">
        <f>HYPERLINK("http://www.ncbi.nlm.nih.gov/protein/QEQ55688.1","QEQ55688.1")</f>
        <v>QEQ55688.1</v>
      </c>
      <c r="C733">
        <v>31</v>
      </c>
      <c r="D733" t="str">
        <f>HYPERLINK("http://www.ncbi.nlm.nih.gov/Taxonomy/Browser/wwwtax.cgi?mode=Info&amp;id=2528762&amp;lvl=3&amp;lin=f&amp;keep=1&amp;srchmode=1&amp;unlock","2528762")</f>
        <v>2528762</v>
      </c>
      <c r="E733" t="s">
        <v>384</v>
      </c>
      <c r="F733" t="s">
        <v>384</v>
      </c>
      <c r="G733" t="str">
        <f>HYPERLINK("http://www.ncbi.nlm.nih.gov/Taxonomy/Browser/wwwtax.cgi?mode=Info&amp;id=2528762&amp;lvl=3&amp;lin=f&amp;keep=1&amp;srchmode=1&amp;unlock","Epinephelus fuscoguttatus x Epinephelus polyphekadion")</f>
        <v>Epinephelus fuscoguttatus x Epinephelus polyphekadion</v>
      </c>
      <c r="H733" t="s">
        <v>685</v>
      </c>
      <c r="I733" t="str">
        <f>HYPERLINK("http://www.ncbi.nlm.nih.gov/protein/QEQ55688.1","fatty acid binding protein")</f>
        <v>fatty acid binding protein</v>
      </c>
      <c r="J733">
        <v>97.06</v>
      </c>
      <c r="K733" t="s">
        <v>25</v>
      </c>
      <c r="L733">
        <v>139</v>
      </c>
      <c r="M733">
        <v>50.68</v>
      </c>
      <c r="N733">
        <v>38.47</v>
      </c>
      <c r="O733" t="s">
        <v>20</v>
      </c>
      <c r="P733" t="s">
        <v>21</v>
      </c>
      <c r="Q733" t="s">
        <v>20</v>
      </c>
      <c r="R733" t="str">
        <f>HYPERLINK("https://cfpub.epa.gov/ecotox/explore.cfm?ncbi=2528762","Explore in ECOTOX")</f>
        <v>Explore in ECOTOX</v>
      </c>
    </row>
    <row r="734" spans="1:18" x14ac:dyDescent="0.25">
      <c r="A734">
        <v>6</v>
      </c>
      <c r="B734" t="str">
        <f>HYPERLINK("http://www.ncbi.nlm.nih.gov/protein/AKG51662.1","AKG51662.1")</f>
        <v>AKG51662.1</v>
      </c>
      <c r="C734">
        <v>106</v>
      </c>
      <c r="D734" t="str">
        <f>HYPERLINK("http://www.ncbi.nlm.nih.gov/Taxonomy/Browser/wwwtax.cgi?mode=Info&amp;id=183150&amp;lvl=3&amp;lin=f&amp;keep=1&amp;srchmode=1&amp;unlock","183150")</f>
        <v>183150</v>
      </c>
      <c r="E734" t="s">
        <v>384</v>
      </c>
      <c r="F734" t="s">
        <v>384</v>
      </c>
      <c r="G734" t="str">
        <f>HYPERLINK("http://www.ncbi.nlm.nih.gov/Taxonomy/Browser/wwwtax.cgi?mode=Info&amp;id=183150&amp;lvl=3&amp;lin=f&amp;keep=1&amp;srchmode=1&amp;unlock","Oryzias sinensis")</f>
        <v>Oryzias sinensis</v>
      </c>
      <c r="H734" t="s">
        <v>686</v>
      </c>
      <c r="I734" t="str">
        <f>HYPERLINK("http://www.ncbi.nlm.nih.gov/protein/AKG51662.1","fatty acid-binding protein")</f>
        <v>fatty acid-binding protein</v>
      </c>
      <c r="J734">
        <v>97.06</v>
      </c>
      <c r="K734" t="s">
        <v>25</v>
      </c>
      <c r="L734">
        <v>139</v>
      </c>
      <c r="M734">
        <v>50.68</v>
      </c>
      <c r="N734">
        <v>38.47</v>
      </c>
      <c r="O734" t="s">
        <v>20</v>
      </c>
      <c r="P734" t="s">
        <v>21</v>
      </c>
      <c r="Q734" t="s">
        <v>20</v>
      </c>
      <c r="R734" t="str">
        <f>HYPERLINK("https://cfpub.epa.gov/ecotox/explore.cfm?ncbi=183150","Explore in ECOTOX")</f>
        <v>Explore in ECOTOX</v>
      </c>
    </row>
    <row r="735" spans="1:18" x14ac:dyDescent="0.25">
      <c r="A735">
        <v>6</v>
      </c>
      <c r="B735" t="str">
        <f>HYPERLINK("http://www.ncbi.nlm.nih.gov/protein/NXI26892.1","NXI26892.1")</f>
        <v>NXI26892.1</v>
      </c>
      <c r="C735">
        <v>13252</v>
      </c>
      <c r="D735" t="str">
        <f>HYPERLINK("http://www.ncbi.nlm.nih.gov/Taxonomy/Browser/wwwtax.cgi?mode=Info&amp;id=2585820&amp;lvl=3&amp;lin=f&amp;keep=1&amp;srchmode=1&amp;unlock","2585820")</f>
        <v>2585820</v>
      </c>
      <c r="E735" t="s">
        <v>167</v>
      </c>
      <c r="F735" t="s">
        <v>167</v>
      </c>
      <c r="G735" t="str">
        <f>HYPERLINK("http://www.ncbi.nlm.nih.gov/Taxonomy/Browser/wwwtax.cgi?mode=Info&amp;id=2585820&amp;lvl=3&amp;lin=f&amp;keep=1&amp;srchmode=1&amp;unlock","Sterrhoptilus dennistouni")</f>
        <v>Sterrhoptilus dennistouni</v>
      </c>
      <c r="H735" t="s">
        <v>449</v>
      </c>
      <c r="I735" t="str">
        <f>HYPERLINK("http://www.ncbi.nlm.nih.gov/protein/NXI26892.1","FABP6 protein")</f>
        <v>FABP6 protein</v>
      </c>
      <c r="J735">
        <v>94.74</v>
      </c>
      <c r="K735" t="s">
        <v>25</v>
      </c>
      <c r="L735">
        <v>139</v>
      </c>
      <c r="M735">
        <v>50.68</v>
      </c>
      <c r="N735">
        <v>37.549999999999997</v>
      </c>
      <c r="O735" t="s">
        <v>20</v>
      </c>
      <c r="P735" t="s">
        <v>21</v>
      </c>
      <c r="Q735" t="s">
        <v>20</v>
      </c>
      <c r="R735" t="str">
        <f>HYPERLINK("https://cfpub.epa.gov/ecotox/explore.cfm?ncbi=2585820","Explore in ECOTOX")</f>
        <v>Explore in ECOTOX</v>
      </c>
    </row>
    <row r="736" spans="1:18" x14ac:dyDescent="0.25">
      <c r="A736">
        <v>6</v>
      </c>
      <c r="B736" t="str">
        <f>HYPERLINK("http://www.ncbi.nlm.nih.gov/protein/P82289.1","P82289.1")</f>
        <v>P82289.1</v>
      </c>
      <c r="C736">
        <v>167</v>
      </c>
      <c r="D736" t="str">
        <f>HYPERLINK("http://www.ncbi.nlm.nih.gov/Taxonomy/Browser/wwwtax.cgi?mode=Info&amp;id=7883&amp;lvl=3&amp;lin=f&amp;keep=1&amp;srchmode=1&amp;unlock","7883")</f>
        <v>7883</v>
      </c>
      <c r="E736" t="s">
        <v>687</v>
      </c>
      <c r="F736" t="s">
        <v>687</v>
      </c>
      <c r="G736" t="str">
        <f>HYPERLINK("http://www.ncbi.nlm.nih.gov/Taxonomy/Browser/wwwtax.cgi?mode=Info&amp;id=7883&amp;lvl=3&amp;lin=f&amp;keep=1&amp;srchmode=1&amp;unlock","Lepidosiren paradoxa")</f>
        <v>Lepidosiren paradoxa</v>
      </c>
      <c r="H736" t="s">
        <v>688</v>
      </c>
      <c r="I736" t="str">
        <f>HYPERLINK("http://www.ncbi.nlm.nih.gov/protein/P82289.1","RecName: Full=Fatty acid-binding protein, liver; AltName: Full=Fatty acid-binding protein 1; AltName: Full=Liver basic fatty acid-binding protein; Short=Lb-FABP; Short=Liver basic FABP; AltName: Full=Liver-type fatty acid-binding protein; Short=L-FABP")</f>
        <v>RecName: Full=Fatty acid-binding protein, liver; AltName: Full=Fatty acid-binding protein 1; AltName: Full=Liver basic fatty acid-binding protein; Short=Lb-FABP; Short=Liver basic FABP; AltName: Full=Liver-type fatty acid-binding protein; Short=L-FABP</v>
      </c>
      <c r="J736">
        <v>94.36</v>
      </c>
      <c r="K736" t="s">
        <v>25</v>
      </c>
      <c r="L736">
        <v>139</v>
      </c>
      <c r="M736">
        <v>50.68</v>
      </c>
      <c r="N736">
        <v>37.4</v>
      </c>
      <c r="O736" t="s">
        <v>25</v>
      </c>
      <c r="P736" t="s">
        <v>21</v>
      </c>
      <c r="Q736" t="s">
        <v>20</v>
      </c>
      <c r="R736" t="str">
        <f>HYPERLINK("https://cfpub.epa.gov/ecotox/explore.cfm?ncbi=7883","Explore in ECOTOX")</f>
        <v>Explore in ECOTOX</v>
      </c>
    </row>
    <row r="737" spans="1:18" x14ac:dyDescent="0.25">
      <c r="A737">
        <v>6</v>
      </c>
      <c r="B737" t="str">
        <f>HYPERLINK("http://www.ncbi.nlm.nih.gov/protein/AGU27162.1","AGU27162.1")</f>
        <v>AGU27162.1</v>
      </c>
      <c r="C737">
        <v>30</v>
      </c>
      <c r="D737" t="str">
        <f>HYPERLINK("http://www.ncbi.nlm.nih.gov/Taxonomy/Browser/wwwtax.cgi?mode=Info&amp;id=8847&amp;lvl=3&amp;lin=f&amp;keep=1&amp;srchmode=1&amp;unlock","8847")</f>
        <v>8847</v>
      </c>
      <c r="E737" t="s">
        <v>167</v>
      </c>
      <c r="F737" t="s">
        <v>167</v>
      </c>
      <c r="G737" t="str">
        <f>HYPERLINK("http://www.ncbi.nlm.nih.gov/Taxonomy/Browser/wwwtax.cgi?mode=Info&amp;id=8847&amp;lvl=3&amp;lin=f&amp;keep=1&amp;srchmode=1&amp;unlock","Anser sp.")</f>
        <v>Anser sp.</v>
      </c>
      <c r="H737" t="s">
        <v>689</v>
      </c>
      <c r="I737" t="str">
        <f>HYPERLINK("http://www.ncbi.nlm.nih.gov/protein/AGU27162.1","liver basic fatty acid binding protein")</f>
        <v>liver basic fatty acid binding protein</v>
      </c>
      <c r="J737">
        <v>92.05</v>
      </c>
      <c r="K737" t="s">
        <v>25</v>
      </c>
      <c r="L737">
        <v>139</v>
      </c>
      <c r="M737">
        <v>50.68</v>
      </c>
      <c r="N737">
        <v>36.479999999999997</v>
      </c>
      <c r="O737" t="s">
        <v>20</v>
      </c>
      <c r="P737" t="s">
        <v>21</v>
      </c>
      <c r="Q737" t="s">
        <v>20</v>
      </c>
      <c r="R737" t="str">
        <f>HYPERLINK("https://cfpub.epa.gov/ecotox/explore.cfm?ncbi=8847","Explore in ECOTOX")</f>
        <v>Explore in ECOTOX</v>
      </c>
    </row>
    <row r="738" spans="1:18" x14ac:dyDescent="0.25">
      <c r="A738">
        <v>6</v>
      </c>
      <c r="B738" t="str">
        <f>HYPERLINK("http://www.ncbi.nlm.nih.gov/protein/AAM21708.1","AAM21708.1")</f>
        <v>AAM21708.1</v>
      </c>
      <c r="C738">
        <v>282</v>
      </c>
      <c r="D738" t="str">
        <f>HYPERLINK("http://www.ncbi.nlm.nih.gov/Taxonomy/Browser/wwwtax.cgi?mode=Info&amp;id=72011&amp;lvl=3&amp;lin=f&amp;keep=1&amp;srchmode=1&amp;unlock","72011")</f>
        <v>72011</v>
      </c>
      <c r="E738" t="s">
        <v>384</v>
      </c>
      <c r="F738" t="s">
        <v>384</v>
      </c>
      <c r="G738" t="str">
        <f>HYPERLINK("http://www.ncbi.nlm.nih.gov/Taxonomy/Browser/wwwtax.cgi?mode=Info&amp;id=72011&amp;lvl=3&amp;lin=f&amp;keep=1&amp;srchmode=1&amp;unlock","Acanthopagrus schlegelii")</f>
        <v>Acanthopagrus schlegelii</v>
      </c>
      <c r="H738" t="s">
        <v>690</v>
      </c>
      <c r="I738" t="str">
        <f>HYPERLINK("http://www.ncbi.nlm.nih.gov/protein/AAM21708.1","liver-basic fatty acid binding protein, partial")</f>
        <v>liver-basic fatty acid binding protein, partial</v>
      </c>
      <c r="J738">
        <v>91.66</v>
      </c>
      <c r="K738" t="s">
        <v>25</v>
      </c>
      <c r="L738">
        <v>139</v>
      </c>
      <c r="M738">
        <v>50.68</v>
      </c>
      <c r="N738">
        <v>36.33</v>
      </c>
      <c r="O738" t="s">
        <v>20</v>
      </c>
      <c r="P738" t="s">
        <v>21</v>
      </c>
      <c r="Q738" t="s">
        <v>20</v>
      </c>
      <c r="R738" t="str">
        <f>HYPERLINK("https://cfpub.epa.gov/ecotox/explore.cfm?ncbi=72011","Explore in ECOTOX")</f>
        <v>Explore in ECOTOX</v>
      </c>
    </row>
    <row r="739" spans="1:18" x14ac:dyDescent="0.25">
      <c r="A739">
        <v>6</v>
      </c>
      <c r="B739" t="str">
        <f>HYPERLINK("http://www.ncbi.nlm.nih.gov/protein/CAB3244209.1","CAB3244209.1")</f>
        <v>CAB3244209.1</v>
      </c>
      <c r="C739">
        <v>9702</v>
      </c>
      <c r="D739" t="str">
        <f>HYPERLINK("http://www.ncbi.nlm.nih.gov/Taxonomy/Browser/wwwtax.cgi?mode=Info&amp;id=59560&amp;lvl=3&amp;lin=f&amp;keep=1&amp;srchmode=1&amp;unlock","59560")</f>
        <v>59560</v>
      </c>
      <c r="E739" t="s">
        <v>691</v>
      </c>
      <c r="F739" t="s">
        <v>691</v>
      </c>
      <c r="G739" t="str">
        <f>HYPERLINK("http://www.ncbi.nlm.nih.gov/Taxonomy/Browser/wwwtax.cgi?mode=Info&amp;id=59560&amp;lvl=3&amp;lin=f&amp;keep=1&amp;srchmode=1&amp;unlock","Phallusia mammillata")</f>
        <v>Phallusia mammillata</v>
      </c>
      <c r="H739" t="s">
        <v>692</v>
      </c>
      <c r="I739" t="str">
        <f>HYPERLINK("http://www.ncbi.nlm.nih.gov/protein/CAB3244209.1","fatty acid-binding protein, liver-like")</f>
        <v>fatty acid-binding protein, liver-like</v>
      </c>
      <c r="J739">
        <v>88.2</v>
      </c>
      <c r="K739" t="s">
        <v>25</v>
      </c>
      <c r="L739">
        <v>139</v>
      </c>
      <c r="M739">
        <v>50.68</v>
      </c>
      <c r="N739">
        <v>34.96</v>
      </c>
      <c r="O739" t="s">
        <v>25</v>
      </c>
      <c r="P739" t="s">
        <v>21</v>
      </c>
      <c r="Q739" t="s">
        <v>20</v>
      </c>
      <c r="R739" t="str">
        <f>HYPERLINK("https://cfpub.epa.gov/ecotox/explore.cfm?ncbi=59560","Explore in ECOTOX")</f>
        <v>Explore in ECOTOX</v>
      </c>
    </row>
    <row r="740" spans="1:18" x14ac:dyDescent="0.25">
      <c r="A740">
        <v>6</v>
      </c>
      <c r="B740" t="str">
        <f>HYPERLINK("http://www.ncbi.nlm.nih.gov/protein/BAD88796.1","BAD88796.1")</f>
        <v>BAD88796.1</v>
      </c>
      <c r="C740">
        <v>287</v>
      </c>
      <c r="D740" t="str">
        <f>HYPERLINK("http://www.ncbi.nlm.nih.gov/Taxonomy/Browser/wwwtax.cgi?mode=Info&amp;id=7726&amp;lvl=3&amp;lin=f&amp;keep=1&amp;srchmode=1&amp;unlock","7726")</f>
        <v>7726</v>
      </c>
      <c r="E740" t="s">
        <v>691</v>
      </c>
      <c r="F740" t="s">
        <v>691</v>
      </c>
      <c r="G740" t="str">
        <f>HYPERLINK("http://www.ncbi.nlm.nih.gov/Taxonomy/Browser/wwwtax.cgi?mode=Info&amp;id=7726&amp;lvl=3&amp;lin=f&amp;keep=1&amp;srchmode=1&amp;unlock","Styela plicata")</f>
        <v>Styela plicata</v>
      </c>
      <c r="H740" t="s">
        <v>693</v>
      </c>
      <c r="I740" t="str">
        <f>HYPERLINK("http://www.ncbi.nlm.nih.gov/protein/BAD88796.1","major allergen")</f>
        <v>major allergen</v>
      </c>
      <c r="J740">
        <v>79.34</v>
      </c>
      <c r="K740" t="s">
        <v>25</v>
      </c>
      <c r="L740">
        <v>139</v>
      </c>
      <c r="M740">
        <v>50.68</v>
      </c>
      <c r="N740">
        <v>31.45</v>
      </c>
      <c r="O740" t="s">
        <v>25</v>
      </c>
      <c r="P740" t="s">
        <v>21</v>
      </c>
      <c r="Q740" t="s">
        <v>20</v>
      </c>
      <c r="R740" t="str">
        <f>HYPERLINK("https://cfpub.epa.gov/ecotox/explore.cfm?ncbi=7726","Explore in ECOTOX")</f>
        <v>Explore in ECOTOX</v>
      </c>
    </row>
    <row r="741" spans="1:18" x14ac:dyDescent="0.25">
      <c r="A741">
        <v>6</v>
      </c>
      <c r="B741" t="str">
        <f>HYPERLINK("http://www.ncbi.nlm.nih.gov/protein/XP_039271601.1","XP_039271601.1")</f>
        <v>XP_039271601.1</v>
      </c>
      <c r="C741">
        <v>27543</v>
      </c>
      <c r="D741" t="str">
        <f>HYPERLINK("http://www.ncbi.nlm.nih.gov/Taxonomy/Browser/wwwtax.cgi?mode=Info&amp;id=7725&amp;lvl=3&amp;lin=f&amp;keep=1&amp;srchmode=1&amp;unlock","7725")</f>
        <v>7725</v>
      </c>
      <c r="E741" t="s">
        <v>691</v>
      </c>
      <c r="F741" t="s">
        <v>691</v>
      </c>
      <c r="G741" t="str">
        <f>HYPERLINK("http://www.ncbi.nlm.nih.gov/Taxonomy/Browser/wwwtax.cgi?mode=Info&amp;id=7725&amp;lvl=3&amp;lin=f&amp;keep=1&amp;srchmode=1&amp;unlock","Styela clava")</f>
        <v>Styela clava</v>
      </c>
      <c r="H741" t="s">
        <v>693</v>
      </c>
      <c r="I741" t="str">
        <f>HYPERLINK("http://www.ncbi.nlm.nih.gov/protein/XP_039271601.1","fatty acid-binding protein, liver-like")</f>
        <v>fatty acid-binding protein, liver-like</v>
      </c>
      <c r="J741">
        <v>79.34</v>
      </c>
      <c r="K741" t="s">
        <v>25</v>
      </c>
      <c r="L741">
        <v>139</v>
      </c>
      <c r="M741">
        <v>50.68</v>
      </c>
      <c r="N741">
        <v>31.45</v>
      </c>
      <c r="O741" t="s">
        <v>25</v>
      </c>
      <c r="P741" t="s">
        <v>21</v>
      </c>
      <c r="Q741" t="s">
        <v>20</v>
      </c>
      <c r="R741" t="str">
        <f>HYPERLINK("https://cfpub.epa.gov/ecotox/explore.cfm?ncbi=7725","Explore in ECOTOX")</f>
        <v>Explore in ECOTOX</v>
      </c>
    </row>
    <row r="742" spans="1:18" x14ac:dyDescent="0.25">
      <c r="A742">
        <v>6</v>
      </c>
      <c r="B742" t="str">
        <f>HYPERLINK("http://www.ncbi.nlm.nih.gov/protein/MBN3273683.1","MBN3273683.1")</f>
        <v>MBN3273683.1</v>
      </c>
      <c r="C742">
        <v>18732</v>
      </c>
      <c r="D742" t="str">
        <f>HYPERLINK("http://www.ncbi.nlm.nih.gov/Taxonomy/Browser/wwwtax.cgi?mode=Info&amp;id=7913&amp;lvl=3&amp;lin=f&amp;keep=1&amp;srchmode=1&amp;unlock","7913")</f>
        <v>7913</v>
      </c>
      <c r="E742" t="s">
        <v>384</v>
      </c>
      <c r="F742" t="s">
        <v>384</v>
      </c>
      <c r="G742" t="str">
        <f>HYPERLINK("http://www.ncbi.nlm.nih.gov/Taxonomy/Browser/wwwtax.cgi?mode=Info&amp;id=7913&amp;lvl=3&amp;lin=f&amp;keep=1&amp;srchmode=1&amp;unlock","Polyodon spathula")</f>
        <v>Polyodon spathula</v>
      </c>
      <c r="H742" t="s">
        <v>694</v>
      </c>
      <c r="I742" t="str">
        <f>HYPERLINK("http://www.ncbi.nlm.nih.gov/protein/MBN3273683.1","FA10A protein")</f>
        <v>FA10A protein</v>
      </c>
      <c r="J742">
        <v>77.8</v>
      </c>
      <c r="K742" t="s">
        <v>25</v>
      </c>
      <c r="L742">
        <v>139</v>
      </c>
      <c r="M742">
        <v>50.68</v>
      </c>
      <c r="N742">
        <v>30.84</v>
      </c>
      <c r="O742" t="s">
        <v>20</v>
      </c>
      <c r="P742" t="s">
        <v>21</v>
      </c>
      <c r="Q742" t="s">
        <v>20</v>
      </c>
      <c r="R742" t="str">
        <f>HYPERLINK("https://cfpub.epa.gov/ecotox/explore.cfm?ncbi=7913","Explore in ECOTOX")</f>
        <v>Explore in ECOTOX</v>
      </c>
    </row>
    <row r="743" spans="1:18" x14ac:dyDescent="0.25">
      <c r="A743">
        <v>6</v>
      </c>
      <c r="B743" t="str">
        <f>HYPERLINK("http://www.ncbi.nlm.nih.gov/protein/XP_026690735.1","XP_026690735.1")</f>
        <v>XP_026690735.1</v>
      </c>
      <c r="C743">
        <v>23440</v>
      </c>
      <c r="D743" t="str">
        <f>HYPERLINK("http://www.ncbi.nlm.nih.gov/Taxonomy/Browser/wwwtax.cgi?mode=Info&amp;id=7719&amp;lvl=3&amp;lin=f&amp;keep=1&amp;srchmode=1&amp;unlock","7719")</f>
        <v>7719</v>
      </c>
      <c r="E743" t="s">
        <v>691</v>
      </c>
      <c r="F743" t="s">
        <v>691</v>
      </c>
      <c r="G743" t="str">
        <f>HYPERLINK("http://www.ncbi.nlm.nih.gov/Taxonomy/Browser/wwwtax.cgi?mode=Info&amp;id=7719&amp;lvl=3&amp;lin=f&amp;keep=1&amp;srchmode=1&amp;unlock","Ciona intestinalis")</f>
        <v>Ciona intestinalis</v>
      </c>
      <c r="H743" t="s">
        <v>695</v>
      </c>
      <c r="I743" t="str">
        <f>HYPERLINK("http://www.ncbi.nlm.nih.gov/protein/XP_026690735.1","fatty acid-binding protein, liver-like")</f>
        <v>fatty acid-binding protein, liver-like</v>
      </c>
      <c r="J743">
        <v>77.41</v>
      </c>
      <c r="K743" t="s">
        <v>25</v>
      </c>
      <c r="L743">
        <v>139</v>
      </c>
      <c r="M743">
        <v>50.68</v>
      </c>
      <c r="N743">
        <v>30.68</v>
      </c>
      <c r="O743" t="s">
        <v>25</v>
      </c>
      <c r="P743" t="s">
        <v>21</v>
      </c>
      <c r="Q743" t="s">
        <v>20</v>
      </c>
      <c r="R743" t="str">
        <f>HYPERLINK("https://cfpub.epa.gov/ecotox/explore.cfm?ncbi=7719","Explore in ECOTOX")</f>
        <v>Explore in ECOTOX</v>
      </c>
    </row>
    <row r="744" spans="1:18" x14ac:dyDescent="0.25">
      <c r="A744">
        <v>6</v>
      </c>
      <c r="B744" t="str">
        <f>HYPERLINK("http://www.ncbi.nlm.nih.gov/protein/AAD56953.1","AAD56953.1")</f>
        <v>AAD56953.1</v>
      </c>
      <c r="C744">
        <v>169</v>
      </c>
      <c r="D744" t="str">
        <f>HYPERLINK("http://www.ncbi.nlm.nih.gov/Taxonomy/Browser/wwwtax.cgi?mode=Info&amp;id=7769&amp;lvl=3&amp;lin=f&amp;keep=1&amp;srchmode=1&amp;unlock","7769")</f>
        <v>7769</v>
      </c>
      <c r="E744" t="s">
        <v>696</v>
      </c>
      <c r="F744" t="s">
        <v>696</v>
      </c>
      <c r="G744" t="str">
        <f>HYPERLINK("http://www.ncbi.nlm.nih.gov/Taxonomy/Browser/wwwtax.cgi?mode=Info&amp;id=7769&amp;lvl=3&amp;lin=f&amp;keep=1&amp;srchmode=1&amp;unlock","Myxine glutinosa")</f>
        <v>Myxine glutinosa</v>
      </c>
      <c r="H744" t="s">
        <v>697</v>
      </c>
      <c r="I744" t="str">
        <f>HYPERLINK("http://www.ncbi.nlm.nih.gov/protein/AAD56953.1","gastrotropin")</f>
        <v>gastrotropin</v>
      </c>
      <c r="J744">
        <v>75.87</v>
      </c>
      <c r="K744" t="s">
        <v>25</v>
      </c>
      <c r="L744">
        <v>139</v>
      </c>
      <c r="M744">
        <v>50.68</v>
      </c>
      <c r="N744">
        <v>30.07</v>
      </c>
      <c r="O744" t="s">
        <v>25</v>
      </c>
      <c r="P744" t="s">
        <v>21</v>
      </c>
      <c r="Q744" t="s">
        <v>20</v>
      </c>
      <c r="R744" t="str">
        <f>HYPERLINK("https://cfpub.epa.gov/ecotox/explore.cfm?ncbi=7769","Explore in ECOTOX")</f>
        <v>Explore in ECOTOX</v>
      </c>
    </row>
    <row r="745" spans="1:18" x14ac:dyDescent="0.25">
      <c r="A745">
        <v>6</v>
      </c>
      <c r="B745" t="str">
        <f>HYPERLINK("http://www.ncbi.nlm.nih.gov/protein/BAN20163.1","BAN20163.1")</f>
        <v>BAN20163.1</v>
      </c>
      <c r="C745">
        <v>1726</v>
      </c>
      <c r="D745" t="str">
        <f>HYPERLINK("http://www.ncbi.nlm.nih.gov/Taxonomy/Browser/wwwtax.cgi?mode=Info&amp;id=329032&amp;lvl=3&amp;lin=f&amp;keep=1&amp;srchmode=1&amp;unlock","329032")</f>
        <v>329032</v>
      </c>
      <c r="E745" t="s">
        <v>698</v>
      </c>
      <c r="F745" t="s">
        <v>698</v>
      </c>
      <c r="G745" t="str">
        <f>HYPERLINK("http://www.ncbi.nlm.nih.gov/Taxonomy/Browser/wwwtax.cgi?mode=Info&amp;id=329032&amp;lvl=3&amp;lin=f&amp;keep=1&amp;srchmode=1&amp;unlock","Riptortus pedestris")</f>
        <v>Riptortus pedestris</v>
      </c>
      <c r="H745" t="s">
        <v>699</v>
      </c>
      <c r="I745" t="str">
        <f>HYPERLINK("http://www.ncbi.nlm.nih.gov/protein/BAN20163.1","allergen, putative")</f>
        <v>allergen, putative</v>
      </c>
      <c r="J745">
        <v>73.94</v>
      </c>
      <c r="K745" t="s">
        <v>25</v>
      </c>
      <c r="L745">
        <v>139</v>
      </c>
      <c r="M745">
        <v>50.68</v>
      </c>
      <c r="N745">
        <v>29.31</v>
      </c>
      <c r="O745" t="s">
        <v>25</v>
      </c>
      <c r="P745" t="s">
        <v>21</v>
      </c>
      <c r="Q745" t="s">
        <v>20</v>
      </c>
      <c r="R745" t="str">
        <f>HYPERLINK("https://cfpub.epa.gov/ecotox/explore.cfm?ncbi=329032","Explore in ECOTOX")</f>
        <v>Explore in ECOTOX</v>
      </c>
    </row>
    <row r="746" spans="1:18" x14ac:dyDescent="0.25">
      <c r="A746">
        <v>6</v>
      </c>
      <c r="B746" t="str">
        <f>HYPERLINK("http://www.ncbi.nlm.nih.gov/protein/KAF7493619.1","KAF7493619.1")</f>
        <v>KAF7493619.1</v>
      </c>
      <c r="C746">
        <v>20026</v>
      </c>
      <c r="D746" t="str">
        <f>HYPERLINK("http://www.ncbi.nlm.nih.gov/Taxonomy/Browser/wwwtax.cgi?mode=Info&amp;id=52283&amp;lvl=3&amp;lin=f&amp;keep=1&amp;srchmode=1&amp;unlock","52283")</f>
        <v>52283</v>
      </c>
      <c r="E746" t="s">
        <v>700</v>
      </c>
      <c r="F746" t="s">
        <v>700</v>
      </c>
      <c r="G746" t="str">
        <f>HYPERLINK("http://www.ncbi.nlm.nih.gov/Taxonomy/Browser/wwwtax.cgi?mode=Info&amp;id=52283&amp;lvl=3&amp;lin=f&amp;keep=1&amp;srchmode=1&amp;unlock","Sarcoptes scabiei")</f>
        <v>Sarcoptes scabiei</v>
      </c>
      <c r="H746" t="s">
        <v>701</v>
      </c>
      <c r="I746" t="str">
        <f>HYPERLINK("http://www.ncbi.nlm.nih.gov/protein/KAF7493619.1","Fatty acid-binding protein")</f>
        <v>Fatty acid-binding protein</v>
      </c>
      <c r="J746">
        <v>73.56</v>
      </c>
      <c r="K746" t="s">
        <v>25</v>
      </c>
      <c r="L746">
        <v>139</v>
      </c>
      <c r="M746">
        <v>50.68</v>
      </c>
      <c r="N746">
        <v>29.16</v>
      </c>
      <c r="O746" t="s">
        <v>25</v>
      </c>
      <c r="P746" t="s">
        <v>21</v>
      </c>
      <c r="Q746" t="s">
        <v>20</v>
      </c>
      <c r="R746" t="str">
        <f>HYPERLINK("https://cfpub.epa.gov/ecotox/explore.cfm?ncbi=52283","Explore in ECOTOX")</f>
        <v>Explore in ECOTOX</v>
      </c>
    </row>
    <row r="747" spans="1:18" x14ac:dyDescent="0.25">
      <c r="A747">
        <v>6</v>
      </c>
      <c r="B747" t="str">
        <f>HYPERLINK("http://www.ncbi.nlm.nih.gov/protein/ABL09306.1","ABL09306.1")</f>
        <v>ABL09306.1</v>
      </c>
      <c r="C747">
        <v>37</v>
      </c>
      <c r="D747" t="str">
        <f>HYPERLINK("http://www.ncbi.nlm.nih.gov/Taxonomy/Browser/wwwtax.cgi?mode=Info&amp;id=66546&amp;lvl=3&amp;lin=f&amp;keep=1&amp;srchmode=1&amp;unlock","66546")</f>
        <v>66546</v>
      </c>
      <c r="E747" t="s">
        <v>700</v>
      </c>
      <c r="F747" t="s">
        <v>700</v>
      </c>
      <c r="G747" t="str">
        <f>HYPERLINK("http://www.ncbi.nlm.nih.gov/Taxonomy/Browser/wwwtax.cgi?mode=Info&amp;id=66546&amp;lvl=3&amp;lin=f&amp;keep=1&amp;srchmode=1&amp;unlock","Acarus siro")</f>
        <v>Acarus siro</v>
      </c>
      <c r="H747" t="s">
        <v>702</v>
      </c>
      <c r="I747" t="str">
        <f>HYPERLINK("http://www.ncbi.nlm.nih.gov/protein/ABL09306.1","allergen Aca s 13")</f>
        <v>allergen Aca s 13</v>
      </c>
      <c r="J747">
        <v>73.17</v>
      </c>
      <c r="K747" t="s">
        <v>25</v>
      </c>
      <c r="L747">
        <v>139</v>
      </c>
      <c r="M747">
        <v>50.68</v>
      </c>
      <c r="N747">
        <v>29</v>
      </c>
      <c r="O747" t="s">
        <v>25</v>
      </c>
      <c r="P747" t="s">
        <v>21</v>
      </c>
      <c r="Q747" t="s">
        <v>20</v>
      </c>
      <c r="R747" t="str">
        <f>HYPERLINK("https://cfpub.epa.gov/ecotox/explore.cfm?ncbi=66546","Explore in ECOTOX")</f>
        <v>Explore in ECOTOX</v>
      </c>
    </row>
    <row r="748" spans="1:18" x14ac:dyDescent="0.25">
      <c r="A748">
        <v>6</v>
      </c>
      <c r="B748" t="str">
        <f>HYPERLINK("http://www.ncbi.nlm.nih.gov/protein/XP_019531094.1","XP_019531094.1")</f>
        <v>XP_019531094.1</v>
      </c>
      <c r="C748">
        <v>59378</v>
      </c>
      <c r="D748" t="str">
        <f>HYPERLINK("http://www.ncbi.nlm.nih.gov/Taxonomy/Browser/wwwtax.cgi?mode=Info&amp;id=7160&amp;lvl=3&amp;lin=f&amp;keep=1&amp;srchmode=1&amp;unlock","7160")</f>
        <v>7160</v>
      </c>
      <c r="E748" t="s">
        <v>698</v>
      </c>
      <c r="F748" t="s">
        <v>698</v>
      </c>
      <c r="G748" t="str">
        <f>HYPERLINK("http://www.ncbi.nlm.nih.gov/Taxonomy/Browser/wwwtax.cgi?mode=Info&amp;id=7160&amp;lvl=3&amp;lin=f&amp;keep=1&amp;srchmode=1&amp;unlock","Aedes albopictus")</f>
        <v>Aedes albopictus</v>
      </c>
      <c r="H748" t="s">
        <v>703</v>
      </c>
      <c r="I748" t="str">
        <f>HYPERLINK("http://www.ncbi.nlm.nih.gov/protein/XP_019531094.1","probable fatty acid-binding protein")</f>
        <v>probable fatty acid-binding protein</v>
      </c>
      <c r="J748">
        <v>73.17</v>
      </c>
      <c r="K748" t="s">
        <v>25</v>
      </c>
      <c r="L748">
        <v>139</v>
      </c>
      <c r="M748">
        <v>50.68</v>
      </c>
      <c r="N748">
        <v>29</v>
      </c>
      <c r="O748" t="s">
        <v>25</v>
      </c>
      <c r="P748" t="s">
        <v>21</v>
      </c>
      <c r="Q748" t="s">
        <v>20</v>
      </c>
      <c r="R748" t="str">
        <f>HYPERLINK("https://cfpub.epa.gov/ecotox/explore.cfm?ncbi=7160","Explore in ECOTOX")</f>
        <v>Explore in ECOTOX</v>
      </c>
    </row>
    <row r="749" spans="1:18" x14ac:dyDescent="0.25">
      <c r="A749">
        <v>6</v>
      </c>
      <c r="B749" t="str">
        <f>HYPERLINK("http://www.ncbi.nlm.nih.gov/protein/XP_033628071.1","XP_033628071.1")</f>
        <v>XP_033628071.1</v>
      </c>
      <c r="C749">
        <v>24290</v>
      </c>
      <c r="D749" t="str">
        <f>HYPERLINK("http://www.ncbi.nlm.nih.gov/Taxonomy/Browser/wwwtax.cgi?mode=Info&amp;id=7604&amp;lvl=3&amp;lin=f&amp;keep=1&amp;srchmode=1&amp;unlock","7604")</f>
        <v>7604</v>
      </c>
      <c r="E749" t="s">
        <v>704</v>
      </c>
      <c r="F749" t="s">
        <v>704</v>
      </c>
      <c r="G749" t="str">
        <f>HYPERLINK("http://www.ncbi.nlm.nih.gov/Taxonomy/Browser/wwwtax.cgi?mode=Info&amp;id=7604&amp;lvl=3&amp;lin=f&amp;keep=1&amp;srchmode=1&amp;unlock","Asterias rubens")</f>
        <v>Asterias rubens</v>
      </c>
      <c r="H749" t="s">
        <v>705</v>
      </c>
      <c r="I749" t="str">
        <f>HYPERLINK("http://www.ncbi.nlm.nih.gov/protein/XP_033628071.1","fatty acid-binding protein, adipocyte-like")</f>
        <v>fatty acid-binding protein, adipocyte-like</v>
      </c>
      <c r="J749">
        <v>72.790000000000006</v>
      </c>
      <c r="K749" t="s">
        <v>25</v>
      </c>
      <c r="L749">
        <v>139</v>
      </c>
      <c r="M749">
        <v>50.68</v>
      </c>
      <c r="N749">
        <v>28.85</v>
      </c>
      <c r="O749" t="s">
        <v>25</v>
      </c>
      <c r="P749" t="s">
        <v>21</v>
      </c>
      <c r="Q749" t="s">
        <v>20</v>
      </c>
      <c r="R749" t="str">
        <f>HYPERLINK("https://cfpub.epa.gov/ecotox/explore.cfm?ncbi=7604","Explore in ECOTOX")</f>
        <v>Explore in ECOTOX</v>
      </c>
    </row>
    <row r="750" spans="1:18" x14ac:dyDescent="0.25">
      <c r="A750">
        <v>6</v>
      </c>
      <c r="B750" t="str">
        <f>HYPERLINK("http://www.ncbi.nlm.nih.gov/protein/XP_022108882.1","XP_022108882.1")</f>
        <v>XP_022108882.1</v>
      </c>
      <c r="C750">
        <v>33325</v>
      </c>
      <c r="D750" t="str">
        <f>HYPERLINK("http://www.ncbi.nlm.nih.gov/Taxonomy/Browser/wwwtax.cgi?mode=Info&amp;id=133434&amp;lvl=3&amp;lin=f&amp;keep=1&amp;srchmode=1&amp;unlock","133434")</f>
        <v>133434</v>
      </c>
      <c r="E750" t="s">
        <v>704</v>
      </c>
      <c r="F750" t="s">
        <v>704</v>
      </c>
      <c r="G750" t="str">
        <f>HYPERLINK("http://www.ncbi.nlm.nih.gov/Taxonomy/Browser/wwwtax.cgi?mode=Info&amp;id=133434&amp;lvl=3&amp;lin=f&amp;keep=1&amp;srchmode=1&amp;unlock","Acanthaster planci")</f>
        <v>Acanthaster planci</v>
      </c>
      <c r="H750" t="s">
        <v>706</v>
      </c>
      <c r="I750" t="str">
        <f>HYPERLINK("http://www.ncbi.nlm.nih.gov/protein/XP_022108882.1","fatty acid-binding protein, liver-like")</f>
        <v>fatty acid-binding protein, liver-like</v>
      </c>
      <c r="J750">
        <v>71.25</v>
      </c>
      <c r="K750" t="s">
        <v>25</v>
      </c>
      <c r="L750">
        <v>139</v>
      </c>
      <c r="M750">
        <v>50.68</v>
      </c>
      <c r="N750">
        <v>28.24</v>
      </c>
      <c r="O750" t="s">
        <v>25</v>
      </c>
      <c r="P750" t="s">
        <v>21</v>
      </c>
      <c r="Q750" t="s">
        <v>20</v>
      </c>
      <c r="R750" t="str">
        <f>HYPERLINK("https://cfpub.epa.gov/ecotox/explore.cfm?ncbi=133434","Explore in ECOTOX")</f>
        <v>Explore in ECOTOX</v>
      </c>
    </row>
    <row r="751" spans="1:18" x14ac:dyDescent="0.25">
      <c r="A751">
        <v>6</v>
      </c>
      <c r="B751" t="str">
        <f>HYPERLINK("http://www.ncbi.nlm.nih.gov/protein/AAP35071.1","AAP35071.1")</f>
        <v>AAP35071.1</v>
      </c>
      <c r="C751">
        <v>91</v>
      </c>
      <c r="D751" t="str">
        <f>HYPERLINK("http://www.ncbi.nlm.nih.gov/Taxonomy/Browser/wwwtax.cgi?mode=Info&amp;id=40697&amp;lvl=3&amp;lin=f&amp;keep=1&amp;srchmode=1&amp;unlock","40697")</f>
        <v>40697</v>
      </c>
      <c r="E751" t="s">
        <v>700</v>
      </c>
      <c r="F751" t="s">
        <v>700</v>
      </c>
      <c r="G751" t="str">
        <f>HYPERLINK("http://www.ncbi.nlm.nih.gov/Taxonomy/Browser/wwwtax.cgi?mode=Info&amp;id=40697&amp;lvl=3&amp;lin=f&amp;keep=1&amp;srchmode=1&amp;unlock","Blomia tropicalis")</f>
        <v>Blomia tropicalis</v>
      </c>
      <c r="H751" t="s">
        <v>701</v>
      </c>
      <c r="I751" t="str">
        <f>HYPERLINK("http://www.ncbi.nlm.nih.gov/protein/AAP35071.1","Blo t 13 allergen")</f>
        <v>Blo t 13 allergen</v>
      </c>
      <c r="J751">
        <v>71.25</v>
      </c>
      <c r="K751" t="s">
        <v>25</v>
      </c>
      <c r="L751">
        <v>139</v>
      </c>
      <c r="M751">
        <v>50.68</v>
      </c>
      <c r="N751">
        <v>28.24</v>
      </c>
      <c r="O751" t="s">
        <v>25</v>
      </c>
      <c r="P751" t="s">
        <v>21</v>
      </c>
      <c r="Q751" t="s">
        <v>20</v>
      </c>
      <c r="R751" t="str">
        <f>HYPERLINK("https://cfpub.epa.gov/ecotox/explore.cfm?ncbi=40697","Explore in ECOTOX")</f>
        <v>Explore in ECOTOX</v>
      </c>
    </row>
    <row r="752" spans="1:18" x14ac:dyDescent="0.25">
      <c r="A752">
        <v>6</v>
      </c>
      <c r="B752" t="str">
        <f>HYPERLINK("http://www.ncbi.nlm.nih.gov/protein/ABM53751.1","ABM53751.1")</f>
        <v>ABM53751.1</v>
      </c>
      <c r="C752">
        <v>239</v>
      </c>
      <c r="D752" t="str">
        <f>HYPERLINK("http://www.ncbi.nlm.nih.gov/Taxonomy/Browser/wwwtax.cgi?mode=Info&amp;id=59818&amp;lvl=3&amp;lin=f&amp;keep=1&amp;srchmode=1&amp;unlock","59818")</f>
        <v>59818</v>
      </c>
      <c r="E752" t="s">
        <v>700</v>
      </c>
      <c r="F752" t="s">
        <v>700</v>
      </c>
      <c r="G752" t="str">
        <f>HYPERLINK("http://www.ncbi.nlm.nih.gov/Taxonomy/Browser/wwwtax.cgi?mode=Info&amp;id=59818&amp;lvl=3&amp;lin=f&amp;keep=1&amp;srchmode=1&amp;unlock","Tyrophagus putrescentiae")</f>
        <v>Tyrophagus putrescentiae</v>
      </c>
      <c r="H752" t="s">
        <v>707</v>
      </c>
      <c r="I752" t="str">
        <f>HYPERLINK("http://www.ncbi.nlm.nih.gov/protein/ABM53751.1","mite allergen Tyr p 13")</f>
        <v>mite allergen Tyr p 13</v>
      </c>
      <c r="J752">
        <v>70.86</v>
      </c>
      <c r="K752" t="s">
        <v>25</v>
      </c>
      <c r="L752">
        <v>139</v>
      </c>
      <c r="M752">
        <v>50.68</v>
      </c>
      <c r="N752">
        <v>28.09</v>
      </c>
      <c r="O752" t="s">
        <v>25</v>
      </c>
      <c r="P752" t="s">
        <v>21</v>
      </c>
      <c r="Q752" t="s">
        <v>20</v>
      </c>
      <c r="R752" t="str">
        <f>HYPERLINK("https://cfpub.epa.gov/ecotox/explore.cfm?ncbi=59818","Explore in ECOTOX")</f>
        <v>Explore in ECOTOX</v>
      </c>
    </row>
    <row r="753" spans="1:18" x14ac:dyDescent="0.25">
      <c r="A753">
        <v>6</v>
      </c>
      <c r="B753" t="str">
        <f>HYPERLINK("http://www.ncbi.nlm.nih.gov/protein/XP_017494562.1","XP_017494562.1")</f>
        <v>XP_017494562.1</v>
      </c>
      <c r="C753">
        <v>34640</v>
      </c>
      <c r="D753" t="str">
        <f>HYPERLINK("http://www.ncbi.nlm.nih.gov/Taxonomy/Browser/wwwtax.cgi?mode=Info&amp;id=28612&amp;lvl=3&amp;lin=f&amp;keep=1&amp;srchmode=1&amp;unlock","28612")</f>
        <v>28612</v>
      </c>
      <c r="E753" t="s">
        <v>698</v>
      </c>
      <c r="F753" t="s">
        <v>698</v>
      </c>
      <c r="G753" t="str">
        <f>HYPERLINK("http://www.ncbi.nlm.nih.gov/Taxonomy/Browser/wwwtax.cgi?mode=Info&amp;id=28612&amp;lvl=3&amp;lin=f&amp;keep=1&amp;srchmode=1&amp;unlock","Rhagoletis zephyria")</f>
        <v>Rhagoletis zephyria</v>
      </c>
      <c r="H753" t="s">
        <v>708</v>
      </c>
      <c r="I753" t="str">
        <f>HYPERLINK("http://www.ncbi.nlm.nih.gov/protein/XP_017494562.1","PREDICTED: fatty acid-binding protein")</f>
        <v>PREDICTED: fatty acid-binding protein</v>
      </c>
      <c r="J753">
        <v>70.86</v>
      </c>
      <c r="K753" t="s">
        <v>25</v>
      </c>
      <c r="L753">
        <v>139</v>
      </c>
      <c r="M753">
        <v>50.68</v>
      </c>
      <c r="N753">
        <v>28.09</v>
      </c>
      <c r="O753" t="s">
        <v>25</v>
      </c>
      <c r="P753" t="s">
        <v>21</v>
      </c>
      <c r="Q753" t="s">
        <v>20</v>
      </c>
      <c r="R753" t="str">
        <f>HYPERLINK("https://cfpub.epa.gov/ecotox/explore.cfm?ncbi=28612","Explore in ECOTOX")</f>
        <v>Explore in ECOTOX</v>
      </c>
    </row>
    <row r="754" spans="1:18" x14ac:dyDescent="0.25">
      <c r="A754">
        <v>6</v>
      </c>
      <c r="B754" t="str">
        <f>HYPERLINK("http://www.ncbi.nlm.nih.gov/protein/XP_021361441.1","XP_021361441.1")</f>
        <v>XP_021361441.1</v>
      </c>
      <c r="C754">
        <v>64380</v>
      </c>
      <c r="D754" t="str">
        <f>HYPERLINK("http://www.ncbi.nlm.nih.gov/Taxonomy/Browser/wwwtax.cgi?mode=Info&amp;id=6573&amp;lvl=3&amp;lin=f&amp;keep=1&amp;srchmode=1&amp;unlock","6573")</f>
        <v>6573</v>
      </c>
      <c r="E754" t="s">
        <v>709</v>
      </c>
      <c r="F754" t="s">
        <v>709</v>
      </c>
      <c r="G754" t="str">
        <f>HYPERLINK("http://www.ncbi.nlm.nih.gov/Taxonomy/Browser/wwwtax.cgi?mode=Info&amp;id=6573&amp;lvl=3&amp;lin=f&amp;keep=1&amp;srchmode=1&amp;unlock","Mizuhopecten yessoensis")</f>
        <v>Mizuhopecten yessoensis</v>
      </c>
      <c r="H754" t="s">
        <v>710</v>
      </c>
      <c r="I754" t="str">
        <f>HYPERLINK("http://www.ncbi.nlm.nih.gov/protein/XP_021361441.1","fatty acid-binding protein, brain-like")</f>
        <v>fatty acid-binding protein, brain-like</v>
      </c>
      <c r="J754">
        <v>70.86</v>
      </c>
      <c r="K754" t="s">
        <v>25</v>
      </c>
      <c r="L754">
        <v>139</v>
      </c>
      <c r="M754">
        <v>50.68</v>
      </c>
      <c r="N754">
        <v>28.09</v>
      </c>
      <c r="O754" t="s">
        <v>25</v>
      </c>
      <c r="P754" t="s">
        <v>21</v>
      </c>
      <c r="Q754" t="s">
        <v>20</v>
      </c>
      <c r="R754" t="str">
        <f>HYPERLINK("https://cfpub.epa.gov/ecotox/explore.cfm?ncbi=6573","Explore in ECOTOX")</f>
        <v>Explore in ECOTOX</v>
      </c>
    </row>
    <row r="755" spans="1:18" x14ac:dyDescent="0.25">
      <c r="A755">
        <v>6</v>
      </c>
      <c r="B755" t="str">
        <f>HYPERLINK("http://www.ncbi.nlm.nih.gov/protein/XP_027206151.1","XP_027206151.1")</f>
        <v>XP_027206151.1</v>
      </c>
      <c r="C755">
        <v>13040</v>
      </c>
      <c r="D755" t="str">
        <f>HYPERLINK("http://www.ncbi.nlm.nih.gov/Taxonomy/Browser/wwwtax.cgi?mode=Info&amp;id=6956&amp;lvl=3&amp;lin=f&amp;keep=1&amp;srchmode=1&amp;unlock","6956")</f>
        <v>6956</v>
      </c>
      <c r="E755" t="s">
        <v>700</v>
      </c>
      <c r="F755" t="s">
        <v>700</v>
      </c>
      <c r="G755" t="str">
        <f>HYPERLINK("http://www.ncbi.nlm.nih.gov/Taxonomy/Browser/wwwtax.cgi?mode=Info&amp;id=6956&amp;lvl=3&amp;lin=f&amp;keep=1&amp;srchmode=1&amp;unlock","Dermatophagoides pteronyssinus")</f>
        <v>Dermatophagoides pteronyssinus</v>
      </c>
      <c r="H755" t="s">
        <v>711</v>
      </c>
      <c r="I755" t="str">
        <f>HYPERLINK("http://www.ncbi.nlm.nih.gov/protein/XP_027206151.1","fatty acid-binding protein-like")</f>
        <v>fatty acid-binding protein-like</v>
      </c>
      <c r="J755">
        <v>69.709999999999994</v>
      </c>
      <c r="K755" t="s">
        <v>25</v>
      </c>
      <c r="L755">
        <v>139</v>
      </c>
      <c r="M755">
        <v>50.68</v>
      </c>
      <c r="N755">
        <v>27.63</v>
      </c>
      <c r="O755" t="s">
        <v>25</v>
      </c>
      <c r="P755" t="s">
        <v>21</v>
      </c>
      <c r="Q755" t="s">
        <v>20</v>
      </c>
      <c r="R755" t="str">
        <f>HYPERLINK("https://cfpub.epa.gov/ecotox/explore.cfm?ncbi=6956","Explore in ECOTOX")</f>
        <v>Explore in ECOTOX</v>
      </c>
    </row>
    <row r="756" spans="1:18" x14ac:dyDescent="0.25">
      <c r="A756">
        <v>6</v>
      </c>
      <c r="B756" t="str">
        <f>HYPERLINK("http://www.ncbi.nlm.nih.gov/protein/XP_001657349.1","XP_001657349.1")</f>
        <v>XP_001657349.1</v>
      </c>
      <c r="C756">
        <v>49790</v>
      </c>
      <c r="D756" t="str">
        <f>HYPERLINK("http://www.ncbi.nlm.nih.gov/Taxonomy/Browser/wwwtax.cgi?mode=Info&amp;id=7159&amp;lvl=3&amp;lin=f&amp;keep=1&amp;srchmode=1&amp;unlock","7159")</f>
        <v>7159</v>
      </c>
      <c r="E756" t="s">
        <v>698</v>
      </c>
      <c r="F756" t="s">
        <v>698</v>
      </c>
      <c r="G756" t="str">
        <f>HYPERLINK("http://www.ncbi.nlm.nih.gov/Taxonomy/Browser/wwwtax.cgi?mode=Info&amp;id=7159&amp;lvl=3&amp;lin=f&amp;keep=1&amp;srchmode=1&amp;unlock","Aedes aegypti")</f>
        <v>Aedes aegypti</v>
      </c>
      <c r="H756" t="s">
        <v>712</v>
      </c>
      <c r="I756" t="str">
        <f>HYPERLINK("http://www.ncbi.nlm.nih.gov/protein/XP_001657349.1","probable fatty acid-binding protein")</f>
        <v>probable fatty acid-binding protein</v>
      </c>
      <c r="J756">
        <v>69.319999999999993</v>
      </c>
      <c r="K756" t="s">
        <v>25</v>
      </c>
      <c r="L756">
        <v>139</v>
      </c>
      <c r="M756">
        <v>50.68</v>
      </c>
      <c r="N756">
        <v>27.48</v>
      </c>
      <c r="O756" t="s">
        <v>25</v>
      </c>
      <c r="P756" t="s">
        <v>21</v>
      </c>
      <c r="Q756" t="s">
        <v>20</v>
      </c>
      <c r="R756" t="str">
        <f>HYPERLINK("https://cfpub.epa.gov/ecotox/explore.cfm?ncbi=7159","Explore in ECOTOX")</f>
        <v>Explore in ECOTOX</v>
      </c>
    </row>
    <row r="757" spans="1:18" x14ac:dyDescent="0.25">
      <c r="A757">
        <v>6</v>
      </c>
      <c r="B757" t="str">
        <f>HYPERLINK("http://www.ncbi.nlm.nih.gov/protein/ABQ18251.1","ABQ18251.1")</f>
        <v>ABQ18251.1</v>
      </c>
      <c r="C757">
        <v>570</v>
      </c>
      <c r="D757" t="str">
        <f>HYPERLINK("http://www.ncbi.nlm.nih.gov/Taxonomy/Browser/wwwtax.cgi?mode=Info&amp;id=50650&amp;lvl=3&amp;lin=f&amp;keep=1&amp;srchmode=1&amp;unlock","50650")</f>
        <v>50650</v>
      </c>
      <c r="E757" t="s">
        <v>698</v>
      </c>
      <c r="F757" t="s">
        <v>698</v>
      </c>
      <c r="G757" t="str">
        <f>HYPERLINK("http://www.ncbi.nlm.nih.gov/Taxonomy/Browser/wwwtax.cgi?mode=Info&amp;id=50650&amp;lvl=3&amp;lin=f&amp;keep=1&amp;srchmode=1&amp;unlock","Lygus lineolaris")</f>
        <v>Lygus lineolaris</v>
      </c>
      <c r="H757" t="s">
        <v>713</v>
      </c>
      <c r="I757" t="str">
        <f>HYPERLINK("http://www.ncbi.nlm.nih.gov/protein/ABQ18251.1","MPA13-like protein")</f>
        <v>MPA13-like protein</v>
      </c>
      <c r="J757">
        <v>69.319999999999993</v>
      </c>
      <c r="K757" t="s">
        <v>25</v>
      </c>
      <c r="L757">
        <v>139</v>
      </c>
      <c r="M757">
        <v>50.68</v>
      </c>
      <c r="N757">
        <v>27.48</v>
      </c>
      <c r="O757" t="s">
        <v>25</v>
      </c>
      <c r="P757" t="s">
        <v>21</v>
      </c>
      <c r="Q757" t="s">
        <v>20</v>
      </c>
      <c r="R757" t="str">
        <f>HYPERLINK("https://cfpub.epa.gov/ecotox/explore.cfm?ncbi=50650","Explore in ECOTOX")</f>
        <v>Explore in ECOTOX</v>
      </c>
    </row>
    <row r="758" spans="1:18" x14ac:dyDescent="0.25">
      <c r="A758">
        <v>6</v>
      </c>
      <c r="B758" t="str">
        <f>HYPERLINK("http://www.ncbi.nlm.nih.gov/protein/CAD7637236.1","CAD7637236.1")</f>
        <v>CAD7637236.1</v>
      </c>
      <c r="C758">
        <v>23751</v>
      </c>
      <c r="D758" t="str">
        <f>HYPERLINK("http://www.ncbi.nlm.nih.gov/Taxonomy/Browser/wwwtax.cgi?mode=Info&amp;id=334625&amp;lvl=3&amp;lin=f&amp;keep=1&amp;srchmode=1&amp;unlock","334625")</f>
        <v>334625</v>
      </c>
      <c r="E758" t="s">
        <v>700</v>
      </c>
      <c r="F758" t="s">
        <v>700</v>
      </c>
      <c r="G758" t="str">
        <f>HYPERLINK("http://www.ncbi.nlm.nih.gov/Taxonomy/Browser/wwwtax.cgi?mode=Info&amp;id=334625&amp;lvl=3&amp;lin=f&amp;keep=1&amp;srchmode=1&amp;unlock","Oppiella nova")</f>
        <v>Oppiella nova</v>
      </c>
      <c r="H758" t="s">
        <v>714</v>
      </c>
      <c r="I758" t="str">
        <f>HYPERLINK("http://www.ncbi.nlm.nih.gov/protein/CAD7637236.1","unnamed protein product")</f>
        <v>unnamed protein product</v>
      </c>
      <c r="J758">
        <v>68.94</v>
      </c>
      <c r="K758" t="s">
        <v>25</v>
      </c>
      <c r="L758">
        <v>139</v>
      </c>
      <c r="M758">
        <v>50.68</v>
      </c>
      <c r="N758">
        <v>27.32</v>
      </c>
      <c r="O758" t="s">
        <v>25</v>
      </c>
      <c r="P758" t="s">
        <v>21</v>
      </c>
      <c r="Q758" t="s">
        <v>20</v>
      </c>
      <c r="R758" t="str">
        <f>HYPERLINK("https://cfpub.epa.gov/ecotox/explore.cfm?ncbi=334625","Explore in ECOTOX")</f>
        <v>Explore in ECOTOX</v>
      </c>
    </row>
    <row r="759" spans="1:18" x14ac:dyDescent="0.25">
      <c r="A759">
        <v>6</v>
      </c>
      <c r="B759" t="str">
        <f>HYPERLINK("http://www.ncbi.nlm.nih.gov/protein/EFX62638.1","EFX62638.1")</f>
        <v>EFX62638.1</v>
      </c>
      <c r="C759">
        <v>33790</v>
      </c>
      <c r="D759" t="str">
        <f>HYPERLINK("http://www.ncbi.nlm.nih.gov/Taxonomy/Browser/wwwtax.cgi?mode=Info&amp;id=6669&amp;lvl=3&amp;lin=f&amp;keep=1&amp;srchmode=1&amp;unlock","6669")</f>
        <v>6669</v>
      </c>
      <c r="E759" t="s">
        <v>715</v>
      </c>
      <c r="F759" t="s">
        <v>715</v>
      </c>
      <c r="G759" t="str">
        <f>HYPERLINK("http://www.ncbi.nlm.nih.gov/Taxonomy/Browser/wwwtax.cgi?mode=Info&amp;id=6669&amp;lvl=3&amp;lin=f&amp;keep=1&amp;srchmode=1&amp;unlock","Daphnia pulex")</f>
        <v>Daphnia pulex</v>
      </c>
      <c r="H759" t="s">
        <v>716</v>
      </c>
      <c r="I759" t="str">
        <f>HYPERLINK("http://www.ncbi.nlm.nih.gov/protein/EFX62638.1","hypothetical protein DAPPUDRAFT_300849")</f>
        <v>hypothetical protein DAPPUDRAFT_300849</v>
      </c>
      <c r="J759">
        <v>68.94</v>
      </c>
      <c r="K759" t="s">
        <v>25</v>
      </c>
      <c r="L759">
        <v>139</v>
      </c>
      <c r="M759">
        <v>50.68</v>
      </c>
      <c r="N759">
        <v>27.32</v>
      </c>
      <c r="O759" t="s">
        <v>25</v>
      </c>
      <c r="P759" t="s">
        <v>21</v>
      </c>
      <c r="Q759" t="s">
        <v>20</v>
      </c>
      <c r="R759" t="str">
        <f>HYPERLINK("https://cfpub.epa.gov/ecotox/explore.cfm?ncbi=6669","Explore in ECOTOX")</f>
        <v>Explore in ECOTOX</v>
      </c>
    </row>
    <row r="760" spans="1:18" x14ac:dyDescent="0.25">
      <c r="A760">
        <v>6</v>
      </c>
      <c r="B760" t="str">
        <f>HYPERLINK("http://www.ncbi.nlm.nih.gov/protein/XP_032798523.1","XP_032798523.1")</f>
        <v>XP_032798523.1</v>
      </c>
      <c r="C760">
        <v>55137</v>
      </c>
      <c r="D760" t="str">
        <f>HYPERLINK("http://www.ncbi.nlm.nih.gov/Taxonomy/Browser/wwwtax.cgi?mode=Info&amp;id=35525&amp;lvl=3&amp;lin=f&amp;keep=1&amp;srchmode=1&amp;unlock","35525")</f>
        <v>35525</v>
      </c>
      <c r="E760" t="s">
        <v>715</v>
      </c>
      <c r="F760" t="s">
        <v>715</v>
      </c>
      <c r="G760" t="str">
        <f>HYPERLINK("http://www.ncbi.nlm.nih.gov/Taxonomy/Browser/wwwtax.cgi?mode=Info&amp;id=35525&amp;lvl=3&amp;lin=f&amp;keep=1&amp;srchmode=1&amp;unlock","Daphnia magna")</f>
        <v>Daphnia magna</v>
      </c>
      <c r="H760" t="s">
        <v>717</v>
      </c>
      <c r="I760" t="str">
        <f>HYPERLINK("http://www.ncbi.nlm.nih.gov/protein/XP_032798523.1","fatty acid-binding protein, heart-like")</f>
        <v>fatty acid-binding protein, heart-like</v>
      </c>
      <c r="J760">
        <v>68.94</v>
      </c>
      <c r="K760" t="s">
        <v>25</v>
      </c>
      <c r="L760">
        <v>139</v>
      </c>
      <c r="M760">
        <v>50.68</v>
      </c>
      <c r="N760">
        <v>27.32</v>
      </c>
      <c r="O760" t="s">
        <v>25</v>
      </c>
      <c r="P760" t="s">
        <v>21</v>
      </c>
      <c r="Q760" t="s">
        <v>20</v>
      </c>
      <c r="R760" t="str">
        <f>HYPERLINK("https://cfpub.epa.gov/ecotox/explore.cfm?ncbi=35525","Explore in ECOTOX")</f>
        <v>Explore in ECOTOX</v>
      </c>
    </row>
    <row r="761" spans="1:18" x14ac:dyDescent="0.25">
      <c r="A761">
        <v>6</v>
      </c>
      <c r="B761" t="str">
        <f>HYPERLINK("http://www.ncbi.nlm.nih.gov/protein/XP_021925689.1","XP_021925689.1")</f>
        <v>XP_021925689.1</v>
      </c>
      <c r="C761">
        <v>44815</v>
      </c>
      <c r="D761" t="str">
        <f>HYPERLINK("http://www.ncbi.nlm.nih.gov/Taxonomy/Browser/wwwtax.cgi?mode=Info&amp;id=136037&amp;lvl=3&amp;lin=f&amp;keep=1&amp;srchmode=1&amp;unlock","136037")</f>
        <v>136037</v>
      </c>
      <c r="E761" t="s">
        <v>698</v>
      </c>
      <c r="F761" t="s">
        <v>698</v>
      </c>
      <c r="G761" t="str">
        <f>HYPERLINK("http://www.ncbi.nlm.nih.gov/Taxonomy/Browser/wwwtax.cgi?mode=Info&amp;id=136037&amp;lvl=3&amp;lin=f&amp;keep=1&amp;srchmode=1&amp;unlock","Zootermopsis nevadensis")</f>
        <v>Zootermopsis nevadensis</v>
      </c>
      <c r="H761" t="s">
        <v>718</v>
      </c>
      <c r="I761" t="str">
        <f>HYPERLINK("http://www.ncbi.nlm.nih.gov/protein/XP_021925689.1","fatty acid-binding protein, muscle-like isoform X2")</f>
        <v>fatty acid-binding protein, muscle-like isoform X2</v>
      </c>
      <c r="J761">
        <v>68.55</v>
      </c>
      <c r="K761" t="s">
        <v>25</v>
      </c>
      <c r="L761">
        <v>139</v>
      </c>
      <c r="M761">
        <v>50.68</v>
      </c>
      <c r="N761">
        <v>27.17</v>
      </c>
      <c r="O761" t="s">
        <v>25</v>
      </c>
      <c r="P761" t="s">
        <v>21</v>
      </c>
      <c r="Q761" t="s">
        <v>20</v>
      </c>
      <c r="R761" t="str">
        <f>HYPERLINK("https://cfpub.epa.gov/ecotox/explore.cfm?ncbi=136037","Explore in ECOTOX")</f>
        <v>Explore in ECOTOX</v>
      </c>
    </row>
    <row r="762" spans="1:18" x14ac:dyDescent="0.25">
      <c r="A762">
        <v>6</v>
      </c>
      <c r="B762" t="str">
        <f>HYPERLINK("http://www.ncbi.nlm.nih.gov/protein/XP_038059816.1","XP_038059816.1")</f>
        <v>XP_038059816.1</v>
      </c>
      <c r="C762">
        <v>35628</v>
      </c>
      <c r="D762" t="str">
        <f>HYPERLINK("http://www.ncbi.nlm.nih.gov/Taxonomy/Browser/wwwtax.cgi?mode=Info&amp;id=46514&amp;lvl=3&amp;lin=f&amp;keep=1&amp;srchmode=1&amp;unlock","46514")</f>
        <v>46514</v>
      </c>
      <c r="E762" t="s">
        <v>704</v>
      </c>
      <c r="F762" t="s">
        <v>704</v>
      </c>
      <c r="G762" t="str">
        <f>HYPERLINK("http://www.ncbi.nlm.nih.gov/Taxonomy/Browser/wwwtax.cgi?mode=Info&amp;id=46514&amp;lvl=3&amp;lin=f&amp;keep=1&amp;srchmode=1&amp;unlock","Patiria miniata")</f>
        <v>Patiria miniata</v>
      </c>
      <c r="H762" t="s">
        <v>719</v>
      </c>
      <c r="I762" t="str">
        <f>HYPERLINK("http://www.ncbi.nlm.nih.gov/protein/XP_038059816.1","fatty acid-binding protein, liver-like")</f>
        <v>fatty acid-binding protein, liver-like</v>
      </c>
      <c r="J762">
        <v>68.17</v>
      </c>
      <c r="K762" t="s">
        <v>25</v>
      </c>
      <c r="L762">
        <v>139</v>
      </c>
      <c r="M762">
        <v>50.68</v>
      </c>
      <c r="N762">
        <v>27.02</v>
      </c>
      <c r="O762" t="s">
        <v>25</v>
      </c>
      <c r="P762" t="s">
        <v>21</v>
      </c>
      <c r="Q762" t="s">
        <v>20</v>
      </c>
      <c r="R762" t="str">
        <f>HYPERLINK("https://cfpub.epa.gov/ecotox/explore.cfm?ncbi=46514","Explore in ECOTOX")</f>
        <v>Explore in ECOTOX</v>
      </c>
    </row>
    <row r="763" spans="1:18" x14ac:dyDescent="0.25">
      <c r="A763">
        <v>6</v>
      </c>
      <c r="B763" t="str">
        <f>HYPERLINK("http://www.ncbi.nlm.nih.gov/protein/XP_014675677.1","XP_014675677.1")</f>
        <v>XP_014675677.1</v>
      </c>
      <c r="C763">
        <v>20818</v>
      </c>
      <c r="D763" t="str">
        <f>HYPERLINK("http://www.ncbi.nlm.nih.gov/Taxonomy/Browser/wwwtax.cgi?mode=Info&amp;id=37621&amp;lvl=3&amp;lin=f&amp;keep=1&amp;srchmode=1&amp;unlock","37621")</f>
        <v>37621</v>
      </c>
      <c r="E763" t="s">
        <v>720</v>
      </c>
      <c r="F763" t="s">
        <v>720</v>
      </c>
      <c r="G763" t="str">
        <f>HYPERLINK("http://www.ncbi.nlm.nih.gov/Taxonomy/Browser/wwwtax.cgi?mode=Info&amp;id=37621&amp;lvl=3&amp;lin=f&amp;keep=1&amp;srchmode=1&amp;unlock","Priapulus caudatus")</f>
        <v>Priapulus caudatus</v>
      </c>
      <c r="H763" t="s">
        <v>721</v>
      </c>
      <c r="I763" t="str">
        <f>HYPERLINK("http://www.ncbi.nlm.nih.gov/protein/XP_014675677.1","PREDICTED: fatty acid-binding protein, heart-like")</f>
        <v>PREDICTED: fatty acid-binding protein, heart-like</v>
      </c>
      <c r="J763">
        <v>68.17</v>
      </c>
      <c r="K763" t="s">
        <v>25</v>
      </c>
      <c r="L763">
        <v>139</v>
      </c>
      <c r="M763">
        <v>50.68</v>
      </c>
      <c r="N763">
        <v>27.02</v>
      </c>
      <c r="O763" t="s">
        <v>25</v>
      </c>
      <c r="P763" t="s">
        <v>21</v>
      </c>
      <c r="Q763" t="s">
        <v>20</v>
      </c>
      <c r="R763" t="str">
        <f>HYPERLINK("https://cfpub.epa.gov/ecotox/explore.cfm?ncbi=37621","Explore in ECOTOX")</f>
        <v>Explore in ECOTOX</v>
      </c>
    </row>
    <row r="764" spans="1:18" x14ac:dyDescent="0.25">
      <c r="A764">
        <v>6</v>
      </c>
      <c r="B764" t="str">
        <f>HYPERLINK("http://www.ncbi.nlm.nih.gov/protein/GBM71330.1","GBM71330.1")</f>
        <v>GBM71330.1</v>
      </c>
      <c r="C764">
        <v>278502</v>
      </c>
      <c r="D764" t="str">
        <f>HYPERLINK("http://www.ncbi.nlm.nih.gov/Taxonomy/Browser/wwwtax.cgi?mode=Info&amp;id=182803&amp;lvl=3&amp;lin=f&amp;keep=1&amp;srchmode=1&amp;unlock","182803")</f>
        <v>182803</v>
      </c>
      <c r="E764" t="s">
        <v>700</v>
      </c>
      <c r="F764" t="s">
        <v>700</v>
      </c>
      <c r="G764" t="str">
        <f>HYPERLINK("http://www.ncbi.nlm.nih.gov/Taxonomy/Browser/wwwtax.cgi?mode=Info&amp;id=182803&amp;lvl=3&amp;lin=f&amp;keep=1&amp;srchmode=1&amp;unlock","Araneus ventricosus")</f>
        <v>Araneus ventricosus</v>
      </c>
      <c r="H764" t="s">
        <v>722</v>
      </c>
      <c r="I764" t="str">
        <f>HYPERLINK("http://www.ncbi.nlm.nih.gov/protein/GBM71330.1","Fatty acid-binding protein")</f>
        <v>Fatty acid-binding protein</v>
      </c>
      <c r="J764">
        <v>68.17</v>
      </c>
      <c r="K764" t="s">
        <v>25</v>
      </c>
      <c r="L764">
        <v>139</v>
      </c>
      <c r="M764">
        <v>50.68</v>
      </c>
      <c r="N764">
        <v>27.02</v>
      </c>
      <c r="O764" t="s">
        <v>25</v>
      </c>
      <c r="P764" t="s">
        <v>21</v>
      </c>
      <c r="Q764" t="s">
        <v>20</v>
      </c>
      <c r="R764" t="str">
        <f>HYPERLINK("https://cfpub.epa.gov/ecotox/explore.cfm?ncbi=182803","Explore in ECOTOX")</f>
        <v>Explore in ECOTOX</v>
      </c>
    </row>
    <row r="765" spans="1:18" x14ac:dyDescent="0.25">
      <c r="A765">
        <v>6</v>
      </c>
      <c r="B765" t="str">
        <f>HYPERLINK("http://www.ncbi.nlm.nih.gov/protein/XP_039444425.1","XP_039444425.1")</f>
        <v>XP_039444425.1</v>
      </c>
      <c r="C765">
        <v>25415</v>
      </c>
      <c r="D765" t="str">
        <f>HYPERLINK("http://www.ncbi.nlm.nih.gov/Taxonomy/Browser/wwwtax.cgi?mode=Info&amp;id=42434&amp;lvl=3&amp;lin=f&amp;keep=1&amp;srchmode=1&amp;unlock","42434")</f>
        <v>42434</v>
      </c>
      <c r="E765" t="s">
        <v>698</v>
      </c>
      <c r="F765" t="s">
        <v>698</v>
      </c>
      <c r="G765" t="str">
        <f>HYPERLINK("http://www.ncbi.nlm.nih.gov/Taxonomy/Browser/wwwtax.cgi?mode=Info&amp;id=42434&amp;lvl=3&amp;lin=f&amp;keep=1&amp;srchmode=1&amp;unlock","Culex pipiens pallens")</f>
        <v>Culex pipiens pallens</v>
      </c>
      <c r="H765" t="s">
        <v>723</v>
      </c>
      <c r="I765" t="str">
        <f>HYPERLINK("http://www.ncbi.nlm.nih.gov/protein/XP_039444425.1","probable fatty acid-binding protein")</f>
        <v>probable fatty acid-binding protein</v>
      </c>
      <c r="J765">
        <v>67.400000000000006</v>
      </c>
      <c r="K765" t="s">
        <v>25</v>
      </c>
      <c r="L765">
        <v>139</v>
      </c>
      <c r="M765">
        <v>50.68</v>
      </c>
      <c r="N765">
        <v>26.71</v>
      </c>
      <c r="O765" t="s">
        <v>25</v>
      </c>
      <c r="P765" t="s">
        <v>21</v>
      </c>
      <c r="Q765" t="s">
        <v>20</v>
      </c>
      <c r="R765" t="str">
        <f>HYPERLINK("https://cfpub.epa.gov/ecotox/explore.cfm?ncbi=42434","Explore in ECOTOX")</f>
        <v>Explore in ECOTOX</v>
      </c>
    </row>
    <row r="766" spans="1:18" x14ac:dyDescent="0.25">
      <c r="A766">
        <v>6</v>
      </c>
      <c r="B766" t="str">
        <f>HYPERLINK("http://www.ncbi.nlm.nih.gov/protein/XP_001869468.1","XP_001869468.1")</f>
        <v>XP_001869468.1</v>
      </c>
      <c r="C766">
        <v>44279</v>
      </c>
      <c r="D766" t="str">
        <f>HYPERLINK("http://www.ncbi.nlm.nih.gov/Taxonomy/Browser/wwwtax.cgi?mode=Info&amp;id=7176&amp;lvl=3&amp;lin=f&amp;keep=1&amp;srchmode=1&amp;unlock","7176")</f>
        <v>7176</v>
      </c>
      <c r="E766" t="s">
        <v>698</v>
      </c>
      <c r="F766" t="s">
        <v>698</v>
      </c>
      <c r="G766" t="str">
        <f>HYPERLINK("http://www.ncbi.nlm.nih.gov/Taxonomy/Browser/wwwtax.cgi?mode=Info&amp;id=7176&amp;lvl=3&amp;lin=f&amp;keep=1&amp;srchmode=1&amp;unlock","Culex quinquefasciatus")</f>
        <v>Culex quinquefasciatus</v>
      </c>
      <c r="H766" t="s">
        <v>724</v>
      </c>
      <c r="I766" t="str">
        <f>HYPERLINK("http://www.ncbi.nlm.nih.gov/protein/XP_001869468.1","probable fatty acid-binding protein")</f>
        <v>probable fatty acid-binding protein</v>
      </c>
      <c r="J766">
        <v>67.400000000000006</v>
      </c>
      <c r="K766" t="s">
        <v>25</v>
      </c>
      <c r="L766">
        <v>139</v>
      </c>
      <c r="M766">
        <v>50.68</v>
      </c>
      <c r="N766">
        <v>26.71</v>
      </c>
      <c r="O766" t="s">
        <v>25</v>
      </c>
      <c r="P766" t="s">
        <v>21</v>
      </c>
      <c r="Q766" t="s">
        <v>20</v>
      </c>
      <c r="R766" t="str">
        <f>HYPERLINK("https://cfpub.epa.gov/ecotox/explore.cfm?ncbi=7176","Explore in ECOTOX")</f>
        <v>Explore in ECOTOX</v>
      </c>
    </row>
    <row r="767" spans="1:18" x14ac:dyDescent="0.25">
      <c r="A767">
        <v>6</v>
      </c>
      <c r="B767" t="str">
        <f>HYPERLINK("http://www.ncbi.nlm.nih.gov/protein/XP_019632863.1","XP_019632863.1")</f>
        <v>XP_019632863.1</v>
      </c>
      <c r="C767">
        <v>35242</v>
      </c>
      <c r="D767" t="str">
        <f>HYPERLINK("http://www.ncbi.nlm.nih.gov/Taxonomy/Browser/wwwtax.cgi?mode=Info&amp;id=7741&amp;lvl=3&amp;lin=f&amp;keep=1&amp;srchmode=1&amp;unlock","7741")</f>
        <v>7741</v>
      </c>
      <c r="E767" t="s">
        <v>725</v>
      </c>
      <c r="F767" t="s">
        <v>725</v>
      </c>
      <c r="G767" t="str">
        <f>HYPERLINK("http://www.ncbi.nlm.nih.gov/Taxonomy/Browser/wwwtax.cgi?mode=Info&amp;id=7741&amp;lvl=3&amp;lin=f&amp;keep=1&amp;srchmode=1&amp;unlock","Branchiostoma belcheri")</f>
        <v>Branchiostoma belcheri</v>
      </c>
      <c r="H767" t="s">
        <v>726</v>
      </c>
      <c r="I767" t="str">
        <f>HYPERLINK("http://www.ncbi.nlm.nih.gov/protein/XP_019632863.1","PREDICTED: fatty acid-binding protein, brain-like")</f>
        <v>PREDICTED: fatty acid-binding protein, brain-like</v>
      </c>
      <c r="J767">
        <v>67.400000000000006</v>
      </c>
      <c r="K767" t="s">
        <v>25</v>
      </c>
      <c r="L767">
        <v>139</v>
      </c>
      <c r="M767">
        <v>50.68</v>
      </c>
      <c r="N767">
        <v>26.71</v>
      </c>
      <c r="O767" t="s">
        <v>25</v>
      </c>
      <c r="P767" t="s">
        <v>21</v>
      </c>
      <c r="Q767" t="s">
        <v>20</v>
      </c>
      <c r="R767" t="str">
        <f>HYPERLINK("https://cfpub.epa.gov/ecotox/explore.cfm?ncbi=7741","Explore in ECOTOX")</f>
        <v>Explore in ECOTOX</v>
      </c>
    </row>
    <row r="768" spans="1:18" x14ac:dyDescent="0.25">
      <c r="A768">
        <v>6</v>
      </c>
      <c r="B768" t="str">
        <f>HYPERLINK("http://www.ncbi.nlm.nih.gov/protein/XP_035661034.1","XP_035661034.1")</f>
        <v>XP_035661034.1</v>
      </c>
      <c r="C768">
        <v>44085</v>
      </c>
      <c r="D768" t="str">
        <f>HYPERLINK("http://www.ncbi.nlm.nih.gov/Taxonomy/Browser/wwwtax.cgi?mode=Info&amp;id=7739&amp;lvl=3&amp;lin=f&amp;keep=1&amp;srchmode=1&amp;unlock","7739")</f>
        <v>7739</v>
      </c>
      <c r="E768" t="s">
        <v>725</v>
      </c>
      <c r="F768" t="s">
        <v>725</v>
      </c>
      <c r="G768" t="str">
        <f>HYPERLINK("http://www.ncbi.nlm.nih.gov/Taxonomy/Browser/wwwtax.cgi?mode=Info&amp;id=7739&amp;lvl=3&amp;lin=f&amp;keep=1&amp;srchmode=1&amp;unlock","Branchiostoma floridae")</f>
        <v>Branchiostoma floridae</v>
      </c>
      <c r="H768" t="s">
        <v>727</v>
      </c>
      <c r="I768" t="str">
        <f>HYPERLINK("http://www.ncbi.nlm.nih.gov/protein/XP_035661034.1","fatty acid-binding protein, liver-like")</f>
        <v>fatty acid-binding protein, liver-like</v>
      </c>
      <c r="J768">
        <v>66.63</v>
      </c>
      <c r="K768" t="s">
        <v>25</v>
      </c>
      <c r="L768">
        <v>139</v>
      </c>
      <c r="M768">
        <v>50.68</v>
      </c>
      <c r="N768">
        <v>26.41</v>
      </c>
      <c r="O768" t="s">
        <v>25</v>
      </c>
      <c r="P768" t="s">
        <v>21</v>
      </c>
      <c r="Q768" t="s">
        <v>20</v>
      </c>
      <c r="R768" t="str">
        <f>HYPERLINK("https://cfpub.epa.gov/ecotox/explore.cfm?ncbi=7739","Explore in ECOTOX")</f>
        <v>Explore in ECOTOX</v>
      </c>
    </row>
    <row r="769" spans="1:18" x14ac:dyDescent="0.25">
      <c r="A769">
        <v>6</v>
      </c>
      <c r="B769" t="str">
        <f>HYPERLINK("http://www.ncbi.nlm.nih.gov/protein/CAD7590723.1","CAD7590723.1")</f>
        <v>CAD7590723.1</v>
      </c>
      <c r="C769">
        <v>12278</v>
      </c>
      <c r="D769" t="str">
        <f>HYPERLINK("http://www.ncbi.nlm.nih.gov/Taxonomy/Browser/wwwtax.cgi?mode=Info&amp;id=629358&amp;lvl=3&amp;lin=f&amp;keep=1&amp;srchmode=1&amp;unlock","629358")</f>
        <v>629358</v>
      </c>
      <c r="E769" t="s">
        <v>698</v>
      </c>
      <c r="F769" t="s">
        <v>698</v>
      </c>
      <c r="G769" t="str">
        <f>HYPERLINK("http://www.ncbi.nlm.nih.gov/Taxonomy/Browser/wwwtax.cgi?mode=Info&amp;id=629358&amp;lvl=3&amp;lin=f&amp;keep=1&amp;srchmode=1&amp;unlock","Timema genevievae")</f>
        <v>Timema genevievae</v>
      </c>
      <c r="H769" t="s">
        <v>728</v>
      </c>
      <c r="I769" t="str">
        <f>HYPERLINK("http://www.ncbi.nlm.nih.gov/protein/CAD7590723.1","unnamed protein product")</f>
        <v>unnamed protein product</v>
      </c>
      <c r="J769">
        <v>66.63</v>
      </c>
      <c r="K769" t="s">
        <v>25</v>
      </c>
      <c r="L769">
        <v>139</v>
      </c>
      <c r="M769">
        <v>50.68</v>
      </c>
      <c r="N769">
        <v>26.41</v>
      </c>
      <c r="O769" t="s">
        <v>25</v>
      </c>
      <c r="P769" t="s">
        <v>21</v>
      </c>
      <c r="Q769" t="s">
        <v>20</v>
      </c>
      <c r="R769" t="str">
        <f>HYPERLINK("https://cfpub.epa.gov/ecotox/explore.cfm?ncbi=629358","Explore in ECOTOX")</f>
        <v>Explore in ECOTOX</v>
      </c>
    </row>
    <row r="770" spans="1:18" x14ac:dyDescent="0.25">
      <c r="A770">
        <v>6</v>
      </c>
      <c r="B770" t="str">
        <f>HYPERLINK("http://www.ncbi.nlm.nih.gov/protein/KAF6213018.1","KAF6213018.1")</f>
        <v>KAF6213018.1</v>
      </c>
      <c r="C770">
        <v>20517</v>
      </c>
      <c r="D770" t="str">
        <f>HYPERLINK("http://www.ncbi.nlm.nih.gov/Taxonomy/Browser/wwwtax.cgi?mode=Info&amp;id=248454&amp;lvl=3&amp;lin=f&amp;keep=1&amp;srchmode=1&amp;unlock","248454")</f>
        <v>248454</v>
      </c>
      <c r="E770" t="s">
        <v>698</v>
      </c>
      <c r="F770" t="s">
        <v>698</v>
      </c>
      <c r="G770" t="str">
        <f>HYPERLINK("http://www.ncbi.nlm.nih.gov/Taxonomy/Browser/wwwtax.cgi?mode=Info&amp;id=248454&amp;lvl=3&amp;lin=f&amp;keep=1&amp;srchmode=1&amp;unlock","Apolygus lucorum")</f>
        <v>Apolygus lucorum</v>
      </c>
      <c r="H770" t="s">
        <v>729</v>
      </c>
      <c r="I770" t="str">
        <f>HYPERLINK("http://www.ncbi.nlm.nih.gov/protein/KAF6213018.1","hypothetical protein GE061_010732")</f>
        <v>hypothetical protein GE061_010732</v>
      </c>
      <c r="J770">
        <v>66.239999999999995</v>
      </c>
      <c r="K770" t="s">
        <v>25</v>
      </c>
      <c r="L770">
        <v>139</v>
      </c>
      <c r="M770">
        <v>50.68</v>
      </c>
      <c r="N770">
        <v>26.26</v>
      </c>
      <c r="O770" t="s">
        <v>25</v>
      </c>
      <c r="P770" t="s">
        <v>21</v>
      </c>
      <c r="Q770" t="s">
        <v>20</v>
      </c>
      <c r="R770" t="str">
        <f>HYPERLINK("https://cfpub.epa.gov/ecotox/explore.cfm?ncbi=248454","Explore in ECOTOX")</f>
        <v>Explore in ECOTOX</v>
      </c>
    </row>
    <row r="771" spans="1:18" x14ac:dyDescent="0.25">
      <c r="A771">
        <v>6</v>
      </c>
      <c r="B771" t="str">
        <f>HYPERLINK("http://www.ncbi.nlm.nih.gov/protein/CAB3369628.1","CAB3369628.1")</f>
        <v>CAB3369628.1</v>
      </c>
      <c r="C771">
        <v>31082</v>
      </c>
      <c r="D771" t="str">
        <f>HYPERLINK("http://www.ncbi.nlm.nih.gov/Taxonomy/Browser/wwwtax.cgi?mode=Info&amp;id=197152&amp;lvl=3&amp;lin=f&amp;keep=1&amp;srchmode=1&amp;unlock","197152")</f>
        <v>197152</v>
      </c>
      <c r="E771" t="s">
        <v>698</v>
      </c>
      <c r="F771" t="s">
        <v>698</v>
      </c>
      <c r="G771" t="str">
        <f>HYPERLINK("http://www.ncbi.nlm.nih.gov/Taxonomy/Browser/wwwtax.cgi?mode=Info&amp;id=197152&amp;lvl=3&amp;lin=f&amp;keep=1&amp;srchmode=1&amp;unlock","Cloeon dipterum")</f>
        <v>Cloeon dipterum</v>
      </c>
      <c r="H771" t="s">
        <v>730</v>
      </c>
      <c r="I771" t="str">
        <f>HYPERLINK("http://www.ncbi.nlm.nih.gov/protein/CAB3369628.1","Hypothetical predicted protein")</f>
        <v>Hypothetical predicted protein</v>
      </c>
      <c r="J771">
        <v>66.239999999999995</v>
      </c>
      <c r="K771" t="s">
        <v>25</v>
      </c>
      <c r="L771">
        <v>139</v>
      </c>
      <c r="M771">
        <v>50.68</v>
      </c>
      <c r="N771">
        <v>26.26</v>
      </c>
      <c r="O771" t="s">
        <v>25</v>
      </c>
      <c r="P771" t="s">
        <v>21</v>
      </c>
      <c r="Q771" t="s">
        <v>20</v>
      </c>
      <c r="R771" t="str">
        <f>HYPERLINK("https://cfpub.epa.gov/ecotox/explore.cfm?ncbi=197152","Explore in ECOTOX")</f>
        <v>Explore in ECOTOX</v>
      </c>
    </row>
    <row r="772" spans="1:18" x14ac:dyDescent="0.25">
      <c r="A772">
        <v>6</v>
      </c>
      <c r="B772" t="str">
        <f>HYPERLINK("http://www.ncbi.nlm.nih.gov/protein/AAP35078.1","AAP35078.1")</f>
        <v>AAP35078.1</v>
      </c>
      <c r="C772">
        <v>358</v>
      </c>
      <c r="D772" t="str">
        <f>HYPERLINK("http://www.ncbi.nlm.nih.gov/Taxonomy/Browser/wwwtax.cgi?mode=Info&amp;id=6954&amp;lvl=3&amp;lin=f&amp;keep=1&amp;srchmode=1&amp;unlock","6954")</f>
        <v>6954</v>
      </c>
      <c r="E772" t="s">
        <v>700</v>
      </c>
      <c r="F772" t="s">
        <v>700</v>
      </c>
      <c r="G772" t="str">
        <f>HYPERLINK("http://www.ncbi.nlm.nih.gov/Taxonomy/Browser/wwwtax.cgi?mode=Info&amp;id=6954&amp;lvl=3&amp;lin=f&amp;keep=1&amp;srchmode=1&amp;unlock","Dermatophagoides farinae")</f>
        <v>Dermatophagoides farinae</v>
      </c>
      <c r="H772" t="s">
        <v>731</v>
      </c>
      <c r="I772" t="str">
        <f>HYPERLINK("http://www.ncbi.nlm.nih.gov/protein/AAP35078.1","Der f 13 allergen")</f>
        <v>Der f 13 allergen</v>
      </c>
      <c r="J772">
        <v>65.86</v>
      </c>
      <c r="K772" t="s">
        <v>25</v>
      </c>
      <c r="L772">
        <v>139</v>
      </c>
      <c r="M772">
        <v>50.68</v>
      </c>
      <c r="N772">
        <v>26.1</v>
      </c>
      <c r="O772" t="s">
        <v>25</v>
      </c>
      <c r="P772" t="s">
        <v>21</v>
      </c>
      <c r="Q772" t="s">
        <v>20</v>
      </c>
      <c r="R772" t="str">
        <f>HYPERLINK("https://cfpub.epa.gov/ecotox/explore.cfm?ncbi=6954","Explore in ECOTOX")</f>
        <v>Explore in ECOTOX</v>
      </c>
    </row>
    <row r="773" spans="1:18" x14ac:dyDescent="0.25">
      <c r="A773">
        <v>6</v>
      </c>
      <c r="B773" t="str">
        <f>HYPERLINK("http://www.ncbi.nlm.nih.gov/protein/AGM32122.1","AGM32122.1")</f>
        <v>AGM32122.1</v>
      </c>
      <c r="C773">
        <v>14160</v>
      </c>
      <c r="D773" t="str">
        <f>HYPERLINK("http://www.ncbi.nlm.nih.gov/Taxonomy/Browser/wwwtax.cgi?mode=Info&amp;id=36987&amp;lvl=3&amp;lin=f&amp;keep=1&amp;srchmode=1&amp;unlock","36987")</f>
        <v>36987</v>
      </c>
      <c r="E773" t="s">
        <v>698</v>
      </c>
      <c r="F773" t="s">
        <v>698</v>
      </c>
      <c r="G773" t="str">
        <f>HYPERLINK("http://www.ncbi.nlm.nih.gov/Taxonomy/Browser/wwwtax.cgi?mode=Info&amp;id=36987&amp;lvl=3&amp;lin=f&amp;keep=1&amp;srchmode=1&amp;unlock","Coptotermes formosanus")</f>
        <v>Coptotermes formosanus</v>
      </c>
      <c r="H773" t="s">
        <v>732</v>
      </c>
      <c r="I773" t="str">
        <f>HYPERLINK("http://www.ncbi.nlm.nih.gov/protein/AGM32122.1","lipocalin / cytosolic fatty-acid binding protein")</f>
        <v>lipocalin / cytosolic fatty-acid binding protein</v>
      </c>
      <c r="J773">
        <v>65.86</v>
      </c>
      <c r="K773" t="s">
        <v>25</v>
      </c>
      <c r="L773">
        <v>139</v>
      </c>
      <c r="M773">
        <v>50.68</v>
      </c>
      <c r="N773">
        <v>26.1</v>
      </c>
      <c r="O773" t="s">
        <v>25</v>
      </c>
      <c r="P773" t="s">
        <v>21</v>
      </c>
      <c r="Q773" t="s">
        <v>20</v>
      </c>
      <c r="R773" t="str">
        <f>HYPERLINK("https://cfpub.epa.gov/ecotox/explore.cfm?ncbi=36987","Explore in ECOTOX")</f>
        <v>Explore in ECOTOX</v>
      </c>
    </row>
    <row r="774" spans="1:18" x14ac:dyDescent="0.25">
      <c r="A774">
        <v>6</v>
      </c>
      <c r="B774" t="str">
        <f>HYPERLINK("http://www.ncbi.nlm.nih.gov/protein/XP_023703141.1","XP_023703141.1")</f>
        <v>XP_023703141.1</v>
      </c>
      <c r="C774">
        <v>59778</v>
      </c>
      <c r="D774" t="str">
        <f>HYPERLINK("http://www.ncbi.nlm.nih.gov/Taxonomy/Browser/wwwtax.cgi?mode=Info&amp;id=105785&amp;lvl=3&amp;lin=f&amp;keep=1&amp;srchmode=1&amp;unlock","105785")</f>
        <v>105785</v>
      </c>
      <c r="E774" t="s">
        <v>698</v>
      </c>
      <c r="F774" t="s">
        <v>698</v>
      </c>
      <c r="G774" t="str">
        <f>HYPERLINK("http://www.ncbi.nlm.nih.gov/Taxonomy/Browser/wwwtax.cgi?mode=Info&amp;id=105785&amp;lvl=3&amp;lin=f&amp;keep=1&amp;srchmode=1&amp;unlock","Cryptotermes secundus")</f>
        <v>Cryptotermes secundus</v>
      </c>
      <c r="H774" t="s">
        <v>733</v>
      </c>
      <c r="I774" t="str">
        <f>HYPERLINK("http://www.ncbi.nlm.nih.gov/protein/XP_023703141.1","fatty acid-binding protein, muscle isoform X2")</f>
        <v>fatty acid-binding protein, muscle isoform X2</v>
      </c>
      <c r="J774">
        <v>65.08</v>
      </c>
      <c r="K774" t="s">
        <v>25</v>
      </c>
      <c r="L774">
        <v>139</v>
      </c>
      <c r="M774">
        <v>50.68</v>
      </c>
      <c r="N774">
        <v>25.8</v>
      </c>
      <c r="O774" t="s">
        <v>25</v>
      </c>
      <c r="P774" t="s">
        <v>21</v>
      </c>
      <c r="Q774" t="s">
        <v>20</v>
      </c>
      <c r="R774" t="str">
        <f>HYPERLINK("https://cfpub.epa.gov/ecotox/explore.cfm?ncbi=105785","Explore in ECOTOX")</f>
        <v>Explore in ECOTOX</v>
      </c>
    </row>
    <row r="775" spans="1:18" x14ac:dyDescent="0.25">
      <c r="A775">
        <v>6</v>
      </c>
      <c r="B775" t="str">
        <f>HYPERLINK("http://www.ncbi.nlm.nih.gov/protein/P41509.2","P41509.2")</f>
        <v>P41509.2</v>
      </c>
      <c r="C775">
        <v>1660</v>
      </c>
      <c r="D775" t="str">
        <f>HYPERLINK("http://www.ncbi.nlm.nih.gov/Taxonomy/Browser/wwwtax.cgi?mode=Info&amp;id=7004&amp;lvl=3&amp;lin=f&amp;keep=1&amp;srchmode=1&amp;unlock","7004")</f>
        <v>7004</v>
      </c>
      <c r="E775" t="s">
        <v>698</v>
      </c>
      <c r="F775" t="s">
        <v>698</v>
      </c>
      <c r="G775" t="str">
        <f>HYPERLINK("http://www.ncbi.nlm.nih.gov/Taxonomy/Browser/wwwtax.cgi?mode=Info&amp;id=7004&amp;lvl=3&amp;lin=f&amp;keep=1&amp;srchmode=1&amp;unlock","Locusta migratoria")</f>
        <v>Locusta migratoria</v>
      </c>
      <c r="H775" t="s">
        <v>734</v>
      </c>
      <c r="I775" t="str">
        <f>HYPERLINK("http://www.ncbi.nlm.nih.gov/protein/P41509.2","RecName: Full=Fatty acid-binding protein, muscle; AltName: Full=M-FABP")</f>
        <v>RecName: Full=Fatty acid-binding protein, muscle; AltName: Full=M-FABP</v>
      </c>
      <c r="J775">
        <v>65.08</v>
      </c>
      <c r="K775" t="s">
        <v>25</v>
      </c>
      <c r="L775">
        <v>139</v>
      </c>
      <c r="M775">
        <v>50.68</v>
      </c>
      <c r="N775">
        <v>25.8</v>
      </c>
      <c r="O775" t="s">
        <v>25</v>
      </c>
      <c r="P775" t="s">
        <v>21</v>
      </c>
      <c r="Q775" t="s">
        <v>20</v>
      </c>
      <c r="R775" t="str">
        <f>HYPERLINK("https://cfpub.epa.gov/ecotox/explore.cfm?ncbi=7004","Explore in ECOTOX")</f>
        <v>Explore in ECOTOX</v>
      </c>
    </row>
    <row r="776" spans="1:18" x14ac:dyDescent="0.25">
      <c r="A776">
        <v>6</v>
      </c>
      <c r="B776" t="str">
        <f>HYPERLINK("http://www.ncbi.nlm.nih.gov/protein/CAD7463035.1","CAD7463035.1")</f>
        <v>CAD7463035.1</v>
      </c>
      <c r="C776">
        <v>13064</v>
      </c>
      <c r="D776" t="str">
        <f>HYPERLINK("http://www.ncbi.nlm.nih.gov/Taxonomy/Browser/wwwtax.cgi?mode=Info&amp;id=61484&amp;lvl=3&amp;lin=f&amp;keep=1&amp;srchmode=1&amp;unlock","61484")</f>
        <v>61484</v>
      </c>
      <c r="E776" t="s">
        <v>698</v>
      </c>
      <c r="F776" t="s">
        <v>698</v>
      </c>
      <c r="G776" t="str">
        <f>HYPERLINK("http://www.ncbi.nlm.nih.gov/Taxonomy/Browser/wwwtax.cgi?mode=Info&amp;id=61484&amp;lvl=3&amp;lin=f&amp;keep=1&amp;srchmode=1&amp;unlock","Timema tahoe")</f>
        <v>Timema tahoe</v>
      </c>
      <c r="H776" t="s">
        <v>728</v>
      </c>
      <c r="I776" t="str">
        <f>HYPERLINK("http://www.ncbi.nlm.nih.gov/protein/CAD7463035.1","unnamed protein product")</f>
        <v>unnamed protein product</v>
      </c>
      <c r="J776">
        <v>64.7</v>
      </c>
      <c r="K776" t="s">
        <v>25</v>
      </c>
      <c r="L776">
        <v>139</v>
      </c>
      <c r="M776">
        <v>50.68</v>
      </c>
      <c r="N776">
        <v>25.64</v>
      </c>
      <c r="O776" t="s">
        <v>25</v>
      </c>
      <c r="P776" t="s">
        <v>21</v>
      </c>
      <c r="Q776" t="s">
        <v>20</v>
      </c>
      <c r="R776" t="str">
        <f>HYPERLINK("https://cfpub.epa.gov/ecotox/explore.cfm?ncbi=61484","Explore in ECOTOX")</f>
        <v>Explore in ECOTOX</v>
      </c>
    </row>
    <row r="777" spans="1:18" x14ac:dyDescent="0.25">
      <c r="A777">
        <v>6</v>
      </c>
      <c r="B777" t="str">
        <f>HYPERLINK("http://www.ncbi.nlm.nih.gov/protein/XP_012253454.1","XP_012253454.1")</f>
        <v>XP_012253454.1</v>
      </c>
      <c r="C777">
        <v>22153</v>
      </c>
      <c r="D777" t="str">
        <f>HYPERLINK("http://www.ncbi.nlm.nih.gov/Taxonomy/Browser/wwwtax.cgi?mode=Info&amp;id=37344&amp;lvl=3&amp;lin=f&amp;keep=1&amp;srchmode=1&amp;unlock","37344")</f>
        <v>37344</v>
      </c>
      <c r="E777" t="s">
        <v>698</v>
      </c>
      <c r="F777" t="s">
        <v>698</v>
      </c>
      <c r="G777" t="str">
        <f>HYPERLINK("http://www.ncbi.nlm.nih.gov/Taxonomy/Browser/wwwtax.cgi?mode=Info&amp;id=37344&amp;lvl=3&amp;lin=f&amp;keep=1&amp;srchmode=1&amp;unlock","Athalia rosae")</f>
        <v>Athalia rosae</v>
      </c>
      <c r="H777" t="s">
        <v>735</v>
      </c>
      <c r="I777" t="str">
        <f>HYPERLINK("http://www.ncbi.nlm.nih.gov/protein/XP_012253454.1","fatty acid-binding protein, muscle isoform X2")</f>
        <v>fatty acid-binding protein, muscle isoform X2</v>
      </c>
      <c r="J777">
        <v>64.7</v>
      </c>
      <c r="K777" t="s">
        <v>25</v>
      </c>
      <c r="L777">
        <v>139</v>
      </c>
      <c r="M777">
        <v>50.68</v>
      </c>
      <c r="N777">
        <v>25.64</v>
      </c>
      <c r="O777" t="s">
        <v>25</v>
      </c>
      <c r="P777" t="s">
        <v>21</v>
      </c>
      <c r="Q777" t="s">
        <v>20</v>
      </c>
      <c r="R777" t="str">
        <f>HYPERLINK("https://cfpub.epa.gov/ecotox/explore.cfm?ncbi=37344","Explore in ECOTOX")</f>
        <v>Explore in ECOTOX</v>
      </c>
    </row>
    <row r="778" spans="1:18" x14ac:dyDescent="0.25">
      <c r="A778">
        <v>6</v>
      </c>
      <c r="B778" t="str">
        <f>HYPERLINK("http://www.ncbi.nlm.nih.gov/protein/XP_016910582.1","XP_016910582.1")</f>
        <v>XP_016910582.1</v>
      </c>
      <c r="C778">
        <v>22011</v>
      </c>
      <c r="D778" t="str">
        <f>HYPERLINK("http://www.ncbi.nlm.nih.gov/Taxonomy/Browser/wwwtax.cgi?mode=Info&amp;id=7461&amp;lvl=3&amp;lin=f&amp;keep=1&amp;srchmode=1&amp;unlock","7461")</f>
        <v>7461</v>
      </c>
      <c r="E778" t="s">
        <v>698</v>
      </c>
      <c r="F778" t="s">
        <v>698</v>
      </c>
      <c r="G778" t="str">
        <f>HYPERLINK("http://www.ncbi.nlm.nih.gov/Taxonomy/Browser/wwwtax.cgi?mode=Info&amp;id=7461&amp;lvl=3&amp;lin=f&amp;keep=1&amp;srchmode=1&amp;unlock","Apis cerana")</f>
        <v>Apis cerana</v>
      </c>
      <c r="H778" t="s">
        <v>736</v>
      </c>
      <c r="I778" t="str">
        <f>HYPERLINK("http://www.ncbi.nlm.nih.gov/protein/XP_016910582.1","fatty acid-binding protein, muscle isoform X1")</f>
        <v>fatty acid-binding protein, muscle isoform X1</v>
      </c>
      <c r="J778">
        <v>64.31</v>
      </c>
      <c r="K778" t="s">
        <v>25</v>
      </c>
      <c r="L778">
        <v>139</v>
      </c>
      <c r="M778">
        <v>50.68</v>
      </c>
      <c r="N778">
        <v>25.49</v>
      </c>
      <c r="O778" t="s">
        <v>25</v>
      </c>
      <c r="P778" t="s">
        <v>21</v>
      </c>
      <c r="Q778" t="s">
        <v>20</v>
      </c>
      <c r="R778" t="str">
        <f>HYPERLINK("https://cfpub.epa.gov/ecotox/explore.cfm?ncbi=7461","Explore in ECOTOX")</f>
        <v>Explore in ECOTOX</v>
      </c>
    </row>
    <row r="779" spans="1:18" x14ac:dyDescent="0.25">
      <c r="A779">
        <v>6</v>
      </c>
      <c r="B779" t="str">
        <f>HYPERLINK("http://www.ncbi.nlm.nih.gov/protein/XP_022193596.1","XP_022193596.1")</f>
        <v>XP_022193596.1</v>
      </c>
      <c r="C779">
        <v>35296</v>
      </c>
      <c r="D779" t="str">
        <f>HYPERLINK("http://www.ncbi.nlm.nih.gov/Taxonomy/Browser/wwwtax.cgi?mode=Info&amp;id=108931&amp;lvl=3&amp;lin=f&amp;keep=1&amp;srchmode=1&amp;unlock","108931")</f>
        <v>108931</v>
      </c>
      <c r="E779" t="s">
        <v>698</v>
      </c>
      <c r="F779" t="s">
        <v>698</v>
      </c>
      <c r="G779" t="str">
        <f>HYPERLINK("http://www.ncbi.nlm.nih.gov/Taxonomy/Browser/wwwtax.cgi?mode=Info&amp;id=108931&amp;lvl=3&amp;lin=f&amp;keep=1&amp;srchmode=1&amp;unlock","Nilaparvata lugens")</f>
        <v>Nilaparvata lugens</v>
      </c>
      <c r="H779" t="s">
        <v>737</v>
      </c>
      <c r="I779" t="str">
        <f>HYPERLINK("http://www.ncbi.nlm.nih.gov/protein/XP_022193596.1","fatty acid-binding protein, muscle isoform X1")</f>
        <v>fatty acid-binding protein, muscle isoform X1</v>
      </c>
      <c r="J779">
        <v>64.31</v>
      </c>
      <c r="K779" t="s">
        <v>25</v>
      </c>
      <c r="L779">
        <v>139</v>
      </c>
      <c r="M779">
        <v>50.68</v>
      </c>
      <c r="N779">
        <v>25.49</v>
      </c>
      <c r="O779" t="s">
        <v>25</v>
      </c>
      <c r="P779" t="s">
        <v>21</v>
      </c>
      <c r="Q779" t="s">
        <v>20</v>
      </c>
      <c r="R779" t="str">
        <f>HYPERLINK("https://cfpub.epa.gov/ecotox/explore.cfm?ncbi=108931","Explore in ECOTOX")</f>
        <v>Explore in ECOTOX</v>
      </c>
    </row>
    <row r="780" spans="1:18" x14ac:dyDescent="0.25">
      <c r="A780">
        <v>6</v>
      </c>
      <c r="B780" t="str">
        <f>HYPERLINK("http://www.ncbi.nlm.nih.gov/protein/P41496.2","P41496.2")</f>
        <v>P41496.2</v>
      </c>
      <c r="C780">
        <v>411</v>
      </c>
      <c r="D780" t="str">
        <f>HYPERLINK("http://www.ncbi.nlm.nih.gov/Taxonomy/Browser/wwwtax.cgi?mode=Info&amp;id=7010&amp;lvl=3&amp;lin=f&amp;keep=1&amp;srchmode=1&amp;unlock","7010")</f>
        <v>7010</v>
      </c>
      <c r="E780" t="s">
        <v>698</v>
      </c>
      <c r="F780" t="s">
        <v>698</v>
      </c>
      <c r="G780" t="str">
        <f>HYPERLINK("http://www.ncbi.nlm.nih.gov/Taxonomy/Browser/wwwtax.cgi?mode=Info&amp;id=7010&amp;lvl=3&amp;lin=f&amp;keep=1&amp;srchmode=1&amp;unlock","Schistocerca gregaria")</f>
        <v>Schistocerca gregaria</v>
      </c>
      <c r="H780" t="s">
        <v>738</v>
      </c>
      <c r="I780" t="str">
        <f>HYPERLINK("http://www.ncbi.nlm.nih.gov/protein/P41496.2","RecName: Full=Fatty acid-binding protein, muscle; AltName: Full=M-FABP")</f>
        <v>RecName: Full=Fatty acid-binding protein, muscle; AltName: Full=M-FABP</v>
      </c>
      <c r="J780">
        <v>64.31</v>
      </c>
      <c r="K780" t="s">
        <v>25</v>
      </c>
      <c r="L780">
        <v>139</v>
      </c>
      <c r="M780">
        <v>50.68</v>
      </c>
      <c r="N780">
        <v>25.49</v>
      </c>
      <c r="O780" t="s">
        <v>25</v>
      </c>
      <c r="P780" t="s">
        <v>21</v>
      </c>
      <c r="Q780" t="s">
        <v>20</v>
      </c>
      <c r="R780" t="str">
        <f>HYPERLINK("https://cfpub.epa.gov/ecotox/explore.cfm?ncbi=7010","Explore in ECOTOX")</f>
        <v>Explore in ECOTOX</v>
      </c>
    </row>
    <row r="781" spans="1:18" x14ac:dyDescent="0.25">
      <c r="A781">
        <v>6</v>
      </c>
      <c r="B781" t="str">
        <f>HYPERLINK("http://www.ncbi.nlm.nih.gov/protein/PBC34398.1","PBC34398.1")</f>
        <v>PBC34398.1</v>
      </c>
      <c r="C781">
        <v>10310</v>
      </c>
      <c r="D781" t="str">
        <f>HYPERLINK("http://www.ncbi.nlm.nih.gov/Taxonomy/Browser/wwwtax.cgi?mode=Info&amp;id=94128&amp;lvl=3&amp;lin=f&amp;keep=1&amp;srchmode=1&amp;unlock","94128")</f>
        <v>94128</v>
      </c>
      <c r="E781" t="s">
        <v>698</v>
      </c>
      <c r="F781" t="s">
        <v>698</v>
      </c>
      <c r="G781" t="str">
        <f>HYPERLINK("http://www.ncbi.nlm.nih.gov/Taxonomy/Browser/wwwtax.cgi?mode=Info&amp;id=94128&amp;lvl=3&amp;lin=f&amp;keep=1&amp;srchmode=1&amp;unlock","Apis cerana cerana")</f>
        <v>Apis cerana cerana</v>
      </c>
      <c r="H781" t="s">
        <v>736</v>
      </c>
      <c r="I781" t="str">
        <f>HYPERLINK("http://www.ncbi.nlm.nih.gov/protein/PBC34398.1","Fatty acid-binding protein, muscle")</f>
        <v>Fatty acid-binding protein, muscle</v>
      </c>
      <c r="J781">
        <v>64.31</v>
      </c>
      <c r="K781" t="s">
        <v>25</v>
      </c>
      <c r="L781">
        <v>139</v>
      </c>
      <c r="M781">
        <v>50.68</v>
      </c>
      <c r="N781">
        <v>25.49</v>
      </c>
      <c r="O781" t="s">
        <v>25</v>
      </c>
      <c r="P781" t="s">
        <v>21</v>
      </c>
      <c r="Q781" t="s">
        <v>20</v>
      </c>
      <c r="R781" t="str">
        <f>HYPERLINK("https://cfpub.epa.gov/ecotox/explore.cfm?ncbi=94128","Explore in ECOTOX")</f>
        <v>Explore in ECOTOX</v>
      </c>
    </row>
    <row r="782" spans="1:18" x14ac:dyDescent="0.25">
      <c r="A782">
        <v>6</v>
      </c>
      <c r="B782" t="str">
        <f>HYPERLINK("http://www.ncbi.nlm.nih.gov/protein/XP_014287641.1","XP_014287641.1")</f>
        <v>XP_014287641.1</v>
      </c>
      <c r="C782">
        <v>26486</v>
      </c>
      <c r="D782" t="str">
        <f>HYPERLINK("http://www.ncbi.nlm.nih.gov/Taxonomy/Browser/wwwtax.cgi?mode=Info&amp;id=286706&amp;lvl=3&amp;lin=f&amp;keep=1&amp;srchmode=1&amp;unlock","286706")</f>
        <v>286706</v>
      </c>
      <c r="E782" t="s">
        <v>698</v>
      </c>
      <c r="F782" t="s">
        <v>698</v>
      </c>
      <c r="G782" t="str">
        <f>HYPERLINK("http://www.ncbi.nlm.nih.gov/Taxonomy/Browser/wwwtax.cgi?mode=Info&amp;id=286706&amp;lvl=3&amp;lin=f&amp;keep=1&amp;srchmode=1&amp;unlock","Halyomorpha halys")</f>
        <v>Halyomorpha halys</v>
      </c>
      <c r="H782" t="s">
        <v>739</v>
      </c>
      <c r="I782" t="str">
        <f>HYPERLINK("http://www.ncbi.nlm.nih.gov/protein/XP_014287641.1","fatty acid-binding protein, muscle-like")</f>
        <v>fatty acid-binding protein, muscle-like</v>
      </c>
      <c r="J782">
        <v>63.93</v>
      </c>
      <c r="K782" t="s">
        <v>25</v>
      </c>
      <c r="L782">
        <v>139</v>
      </c>
      <c r="M782">
        <v>50.68</v>
      </c>
      <c r="N782">
        <v>25.34</v>
      </c>
      <c r="O782" t="s">
        <v>25</v>
      </c>
      <c r="P782" t="s">
        <v>21</v>
      </c>
      <c r="Q782" t="s">
        <v>20</v>
      </c>
      <c r="R782" t="str">
        <f>HYPERLINK("https://cfpub.epa.gov/ecotox/explore.cfm?ncbi=286706","Explore in ECOTOX")</f>
        <v>Explore in ECOTOX</v>
      </c>
    </row>
    <row r="783" spans="1:18" x14ac:dyDescent="0.25">
      <c r="A783">
        <v>6</v>
      </c>
      <c r="B783" t="str">
        <f>HYPERLINK("http://www.ncbi.nlm.nih.gov/protein/XP_033748058.1","XP_033748058.1")</f>
        <v>XP_033748058.1</v>
      </c>
      <c r="C783">
        <v>40008</v>
      </c>
      <c r="D783" t="str">
        <f>HYPERLINK("http://www.ncbi.nlm.nih.gov/Taxonomy/Browser/wwwtax.cgi?mode=Info&amp;id=6579&amp;lvl=3&amp;lin=f&amp;keep=1&amp;srchmode=1&amp;unlock","6579")</f>
        <v>6579</v>
      </c>
      <c r="E783" t="s">
        <v>709</v>
      </c>
      <c r="F783" t="s">
        <v>709</v>
      </c>
      <c r="G783" t="str">
        <f>HYPERLINK("http://www.ncbi.nlm.nih.gov/Taxonomy/Browser/wwwtax.cgi?mode=Info&amp;id=6579&amp;lvl=3&amp;lin=f&amp;keep=1&amp;srchmode=1&amp;unlock","Pecten maximus")</f>
        <v>Pecten maximus</v>
      </c>
      <c r="H783" t="s">
        <v>740</v>
      </c>
      <c r="I783" t="str">
        <f>HYPERLINK("http://www.ncbi.nlm.nih.gov/protein/XP_033748058.1","fatty acid-binding protein, brain-like isoform X2")</f>
        <v>fatty acid-binding protein, brain-like isoform X2</v>
      </c>
      <c r="J783">
        <v>63.93</v>
      </c>
      <c r="K783" t="s">
        <v>25</v>
      </c>
      <c r="L783">
        <v>139</v>
      </c>
      <c r="M783">
        <v>50.68</v>
      </c>
      <c r="N783">
        <v>25.34</v>
      </c>
      <c r="O783" t="s">
        <v>25</v>
      </c>
      <c r="P783" t="s">
        <v>21</v>
      </c>
      <c r="Q783" t="s">
        <v>20</v>
      </c>
      <c r="R783" t="str">
        <f>HYPERLINK("https://cfpub.epa.gov/ecotox/explore.cfm?ncbi=6579","Explore in ECOTOX")</f>
        <v>Explore in ECOTOX</v>
      </c>
    </row>
    <row r="784" spans="1:18" x14ac:dyDescent="0.25">
      <c r="A784">
        <v>6</v>
      </c>
      <c r="B784" t="str">
        <f>HYPERLINK("http://www.ncbi.nlm.nih.gov/protein/XP_037923802.1","XP_037923802.1")</f>
        <v>XP_037923802.1</v>
      </c>
      <c r="C784">
        <v>42562</v>
      </c>
      <c r="D784" t="str">
        <f>HYPERLINK("http://www.ncbi.nlm.nih.gov/Taxonomy/Browser/wwwtax.cgi?mode=Info&amp;id=343691&amp;lvl=3&amp;lin=f&amp;keep=1&amp;srchmode=1&amp;unlock","343691")</f>
        <v>343691</v>
      </c>
      <c r="E784" t="s">
        <v>698</v>
      </c>
      <c r="F784" t="s">
        <v>698</v>
      </c>
      <c r="G784" t="str">
        <f>HYPERLINK("http://www.ncbi.nlm.nih.gov/Taxonomy/Browser/wwwtax.cgi?mode=Info&amp;id=343691&amp;lvl=3&amp;lin=f&amp;keep=1&amp;srchmode=1&amp;unlock","Hermetia illucens")</f>
        <v>Hermetia illucens</v>
      </c>
      <c r="H784" t="s">
        <v>741</v>
      </c>
      <c r="I784" t="str">
        <f>HYPERLINK("http://www.ncbi.nlm.nih.gov/protein/XP_037923802.1","probable fatty acid-binding protein")</f>
        <v>probable fatty acid-binding protein</v>
      </c>
      <c r="J784">
        <v>63.93</v>
      </c>
      <c r="K784" t="s">
        <v>25</v>
      </c>
      <c r="L784">
        <v>139</v>
      </c>
      <c r="M784">
        <v>50.68</v>
      </c>
      <c r="N784">
        <v>25.34</v>
      </c>
      <c r="O784" t="s">
        <v>25</v>
      </c>
      <c r="P784" t="s">
        <v>21</v>
      </c>
      <c r="Q784" t="s">
        <v>20</v>
      </c>
      <c r="R784" t="str">
        <f>HYPERLINK("https://cfpub.epa.gov/ecotox/explore.cfm?ncbi=343691","Explore in ECOTOX")</f>
        <v>Explore in ECOTOX</v>
      </c>
    </row>
    <row r="785" spans="1:18" x14ac:dyDescent="0.25">
      <c r="A785">
        <v>6</v>
      </c>
      <c r="B785" t="str">
        <f>HYPERLINK("http://www.ncbi.nlm.nih.gov/protein/CAB0011764.1","CAB0011764.1")</f>
        <v>CAB0011764.1</v>
      </c>
      <c r="C785">
        <v>24772</v>
      </c>
      <c r="D785" t="str">
        <f>HYPERLINK("http://www.ncbi.nlm.nih.gov/Taxonomy/Browser/wwwtax.cgi?mode=Info&amp;id=355587&amp;lvl=3&amp;lin=f&amp;keep=1&amp;srchmode=1&amp;unlock","355587")</f>
        <v>355587</v>
      </c>
      <c r="E785" t="s">
        <v>698</v>
      </c>
      <c r="F785" t="s">
        <v>698</v>
      </c>
      <c r="G785" t="str">
        <f>HYPERLINK("http://www.ncbi.nlm.nih.gov/Taxonomy/Browser/wwwtax.cgi?mode=Info&amp;id=355587&amp;lvl=3&amp;lin=f&amp;keep=1&amp;srchmode=1&amp;unlock","Nesidiocoris tenuis")</f>
        <v>Nesidiocoris tenuis</v>
      </c>
      <c r="H785" t="s">
        <v>729</v>
      </c>
      <c r="I785" t="str">
        <f>HYPERLINK("http://www.ncbi.nlm.nih.gov/protein/CAB0011764.1","unnamed protein product")</f>
        <v>unnamed protein product</v>
      </c>
      <c r="J785">
        <v>63.54</v>
      </c>
      <c r="K785" t="s">
        <v>25</v>
      </c>
      <c r="L785">
        <v>139</v>
      </c>
      <c r="M785">
        <v>50.68</v>
      </c>
      <c r="N785">
        <v>25.19</v>
      </c>
      <c r="O785" t="s">
        <v>25</v>
      </c>
      <c r="P785" t="s">
        <v>21</v>
      </c>
      <c r="Q785" t="s">
        <v>20</v>
      </c>
      <c r="R785" t="str">
        <f>HYPERLINK("https://cfpub.epa.gov/ecotox/explore.cfm?ncbi=355587","Explore in ECOTOX")</f>
        <v>Explore in ECOTOX</v>
      </c>
    </row>
    <row r="786" spans="1:18" x14ac:dyDescent="0.25">
      <c r="A786">
        <v>6</v>
      </c>
      <c r="B786" t="str">
        <f>HYPERLINK("http://www.ncbi.nlm.nih.gov/protein/XP_037785501.1","XP_037785501.1")</f>
        <v>XP_037785501.1</v>
      </c>
      <c r="C786">
        <v>33871</v>
      </c>
      <c r="D786" t="str">
        <f>HYPERLINK("http://www.ncbi.nlm.nih.gov/Taxonomy/Browser/wwwtax.cgi?mode=Info&amp;id=6687&amp;lvl=3&amp;lin=f&amp;keep=1&amp;srchmode=1&amp;unlock","6687")</f>
        <v>6687</v>
      </c>
      <c r="E786" t="s">
        <v>742</v>
      </c>
      <c r="F786" t="s">
        <v>742</v>
      </c>
      <c r="G786" t="str">
        <f>HYPERLINK("http://www.ncbi.nlm.nih.gov/Taxonomy/Browser/wwwtax.cgi?mode=Info&amp;id=6687&amp;lvl=3&amp;lin=f&amp;keep=1&amp;srchmode=1&amp;unlock","Penaeus monodon")</f>
        <v>Penaeus monodon</v>
      </c>
      <c r="H786" t="s">
        <v>743</v>
      </c>
      <c r="I786" t="str">
        <f>HYPERLINK("http://www.ncbi.nlm.nih.gov/protein/XP_037785501.1","fatty acid binding protein 1-B.1-like")</f>
        <v>fatty acid binding protein 1-B.1-like</v>
      </c>
      <c r="J786">
        <v>63.54</v>
      </c>
      <c r="K786" t="s">
        <v>25</v>
      </c>
      <c r="L786">
        <v>139</v>
      </c>
      <c r="M786">
        <v>50.68</v>
      </c>
      <c r="N786">
        <v>25.19</v>
      </c>
      <c r="O786" t="s">
        <v>25</v>
      </c>
      <c r="P786" t="s">
        <v>21</v>
      </c>
      <c r="Q786" t="s">
        <v>20</v>
      </c>
      <c r="R786" t="str">
        <f>HYPERLINK("https://cfpub.epa.gov/ecotox/explore.cfm?ncbi=6687","Explore in ECOTOX")</f>
        <v>Explore in ECOTOX</v>
      </c>
    </row>
    <row r="787" spans="1:18" x14ac:dyDescent="0.25">
      <c r="A787">
        <v>6</v>
      </c>
      <c r="B787" t="str">
        <f>HYPERLINK("http://www.ncbi.nlm.nih.gov/protein/XP_027227181.1","XP_027227181.1")</f>
        <v>XP_027227181.1</v>
      </c>
      <c r="C787">
        <v>60071</v>
      </c>
      <c r="D787" t="str">
        <f>HYPERLINK("http://www.ncbi.nlm.nih.gov/Taxonomy/Browser/wwwtax.cgi?mode=Info&amp;id=6689&amp;lvl=3&amp;lin=f&amp;keep=1&amp;srchmode=1&amp;unlock","6689")</f>
        <v>6689</v>
      </c>
      <c r="E787" t="s">
        <v>742</v>
      </c>
      <c r="F787" t="s">
        <v>742</v>
      </c>
      <c r="G787" t="str">
        <f>HYPERLINK("http://www.ncbi.nlm.nih.gov/Taxonomy/Browser/wwwtax.cgi?mode=Info&amp;id=6689&amp;lvl=3&amp;lin=f&amp;keep=1&amp;srchmode=1&amp;unlock","Penaeus vannamei")</f>
        <v>Penaeus vannamei</v>
      </c>
      <c r="H787" t="s">
        <v>744</v>
      </c>
      <c r="I787" t="str">
        <f>HYPERLINK("http://www.ncbi.nlm.nih.gov/protein/XP_027227181.1","fatty acid binding protein 1-B.1-like")</f>
        <v>fatty acid binding protein 1-B.1-like</v>
      </c>
      <c r="J787">
        <v>63.16</v>
      </c>
      <c r="K787" t="s">
        <v>20</v>
      </c>
      <c r="L787">
        <v>139</v>
      </c>
      <c r="M787">
        <v>50.68</v>
      </c>
      <c r="N787">
        <v>25.03</v>
      </c>
      <c r="O787" t="s">
        <v>20</v>
      </c>
      <c r="P787" t="s">
        <v>21</v>
      </c>
      <c r="Q787" t="s">
        <v>20</v>
      </c>
      <c r="R787" t="str">
        <f>HYPERLINK("https://cfpub.epa.gov/ecotox/explore.cfm?ncbi=6689","Explore in ECOTOX")</f>
        <v>Explore in ECOTOX</v>
      </c>
    </row>
    <row r="788" spans="1:18" x14ac:dyDescent="0.25">
      <c r="A788">
        <v>6</v>
      </c>
      <c r="B788" t="str">
        <f>HYPERLINK("http://www.ncbi.nlm.nih.gov/protein/VDI54864.1","VDI54864.1")</f>
        <v>VDI54864.1</v>
      </c>
      <c r="C788">
        <v>83790</v>
      </c>
      <c r="D788" t="str">
        <f>HYPERLINK("http://www.ncbi.nlm.nih.gov/Taxonomy/Browser/wwwtax.cgi?mode=Info&amp;id=29158&amp;lvl=3&amp;lin=f&amp;keep=1&amp;srchmode=1&amp;unlock","29158")</f>
        <v>29158</v>
      </c>
      <c r="E788" t="s">
        <v>709</v>
      </c>
      <c r="F788" t="s">
        <v>709</v>
      </c>
      <c r="G788" t="str">
        <f>HYPERLINK("http://www.ncbi.nlm.nih.gov/Taxonomy/Browser/wwwtax.cgi?mode=Info&amp;id=29158&amp;lvl=3&amp;lin=f&amp;keep=1&amp;srchmode=1&amp;unlock","Mytilus galloprovincialis")</f>
        <v>Mytilus galloprovincialis</v>
      </c>
      <c r="H788" t="s">
        <v>745</v>
      </c>
      <c r="I788" t="str">
        <f>HYPERLINK("http://www.ncbi.nlm.nih.gov/protein/VDI54864.1","Hypothetical predicted protein")</f>
        <v>Hypothetical predicted protein</v>
      </c>
      <c r="J788">
        <v>63.16</v>
      </c>
      <c r="K788" t="s">
        <v>25</v>
      </c>
      <c r="L788">
        <v>139</v>
      </c>
      <c r="M788">
        <v>50.68</v>
      </c>
      <c r="N788">
        <v>25.03</v>
      </c>
      <c r="O788" t="s">
        <v>25</v>
      </c>
      <c r="P788" t="s">
        <v>21</v>
      </c>
      <c r="Q788" t="s">
        <v>20</v>
      </c>
      <c r="R788" t="str">
        <f>HYPERLINK("https://cfpub.epa.gov/ecotox/explore.cfm?ncbi=29158","Explore in ECOTOX")</f>
        <v>Explore in ECOTOX</v>
      </c>
    </row>
    <row r="789" spans="1:18" x14ac:dyDescent="0.25">
      <c r="A789">
        <v>6</v>
      </c>
      <c r="B789" t="str">
        <f>HYPERLINK("http://www.ncbi.nlm.nih.gov/protein/OQV13130.1","OQV13130.1")</f>
        <v>OQV13130.1</v>
      </c>
      <c r="C789">
        <v>20953</v>
      </c>
      <c r="D789" t="str">
        <f>HYPERLINK("http://www.ncbi.nlm.nih.gov/Taxonomy/Browser/wwwtax.cgi?mode=Info&amp;id=232323&amp;lvl=3&amp;lin=f&amp;keep=1&amp;srchmode=1&amp;unlock","232323")</f>
        <v>232323</v>
      </c>
      <c r="E789" t="s">
        <v>746</v>
      </c>
      <c r="F789" t="s">
        <v>746</v>
      </c>
      <c r="G789" t="str">
        <f>HYPERLINK("http://www.ncbi.nlm.nih.gov/Taxonomy/Browser/wwwtax.cgi?mode=Info&amp;id=232323&amp;lvl=3&amp;lin=f&amp;keep=1&amp;srchmode=1&amp;unlock","Hypsibius dujardini")</f>
        <v>Hypsibius dujardini</v>
      </c>
      <c r="H789" t="s">
        <v>747</v>
      </c>
      <c r="I789" t="str">
        <f>HYPERLINK("http://www.ncbi.nlm.nih.gov/protein/OQV13130.1","putative Retinitis pigmentosa 9 protein-like protein")</f>
        <v>putative Retinitis pigmentosa 9 protein-like protein</v>
      </c>
      <c r="J789">
        <v>63.16</v>
      </c>
      <c r="K789" t="s">
        <v>25</v>
      </c>
      <c r="L789">
        <v>139</v>
      </c>
      <c r="M789">
        <v>50.68</v>
      </c>
      <c r="N789">
        <v>25.03</v>
      </c>
      <c r="O789" t="s">
        <v>25</v>
      </c>
      <c r="P789" t="s">
        <v>21</v>
      </c>
      <c r="Q789" t="s">
        <v>20</v>
      </c>
      <c r="R789" t="str">
        <f>HYPERLINK("https://cfpub.epa.gov/ecotox/explore.cfm?ncbi=232323","Explore in ECOTOX")</f>
        <v>Explore in ECOTOX</v>
      </c>
    </row>
    <row r="790" spans="1:18" x14ac:dyDescent="0.25">
      <c r="A790">
        <v>6</v>
      </c>
      <c r="B790" t="str">
        <f>HYPERLINK("http://www.ncbi.nlm.nih.gov/protein/PAA52375.1","PAA52375.1")</f>
        <v>PAA52375.1</v>
      </c>
      <c r="C790">
        <v>49035</v>
      </c>
      <c r="D790" t="str">
        <f>HYPERLINK("http://www.ncbi.nlm.nih.gov/Taxonomy/Browser/wwwtax.cgi?mode=Info&amp;id=282301&amp;lvl=3&amp;lin=f&amp;keep=1&amp;srchmode=1&amp;unlock","282301")</f>
        <v>282301</v>
      </c>
      <c r="E790" t="s">
        <v>748</v>
      </c>
      <c r="F790" t="s">
        <v>748</v>
      </c>
      <c r="G790" t="str">
        <f>HYPERLINK("http://www.ncbi.nlm.nih.gov/Taxonomy/Browser/wwwtax.cgi?mode=Info&amp;id=282301&amp;lvl=3&amp;lin=f&amp;keep=1&amp;srchmode=1&amp;unlock","Macrostomum lignano")</f>
        <v>Macrostomum lignano</v>
      </c>
      <c r="H790" t="s">
        <v>749</v>
      </c>
      <c r="I790" t="str">
        <f>HYPERLINK("http://www.ncbi.nlm.nih.gov/protein/PAA52375.1","hypothetical protein BOX15_Mlig021402g1")</f>
        <v>hypothetical protein BOX15_Mlig021402g1</v>
      </c>
      <c r="J790">
        <v>63.16</v>
      </c>
      <c r="K790" t="s">
        <v>25</v>
      </c>
      <c r="L790">
        <v>139</v>
      </c>
      <c r="M790">
        <v>50.68</v>
      </c>
      <c r="N790">
        <v>25.03</v>
      </c>
      <c r="O790" t="s">
        <v>25</v>
      </c>
      <c r="P790" t="s">
        <v>21</v>
      </c>
      <c r="Q790" t="s">
        <v>20</v>
      </c>
      <c r="R790" t="str">
        <f>HYPERLINK("https://cfpub.epa.gov/ecotox/explore.cfm?ncbi=282301","Explore in ECOTOX")</f>
        <v>Explore in ECOTOX</v>
      </c>
    </row>
    <row r="791" spans="1:18" x14ac:dyDescent="0.25">
      <c r="A791">
        <v>6</v>
      </c>
      <c r="B791" t="str">
        <f>HYPERLINK("http://www.ncbi.nlm.nih.gov/protein/XP_003494760.1","XP_003494760.1")</f>
        <v>XP_003494760.1</v>
      </c>
      <c r="C791">
        <v>24525</v>
      </c>
      <c r="D791" t="str">
        <f>HYPERLINK("http://www.ncbi.nlm.nih.gov/Taxonomy/Browser/wwwtax.cgi?mode=Info&amp;id=132113&amp;lvl=3&amp;lin=f&amp;keep=1&amp;srchmode=1&amp;unlock","132113")</f>
        <v>132113</v>
      </c>
      <c r="E791" t="s">
        <v>698</v>
      </c>
      <c r="F791" t="s">
        <v>698</v>
      </c>
      <c r="G791" t="str">
        <f>HYPERLINK("http://www.ncbi.nlm.nih.gov/Taxonomy/Browser/wwwtax.cgi?mode=Info&amp;id=132113&amp;lvl=3&amp;lin=f&amp;keep=1&amp;srchmode=1&amp;unlock","Bombus impatiens")</f>
        <v>Bombus impatiens</v>
      </c>
      <c r="H791" t="s">
        <v>750</v>
      </c>
      <c r="I791" t="str">
        <f>HYPERLINK("http://www.ncbi.nlm.nih.gov/protein/XP_003494760.1","sodium/calcium exchanger regulatory protein 1 isoform X1")</f>
        <v>sodium/calcium exchanger regulatory protein 1 isoform X1</v>
      </c>
      <c r="J791">
        <v>63.16</v>
      </c>
      <c r="K791" t="s">
        <v>25</v>
      </c>
      <c r="L791">
        <v>139</v>
      </c>
      <c r="M791">
        <v>50.68</v>
      </c>
      <c r="N791">
        <v>25.03</v>
      </c>
      <c r="O791" t="s">
        <v>25</v>
      </c>
      <c r="P791" t="s">
        <v>21</v>
      </c>
      <c r="Q791" t="s">
        <v>20</v>
      </c>
      <c r="R791" t="str">
        <f>HYPERLINK("https://cfpub.epa.gov/ecotox/explore.cfm?ncbi=132113","Explore in ECOTOX")</f>
        <v>Explore in ECOTOX</v>
      </c>
    </row>
    <row r="792" spans="1:18" x14ac:dyDescent="0.25">
      <c r="A792">
        <v>6</v>
      </c>
      <c r="B792" t="str">
        <f>HYPERLINK("http://www.ncbi.nlm.nih.gov/protein/GBP00681.1","GBP00681.1")</f>
        <v>GBP00681.1</v>
      </c>
      <c r="C792">
        <v>96443</v>
      </c>
      <c r="D792" t="str">
        <f>HYPERLINK("http://www.ncbi.nlm.nih.gov/Taxonomy/Browser/wwwtax.cgi?mode=Info&amp;id=151549&amp;lvl=3&amp;lin=f&amp;keep=1&amp;srchmode=1&amp;unlock","151549")</f>
        <v>151549</v>
      </c>
      <c r="E792" t="s">
        <v>698</v>
      </c>
      <c r="F792" t="s">
        <v>698</v>
      </c>
      <c r="G792" t="str">
        <f>HYPERLINK("http://www.ncbi.nlm.nih.gov/Taxonomy/Browser/wwwtax.cgi?mode=Info&amp;id=151549&amp;lvl=3&amp;lin=f&amp;keep=1&amp;srchmode=1&amp;unlock","Eumeta japonica")</f>
        <v>Eumeta japonica</v>
      </c>
      <c r="H792" t="s">
        <v>751</v>
      </c>
      <c r="I792" t="str">
        <f>HYPERLINK("http://www.ncbi.nlm.nih.gov/protein/GBP00681.1","Fatty acid-binding protein, muscle")</f>
        <v>Fatty acid-binding protein, muscle</v>
      </c>
      <c r="J792">
        <v>62.77</v>
      </c>
      <c r="K792" t="s">
        <v>25</v>
      </c>
      <c r="L792">
        <v>139</v>
      </c>
      <c r="M792">
        <v>50.68</v>
      </c>
      <c r="N792">
        <v>24.88</v>
      </c>
      <c r="O792" t="s">
        <v>25</v>
      </c>
      <c r="P792" t="s">
        <v>21</v>
      </c>
      <c r="Q792" t="s">
        <v>20</v>
      </c>
      <c r="R792" t="str">
        <f>HYPERLINK("https://cfpub.epa.gov/ecotox/explore.cfm?ncbi=151549","Explore in ECOTOX")</f>
        <v>Explore in ECOTOX</v>
      </c>
    </row>
    <row r="793" spans="1:18" x14ac:dyDescent="0.25">
      <c r="A793">
        <v>6</v>
      </c>
      <c r="B793" t="str">
        <f>HYPERLINK("http://www.ncbi.nlm.nih.gov/protein/CAD7572217.1","CAD7572217.1")</f>
        <v>CAD7572217.1</v>
      </c>
      <c r="C793">
        <v>14803</v>
      </c>
      <c r="D793" t="str">
        <f>HYPERLINK("http://www.ncbi.nlm.nih.gov/Taxonomy/Browser/wwwtax.cgi?mode=Info&amp;id=61474&amp;lvl=3&amp;lin=f&amp;keep=1&amp;srchmode=1&amp;unlock","61474")</f>
        <v>61474</v>
      </c>
      <c r="E793" t="s">
        <v>698</v>
      </c>
      <c r="F793" t="s">
        <v>698</v>
      </c>
      <c r="G793" t="str">
        <f>HYPERLINK("http://www.ncbi.nlm.nih.gov/Taxonomy/Browser/wwwtax.cgi?mode=Info&amp;id=61474&amp;lvl=3&amp;lin=f&amp;keep=1&amp;srchmode=1&amp;unlock","Timema californicum")</f>
        <v>Timema californicum</v>
      </c>
      <c r="H793" t="s">
        <v>752</v>
      </c>
      <c r="I793" t="str">
        <f>HYPERLINK("http://www.ncbi.nlm.nih.gov/protein/CAD7572217.1","unnamed protein product")</f>
        <v>unnamed protein product</v>
      </c>
      <c r="J793">
        <v>62.77</v>
      </c>
      <c r="K793" t="s">
        <v>25</v>
      </c>
      <c r="L793">
        <v>139</v>
      </c>
      <c r="M793">
        <v>50.68</v>
      </c>
      <c r="N793">
        <v>24.88</v>
      </c>
      <c r="O793" t="s">
        <v>25</v>
      </c>
      <c r="P793" t="s">
        <v>21</v>
      </c>
      <c r="Q793" t="s">
        <v>20</v>
      </c>
      <c r="R793" t="str">
        <f>HYPERLINK("https://cfpub.epa.gov/ecotox/explore.cfm?ncbi=61474","Explore in ECOTOX")</f>
        <v>Explore in ECOTOX</v>
      </c>
    </row>
    <row r="794" spans="1:18" x14ac:dyDescent="0.25">
      <c r="A794">
        <v>6</v>
      </c>
      <c r="B794" t="str">
        <f>HYPERLINK("http://www.ncbi.nlm.nih.gov/protein/AAQ54609.1","AAQ54609.1")</f>
        <v>AAQ54609.1</v>
      </c>
      <c r="C794">
        <v>19</v>
      </c>
      <c r="D794" t="str">
        <f>HYPERLINK("http://www.ncbi.nlm.nih.gov/Taxonomy/Browser/wwwtax.cgi?mode=Info&amp;id=105145&amp;lvl=3&amp;lin=f&amp;keep=1&amp;srchmode=1&amp;unlock","105145")</f>
        <v>105145</v>
      </c>
      <c r="E794" t="s">
        <v>700</v>
      </c>
      <c r="F794" t="s">
        <v>700</v>
      </c>
      <c r="G794" t="str">
        <f>HYPERLINK("http://www.ncbi.nlm.nih.gov/Taxonomy/Browser/wwwtax.cgi?mode=Info&amp;id=105145&amp;lvl=3&amp;lin=f&amp;keep=1&amp;srchmode=1&amp;unlock","Glycyphagus domesticus")</f>
        <v>Glycyphagus domesticus</v>
      </c>
      <c r="H794" t="s">
        <v>701</v>
      </c>
      <c r="I794" t="str">
        <f>HYPERLINK("http://www.ncbi.nlm.nih.gov/protein/AAQ54609.1","Gly d 13")</f>
        <v>Gly d 13</v>
      </c>
      <c r="J794">
        <v>62.77</v>
      </c>
      <c r="K794" t="s">
        <v>25</v>
      </c>
      <c r="L794">
        <v>139</v>
      </c>
      <c r="M794">
        <v>50.68</v>
      </c>
      <c r="N794">
        <v>24.88</v>
      </c>
      <c r="O794" t="s">
        <v>25</v>
      </c>
      <c r="P794" t="s">
        <v>21</v>
      </c>
      <c r="Q794" t="s">
        <v>20</v>
      </c>
      <c r="R794" t="str">
        <f>HYPERLINK("https://cfpub.epa.gov/ecotox/explore.cfm?ncbi=105145","Explore in ECOTOX")</f>
        <v>Explore in ECOTOX</v>
      </c>
    </row>
    <row r="795" spans="1:18" x14ac:dyDescent="0.25">
      <c r="A795">
        <v>6</v>
      </c>
      <c r="B795" t="str">
        <f>HYPERLINK("http://www.ncbi.nlm.nih.gov/protein/XP_034486019.1","XP_034486019.1")</f>
        <v>XP_034486019.1</v>
      </c>
      <c r="C795">
        <v>19612</v>
      </c>
      <c r="D795" t="str">
        <f>HYPERLINK("http://www.ncbi.nlm.nih.gov/Taxonomy/Browser/wwwtax.cgi?mode=Info&amp;id=198719&amp;lvl=3&amp;lin=f&amp;keep=1&amp;srchmode=1&amp;unlock","198719")</f>
        <v>198719</v>
      </c>
      <c r="E795" t="s">
        <v>698</v>
      </c>
      <c r="F795" t="s">
        <v>698</v>
      </c>
      <c r="G795" t="str">
        <f>HYPERLINK("http://www.ncbi.nlm.nih.gov/Taxonomy/Browser/wwwtax.cgi?mode=Info&amp;id=198719&amp;lvl=3&amp;lin=f&amp;keep=1&amp;srchmode=1&amp;unlock","Drosophila innubila")</f>
        <v>Drosophila innubila</v>
      </c>
      <c r="H795" t="s">
        <v>753</v>
      </c>
      <c r="I795" t="str">
        <f>HYPERLINK("http://www.ncbi.nlm.nih.gov/protein/XP_034486019.1","probable fatty acid-binding protein")</f>
        <v>probable fatty acid-binding protein</v>
      </c>
      <c r="J795">
        <v>62.77</v>
      </c>
      <c r="K795" t="s">
        <v>25</v>
      </c>
      <c r="L795">
        <v>139</v>
      </c>
      <c r="M795">
        <v>50.68</v>
      </c>
      <c r="N795">
        <v>24.88</v>
      </c>
      <c r="O795" t="s">
        <v>25</v>
      </c>
      <c r="P795" t="s">
        <v>21</v>
      </c>
      <c r="Q795" t="s">
        <v>20</v>
      </c>
      <c r="R795" t="str">
        <f>HYPERLINK("https://cfpub.epa.gov/ecotox/explore.cfm?ncbi=198719","Explore in ECOTOX")</f>
        <v>Explore in ECOTOX</v>
      </c>
    </row>
    <row r="796" spans="1:18" x14ac:dyDescent="0.25">
      <c r="A796">
        <v>6</v>
      </c>
      <c r="B796" t="str">
        <f>HYPERLINK("http://www.ncbi.nlm.nih.gov/protein/XP_035231446.1","XP_035231446.1")</f>
        <v>XP_035231446.1</v>
      </c>
      <c r="C796">
        <v>29968</v>
      </c>
      <c r="D796" t="str">
        <f>HYPERLINK("http://www.ncbi.nlm.nih.gov/Taxonomy/Browser/wwwtax.cgi?mode=Info&amp;id=202533&amp;lvl=3&amp;lin=f&amp;keep=1&amp;srchmode=1&amp;unlock","202533")</f>
        <v>202533</v>
      </c>
      <c r="E796" t="s">
        <v>700</v>
      </c>
      <c r="F796" t="s">
        <v>700</v>
      </c>
      <c r="G796" t="str">
        <f>HYPERLINK("http://www.ncbi.nlm.nih.gov/Taxonomy/Browser/wwwtax.cgi?mode=Info&amp;id=202533&amp;lvl=3&amp;lin=f&amp;keep=1&amp;srchmode=1&amp;unlock","Stegodyphus dumicola")</f>
        <v>Stegodyphus dumicola</v>
      </c>
      <c r="H796" t="s">
        <v>754</v>
      </c>
      <c r="I796" t="str">
        <f>HYPERLINK("http://www.ncbi.nlm.nih.gov/protein/XP_035231446.1","fatty acid-binding protein-like")</f>
        <v>fatty acid-binding protein-like</v>
      </c>
      <c r="J796">
        <v>62.77</v>
      </c>
      <c r="K796" t="s">
        <v>25</v>
      </c>
      <c r="L796">
        <v>139</v>
      </c>
      <c r="M796">
        <v>50.68</v>
      </c>
      <c r="N796">
        <v>24.88</v>
      </c>
      <c r="O796" t="s">
        <v>25</v>
      </c>
      <c r="P796" t="s">
        <v>21</v>
      </c>
      <c r="Q796" t="s">
        <v>20</v>
      </c>
      <c r="R796" t="str">
        <f>HYPERLINK("https://cfpub.epa.gov/ecotox/explore.cfm?ncbi=202533","Explore in ECOTOX")</f>
        <v>Explore in ECOTOX</v>
      </c>
    </row>
    <row r="797" spans="1:18" x14ac:dyDescent="0.25">
      <c r="A797">
        <v>6</v>
      </c>
      <c r="B797" t="str">
        <f>HYPERLINK("http://www.ncbi.nlm.nih.gov/protein/XP_015116028.1","XP_015116028.1")</f>
        <v>XP_015116028.1</v>
      </c>
      <c r="C797">
        <v>19520</v>
      </c>
      <c r="D797" t="str">
        <f>HYPERLINK("http://www.ncbi.nlm.nih.gov/Taxonomy/Browser/wwwtax.cgi?mode=Info&amp;id=454923&amp;lvl=3&amp;lin=f&amp;keep=1&amp;srchmode=1&amp;unlock","454923")</f>
        <v>454923</v>
      </c>
      <c r="E797" t="s">
        <v>698</v>
      </c>
      <c r="F797" t="s">
        <v>698</v>
      </c>
      <c r="G797" t="str">
        <f>HYPERLINK("http://www.ncbi.nlm.nih.gov/Taxonomy/Browser/wwwtax.cgi?mode=Info&amp;id=454923&amp;lvl=3&amp;lin=f&amp;keep=1&amp;srchmode=1&amp;unlock","Diachasma alloeum")</f>
        <v>Diachasma alloeum</v>
      </c>
      <c r="H797" t="s">
        <v>755</v>
      </c>
      <c r="I797" t="str">
        <f>HYPERLINK("http://www.ncbi.nlm.nih.gov/protein/XP_015116028.1","fatty acid-binding protein, heart isoform X2")</f>
        <v>fatty acid-binding protein, heart isoform X2</v>
      </c>
      <c r="J797">
        <v>62.39</v>
      </c>
      <c r="K797" t="s">
        <v>25</v>
      </c>
      <c r="L797">
        <v>139</v>
      </c>
      <c r="M797">
        <v>50.68</v>
      </c>
      <c r="N797">
        <v>24.73</v>
      </c>
      <c r="O797" t="s">
        <v>25</v>
      </c>
      <c r="P797" t="s">
        <v>21</v>
      </c>
      <c r="Q797" t="s">
        <v>20</v>
      </c>
      <c r="R797" t="str">
        <f>HYPERLINK("https://cfpub.epa.gov/ecotox/explore.cfm?ncbi=454923","Explore in ECOTOX")</f>
        <v>Explore in ECOTOX</v>
      </c>
    </row>
    <row r="798" spans="1:18" x14ac:dyDescent="0.25">
      <c r="A798">
        <v>6</v>
      </c>
      <c r="B798" t="str">
        <f>HYPERLINK("http://www.ncbi.nlm.nih.gov/protein/XP_012288067.1","XP_012288067.1")</f>
        <v>XP_012288067.1</v>
      </c>
      <c r="C798">
        <v>19714</v>
      </c>
      <c r="D798" t="str">
        <f>HYPERLINK("http://www.ncbi.nlm.nih.gov/Taxonomy/Browser/wwwtax.cgi?mode=Info&amp;id=222816&amp;lvl=3&amp;lin=f&amp;keep=1&amp;srchmode=1&amp;unlock","222816")</f>
        <v>222816</v>
      </c>
      <c r="E798" t="s">
        <v>698</v>
      </c>
      <c r="F798" t="s">
        <v>698</v>
      </c>
      <c r="G798" t="str">
        <f>HYPERLINK("http://www.ncbi.nlm.nih.gov/Taxonomy/Browser/wwwtax.cgi?mode=Info&amp;id=222816&amp;lvl=3&amp;lin=f&amp;keep=1&amp;srchmode=1&amp;unlock","Orussus abietinus")</f>
        <v>Orussus abietinus</v>
      </c>
      <c r="H798" t="s">
        <v>756</v>
      </c>
      <c r="I798" t="str">
        <f>HYPERLINK("http://www.ncbi.nlm.nih.gov/protein/XP_012288067.1","fatty acid-binding protein, muscle isoform X1")</f>
        <v>fatty acid-binding protein, muscle isoform X1</v>
      </c>
      <c r="J798">
        <v>62.39</v>
      </c>
      <c r="K798" t="s">
        <v>25</v>
      </c>
      <c r="L798">
        <v>139</v>
      </c>
      <c r="M798">
        <v>50.68</v>
      </c>
      <c r="N798">
        <v>24.73</v>
      </c>
      <c r="O798" t="s">
        <v>25</v>
      </c>
      <c r="P798" t="s">
        <v>21</v>
      </c>
      <c r="Q798" t="s">
        <v>20</v>
      </c>
      <c r="R798" t="str">
        <f>HYPERLINK("https://cfpub.epa.gov/ecotox/explore.cfm?ncbi=222816","Explore in ECOTOX")</f>
        <v>Explore in ECOTOX</v>
      </c>
    </row>
    <row r="799" spans="1:18" x14ac:dyDescent="0.25">
      <c r="A799">
        <v>6</v>
      </c>
      <c r="B799" t="str">
        <f>HYPERLINK("http://www.ncbi.nlm.nih.gov/protein/CAD7196117.1","CAD7196117.1")</f>
        <v>CAD7196117.1</v>
      </c>
      <c r="C799">
        <v>14083</v>
      </c>
      <c r="D799" t="str">
        <f>HYPERLINK("http://www.ncbi.nlm.nih.gov/Taxonomy/Browser/wwwtax.cgi?mode=Info&amp;id=61478&amp;lvl=3&amp;lin=f&amp;keep=1&amp;srchmode=1&amp;unlock","61478")</f>
        <v>61478</v>
      </c>
      <c r="E799" t="s">
        <v>698</v>
      </c>
      <c r="F799" t="s">
        <v>698</v>
      </c>
      <c r="G799" t="str">
        <f>HYPERLINK("http://www.ncbi.nlm.nih.gov/Taxonomy/Browser/wwwtax.cgi?mode=Info&amp;id=61478&amp;lvl=3&amp;lin=f&amp;keep=1&amp;srchmode=1&amp;unlock","Timema douglasi")</f>
        <v>Timema douglasi</v>
      </c>
      <c r="H799" t="s">
        <v>728</v>
      </c>
      <c r="I799" t="str">
        <f>HYPERLINK("http://www.ncbi.nlm.nih.gov/protein/CAD7196117.1","unnamed protein product")</f>
        <v>unnamed protein product</v>
      </c>
      <c r="J799">
        <v>62.39</v>
      </c>
      <c r="K799" t="s">
        <v>25</v>
      </c>
      <c r="L799">
        <v>139</v>
      </c>
      <c r="M799">
        <v>50.68</v>
      </c>
      <c r="N799">
        <v>24.73</v>
      </c>
      <c r="O799" t="s">
        <v>25</v>
      </c>
      <c r="P799" t="s">
        <v>21</v>
      </c>
      <c r="Q799" t="s">
        <v>20</v>
      </c>
      <c r="R799" t="str">
        <f>HYPERLINK("https://cfpub.epa.gov/ecotox/explore.cfm?ncbi=61478","Explore in ECOTOX")</f>
        <v>Explore in ECOTOX</v>
      </c>
    </row>
    <row r="800" spans="1:18" x14ac:dyDescent="0.25">
      <c r="A800">
        <v>6</v>
      </c>
      <c r="B800" t="str">
        <f>HYPERLINK("http://www.ncbi.nlm.nih.gov/protein/XP_011313979.1","XP_011313979.1")</f>
        <v>XP_011313979.1</v>
      </c>
      <c r="C800">
        <v>18958</v>
      </c>
      <c r="D800" t="str">
        <f>HYPERLINK("http://www.ncbi.nlm.nih.gov/Taxonomy/Browser/wwwtax.cgi?mode=Info&amp;id=64838&amp;lvl=3&amp;lin=f&amp;keep=1&amp;srchmode=1&amp;unlock","64838")</f>
        <v>64838</v>
      </c>
      <c r="E800" t="s">
        <v>698</v>
      </c>
      <c r="F800" t="s">
        <v>698</v>
      </c>
      <c r="G800" t="str">
        <f>HYPERLINK("http://www.ncbi.nlm.nih.gov/Taxonomy/Browser/wwwtax.cgi?mode=Info&amp;id=64838&amp;lvl=3&amp;lin=f&amp;keep=1&amp;srchmode=1&amp;unlock","Fopius arisanus")</f>
        <v>Fopius arisanus</v>
      </c>
      <c r="H800" t="s">
        <v>755</v>
      </c>
      <c r="I800" t="str">
        <f>HYPERLINK("http://www.ncbi.nlm.nih.gov/protein/XP_011313979.1","PREDICTED: probable fatty acid-binding protein isoform X2")</f>
        <v>PREDICTED: probable fatty acid-binding protein isoform X2</v>
      </c>
      <c r="J800">
        <v>62.39</v>
      </c>
      <c r="K800" t="s">
        <v>25</v>
      </c>
      <c r="L800">
        <v>139</v>
      </c>
      <c r="M800">
        <v>50.68</v>
      </c>
      <c r="N800">
        <v>24.73</v>
      </c>
      <c r="O800" t="s">
        <v>25</v>
      </c>
      <c r="P800" t="s">
        <v>21</v>
      </c>
      <c r="Q800" t="s">
        <v>20</v>
      </c>
      <c r="R800" t="str">
        <f>HYPERLINK("https://cfpub.epa.gov/ecotox/explore.cfm?ncbi=64838","Explore in ECOTOX")</f>
        <v>Explore in ECOTOX</v>
      </c>
    </row>
    <row r="801" spans="1:18" x14ac:dyDescent="0.25">
      <c r="A801">
        <v>6</v>
      </c>
      <c r="B801" t="str">
        <f>HYPERLINK("http://www.ncbi.nlm.nih.gov/protein/CAD7415267.1","CAD7415267.1")</f>
        <v>CAD7415267.1</v>
      </c>
      <c r="C801">
        <v>15907</v>
      </c>
      <c r="D801" t="str">
        <f>HYPERLINK("http://www.ncbi.nlm.nih.gov/Taxonomy/Browser/wwwtax.cgi?mode=Info&amp;id=170557&amp;lvl=3&amp;lin=f&amp;keep=1&amp;srchmode=1&amp;unlock","170557")</f>
        <v>170557</v>
      </c>
      <c r="E801" t="s">
        <v>698</v>
      </c>
      <c r="F801" t="s">
        <v>698</v>
      </c>
      <c r="G801" t="str">
        <f>HYPERLINK("http://www.ncbi.nlm.nih.gov/Taxonomy/Browser/wwwtax.cgi?mode=Info&amp;id=170557&amp;lvl=3&amp;lin=f&amp;keep=1&amp;srchmode=1&amp;unlock","Timema poppensis")</f>
        <v>Timema poppensis</v>
      </c>
      <c r="H801" t="s">
        <v>728</v>
      </c>
      <c r="I801" t="str">
        <f>HYPERLINK("http://www.ncbi.nlm.nih.gov/protein/CAD7415267.1","unnamed protein product")</f>
        <v>unnamed protein product</v>
      </c>
      <c r="J801">
        <v>62.39</v>
      </c>
      <c r="K801" t="s">
        <v>25</v>
      </c>
      <c r="L801">
        <v>139</v>
      </c>
      <c r="M801">
        <v>50.68</v>
      </c>
      <c r="N801">
        <v>24.73</v>
      </c>
      <c r="O801" t="s">
        <v>25</v>
      </c>
      <c r="P801" t="s">
        <v>21</v>
      </c>
      <c r="Q801" t="s">
        <v>20</v>
      </c>
      <c r="R801" t="str">
        <f>HYPERLINK("https://cfpub.epa.gov/ecotox/explore.cfm?ncbi=170557","Explore in ECOTOX")</f>
        <v>Explore in ECOTOX</v>
      </c>
    </row>
    <row r="802" spans="1:18" x14ac:dyDescent="0.25">
      <c r="A802">
        <v>6</v>
      </c>
      <c r="B802" t="str">
        <f>HYPERLINK("http://www.ncbi.nlm.nih.gov/protein/CAD7261264.1","CAD7261264.1")</f>
        <v>CAD7261264.1</v>
      </c>
      <c r="C802">
        <v>14260</v>
      </c>
      <c r="D802" t="str">
        <f>HYPERLINK("http://www.ncbi.nlm.nih.gov/Taxonomy/Browser/wwwtax.cgi?mode=Info&amp;id=629360&amp;lvl=3&amp;lin=f&amp;keep=1&amp;srchmode=1&amp;unlock","629360")</f>
        <v>629360</v>
      </c>
      <c r="E802" t="s">
        <v>698</v>
      </c>
      <c r="F802" t="s">
        <v>698</v>
      </c>
      <c r="G802" t="str">
        <f>HYPERLINK("http://www.ncbi.nlm.nih.gov/Taxonomy/Browser/wwwtax.cgi?mode=Info&amp;id=629360&amp;lvl=3&amp;lin=f&amp;keep=1&amp;srchmode=1&amp;unlock","Timema shepardi")</f>
        <v>Timema shepardi</v>
      </c>
      <c r="H802" t="s">
        <v>728</v>
      </c>
      <c r="I802" t="str">
        <f>HYPERLINK("http://www.ncbi.nlm.nih.gov/protein/CAD7261264.1","unnamed protein product")</f>
        <v>unnamed protein product</v>
      </c>
      <c r="J802">
        <v>62</v>
      </c>
      <c r="K802" t="s">
        <v>25</v>
      </c>
      <c r="L802">
        <v>139</v>
      </c>
      <c r="M802">
        <v>50.68</v>
      </c>
      <c r="N802">
        <v>24.58</v>
      </c>
      <c r="O802" t="s">
        <v>25</v>
      </c>
      <c r="P802" t="s">
        <v>21</v>
      </c>
      <c r="Q802" t="s">
        <v>20</v>
      </c>
      <c r="R802" t="str">
        <f>HYPERLINK("https://cfpub.epa.gov/ecotox/explore.cfm?ncbi=629360","Explore in ECOTOX")</f>
        <v>Explore in ECOTOX</v>
      </c>
    </row>
    <row r="803" spans="1:18" x14ac:dyDescent="0.25">
      <c r="A803">
        <v>6</v>
      </c>
      <c r="B803" t="str">
        <f>HYPERLINK("http://www.ncbi.nlm.nih.gov/protein/ABL09317.1","ABL09317.1")</f>
        <v>ABL09317.1</v>
      </c>
      <c r="C803">
        <v>90</v>
      </c>
      <c r="D803" t="str">
        <f>HYPERLINK("http://www.ncbi.nlm.nih.gov/Taxonomy/Browser/wwwtax.cgi?mode=Info&amp;id=212130&amp;lvl=3&amp;lin=f&amp;keep=1&amp;srchmode=1&amp;unlock","212130")</f>
        <v>212130</v>
      </c>
      <c r="E803" t="s">
        <v>700</v>
      </c>
      <c r="F803" t="s">
        <v>700</v>
      </c>
      <c r="G803" t="str">
        <f>HYPERLINK("http://www.ncbi.nlm.nih.gov/Taxonomy/Browser/wwwtax.cgi?mode=Info&amp;id=212130&amp;lvl=3&amp;lin=f&amp;keep=1&amp;srchmode=1&amp;unlock","Aleuroglyphus ovatus")</f>
        <v>Aleuroglyphus ovatus</v>
      </c>
      <c r="H803" t="s">
        <v>757</v>
      </c>
      <c r="I803" t="str">
        <f>HYPERLINK("http://www.ncbi.nlm.nih.gov/protein/ABL09317.1","allergen Ale o 13")</f>
        <v>allergen Ale o 13</v>
      </c>
      <c r="J803">
        <v>62</v>
      </c>
      <c r="K803" t="s">
        <v>25</v>
      </c>
      <c r="L803">
        <v>139</v>
      </c>
      <c r="M803">
        <v>50.68</v>
      </c>
      <c r="N803">
        <v>24.58</v>
      </c>
      <c r="O803" t="s">
        <v>25</v>
      </c>
      <c r="P803" t="s">
        <v>21</v>
      </c>
      <c r="Q803" t="s">
        <v>20</v>
      </c>
      <c r="R803" t="str">
        <f>HYPERLINK("https://cfpub.epa.gov/ecotox/explore.cfm?ncbi=212130","Explore in ECOTOX")</f>
        <v>Explore in ECOTOX</v>
      </c>
    </row>
    <row r="804" spans="1:18" x14ac:dyDescent="0.25">
      <c r="A804">
        <v>6</v>
      </c>
      <c r="B804" t="str">
        <f>HYPERLINK("http://www.ncbi.nlm.nih.gov/protein/KFB48504.1","KFB48504.1")</f>
        <v>KFB48504.1</v>
      </c>
      <c r="C804">
        <v>19893</v>
      </c>
      <c r="D804" t="str">
        <f>HYPERLINK("http://www.ncbi.nlm.nih.gov/Taxonomy/Browser/wwwtax.cgi?mode=Info&amp;id=74873&amp;lvl=3&amp;lin=f&amp;keep=1&amp;srchmode=1&amp;unlock","74873")</f>
        <v>74873</v>
      </c>
      <c r="E804" t="s">
        <v>698</v>
      </c>
      <c r="F804" t="s">
        <v>698</v>
      </c>
      <c r="G804" t="str">
        <f>HYPERLINK("http://www.ncbi.nlm.nih.gov/Taxonomy/Browser/wwwtax.cgi?mode=Info&amp;id=74873&amp;lvl=3&amp;lin=f&amp;keep=1&amp;srchmode=1&amp;unlock","Anopheles sinensis")</f>
        <v>Anopheles sinensis</v>
      </c>
      <c r="H804" t="s">
        <v>758</v>
      </c>
      <c r="I804" t="str">
        <f>HYPERLINK("http://www.ncbi.nlm.nih.gov/protein/KFB48504.1","AGAP013189-PA-like protein")</f>
        <v>AGAP013189-PA-like protein</v>
      </c>
      <c r="J804">
        <v>62</v>
      </c>
      <c r="K804" t="s">
        <v>25</v>
      </c>
      <c r="L804">
        <v>139</v>
      </c>
      <c r="M804">
        <v>50.68</v>
      </c>
      <c r="N804">
        <v>24.58</v>
      </c>
      <c r="O804" t="s">
        <v>25</v>
      </c>
      <c r="P804" t="s">
        <v>21</v>
      </c>
      <c r="Q804" t="s">
        <v>20</v>
      </c>
      <c r="R804" t="str">
        <f>HYPERLINK("https://cfpub.epa.gov/ecotox/explore.cfm?ncbi=74873","Explore in ECOTOX")</f>
        <v>Explore in ECOTOX</v>
      </c>
    </row>
    <row r="805" spans="1:18" x14ac:dyDescent="0.25">
      <c r="A805">
        <v>6</v>
      </c>
      <c r="B805" t="str">
        <f>HYPERLINK("http://www.ncbi.nlm.nih.gov/protein/XP_023236636.1","XP_023236636.1")</f>
        <v>XP_023236636.1</v>
      </c>
      <c r="C805">
        <v>35591</v>
      </c>
      <c r="D805" t="str">
        <f>HYPERLINK("http://www.ncbi.nlm.nih.gov/Taxonomy/Browser/wwwtax.cgi?mode=Info&amp;id=218467&amp;lvl=3&amp;lin=f&amp;keep=1&amp;srchmode=1&amp;unlock","218467")</f>
        <v>218467</v>
      </c>
      <c r="E805" t="s">
        <v>700</v>
      </c>
      <c r="F805" t="s">
        <v>700</v>
      </c>
      <c r="G805" t="str">
        <f>HYPERLINK("http://www.ncbi.nlm.nih.gov/Taxonomy/Browser/wwwtax.cgi?mode=Info&amp;id=218467&amp;lvl=3&amp;lin=f&amp;keep=1&amp;srchmode=1&amp;unlock","Centruroides sculpturatus")</f>
        <v>Centruroides sculpturatus</v>
      </c>
      <c r="H805" t="s">
        <v>759</v>
      </c>
      <c r="I805" t="str">
        <f>HYPERLINK("http://www.ncbi.nlm.nih.gov/protein/XP_023236636.1","fatty acid-binding protein-like isoform X2")</f>
        <v>fatty acid-binding protein-like isoform X2</v>
      </c>
      <c r="J805">
        <v>62</v>
      </c>
      <c r="K805" t="s">
        <v>25</v>
      </c>
      <c r="L805">
        <v>139</v>
      </c>
      <c r="M805">
        <v>50.68</v>
      </c>
      <c r="N805">
        <v>24.58</v>
      </c>
      <c r="O805" t="s">
        <v>25</v>
      </c>
      <c r="P805" t="s">
        <v>21</v>
      </c>
      <c r="Q805" t="s">
        <v>20</v>
      </c>
      <c r="R805" t="str">
        <f>HYPERLINK("https://cfpub.epa.gov/ecotox/explore.cfm?ncbi=218467","Explore in ECOTOX")</f>
        <v>Explore in ECOTOX</v>
      </c>
    </row>
    <row r="806" spans="1:18" x14ac:dyDescent="0.25">
      <c r="A806">
        <v>6</v>
      </c>
      <c r="B806" t="str">
        <f>HYPERLINK("http://www.ncbi.nlm.nih.gov/protein/KAF0286710.1","KAF0286710.1")</f>
        <v>KAF0286710.1</v>
      </c>
      <c r="C806">
        <v>28245</v>
      </c>
      <c r="D806" t="str">
        <f>HYPERLINK("http://www.ncbi.nlm.nih.gov/Taxonomy/Browser/wwwtax.cgi?mode=Info&amp;id=1232801&amp;lvl=3&amp;lin=f&amp;keep=1&amp;srchmode=1&amp;unlock","1232801")</f>
        <v>1232801</v>
      </c>
      <c r="E806" t="s">
        <v>760</v>
      </c>
      <c r="F806" t="s">
        <v>760</v>
      </c>
      <c r="G806" t="str">
        <f>HYPERLINK("http://www.ncbi.nlm.nih.gov/Taxonomy/Browser/wwwtax.cgi?mode=Info&amp;id=1232801&amp;lvl=3&amp;lin=f&amp;keep=1&amp;srchmode=1&amp;unlock","Amphibalanus amphitrite")</f>
        <v>Amphibalanus amphitrite</v>
      </c>
      <c r="H806" t="s">
        <v>761</v>
      </c>
      <c r="I806" t="str">
        <f>HYPERLINK("http://www.ncbi.nlm.nih.gov/protein/KAF0286710.1","Fatty acid-binding protein")</f>
        <v>Fatty acid-binding protein</v>
      </c>
      <c r="J806">
        <v>62</v>
      </c>
      <c r="K806" t="s">
        <v>25</v>
      </c>
      <c r="L806">
        <v>139</v>
      </c>
      <c r="M806">
        <v>50.68</v>
      </c>
      <c r="N806">
        <v>24.58</v>
      </c>
      <c r="O806" t="s">
        <v>25</v>
      </c>
      <c r="P806" t="s">
        <v>21</v>
      </c>
      <c r="Q806" t="s">
        <v>20</v>
      </c>
      <c r="R806" t="str">
        <f>HYPERLINK("https://cfpub.epa.gov/ecotox/explore.cfm?ncbi=1232801","Explore in ECOTOX")</f>
        <v>Explore in ECOTOX</v>
      </c>
    </row>
    <row r="807" spans="1:18" x14ac:dyDescent="0.25">
      <c r="A807">
        <v>6</v>
      </c>
      <c r="B807" t="str">
        <f>HYPERLINK("http://www.ncbi.nlm.nih.gov/protein/XP_037952337.1","XP_037952337.1")</f>
        <v>XP_037952337.1</v>
      </c>
      <c r="C807">
        <v>34229</v>
      </c>
      <c r="D807" t="str">
        <f>HYPERLINK("http://www.ncbi.nlm.nih.gov/Taxonomy/Browser/wwwtax.cgi?mode=Info&amp;id=139649&amp;lvl=3&amp;lin=f&amp;keep=1&amp;srchmode=1&amp;unlock","139649")</f>
        <v>139649</v>
      </c>
      <c r="E807" t="s">
        <v>698</v>
      </c>
      <c r="F807" t="s">
        <v>698</v>
      </c>
      <c r="G807" t="str">
        <f>HYPERLINK("http://www.ncbi.nlm.nih.gov/Taxonomy/Browser/wwwtax.cgi?mode=Info&amp;id=139649&amp;lvl=3&amp;lin=f&amp;keep=1&amp;srchmode=1&amp;unlock","Teleopsis dalmanni")</f>
        <v>Teleopsis dalmanni</v>
      </c>
      <c r="H807" t="s">
        <v>762</v>
      </c>
      <c r="I807" t="str">
        <f>HYPERLINK("http://www.ncbi.nlm.nih.gov/protein/XP_037952337.1","probable fatty acid-binding protein")</f>
        <v>probable fatty acid-binding protein</v>
      </c>
      <c r="J807">
        <v>61.62</v>
      </c>
      <c r="K807" t="s">
        <v>25</v>
      </c>
      <c r="L807">
        <v>139</v>
      </c>
      <c r="M807">
        <v>50.68</v>
      </c>
      <c r="N807">
        <v>24.42</v>
      </c>
      <c r="O807" t="s">
        <v>25</v>
      </c>
      <c r="P807" t="s">
        <v>21</v>
      </c>
      <c r="Q807" t="s">
        <v>20</v>
      </c>
      <c r="R807" t="str">
        <f>HYPERLINK("https://cfpub.epa.gov/ecotox/explore.cfm?ncbi=139649","Explore in ECOTOX")</f>
        <v>Explore in ECOTOX</v>
      </c>
    </row>
    <row r="808" spans="1:18" x14ac:dyDescent="0.25">
      <c r="A808">
        <v>6</v>
      </c>
      <c r="B808" t="str">
        <f>HYPERLINK("http://www.ncbi.nlm.nih.gov/protein/XP_014474982.1","XP_014474982.1")</f>
        <v>XP_014474982.1</v>
      </c>
      <c r="C808">
        <v>22424</v>
      </c>
      <c r="D808" t="str">
        <f>HYPERLINK("http://www.ncbi.nlm.nih.gov/Taxonomy/Browser/wwwtax.cgi?mode=Info&amp;id=609295&amp;lvl=3&amp;lin=f&amp;keep=1&amp;srchmode=1&amp;unlock","609295")</f>
        <v>609295</v>
      </c>
      <c r="E808" t="s">
        <v>698</v>
      </c>
      <c r="F808" t="s">
        <v>698</v>
      </c>
      <c r="G808" t="str">
        <f>HYPERLINK("http://www.ncbi.nlm.nih.gov/Taxonomy/Browser/wwwtax.cgi?mode=Info&amp;id=609295&amp;lvl=3&amp;lin=f&amp;keep=1&amp;srchmode=1&amp;unlock","Dinoponera quadriceps")</f>
        <v>Dinoponera quadriceps</v>
      </c>
      <c r="H808" t="s">
        <v>755</v>
      </c>
      <c r="I808" t="str">
        <f>HYPERLINK("http://www.ncbi.nlm.nih.gov/protein/XP_014474982.1","PREDICTED: myelin P2 protein isoform X1")</f>
        <v>PREDICTED: myelin P2 protein isoform X1</v>
      </c>
      <c r="J808">
        <v>61.62</v>
      </c>
      <c r="K808" t="s">
        <v>25</v>
      </c>
      <c r="L808">
        <v>139</v>
      </c>
      <c r="M808">
        <v>50.68</v>
      </c>
      <c r="N808">
        <v>24.42</v>
      </c>
      <c r="O808" t="s">
        <v>25</v>
      </c>
      <c r="P808" t="s">
        <v>21</v>
      </c>
      <c r="Q808" t="s">
        <v>20</v>
      </c>
      <c r="R808" t="str">
        <f>HYPERLINK("https://cfpub.epa.gov/ecotox/explore.cfm?ncbi=609295","Explore in ECOTOX")</f>
        <v>Explore in ECOTOX</v>
      </c>
    </row>
    <row r="809" spans="1:18" x14ac:dyDescent="0.25">
      <c r="A809">
        <v>6</v>
      </c>
      <c r="B809" t="str">
        <f>HYPERLINK("http://www.ncbi.nlm.nih.gov/protein/XP_005100668.2","XP_005100668.2")</f>
        <v>XP_005100668.2</v>
      </c>
      <c r="C809">
        <v>27878</v>
      </c>
      <c r="D809" t="str">
        <f>HYPERLINK("http://www.ncbi.nlm.nih.gov/Taxonomy/Browser/wwwtax.cgi?mode=Info&amp;id=6500&amp;lvl=3&amp;lin=f&amp;keep=1&amp;srchmode=1&amp;unlock","6500")</f>
        <v>6500</v>
      </c>
      <c r="E809" t="s">
        <v>763</v>
      </c>
      <c r="F809" t="s">
        <v>763</v>
      </c>
      <c r="G809" t="str">
        <f>HYPERLINK("http://www.ncbi.nlm.nih.gov/Taxonomy/Browser/wwwtax.cgi?mode=Info&amp;id=6500&amp;lvl=3&amp;lin=f&amp;keep=1&amp;srchmode=1&amp;unlock","Aplysia californica")</f>
        <v>Aplysia californica</v>
      </c>
      <c r="H809" t="s">
        <v>764</v>
      </c>
      <c r="I809" t="str">
        <f>HYPERLINK("http://www.ncbi.nlm.nih.gov/protein/XP_005100668.2","fatty acid-binding protein, heart")</f>
        <v>fatty acid-binding protein, heart</v>
      </c>
      <c r="J809">
        <v>61.62</v>
      </c>
      <c r="K809" t="s">
        <v>25</v>
      </c>
      <c r="L809">
        <v>139</v>
      </c>
      <c r="M809">
        <v>50.68</v>
      </c>
      <c r="N809">
        <v>24.42</v>
      </c>
      <c r="O809" t="s">
        <v>25</v>
      </c>
      <c r="P809" t="s">
        <v>21</v>
      </c>
      <c r="Q809" t="s">
        <v>20</v>
      </c>
      <c r="R809" t="str">
        <f>HYPERLINK("https://cfpub.epa.gov/ecotox/explore.cfm?ncbi=6500","Explore in ECOTOX")</f>
        <v>Explore in ECOTOX</v>
      </c>
    </row>
    <row r="810" spans="1:18" x14ac:dyDescent="0.25">
      <c r="A810">
        <v>6</v>
      </c>
      <c r="B810" t="str">
        <f>HYPERLINK("http://www.ncbi.nlm.nih.gov/protein/ODM92265.1","ODM92265.1")</f>
        <v>ODM92265.1</v>
      </c>
      <c r="C810">
        <v>20400</v>
      </c>
      <c r="D810" t="str">
        <f>HYPERLINK("http://www.ncbi.nlm.nih.gov/Taxonomy/Browser/wwwtax.cgi?mode=Info&amp;id=48709&amp;lvl=3&amp;lin=f&amp;keep=1&amp;srchmode=1&amp;unlock","48709")</f>
        <v>48709</v>
      </c>
      <c r="E810" t="s">
        <v>765</v>
      </c>
      <c r="F810" t="s">
        <v>765</v>
      </c>
      <c r="G810" t="str">
        <f>HYPERLINK("http://www.ncbi.nlm.nih.gov/Taxonomy/Browser/wwwtax.cgi?mode=Info&amp;id=48709&amp;lvl=3&amp;lin=f&amp;keep=1&amp;srchmode=1&amp;unlock","Orchesella cincta")</f>
        <v>Orchesella cincta</v>
      </c>
      <c r="H810" t="s">
        <v>766</v>
      </c>
      <c r="I810" t="str">
        <f>HYPERLINK("http://www.ncbi.nlm.nih.gov/protein/ODM92265.1","Fatty acid-binding protein, heart")</f>
        <v>Fatty acid-binding protein, heart</v>
      </c>
      <c r="J810">
        <v>61.23</v>
      </c>
      <c r="K810" t="s">
        <v>25</v>
      </c>
      <c r="L810">
        <v>139</v>
      </c>
      <c r="M810">
        <v>50.68</v>
      </c>
      <c r="N810">
        <v>24.27</v>
      </c>
      <c r="O810" t="s">
        <v>25</v>
      </c>
      <c r="P810" t="s">
        <v>21</v>
      </c>
      <c r="Q810" t="s">
        <v>20</v>
      </c>
      <c r="R810" t="str">
        <f>HYPERLINK("https://cfpub.epa.gov/ecotox/explore.cfm?ncbi=48709","Explore in ECOTOX")</f>
        <v>Explore in ECOTOX</v>
      </c>
    </row>
    <row r="811" spans="1:18" x14ac:dyDescent="0.25">
      <c r="A811">
        <v>6</v>
      </c>
      <c r="B811" t="str">
        <f>HYPERLINK("http://www.ncbi.nlm.nih.gov/protein/CAD7449154.1","CAD7449154.1")</f>
        <v>CAD7449154.1</v>
      </c>
      <c r="C811">
        <v>14365</v>
      </c>
      <c r="D811" t="str">
        <f>HYPERLINK("http://www.ncbi.nlm.nih.gov/Taxonomy/Browser/wwwtax.cgi?mode=Info&amp;id=61472&amp;lvl=3&amp;lin=f&amp;keep=1&amp;srchmode=1&amp;unlock","61472")</f>
        <v>61472</v>
      </c>
      <c r="E811" t="s">
        <v>698</v>
      </c>
      <c r="F811" t="s">
        <v>698</v>
      </c>
      <c r="G811" t="str">
        <f>HYPERLINK("http://www.ncbi.nlm.nih.gov/Taxonomy/Browser/wwwtax.cgi?mode=Info&amp;id=61472&amp;lvl=3&amp;lin=f&amp;keep=1&amp;srchmode=1&amp;unlock","Timema bartmani")</f>
        <v>Timema bartmani</v>
      </c>
      <c r="H811" t="s">
        <v>728</v>
      </c>
      <c r="I811" t="str">
        <f>HYPERLINK("http://www.ncbi.nlm.nih.gov/protein/CAD7449154.1","unnamed protein product")</f>
        <v>unnamed protein product</v>
      </c>
      <c r="J811">
        <v>61.23</v>
      </c>
      <c r="K811" t="s">
        <v>25</v>
      </c>
      <c r="L811">
        <v>139</v>
      </c>
      <c r="M811">
        <v>50.68</v>
      </c>
      <c r="N811">
        <v>24.27</v>
      </c>
      <c r="O811" t="s">
        <v>25</v>
      </c>
      <c r="P811" t="s">
        <v>21</v>
      </c>
      <c r="Q811" t="s">
        <v>20</v>
      </c>
      <c r="R811" t="str">
        <f>HYPERLINK("https://cfpub.epa.gov/ecotox/explore.cfm?ncbi=61472","Explore in ECOTOX")</f>
        <v>Explore in ECOTOX</v>
      </c>
    </row>
    <row r="812" spans="1:18" x14ac:dyDescent="0.25">
      <c r="A812">
        <v>6</v>
      </c>
      <c r="B812" t="str">
        <f>HYPERLINK("http://www.ncbi.nlm.nih.gov/protein/XP_017891258.1","XP_017891258.1")</f>
        <v>XP_017891258.1</v>
      </c>
      <c r="C812">
        <v>23322</v>
      </c>
      <c r="D812" t="str">
        <f>HYPERLINK("http://www.ncbi.nlm.nih.gov/Taxonomy/Browser/wwwtax.cgi?mode=Info&amp;id=156304&amp;lvl=3&amp;lin=f&amp;keep=1&amp;srchmode=1&amp;unlock","156304")</f>
        <v>156304</v>
      </c>
      <c r="E812" t="s">
        <v>698</v>
      </c>
      <c r="F812" t="s">
        <v>698</v>
      </c>
      <c r="G812" t="str">
        <f>HYPERLINK("http://www.ncbi.nlm.nih.gov/Taxonomy/Browser/wwwtax.cgi?mode=Info&amp;id=156304&amp;lvl=3&amp;lin=f&amp;keep=1&amp;srchmode=1&amp;unlock","Ceratina calcarata")</f>
        <v>Ceratina calcarata</v>
      </c>
      <c r="H812" t="s">
        <v>767</v>
      </c>
      <c r="I812" t="str">
        <f>HYPERLINK("http://www.ncbi.nlm.nih.gov/protein/XP_017891258.1","probable fatty acid-binding protein isoform X2")</f>
        <v>probable fatty acid-binding protein isoform X2</v>
      </c>
      <c r="J812">
        <v>61.23</v>
      </c>
      <c r="K812" t="s">
        <v>25</v>
      </c>
      <c r="L812">
        <v>139</v>
      </c>
      <c r="M812">
        <v>50.68</v>
      </c>
      <c r="N812">
        <v>24.27</v>
      </c>
      <c r="O812" t="s">
        <v>25</v>
      </c>
      <c r="P812" t="s">
        <v>21</v>
      </c>
      <c r="Q812" t="s">
        <v>20</v>
      </c>
      <c r="R812" t="str">
        <f>HYPERLINK("https://cfpub.epa.gov/ecotox/explore.cfm?ncbi=156304","Explore in ECOTOX")</f>
        <v>Explore in ECOTOX</v>
      </c>
    </row>
    <row r="813" spans="1:18" x14ac:dyDescent="0.25">
      <c r="A813">
        <v>6</v>
      </c>
      <c r="B813" t="str">
        <f>HYPERLINK("http://www.ncbi.nlm.nih.gov/protein/XP_033104750.1","XP_033104750.1")</f>
        <v>XP_033104750.1</v>
      </c>
      <c r="C813">
        <v>32797</v>
      </c>
      <c r="D813" t="str">
        <f>HYPERLINK("http://www.ncbi.nlm.nih.gov/Taxonomy/Browser/wwwtax.cgi?mode=Info&amp;id=1529436&amp;lvl=3&amp;lin=f&amp;keep=1&amp;srchmode=1&amp;unlock","1529436")</f>
        <v>1529436</v>
      </c>
      <c r="E813" t="s">
        <v>768</v>
      </c>
      <c r="F813" t="s">
        <v>768</v>
      </c>
      <c r="G813" t="str">
        <f>HYPERLINK("http://www.ncbi.nlm.nih.gov/Taxonomy/Browser/wwwtax.cgi?mode=Info&amp;id=1529436&amp;lvl=3&amp;lin=f&amp;keep=1&amp;srchmode=1&amp;unlock","Anneissia japonica")</f>
        <v>Anneissia japonica</v>
      </c>
      <c r="H813" t="s">
        <v>769</v>
      </c>
      <c r="I813" t="str">
        <f>HYPERLINK("http://www.ncbi.nlm.nih.gov/protein/XP_033104750.1","sodium/calcium exchanger regulatory protein 1-like")</f>
        <v>sodium/calcium exchanger regulatory protein 1-like</v>
      </c>
      <c r="J813">
        <v>61.23</v>
      </c>
      <c r="K813" t="s">
        <v>25</v>
      </c>
      <c r="L813">
        <v>139</v>
      </c>
      <c r="M813">
        <v>50.68</v>
      </c>
      <c r="N813">
        <v>24.27</v>
      </c>
      <c r="O813" t="s">
        <v>25</v>
      </c>
      <c r="P813" t="s">
        <v>21</v>
      </c>
      <c r="Q813" t="s">
        <v>20</v>
      </c>
      <c r="R813" t="str">
        <f>HYPERLINK("https://cfpub.epa.gov/ecotox/explore.cfm?ncbi=1529436","Explore in ECOTOX")</f>
        <v>Explore in ECOTOX</v>
      </c>
    </row>
    <row r="814" spans="1:18" x14ac:dyDescent="0.25">
      <c r="A814">
        <v>6</v>
      </c>
      <c r="B814" t="str">
        <f>HYPERLINK("http://www.ncbi.nlm.nih.gov/protein/XP_003393818.1","XP_003393818.1")</f>
        <v>XP_003393818.1</v>
      </c>
      <c r="C814">
        <v>22757</v>
      </c>
      <c r="D814" t="str">
        <f>HYPERLINK("http://www.ncbi.nlm.nih.gov/Taxonomy/Browser/wwwtax.cgi?mode=Info&amp;id=30195&amp;lvl=3&amp;lin=f&amp;keep=1&amp;srchmode=1&amp;unlock","30195")</f>
        <v>30195</v>
      </c>
      <c r="E814" t="s">
        <v>698</v>
      </c>
      <c r="F814" t="s">
        <v>698</v>
      </c>
      <c r="G814" t="str">
        <f>HYPERLINK("http://www.ncbi.nlm.nih.gov/Taxonomy/Browser/wwwtax.cgi?mode=Info&amp;id=30195&amp;lvl=3&amp;lin=f&amp;keep=1&amp;srchmode=1&amp;unlock","Bombus terrestris")</f>
        <v>Bombus terrestris</v>
      </c>
      <c r="H814" t="s">
        <v>770</v>
      </c>
      <c r="I814" t="str">
        <f>HYPERLINK("http://www.ncbi.nlm.nih.gov/protein/XP_003393818.1","myelin P2 protein isoform X1")</f>
        <v>myelin P2 protein isoform X1</v>
      </c>
      <c r="J814">
        <v>61.23</v>
      </c>
      <c r="K814" t="s">
        <v>25</v>
      </c>
      <c r="L814">
        <v>139</v>
      </c>
      <c r="M814">
        <v>50.68</v>
      </c>
      <c r="N814">
        <v>24.27</v>
      </c>
      <c r="O814" t="s">
        <v>25</v>
      </c>
      <c r="P814" t="s">
        <v>21</v>
      </c>
      <c r="Q814" t="s">
        <v>20</v>
      </c>
      <c r="R814" t="str">
        <f>HYPERLINK("https://cfpub.epa.gov/ecotox/explore.cfm?ncbi=30195","Explore in ECOTOX")</f>
        <v>Explore in ECOTOX</v>
      </c>
    </row>
    <row r="815" spans="1:18" x14ac:dyDescent="0.25">
      <c r="A815">
        <v>6</v>
      </c>
      <c r="B815" t="str">
        <f>HYPERLINK("http://www.ncbi.nlm.nih.gov/protein/XP_012138207.1","XP_012138207.1")</f>
        <v>XP_012138207.1</v>
      </c>
      <c r="C815">
        <v>26089</v>
      </c>
      <c r="D815" t="str">
        <f>HYPERLINK("http://www.ncbi.nlm.nih.gov/Taxonomy/Browser/wwwtax.cgi?mode=Info&amp;id=143995&amp;lvl=3&amp;lin=f&amp;keep=1&amp;srchmode=1&amp;unlock","143995")</f>
        <v>143995</v>
      </c>
      <c r="E815" t="s">
        <v>698</v>
      </c>
      <c r="F815" t="s">
        <v>698</v>
      </c>
      <c r="G815" t="str">
        <f>HYPERLINK("http://www.ncbi.nlm.nih.gov/Taxonomy/Browser/wwwtax.cgi?mode=Info&amp;id=143995&amp;lvl=3&amp;lin=f&amp;keep=1&amp;srchmode=1&amp;unlock","Megachile rotundata")</f>
        <v>Megachile rotundata</v>
      </c>
      <c r="H815" t="s">
        <v>771</v>
      </c>
      <c r="I815" t="str">
        <f>HYPERLINK("http://www.ncbi.nlm.nih.gov/protein/XP_012138207.1","PREDICTED: fatty acid-binding protein, muscle isoform X2")</f>
        <v>PREDICTED: fatty acid-binding protein, muscle isoform X2</v>
      </c>
      <c r="J815">
        <v>60.85</v>
      </c>
      <c r="K815" t="s">
        <v>25</v>
      </c>
      <c r="L815">
        <v>139</v>
      </c>
      <c r="M815">
        <v>50.68</v>
      </c>
      <c r="N815">
        <v>24.12</v>
      </c>
      <c r="O815" t="s">
        <v>25</v>
      </c>
      <c r="P815" t="s">
        <v>21</v>
      </c>
      <c r="Q815" t="s">
        <v>20</v>
      </c>
      <c r="R815" t="str">
        <f>HYPERLINK("https://cfpub.epa.gov/ecotox/explore.cfm?ncbi=143995","Explore in ECOTOX")</f>
        <v>Explore in ECOTOX</v>
      </c>
    </row>
    <row r="816" spans="1:18" x14ac:dyDescent="0.25">
      <c r="A816">
        <v>6</v>
      </c>
      <c r="B816" t="str">
        <f>HYPERLINK("http://www.ncbi.nlm.nih.gov/protein/XP_015510478.1","XP_015510478.1")</f>
        <v>XP_015510478.1</v>
      </c>
      <c r="C816">
        <v>16016</v>
      </c>
      <c r="D816" t="str">
        <f>HYPERLINK("http://www.ncbi.nlm.nih.gov/Taxonomy/Browser/wwwtax.cgi?mode=Info&amp;id=441921&amp;lvl=3&amp;lin=f&amp;keep=1&amp;srchmode=1&amp;unlock","441921")</f>
        <v>441921</v>
      </c>
      <c r="E816" t="s">
        <v>698</v>
      </c>
      <c r="F816" t="s">
        <v>698</v>
      </c>
      <c r="G816" t="str">
        <f>HYPERLINK("http://www.ncbi.nlm.nih.gov/Taxonomy/Browser/wwwtax.cgi?mode=Info&amp;id=441921&amp;lvl=3&amp;lin=f&amp;keep=1&amp;srchmode=1&amp;unlock","Neodiprion lecontei")</f>
        <v>Neodiprion lecontei</v>
      </c>
      <c r="H816" t="s">
        <v>772</v>
      </c>
      <c r="I816" t="str">
        <f>HYPERLINK("http://www.ncbi.nlm.nih.gov/protein/XP_015510478.1","PREDICTED: fatty acid-binding protein, muscle isoform X1")</f>
        <v>PREDICTED: fatty acid-binding protein, muscle isoform X1</v>
      </c>
      <c r="J816">
        <v>60.85</v>
      </c>
      <c r="K816" t="s">
        <v>25</v>
      </c>
      <c r="L816">
        <v>139</v>
      </c>
      <c r="M816">
        <v>50.68</v>
      </c>
      <c r="N816">
        <v>24.12</v>
      </c>
      <c r="O816" t="s">
        <v>25</v>
      </c>
      <c r="P816" t="s">
        <v>21</v>
      </c>
      <c r="Q816" t="s">
        <v>20</v>
      </c>
      <c r="R816" t="str">
        <f>HYPERLINK("https://cfpub.epa.gov/ecotox/explore.cfm?ncbi=441921","Explore in ECOTOX")</f>
        <v>Explore in ECOTOX</v>
      </c>
    </row>
    <row r="817" spans="1:18" x14ac:dyDescent="0.25">
      <c r="A817">
        <v>6</v>
      </c>
      <c r="B817" t="str">
        <f>HYPERLINK("http://www.ncbi.nlm.nih.gov/protein/KAF2365531.1","KAF2365531.1")</f>
        <v>KAF2365531.1</v>
      </c>
      <c r="C817">
        <v>26118</v>
      </c>
      <c r="D817" t="str">
        <f>HYPERLINK("http://www.ncbi.nlm.nih.gov/Taxonomy/Browser/wwwtax.cgi?mode=Info&amp;id=1923959&amp;lvl=3&amp;lin=f&amp;keep=1&amp;srchmode=1&amp;unlock","1923959")</f>
        <v>1923959</v>
      </c>
      <c r="E817" t="s">
        <v>742</v>
      </c>
      <c r="F817" t="s">
        <v>742</v>
      </c>
      <c r="G817" t="str">
        <f>HYPERLINK("http://www.ncbi.nlm.nih.gov/Taxonomy/Browser/wwwtax.cgi?mode=Info&amp;id=1923959&amp;lvl=3&amp;lin=f&amp;keep=1&amp;srchmode=1&amp;unlock","Trinorchestia longiramus")</f>
        <v>Trinorchestia longiramus</v>
      </c>
      <c r="H817" t="s">
        <v>773</v>
      </c>
      <c r="I817" t="str">
        <f>HYPERLINK("http://www.ncbi.nlm.nih.gov/protein/KAF2365531.1","Calycin")</f>
        <v>Calycin</v>
      </c>
      <c r="J817">
        <v>60.85</v>
      </c>
      <c r="K817" t="s">
        <v>25</v>
      </c>
      <c r="L817">
        <v>139</v>
      </c>
      <c r="M817">
        <v>50.68</v>
      </c>
      <c r="N817">
        <v>24.12</v>
      </c>
      <c r="O817" t="s">
        <v>25</v>
      </c>
      <c r="P817" t="s">
        <v>21</v>
      </c>
      <c r="Q817" t="s">
        <v>20</v>
      </c>
      <c r="R817" t="str">
        <f>HYPERLINK("https://cfpub.epa.gov/ecotox/explore.cfm?ncbi=1923959","Explore in ECOTOX")</f>
        <v>Explore in ECOTOX</v>
      </c>
    </row>
    <row r="818" spans="1:18" x14ac:dyDescent="0.25">
      <c r="A818">
        <v>6</v>
      </c>
      <c r="B818" t="str">
        <f>HYPERLINK("http://www.ncbi.nlm.nih.gov/protein/AAX34046.1","AAX34046.1")</f>
        <v>AAX34046.1</v>
      </c>
      <c r="C818">
        <v>16</v>
      </c>
      <c r="D818" t="str">
        <f>HYPERLINK("http://www.ncbi.nlm.nih.gov/Taxonomy/Browser/wwwtax.cgi?mode=Info&amp;id=223625&amp;lvl=3&amp;lin=f&amp;keep=1&amp;srchmode=1&amp;unlock","223625")</f>
        <v>223625</v>
      </c>
      <c r="E818" t="s">
        <v>700</v>
      </c>
      <c r="F818" t="s">
        <v>700</v>
      </c>
      <c r="G818" t="str">
        <f>HYPERLINK("http://www.ncbi.nlm.nih.gov/Taxonomy/Browser/wwwtax.cgi?mode=Info&amp;id=223625&amp;lvl=3&amp;lin=f&amp;keep=1&amp;srchmode=1&amp;unlock","Suidasia medanensis")</f>
        <v>Suidasia medanensis</v>
      </c>
      <c r="H818" t="s">
        <v>701</v>
      </c>
      <c r="I818" t="str">
        <f>HYPERLINK("http://www.ncbi.nlm.nih.gov/protein/AAX34046.1","Sui m 13 allergen")</f>
        <v>Sui m 13 allergen</v>
      </c>
      <c r="J818">
        <v>60.85</v>
      </c>
      <c r="K818" t="s">
        <v>25</v>
      </c>
      <c r="L818">
        <v>139</v>
      </c>
      <c r="M818">
        <v>50.68</v>
      </c>
      <c r="N818">
        <v>24.12</v>
      </c>
      <c r="O818" t="s">
        <v>25</v>
      </c>
      <c r="P818" t="s">
        <v>21</v>
      </c>
      <c r="Q818" t="s">
        <v>20</v>
      </c>
      <c r="R818" t="str">
        <f>HYPERLINK("https://cfpub.epa.gov/ecotox/explore.cfm?ncbi=223625","Explore in ECOTOX")</f>
        <v>Explore in ECOTOX</v>
      </c>
    </row>
    <row r="819" spans="1:18" x14ac:dyDescent="0.25">
      <c r="A819">
        <v>6</v>
      </c>
      <c r="B819" t="str">
        <f>HYPERLINK("http://www.ncbi.nlm.nih.gov/protein/XP_037041049.1","XP_037041049.1")</f>
        <v>XP_037041049.1</v>
      </c>
      <c r="C819">
        <v>28500</v>
      </c>
      <c r="D819" t="str">
        <f>HYPERLINK("http://www.ncbi.nlm.nih.gov/Taxonomy/Browser/wwwtax.cgi?mode=Info&amp;id=38358&amp;lvl=3&amp;lin=f&amp;keep=1&amp;srchmode=1&amp;unlock","38358")</f>
        <v>38358</v>
      </c>
      <c r="E819" t="s">
        <v>698</v>
      </c>
      <c r="F819" t="s">
        <v>698</v>
      </c>
      <c r="G819" t="str">
        <f>HYPERLINK("http://www.ncbi.nlm.nih.gov/Taxonomy/Browser/wwwtax.cgi?mode=Info&amp;id=38358&amp;lvl=3&amp;lin=f&amp;keep=1&amp;srchmode=1&amp;unlock","Bradysia coprophila")</f>
        <v>Bradysia coprophila</v>
      </c>
      <c r="H819" t="s">
        <v>774</v>
      </c>
      <c r="I819" t="str">
        <f>HYPERLINK("http://www.ncbi.nlm.nih.gov/protein/XP_037041049.1","probable fatty acid-binding protein isoform X1")</f>
        <v>probable fatty acid-binding protein isoform X1</v>
      </c>
      <c r="J819">
        <v>60.85</v>
      </c>
      <c r="K819" t="s">
        <v>25</v>
      </c>
      <c r="L819">
        <v>139</v>
      </c>
      <c r="M819">
        <v>50.68</v>
      </c>
      <c r="N819">
        <v>24.12</v>
      </c>
      <c r="O819" t="s">
        <v>25</v>
      </c>
      <c r="P819" t="s">
        <v>21</v>
      </c>
      <c r="Q819" t="s">
        <v>20</v>
      </c>
      <c r="R819" t="str">
        <f>HYPERLINK("https://cfpub.epa.gov/ecotox/explore.cfm?ncbi=38358","Explore in ECOTOX")</f>
        <v>Explore in ECOTOX</v>
      </c>
    </row>
    <row r="820" spans="1:18" x14ac:dyDescent="0.25">
      <c r="A820">
        <v>6</v>
      </c>
      <c r="B820" t="str">
        <f>HYPERLINK("http://www.ncbi.nlm.nih.gov/protein/XP_011265212.1","XP_011265212.1")</f>
        <v>XP_011265212.1</v>
      </c>
      <c r="C820">
        <v>38841</v>
      </c>
      <c r="D820" t="str">
        <f>HYPERLINK("http://www.ncbi.nlm.nih.gov/Taxonomy/Browser/wwwtax.cgi?mode=Info&amp;id=104421&amp;lvl=3&amp;lin=f&amp;keep=1&amp;srchmode=1&amp;unlock","104421")</f>
        <v>104421</v>
      </c>
      <c r="E820" t="s">
        <v>698</v>
      </c>
      <c r="F820" t="s">
        <v>698</v>
      </c>
      <c r="G820" t="str">
        <f>HYPERLINK("http://www.ncbi.nlm.nih.gov/Taxonomy/Browser/wwwtax.cgi?mode=Info&amp;id=104421&amp;lvl=3&amp;lin=f&amp;keep=1&amp;srchmode=1&amp;unlock","Camponotus floridanus")</f>
        <v>Camponotus floridanus</v>
      </c>
      <c r="H820" t="s">
        <v>775</v>
      </c>
      <c r="I820" t="str">
        <f>HYPERLINK("http://www.ncbi.nlm.nih.gov/protein/XP_011265212.1","myelin P2 protein isoform X1")</f>
        <v>myelin P2 protein isoform X1</v>
      </c>
      <c r="J820">
        <v>60.46</v>
      </c>
      <c r="K820" t="s">
        <v>25</v>
      </c>
      <c r="L820">
        <v>139</v>
      </c>
      <c r="M820">
        <v>50.68</v>
      </c>
      <c r="N820">
        <v>23.97</v>
      </c>
      <c r="O820" t="s">
        <v>25</v>
      </c>
      <c r="P820" t="s">
        <v>21</v>
      </c>
      <c r="Q820" t="s">
        <v>20</v>
      </c>
      <c r="R820" t="str">
        <f>HYPERLINK("https://cfpub.epa.gov/ecotox/explore.cfm?ncbi=104421","Explore in ECOTOX")</f>
        <v>Explore in ECOTOX</v>
      </c>
    </row>
    <row r="821" spans="1:18" x14ac:dyDescent="0.25">
      <c r="A821">
        <v>6</v>
      </c>
      <c r="B821" t="str">
        <f>HYPERLINK("http://www.ncbi.nlm.nih.gov/protein/XP_033355951.1","XP_033355951.1")</f>
        <v>XP_033355951.1</v>
      </c>
      <c r="C821">
        <v>24081</v>
      </c>
      <c r="D821" t="str">
        <f>HYPERLINK("http://www.ncbi.nlm.nih.gov/Taxonomy/Browser/wwwtax.cgi?mode=Info&amp;id=207650&amp;lvl=3&amp;lin=f&amp;keep=1&amp;srchmode=1&amp;unlock","207650")</f>
        <v>207650</v>
      </c>
      <c r="E821" t="s">
        <v>698</v>
      </c>
      <c r="F821" t="s">
        <v>698</v>
      </c>
      <c r="G821" t="str">
        <f>HYPERLINK("http://www.ncbi.nlm.nih.gov/Taxonomy/Browser/wwwtax.cgi?mode=Info&amp;id=207650&amp;lvl=3&amp;lin=f&amp;keep=1&amp;srchmode=1&amp;unlock","Bombus vosnesenskii")</f>
        <v>Bombus vosnesenskii</v>
      </c>
      <c r="H821" t="s">
        <v>776</v>
      </c>
      <c r="I821" t="str">
        <f>HYPERLINK("http://www.ncbi.nlm.nih.gov/protein/XP_033355951.1","sodium/calcium exchanger regulatory protein 1 isoform X1")</f>
        <v>sodium/calcium exchanger regulatory protein 1 isoform X1</v>
      </c>
      <c r="J821">
        <v>60.46</v>
      </c>
      <c r="K821" t="s">
        <v>25</v>
      </c>
      <c r="L821">
        <v>139</v>
      </c>
      <c r="M821">
        <v>50.68</v>
      </c>
      <c r="N821">
        <v>23.97</v>
      </c>
      <c r="O821" t="s">
        <v>25</v>
      </c>
      <c r="P821" t="s">
        <v>21</v>
      </c>
      <c r="Q821" t="s">
        <v>20</v>
      </c>
      <c r="R821" t="str">
        <f>HYPERLINK("https://cfpub.epa.gov/ecotox/explore.cfm?ncbi=207650","Explore in ECOTOX")</f>
        <v>Explore in ECOTOX</v>
      </c>
    </row>
    <row r="822" spans="1:18" x14ac:dyDescent="0.25">
      <c r="A822">
        <v>6</v>
      </c>
      <c r="B822" t="str">
        <f>HYPERLINK("http://www.ncbi.nlm.nih.gov/protein/XP_035775888.1","XP_035775888.1")</f>
        <v>XP_035775888.1</v>
      </c>
      <c r="C822">
        <v>24117</v>
      </c>
      <c r="D822" t="str">
        <f>HYPERLINK("http://www.ncbi.nlm.nih.gov/Taxonomy/Browser/wwwtax.cgi?mode=Info&amp;id=7167&amp;lvl=3&amp;lin=f&amp;keep=1&amp;srchmode=1&amp;unlock","7167")</f>
        <v>7167</v>
      </c>
      <c r="E822" t="s">
        <v>698</v>
      </c>
      <c r="F822" t="s">
        <v>698</v>
      </c>
      <c r="G822" t="str">
        <f>HYPERLINK("http://www.ncbi.nlm.nih.gov/Taxonomy/Browser/wwwtax.cgi?mode=Info&amp;id=7167&amp;lvl=3&amp;lin=f&amp;keep=1&amp;srchmode=1&amp;unlock","Anopheles albimanus")</f>
        <v>Anopheles albimanus</v>
      </c>
      <c r="H822" t="s">
        <v>758</v>
      </c>
      <c r="I822" t="str">
        <f>HYPERLINK("http://www.ncbi.nlm.nih.gov/protein/XP_035775888.1","probable fatty acid-binding protein")</f>
        <v>probable fatty acid-binding protein</v>
      </c>
      <c r="J822">
        <v>60.46</v>
      </c>
      <c r="K822" t="s">
        <v>25</v>
      </c>
      <c r="L822">
        <v>139</v>
      </c>
      <c r="M822">
        <v>50.68</v>
      </c>
      <c r="N822">
        <v>23.97</v>
      </c>
      <c r="O822" t="s">
        <v>25</v>
      </c>
      <c r="P822" t="s">
        <v>21</v>
      </c>
      <c r="Q822" t="s">
        <v>20</v>
      </c>
      <c r="R822" t="str">
        <f>HYPERLINK("https://cfpub.epa.gov/ecotox/explore.cfm?ncbi=7167","Explore in ECOTOX")</f>
        <v>Explore in ECOTOX</v>
      </c>
    </row>
    <row r="823" spans="1:18" x14ac:dyDescent="0.25">
      <c r="A823">
        <v>6</v>
      </c>
      <c r="B823" t="str">
        <f>HYPERLINK("http://www.ncbi.nlm.nih.gov/protein/XP_033188073.1","XP_033188073.1")</f>
        <v>XP_033188073.1</v>
      </c>
      <c r="C823">
        <v>24326</v>
      </c>
      <c r="D823" t="str">
        <f>HYPERLINK("http://www.ncbi.nlm.nih.gov/Taxonomy/Browser/wwwtax.cgi?mode=Info&amp;id=2705178&amp;lvl=3&amp;lin=f&amp;keep=1&amp;srchmode=1&amp;unlock","2705178")</f>
        <v>2705178</v>
      </c>
      <c r="E823" t="s">
        <v>698</v>
      </c>
      <c r="F823" t="s">
        <v>698</v>
      </c>
      <c r="G823" t="str">
        <f>HYPERLINK("http://www.ncbi.nlm.nih.gov/Taxonomy/Browser/wwwtax.cgi?mode=Info&amp;id=2705178&amp;lvl=3&amp;lin=f&amp;keep=1&amp;srchmode=1&amp;unlock","Bombus vancouverensis nearcticus")</f>
        <v>Bombus vancouverensis nearcticus</v>
      </c>
      <c r="H823" t="s">
        <v>776</v>
      </c>
      <c r="I823" t="str">
        <f>HYPERLINK("http://www.ncbi.nlm.nih.gov/protein/XP_033188073.1","sodium/calcium exchanger regulatory protein 1 isoform X1")</f>
        <v>sodium/calcium exchanger regulatory protein 1 isoform X1</v>
      </c>
      <c r="J823">
        <v>60.46</v>
      </c>
      <c r="K823" t="s">
        <v>25</v>
      </c>
      <c r="L823">
        <v>139</v>
      </c>
      <c r="M823">
        <v>50.68</v>
      </c>
      <c r="N823">
        <v>23.97</v>
      </c>
      <c r="O823" t="s">
        <v>25</v>
      </c>
      <c r="P823" t="s">
        <v>21</v>
      </c>
      <c r="Q823" t="s">
        <v>20</v>
      </c>
      <c r="R823" t="str">
        <f>HYPERLINK("https://cfpub.epa.gov/ecotox/explore.cfm?ncbi=2705178","Explore in ECOTOX")</f>
        <v>Explore in ECOTOX</v>
      </c>
    </row>
    <row r="824" spans="1:18" x14ac:dyDescent="0.25">
      <c r="A824">
        <v>6</v>
      </c>
      <c r="B824" t="str">
        <f>HYPERLINK("http://www.ncbi.nlm.nih.gov/protein/XP_033302378.1","XP_033302378.1")</f>
        <v>XP_033302378.1</v>
      </c>
      <c r="C824">
        <v>24027</v>
      </c>
      <c r="D824" t="str">
        <f>HYPERLINK("http://www.ncbi.nlm.nih.gov/Taxonomy/Browser/wwwtax.cgi?mode=Info&amp;id=103933&amp;lvl=3&amp;lin=f&amp;keep=1&amp;srchmode=1&amp;unlock","103933")</f>
        <v>103933</v>
      </c>
      <c r="E824" t="s">
        <v>698</v>
      </c>
      <c r="F824" t="s">
        <v>698</v>
      </c>
      <c r="G824" t="str">
        <f>HYPERLINK("http://www.ncbi.nlm.nih.gov/Taxonomy/Browser/wwwtax.cgi?mode=Info&amp;id=103933&amp;lvl=3&amp;lin=f&amp;keep=1&amp;srchmode=1&amp;unlock","Bombus bifarius")</f>
        <v>Bombus bifarius</v>
      </c>
      <c r="H824" t="s">
        <v>776</v>
      </c>
      <c r="I824" t="str">
        <f>HYPERLINK("http://www.ncbi.nlm.nih.gov/protein/XP_033302378.1","sodium/calcium exchanger regulatory protein 1 isoform X1")</f>
        <v>sodium/calcium exchanger regulatory protein 1 isoform X1</v>
      </c>
      <c r="J824">
        <v>60.46</v>
      </c>
      <c r="K824" t="s">
        <v>25</v>
      </c>
      <c r="L824">
        <v>139</v>
      </c>
      <c r="M824">
        <v>50.68</v>
      </c>
      <c r="N824">
        <v>23.97</v>
      </c>
      <c r="O824" t="s">
        <v>25</v>
      </c>
      <c r="P824" t="s">
        <v>21</v>
      </c>
      <c r="Q824" t="s">
        <v>20</v>
      </c>
      <c r="R824" t="str">
        <f>HYPERLINK("https://cfpub.epa.gov/ecotox/explore.cfm?ncbi=103933","Explore in ECOTOX")</f>
        <v>Explore in ECOTOX</v>
      </c>
    </row>
    <row r="825" spans="1:18" x14ac:dyDescent="0.25">
      <c r="A825">
        <v>6</v>
      </c>
      <c r="B825" t="str">
        <f>HYPERLINK("http://www.ncbi.nlm.nih.gov/protein/Q9U5P1.1","Q9U5P1.1")</f>
        <v>Q9U5P1.1</v>
      </c>
      <c r="C825">
        <v>77</v>
      </c>
      <c r="D825" t="str">
        <f>HYPERLINK("http://www.ncbi.nlm.nih.gov/Taxonomy/Browser/wwwtax.cgi?mode=Info&amp;id=36936&amp;lvl=3&amp;lin=f&amp;keep=1&amp;srchmode=1&amp;unlock","36936")</f>
        <v>36936</v>
      </c>
      <c r="E825" t="s">
        <v>700</v>
      </c>
      <c r="F825" t="s">
        <v>700</v>
      </c>
      <c r="G825" t="str">
        <f>HYPERLINK("http://www.ncbi.nlm.nih.gov/Taxonomy/Browser/wwwtax.cgi?mode=Info&amp;id=36936&amp;lvl=3&amp;lin=f&amp;keep=1&amp;srchmode=1&amp;unlock","Lepidoglyphus destructor")</f>
        <v>Lepidoglyphus destructor</v>
      </c>
      <c r="H825" t="s">
        <v>701</v>
      </c>
      <c r="I825" t="str">
        <f>HYPERLINK("http://www.ncbi.nlm.nih.gov/protein/Q9U5P1.1","RecName: Full=Fatty acid-binding protein; AltName: Allergen=Lep d 13")</f>
        <v>RecName: Full=Fatty acid-binding protein; AltName: Allergen=Lep d 13</v>
      </c>
      <c r="J825">
        <v>60.46</v>
      </c>
      <c r="K825" t="s">
        <v>25</v>
      </c>
      <c r="L825">
        <v>139</v>
      </c>
      <c r="M825">
        <v>50.68</v>
      </c>
      <c r="N825">
        <v>23.97</v>
      </c>
      <c r="O825" t="s">
        <v>25</v>
      </c>
      <c r="P825" t="s">
        <v>21</v>
      </c>
      <c r="Q825" t="s">
        <v>20</v>
      </c>
      <c r="R825" t="str">
        <f>HYPERLINK("https://cfpub.epa.gov/ecotox/explore.cfm?ncbi=36936","Explore in ECOTOX")</f>
        <v>Explore in ECOTOX</v>
      </c>
    </row>
    <row r="826" spans="1:18" x14ac:dyDescent="0.25">
      <c r="A826">
        <v>6</v>
      </c>
      <c r="B826" t="str">
        <f>HYPERLINK("http://www.ncbi.nlm.nih.gov/protein/XP_017790439.1","XP_017790439.1")</f>
        <v>XP_017790439.1</v>
      </c>
      <c r="C826">
        <v>25085</v>
      </c>
      <c r="D826" t="str">
        <f>HYPERLINK("http://www.ncbi.nlm.nih.gov/Taxonomy/Browser/wwwtax.cgi?mode=Info&amp;id=597456&amp;lvl=3&amp;lin=f&amp;keep=1&amp;srchmode=1&amp;unlock","597456")</f>
        <v>597456</v>
      </c>
      <c r="E826" t="s">
        <v>698</v>
      </c>
      <c r="F826" t="s">
        <v>698</v>
      </c>
      <c r="G826" t="str">
        <f>HYPERLINK("http://www.ncbi.nlm.nih.gov/Taxonomy/Browser/wwwtax.cgi?mode=Info&amp;id=597456&amp;lvl=3&amp;lin=f&amp;keep=1&amp;srchmode=1&amp;unlock","Habropoda laboriosa")</f>
        <v>Habropoda laboriosa</v>
      </c>
      <c r="H826" t="s">
        <v>777</v>
      </c>
      <c r="I826" t="str">
        <f>HYPERLINK("http://www.ncbi.nlm.nih.gov/protein/XP_017790439.1","PREDICTED: fatty acid-binding protein, muscle isoform X1")</f>
        <v>PREDICTED: fatty acid-binding protein, muscle isoform X1</v>
      </c>
      <c r="J826">
        <v>60.08</v>
      </c>
      <c r="K826" t="s">
        <v>25</v>
      </c>
      <c r="L826">
        <v>139</v>
      </c>
      <c r="M826">
        <v>50.68</v>
      </c>
      <c r="N826">
        <v>23.81</v>
      </c>
      <c r="O826" t="s">
        <v>25</v>
      </c>
      <c r="P826" t="s">
        <v>21</v>
      </c>
      <c r="Q826" t="s">
        <v>20</v>
      </c>
      <c r="R826" t="str">
        <f>HYPERLINK("https://cfpub.epa.gov/ecotox/explore.cfm?ncbi=597456","Explore in ECOTOX")</f>
        <v>Explore in ECOTOX</v>
      </c>
    </row>
    <row r="827" spans="1:18" x14ac:dyDescent="0.25">
      <c r="A827">
        <v>6</v>
      </c>
      <c r="B827" t="str">
        <f>HYPERLINK("http://www.ncbi.nlm.nih.gov/protein/ALS04897.1","ALS04897.1")</f>
        <v>ALS04897.1</v>
      </c>
      <c r="C827">
        <v>615</v>
      </c>
      <c r="D827" t="str">
        <f>HYPERLINK("http://www.ncbi.nlm.nih.gov/Taxonomy/Browser/wwwtax.cgi?mode=Info&amp;id=213370&amp;lvl=3&amp;lin=f&amp;keep=1&amp;srchmode=1&amp;unlock","213370")</f>
        <v>213370</v>
      </c>
      <c r="E827" t="s">
        <v>760</v>
      </c>
      <c r="F827" t="s">
        <v>760</v>
      </c>
      <c r="G827" t="str">
        <f>HYPERLINK("http://www.ncbi.nlm.nih.gov/Taxonomy/Browser/wwwtax.cgi?mode=Info&amp;id=213370&amp;lvl=3&amp;lin=f&amp;keep=1&amp;srchmode=1&amp;unlock","Pseudodiaptomus poplesia")</f>
        <v>Pseudodiaptomus poplesia</v>
      </c>
      <c r="H827" t="s">
        <v>778</v>
      </c>
      <c r="I827" t="str">
        <f>HYPERLINK("http://www.ncbi.nlm.nih.gov/protein/ALS04897.1","cellular retinoic acid-binding protein 2")</f>
        <v>cellular retinoic acid-binding protein 2</v>
      </c>
      <c r="J827">
        <v>60.08</v>
      </c>
      <c r="K827" t="s">
        <v>25</v>
      </c>
      <c r="L827">
        <v>139</v>
      </c>
      <c r="M827">
        <v>50.68</v>
      </c>
      <c r="N827">
        <v>23.81</v>
      </c>
      <c r="O827" t="s">
        <v>25</v>
      </c>
      <c r="P827" t="s">
        <v>21</v>
      </c>
      <c r="Q827" t="s">
        <v>20</v>
      </c>
      <c r="R827" t="str">
        <f>HYPERLINK("https://cfpub.epa.gov/ecotox/explore.cfm?ncbi=213370","Explore in ECOTOX")</f>
        <v>Explore in ECOTOX</v>
      </c>
    </row>
    <row r="828" spans="1:18" x14ac:dyDescent="0.25">
      <c r="A828">
        <v>6</v>
      </c>
      <c r="B828" t="str">
        <f>HYPERLINK("http://www.ncbi.nlm.nih.gov/protein/OTF79007.1","OTF79007.1")</f>
        <v>OTF79007.1</v>
      </c>
      <c r="C828">
        <v>15267</v>
      </c>
      <c r="D828" t="str">
        <f>HYPERLINK("http://www.ncbi.nlm.nih.gov/Taxonomy/Browser/wwwtax.cgi?mode=Info&amp;id=6958&amp;lvl=3&amp;lin=f&amp;keep=1&amp;srchmode=1&amp;unlock","6958")</f>
        <v>6958</v>
      </c>
      <c r="E828" t="s">
        <v>700</v>
      </c>
      <c r="F828" t="s">
        <v>700</v>
      </c>
      <c r="G828" t="str">
        <f>HYPERLINK("http://www.ncbi.nlm.nih.gov/Taxonomy/Browser/wwwtax.cgi?mode=Info&amp;id=6958&amp;lvl=3&amp;lin=f&amp;keep=1&amp;srchmode=1&amp;unlock","Euroglyphus maynei")</f>
        <v>Euroglyphus maynei</v>
      </c>
      <c r="H828" t="s">
        <v>779</v>
      </c>
      <c r="I828" t="str">
        <f>HYPERLINK("http://www.ncbi.nlm.nih.gov/protein/OTF79007.1","Group 13 mite allergen-like protein (Lipocalin)")</f>
        <v>Group 13 mite allergen-like protein (Lipocalin)</v>
      </c>
      <c r="J828">
        <v>60.08</v>
      </c>
      <c r="K828" t="s">
        <v>25</v>
      </c>
      <c r="L828">
        <v>139</v>
      </c>
      <c r="M828">
        <v>50.68</v>
      </c>
      <c r="N828">
        <v>23.81</v>
      </c>
      <c r="O828" t="s">
        <v>25</v>
      </c>
      <c r="P828" t="s">
        <v>21</v>
      </c>
      <c r="Q828" t="s">
        <v>20</v>
      </c>
      <c r="R828" t="str">
        <f>HYPERLINK("https://cfpub.epa.gov/ecotox/explore.cfm?ncbi=6958","Explore in ECOTOX")</f>
        <v>Explore in ECOTOX</v>
      </c>
    </row>
    <row r="829" spans="1:18" x14ac:dyDescent="0.25">
      <c r="A829">
        <v>6</v>
      </c>
      <c r="B829" t="str">
        <f>HYPERLINK("http://www.ncbi.nlm.nih.gov/protein/XP_040155003.1","XP_040155003.1")</f>
        <v>XP_040155003.1</v>
      </c>
      <c r="C829">
        <v>27479</v>
      </c>
      <c r="D829" t="str">
        <f>HYPERLINK("http://www.ncbi.nlm.nih.gov/Taxonomy/Browser/wwwtax.cgi?mode=Info&amp;id=7173&amp;lvl=3&amp;lin=f&amp;keep=1&amp;srchmode=1&amp;unlock","7173")</f>
        <v>7173</v>
      </c>
      <c r="E829" t="s">
        <v>698</v>
      </c>
      <c r="F829" t="s">
        <v>698</v>
      </c>
      <c r="G829" t="str">
        <f>HYPERLINK("http://www.ncbi.nlm.nih.gov/Taxonomy/Browser/wwwtax.cgi?mode=Info&amp;id=7173&amp;lvl=3&amp;lin=f&amp;keep=1&amp;srchmode=1&amp;unlock","Anopheles arabiensis")</f>
        <v>Anopheles arabiensis</v>
      </c>
      <c r="H829" t="s">
        <v>758</v>
      </c>
      <c r="I829" t="str">
        <f>HYPERLINK("http://www.ncbi.nlm.nih.gov/protein/XP_040155003.1","probable fatty acid-binding protein")</f>
        <v>probable fatty acid-binding protein</v>
      </c>
      <c r="J829">
        <v>59.69</v>
      </c>
      <c r="K829" t="s">
        <v>25</v>
      </c>
      <c r="L829">
        <v>139</v>
      </c>
      <c r="M829">
        <v>50.68</v>
      </c>
      <c r="N829">
        <v>23.66</v>
      </c>
      <c r="O829" t="s">
        <v>25</v>
      </c>
      <c r="P829" t="s">
        <v>21</v>
      </c>
      <c r="Q829" t="s">
        <v>20</v>
      </c>
      <c r="R829" t="str">
        <f>HYPERLINK("https://cfpub.epa.gov/ecotox/explore.cfm?ncbi=7173","Explore in ECOTOX")</f>
        <v>Explore in ECOTOX</v>
      </c>
    </row>
    <row r="830" spans="1:18" x14ac:dyDescent="0.25">
      <c r="A830">
        <v>6</v>
      </c>
      <c r="B830" t="str">
        <f>HYPERLINK("http://www.ncbi.nlm.nih.gov/protein/XP_026473074.1","XP_026473074.1")</f>
        <v>XP_026473074.1</v>
      </c>
      <c r="C830">
        <v>22235</v>
      </c>
      <c r="D830" t="str">
        <f>HYPERLINK("http://www.ncbi.nlm.nih.gov/Taxonomy/Browser/wwwtax.cgi?mode=Info&amp;id=7515&amp;lvl=3&amp;lin=f&amp;keep=1&amp;srchmode=1&amp;unlock","7515")</f>
        <v>7515</v>
      </c>
      <c r="E830" t="s">
        <v>698</v>
      </c>
      <c r="F830" t="s">
        <v>698</v>
      </c>
      <c r="G830" t="str">
        <f>HYPERLINK("http://www.ncbi.nlm.nih.gov/Taxonomy/Browser/wwwtax.cgi?mode=Info&amp;id=7515&amp;lvl=3&amp;lin=f&amp;keep=1&amp;srchmode=1&amp;unlock","Ctenocephalides felis")</f>
        <v>Ctenocephalides felis</v>
      </c>
      <c r="H830" t="s">
        <v>780</v>
      </c>
      <c r="I830" t="str">
        <f>HYPERLINK("http://www.ncbi.nlm.nih.gov/protein/XP_026473074.1","probable fatty acid-binding protein")</f>
        <v>probable fatty acid-binding protein</v>
      </c>
      <c r="J830">
        <v>59.69</v>
      </c>
      <c r="K830" t="s">
        <v>25</v>
      </c>
      <c r="L830">
        <v>139</v>
      </c>
      <c r="M830">
        <v>50.68</v>
      </c>
      <c r="N830">
        <v>23.66</v>
      </c>
      <c r="O830" t="s">
        <v>25</v>
      </c>
      <c r="P830" t="s">
        <v>21</v>
      </c>
      <c r="Q830" t="s">
        <v>20</v>
      </c>
      <c r="R830" t="str">
        <f>HYPERLINK("https://cfpub.epa.gov/ecotox/explore.cfm?ncbi=7515","Explore in ECOTOX")</f>
        <v>Explore in ECOTOX</v>
      </c>
    </row>
    <row r="831" spans="1:18" x14ac:dyDescent="0.25">
      <c r="A831">
        <v>6</v>
      </c>
      <c r="B831" t="str">
        <f>HYPERLINK("http://www.ncbi.nlm.nih.gov/protein/XP_015179484.1","XP_015179484.1")</f>
        <v>XP_015179484.1</v>
      </c>
      <c r="C831">
        <v>20991</v>
      </c>
      <c r="D831" t="str">
        <f>HYPERLINK("http://www.ncbi.nlm.nih.gov/Taxonomy/Browser/wwwtax.cgi?mode=Info&amp;id=743375&amp;lvl=3&amp;lin=f&amp;keep=1&amp;srchmode=1&amp;unlock","743375")</f>
        <v>743375</v>
      </c>
      <c r="E831" t="s">
        <v>698</v>
      </c>
      <c r="F831" t="s">
        <v>698</v>
      </c>
      <c r="G831" t="str">
        <f>HYPERLINK("http://www.ncbi.nlm.nih.gov/Taxonomy/Browser/wwwtax.cgi?mode=Info&amp;id=743375&amp;lvl=3&amp;lin=f&amp;keep=1&amp;srchmode=1&amp;unlock","Polistes dominula")</f>
        <v>Polistes dominula</v>
      </c>
      <c r="H831" t="s">
        <v>781</v>
      </c>
      <c r="I831" t="str">
        <f>HYPERLINK("http://www.ncbi.nlm.nih.gov/protein/XP_015179484.1","PREDICTED: probable fatty acid-binding protein isoform X2")</f>
        <v>PREDICTED: probable fatty acid-binding protein isoform X2</v>
      </c>
      <c r="J831">
        <v>59.69</v>
      </c>
      <c r="K831" t="s">
        <v>25</v>
      </c>
      <c r="L831">
        <v>139</v>
      </c>
      <c r="M831">
        <v>50.68</v>
      </c>
      <c r="N831">
        <v>23.66</v>
      </c>
      <c r="O831" t="s">
        <v>25</v>
      </c>
      <c r="P831" t="s">
        <v>21</v>
      </c>
      <c r="Q831" t="s">
        <v>20</v>
      </c>
      <c r="R831" t="str">
        <f>HYPERLINK("https://cfpub.epa.gov/ecotox/explore.cfm?ncbi=743375","Explore in ECOTOX")</f>
        <v>Explore in ECOTOX</v>
      </c>
    </row>
    <row r="832" spans="1:18" x14ac:dyDescent="0.25">
      <c r="A832">
        <v>6</v>
      </c>
      <c r="B832" t="str">
        <f>HYPERLINK("http://www.ncbi.nlm.nih.gov/protein/XP_003436444.1","XP_003436444.1")</f>
        <v>XP_003436444.1</v>
      </c>
      <c r="C832">
        <v>28138</v>
      </c>
      <c r="D832" t="str">
        <f>HYPERLINK("http://www.ncbi.nlm.nih.gov/Taxonomy/Browser/wwwtax.cgi?mode=Info&amp;id=180454&amp;lvl=3&amp;lin=f&amp;keep=1&amp;srchmode=1&amp;unlock","180454")</f>
        <v>180454</v>
      </c>
      <c r="E832" t="s">
        <v>698</v>
      </c>
      <c r="F832" t="s">
        <v>698</v>
      </c>
      <c r="G832" t="str">
        <f>HYPERLINK("http://www.ncbi.nlm.nih.gov/Taxonomy/Browser/wwwtax.cgi?mode=Info&amp;id=180454&amp;lvl=3&amp;lin=f&amp;keep=1&amp;srchmode=1&amp;unlock","Anopheles gambiae str. PEST")</f>
        <v>Anopheles gambiae str. PEST</v>
      </c>
      <c r="H832" t="s">
        <v>782</v>
      </c>
      <c r="I832" t="str">
        <f>HYPERLINK("http://www.ncbi.nlm.nih.gov/protein/XP_003436444.1","AGAP013189-PA")</f>
        <v>AGAP013189-PA</v>
      </c>
      <c r="J832">
        <v>59.69</v>
      </c>
      <c r="K832" t="s">
        <v>25</v>
      </c>
      <c r="L832">
        <v>139</v>
      </c>
      <c r="M832">
        <v>50.68</v>
      </c>
      <c r="N832">
        <v>23.66</v>
      </c>
      <c r="O832" t="s">
        <v>25</v>
      </c>
      <c r="P832" t="s">
        <v>21</v>
      </c>
      <c r="Q832" t="s">
        <v>20</v>
      </c>
      <c r="R832" t="str">
        <f>HYPERLINK("https://cfpub.epa.gov/ecotox/explore.cfm?ncbi=180454","Explore in ECOTOX")</f>
        <v>Explore in ECOTOX</v>
      </c>
    </row>
    <row r="833" spans="1:18" x14ac:dyDescent="0.25">
      <c r="A833">
        <v>6</v>
      </c>
      <c r="B833" t="str">
        <f>HYPERLINK("http://www.ncbi.nlm.nih.gov/protein/XP_035890789.1","XP_035890789.1")</f>
        <v>XP_035890789.1</v>
      </c>
      <c r="C833">
        <v>30158</v>
      </c>
      <c r="D833" t="str">
        <f>HYPERLINK("http://www.ncbi.nlm.nih.gov/Taxonomy/Browser/wwwtax.cgi?mode=Info&amp;id=30069&amp;lvl=3&amp;lin=f&amp;keep=1&amp;srchmode=1&amp;unlock","30069")</f>
        <v>30069</v>
      </c>
      <c r="E833" t="s">
        <v>698</v>
      </c>
      <c r="F833" t="s">
        <v>698</v>
      </c>
      <c r="G833" t="str">
        <f>HYPERLINK("http://www.ncbi.nlm.nih.gov/Taxonomy/Browser/wwwtax.cgi?mode=Info&amp;id=30069&amp;lvl=3&amp;lin=f&amp;keep=1&amp;srchmode=1&amp;unlock","Anopheles stephensi")</f>
        <v>Anopheles stephensi</v>
      </c>
      <c r="H833" t="s">
        <v>783</v>
      </c>
      <c r="I833" t="str">
        <f>HYPERLINK("http://www.ncbi.nlm.nih.gov/protein/XP_035890789.1","probable fatty acid-binding protein")</f>
        <v>probable fatty acid-binding protein</v>
      </c>
      <c r="J833">
        <v>59.69</v>
      </c>
      <c r="K833" t="s">
        <v>25</v>
      </c>
      <c r="L833">
        <v>139</v>
      </c>
      <c r="M833">
        <v>50.68</v>
      </c>
      <c r="N833">
        <v>23.66</v>
      </c>
      <c r="O833" t="s">
        <v>25</v>
      </c>
      <c r="P833" t="s">
        <v>21</v>
      </c>
      <c r="Q833" t="s">
        <v>20</v>
      </c>
      <c r="R833" t="str">
        <f>HYPERLINK("https://cfpub.epa.gov/ecotox/explore.cfm?ncbi=30069","Explore in ECOTOX")</f>
        <v>Explore in ECOTOX</v>
      </c>
    </row>
    <row r="834" spans="1:18" x14ac:dyDescent="0.25">
      <c r="A834">
        <v>6</v>
      </c>
      <c r="B834" t="str">
        <f>HYPERLINK("http://www.ncbi.nlm.nih.gov/protein/CAD7620829.1","CAD7620829.1")</f>
        <v>CAD7620829.1</v>
      </c>
      <c r="C834">
        <v>23367</v>
      </c>
      <c r="D834" t="str">
        <f>HYPERLINK("http://www.ncbi.nlm.nih.gov/Taxonomy/Browser/wwwtax.cgi?mode=Info&amp;id=1979941&amp;lvl=3&amp;lin=f&amp;keep=1&amp;srchmode=1&amp;unlock","1979941")</f>
        <v>1979941</v>
      </c>
      <c r="E834" t="s">
        <v>700</v>
      </c>
      <c r="F834" t="s">
        <v>700</v>
      </c>
      <c r="G834" t="str">
        <f>HYPERLINK("http://www.ncbi.nlm.nih.gov/Taxonomy/Browser/wwwtax.cgi?mode=Info&amp;id=1979941&amp;lvl=3&amp;lin=f&amp;keep=1&amp;srchmode=1&amp;unlock","Medioppia subpectinata")</f>
        <v>Medioppia subpectinata</v>
      </c>
      <c r="H834" t="s">
        <v>714</v>
      </c>
      <c r="I834" t="str">
        <f>HYPERLINK("http://www.ncbi.nlm.nih.gov/protein/CAD7620829.1","unnamed protein product")</f>
        <v>unnamed protein product</v>
      </c>
      <c r="J834">
        <v>59.69</v>
      </c>
      <c r="K834" t="s">
        <v>25</v>
      </c>
      <c r="L834">
        <v>139</v>
      </c>
      <c r="M834">
        <v>50.68</v>
      </c>
      <c r="N834">
        <v>23.66</v>
      </c>
      <c r="O834" t="s">
        <v>25</v>
      </c>
      <c r="P834" t="s">
        <v>21</v>
      </c>
      <c r="Q834" t="s">
        <v>20</v>
      </c>
      <c r="R834" t="str">
        <f>HYPERLINK("https://cfpub.epa.gov/ecotox/explore.cfm?ncbi=1979941","Explore in ECOTOX")</f>
        <v>Explore in ECOTOX</v>
      </c>
    </row>
    <row r="835" spans="1:18" x14ac:dyDescent="0.25">
      <c r="A835">
        <v>6</v>
      </c>
      <c r="B835" t="str">
        <f>HYPERLINK("http://www.ncbi.nlm.nih.gov/protein/XP_034171207.1","XP_034171207.1")</f>
        <v>XP_034171207.1</v>
      </c>
      <c r="C835">
        <v>25969</v>
      </c>
      <c r="D835" t="str">
        <f>HYPERLINK("http://www.ncbi.nlm.nih.gov/Taxonomy/Browser/wwwtax.cgi?mode=Info&amp;id=473952&amp;lvl=3&amp;lin=f&amp;keep=1&amp;srchmode=1&amp;unlock","473952")</f>
        <v>473952</v>
      </c>
      <c r="E835" t="s">
        <v>698</v>
      </c>
      <c r="F835" t="s">
        <v>698</v>
      </c>
      <c r="G835" t="str">
        <f>HYPERLINK("http://www.ncbi.nlm.nih.gov/Taxonomy/Browser/wwwtax.cgi?mode=Info&amp;id=473952&amp;lvl=3&amp;lin=f&amp;keep=1&amp;srchmode=1&amp;unlock","Osmia lignaria")</f>
        <v>Osmia lignaria</v>
      </c>
      <c r="H835" t="s">
        <v>784</v>
      </c>
      <c r="I835" t="str">
        <f>HYPERLINK("http://www.ncbi.nlm.nih.gov/protein/XP_034171207.1","sodium/calcium exchanger regulatory protein 1 isoform X2")</f>
        <v>sodium/calcium exchanger regulatory protein 1 isoform X2</v>
      </c>
      <c r="J835">
        <v>59.69</v>
      </c>
      <c r="K835" t="s">
        <v>25</v>
      </c>
      <c r="L835">
        <v>139</v>
      </c>
      <c r="M835">
        <v>50.68</v>
      </c>
      <c r="N835">
        <v>23.66</v>
      </c>
      <c r="O835" t="s">
        <v>25</v>
      </c>
      <c r="P835" t="s">
        <v>21</v>
      </c>
      <c r="Q835" t="s">
        <v>20</v>
      </c>
      <c r="R835" t="str">
        <f>HYPERLINK("https://cfpub.epa.gov/ecotox/explore.cfm?ncbi=473952","Explore in ECOTOX")</f>
        <v>Explore in ECOTOX</v>
      </c>
    </row>
    <row r="836" spans="1:18" x14ac:dyDescent="0.25">
      <c r="A836">
        <v>6</v>
      </c>
      <c r="B836" t="str">
        <f>HYPERLINK("http://www.ncbi.nlm.nih.gov/protein/XP_040224489.1","XP_040224489.1")</f>
        <v>XP_040224489.1</v>
      </c>
      <c r="C836">
        <v>24656</v>
      </c>
      <c r="D836" t="str">
        <f>HYPERLINK("http://www.ncbi.nlm.nih.gov/Taxonomy/Browser/wwwtax.cgi?mode=Info&amp;id=1518534&amp;lvl=3&amp;lin=f&amp;keep=1&amp;srchmode=1&amp;unlock","1518534")</f>
        <v>1518534</v>
      </c>
      <c r="E836" t="s">
        <v>698</v>
      </c>
      <c r="F836" t="s">
        <v>698</v>
      </c>
      <c r="G836" t="str">
        <f>HYPERLINK("http://www.ncbi.nlm.nih.gov/Taxonomy/Browser/wwwtax.cgi?mode=Info&amp;id=1518534&amp;lvl=3&amp;lin=f&amp;keep=1&amp;srchmode=1&amp;unlock","Anopheles coluzzii")</f>
        <v>Anopheles coluzzii</v>
      </c>
      <c r="H836" t="s">
        <v>758</v>
      </c>
      <c r="I836" t="str">
        <f>HYPERLINK("http://www.ncbi.nlm.nih.gov/protein/XP_040224489.1","probable fatty acid-binding protein")</f>
        <v>probable fatty acid-binding protein</v>
      </c>
      <c r="J836">
        <v>59.69</v>
      </c>
      <c r="K836" t="s">
        <v>25</v>
      </c>
      <c r="L836">
        <v>139</v>
      </c>
      <c r="M836">
        <v>50.68</v>
      </c>
      <c r="N836">
        <v>23.66</v>
      </c>
      <c r="O836" t="s">
        <v>25</v>
      </c>
      <c r="P836" t="s">
        <v>21</v>
      </c>
      <c r="Q836" t="s">
        <v>20</v>
      </c>
      <c r="R836" t="str">
        <f>HYPERLINK("https://cfpub.epa.gov/ecotox/explore.cfm?ncbi=1518534","Explore in ECOTOX")</f>
        <v>Explore in ECOTOX</v>
      </c>
    </row>
    <row r="837" spans="1:18" x14ac:dyDescent="0.25">
      <c r="A837">
        <v>6</v>
      </c>
      <c r="B837" t="str">
        <f>HYPERLINK("http://www.ncbi.nlm.nih.gov/protein/AAX33735.1","AAX33735.1")</f>
        <v>AAX33735.1</v>
      </c>
      <c r="C837">
        <v>575</v>
      </c>
      <c r="D837" t="str">
        <f>HYPERLINK("http://www.ncbi.nlm.nih.gov/Taxonomy/Browser/wwwtax.cgi?mode=Info&amp;id=6978&amp;lvl=3&amp;lin=f&amp;keep=1&amp;srchmode=1&amp;unlock","6978")</f>
        <v>6978</v>
      </c>
      <c r="E837" t="s">
        <v>698</v>
      </c>
      <c r="F837" t="s">
        <v>698</v>
      </c>
      <c r="G837" t="str">
        <f>HYPERLINK("http://www.ncbi.nlm.nih.gov/Taxonomy/Browser/wwwtax.cgi?mode=Info&amp;id=6978&amp;lvl=3&amp;lin=f&amp;keep=1&amp;srchmode=1&amp;unlock","Periplaneta americana")</f>
        <v>Periplaneta americana</v>
      </c>
      <c r="H837" t="s">
        <v>785</v>
      </c>
      <c r="I837" t="str">
        <f>HYPERLINK("http://www.ncbi.nlm.nih.gov/protein/AAX33735.1","MPA13 allergen")</f>
        <v>MPA13 allergen</v>
      </c>
      <c r="J837">
        <v>59.69</v>
      </c>
      <c r="K837" t="s">
        <v>25</v>
      </c>
      <c r="L837">
        <v>139</v>
      </c>
      <c r="M837">
        <v>50.68</v>
      </c>
      <c r="N837">
        <v>23.66</v>
      </c>
      <c r="O837" t="s">
        <v>25</v>
      </c>
      <c r="P837" t="s">
        <v>21</v>
      </c>
      <c r="Q837" t="s">
        <v>20</v>
      </c>
      <c r="R837" t="str">
        <f>HYPERLINK("https://cfpub.epa.gov/ecotox/explore.cfm?ncbi=6978","Explore in ECOTOX")</f>
        <v>Explore in ECOTOX</v>
      </c>
    </row>
    <row r="838" spans="1:18" x14ac:dyDescent="0.25">
      <c r="A838">
        <v>6</v>
      </c>
      <c r="B838" t="str">
        <f>HYPERLINK("http://www.ncbi.nlm.nih.gov/protein/XP_029658007.1","XP_029658007.1")</f>
        <v>XP_029658007.1</v>
      </c>
      <c r="C838">
        <v>36125</v>
      </c>
      <c r="D838" t="str">
        <f>HYPERLINK("http://www.ncbi.nlm.nih.gov/Taxonomy/Browser/wwwtax.cgi?mode=Info&amp;id=2607531&amp;lvl=3&amp;lin=f&amp;keep=1&amp;srchmode=1&amp;unlock","2607531")</f>
        <v>2607531</v>
      </c>
      <c r="E838" t="s">
        <v>786</v>
      </c>
      <c r="F838" t="s">
        <v>786</v>
      </c>
      <c r="G838" t="str">
        <f>HYPERLINK("http://www.ncbi.nlm.nih.gov/Taxonomy/Browser/wwwtax.cgi?mode=Info&amp;id=2607531&amp;lvl=3&amp;lin=f&amp;keep=1&amp;srchmode=1&amp;unlock","Octopus sinensis")</f>
        <v>Octopus sinensis</v>
      </c>
      <c r="H838" t="s">
        <v>787</v>
      </c>
      <c r="I838" t="str">
        <f>HYPERLINK("http://www.ncbi.nlm.nih.gov/protein/XP_029658007.1","fatty acid-binding protein, liver-like")</f>
        <v>fatty acid-binding protein, liver-like</v>
      </c>
      <c r="J838">
        <v>59.69</v>
      </c>
      <c r="K838" t="s">
        <v>25</v>
      </c>
      <c r="L838">
        <v>139</v>
      </c>
      <c r="M838">
        <v>50.68</v>
      </c>
      <c r="N838">
        <v>23.66</v>
      </c>
      <c r="O838" t="s">
        <v>25</v>
      </c>
      <c r="P838" t="s">
        <v>21</v>
      </c>
      <c r="Q838" t="s">
        <v>20</v>
      </c>
      <c r="R838" t="str">
        <f>HYPERLINK("https://cfpub.epa.gov/ecotox/explore.cfm?ncbi=2607531","Explore in ECOTOX")</f>
        <v>Explore in ECOTOX</v>
      </c>
    </row>
    <row r="839" spans="1:18" x14ac:dyDescent="0.25">
      <c r="A839">
        <v>6</v>
      </c>
      <c r="B839" t="str">
        <f>HYPERLINK("http://www.ncbi.nlm.nih.gov/protein/TGZ46862.1","TGZ46862.1")</f>
        <v>TGZ46862.1</v>
      </c>
      <c r="C839">
        <v>13122</v>
      </c>
      <c r="D839" t="str">
        <f>HYPERLINK("http://www.ncbi.nlm.nih.gov/Taxonomy/Browser/wwwtax.cgi?mode=Info&amp;id=300112&amp;lvl=3&amp;lin=f&amp;keep=1&amp;srchmode=1&amp;unlock","300112")</f>
        <v>300112</v>
      </c>
      <c r="E839" t="s">
        <v>698</v>
      </c>
      <c r="F839" t="s">
        <v>698</v>
      </c>
      <c r="G839" t="str">
        <f>HYPERLINK("http://www.ncbi.nlm.nih.gov/Taxonomy/Browser/wwwtax.cgi?mode=Info&amp;id=300112&amp;lvl=3&amp;lin=f&amp;keep=1&amp;srchmode=1&amp;unlock","Temnothorax longispinosus")</f>
        <v>Temnothorax longispinosus</v>
      </c>
      <c r="H839" t="s">
        <v>755</v>
      </c>
      <c r="I839" t="str">
        <f>HYPERLINK("http://www.ncbi.nlm.nih.gov/protein/TGZ46862.1","Myelin p2")</f>
        <v>Myelin p2</v>
      </c>
      <c r="J839">
        <v>59.31</v>
      </c>
      <c r="K839" t="s">
        <v>25</v>
      </c>
      <c r="L839">
        <v>139</v>
      </c>
      <c r="M839">
        <v>50.68</v>
      </c>
      <c r="N839">
        <v>23.51</v>
      </c>
      <c r="O839" t="s">
        <v>25</v>
      </c>
      <c r="P839" t="s">
        <v>21</v>
      </c>
      <c r="Q839" t="s">
        <v>20</v>
      </c>
      <c r="R839" t="str">
        <f>HYPERLINK("https://cfpub.epa.gov/ecotox/explore.cfm?ncbi=300112","Explore in ECOTOX")</f>
        <v>Explore in ECOTOX</v>
      </c>
    </row>
    <row r="840" spans="1:18" x14ac:dyDescent="0.25">
      <c r="A840">
        <v>6</v>
      </c>
      <c r="B840" t="str">
        <f>HYPERLINK("http://www.ncbi.nlm.nih.gov/protein/XP_011646861.1","XP_011646861.1")</f>
        <v>XP_011646861.1</v>
      </c>
      <c r="C840">
        <v>19251</v>
      </c>
      <c r="D840" t="str">
        <f>HYPERLINK("http://www.ncbi.nlm.nih.gov/Taxonomy/Browser/wwwtax.cgi?mode=Info&amp;id=144034&amp;lvl=3&amp;lin=f&amp;keep=1&amp;srchmode=1&amp;unlock","144034")</f>
        <v>144034</v>
      </c>
      <c r="E840" t="s">
        <v>698</v>
      </c>
      <c r="F840" t="s">
        <v>698</v>
      </c>
      <c r="G840" t="str">
        <f>HYPERLINK("http://www.ncbi.nlm.nih.gov/Taxonomy/Browser/wwwtax.cgi?mode=Info&amp;id=144034&amp;lvl=3&amp;lin=f&amp;keep=1&amp;srchmode=1&amp;unlock","Pogonomyrmex barbatus")</f>
        <v>Pogonomyrmex barbatus</v>
      </c>
      <c r="H840" t="s">
        <v>788</v>
      </c>
      <c r="I840" t="str">
        <f>HYPERLINK("http://www.ncbi.nlm.nih.gov/protein/XP_011646861.1","fatty acid-binding protein, muscle isoform X2")</f>
        <v>fatty acid-binding protein, muscle isoform X2</v>
      </c>
      <c r="J840">
        <v>59.31</v>
      </c>
      <c r="K840" t="s">
        <v>25</v>
      </c>
      <c r="L840">
        <v>139</v>
      </c>
      <c r="M840">
        <v>50.68</v>
      </c>
      <c r="N840">
        <v>23.51</v>
      </c>
      <c r="O840" t="s">
        <v>25</v>
      </c>
      <c r="P840" t="s">
        <v>21</v>
      </c>
      <c r="Q840" t="s">
        <v>20</v>
      </c>
      <c r="R840" t="str">
        <f>HYPERLINK("https://cfpub.epa.gov/ecotox/explore.cfm?ncbi=144034","Explore in ECOTOX")</f>
        <v>Explore in ECOTOX</v>
      </c>
    </row>
    <row r="841" spans="1:18" x14ac:dyDescent="0.25">
      <c r="A841">
        <v>6</v>
      </c>
      <c r="B841" t="str">
        <f>HYPERLINK("http://www.ncbi.nlm.nih.gov/protein/XP_031628256.1","XP_031628256.1")</f>
        <v>XP_031628256.1</v>
      </c>
      <c r="C841">
        <v>24972</v>
      </c>
      <c r="D841" t="str">
        <f>HYPERLINK("http://www.ncbi.nlm.nih.gov/Taxonomy/Browser/wwwtax.cgi?mode=Info&amp;id=265458&amp;lvl=3&amp;lin=f&amp;keep=1&amp;srchmode=1&amp;unlock","265458")</f>
        <v>265458</v>
      </c>
      <c r="E841" t="s">
        <v>698</v>
      </c>
      <c r="F841" t="s">
        <v>698</v>
      </c>
      <c r="G841" t="str">
        <f>HYPERLINK("http://www.ncbi.nlm.nih.gov/Taxonomy/Browser/wwwtax.cgi?mode=Info&amp;id=265458&amp;lvl=3&amp;lin=f&amp;keep=1&amp;srchmode=1&amp;unlock","Contarinia nasturtii")</f>
        <v>Contarinia nasturtii</v>
      </c>
      <c r="H841" t="s">
        <v>789</v>
      </c>
      <c r="I841" t="str">
        <f>HYPERLINK("http://www.ncbi.nlm.nih.gov/protein/XP_031628256.1","probable fatty acid-binding protein")</f>
        <v>probable fatty acid-binding protein</v>
      </c>
      <c r="J841">
        <v>59.31</v>
      </c>
      <c r="K841" t="s">
        <v>25</v>
      </c>
      <c r="L841">
        <v>139</v>
      </c>
      <c r="M841">
        <v>50.68</v>
      </c>
      <c r="N841">
        <v>23.51</v>
      </c>
      <c r="O841" t="s">
        <v>25</v>
      </c>
      <c r="P841" t="s">
        <v>21</v>
      </c>
      <c r="Q841" t="s">
        <v>20</v>
      </c>
      <c r="R841" t="str">
        <f>HYPERLINK("https://cfpub.epa.gov/ecotox/explore.cfm?ncbi=265458","Explore in ECOTOX")</f>
        <v>Explore in ECOTOX</v>
      </c>
    </row>
    <row r="842" spans="1:18" x14ac:dyDescent="0.25">
      <c r="A842">
        <v>6</v>
      </c>
      <c r="B842" t="str">
        <f>HYPERLINK("http://www.ncbi.nlm.nih.gov/protein/XP_017100674.1","XP_017100674.1")</f>
        <v>XP_017100674.1</v>
      </c>
      <c r="C842">
        <v>23647</v>
      </c>
      <c r="D842" t="str">
        <f>HYPERLINK("http://www.ncbi.nlm.nih.gov/Taxonomy/Browser/wwwtax.cgi?mode=Info&amp;id=42026&amp;lvl=3&amp;lin=f&amp;keep=1&amp;srchmode=1&amp;unlock","42026")</f>
        <v>42026</v>
      </c>
      <c r="E842" t="s">
        <v>698</v>
      </c>
      <c r="F842" t="s">
        <v>698</v>
      </c>
      <c r="G842" t="str">
        <f>HYPERLINK("http://www.ncbi.nlm.nih.gov/Taxonomy/Browser/wwwtax.cgi?mode=Info&amp;id=42026&amp;lvl=3&amp;lin=f&amp;keep=1&amp;srchmode=1&amp;unlock","Drosophila bipectinata")</f>
        <v>Drosophila bipectinata</v>
      </c>
      <c r="H842" t="s">
        <v>753</v>
      </c>
      <c r="I842" t="str">
        <f>HYPERLINK("http://www.ncbi.nlm.nih.gov/protein/XP_017100674.1","PREDICTED: fatty acid-binding protein, muscle")</f>
        <v>PREDICTED: fatty acid-binding protein, muscle</v>
      </c>
      <c r="J842">
        <v>59.31</v>
      </c>
      <c r="K842" t="s">
        <v>25</v>
      </c>
      <c r="L842">
        <v>139</v>
      </c>
      <c r="M842">
        <v>50.68</v>
      </c>
      <c r="N842">
        <v>23.51</v>
      </c>
      <c r="O842" t="s">
        <v>25</v>
      </c>
      <c r="P842" t="s">
        <v>21</v>
      </c>
      <c r="Q842" t="s">
        <v>20</v>
      </c>
      <c r="R842" t="str">
        <f>HYPERLINK("https://cfpub.epa.gov/ecotox/explore.cfm?ncbi=42026","Explore in ECOTOX")</f>
        <v>Explore in ECOTOX</v>
      </c>
    </row>
    <row r="843" spans="1:18" x14ac:dyDescent="0.25">
      <c r="A843">
        <v>6</v>
      </c>
      <c r="B843" t="str">
        <f>HYPERLINK("http://www.ncbi.nlm.nih.gov/protein/XP_001954650.3","XP_001954650.3")</f>
        <v>XP_001954650.3</v>
      </c>
      <c r="C843">
        <v>45607</v>
      </c>
      <c r="D843" t="str">
        <f>HYPERLINK("http://www.ncbi.nlm.nih.gov/Taxonomy/Browser/wwwtax.cgi?mode=Info&amp;id=7217&amp;lvl=3&amp;lin=f&amp;keep=1&amp;srchmode=1&amp;unlock","7217")</f>
        <v>7217</v>
      </c>
      <c r="E843" t="s">
        <v>698</v>
      </c>
      <c r="F843" t="s">
        <v>698</v>
      </c>
      <c r="G843" t="str">
        <f>HYPERLINK("http://www.ncbi.nlm.nih.gov/Taxonomy/Browser/wwwtax.cgi?mode=Info&amp;id=7217&amp;lvl=3&amp;lin=f&amp;keep=1&amp;srchmode=1&amp;unlock","Drosophila ananassae")</f>
        <v>Drosophila ananassae</v>
      </c>
      <c r="H843" t="s">
        <v>753</v>
      </c>
      <c r="I843" t="str">
        <f>HYPERLINK("http://www.ncbi.nlm.nih.gov/protein/XP_001954650.3","fatty acid-binding protein, muscle")</f>
        <v>fatty acid-binding protein, muscle</v>
      </c>
      <c r="J843">
        <v>59.31</v>
      </c>
      <c r="K843" t="s">
        <v>25</v>
      </c>
      <c r="L843">
        <v>139</v>
      </c>
      <c r="M843">
        <v>50.68</v>
      </c>
      <c r="N843">
        <v>23.51</v>
      </c>
      <c r="O843" t="s">
        <v>25</v>
      </c>
      <c r="P843" t="s">
        <v>21</v>
      </c>
      <c r="Q843" t="s">
        <v>20</v>
      </c>
      <c r="R843" t="str">
        <f>HYPERLINK("https://cfpub.epa.gov/ecotox/explore.cfm?ncbi=7217","Explore in ECOTOX")</f>
        <v>Explore in ECOTOX</v>
      </c>
    </row>
    <row r="844" spans="1:18" x14ac:dyDescent="0.25">
      <c r="A844">
        <v>6</v>
      </c>
      <c r="B844" t="str">
        <f>HYPERLINK("http://www.ncbi.nlm.nih.gov/protein/ACU82845.1","ACU82845.1")</f>
        <v>ACU82845.1</v>
      </c>
      <c r="C844">
        <v>326</v>
      </c>
      <c r="D844" t="str">
        <f>HYPERLINK("http://www.ncbi.nlm.nih.gov/Taxonomy/Browser/wwwtax.cgi?mode=Info&amp;id=139456&amp;lvl=3&amp;lin=f&amp;keep=1&amp;srchmode=1&amp;unlock","139456")</f>
        <v>139456</v>
      </c>
      <c r="E844" t="s">
        <v>742</v>
      </c>
      <c r="F844" t="s">
        <v>742</v>
      </c>
      <c r="G844" t="str">
        <f>HYPERLINK("http://www.ncbi.nlm.nih.gov/Taxonomy/Browser/wwwtax.cgi?mode=Info&amp;id=139456&amp;lvl=3&amp;lin=f&amp;keep=1&amp;srchmode=1&amp;unlock","Penaeus chinensis")</f>
        <v>Penaeus chinensis</v>
      </c>
      <c r="H844" t="s">
        <v>790</v>
      </c>
      <c r="I844" t="str">
        <f>HYPERLINK("http://www.ncbi.nlm.nih.gov/protein/ACU82845.1","fatty acids binding protein")</f>
        <v>fatty acids binding protein</v>
      </c>
      <c r="J844">
        <v>59.31</v>
      </c>
      <c r="K844" t="s">
        <v>20</v>
      </c>
      <c r="L844">
        <v>139</v>
      </c>
      <c r="M844">
        <v>50.68</v>
      </c>
      <c r="N844">
        <v>23.51</v>
      </c>
      <c r="O844" t="s">
        <v>20</v>
      </c>
      <c r="P844" t="s">
        <v>21</v>
      </c>
      <c r="Q844" t="s">
        <v>20</v>
      </c>
      <c r="R844" t="str">
        <f>HYPERLINK("https://cfpub.epa.gov/ecotox/explore.cfm?ncbi=139456","Explore in ECOTOX")</f>
        <v>Explore in ECOTOX</v>
      </c>
    </row>
    <row r="845" spans="1:18" x14ac:dyDescent="0.25">
      <c r="A845">
        <v>6</v>
      </c>
      <c r="B845" t="str">
        <f>HYPERLINK("http://www.ncbi.nlm.nih.gov/protein/XP_012227678.1","XP_012227678.1")</f>
        <v>XP_012227678.1</v>
      </c>
      <c r="C845">
        <v>21824</v>
      </c>
      <c r="D845" t="str">
        <f>HYPERLINK("http://www.ncbi.nlm.nih.gov/Taxonomy/Browser/wwwtax.cgi?mode=Info&amp;id=83485&amp;lvl=3&amp;lin=f&amp;keep=1&amp;srchmode=1&amp;unlock","83485")</f>
        <v>83485</v>
      </c>
      <c r="E845" t="s">
        <v>698</v>
      </c>
      <c r="F845" t="s">
        <v>698</v>
      </c>
      <c r="G845" t="str">
        <f>HYPERLINK("http://www.ncbi.nlm.nih.gov/Taxonomy/Browser/wwwtax.cgi?mode=Info&amp;id=83485&amp;lvl=3&amp;lin=f&amp;keep=1&amp;srchmode=1&amp;unlock","Linepithema humile")</f>
        <v>Linepithema humile</v>
      </c>
      <c r="H845" t="s">
        <v>791</v>
      </c>
      <c r="I845" t="str">
        <f>HYPERLINK("http://www.ncbi.nlm.nih.gov/protein/XP_012227678.1","PREDICTED: fatty acid-binding protein, muscle isoform X2")</f>
        <v>PREDICTED: fatty acid-binding protein, muscle isoform X2</v>
      </c>
      <c r="J845">
        <v>58.92</v>
      </c>
      <c r="K845" t="s">
        <v>25</v>
      </c>
      <c r="L845">
        <v>139</v>
      </c>
      <c r="M845">
        <v>50.68</v>
      </c>
      <c r="N845">
        <v>23.35</v>
      </c>
      <c r="O845" t="s">
        <v>25</v>
      </c>
      <c r="P845" t="s">
        <v>21</v>
      </c>
      <c r="Q845" t="s">
        <v>20</v>
      </c>
      <c r="R845" t="str">
        <f>HYPERLINK("https://cfpub.epa.gov/ecotox/explore.cfm?ncbi=83485","Explore in ECOTOX")</f>
        <v>Explore in ECOTOX</v>
      </c>
    </row>
    <row r="846" spans="1:18" x14ac:dyDescent="0.25">
      <c r="A846">
        <v>6</v>
      </c>
      <c r="B846" t="str">
        <f>HYPERLINK("http://www.ncbi.nlm.nih.gov/protein/QLF98412.1","QLF98412.1")</f>
        <v>QLF98412.1</v>
      </c>
      <c r="C846">
        <v>416</v>
      </c>
      <c r="D846" t="str">
        <f>HYPERLINK("http://www.ncbi.nlm.nih.gov/Taxonomy/Browser/wwwtax.cgi?mode=Info&amp;id=491138&amp;lvl=3&amp;lin=f&amp;keep=1&amp;srchmode=1&amp;unlock","491138")</f>
        <v>491138</v>
      </c>
      <c r="E846" t="s">
        <v>742</v>
      </c>
      <c r="F846" t="s">
        <v>742</v>
      </c>
      <c r="G846" t="str">
        <f>HYPERLINK("http://www.ncbi.nlm.nih.gov/Taxonomy/Browser/wwwtax.cgi?mode=Info&amp;id=491138&amp;lvl=3&amp;lin=f&amp;keep=1&amp;srchmode=1&amp;unlock","Crangon crangon")</f>
        <v>Crangon crangon</v>
      </c>
      <c r="H846" t="s">
        <v>792</v>
      </c>
      <c r="I846" t="str">
        <f>HYPERLINK("http://www.ncbi.nlm.nih.gov/protein/QLF98412.1","fatty acid binding protein, partial")</f>
        <v>fatty acid binding protein, partial</v>
      </c>
      <c r="J846">
        <v>58.92</v>
      </c>
      <c r="K846" t="s">
        <v>25</v>
      </c>
      <c r="L846">
        <v>139</v>
      </c>
      <c r="M846">
        <v>50.68</v>
      </c>
      <c r="N846">
        <v>23.35</v>
      </c>
      <c r="O846" t="s">
        <v>25</v>
      </c>
      <c r="P846" t="s">
        <v>21</v>
      </c>
      <c r="Q846" t="s">
        <v>20</v>
      </c>
      <c r="R846" t="str">
        <f>HYPERLINK("https://cfpub.epa.gov/ecotox/explore.cfm?ncbi=491138","Explore in ECOTOX")</f>
        <v>Explore in ECOTOX</v>
      </c>
    </row>
    <row r="847" spans="1:18" x14ac:dyDescent="0.25">
      <c r="A847">
        <v>6</v>
      </c>
      <c r="B847" t="str">
        <f>HYPERLINK("http://www.ncbi.nlm.nih.gov/protein/VDP61269.1","VDP61269.1")</f>
        <v>VDP61269.1</v>
      </c>
      <c r="C847">
        <v>22263</v>
      </c>
      <c r="D847" t="str">
        <f>HYPERLINK("http://www.ncbi.nlm.nih.gov/Taxonomy/Browser/wwwtax.cgi?mode=Info&amp;id=31246&amp;lvl=3&amp;lin=f&amp;keep=1&amp;srchmode=1&amp;unlock","31246")</f>
        <v>31246</v>
      </c>
      <c r="E847" t="s">
        <v>793</v>
      </c>
      <c r="F847" t="s">
        <v>793</v>
      </c>
      <c r="G847" t="str">
        <f>HYPERLINK("http://www.ncbi.nlm.nih.gov/Taxonomy/Browser/wwwtax.cgi?mode=Info&amp;id=31246&amp;lvl=3&amp;lin=f&amp;keep=1&amp;srchmode=1&amp;unlock","Schistosoma mattheei")</f>
        <v>Schistosoma mattheei</v>
      </c>
      <c r="H847" t="s">
        <v>794</v>
      </c>
      <c r="I847" t="str">
        <f>HYPERLINK("http://www.ncbi.nlm.nih.gov/protein/VDP61269.1","unnamed protein product")</f>
        <v>unnamed protein product</v>
      </c>
      <c r="J847">
        <v>58.92</v>
      </c>
      <c r="K847" t="s">
        <v>25</v>
      </c>
      <c r="L847">
        <v>139</v>
      </c>
      <c r="M847">
        <v>50.68</v>
      </c>
      <c r="N847">
        <v>23.35</v>
      </c>
      <c r="O847" t="s">
        <v>25</v>
      </c>
      <c r="P847" t="s">
        <v>21</v>
      </c>
      <c r="Q847" t="s">
        <v>20</v>
      </c>
      <c r="R847" t="str">
        <f>HYPERLINK("https://cfpub.epa.gov/ecotox/explore.cfm?ncbi=31246","Explore in ECOTOX")</f>
        <v>Explore in ECOTOX</v>
      </c>
    </row>
    <row r="848" spans="1:18" x14ac:dyDescent="0.25">
      <c r="A848">
        <v>6</v>
      </c>
      <c r="B848" t="str">
        <f>HYPERLINK("http://www.ncbi.nlm.nih.gov/protein/TRY74436.1","TRY74436.1")</f>
        <v>TRY74436.1</v>
      </c>
      <c r="C848">
        <v>16349</v>
      </c>
      <c r="D848" t="str">
        <f>HYPERLINK("http://www.ncbi.nlm.nih.gov/Taxonomy/Browser/wwwtax.cgi?mode=Info&amp;id=6832&amp;lvl=3&amp;lin=f&amp;keep=1&amp;srchmode=1&amp;unlock","6832")</f>
        <v>6832</v>
      </c>
      <c r="E848" t="s">
        <v>760</v>
      </c>
      <c r="F848" t="s">
        <v>760</v>
      </c>
      <c r="G848" t="str">
        <f>HYPERLINK("http://www.ncbi.nlm.nih.gov/Taxonomy/Browser/wwwtax.cgi?mode=Info&amp;id=6832&amp;lvl=3&amp;lin=f&amp;keep=1&amp;srchmode=1&amp;unlock","Tigriopus californicus")</f>
        <v>Tigriopus californicus</v>
      </c>
      <c r="H848" t="s">
        <v>795</v>
      </c>
      <c r="I848" t="str">
        <f>HYPERLINK("http://www.ncbi.nlm.nih.gov/protein/TRY74436.1","hypothetical protein TCAL_01308")</f>
        <v>hypothetical protein TCAL_01308</v>
      </c>
      <c r="J848">
        <v>58.92</v>
      </c>
      <c r="K848" t="s">
        <v>25</v>
      </c>
      <c r="L848">
        <v>139</v>
      </c>
      <c r="M848">
        <v>50.68</v>
      </c>
      <c r="N848">
        <v>23.35</v>
      </c>
      <c r="O848" t="s">
        <v>25</v>
      </c>
      <c r="P848" t="s">
        <v>21</v>
      </c>
      <c r="Q848" t="s">
        <v>20</v>
      </c>
      <c r="R848" t="str">
        <f>HYPERLINK("https://cfpub.epa.gov/ecotox/explore.cfm?ncbi=6832","Explore in ECOTOX")</f>
        <v>Explore in ECOTOX</v>
      </c>
    </row>
    <row r="849" spans="1:18" x14ac:dyDescent="0.25">
      <c r="A849">
        <v>6</v>
      </c>
      <c r="B849" t="str">
        <f>HYPERLINK("http://www.ncbi.nlm.nih.gov/protein/ABX75508.1","ABX75508.1")</f>
        <v>ABX75508.1</v>
      </c>
      <c r="C849">
        <v>778</v>
      </c>
      <c r="D849" t="str">
        <f>HYPERLINK("http://www.ncbi.nlm.nih.gov/Taxonomy/Browser/wwwtax.cgi?mode=Info&amp;id=434756&amp;lvl=3&amp;lin=f&amp;keep=1&amp;srchmode=1&amp;unlock","434756")</f>
        <v>434756</v>
      </c>
      <c r="E849" t="s">
        <v>700</v>
      </c>
      <c r="F849" t="s">
        <v>700</v>
      </c>
      <c r="G849" t="str">
        <f>HYPERLINK("http://www.ncbi.nlm.nih.gov/Taxonomy/Browser/wwwtax.cgi?mode=Info&amp;id=434756&amp;lvl=3&amp;lin=f&amp;keep=1&amp;srchmode=1&amp;unlock","Lycosa singoriensis")</f>
        <v>Lycosa singoriensis</v>
      </c>
      <c r="H849" t="s">
        <v>796</v>
      </c>
      <c r="I849" t="str">
        <f>HYPERLINK("http://www.ncbi.nlm.nih.gov/protein/ABX75508.1","fatty acid binding protein")</f>
        <v>fatty acid binding protein</v>
      </c>
      <c r="J849">
        <v>58.92</v>
      </c>
      <c r="K849" t="s">
        <v>25</v>
      </c>
      <c r="L849">
        <v>139</v>
      </c>
      <c r="M849">
        <v>50.68</v>
      </c>
      <c r="N849">
        <v>23.35</v>
      </c>
      <c r="O849" t="s">
        <v>25</v>
      </c>
      <c r="P849" t="s">
        <v>21</v>
      </c>
      <c r="Q849" t="s">
        <v>20</v>
      </c>
      <c r="R849" t="str">
        <f>HYPERLINK("https://cfpub.epa.gov/ecotox/explore.cfm?ncbi=434756","Explore in ECOTOX")</f>
        <v>Explore in ECOTOX</v>
      </c>
    </row>
    <row r="850" spans="1:18" x14ac:dyDescent="0.25">
      <c r="A850">
        <v>6</v>
      </c>
      <c r="B850" t="str">
        <f>HYPERLINK("http://www.ncbi.nlm.nih.gov/protein/XP_013386384.1","XP_013386384.1")</f>
        <v>XP_013386384.1</v>
      </c>
      <c r="C850">
        <v>41484</v>
      </c>
      <c r="D850" t="str">
        <f>HYPERLINK("http://www.ncbi.nlm.nih.gov/Taxonomy/Browser/wwwtax.cgi?mode=Info&amp;id=7574&amp;lvl=3&amp;lin=f&amp;keep=1&amp;srchmode=1&amp;unlock","7574")</f>
        <v>7574</v>
      </c>
      <c r="E850" t="s">
        <v>797</v>
      </c>
      <c r="F850" t="s">
        <v>797</v>
      </c>
      <c r="G850" t="str">
        <f>HYPERLINK("http://www.ncbi.nlm.nih.gov/Taxonomy/Browser/wwwtax.cgi?mode=Info&amp;id=7574&amp;lvl=3&amp;lin=f&amp;keep=1&amp;srchmode=1&amp;unlock","Lingula anatina")</f>
        <v>Lingula anatina</v>
      </c>
      <c r="H850" t="s">
        <v>798</v>
      </c>
      <c r="I850" t="str">
        <f>HYPERLINK("http://www.ncbi.nlm.nih.gov/protein/XP_013386384.1","fatty acid-binding protein, heart")</f>
        <v>fatty acid-binding protein, heart</v>
      </c>
      <c r="J850">
        <v>58.92</v>
      </c>
      <c r="K850" t="s">
        <v>25</v>
      </c>
      <c r="L850">
        <v>139</v>
      </c>
      <c r="M850">
        <v>50.68</v>
      </c>
      <c r="N850">
        <v>23.35</v>
      </c>
      <c r="O850" t="s">
        <v>25</v>
      </c>
      <c r="P850" t="s">
        <v>21</v>
      </c>
      <c r="Q850" t="s">
        <v>20</v>
      </c>
      <c r="R850" t="str">
        <f>HYPERLINK("https://cfpub.epa.gov/ecotox/explore.cfm?ncbi=7574","Explore in ECOTOX")</f>
        <v>Explore in ECOTOX</v>
      </c>
    </row>
    <row r="851" spans="1:18" x14ac:dyDescent="0.25">
      <c r="A851">
        <v>6</v>
      </c>
      <c r="B851" t="str">
        <f>HYPERLINK("http://www.ncbi.nlm.nih.gov/protein/XP_018915178.1","XP_018915178.1")</f>
        <v>XP_018915178.1</v>
      </c>
      <c r="C851">
        <v>29850</v>
      </c>
      <c r="D851" t="str">
        <f>HYPERLINK("http://www.ncbi.nlm.nih.gov/Taxonomy/Browser/wwwtax.cgi?mode=Info&amp;id=7038&amp;lvl=3&amp;lin=f&amp;keep=1&amp;srchmode=1&amp;unlock","7038")</f>
        <v>7038</v>
      </c>
      <c r="E851" t="s">
        <v>698</v>
      </c>
      <c r="F851" t="s">
        <v>698</v>
      </c>
      <c r="G851" t="str">
        <f>HYPERLINK("http://www.ncbi.nlm.nih.gov/Taxonomy/Browser/wwwtax.cgi?mode=Info&amp;id=7038&amp;lvl=3&amp;lin=f&amp;keep=1&amp;srchmode=1&amp;unlock","Bemisia tabaci")</f>
        <v>Bemisia tabaci</v>
      </c>
      <c r="H851" t="s">
        <v>799</v>
      </c>
      <c r="I851" t="str">
        <f>HYPERLINK("http://www.ncbi.nlm.nih.gov/protein/XP_018915178.1","PREDICTED: fatty acid-binding protein, muscle")</f>
        <v>PREDICTED: fatty acid-binding protein, muscle</v>
      </c>
      <c r="J851">
        <v>58.92</v>
      </c>
      <c r="K851" t="s">
        <v>25</v>
      </c>
      <c r="L851">
        <v>139</v>
      </c>
      <c r="M851">
        <v>50.68</v>
      </c>
      <c r="N851">
        <v>23.35</v>
      </c>
      <c r="O851" t="s">
        <v>25</v>
      </c>
      <c r="P851" t="s">
        <v>21</v>
      </c>
      <c r="Q851" t="s">
        <v>20</v>
      </c>
      <c r="R851" t="str">
        <f>HYPERLINK("https://cfpub.epa.gov/ecotox/explore.cfm?ncbi=7038","Explore in ECOTOX")</f>
        <v>Explore in ECOTOX</v>
      </c>
    </row>
    <row r="852" spans="1:18" x14ac:dyDescent="0.25">
      <c r="A852">
        <v>6</v>
      </c>
      <c r="B852" t="str">
        <f>HYPERLINK("http://www.ncbi.nlm.nih.gov/protein/KAF7381344.1","KAF7381344.1")</f>
        <v>KAF7381344.1</v>
      </c>
      <c r="C852">
        <v>15690</v>
      </c>
      <c r="D852" t="str">
        <f>HYPERLINK("http://www.ncbi.nlm.nih.gov/Taxonomy/Browser/wwwtax.cgi?mode=Info&amp;id=7454&amp;lvl=3&amp;lin=f&amp;keep=1&amp;srchmode=1&amp;unlock","7454")</f>
        <v>7454</v>
      </c>
      <c r="E852" t="s">
        <v>698</v>
      </c>
      <c r="F852" t="s">
        <v>698</v>
      </c>
      <c r="G852" t="str">
        <f>HYPERLINK("http://www.ncbi.nlm.nih.gov/Taxonomy/Browser/wwwtax.cgi?mode=Info&amp;id=7454&amp;lvl=3&amp;lin=f&amp;keep=1&amp;srchmode=1&amp;unlock","Vespula vulgaris")</f>
        <v>Vespula vulgaris</v>
      </c>
      <c r="H852" t="s">
        <v>800</v>
      </c>
      <c r="I852" t="str">
        <f>HYPERLINK("http://www.ncbi.nlm.nih.gov/protein/KAF7381344.1","hypothetical protein")</f>
        <v>hypothetical protein</v>
      </c>
      <c r="J852">
        <v>58.54</v>
      </c>
      <c r="K852" t="s">
        <v>25</v>
      </c>
      <c r="L852">
        <v>139</v>
      </c>
      <c r="M852">
        <v>50.68</v>
      </c>
      <c r="N852">
        <v>23.2</v>
      </c>
      <c r="O852" t="s">
        <v>25</v>
      </c>
      <c r="P852" t="s">
        <v>21</v>
      </c>
      <c r="Q852" t="s">
        <v>20</v>
      </c>
      <c r="R852" t="str">
        <f>HYPERLINK("https://cfpub.epa.gov/ecotox/explore.cfm?ncbi=7454","Explore in ECOTOX")</f>
        <v>Explore in ECOTOX</v>
      </c>
    </row>
    <row r="853" spans="1:18" x14ac:dyDescent="0.25">
      <c r="A853">
        <v>6</v>
      </c>
      <c r="B853" t="str">
        <f>HYPERLINK("http://www.ncbi.nlm.nih.gov/protein/XP_014239544.1","XP_014239544.1")</f>
        <v>XP_014239544.1</v>
      </c>
      <c r="C853">
        <v>24336</v>
      </c>
      <c r="D853" t="str">
        <f>HYPERLINK("http://www.ncbi.nlm.nih.gov/Taxonomy/Browser/wwwtax.cgi?mode=Info&amp;id=79782&amp;lvl=3&amp;lin=f&amp;keep=1&amp;srchmode=1&amp;unlock","79782")</f>
        <v>79782</v>
      </c>
      <c r="E853" t="s">
        <v>698</v>
      </c>
      <c r="F853" t="s">
        <v>698</v>
      </c>
      <c r="G853" t="str">
        <f>HYPERLINK("http://www.ncbi.nlm.nih.gov/Taxonomy/Browser/wwwtax.cgi?mode=Info&amp;id=79782&amp;lvl=3&amp;lin=f&amp;keep=1&amp;srchmode=1&amp;unlock","Cimex lectularius")</f>
        <v>Cimex lectularius</v>
      </c>
      <c r="H853" t="s">
        <v>801</v>
      </c>
      <c r="I853" t="str">
        <f>HYPERLINK("http://www.ncbi.nlm.nih.gov/protein/XP_014239544.1","fatty acid-binding protein, muscle")</f>
        <v>fatty acid-binding protein, muscle</v>
      </c>
      <c r="J853">
        <v>58.54</v>
      </c>
      <c r="K853" t="s">
        <v>25</v>
      </c>
      <c r="L853">
        <v>139</v>
      </c>
      <c r="M853">
        <v>50.68</v>
      </c>
      <c r="N853">
        <v>23.2</v>
      </c>
      <c r="O853" t="s">
        <v>25</v>
      </c>
      <c r="P853" t="s">
        <v>21</v>
      </c>
      <c r="Q853" t="s">
        <v>20</v>
      </c>
      <c r="R853" t="str">
        <f>HYPERLINK("https://cfpub.epa.gov/ecotox/explore.cfm?ncbi=79782","Explore in ECOTOX")</f>
        <v>Explore in ECOTOX</v>
      </c>
    </row>
    <row r="854" spans="1:18" x14ac:dyDescent="0.25">
      <c r="A854">
        <v>6</v>
      </c>
      <c r="B854" t="str">
        <f>HYPERLINK("http://www.ncbi.nlm.nih.gov/protein/VDP43750.1","VDP43750.1")</f>
        <v>VDP43750.1</v>
      </c>
      <c r="C854">
        <v>22718</v>
      </c>
      <c r="D854" t="str">
        <f>HYPERLINK("http://www.ncbi.nlm.nih.gov/Taxonomy/Browser/wwwtax.cgi?mode=Info&amp;id=6186&amp;lvl=3&amp;lin=f&amp;keep=1&amp;srchmode=1&amp;unlock","6186")</f>
        <v>6186</v>
      </c>
      <c r="E854" t="s">
        <v>793</v>
      </c>
      <c r="F854" t="s">
        <v>793</v>
      </c>
      <c r="G854" t="str">
        <f>HYPERLINK("http://www.ncbi.nlm.nih.gov/Taxonomy/Browser/wwwtax.cgi?mode=Info&amp;id=6186&amp;lvl=3&amp;lin=f&amp;keep=1&amp;srchmode=1&amp;unlock","Schistosoma curassoni")</f>
        <v>Schistosoma curassoni</v>
      </c>
      <c r="H854" t="s">
        <v>794</v>
      </c>
      <c r="I854" t="str">
        <f>HYPERLINK("http://www.ncbi.nlm.nih.gov/protein/VDP43750.1","unnamed protein product")</f>
        <v>unnamed protein product</v>
      </c>
      <c r="J854">
        <v>58.54</v>
      </c>
      <c r="K854" t="s">
        <v>25</v>
      </c>
      <c r="L854">
        <v>139</v>
      </c>
      <c r="M854">
        <v>50.68</v>
      </c>
      <c r="N854">
        <v>23.2</v>
      </c>
      <c r="O854" t="s">
        <v>25</v>
      </c>
      <c r="P854" t="s">
        <v>21</v>
      </c>
      <c r="Q854" t="s">
        <v>20</v>
      </c>
      <c r="R854" t="str">
        <f>HYPERLINK("https://cfpub.epa.gov/ecotox/explore.cfm?ncbi=6186","Explore in ECOTOX")</f>
        <v>Explore in ECOTOX</v>
      </c>
    </row>
    <row r="855" spans="1:18" x14ac:dyDescent="0.25">
      <c r="A855">
        <v>6</v>
      </c>
      <c r="B855" t="str">
        <f>HYPERLINK("http://www.ncbi.nlm.nih.gov/protein/KRZ86516.1","KRZ86516.1")</f>
        <v>KRZ86516.1</v>
      </c>
      <c r="C855">
        <v>18432</v>
      </c>
      <c r="D855" t="str">
        <f>HYPERLINK("http://www.ncbi.nlm.nih.gov/Taxonomy/Browser/wwwtax.cgi?mode=Info&amp;id=92180&amp;lvl=3&amp;lin=f&amp;keep=1&amp;srchmode=1&amp;unlock","92180")</f>
        <v>92180</v>
      </c>
      <c r="E855" t="s">
        <v>802</v>
      </c>
      <c r="F855" t="s">
        <v>802</v>
      </c>
      <c r="G855" t="str">
        <f>HYPERLINK("http://www.ncbi.nlm.nih.gov/Taxonomy/Browser/wwwtax.cgi?mode=Info&amp;id=92180&amp;lvl=3&amp;lin=f&amp;keep=1&amp;srchmode=1&amp;unlock","Trichinella sp. T8")</f>
        <v>Trichinella sp. T8</v>
      </c>
      <c r="H855" t="s">
        <v>803</v>
      </c>
      <c r="I855" t="str">
        <f>HYPERLINK("http://www.ncbi.nlm.nih.gov/protein/KRZ86516.1","Fatty acid-binding -like protein 6")</f>
        <v>Fatty acid-binding -like protein 6</v>
      </c>
      <c r="J855">
        <v>58.54</v>
      </c>
      <c r="K855" t="s">
        <v>25</v>
      </c>
      <c r="L855">
        <v>139</v>
      </c>
      <c r="M855">
        <v>50.68</v>
      </c>
      <c r="N855">
        <v>23.2</v>
      </c>
      <c r="O855" t="s">
        <v>25</v>
      </c>
      <c r="P855" t="s">
        <v>21</v>
      </c>
      <c r="Q855" t="s">
        <v>20</v>
      </c>
      <c r="R855" t="str">
        <f>HYPERLINK("https://cfpub.epa.gov/ecotox/explore.cfm?ncbi=92180","Explore in ECOTOX")</f>
        <v>Explore in ECOTOX</v>
      </c>
    </row>
    <row r="856" spans="1:18" x14ac:dyDescent="0.25">
      <c r="A856">
        <v>6</v>
      </c>
      <c r="B856" t="str">
        <f>HYPERLINK("http://www.ncbi.nlm.nih.gov/protein/XP_021944577.1","XP_021944577.1")</f>
        <v>XP_021944577.1</v>
      </c>
      <c r="C856">
        <v>66111</v>
      </c>
      <c r="D856" t="str">
        <f>HYPERLINK("http://www.ncbi.nlm.nih.gov/Taxonomy/Browser/wwwtax.cgi?mode=Info&amp;id=158441&amp;lvl=3&amp;lin=f&amp;keep=1&amp;srchmode=1&amp;unlock","158441")</f>
        <v>158441</v>
      </c>
      <c r="E856" t="s">
        <v>765</v>
      </c>
      <c r="F856" t="s">
        <v>765</v>
      </c>
      <c r="G856" t="str">
        <f>HYPERLINK("http://www.ncbi.nlm.nih.gov/Taxonomy/Browser/wwwtax.cgi?mode=Info&amp;id=158441&amp;lvl=3&amp;lin=f&amp;keep=1&amp;srchmode=1&amp;unlock","Folsomia candida")</f>
        <v>Folsomia candida</v>
      </c>
      <c r="H856" t="s">
        <v>804</v>
      </c>
      <c r="I856" t="str">
        <f>HYPERLINK("http://www.ncbi.nlm.nih.gov/protein/XP_021944577.1","sodium/calcium exchanger regulatory protein 1 isoform X1")</f>
        <v>sodium/calcium exchanger regulatory protein 1 isoform X1</v>
      </c>
      <c r="J856">
        <v>58.54</v>
      </c>
      <c r="K856" t="s">
        <v>25</v>
      </c>
      <c r="L856">
        <v>139</v>
      </c>
      <c r="M856">
        <v>50.68</v>
      </c>
      <c r="N856">
        <v>23.2</v>
      </c>
      <c r="O856" t="s">
        <v>25</v>
      </c>
      <c r="P856" t="s">
        <v>21</v>
      </c>
      <c r="Q856" t="s">
        <v>20</v>
      </c>
      <c r="R856" t="str">
        <f>HYPERLINK("https://cfpub.epa.gov/ecotox/explore.cfm?ncbi=158441","Explore in ECOTOX")</f>
        <v>Explore in ECOTOX</v>
      </c>
    </row>
    <row r="857" spans="1:18" x14ac:dyDescent="0.25">
      <c r="A857">
        <v>6</v>
      </c>
      <c r="B857" t="str">
        <f>HYPERLINK("http://www.ncbi.nlm.nih.gov/protein/KRY53265.1","KRY53265.1")</f>
        <v>KRY53265.1</v>
      </c>
      <c r="C857">
        <v>20901</v>
      </c>
      <c r="D857" t="str">
        <f>HYPERLINK("http://www.ncbi.nlm.nih.gov/Taxonomy/Browser/wwwtax.cgi?mode=Info&amp;id=45882&amp;lvl=3&amp;lin=f&amp;keep=1&amp;srchmode=1&amp;unlock","45882")</f>
        <v>45882</v>
      </c>
      <c r="E857" t="s">
        <v>802</v>
      </c>
      <c r="F857" t="s">
        <v>802</v>
      </c>
      <c r="G857" t="str">
        <f>HYPERLINK("http://www.ncbi.nlm.nih.gov/Taxonomy/Browser/wwwtax.cgi?mode=Info&amp;id=45882&amp;lvl=3&amp;lin=f&amp;keep=1&amp;srchmode=1&amp;unlock","Trichinella britovi")</f>
        <v>Trichinella britovi</v>
      </c>
      <c r="H857" t="s">
        <v>803</v>
      </c>
      <c r="I857" t="str">
        <f>HYPERLINK("http://www.ncbi.nlm.nih.gov/protein/KRY53265.1","Fatty acid-binding -like protein 6, partial")</f>
        <v>Fatty acid-binding -like protein 6, partial</v>
      </c>
      <c r="J857">
        <v>58.54</v>
      </c>
      <c r="K857" t="s">
        <v>25</v>
      </c>
      <c r="L857">
        <v>139</v>
      </c>
      <c r="M857">
        <v>50.68</v>
      </c>
      <c r="N857">
        <v>23.2</v>
      </c>
      <c r="O857" t="s">
        <v>25</v>
      </c>
      <c r="P857" t="s">
        <v>21</v>
      </c>
      <c r="Q857" t="s">
        <v>20</v>
      </c>
      <c r="R857" t="str">
        <f>HYPERLINK("https://cfpub.epa.gov/ecotox/explore.cfm?ncbi=45882","Explore in ECOTOX")</f>
        <v>Explore in ECOTOX</v>
      </c>
    </row>
    <row r="858" spans="1:18" x14ac:dyDescent="0.25">
      <c r="A858">
        <v>6</v>
      </c>
      <c r="B858" t="str">
        <f>HYPERLINK("http://www.ncbi.nlm.nih.gov/protein/KRX46156.1","KRX46156.1")</f>
        <v>KRX46156.1</v>
      </c>
      <c r="C858">
        <v>18644</v>
      </c>
      <c r="D858" t="str">
        <f>HYPERLINK("http://www.ncbi.nlm.nih.gov/Taxonomy/Browser/wwwtax.cgi?mode=Info&amp;id=144512&amp;lvl=3&amp;lin=f&amp;keep=1&amp;srchmode=1&amp;unlock","144512")</f>
        <v>144512</v>
      </c>
      <c r="E858" t="s">
        <v>802</v>
      </c>
      <c r="F858" t="s">
        <v>802</v>
      </c>
      <c r="G858" t="str">
        <f>HYPERLINK("http://www.ncbi.nlm.nih.gov/Taxonomy/Browser/wwwtax.cgi?mode=Info&amp;id=144512&amp;lvl=3&amp;lin=f&amp;keep=1&amp;srchmode=1&amp;unlock","Trichinella murrelli")</f>
        <v>Trichinella murrelli</v>
      </c>
      <c r="H858" t="s">
        <v>803</v>
      </c>
      <c r="I858" t="str">
        <f>HYPERLINK("http://www.ncbi.nlm.nih.gov/protein/KRX46156.1","Fatty acid-binding -like protein 6")</f>
        <v>Fatty acid-binding -like protein 6</v>
      </c>
      <c r="J858">
        <v>58.54</v>
      </c>
      <c r="K858" t="s">
        <v>25</v>
      </c>
      <c r="L858">
        <v>139</v>
      </c>
      <c r="M858">
        <v>50.68</v>
      </c>
      <c r="N858">
        <v>23.2</v>
      </c>
      <c r="O858" t="s">
        <v>25</v>
      </c>
      <c r="P858" t="s">
        <v>21</v>
      </c>
      <c r="Q858" t="s">
        <v>20</v>
      </c>
      <c r="R858" t="str">
        <f>HYPERLINK("https://cfpub.epa.gov/ecotox/explore.cfm?ncbi=144512","Explore in ECOTOX")</f>
        <v>Explore in ECOTOX</v>
      </c>
    </row>
    <row r="859" spans="1:18" x14ac:dyDescent="0.25">
      <c r="A859">
        <v>6</v>
      </c>
      <c r="B859" t="str">
        <f>HYPERLINK("http://www.ncbi.nlm.nih.gov/protein/RTG81755.1","RTG81755.1")</f>
        <v>RTG81755.1</v>
      </c>
      <c r="C859">
        <v>11674</v>
      </c>
      <c r="D859" t="str">
        <f>HYPERLINK("http://www.ncbi.nlm.nih.gov/Taxonomy/Browser/wwwtax.cgi?mode=Info&amp;id=6184&amp;lvl=3&amp;lin=f&amp;keep=1&amp;srchmode=1&amp;unlock","6184")</f>
        <v>6184</v>
      </c>
      <c r="E859" t="s">
        <v>793</v>
      </c>
      <c r="F859" t="s">
        <v>793</v>
      </c>
      <c r="G859" t="str">
        <f>HYPERLINK("http://www.ncbi.nlm.nih.gov/Taxonomy/Browser/wwwtax.cgi?mode=Info&amp;id=6184&amp;lvl=3&amp;lin=f&amp;keep=1&amp;srchmode=1&amp;unlock","Schistosoma bovis")</f>
        <v>Schistosoma bovis</v>
      </c>
      <c r="H859" t="s">
        <v>794</v>
      </c>
      <c r="I859" t="str">
        <f>HYPERLINK("http://www.ncbi.nlm.nih.gov/protein/RTG81755.1","fatty acid-binding protein 7, brain")</f>
        <v>fatty acid-binding protein 7, brain</v>
      </c>
      <c r="J859">
        <v>58.54</v>
      </c>
      <c r="K859" t="s">
        <v>25</v>
      </c>
      <c r="L859">
        <v>139</v>
      </c>
      <c r="M859">
        <v>50.68</v>
      </c>
      <c r="N859">
        <v>23.2</v>
      </c>
      <c r="O859" t="s">
        <v>25</v>
      </c>
      <c r="P859" t="s">
        <v>21</v>
      </c>
      <c r="Q859" t="s">
        <v>20</v>
      </c>
      <c r="R859" t="str">
        <f>HYPERLINK("https://cfpub.epa.gov/ecotox/explore.cfm?ncbi=6184","Explore in ECOTOX")</f>
        <v>Explore in ECOTOX</v>
      </c>
    </row>
    <row r="860" spans="1:18" x14ac:dyDescent="0.25">
      <c r="A860">
        <v>6</v>
      </c>
      <c r="B860" t="str">
        <f>HYPERLINK("http://www.ncbi.nlm.nih.gov/protein/XP_037892090.1","XP_037892090.1")</f>
        <v>XP_037892090.1</v>
      </c>
      <c r="C860">
        <v>22364</v>
      </c>
      <c r="D860" t="str">
        <f>HYPERLINK("http://www.ncbi.nlm.nih.gov/Taxonomy/Browser/wwwtax.cgi?mode=Info&amp;id=7396&amp;lvl=3&amp;lin=f&amp;keep=1&amp;srchmode=1&amp;unlock","7396")</f>
        <v>7396</v>
      </c>
      <c r="E860" t="s">
        <v>698</v>
      </c>
      <c r="F860" t="s">
        <v>698</v>
      </c>
      <c r="G860" t="str">
        <f>HYPERLINK("http://www.ncbi.nlm.nih.gov/Taxonomy/Browser/wwwtax.cgi?mode=Info&amp;id=7396&amp;lvl=3&amp;lin=f&amp;keep=1&amp;srchmode=1&amp;unlock","Glossina fuscipes")</f>
        <v>Glossina fuscipes</v>
      </c>
      <c r="H860" t="s">
        <v>805</v>
      </c>
      <c r="I860" t="str">
        <f>HYPERLINK("http://www.ncbi.nlm.nih.gov/protein/XP_037892090.1","probable fatty acid-binding protein")</f>
        <v>probable fatty acid-binding protein</v>
      </c>
      <c r="J860">
        <v>58.54</v>
      </c>
      <c r="K860" t="s">
        <v>25</v>
      </c>
      <c r="L860">
        <v>139</v>
      </c>
      <c r="M860">
        <v>50.68</v>
      </c>
      <c r="N860">
        <v>23.2</v>
      </c>
      <c r="O860" t="s">
        <v>25</v>
      </c>
      <c r="P860" t="s">
        <v>21</v>
      </c>
      <c r="Q860" t="s">
        <v>20</v>
      </c>
      <c r="R860" t="str">
        <f>HYPERLINK("https://cfpub.epa.gov/ecotox/explore.cfm?ncbi=7396","Explore in ECOTOX")</f>
        <v>Explore in ECOTOX</v>
      </c>
    </row>
    <row r="861" spans="1:18" x14ac:dyDescent="0.25">
      <c r="A861">
        <v>6</v>
      </c>
      <c r="B861" t="str">
        <f>HYPERLINK("http://www.ncbi.nlm.nih.gov/protein/KRY68564.1","KRY68564.1")</f>
        <v>KRY68564.1</v>
      </c>
      <c r="C861">
        <v>81560</v>
      </c>
      <c r="D861" t="str">
        <f>HYPERLINK("http://www.ncbi.nlm.nih.gov/Taxonomy/Browser/wwwtax.cgi?mode=Info&amp;id=6337&amp;lvl=3&amp;lin=f&amp;keep=1&amp;srchmode=1&amp;unlock","6337")</f>
        <v>6337</v>
      </c>
      <c r="E861" t="s">
        <v>802</v>
      </c>
      <c r="F861" t="s">
        <v>802</v>
      </c>
      <c r="G861" t="str">
        <f>HYPERLINK("http://www.ncbi.nlm.nih.gov/Taxonomy/Browser/wwwtax.cgi?mode=Info&amp;id=6337&amp;lvl=3&amp;lin=f&amp;keep=1&amp;srchmode=1&amp;unlock","Trichinella pseudospiralis")</f>
        <v>Trichinella pseudospiralis</v>
      </c>
      <c r="H861" t="s">
        <v>803</v>
      </c>
      <c r="I861" t="str">
        <f>HYPERLINK("http://www.ncbi.nlm.nih.gov/protein/KRY68564.1","Fatty acid-binding -like protein 6")</f>
        <v>Fatty acid-binding -like protein 6</v>
      </c>
      <c r="J861">
        <v>58.54</v>
      </c>
      <c r="K861" t="s">
        <v>25</v>
      </c>
      <c r="L861">
        <v>139</v>
      </c>
      <c r="M861">
        <v>50.68</v>
      </c>
      <c r="N861">
        <v>23.2</v>
      </c>
      <c r="O861" t="s">
        <v>25</v>
      </c>
      <c r="P861" t="s">
        <v>21</v>
      </c>
      <c r="Q861" t="s">
        <v>20</v>
      </c>
      <c r="R861" t="str">
        <f>HYPERLINK("https://cfpub.epa.gov/ecotox/explore.cfm?ncbi=6337","Explore in ECOTOX")</f>
        <v>Explore in ECOTOX</v>
      </c>
    </row>
    <row r="862" spans="1:18" x14ac:dyDescent="0.25">
      <c r="A862">
        <v>6</v>
      </c>
      <c r="B862" t="str">
        <f>HYPERLINK("http://www.ncbi.nlm.nih.gov/protein/XP_012795800.1","XP_012795800.1")</f>
        <v>XP_012795800.1</v>
      </c>
      <c r="C862">
        <v>18329</v>
      </c>
      <c r="D862" t="str">
        <f>HYPERLINK("http://www.ncbi.nlm.nih.gov/Taxonomy/Browser/wwwtax.cgi?mode=Info&amp;id=6185&amp;lvl=3&amp;lin=f&amp;keep=1&amp;srchmode=1&amp;unlock","6185")</f>
        <v>6185</v>
      </c>
      <c r="E862" t="s">
        <v>793</v>
      </c>
      <c r="F862" t="s">
        <v>793</v>
      </c>
      <c r="G862" t="str">
        <f>HYPERLINK("http://www.ncbi.nlm.nih.gov/Taxonomy/Browser/wwwtax.cgi?mode=Info&amp;id=6185&amp;lvl=3&amp;lin=f&amp;keep=1&amp;srchmode=1&amp;unlock","Schistosoma haematobium")</f>
        <v>Schistosoma haematobium</v>
      </c>
      <c r="H862" t="s">
        <v>794</v>
      </c>
      <c r="I862" t="str">
        <f>HYPERLINK("http://www.ncbi.nlm.nih.gov/protein/XP_012795800.1","fatty acid binding protein")</f>
        <v>fatty acid binding protein</v>
      </c>
      <c r="J862">
        <v>58.54</v>
      </c>
      <c r="K862" t="s">
        <v>25</v>
      </c>
      <c r="L862">
        <v>139</v>
      </c>
      <c r="M862">
        <v>50.68</v>
      </c>
      <c r="N862">
        <v>23.2</v>
      </c>
      <c r="O862" t="s">
        <v>25</v>
      </c>
      <c r="P862" t="s">
        <v>21</v>
      </c>
      <c r="Q862" t="s">
        <v>20</v>
      </c>
      <c r="R862" t="str">
        <f>HYPERLINK("https://cfpub.epa.gov/ecotox/explore.cfm?ncbi=6185","Explore in ECOTOX")</f>
        <v>Explore in ECOTOX</v>
      </c>
    </row>
    <row r="863" spans="1:18" x14ac:dyDescent="0.25">
      <c r="A863">
        <v>6</v>
      </c>
      <c r="B863" t="str">
        <f>HYPERLINK("http://www.ncbi.nlm.nih.gov/protein/XP_013781114.1","XP_013781114.1")</f>
        <v>XP_013781114.1</v>
      </c>
      <c r="C863">
        <v>39074</v>
      </c>
      <c r="D863" t="str">
        <f>HYPERLINK("http://www.ncbi.nlm.nih.gov/Taxonomy/Browser/wwwtax.cgi?mode=Info&amp;id=6850&amp;lvl=3&amp;lin=f&amp;keep=1&amp;srchmode=1&amp;unlock","6850")</f>
        <v>6850</v>
      </c>
      <c r="E863" t="s">
        <v>806</v>
      </c>
      <c r="F863" t="s">
        <v>806</v>
      </c>
      <c r="G863" t="str">
        <f>HYPERLINK("http://www.ncbi.nlm.nih.gov/Taxonomy/Browser/wwwtax.cgi?mode=Info&amp;id=6850&amp;lvl=3&amp;lin=f&amp;keep=1&amp;srchmode=1&amp;unlock","Limulus polyphemus")</f>
        <v>Limulus polyphemus</v>
      </c>
      <c r="H863" t="s">
        <v>807</v>
      </c>
      <c r="I863" t="str">
        <f>HYPERLINK("http://www.ncbi.nlm.nih.gov/protein/XP_013781114.1","fatty acid-binding protein-like")</f>
        <v>fatty acid-binding protein-like</v>
      </c>
      <c r="J863">
        <v>58.54</v>
      </c>
      <c r="K863" t="s">
        <v>25</v>
      </c>
      <c r="L863">
        <v>139</v>
      </c>
      <c r="M863">
        <v>50.68</v>
      </c>
      <c r="N863">
        <v>23.2</v>
      </c>
      <c r="O863" t="s">
        <v>25</v>
      </c>
      <c r="P863" t="s">
        <v>21</v>
      </c>
      <c r="Q863" t="s">
        <v>20</v>
      </c>
      <c r="R863" t="str">
        <f>HYPERLINK("https://cfpub.epa.gov/ecotox/explore.cfm?ncbi=6850","Explore in ECOTOX")</f>
        <v>Explore in ECOTOX</v>
      </c>
    </row>
    <row r="864" spans="1:18" x14ac:dyDescent="0.25">
      <c r="A864">
        <v>6</v>
      </c>
      <c r="B864" t="str">
        <f>HYPERLINK("http://www.ncbi.nlm.nih.gov/protein/XP_029041607.1","XP_029041607.1")</f>
        <v>XP_029041607.1</v>
      </c>
      <c r="C864">
        <v>24844</v>
      </c>
      <c r="D864" t="str">
        <f>HYPERLINK("http://www.ncbi.nlm.nih.gov/Taxonomy/Browser/wwwtax.cgi?mode=Info&amp;id=1437191&amp;lvl=3&amp;lin=f&amp;keep=1&amp;srchmode=1&amp;unlock","1437191")</f>
        <v>1437191</v>
      </c>
      <c r="E864" t="s">
        <v>698</v>
      </c>
      <c r="F864" t="s">
        <v>698</v>
      </c>
      <c r="G864" t="str">
        <f>HYPERLINK("http://www.ncbi.nlm.nih.gov/Taxonomy/Browser/wwwtax.cgi?mode=Info&amp;id=1437191&amp;lvl=3&amp;lin=f&amp;keep=1&amp;srchmode=1&amp;unlock","Osmia bicornis bicornis")</f>
        <v>Osmia bicornis bicornis</v>
      </c>
      <c r="H864" t="s">
        <v>808</v>
      </c>
      <c r="I864" t="str">
        <f>HYPERLINK("http://www.ncbi.nlm.nih.gov/protein/XP_029041607.1","probable fatty acid-binding protein isoform X1")</f>
        <v>probable fatty acid-binding protein isoform X1</v>
      </c>
      <c r="J864">
        <v>58.54</v>
      </c>
      <c r="K864" t="s">
        <v>25</v>
      </c>
      <c r="L864">
        <v>139</v>
      </c>
      <c r="M864">
        <v>50.68</v>
      </c>
      <c r="N864">
        <v>23.2</v>
      </c>
      <c r="O864" t="s">
        <v>25</v>
      </c>
      <c r="P864" t="s">
        <v>21</v>
      </c>
      <c r="Q864" t="s">
        <v>20</v>
      </c>
      <c r="R864" t="str">
        <f>HYPERLINK("https://cfpub.epa.gov/ecotox/explore.cfm?ncbi=1437191","Explore in ECOTOX")</f>
        <v>Explore in ECOTOX</v>
      </c>
    </row>
    <row r="865" spans="1:18" x14ac:dyDescent="0.25">
      <c r="A865">
        <v>6</v>
      </c>
      <c r="B865" t="str">
        <f>HYPERLINK("http://www.ncbi.nlm.nih.gov/protein/KRZ14514.1","KRZ14514.1")</f>
        <v>KRZ14514.1</v>
      </c>
      <c r="C865">
        <v>19285</v>
      </c>
      <c r="D865" t="str">
        <f>HYPERLINK("http://www.ncbi.nlm.nih.gov/Taxonomy/Browser/wwwtax.cgi?mode=Info&amp;id=268475&amp;lvl=3&amp;lin=f&amp;keep=1&amp;srchmode=1&amp;unlock","268475")</f>
        <v>268475</v>
      </c>
      <c r="E865" t="s">
        <v>802</v>
      </c>
      <c r="F865" t="s">
        <v>802</v>
      </c>
      <c r="G865" t="str">
        <f>HYPERLINK("http://www.ncbi.nlm.nih.gov/Taxonomy/Browser/wwwtax.cgi?mode=Info&amp;id=268475&amp;lvl=3&amp;lin=f&amp;keep=1&amp;srchmode=1&amp;unlock","Trichinella zimbabwensis")</f>
        <v>Trichinella zimbabwensis</v>
      </c>
      <c r="H865" t="s">
        <v>803</v>
      </c>
      <c r="I865" t="str">
        <f>HYPERLINK("http://www.ncbi.nlm.nih.gov/protein/KRZ14514.1","Fatty acid-binding -like protein 6")</f>
        <v>Fatty acid-binding -like protein 6</v>
      </c>
      <c r="J865">
        <v>58.15</v>
      </c>
      <c r="K865" t="s">
        <v>25</v>
      </c>
      <c r="L865">
        <v>139</v>
      </c>
      <c r="M865">
        <v>50.68</v>
      </c>
      <c r="N865">
        <v>23.05</v>
      </c>
      <c r="O865" t="s">
        <v>25</v>
      </c>
      <c r="P865" t="s">
        <v>21</v>
      </c>
      <c r="Q865" t="s">
        <v>20</v>
      </c>
      <c r="R865" t="str">
        <f>HYPERLINK("https://cfpub.epa.gov/ecotox/explore.cfm?ncbi=268475","Explore in ECOTOX")</f>
        <v>Explore in ECOTOX</v>
      </c>
    </row>
    <row r="866" spans="1:18" x14ac:dyDescent="0.25">
      <c r="A866">
        <v>6</v>
      </c>
      <c r="B866" t="str">
        <f>HYPERLINK("http://www.ncbi.nlm.nih.gov/protein/XP_004518012.1","XP_004518012.1")</f>
        <v>XP_004518012.1</v>
      </c>
      <c r="C866">
        <v>43760</v>
      </c>
      <c r="D866" t="str">
        <f>HYPERLINK("http://www.ncbi.nlm.nih.gov/Taxonomy/Browser/wwwtax.cgi?mode=Info&amp;id=7213&amp;lvl=3&amp;lin=f&amp;keep=1&amp;srchmode=1&amp;unlock","7213")</f>
        <v>7213</v>
      </c>
      <c r="E866" t="s">
        <v>698</v>
      </c>
      <c r="F866" t="s">
        <v>698</v>
      </c>
      <c r="G866" t="str">
        <f>HYPERLINK("http://www.ncbi.nlm.nih.gov/Taxonomy/Browser/wwwtax.cgi?mode=Info&amp;id=7213&amp;lvl=3&amp;lin=f&amp;keep=1&amp;srchmode=1&amp;unlock","Ceratitis capitata")</f>
        <v>Ceratitis capitata</v>
      </c>
      <c r="H866" t="s">
        <v>809</v>
      </c>
      <c r="I866" t="str">
        <f>HYPERLINK("http://www.ncbi.nlm.nih.gov/protein/XP_004518012.1","probable fatty acid-binding protein")</f>
        <v>probable fatty acid-binding protein</v>
      </c>
      <c r="J866">
        <v>58.15</v>
      </c>
      <c r="K866" t="s">
        <v>25</v>
      </c>
      <c r="L866">
        <v>139</v>
      </c>
      <c r="M866">
        <v>50.68</v>
      </c>
      <c r="N866">
        <v>23.05</v>
      </c>
      <c r="O866" t="s">
        <v>25</v>
      </c>
      <c r="P866" t="s">
        <v>21</v>
      </c>
      <c r="Q866" t="s">
        <v>20</v>
      </c>
      <c r="R866" t="str">
        <f>HYPERLINK("https://cfpub.epa.gov/ecotox/explore.cfm?ncbi=7213","Explore in ECOTOX")</f>
        <v>Explore in ECOTOX</v>
      </c>
    </row>
    <row r="867" spans="1:18" x14ac:dyDescent="0.25">
      <c r="A867">
        <v>6</v>
      </c>
      <c r="B867" t="str">
        <f>HYPERLINK("http://www.ncbi.nlm.nih.gov/protein/XP_020296909.1","XP_020296909.1")</f>
        <v>XP_020296909.1</v>
      </c>
      <c r="C867">
        <v>23521</v>
      </c>
      <c r="D867" t="str">
        <f>HYPERLINK("http://www.ncbi.nlm.nih.gov/Taxonomy/Browser/wwwtax.cgi?mode=Info&amp;id=219809&amp;lvl=3&amp;lin=f&amp;keep=1&amp;srchmode=1&amp;unlock","219809")</f>
        <v>219809</v>
      </c>
      <c r="E867" t="s">
        <v>698</v>
      </c>
      <c r="F867" t="s">
        <v>698</v>
      </c>
      <c r="G867" t="str">
        <f>HYPERLINK("http://www.ncbi.nlm.nih.gov/Taxonomy/Browser/wwwtax.cgi?mode=Info&amp;id=219809&amp;lvl=3&amp;lin=f&amp;keep=1&amp;srchmode=1&amp;unlock","Pseudomyrmex gracilis")</f>
        <v>Pseudomyrmex gracilis</v>
      </c>
      <c r="H867" t="s">
        <v>755</v>
      </c>
      <c r="I867" t="str">
        <f>HYPERLINK("http://www.ncbi.nlm.nih.gov/protein/XP_020296909.1","myelin P2 protein isoform X2")</f>
        <v>myelin P2 protein isoform X2</v>
      </c>
      <c r="J867">
        <v>58.15</v>
      </c>
      <c r="K867" t="s">
        <v>25</v>
      </c>
      <c r="L867">
        <v>139</v>
      </c>
      <c r="M867">
        <v>50.68</v>
      </c>
      <c r="N867">
        <v>23.05</v>
      </c>
      <c r="O867" t="s">
        <v>25</v>
      </c>
      <c r="P867" t="s">
        <v>21</v>
      </c>
      <c r="Q867" t="s">
        <v>20</v>
      </c>
      <c r="R867" t="str">
        <f>HYPERLINK("https://cfpub.epa.gov/ecotox/explore.cfm?ncbi=219809","Explore in ECOTOX")</f>
        <v>Explore in ECOTOX</v>
      </c>
    </row>
    <row r="868" spans="1:18" x14ac:dyDescent="0.25">
      <c r="A868">
        <v>6</v>
      </c>
      <c r="B868" t="str">
        <f>HYPERLINK("http://www.ncbi.nlm.nih.gov/protein/XP_029666851.1","XP_029666851.1")</f>
        <v>XP_029666851.1</v>
      </c>
      <c r="C868">
        <v>22522</v>
      </c>
      <c r="D868" t="str">
        <f>HYPERLINK("http://www.ncbi.nlm.nih.gov/Taxonomy/Browser/wwwtax.cgi?mode=Info&amp;id=72781&amp;lvl=3&amp;lin=f&amp;keep=1&amp;srchmode=1&amp;unlock","72781")</f>
        <v>72781</v>
      </c>
      <c r="E868" t="s">
        <v>698</v>
      </c>
      <c r="F868" t="s">
        <v>698</v>
      </c>
      <c r="G868" t="str">
        <f>HYPERLINK("http://www.ncbi.nlm.nih.gov/Taxonomy/Browser/wwwtax.cgi?mode=Info&amp;id=72781&amp;lvl=3&amp;lin=f&amp;keep=1&amp;srchmode=1&amp;unlock","Formica exsecta")</f>
        <v>Formica exsecta</v>
      </c>
      <c r="H868" t="s">
        <v>755</v>
      </c>
      <c r="I868" t="str">
        <f>HYPERLINK("http://www.ncbi.nlm.nih.gov/protein/XP_029666851.1","myelin P2 protein isoform X2")</f>
        <v>myelin P2 protein isoform X2</v>
      </c>
      <c r="J868">
        <v>58.15</v>
      </c>
      <c r="K868" t="s">
        <v>25</v>
      </c>
      <c r="L868">
        <v>139</v>
      </c>
      <c r="M868">
        <v>50.68</v>
      </c>
      <c r="N868">
        <v>23.05</v>
      </c>
      <c r="O868" t="s">
        <v>25</v>
      </c>
      <c r="P868" t="s">
        <v>21</v>
      </c>
      <c r="Q868" t="s">
        <v>20</v>
      </c>
      <c r="R868" t="str">
        <f>HYPERLINK("https://cfpub.epa.gov/ecotox/explore.cfm?ncbi=72781","Explore in ECOTOX")</f>
        <v>Explore in ECOTOX</v>
      </c>
    </row>
    <row r="869" spans="1:18" x14ac:dyDescent="0.25">
      <c r="A869">
        <v>6</v>
      </c>
      <c r="B869" t="str">
        <f>HYPERLINK("http://www.ncbi.nlm.nih.gov/protein/XP_031839722.1","XP_031839722.1")</f>
        <v>XP_031839722.1</v>
      </c>
      <c r="C869">
        <v>25323</v>
      </c>
      <c r="D869" t="str">
        <f>HYPERLINK("http://www.ncbi.nlm.nih.gov/Taxonomy/Browser/wwwtax.cgi?mode=Info&amp;id=2448451&amp;lvl=3&amp;lin=f&amp;keep=1&amp;srchmode=1&amp;unlock","2448451")</f>
        <v>2448451</v>
      </c>
      <c r="E869" t="s">
        <v>698</v>
      </c>
      <c r="F869" t="s">
        <v>698</v>
      </c>
      <c r="G869" t="str">
        <f>HYPERLINK("http://www.ncbi.nlm.nih.gov/Taxonomy/Browser/wwwtax.cgi?mode=Info&amp;id=2448451&amp;lvl=3&amp;lin=f&amp;keep=1&amp;srchmode=1&amp;unlock","Nomia melanderi")</f>
        <v>Nomia melanderi</v>
      </c>
      <c r="H869" t="s">
        <v>810</v>
      </c>
      <c r="I869" t="str">
        <f>HYPERLINK("http://www.ncbi.nlm.nih.gov/protein/XP_031839722.1","fatty acid-binding protein, muscle isoform X2")</f>
        <v>fatty acid-binding protein, muscle isoform X2</v>
      </c>
      <c r="J869">
        <v>58.15</v>
      </c>
      <c r="K869" t="s">
        <v>25</v>
      </c>
      <c r="L869">
        <v>139</v>
      </c>
      <c r="M869">
        <v>50.68</v>
      </c>
      <c r="N869">
        <v>23.05</v>
      </c>
      <c r="O869" t="s">
        <v>25</v>
      </c>
      <c r="P869" t="s">
        <v>21</v>
      </c>
      <c r="Q869" t="s">
        <v>20</v>
      </c>
      <c r="R869" t="str">
        <f>HYPERLINK("https://cfpub.epa.gov/ecotox/explore.cfm?ncbi=2448451","Explore in ECOTOX")</f>
        <v>Explore in ECOTOX</v>
      </c>
    </row>
    <row r="870" spans="1:18" x14ac:dyDescent="0.25">
      <c r="A870">
        <v>6</v>
      </c>
      <c r="B870" t="str">
        <f>HYPERLINK("http://www.ncbi.nlm.nih.gov/protein/KAG4076143.1","KAG4076143.1")</f>
        <v>KAG4076143.1</v>
      </c>
      <c r="C870">
        <v>16460</v>
      </c>
      <c r="D870" t="str">
        <f>HYPERLINK("http://www.ncbi.nlm.nih.gov/Taxonomy/Browser/wwwtax.cgi?mode=Info&amp;id=1564500&amp;lvl=3&amp;lin=f&amp;keep=1&amp;srchmode=1&amp;unlock","1564500")</f>
        <v>1564500</v>
      </c>
      <c r="E870" t="s">
        <v>698</v>
      </c>
      <c r="F870" t="s">
        <v>698</v>
      </c>
      <c r="G870" t="str">
        <f>HYPERLINK("http://www.ncbi.nlm.nih.gov/Taxonomy/Browser/wwwtax.cgi?mode=Info&amp;id=1564500&amp;lvl=3&amp;lin=f&amp;keep=1&amp;srchmode=1&amp;unlock","Bradysia odoriphaga")</f>
        <v>Bradysia odoriphaga</v>
      </c>
      <c r="H870" t="s">
        <v>774</v>
      </c>
      <c r="I870" t="str">
        <f>HYPERLINK("http://www.ncbi.nlm.nih.gov/protein/KAG4076143.1","hypothetical protein HA402_011489")</f>
        <v>hypothetical protein HA402_011489</v>
      </c>
      <c r="J870">
        <v>58.15</v>
      </c>
      <c r="K870" t="s">
        <v>25</v>
      </c>
      <c r="L870">
        <v>139</v>
      </c>
      <c r="M870">
        <v>50.68</v>
      </c>
      <c r="N870">
        <v>23.05</v>
      </c>
      <c r="O870" t="s">
        <v>25</v>
      </c>
      <c r="P870" t="s">
        <v>21</v>
      </c>
      <c r="Q870" t="s">
        <v>20</v>
      </c>
      <c r="R870" t="str">
        <f>HYPERLINK("https://cfpub.epa.gov/ecotox/explore.cfm?ncbi=1564500","Explore in ECOTOX")</f>
        <v>Explore in ECOTOX</v>
      </c>
    </row>
    <row r="871" spans="1:18" x14ac:dyDescent="0.25">
      <c r="A871">
        <v>6</v>
      </c>
      <c r="B871" t="str">
        <f>HYPERLINK("http://www.ncbi.nlm.nih.gov/protein/XP_018375140.1","XP_018375140.1")</f>
        <v>XP_018375140.1</v>
      </c>
      <c r="C871">
        <v>40088</v>
      </c>
      <c r="D871" t="str">
        <f>HYPERLINK("http://www.ncbi.nlm.nih.gov/Taxonomy/Browser/wwwtax.cgi?mode=Info&amp;id=471704&amp;lvl=3&amp;lin=f&amp;keep=1&amp;srchmode=1&amp;unlock","471704")</f>
        <v>471704</v>
      </c>
      <c r="E871" t="s">
        <v>698</v>
      </c>
      <c r="F871" t="s">
        <v>698</v>
      </c>
      <c r="G871" t="str">
        <f>HYPERLINK("http://www.ncbi.nlm.nih.gov/Taxonomy/Browser/wwwtax.cgi?mode=Info&amp;id=471704&amp;lvl=3&amp;lin=f&amp;keep=1&amp;srchmode=1&amp;unlock","Trachymyrmex cornetzi")</f>
        <v>Trachymyrmex cornetzi</v>
      </c>
      <c r="H871" t="s">
        <v>755</v>
      </c>
      <c r="I871" t="str">
        <f>HYPERLINK("http://www.ncbi.nlm.nih.gov/protein/XP_018375140.1","PREDICTED: fatty acid-binding protein, muscle isoform X2")</f>
        <v>PREDICTED: fatty acid-binding protein, muscle isoform X2</v>
      </c>
      <c r="J871">
        <v>58.15</v>
      </c>
      <c r="K871" t="s">
        <v>25</v>
      </c>
      <c r="L871">
        <v>139</v>
      </c>
      <c r="M871">
        <v>50.68</v>
      </c>
      <c r="N871">
        <v>23.05</v>
      </c>
      <c r="O871" t="s">
        <v>25</v>
      </c>
      <c r="P871" t="s">
        <v>21</v>
      </c>
      <c r="Q871" t="s">
        <v>20</v>
      </c>
      <c r="R871" t="str">
        <f>HYPERLINK("https://cfpub.epa.gov/ecotox/explore.cfm?ncbi=471704","Explore in ECOTOX")</f>
        <v>Explore in ECOTOX</v>
      </c>
    </row>
    <row r="872" spans="1:18" x14ac:dyDescent="0.25">
      <c r="A872">
        <v>6</v>
      </c>
      <c r="B872" t="str">
        <f>HYPERLINK("http://www.ncbi.nlm.nih.gov/protein/XP_024867986.1","XP_024867986.1")</f>
        <v>XP_024867986.1</v>
      </c>
      <c r="C872">
        <v>27309</v>
      </c>
      <c r="D872" t="str">
        <f>HYPERLINK("http://www.ncbi.nlm.nih.gov/Taxonomy/Browser/wwwtax.cgi?mode=Info&amp;id=300111&amp;lvl=3&amp;lin=f&amp;keep=1&amp;srchmode=1&amp;unlock","300111")</f>
        <v>300111</v>
      </c>
      <c r="E872" t="s">
        <v>698</v>
      </c>
      <c r="F872" t="s">
        <v>698</v>
      </c>
      <c r="G872" t="str">
        <f>HYPERLINK("http://www.ncbi.nlm.nih.gov/Taxonomy/Browser/wwwtax.cgi?mode=Info&amp;id=300111&amp;lvl=3&amp;lin=f&amp;keep=1&amp;srchmode=1&amp;unlock","Temnothorax curvispinosus")</f>
        <v>Temnothorax curvispinosus</v>
      </c>
      <c r="H872" t="s">
        <v>755</v>
      </c>
      <c r="I872" t="str">
        <f>HYPERLINK("http://www.ncbi.nlm.nih.gov/protein/XP_024867986.1","fatty acid-binding protein, muscle isoform X2")</f>
        <v>fatty acid-binding protein, muscle isoform X2</v>
      </c>
      <c r="J872">
        <v>58.15</v>
      </c>
      <c r="K872" t="s">
        <v>25</v>
      </c>
      <c r="L872">
        <v>139</v>
      </c>
      <c r="M872">
        <v>50.68</v>
      </c>
      <c r="N872">
        <v>23.05</v>
      </c>
      <c r="O872" t="s">
        <v>25</v>
      </c>
      <c r="P872" t="s">
        <v>21</v>
      </c>
      <c r="Q872" t="s">
        <v>20</v>
      </c>
      <c r="R872" t="str">
        <f>HYPERLINK("https://cfpub.epa.gov/ecotox/explore.cfm?ncbi=300111","Explore in ECOTOX")</f>
        <v>Explore in ECOTOX</v>
      </c>
    </row>
    <row r="873" spans="1:18" x14ac:dyDescent="0.25">
      <c r="A873">
        <v>6</v>
      </c>
      <c r="B873" t="str">
        <f>HYPERLINK("http://www.ncbi.nlm.nih.gov/protein/KRZ70112.1","KRZ70112.1")</f>
        <v>KRZ70112.1</v>
      </c>
      <c r="C873">
        <v>16253</v>
      </c>
      <c r="D873" t="str">
        <f>HYPERLINK("http://www.ncbi.nlm.nih.gov/Taxonomy/Browser/wwwtax.cgi?mode=Info&amp;id=268474&amp;lvl=3&amp;lin=f&amp;keep=1&amp;srchmode=1&amp;unlock","268474")</f>
        <v>268474</v>
      </c>
      <c r="E873" t="s">
        <v>802</v>
      </c>
      <c r="F873" t="s">
        <v>802</v>
      </c>
      <c r="G873" t="str">
        <f>HYPERLINK("http://www.ncbi.nlm.nih.gov/Taxonomy/Browser/wwwtax.cgi?mode=Info&amp;id=268474&amp;lvl=3&amp;lin=f&amp;keep=1&amp;srchmode=1&amp;unlock","Trichinella papuae")</f>
        <v>Trichinella papuae</v>
      </c>
      <c r="H873" t="s">
        <v>803</v>
      </c>
      <c r="I873" t="str">
        <f>HYPERLINK("http://www.ncbi.nlm.nih.gov/protein/KRZ70112.1","Fatty acid-binding -like protein 6")</f>
        <v>Fatty acid-binding -like protein 6</v>
      </c>
      <c r="J873">
        <v>58.15</v>
      </c>
      <c r="K873" t="s">
        <v>25</v>
      </c>
      <c r="L873">
        <v>139</v>
      </c>
      <c r="M873">
        <v>50.68</v>
      </c>
      <c r="N873">
        <v>23.05</v>
      </c>
      <c r="O873" t="s">
        <v>25</v>
      </c>
      <c r="P873" t="s">
        <v>21</v>
      </c>
      <c r="Q873" t="s">
        <v>20</v>
      </c>
      <c r="R873" t="str">
        <f>HYPERLINK("https://cfpub.epa.gov/ecotox/explore.cfm?ncbi=268474","Explore in ECOTOX")</f>
        <v>Explore in ECOTOX</v>
      </c>
    </row>
    <row r="874" spans="1:18" x14ac:dyDescent="0.25">
      <c r="A874">
        <v>6</v>
      </c>
      <c r="B874" t="str">
        <f>HYPERLINK("http://www.ncbi.nlm.nih.gov/protein/XP_011667134.1","XP_011667134.1")</f>
        <v>XP_011667134.1</v>
      </c>
      <c r="C874">
        <v>40365</v>
      </c>
      <c r="D874" t="str">
        <f>HYPERLINK("http://www.ncbi.nlm.nih.gov/Taxonomy/Browser/wwwtax.cgi?mode=Info&amp;id=7668&amp;lvl=3&amp;lin=f&amp;keep=1&amp;srchmode=1&amp;unlock","7668")</f>
        <v>7668</v>
      </c>
      <c r="E874" t="s">
        <v>811</v>
      </c>
      <c r="F874" t="s">
        <v>811</v>
      </c>
      <c r="G874" t="str">
        <f>HYPERLINK("http://www.ncbi.nlm.nih.gov/Taxonomy/Browser/wwwtax.cgi?mode=Info&amp;id=7668&amp;lvl=3&amp;lin=f&amp;keep=1&amp;srchmode=1&amp;unlock","Strongylocentrotus purpuratus")</f>
        <v>Strongylocentrotus purpuratus</v>
      </c>
      <c r="H874" t="s">
        <v>812</v>
      </c>
      <c r="I874" t="str">
        <f>HYPERLINK("http://www.ncbi.nlm.nih.gov/protein/XP_011667134.1","fatty acid-binding protein 2, liver-like")</f>
        <v>fatty acid-binding protein 2, liver-like</v>
      </c>
      <c r="J874">
        <v>57.77</v>
      </c>
      <c r="K874" t="s">
        <v>25</v>
      </c>
      <c r="L874">
        <v>139</v>
      </c>
      <c r="M874">
        <v>50.68</v>
      </c>
      <c r="N874">
        <v>22.9</v>
      </c>
      <c r="O874" t="s">
        <v>25</v>
      </c>
      <c r="P874" t="s">
        <v>21</v>
      </c>
      <c r="Q874" t="s">
        <v>20</v>
      </c>
      <c r="R874" t="str">
        <f>HYPERLINK("https://cfpub.epa.gov/ecotox/explore.cfm?ncbi=7668","Explore in ECOTOX")</f>
        <v>Explore in ECOTOX</v>
      </c>
    </row>
    <row r="875" spans="1:18" x14ac:dyDescent="0.25">
      <c r="A875">
        <v>6</v>
      </c>
      <c r="B875" t="str">
        <f>HYPERLINK("http://www.ncbi.nlm.nih.gov/protein/XP_018647196.1","XP_018647196.1")</f>
        <v>XP_018647196.1</v>
      </c>
      <c r="C875">
        <v>14704</v>
      </c>
      <c r="D875" t="str">
        <f>HYPERLINK("http://www.ncbi.nlm.nih.gov/Taxonomy/Browser/wwwtax.cgi?mode=Info&amp;id=6183&amp;lvl=3&amp;lin=f&amp;keep=1&amp;srchmode=1&amp;unlock","6183")</f>
        <v>6183</v>
      </c>
      <c r="E875" t="s">
        <v>793</v>
      </c>
      <c r="F875" t="s">
        <v>793</v>
      </c>
      <c r="G875" t="str">
        <f>HYPERLINK("http://www.ncbi.nlm.nih.gov/Taxonomy/Browser/wwwtax.cgi?mode=Info&amp;id=6183&amp;lvl=3&amp;lin=f&amp;keep=1&amp;srchmode=1&amp;unlock","Schistosoma mansoni")</f>
        <v>Schistosoma mansoni</v>
      </c>
      <c r="H875" t="s">
        <v>794</v>
      </c>
      <c r="I875" t="str">
        <f>HYPERLINK("http://www.ncbi.nlm.nih.gov/protein/XP_018647196.1","fatty acid binding protein")</f>
        <v>fatty acid binding protein</v>
      </c>
      <c r="J875">
        <v>57.77</v>
      </c>
      <c r="K875" t="s">
        <v>25</v>
      </c>
      <c r="L875">
        <v>139</v>
      </c>
      <c r="M875">
        <v>50.68</v>
      </c>
      <c r="N875">
        <v>22.9</v>
      </c>
      <c r="O875" t="s">
        <v>25</v>
      </c>
      <c r="P875" t="s">
        <v>21</v>
      </c>
      <c r="Q875" t="s">
        <v>20</v>
      </c>
      <c r="R875" t="str">
        <f>HYPERLINK("https://cfpub.epa.gov/ecotox/explore.cfm?ncbi=6183","Explore in ECOTOX")</f>
        <v>Explore in ECOTOX</v>
      </c>
    </row>
    <row r="876" spans="1:18" x14ac:dyDescent="0.25">
      <c r="A876">
        <v>6</v>
      </c>
      <c r="B876" t="str">
        <f>HYPERLINK("http://www.ncbi.nlm.nih.gov/protein/XP_026830156.1","XP_026830156.1")</f>
        <v>XP_026830156.1</v>
      </c>
      <c r="C876">
        <v>53814</v>
      </c>
      <c r="D876" t="str">
        <f>HYPERLINK("http://www.ncbi.nlm.nih.gov/Taxonomy/Browser/wwwtax.cgi?mode=Info&amp;id=2015173&amp;lvl=3&amp;lin=f&amp;keep=1&amp;srchmode=1&amp;unlock","2015173")</f>
        <v>2015173</v>
      </c>
      <c r="E876" t="s">
        <v>698</v>
      </c>
      <c r="F876" t="s">
        <v>698</v>
      </c>
      <c r="G876" t="str">
        <f>HYPERLINK("http://www.ncbi.nlm.nih.gov/Taxonomy/Browser/wwwtax.cgi?mode=Info&amp;id=2015173&amp;lvl=3&amp;lin=f&amp;keep=1&amp;srchmode=1&amp;unlock","Ooceraea biroi")</f>
        <v>Ooceraea biroi</v>
      </c>
      <c r="H876" t="s">
        <v>813</v>
      </c>
      <c r="I876" t="str">
        <f>HYPERLINK("http://www.ncbi.nlm.nih.gov/protein/XP_026830156.1","sodium/calcium exchanger regulatory protein 1 isoform X2")</f>
        <v>sodium/calcium exchanger regulatory protein 1 isoform X2</v>
      </c>
      <c r="J876">
        <v>57.77</v>
      </c>
      <c r="K876" t="s">
        <v>25</v>
      </c>
      <c r="L876">
        <v>139</v>
      </c>
      <c r="M876">
        <v>50.68</v>
      </c>
      <c r="N876">
        <v>22.9</v>
      </c>
      <c r="O876" t="s">
        <v>25</v>
      </c>
      <c r="P876" t="s">
        <v>21</v>
      </c>
      <c r="Q876" t="s">
        <v>20</v>
      </c>
      <c r="R876" t="str">
        <f>HYPERLINK("https://cfpub.epa.gov/ecotox/explore.cfm?ncbi=2015173","Explore in ECOTOX")</f>
        <v>Explore in ECOTOX</v>
      </c>
    </row>
    <row r="877" spans="1:18" x14ac:dyDescent="0.25">
      <c r="A877">
        <v>6</v>
      </c>
      <c r="B877" t="str">
        <f>HYPERLINK("http://www.ncbi.nlm.nih.gov/protein/CAD7411157.1","CAD7411157.1")</f>
        <v>CAD7411157.1</v>
      </c>
      <c r="C877">
        <v>14355</v>
      </c>
      <c r="D877" t="str">
        <f>HYPERLINK("http://www.ncbi.nlm.nih.gov/Taxonomy/Browser/wwwtax.cgi?mode=Info&amp;id=61476&amp;lvl=3&amp;lin=f&amp;keep=1&amp;srchmode=1&amp;unlock","61476")</f>
        <v>61476</v>
      </c>
      <c r="E877" t="s">
        <v>698</v>
      </c>
      <c r="F877" t="s">
        <v>698</v>
      </c>
      <c r="G877" t="str">
        <f>HYPERLINK("http://www.ncbi.nlm.nih.gov/Taxonomy/Browser/wwwtax.cgi?mode=Info&amp;id=61476&amp;lvl=3&amp;lin=f&amp;keep=1&amp;srchmode=1&amp;unlock","Timema cristinae")</f>
        <v>Timema cristinae</v>
      </c>
      <c r="H877" t="s">
        <v>728</v>
      </c>
      <c r="I877" t="str">
        <f>HYPERLINK("http://www.ncbi.nlm.nih.gov/protein/CAD7411157.1","unnamed protein product")</f>
        <v>unnamed protein product</v>
      </c>
      <c r="J877">
        <v>57.77</v>
      </c>
      <c r="K877" t="s">
        <v>25</v>
      </c>
      <c r="L877">
        <v>139</v>
      </c>
      <c r="M877">
        <v>50.68</v>
      </c>
      <c r="N877">
        <v>22.9</v>
      </c>
      <c r="O877" t="s">
        <v>25</v>
      </c>
      <c r="P877" t="s">
        <v>21</v>
      </c>
      <c r="Q877" t="s">
        <v>20</v>
      </c>
      <c r="R877" t="str">
        <f>HYPERLINK("https://cfpub.epa.gov/ecotox/explore.cfm?ncbi=61476","Explore in ECOTOX")</f>
        <v>Explore in ECOTOX</v>
      </c>
    </row>
    <row r="878" spans="1:18" x14ac:dyDescent="0.25">
      <c r="A878">
        <v>6</v>
      </c>
      <c r="B878" t="str">
        <f>HYPERLINK("http://www.ncbi.nlm.nih.gov/protein/KRX79502.1","KRX79502.1")</f>
        <v>KRX79502.1</v>
      </c>
      <c r="C878">
        <v>19492</v>
      </c>
      <c r="D878" t="str">
        <f>HYPERLINK("http://www.ncbi.nlm.nih.gov/Taxonomy/Browser/wwwtax.cgi?mode=Info&amp;id=92179&amp;lvl=3&amp;lin=f&amp;keep=1&amp;srchmode=1&amp;unlock","92179")</f>
        <v>92179</v>
      </c>
      <c r="E878" t="s">
        <v>802</v>
      </c>
      <c r="F878" t="s">
        <v>802</v>
      </c>
      <c r="G878" t="str">
        <f>HYPERLINK("http://www.ncbi.nlm.nih.gov/Taxonomy/Browser/wwwtax.cgi?mode=Info&amp;id=92179&amp;lvl=3&amp;lin=f&amp;keep=1&amp;srchmode=1&amp;unlock","Trichinella sp. T6")</f>
        <v>Trichinella sp. T6</v>
      </c>
      <c r="H878" t="s">
        <v>803</v>
      </c>
      <c r="I878" t="str">
        <f>HYPERLINK("http://www.ncbi.nlm.nih.gov/protein/KRX79502.1","Fatty acid-binding -like protein 6")</f>
        <v>Fatty acid-binding -like protein 6</v>
      </c>
      <c r="J878">
        <v>57.77</v>
      </c>
      <c r="K878" t="s">
        <v>25</v>
      </c>
      <c r="L878">
        <v>139</v>
      </c>
      <c r="M878">
        <v>50.68</v>
      </c>
      <c r="N878">
        <v>22.9</v>
      </c>
      <c r="O878" t="s">
        <v>25</v>
      </c>
      <c r="P878" t="s">
        <v>21</v>
      </c>
      <c r="Q878" t="s">
        <v>20</v>
      </c>
      <c r="R878" t="str">
        <f>HYPERLINK("https://cfpub.epa.gov/ecotox/explore.cfm?ncbi=92179","Explore in ECOTOX")</f>
        <v>Explore in ECOTOX</v>
      </c>
    </row>
    <row r="879" spans="1:18" x14ac:dyDescent="0.25">
      <c r="A879">
        <v>6</v>
      </c>
      <c r="B879" t="str">
        <f>HYPERLINK("http://www.ncbi.nlm.nih.gov/protein/KRZ56887.1","KRZ56887.1")</f>
        <v>KRZ56887.1</v>
      </c>
      <c r="C879">
        <v>27811</v>
      </c>
      <c r="D879" t="str">
        <f>HYPERLINK("http://www.ncbi.nlm.nih.gov/Taxonomy/Browser/wwwtax.cgi?mode=Info&amp;id=6335&amp;lvl=3&amp;lin=f&amp;keep=1&amp;srchmode=1&amp;unlock","6335")</f>
        <v>6335</v>
      </c>
      <c r="E879" t="s">
        <v>802</v>
      </c>
      <c r="F879" t="s">
        <v>802</v>
      </c>
      <c r="G879" t="str">
        <f>HYPERLINK("http://www.ncbi.nlm.nih.gov/Taxonomy/Browser/wwwtax.cgi?mode=Info&amp;id=6335&amp;lvl=3&amp;lin=f&amp;keep=1&amp;srchmode=1&amp;unlock","Trichinella nativa")</f>
        <v>Trichinella nativa</v>
      </c>
      <c r="H879" t="s">
        <v>803</v>
      </c>
      <c r="I879" t="str">
        <f>HYPERLINK("http://www.ncbi.nlm.nih.gov/protein/KRZ56887.1","Fatty acid-binding -like protein 6")</f>
        <v>Fatty acid-binding -like protein 6</v>
      </c>
      <c r="J879">
        <v>57.77</v>
      </c>
      <c r="K879" t="s">
        <v>25</v>
      </c>
      <c r="L879">
        <v>139</v>
      </c>
      <c r="M879">
        <v>50.68</v>
      </c>
      <c r="N879">
        <v>22.9</v>
      </c>
      <c r="O879" t="s">
        <v>25</v>
      </c>
      <c r="P879" t="s">
        <v>21</v>
      </c>
      <c r="Q879" t="s">
        <v>20</v>
      </c>
      <c r="R879" t="str">
        <f>HYPERLINK("https://cfpub.epa.gov/ecotox/explore.cfm?ncbi=6335","Explore in ECOTOX")</f>
        <v>Explore in ECOTOX</v>
      </c>
    </row>
    <row r="880" spans="1:18" x14ac:dyDescent="0.25">
      <c r="A880">
        <v>6</v>
      </c>
      <c r="B880" t="str">
        <f>HYPERLINK("http://www.ncbi.nlm.nih.gov/protein/AXY94703.1","AXY94703.1")</f>
        <v>AXY94703.1</v>
      </c>
      <c r="C880">
        <v>229</v>
      </c>
      <c r="D880" t="str">
        <f>HYPERLINK("http://www.ncbi.nlm.nih.gov/Taxonomy/Browser/wwwtax.cgi?mode=Info&amp;id=69819&amp;lvl=3&amp;lin=f&amp;keep=1&amp;srchmode=1&amp;unlock","69819")</f>
        <v>69819</v>
      </c>
      <c r="E880" t="s">
        <v>698</v>
      </c>
      <c r="F880" t="s">
        <v>698</v>
      </c>
      <c r="G880" t="str">
        <f>HYPERLINK("http://www.ncbi.nlm.nih.gov/Taxonomy/Browser/wwwtax.cgi?mode=Info&amp;id=69819&amp;lvl=3&amp;lin=f&amp;keep=1&amp;srchmode=1&amp;unlock","Habrobracon hebetor")</f>
        <v>Habrobracon hebetor</v>
      </c>
      <c r="H880" t="s">
        <v>755</v>
      </c>
      <c r="I880" t="str">
        <f>HYPERLINK("http://www.ncbi.nlm.nih.gov/protein/AXY94703.1","FABP")</f>
        <v>FABP</v>
      </c>
      <c r="J880">
        <v>57.77</v>
      </c>
      <c r="K880" t="s">
        <v>25</v>
      </c>
      <c r="L880">
        <v>139</v>
      </c>
      <c r="M880">
        <v>50.68</v>
      </c>
      <c r="N880">
        <v>22.9</v>
      </c>
      <c r="O880" t="s">
        <v>25</v>
      </c>
      <c r="P880" t="s">
        <v>21</v>
      </c>
      <c r="Q880" t="s">
        <v>20</v>
      </c>
      <c r="R880" t="str">
        <f>HYPERLINK("https://cfpub.epa.gov/ecotox/explore.cfm?ncbi=69819","Explore in ECOTOX")</f>
        <v>Explore in ECOTOX</v>
      </c>
    </row>
    <row r="881" spans="1:18" x14ac:dyDescent="0.25">
      <c r="A881">
        <v>6</v>
      </c>
      <c r="B881" t="str">
        <f>HYPERLINK("http://www.ncbi.nlm.nih.gov/protein/TMW50136.1","TMW50136.1")</f>
        <v>TMW50136.1</v>
      </c>
      <c r="C881">
        <v>15895</v>
      </c>
      <c r="D881" t="str">
        <f>HYPERLINK("http://www.ncbi.nlm.nih.gov/Taxonomy/Browser/wwwtax.cgi?mode=Info&amp;id=7385&amp;lvl=3&amp;lin=f&amp;keep=1&amp;srchmode=1&amp;unlock","7385")</f>
        <v>7385</v>
      </c>
      <c r="E881" t="s">
        <v>698</v>
      </c>
      <c r="F881" t="s">
        <v>698</v>
      </c>
      <c r="G881" t="str">
        <f>HYPERLINK("http://www.ncbi.nlm.nih.gov/Taxonomy/Browser/wwwtax.cgi?mode=Info&amp;id=7385&amp;lvl=3&amp;lin=f&amp;keep=1&amp;srchmode=1&amp;unlock","Sarcophaga bullata")</f>
        <v>Sarcophaga bullata</v>
      </c>
      <c r="H881" t="s">
        <v>814</v>
      </c>
      <c r="I881" t="str">
        <f>HYPERLINK("http://www.ncbi.nlm.nih.gov/protein/TMW50136.1","hypothetical protein DOY81_004761")</f>
        <v>hypothetical protein DOY81_004761</v>
      </c>
      <c r="J881">
        <v>57.77</v>
      </c>
      <c r="K881" t="s">
        <v>25</v>
      </c>
      <c r="L881">
        <v>139</v>
      </c>
      <c r="M881">
        <v>50.68</v>
      </c>
      <c r="N881">
        <v>22.9</v>
      </c>
      <c r="O881" t="s">
        <v>25</v>
      </c>
      <c r="P881" t="s">
        <v>21</v>
      </c>
      <c r="Q881" t="s">
        <v>20</v>
      </c>
      <c r="R881" t="str">
        <f>HYPERLINK("https://cfpub.epa.gov/ecotox/explore.cfm?ncbi=7385","Explore in ECOTOX")</f>
        <v>Explore in ECOTOX</v>
      </c>
    </row>
    <row r="882" spans="1:18" x14ac:dyDescent="0.25">
      <c r="A882">
        <v>6</v>
      </c>
      <c r="B882" t="str">
        <f>HYPERLINK("http://www.ncbi.nlm.nih.gov/protein/XP_011140013.1","XP_011140013.1")</f>
        <v>XP_011140013.1</v>
      </c>
      <c r="C882">
        <v>41871</v>
      </c>
      <c r="D882" t="str">
        <f>HYPERLINK("http://www.ncbi.nlm.nih.gov/Taxonomy/Browser/wwwtax.cgi?mode=Info&amp;id=610380&amp;lvl=3&amp;lin=f&amp;keep=1&amp;srchmode=1&amp;unlock","610380")</f>
        <v>610380</v>
      </c>
      <c r="E882" t="s">
        <v>698</v>
      </c>
      <c r="F882" t="s">
        <v>698</v>
      </c>
      <c r="G882" t="str">
        <f>HYPERLINK("http://www.ncbi.nlm.nih.gov/Taxonomy/Browser/wwwtax.cgi?mode=Info&amp;id=610380&amp;lvl=3&amp;lin=f&amp;keep=1&amp;srchmode=1&amp;unlock","Harpegnathos saltator")</f>
        <v>Harpegnathos saltator</v>
      </c>
      <c r="H882" t="s">
        <v>815</v>
      </c>
      <c r="I882" t="str">
        <f>HYPERLINK("http://www.ncbi.nlm.nih.gov/protein/XP_011140013.1","myelin P2 protein isoform X2")</f>
        <v>myelin P2 protein isoform X2</v>
      </c>
      <c r="J882">
        <v>57.77</v>
      </c>
      <c r="K882" t="s">
        <v>25</v>
      </c>
      <c r="L882">
        <v>139</v>
      </c>
      <c r="M882">
        <v>50.68</v>
      </c>
      <c r="N882">
        <v>22.9</v>
      </c>
      <c r="O882" t="s">
        <v>25</v>
      </c>
      <c r="P882" t="s">
        <v>21</v>
      </c>
      <c r="Q882" t="s">
        <v>20</v>
      </c>
      <c r="R882" t="str">
        <f>HYPERLINK("https://cfpub.epa.gov/ecotox/explore.cfm?ncbi=610380","Explore in ECOTOX")</f>
        <v>Explore in ECOTOX</v>
      </c>
    </row>
    <row r="883" spans="1:18" x14ac:dyDescent="0.25">
      <c r="A883">
        <v>6</v>
      </c>
      <c r="B883" t="str">
        <f>HYPERLINK("http://www.ncbi.nlm.nih.gov/protein/CAD7426561.1","CAD7426561.1")</f>
        <v>CAD7426561.1</v>
      </c>
      <c r="C883">
        <v>13140</v>
      </c>
      <c r="D883" t="str">
        <f>HYPERLINK("http://www.ncbi.nlm.nih.gov/Taxonomy/Browser/wwwtax.cgi?mode=Info&amp;id=170555&amp;lvl=3&amp;lin=f&amp;keep=1&amp;srchmode=1&amp;unlock","170555")</f>
        <v>170555</v>
      </c>
      <c r="E883" t="s">
        <v>698</v>
      </c>
      <c r="F883" t="s">
        <v>698</v>
      </c>
      <c r="G883" t="str">
        <f>HYPERLINK("http://www.ncbi.nlm.nih.gov/Taxonomy/Browser/wwwtax.cgi?mode=Info&amp;id=170555&amp;lvl=3&amp;lin=f&amp;keep=1&amp;srchmode=1&amp;unlock","Timema monikensis")</f>
        <v>Timema monikensis</v>
      </c>
      <c r="H883" t="s">
        <v>728</v>
      </c>
      <c r="I883" t="str">
        <f>HYPERLINK("http://www.ncbi.nlm.nih.gov/protein/CAD7426561.1","unnamed protein product")</f>
        <v>unnamed protein product</v>
      </c>
      <c r="J883">
        <v>57.77</v>
      </c>
      <c r="K883" t="s">
        <v>25</v>
      </c>
      <c r="L883">
        <v>139</v>
      </c>
      <c r="M883">
        <v>50.68</v>
      </c>
      <c r="N883">
        <v>22.9</v>
      </c>
      <c r="O883" t="s">
        <v>25</v>
      </c>
      <c r="P883" t="s">
        <v>21</v>
      </c>
      <c r="Q883" t="s">
        <v>20</v>
      </c>
      <c r="R883" t="str">
        <f>HYPERLINK("https://cfpub.epa.gov/ecotox/explore.cfm?ncbi=170555","Explore in ECOTOX")</f>
        <v>Explore in ECOTOX</v>
      </c>
    </row>
    <row r="884" spans="1:18" x14ac:dyDescent="0.25">
      <c r="A884">
        <v>6</v>
      </c>
      <c r="B884" t="str">
        <f>HYPERLINK("http://www.ncbi.nlm.nih.gov/protein/XP_037071642.1","XP_037071642.1")</f>
        <v>XP_037071642.1</v>
      </c>
      <c r="C884">
        <v>27127</v>
      </c>
      <c r="D884" t="str">
        <f>HYPERLINK("http://www.ncbi.nlm.nih.gov/Taxonomy/Browser/wwwtax.cgi?mode=Info&amp;id=41117&amp;lvl=3&amp;lin=f&amp;keep=1&amp;srchmode=1&amp;unlock","41117")</f>
        <v>41117</v>
      </c>
      <c r="E884" t="s">
        <v>760</v>
      </c>
      <c r="F884" t="s">
        <v>760</v>
      </c>
      <c r="G884" t="str">
        <f>HYPERLINK("http://www.ncbi.nlm.nih.gov/Taxonomy/Browser/wwwtax.cgi?mode=Info&amp;id=41117&amp;lvl=3&amp;lin=f&amp;keep=1&amp;srchmode=1&amp;unlock","Pollicipes pollicipes")</f>
        <v>Pollicipes pollicipes</v>
      </c>
      <c r="H884" t="s">
        <v>816</v>
      </c>
      <c r="I884" t="str">
        <f>HYPERLINK("http://www.ncbi.nlm.nih.gov/protein/XP_037071642.1","sodium/calcium exchanger regulatory protein 1-like isoform X1")</f>
        <v>sodium/calcium exchanger regulatory protein 1-like isoform X1</v>
      </c>
      <c r="J884">
        <v>57.38</v>
      </c>
      <c r="K884" t="s">
        <v>25</v>
      </c>
      <c r="L884">
        <v>139</v>
      </c>
      <c r="M884">
        <v>50.68</v>
      </c>
      <c r="N884">
        <v>22.74</v>
      </c>
      <c r="O884" t="s">
        <v>25</v>
      </c>
      <c r="P884" t="s">
        <v>21</v>
      </c>
      <c r="Q884" t="s">
        <v>20</v>
      </c>
      <c r="R884" t="str">
        <f>HYPERLINK("https://cfpub.epa.gov/ecotox/explore.cfm?ncbi=41117","Explore in ECOTOX")</f>
        <v>Explore in ECOTOX</v>
      </c>
    </row>
    <row r="885" spans="1:18" x14ac:dyDescent="0.25">
      <c r="A885">
        <v>6</v>
      </c>
      <c r="B885" t="str">
        <f>HYPERLINK("http://www.ncbi.nlm.nih.gov/protein/CBY06784.1","CBY06784.1")</f>
        <v>CBY06784.1</v>
      </c>
      <c r="C885">
        <v>31304</v>
      </c>
      <c r="D885" t="str">
        <f>HYPERLINK("http://www.ncbi.nlm.nih.gov/Taxonomy/Browser/wwwtax.cgi?mode=Info&amp;id=34765&amp;lvl=3&amp;lin=f&amp;keep=1&amp;srchmode=1&amp;unlock","34765")</f>
        <v>34765</v>
      </c>
      <c r="E885" t="s">
        <v>817</v>
      </c>
      <c r="F885" t="s">
        <v>817</v>
      </c>
      <c r="G885" t="str">
        <f>HYPERLINK("http://www.ncbi.nlm.nih.gov/Taxonomy/Browser/wwwtax.cgi?mode=Info&amp;id=34765&amp;lvl=3&amp;lin=f&amp;keep=1&amp;srchmode=1&amp;unlock","Oikopleura dioica")</f>
        <v>Oikopleura dioica</v>
      </c>
      <c r="H885" t="s">
        <v>818</v>
      </c>
      <c r="I885" t="str">
        <f>HYPERLINK("http://www.ncbi.nlm.nih.gov/protein/CBY06784.1","unnamed protein product")</f>
        <v>unnamed protein product</v>
      </c>
      <c r="J885">
        <v>57.38</v>
      </c>
      <c r="K885" t="s">
        <v>25</v>
      </c>
      <c r="L885">
        <v>139</v>
      </c>
      <c r="M885">
        <v>50.68</v>
      </c>
      <c r="N885">
        <v>22.74</v>
      </c>
      <c r="O885" t="s">
        <v>25</v>
      </c>
      <c r="P885" t="s">
        <v>21</v>
      </c>
      <c r="Q885" t="s">
        <v>20</v>
      </c>
      <c r="R885" t="str">
        <f>HYPERLINK("https://cfpub.epa.gov/ecotox/explore.cfm?ncbi=34765","Explore in ECOTOX")</f>
        <v>Explore in ECOTOX</v>
      </c>
    </row>
    <row r="886" spans="1:18" x14ac:dyDescent="0.25">
      <c r="A886">
        <v>6</v>
      </c>
      <c r="B886" t="str">
        <f>HYPERLINK("http://www.ncbi.nlm.nih.gov/protein/XP_032664069.1","XP_032664069.1")</f>
        <v>XP_032664069.1</v>
      </c>
      <c r="C886">
        <v>29195</v>
      </c>
      <c r="D886" t="str">
        <f>HYPERLINK("http://www.ncbi.nlm.nih.gov/Taxonomy/Browser/wwwtax.cgi?mode=Info&amp;id=486640&amp;lvl=3&amp;lin=f&amp;keep=1&amp;srchmode=1&amp;unlock","486640")</f>
        <v>486640</v>
      </c>
      <c r="E886" t="s">
        <v>698</v>
      </c>
      <c r="F886" t="s">
        <v>698</v>
      </c>
      <c r="G886" t="str">
        <f>HYPERLINK("http://www.ncbi.nlm.nih.gov/Taxonomy/Browser/wwwtax.cgi?mode=Info&amp;id=486640&amp;lvl=3&amp;lin=f&amp;keep=1&amp;srchmode=1&amp;unlock","Odontomachus brunneus")</f>
        <v>Odontomachus brunneus</v>
      </c>
      <c r="H886" t="s">
        <v>755</v>
      </c>
      <c r="I886" t="str">
        <f>HYPERLINK("http://www.ncbi.nlm.nih.gov/protein/XP_032664069.1","sodium/calcium exchanger regulatory protein 1 isoform X1")</f>
        <v>sodium/calcium exchanger regulatory protein 1 isoform X1</v>
      </c>
      <c r="J886">
        <v>57.38</v>
      </c>
      <c r="K886" t="s">
        <v>25</v>
      </c>
      <c r="L886">
        <v>139</v>
      </c>
      <c r="M886">
        <v>50.68</v>
      </c>
      <c r="N886">
        <v>22.74</v>
      </c>
      <c r="O886" t="s">
        <v>25</v>
      </c>
      <c r="P886" t="s">
        <v>21</v>
      </c>
      <c r="Q886" t="s">
        <v>20</v>
      </c>
      <c r="R886" t="str">
        <f>HYPERLINK("https://cfpub.epa.gov/ecotox/explore.cfm?ncbi=486640","Explore in ECOTOX")</f>
        <v>Explore in ECOTOX</v>
      </c>
    </row>
    <row r="887" spans="1:18" x14ac:dyDescent="0.25">
      <c r="A887">
        <v>6</v>
      </c>
      <c r="B887" t="str">
        <f>HYPERLINK("http://www.ncbi.nlm.nih.gov/protein/KAF7396835.1","KAF7396835.1")</f>
        <v>KAF7396835.1</v>
      </c>
      <c r="C887">
        <v>18619</v>
      </c>
      <c r="D887" t="str">
        <f>HYPERLINK("http://www.ncbi.nlm.nih.gov/Taxonomy/Browser/wwwtax.cgi?mode=Info&amp;id=30213&amp;lvl=3&amp;lin=f&amp;keep=1&amp;srchmode=1&amp;unlock","30213")</f>
        <v>30213</v>
      </c>
      <c r="E887" t="s">
        <v>698</v>
      </c>
      <c r="F887" t="s">
        <v>698</v>
      </c>
      <c r="G887" t="str">
        <f>HYPERLINK("http://www.ncbi.nlm.nih.gov/Taxonomy/Browser/wwwtax.cgi?mode=Info&amp;id=30213&amp;lvl=3&amp;lin=f&amp;keep=1&amp;srchmode=1&amp;unlock","Vespula pensylvanica")</f>
        <v>Vespula pensylvanica</v>
      </c>
      <c r="H887" t="s">
        <v>819</v>
      </c>
      <c r="I887" t="str">
        <f>HYPERLINK("http://www.ncbi.nlm.nih.gov/protein/KAF7396835.1","hypothetical protein")</f>
        <v>hypothetical protein</v>
      </c>
      <c r="J887">
        <v>57.38</v>
      </c>
      <c r="K887" t="s">
        <v>25</v>
      </c>
      <c r="L887">
        <v>139</v>
      </c>
      <c r="M887">
        <v>50.68</v>
      </c>
      <c r="N887">
        <v>22.74</v>
      </c>
      <c r="O887" t="s">
        <v>25</v>
      </c>
      <c r="P887" t="s">
        <v>21</v>
      </c>
      <c r="Q887" t="s">
        <v>20</v>
      </c>
      <c r="R887" t="str">
        <f>HYPERLINK("https://cfpub.epa.gov/ecotox/explore.cfm?ncbi=30213","Explore in ECOTOX")</f>
        <v>Explore in ECOTOX</v>
      </c>
    </row>
    <row r="888" spans="1:18" x14ac:dyDescent="0.25">
      <c r="A888">
        <v>6</v>
      </c>
      <c r="B888" t="str">
        <f>HYPERLINK("http://www.ncbi.nlm.nih.gov/protein/QEA69220.1","QEA69220.1")</f>
        <v>QEA69220.1</v>
      </c>
      <c r="C888">
        <v>176</v>
      </c>
      <c r="D888" t="str">
        <f>HYPERLINK("http://www.ncbi.nlm.nih.gov/Taxonomy/Browser/wwwtax.cgi?mode=Info&amp;id=392227&amp;lvl=3&amp;lin=f&amp;keep=1&amp;srchmode=1&amp;unlock","392227")</f>
        <v>392227</v>
      </c>
      <c r="E888" t="s">
        <v>742</v>
      </c>
      <c r="F888" t="s">
        <v>742</v>
      </c>
      <c r="G888" t="str">
        <f>HYPERLINK("http://www.ncbi.nlm.nih.gov/Taxonomy/Browser/wwwtax.cgi?mode=Info&amp;id=392227&amp;lvl=3&amp;lin=f&amp;keep=1&amp;srchmode=1&amp;unlock","Palaemon carinicauda")</f>
        <v>Palaemon carinicauda</v>
      </c>
      <c r="H888" t="s">
        <v>820</v>
      </c>
      <c r="I888" t="str">
        <f>HYPERLINK("http://www.ncbi.nlm.nih.gov/protein/QEA69220.1","lipocalin-like protein 4")</f>
        <v>lipocalin-like protein 4</v>
      </c>
      <c r="J888">
        <v>57.38</v>
      </c>
      <c r="K888" t="s">
        <v>25</v>
      </c>
      <c r="L888">
        <v>139</v>
      </c>
      <c r="M888">
        <v>50.68</v>
      </c>
      <c r="N888">
        <v>22.74</v>
      </c>
      <c r="O888" t="s">
        <v>25</v>
      </c>
      <c r="P888" t="s">
        <v>21</v>
      </c>
      <c r="Q888" t="s">
        <v>20</v>
      </c>
      <c r="R888" t="str">
        <f>HYPERLINK("https://cfpub.epa.gov/ecotox/explore.cfm?ncbi=392227","Explore in ECOTOX")</f>
        <v>Explore in ECOTOX</v>
      </c>
    </row>
    <row r="889" spans="1:18" x14ac:dyDescent="0.25">
      <c r="A889">
        <v>6</v>
      </c>
      <c r="B889" t="str">
        <f>HYPERLINK("http://www.ncbi.nlm.nih.gov/protein/XP_002000559.1","XP_002000559.1")</f>
        <v>XP_002000559.1</v>
      </c>
      <c r="C889">
        <v>42659</v>
      </c>
      <c r="D889" t="str">
        <f>HYPERLINK("http://www.ncbi.nlm.nih.gov/Taxonomy/Browser/wwwtax.cgi?mode=Info&amp;id=7230&amp;lvl=3&amp;lin=f&amp;keep=1&amp;srchmode=1&amp;unlock","7230")</f>
        <v>7230</v>
      </c>
      <c r="E889" t="s">
        <v>698</v>
      </c>
      <c r="F889" t="s">
        <v>698</v>
      </c>
      <c r="G889" t="str">
        <f>HYPERLINK("http://www.ncbi.nlm.nih.gov/Taxonomy/Browser/wwwtax.cgi?mode=Info&amp;id=7230&amp;lvl=3&amp;lin=f&amp;keep=1&amp;srchmode=1&amp;unlock","Drosophila mojavensis")</f>
        <v>Drosophila mojavensis</v>
      </c>
      <c r="H889" t="s">
        <v>753</v>
      </c>
      <c r="I889" t="str">
        <f>HYPERLINK("http://www.ncbi.nlm.nih.gov/protein/XP_002000559.1","fatty acid-binding protein, muscle")</f>
        <v>fatty acid-binding protein, muscle</v>
      </c>
      <c r="J889">
        <v>57</v>
      </c>
      <c r="K889" t="s">
        <v>25</v>
      </c>
      <c r="L889">
        <v>139</v>
      </c>
      <c r="M889">
        <v>50.68</v>
      </c>
      <c r="N889">
        <v>22.59</v>
      </c>
      <c r="O889" t="s">
        <v>25</v>
      </c>
      <c r="P889" t="s">
        <v>21</v>
      </c>
      <c r="Q889" t="s">
        <v>20</v>
      </c>
      <c r="R889" t="str">
        <f>HYPERLINK("https://cfpub.epa.gov/ecotox/explore.cfm?ncbi=7230","Explore in ECOTOX")</f>
        <v>Explore in ECOTOX</v>
      </c>
    </row>
    <row r="890" spans="1:18" x14ac:dyDescent="0.25">
      <c r="A890">
        <v>6</v>
      </c>
      <c r="B890" t="str">
        <f>HYPERLINK("http://www.ncbi.nlm.nih.gov/protein/XP_011055883.1","XP_011055883.1")</f>
        <v>XP_011055883.1</v>
      </c>
      <c r="C890">
        <v>34216</v>
      </c>
      <c r="D890" t="str">
        <f>HYPERLINK("http://www.ncbi.nlm.nih.gov/Taxonomy/Browser/wwwtax.cgi?mode=Info&amp;id=103372&amp;lvl=3&amp;lin=f&amp;keep=1&amp;srchmode=1&amp;unlock","103372")</f>
        <v>103372</v>
      </c>
      <c r="E890" t="s">
        <v>698</v>
      </c>
      <c r="F890" t="s">
        <v>698</v>
      </c>
      <c r="G890" t="str">
        <f>HYPERLINK("http://www.ncbi.nlm.nih.gov/Taxonomy/Browser/wwwtax.cgi?mode=Info&amp;id=103372&amp;lvl=3&amp;lin=f&amp;keep=1&amp;srchmode=1&amp;unlock","Acromyrmex echinatior")</f>
        <v>Acromyrmex echinatior</v>
      </c>
      <c r="H890" t="s">
        <v>821</v>
      </c>
      <c r="I890" t="str">
        <f>HYPERLINK("http://www.ncbi.nlm.nih.gov/protein/XP_011055883.1","PREDICTED: fatty acid-binding protein, muscle isoform X2")</f>
        <v>PREDICTED: fatty acid-binding protein, muscle isoform X2</v>
      </c>
      <c r="J890">
        <v>57</v>
      </c>
      <c r="K890" t="s">
        <v>25</v>
      </c>
      <c r="L890">
        <v>139</v>
      </c>
      <c r="M890">
        <v>50.68</v>
      </c>
      <c r="N890">
        <v>22.59</v>
      </c>
      <c r="O890" t="s">
        <v>25</v>
      </c>
      <c r="P890" t="s">
        <v>21</v>
      </c>
      <c r="Q890" t="s">
        <v>20</v>
      </c>
      <c r="R890" t="str">
        <f>HYPERLINK("https://cfpub.epa.gov/ecotox/explore.cfm?ncbi=103372","Explore in ECOTOX")</f>
        <v>Explore in ECOTOX</v>
      </c>
    </row>
    <row r="891" spans="1:18" x14ac:dyDescent="0.25">
      <c r="A891">
        <v>6</v>
      </c>
      <c r="B891" t="str">
        <f>HYPERLINK("http://www.ncbi.nlm.nih.gov/protein/ELT92677.1","ELT92677.1")</f>
        <v>ELT92677.1</v>
      </c>
      <c r="C891">
        <v>32041</v>
      </c>
      <c r="D891" t="str">
        <f>HYPERLINK("http://www.ncbi.nlm.nih.gov/Taxonomy/Browser/wwwtax.cgi?mode=Info&amp;id=283909&amp;lvl=3&amp;lin=f&amp;keep=1&amp;srchmode=1&amp;unlock","283909")</f>
        <v>283909</v>
      </c>
      <c r="E891" t="s">
        <v>822</v>
      </c>
      <c r="F891" t="s">
        <v>822</v>
      </c>
      <c r="G891" t="str">
        <f>HYPERLINK("http://www.ncbi.nlm.nih.gov/Taxonomy/Browser/wwwtax.cgi?mode=Info&amp;id=283909&amp;lvl=3&amp;lin=f&amp;keep=1&amp;srchmode=1&amp;unlock","Capitella teleta")</f>
        <v>Capitella teleta</v>
      </c>
      <c r="H891" t="s">
        <v>823</v>
      </c>
      <c r="I891" t="str">
        <f>HYPERLINK("http://www.ncbi.nlm.nih.gov/protein/ELT92677.1","hypothetical protein CAPTEDRAFT_164698")</f>
        <v>hypothetical protein CAPTEDRAFT_164698</v>
      </c>
      <c r="J891">
        <v>57</v>
      </c>
      <c r="K891" t="s">
        <v>25</v>
      </c>
      <c r="L891">
        <v>139</v>
      </c>
      <c r="M891">
        <v>50.68</v>
      </c>
      <c r="N891">
        <v>22.59</v>
      </c>
      <c r="O891" t="s">
        <v>25</v>
      </c>
      <c r="P891" t="s">
        <v>21</v>
      </c>
      <c r="Q891" t="s">
        <v>20</v>
      </c>
      <c r="R891" t="str">
        <f>HYPERLINK("https://cfpub.epa.gov/ecotox/explore.cfm?ncbi=283909","Explore in ECOTOX")</f>
        <v>Explore in ECOTOX</v>
      </c>
    </row>
    <row r="892" spans="1:18" x14ac:dyDescent="0.25">
      <c r="A892">
        <v>6</v>
      </c>
      <c r="B892" t="str">
        <f>HYPERLINK("http://www.ncbi.nlm.nih.gov/protein/XP_017968165.1","XP_017968165.1")</f>
        <v>XP_017968165.1</v>
      </c>
      <c r="C892">
        <v>35896</v>
      </c>
      <c r="D892" t="str">
        <f>HYPERLINK("http://www.ncbi.nlm.nih.gov/Taxonomy/Browser/wwwtax.cgi?mode=Info&amp;id=7232&amp;lvl=3&amp;lin=f&amp;keep=1&amp;srchmode=1&amp;unlock","7232")</f>
        <v>7232</v>
      </c>
      <c r="E892" t="s">
        <v>698</v>
      </c>
      <c r="F892" t="s">
        <v>698</v>
      </c>
      <c r="G892" t="str">
        <f>HYPERLINK("http://www.ncbi.nlm.nih.gov/Taxonomy/Browser/wwwtax.cgi?mode=Info&amp;id=7232&amp;lvl=3&amp;lin=f&amp;keep=1&amp;srchmode=1&amp;unlock","Drosophila navojoa")</f>
        <v>Drosophila navojoa</v>
      </c>
      <c r="H892" t="s">
        <v>753</v>
      </c>
      <c r="I892" t="str">
        <f>HYPERLINK("http://www.ncbi.nlm.nih.gov/protein/XP_017968165.1","fatty acid-binding protein, muscle")</f>
        <v>fatty acid-binding protein, muscle</v>
      </c>
      <c r="J892">
        <v>57</v>
      </c>
      <c r="K892" t="s">
        <v>25</v>
      </c>
      <c r="L892">
        <v>139</v>
      </c>
      <c r="M892">
        <v>50.68</v>
      </c>
      <c r="N892">
        <v>22.59</v>
      </c>
      <c r="O892" t="s">
        <v>25</v>
      </c>
      <c r="P892" t="s">
        <v>21</v>
      </c>
      <c r="Q892" t="s">
        <v>20</v>
      </c>
      <c r="R892" t="str">
        <f>HYPERLINK("https://cfpub.epa.gov/ecotox/explore.cfm?ncbi=7232","Explore in ECOTOX")</f>
        <v>Explore in ECOTOX</v>
      </c>
    </row>
    <row r="893" spans="1:18" x14ac:dyDescent="0.25">
      <c r="A893">
        <v>6</v>
      </c>
      <c r="B893" t="str">
        <f>HYPERLINK("http://www.ncbi.nlm.nih.gov/protein/XP_013184011.1","XP_013184011.1")</f>
        <v>XP_013184011.1</v>
      </c>
      <c r="C893">
        <v>18524</v>
      </c>
      <c r="D893" t="str">
        <f>HYPERLINK("http://www.ncbi.nlm.nih.gov/Taxonomy/Browser/wwwtax.cgi?mode=Info&amp;id=680683&amp;lvl=3&amp;lin=f&amp;keep=1&amp;srchmode=1&amp;unlock","680683")</f>
        <v>680683</v>
      </c>
      <c r="E893" t="s">
        <v>698</v>
      </c>
      <c r="F893" t="s">
        <v>698</v>
      </c>
      <c r="G893" t="str">
        <f>HYPERLINK("http://www.ncbi.nlm.nih.gov/Taxonomy/Browser/wwwtax.cgi?mode=Info&amp;id=680683&amp;lvl=3&amp;lin=f&amp;keep=1&amp;srchmode=1&amp;unlock","Amyelois transitella")</f>
        <v>Amyelois transitella</v>
      </c>
      <c r="H893" t="s">
        <v>824</v>
      </c>
      <c r="I893" t="str">
        <f>HYPERLINK("http://www.ncbi.nlm.nih.gov/protein/XP_013184011.1","PREDICTED: uncharacterized protein LOC106129866")</f>
        <v>PREDICTED: uncharacterized protein LOC106129866</v>
      </c>
      <c r="J893">
        <v>57</v>
      </c>
      <c r="K893" t="s">
        <v>25</v>
      </c>
      <c r="L893">
        <v>139</v>
      </c>
      <c r="M893">
        <v>50.68</v>
      </c>
      <c r="N893">
        <v>22.59</v>
      </c>
      <c r="O893" t="s">
        <v>25</v>
      </c>
      <c r="P893" t="s">
        <v>21</v>
      </c>
      <c r="Q893" t="s">
        <v>20</v>
      </c>
      <c r="R893" t="str">
        <f>HYPERLINK("https://cfpub.epa.gov/ecotox/explore.cfm?ncbi=680683","Explore in ECOTOX")</f>
        <v>Explore in ECOTOX</v>
      </c>
    </row>
    <row r="894" spans="1:18" x14ac:dyDescent="0.25">
      <c r="A894">
        <v>6</v>
      </c>
      <c r="B894" t="str">
        <f>HYPERLINK("http://www.ncbi.nlm.nih.gov/protein/XP_017863145.1","XP_017863145.1")</f>
        <v>XP_017863145.1</v>
      </c>
      <c r="C894">
        <v>20062</v>
      </c>
      <c r="D894" t="str">
        <f>HYPERLINK("http://www.ncbi.nlm.nih.gov/Taxonomy/Browser/wwwtax.cgi?mode=Info&amp;id=7263&amp;lvl=3&amp;lin=f&amp;keep=1&amp;srchmode=1&amp;unlock","7263")</f>
        <v>7263</v>
      </c>
      <c r="E894" t="s">
        <v>698</v>
      </c>
      <c r="F894" t="s">
        <v>698</v>
      </c>
      <c r="G894" t="str">
        <f>HYPERLINK("http://www.ncbi.nlm.nih.gov/Taxonomy/Browser/wwwtax.cgi?mode=Info&amp;id=7263&amp;lvl=3&amp;lin=f&amp;keep=1&amp;srchmode=1&amp;unlock","Drosophila arizonae")</f>
        <v>Drosophila arizonae</v>
      </c>
      <c r="H894" t="s">
        <v>753</v>
      </c>
      <c r="I894" t="str">
        <f>HYPERLINK("http://www.ncbi.nlm.nih.gov/protein/XP_017863145.1","PREDICTED: fatty acid-binding protein, muscle")</f>
        <v>PREDICTED: fatty acid-binding protein, muscle</v>
      </c>
      <c r="J894">
        <v>56.61</v>
      </c>
      <c r="K894" t="s">
        <v>25</v>
      </c>
      <c r="L894">
        <v>139</v>
      </c>
      <c r="M894">
        <v>50.68</v>
      </c>
      <c r="N894">
        <v>22.44</v>
      </c>
      <c r="O894" t="s">
        <v>25</v>
      </c>
      <c r="P894" t="s">
        <v>21</v>
      </c>
      <c r="Q894" t="s">
        <v>20</v>
      </c>
      <c r="R894" t="str">
        <f>HYPERLINK("https://cfpub.epa.gov/ecotox/explore.cfm?ncbi=7263","Explore in ECOTOX")</f>
        <v>Explore in ECOTOX</v>
      </c>
    </row>
    <row r="895" spans="1:18" x14ac:dyDescent="0.25">
      <c r="A895">
        <v>6</v>
      </c>
      <c r="B895" t="str">
        <f>HYPERLINK("http://www.ncbi.nlm.nih.gov/protein/XP_011497803.1","XP_011497803.1")</f>
        <v>XP_011497803.1</v>
      </c>
      <c r="C895">
        <v>12848</v>
      </c>
      <c r="D895" t="str">
        <f>HYPERLINK("http://www.ncbi.nlm.nih.gov/Taxonomy/Browser/wwwtax.cgi?mode=Info&amp;id=326594&amp;lvl=3&amp;lin=f&amp;keep=1&amp;srchmode=1&amp;unlock","326594")</f>
        <v>326594</v>
      </c>
      <c r="E895" t="s">
        <v>698</v>
      </c>
      <c r="F895" t="s">
        <v>698</v>
      </c>
      <c r="G895" t="str">
        <f>HYPERLINK("http://www.ncbi.nlm.nih.gov/Taxonomy/Browser/wwwtax.cgi?mode=Info&amp;id=326594&amp;lvl=3&amp;lin=f&amp;keep=1&amp;srchmode=1&amp;unlock","Ceratosolen solmsi marchali")</f>
        <v>Ceratosolen solmsi marchali</v>
      </c>
      <c r="H895" t="s">
        <v>825</v>
      </c>
      <c r="I895" t="str">
        <f>HYPERLINK("http://www.ncbi.nlm.nih.gov/protein/XP_011497803.1","PREDICTED: fatty acid-binding protein, muscle isoform X2")</f>
        <v>PREDICTED: fatty acid-binding protein, muscle isoform X2</v>
      </c>
      <c r="J895">
        <v>56.61</v>
      </c>
      <c r="K895" t="s">
        <v>25</v>
      </c>
      <c r="L895">
        <v>139</v>
      </c>
      <c r="M895">
        <v>50.68</v>
      </c>
      <c r="N895">
        <v>22.44</v>
      </c>
      <c r="O895" t="s">
        <v>25</v>
      </c>
      <c r="P895" t="s">
        <v>21</v>
      </c>
      <c r="Q895" t="s">
        <v>20</v>
      </c>
      <c r="R895" t="str">
        <f>HYPERLINK("https://cfpub.epa.gov/ecotox/explore.cfm?ncbi=326594","Explore in ECOTOX")</f>
        <v>Explore in ECOTOX</v>
      </c>
    </row>
    <row r="896" spans="1:18" x14ac:dyDescent="0.25">
      <c r="A896">
        <v>6</v>
      </c>
      <c r="B896" t="str">
        <f>HYPERLINK("http://www.ncbi.nlm.nih.gov/protein/PIK44656.1","PIK44656.1")</f>
        <v>PIK44656.1</v>
      </c>
      <c r="C896">
        <v>30827</v>
      </c>
      <c r="D896" t="str">
        <f>HYPERLINK("http://www.ncbi.nlm.nih.gov/Taxonomy/Browser/wwwtax.cgi?mode=Info&amp;id=307972&amp;lvl=3&amp;lin=f&amp;keep=1&amp;srchmode=1&amp;unlock","307972")</f>
        <v>307972</v>
      </c>
      <c r="E896" t="s">
        <v>826</v>
      </c>
      <c r="F896" t="s">
        <v>826</v>
      </c>
      <c r="G896" t="str">
        <f>HYPERLINK("http://www.ncbi.nlm.nih.gov/Taxonomy/Browser/wwwtax.cgi?mode=Info&amp;id=307972&amp;lvl=3&amp;lin=f&amp;keep=1&amp;srchmode=1&amp;unlock","Apostichopus japonicus")</f>
        <v>Apostichopus japonicus</v>
      </c>
      <c r="H896" t="s">
        <v>827</v>
      </c>
      <c r="I896" t="str">
        <f>HYPERLINK("http://www.ncbi.nlm.nih.gov/protein/PIK44656.1","putative cellular retinoic acid-binding protein 1-like")</f>
        <v>putative cellular retinoic acid-binding protein 1-like</v>
      </c>
      <c r="J896">
        <v>56.61</v>
      </c>
      <c r="K896" t="s">
        <v>25</v>
      </c>
      <c r="L896">
        <v>139</v>
      </c>
      <c r="M896">
        <v>50.68</v>
      </c>
      <c r="N896">
        <v>22.44</v>
      </c>
      <c r="O896" t="s">
        <v>25</v>
      </c>
      <c r="P896" t="s">
        <v>21</v>
      </c>
      <c r="Q896" t="s">
        <v>20</v>
      </c>
      <c r="R896" t="str">
        <f>HYPERLINK("https://cfpub.epa.gov/ecotox/explore.cfm?ncbi=307972","Explore in ECOTOX")</f>
        <v>Explore in ECOTOX</v>
      </c>
    </row>
    <row r="897" spans="1:18" x14ac:dyDescent="0.25">
      <c r="A897">
        <v>6</v>
      </c>
      <c r="B897" t="str">
        <f>HYPERLINK("http://www.ncbi.nlm.nih.gov/protein/ADP05225.1","ADP05225.1")</f>
        <v>ADP05225.1</v>
      </c>
      <c r="C897">
        <v>714</v>
      </c>
      <c r="D897" t="str">
        <f>HYPERLINK("http://www.ncbi.nlm.nih.gov/Taxonomy/Browser/wwwtax.cgi?mode=Info&amp;id=95602&amp;lvl=3&amp;lin=f&amp;keep=1&amp;srchmode=1&amp;unlock","95602")</f>
        <v>95602</v>
      </c>
      <c r="E897" t="s">
        <v>742</v>
      </c>
      <c r="F897" t="s">
        <v>742</v>
      </c>
      <c r="G897" t="str">
        <f>HYPERLINK("http://www.ncbi.nlm.nih.gov/Taxonomy/Browser/wwwtax.cgi?mode=Info&amp;id=95602&amp;lvl=3&amp;lin=f&amp;keep=1&amp;srchmode=1&amp;unlock","Eriocheir sinensis")</f>
        <v>Eriocheir sinensis</v>
      </c>
      <c r="H897" t="s">
        <v>828</v>
      </c>
      <c r="I897" t="str">
        <f>HYPERLINK("http://www.ncbi.nlm.nih.gov/protein/ADP05225.1","fatty acid-binding protein 1")</f>
        <v>fatty acid-binding protein 1</v>
      </c>
      <c r="J897">
        <v>56.61</v>
      </c>
      <c r="K897" t="s">
        <v>20</v>
      </c>
      <c r="L897">
        <v>139</v>
      </c>
      <c r="M897">
        <v>50.68</v>
      </c>
      <c r="N897">
        <v>22.44</v>
      </c>
      <c r="O897" t="s">
        <v>20</v>
      </c>
      <c r="P897" t="s">
        <v>21</v>
      </c>
      <c r="Q897" t="s">
        <v>20</v>
      </c>
      <c r="R897" t="str">
        <f>HYPERLINK("https://cfpub.epa.gov/ecotox/explore.cfm?ncbi=95602","Explore in ECOTOX")</f>
        <v>Explore in ECOTOX</v>
      </c>
    </row>
    <row r="898" spans="1:18" x14ac:dyDescent="0.25">
      <c r="A898">
        <v>6</v>
      </c>
      <c r="B898" t="str">
        <f>HYPERLINK("http://www.ncbi.nlm.nih.gov/protein/XP_025423289.1","XP_025423289.1")</f>
        <v>XP_025423289.1</v>
      </c>
      <c r="C898">
        <v>21321</v>
      </c>
      <c r="D898" t="str">
        <f>HYPERLINK("http://www.ncbi.nlm.nih.gov/Taxonomy/Browser/wwwtax.cgi?mode=Info&amp;id=143950&amp;lvl=3&amp;lin=f&amp;keep=1&amp;srchmode=1&amp;unlock","143950")</f>
        <v>143950</v>
      </c>
      <c r="E898" t="s">
        <v>698</v>
      </c>
      <c r="F898" t="s">
        <v>698</v>
      </c>
      <c r="G898" t="str">
        <f>HYPERLINK("http://www.ncbi.nlm.nih.gov/Taxonomy/Browser/wwwtax.cgi?mode=Info&amp;id=143950&amp;lvl=3&amp;lin=f&amp;keep=1&amp;srchmode=1&amp;unlock","Sipha flava")</f>
        <v>Sipha flava</v>
      </c>
      <c r="H898" t="s">
        <v>829</v>
      </c>
      <c r="I898" t="str">
        <f>HYPERLINK("http://www.ncbi.nlm.nih.gov/protein/XP_025423289.1","fatty acid-binding protein, muscle isoform X2")</f>
        <v>fatty acid-binding protein, muscle isoform X2</v>
      </c>
      <c r="J898">
        <v>56.61</v>
      </c>
      <c r="K898" t="s">
        <v>25</v>
      </c>
      <c r="L898">
        <v>139</v>
      </c>
      <c r="M898">
        <v>50.68</v>
      </c>
      <c r="N898">
        <v>22.44</v>
      </c>
      <c r="O898" t="s">
        <v>25</v>
      </c>
      <c r="P898" t="s">
        <v>21</v>
      </c>
      <c r="Q898" t="s">
        <v>20</v>
      </c>
      <c r="R898" t="str">
        <f>HYPERLINK("https://cfpub.epa.gov/ecotox/explore.cfm?ncbi=143950","Explore in ECOTOX")</f>
        <v>Explore in ECOTOX</v>
      </c>
    </row>
    <row r="899" spans="1:18" x14ac:dyDescent="0.25">
      <c r="A899">
        <v>6</v>
      </c>
      <c r="B899" t="str">
        <f>HYPERLINK("http://www.ncbi.nlm.nih.gov/protein/XP_035737417.1","XP_035737417.1")</f>
        <v>XP_035737417.1</v>
      </c>
      <c r="C899">
        <v>27298</v>
      </c>
      <c r="D899" t="str">
        <f>HYPERLINK("http://www.ncbi.nlm.nih.gov/Taxonomy/Browser/wwwtax.cgi?mode=Info&amp;id=7446&amp;lvl=3&amp;lin=f&amp;keep=1&amp;srchmode=1&amp;unlock","7446")</f>
        <v>7446</v>
      </c>
      <c r="E899" t="s">
        <v>698</v>
      </c>
      <c r="F899" t="s">
        <v>698</v>
      </c>
      <c r="G899" t="str">
        <f>HYPERLINK("http://www.ncbi.nlm.nih.gov/Taxonomy/Browser/wwwtax.cgi?mode=Info&amp;id=7446&amp;lvl=3&amp;lin=f&amp;keep=1&amp;srchmode=1&amp;unlock","Vespa mandarinia")</f>
        <v>Vespa mandarinia</v>
      </c>
      <c r="H899" t="s">
        <v>830</v>
      </c>
      <c r="I899" t="str">
        <f>HYPERLINK("http://www.ncbi.nlm.nih.gov/protein/XP_035737417.1","probable fatty acid-binding protein")</f>
        <v>probable fatty acid-binding protein</v>
      </c>
      <c r="J899">
        <v>56.61</v>
      </c>
      <c r="K899" t="s">
        <v>25</v>
      </c>
      <c r="L899">
        <v>139</v>
      </c>
      <c r="M899">
        <v>50.68</v>
      </c>
      <c r="N899">
        <v>22.44</v>
      </c>
      <c r="O899" t="s">
        <v>25</v>
      </c>
      <c r="P899" t="s">
        <v>21</v>
      </c>
      <c r="Q899" t="s">
        <v>20</v>
      </c>
      <c r="R899" t="str">
        <f>HYPERLINK("https://cfpub.epa.gov/ecotox/explore.cfm?ncbi=7446","Explore in ECOTOX")</f>
        <v>Explore in ECOTOX</v>
      </c>
    </row>
    <row r="900" spans="1:18" x14ac:dyDescent="0.25">
      <c r="A900">
        <v>6</v>
      </c>
      <c r="B900" t="str">
        <f>HYPERLINK("http://www.ncbi.nlm.nih.gov/protein/KAF8792709.1","KAF8792709.1")</f>
        <v>KAF8792709.1</v>
      </c>
      <c r="C900">
        <v>26463</v>
      </c>
      <c r="D900" t="str">
        <f>HYPERLINK("http://www.ncbi.nlm.nih.gov/Taxonomy/Browser/wwwtax.cgi?mode=Info&amp;id=94029&amp;lvl=3&amp;lin=f&amp;keep=1&amp;srchmode=1&amp;unlock","94029")</f>
        <v>94029</v>
      </c>
      <c r="E900" t="s">
        <v>700</v>
      </c>
      <c r="F900" t="s">
        <v>700</v>
      </c>
      <c r="G900" t="str">
        <f>HYPERLINK("http://www.ncbi.nlm.nih.gov/Taxonomy/Browser/wwwtax.cgi?mode=Info&amp;id=94029&amp;lvl=3&amp;lin=f&amp;keep=1&amp;srchmode=1&amp;unlock","Argiope bruennichi")</f>
        <v>Argiope bruennichi</v>
      </c>
      <c r="H900" t="s">
        <v>722</v>
      </c>
      <c r="I900" t="str">
        <f>HYPERLINK("http://www.ncbi.nlm.nih.gov/protein/KAF8792709.1","Myelin P2 protein like")</f>
        <v>Myelin P2 protein like</v>
      </c>
      <c r="J900">
        <v>56.23</v>
      </c>
      <c r="K900" t="s">
        <v>25</v>
      </c>
      <c r="L900">
        <v>139</v>
      </c>
      <c r="M900">
        <v>50.68</v>
      </c>
      <c r="N900">
        <v>22.29</v>
      </c>
      <c r="O900" t="s">
        <v>25</v>
      </c>
      <c r="P900" t="s">
        <v>21</v>
      </c>
      <c r="Q900" t="s">
        <v>20</v>
      </c>
      <c r="R900" t="str">
        <f>HYPERLINK("https://cfpub.epa.gov/ecotox/explore.cfm?ncbi=94029","Explore in ECOTOX")</f>
        <v>Explore in ECOTOX</v>
      </c>
    </row>
    <row r="901" spans="1:18" x14ac:dyDescent="0.25">
      <c r="A901">
        <v>6</v>
      </c>
      <c r="B901" t="str">
        <f>HYPERLINK("http://www.ncbi.nlm.nih.gov/protein/XP_018299925.1","XP_018299925.1")</f>
        <v>XP_018299925.1</v>
      </c>
      <c r="C901">
        <v>33332</v>
      </c>
      <c r="D901" t="str">
        <f>HYPERLINK("http://www.ncbi.nlm.nih.gov/Taxonomy/Browser/wwwtax.cgi?mode=Info&amp;id=64791&amp;lvl=3&amp;lin=f&amp;keep=1&amp;srchmode=1&amp;unlock","64791")</f>
        <v>64791</v>
      </c>
      <c r="E901" t="s">
        <v>698</v>
      </c>
      <c r="F901" t="s">
        <v>698</v>
      </c>
      <c r="G901" t="str">
        <f>HYPERLINK("http://www.ncbi.nlm.nih.gov/Taxonomy/Browser/wwwtax.cgi?mode=Info&amp;id=64791&amp;lvl=3&amp;lin=f&amp;keep=1&amp;srchmode=1&amp;unlock","Trachymyrmex zeteki")</f>
        <v>Trachymyrmex zeteki</v>
      </c>
      <c r="H901" t="s">
        <v>755</v>
      </c>
      <c r="I901" t="str">
        <f>HYPERLINK("http://www.ncbi.nlm.nih.gov/protein/XP_018299925.1","PREDICTED: fatty acid-binding protein, muscle isoform X2")</f>
        <v>PREDICTED: fatty acid-binding protein, muscle isoform X2</v>
      </c>
      <c r="J901">
        <v>56.23</v>
      </c>
      <c r="K901" t="s">
        <v>25</v>
      </c>
      <c r="L901">
        <v>139</v>
      </c>
      <c r="M901">
        <v>50.68</v>
      </c>
      <c r="N901">
        <v>22.29</v>
      </c>
      <c r="O901" t="s">
        <v>25</v>
      </c>
      <c r="P901" t="s">
        <v>21</v>
      </c>
      <c r="Q901" t="s">
        <v>20</v>
      </c>
      <c r="R901" t="str">
        <f>HYPERLINK("https://cfpub.epa.gov/ecotox/explore.cfm?ncbi=64791","Explore in ECOTOX")</f>
        <v>Explore in ECOTOX</v>
      </c>
    </row>
    <row r="902" spans="1:18" x14ac:dyDescent="0.25">
      <c r="A902">
        <v>6</v>
      </c>
      <c r="B902" t="str">
        <f>HYPERLINK("http://www.ncbi.nlm.nih.gov/protein/XP_034665580.1","XP_034665580.1")</f>
        <v>XP_034665580.1</v>
      </c>
      <c r="C902">
        <v>23553</v>
      </c>
      <c r="D902" t="str">
        <f>HYPERLINK("http://www.ncbi.nlm.nih.gov/Taxonomy/Browser/wwwtax.cgi?mode=Info&amp;id=7241&amp;lvl=3&amp;lin=f&amp;keep=1&amp;srchmode=1&amp;unlock","7241")</f>
        <v>7241</v>
      </c>
      <c r="E902" t="s">
        <v>698</v>
      </c>
      <c r="F902" t="s">
        <v>698</v>
      </c>
      <c r="G902" t="str">
        <f>HYPERLINK("http://www.ncbi.nlm.nih.gov/Taxonomy/Browser/wwwtax.cgi?mode=Info&amp;id=7241&amp;lvl=3&amp;lin=f&amp;keep=1&amp;srchmode=1&amp;unlock","Drosophila subobscura")</f>
        <v>Drosophila subobscura</v>
      </c>
      <c r="H902" t="s">
        <v>753</v>
      </c>
      <c r="I902" t="str">
        <f>HYPERLINK("http://www.ncbi.nlm.nih.gov/protein/XP_034665580.1","probable fatty acid-binding protein")</f>
        <v>probable fatty acid-binding protein</v>
      </c>
      <c r="J902">
        <v>56.23</v>
      </c>
      <c r="K902" t="s">
        <v>25</v>
      </c>
      <c r="L902">
        <v>139</v>
      </c>
      <c r="M902">
        <v>50.68</v>
      </c>
      <c r="N902">
        <v>22.29</v>
      </c>
      <c r="O902" t="s">
        <v>25</v>
      </c>
      <c r="P902" t="s">
        <v>21</v>
      </c>
      <c r="Q902" t="s">
        <v>20</v>
      </c>
      <c r="R902" t="str">
        <f>HYPERLINK("https://cfpub.epa.gov/ecotox/explore.cfm?ncbi=7241","Explore in ECOTOX")</f>
        <v>Explore in ECOTOX</v>
      </c>
    </row>
    <row r="903" spans="1:18" x14ac:dyDescent="0.25">
      <c r="A903">
        <v>6</v>
      </c>
      <c r="B903" t="str">
        <f>HYPERLINK("http://www.ncbi.nlm.nih.gov/protein/XP_023178427.1","XP_023178427.1")</f>
        <v>XP_023178427.1</v>
      </c>
      <c r="C903">
        <v>21591</v>
      </c>
      <c r="D903" t="str">
        <f>HYPERLINK("http://www.ncbi.nlm.nih.gov/Taxonomy/Browser/wwwtax.cgi?mode=Info&amp;id=7224&amp;lvl=3&amp;lin=f&amp;keep=1&amp;srchmode=1&amp;unlock","7224")</f>
        <v>7224</v>
      </c>
      <c r="E903" t="s">
        <v>698</v>
      </c>
      <c r="F903" t="s">
        <v>698</v>
      </c>
      <c r="G903" t="str">
        <f>HYPERLINK("http://www.ncbi.nlm.nih.gov/Taxonomy/Browser/wwwtax.cgi?mode=Info&amp;id=7224&amp;lvl=3&amp;lin=f&amp;keep=1&amp;srchmode=1&amp;unlock","Drosophila hydei")</f>
        <v>Drosophila hydei</v>
      </c>
      <c r="H903" t="s">
        <v>753</v>
      </c>
      <c r="I903" t="str">
        <f>HYPERLINK("http://www.ncbi.nlm.nih.gov/protein/XP_023178427.1","fatty acid-binding protein, muscle")</f>
        <v>fatty acid-binding protein, muscle</v>
      </c>
      <c r="J903">
        <v>56.23</v>
      </c>
      <c r="K903" t="s">
        <v>25</v>
      </c>
      <c r="L903">
        <v>139</v>
      </c>
      <c r="M903">
        <v>50.68</v>
      </c>
      <c r="N903">
        <v>22.29</v>
      </c>
      <c r="O903" t="s">
        <v>25</v>
      </c>
      <c r="P903" t="s">
        <v>21</v>
      </c>
      <c r="Q903" t="s">
        <v>20</v>
      </c>
      <c r="R903" t="str">
        <f>HYPERLINK("https://cfpub.epa.gov/ecotox/explore.cfm?ncbi=7224","Explore in ECOTOX")</f>
        <v>Explore in ECOTOX</v>
      </c>
    </row>
    <row r="904" spans="1:18" x14ac:dyDescent="0.25">
      <c r="A904">
        <v>6</v>
      </c>
      <c r="B904" t="str">
        <f>HYPERLINK("http://www.ncbi.nlm.nih.gov/protein/XP_017757062.1","XP_017757062.1")</f>
        <v>XP_017757062.1</v>
      </c>
      <c r="C904">
        <v>26942</v>
      </c>
      <c r="D904" t="str">
        <f>HYPERLINK("http://www.ncbi.nlm.nih.gov/Taxonomy/Browser/wwwtax.cgi?mode=Info&amp;id=516756&amp;lvl=3&amp;lin=f&amp;keep=1&amp;srchmode=1&amp;unlock","516756")</f>
        <v>516756</v>
      </c>
      <c r="E904" t="s">
        <v>698</v>
      </c>
      <c r="F904" t="s">
        <v>698</v>
      </c>
      <c r="G904" t="str">
        <f>HYPERLINK("http://www.ncbi.nlm.nih.gov/Taxonomy/Browser/wwwtax.cgi?mode=Info&amp;id=516756&amp;lvl=3&amp;lin=f&amp;keep=1&amp;srchmode=1&amp;unlock","Eufriesea mexicana")</f>
        <v>Eufriesea mexicana</v>
      </c>
      <c r="H904" t="s">
        <v>831</v>
      </c>
      <c r="I904" t="str">
        <f>HYPERLINK("http://www.ncbi.nlm.nih.gov/protein/XP_017757062.1","PREDICTED: probable fatty acid-binding protein isoform X1")</f>
        <v>PREDICTED: probable fatty acid-binding protein isoform X1</v>
      </c>
      <c r="J904">
        <v>56.23</v>
      </c>
      <c r="K904" t="s">
        <v>25</v>
      </c>
      <c r="L904">
        <v>139</v>
      </c>
      <c r="M904">
        <v>50.68</v>
      </c>
      <c r="N904">
        <v>22.29</v>
      </c>
      <c r="O904" t="s">
        <v>25</v>
      </c>
      <c r="P904" t="s">
        <v>21</v>
      </c>
      <c r="Q904" t="s">
        <v>20</v>
      </c>
      <c r="R904" t="str">
        <f>HYPERLINK("https://cfpub.epa.gov/ecotox/explore.cfm?ncbi=516756","Explore in ECOTOX")</f>
        <v>Explore in ECOTOX</v>
      </c>
    </row>
    <row r="905" spans="1:18" x14ac:dyDescent="0.25">
      <c r="A905">
        <v>6</v>
      </c>
      <c r="B905" t="str">
        <f>HYPERLINK("http://www.ncbi.nlm.nih.gov/protein/XP_023308521.1","XP_023308521.1")</f>
        <v>XP_023308521.1</v>
      </c>
      <c r="C905">
        <v>33832</v>
      </c>
      <c r="D905" t="str">
        <f>HYPERLINK("http://www.ncbi.nlm.nih.gov/Taxonomy/Browser/wwwtax.cgi?mode=Info&amp;id=7375&amp;lvl=3&amp;lin=f&amp;keep=1&amp;srchmode=1&amp;unlock","7375")</f>
        <v>7375</v>
      </c>
      <c r="E905" t="s">
        <v>698</v>
      </c>
      <c r="F905" t="s">
        <v>698</v>
      </c>
      <c r="G905" t="str">
        <f>HYPERLINK("http://www.ncbi.nlm.nih.gov/Taxonomy/Browser/wwwtax.cgi?mode=Info&amp;id=7375&amp;lvl=3&amp;lin=f&amp;keep=1&amp;srchmode=1&amp;unlock","Lucilia cuprina")</f>
        <v>Lucilia cuprina</v>
      </c>
      <c r="H905" t="s">
        <v>832</v>
      </c>
      <c r="I905" t="str">
        <f>HYPERLINK("http://www.ncbi.nlm.nih.gov/protein/XP_023308521.1","probable fatty acid-binding protein")</f>
        <v>probable fatty acid-binding protein</v>
      </c>
      <c r="J905">
        <v>56.23</v>
      </c>
      <c r="K905" t="s">
        <v>25</v>
      </c>
      <c r="L905">
        <v>139</v>
      </c>
      <c r="M905">
        <v>50.68</v>
      </c>
      <c r="N905">
        <v>22.29</v>
      </c>
      <c r="O905" t="s">
        <v>25</v>
      </c>
      <c r="P905" t="s">
        <v>21</v>
      </c>
      <c r="Q905" t="s">
        <v>20</v>
      </c>
      <c r="R905" t="str">
        <f>HYPERLINK("https://cfpub.epa.gov/ecotox/explore.cfm?ncbi=7375","Explore in ECOTOX")</f>
        <v>Explore in ECOTOX</v>
      </c>
    </row>
    <row r="906" spans="1:18" x14ac:dyDescent="0.25">
      <c r="A906">
        <v>6</v>
      </c>
      <c r="B906" t="str">
        <f>HYPERLINK("http://www.ncbi.nlm.nih.gov/protein/XP_002069939.1","XP_002069939.1")</f>
        <v>XP_002069939.1</v>
      </c>
      <c r="C906">
        <v>34285</v>
      </c>
      <c r="D906" t="str">
        <f>HYPERLINK("http://www.ncbi.nlm.nih.gov/Taxonomy/Browser/wwwtax.cgi?mode=Info&amp;id=7260&amp;lvl=3&amp;lin=f&amp;keep=1&amp;srchmode=1&amp;unlock","7260")</f>
        <v>7260</v>
      </c>
      <c r="E906" t="s">
        <v>698</v>
      </c>
      <c r="F906" t="s">
        <v>698</v>
      </c>
      <c r="G906" t="str">
        <f>HYPERLINK("http://www.ncbi.nlm.nih.gov/Taxonomy/Browser/wwwtax.cgi?mode=Info&amp;id=7260&amp;lvl=3&amp;lin=f&amp;keep=1&amp;srchmode=1&amp;unlock","Drosophila willistoni")</f>
        <v>Drosophila willistoni</v>
      </c>
      <c r="H906" t="s">
        <v>753</v>
      </c>
      <c r="I906" t="str">
        <f>HYPERLINK("http://www.ncbi.nlm.nih.gov/protein/XP_002069939.1","probable fatty acid-binding protein")</f>
        <v>probable fatty acid-binding protein</v>
      </c>
      <c r="J906">
        <v>56.23</v>
      </c>
      <c r="K906" t="s">
        <v>25</v>
      </c>
      <c r="L906">
        <v>139</v>
      </c>
      <c r="M906">
        <v>50.68</v>
      </c>
      <c r="N906">
        <v>22.29</v>
      </c>
      <c r="O906" t="s">
        <v>25</v>
      </c>
      <c r="P906" t="s">
        <v>21</v>
      </c>
      <c r="Q906" t="s">
        <v>20</v>
      </c>
      <c r="R906" t="str">
        <f>HYPERLINK("https://cfpub.epa.gov/ecotox/explore.cfm?ncbi=7260","Explore in ECOTOX")</f>
        <v>Explore in ECOTOX</v>
      </c>
    </row>
    <row r="907" spans="1:18" x14ac:dyDescent="0.25">
      <c r="A907">
        <v>6</v>
      </c>
      <c r="B907" t="str">
        <f>HYPERLINK("http://www.ncbi.nlm.nih.gov/protein/AAL68638.1","AAL68638.1")</f>
        <v>AAL68638.1</v>
      </c>
      <c r="C907">
        <v>141</v>
      </c>
      <c r="D907" t="str">
        <f>HYPERLINK("http://www.ncbi.nlm.nih.gov/Taxonomy/Browser/wwwtax.cgi?mode=Info&amp;id=32278&amp;lvl=3&amp;lin=f&amp;keep=1&amp;srchmode=1&amp;unlock","32278")</f>
        <v>32278</v>
      </c>
      <c r="E907" t="s">
        <v>742</v>
      </c>
      <c r="F907" t="s">
        <v>742</v>
      </c>
      <c r="G907" t="str">
        <f>HYPERLINK("http://www.ncbi.nlm.nih.gov/Taxonomy/Browser/wwwtax.cgi?mode=Info&amp;id=32278&amp;lvl=3&amp;lin=f&amp;keep=1&amp;srchmode=1&amp;unlock","Metapenaeus ensis")</f>
        <v>Metapenaeus ensis</v>
      </c>
      <c r="H907" t="s">
        <v>833</v>
      </c>
      <c r="I907" t="str">
        <f>HYPERLINK("http://www.ncbi.nlm.nih.gov/protein/AAL68638.1","cellular retinoic acid/retinol binding protein")</f>
        <v>cellular retinoic acid/retinol binding protein</v>
      </c>
      <c r="J907">
        <v>56.23</v>
      </c>
      <c r="K907" t="s">
        <v>25</v>
      </c>
      <c r="L907">
        <v>139</v>
      </c>
      <c r="M907">
        <v>50.68</v>
      </c>
      <c r="N907">
        <v>22.29</v>
      </c>
      <c r="O907" t="s">
        <v>25</v>
      </c>
      <c r="P907" t="s">
        <v>21</v>
      </c>
      <c r="Q907" t="s">
        <v>20</v>
      </c>
      <c r="R907" t="str">
        <f>HYPERLINK("https://cfpub.epa.gov/ecotox/explore.cfm?ncbi=32278","Explore in ECOTOX")</f>
        <v>Explore in ECOTOX</v>
      </c>
    </row>
    <row r="908" spans="1:18" x14ac:dyDescent="0.25">
      <c r="A908">
        <v>6</v>
      </c>
      <c r="B908" t="str">
        <f>HYPERLINK("http://www.ncbi.nlm.nih.gov/protein/XP_014781267.1","XP_014781267.1")</f>
        <v>XP_014781267.1</v>
      </c>
      <c r="C908">
        <v>62925</v>
      </c>
      <c r="D908" t="str">
        <f>HYPERLINK("http://www.ncbi.nlm.nih.gov/Taxonomy/Browser/wwwtax.cgi?mode=Info&amp;id=37653&amp;lvl=3&amp;lin=f&amp;keep=1&amp;srchmode=1&amp;unlock","37653")</f>
        <v>37653</v>
      </c>
      <c r="E908" t="s">
        <v>786</v>
      </c>
      <c r="F908" t="s">
        <v>786</v>
      </c>
      <c r="G908" t="str">
        <f>HYPERLINK("http://www.ncbi.nlm.nih.gov/Taxonomy/Browser/wwwtax.cgi?mode=Info&amp;id=37653&amp;lvl=3&amp;lin=f&amp;keep=1&amp;srchmode=1&amp;unlock","Octopus bimaculoides")</f>
        <v>Octopus bimaculoides</v>
      </c>
      <c r="H908" t="s">
        <v>834</v>
      </c>
      <c r="I908" t="str">
        <f>HYPERLINK("http://www.ncbi.nlm.nih.gov/protein/XP_014781267.1","PREDICTED: fatty acid-binding protein, liver-like")</f>
        <v>PREDICTED: fatty acid-binding protein, liver-like</v>
      </c>
      <c r="J908">
        <v>56.23</v>
      </c>
      <c r="K908" t="s">
        <v>25</v>
      </c>
      <c r="L908">
        <v>139</v>
      </c>
      <c r="M908">
        <v>50.68</v>
      </c>
      <c r="N908">
        <v>22.29</v>
      </c>
      <c r="O908" t="s">
        <v>25</v>
      </c>
      <c r="P908" t="s">
        <v>21</v>
      </c>
      <c r="Q908" t="s">
        <v>20</v>
      </c>
      <c r="R908" t="str">
        <f>HYPERLINK("https://cfpub.epa.gov/ecotox/explore.cfm?ncbi=37653","Explore in ECOTOX")</f>
        <v>Explore in ECOTOX</v>
      </c>
    </row>
    <row r="909" spans="1:18" x14ac:dyDescent="0.25">
      <c r="A909">
        <v>6</v>
      </c>
      <c r="B909" t="str">
        <f>HYPERLINK("http://www.ncbi.nlm.nih.gov/protein/KOX73671.1","KOX73671.1")</f>
        <v>KOX73671.1</v>
      </c>
      <c r="C909">
        <v>14311</v>
      </c>
      <c r="D909" t="str">
        <f>HYPERLINK("http://www.ncbi.nlm.nih.gov/Taxonomy/Browser/wwwtax.cgi?mode=Info&amp;id=166423&amp;lvl=3&amp;lin=f&amp;keep=1&amp;srchmode=1&amp;unlock","166423")</f>
        <v>166423</v>
      </c>
      <c r="E909" t="s">
        <v>698</v>
      </c>
      <c r="F909" t="s">
        <v>698</v>
      </c>
      <c r="G909" t="str">
        <f>HYPERLINK("http://www.ncbi.nlm.nih.gov/Taxonomy/Browser/wwwtax.cgi?mode=Info&amp;id=166423&amp;lvl=3&amp;lin=f&amp;keep=1&amp;srchmode=1&amp;unlock","Melipona quadrifasciata")</f>
        <v>Melipona quadrifasciata</v>
      </c>
      <c r="H909" t="s">
        <v>835</v>
      </c>
      <c r="I909" t="str">
        <f>HYPERLINK("http://www.ncbi.nlm.nih.gov/protein/KOX73671.1","Myelin P2 protein")</f>
        <v>Myelin P2 protein</v>
      </c>
      <c r="J909">
        <v>56.23</v>
      </c>
      <c r="K909" t="s">
        <v>25</v>
      </c>
      <c r="L909">
        <v>139</v>
      </c>
      <c r="M909">
        <v>50.68</v>
      </c>
      <c r="N909">
        <v>22.29</v>
      </c>
      <c r="O909" t="s">
        <v>25</v>
      </c>
      <c r="P909" t="s">
        <v>21</v>
      </c>
      <c r="Q909" t="s">
        <v>20</v>
      </c>
      <c r="R909" t="str">
        <f>HYPERLINK("https://cfpub.epa.gov/ecotox/explore.cfm?ncbi=166423","Explore in ECOTOX")</f>
        <v>Explore in ECOTOX</v>
      </c>
    </row>
    <row r="910" spans="1:18" x14ac:dyDescent="0.25">
      <c r="A910">
        <v>6</v>
      </c>
      <c r="B910" t="str">
        <f>HYPERLINK("http://www.ncbi.nlm.nih.gov/protein/AGB13925.1","AGB13925.1")</f>
        <v>AGB13925.1</v>
      </c>
      <c r="C910">
        <v>507</v>
      </c>
      <c r="D910" t="str">
        <f>HYPERLINK("http://www.ncbi.nlm.nih.gov/Taxonomy/Browser/wwwtax.cgi?mode=Info&amp;id=27406&amp;lvl=3&amp;lin=f&amp;keep=1&amp;srchmode=1&amp;unlock","27406")</f>
        <v>27406</v>
      </c>
      <c r="E910" t="s">
        <v>742</v>
      </c>
      <c r="F910" t="s">
        <v>742</v>
      </c>
      <c r="G910" t="str">
        <f>HYPERLINK("http://www.ncbi.nlm.nih.gov/Taxonomy/Browser/wwwtax.cgi?mode=Info&amp;id=27406&amp;lvl=3&amp;lin=f&amp;keep=1&amp;srchmode=1&amp;unlock","Cherax quadricarinatus")</f>
        <v>Cherax quadricarinatus</v>
      </c>
      <c r="H910" t="s">
        <v>836</v>
      </c>
      <c r="I910" t="str">
        <f>HYPERLINK("http://www.ncbi.nlm.nih.gov/protein/AGB13925.1","fatty acid binding protein")</f>
        <v>fatty acid binding protein</v>
      </c>
      <c r="J910">
        <v>56.23</v>
      </c>
      <c r="K910" t="s">
        <v>25</v>
      </c>
      <c r="L910">
        <v>139</v>
      </c>
      <c r="M910">
        <v>50.68</v>
      </c>
      <c r="N910">
        <v>22.29</v>
      </c>
      <c r="O910" t="s">
        <v>25</v>
      </c>
      <c r="P910" t="s">
        <v>21</v>
      </c>
      <c r="Q910" t="s">
        <v>20</v>
      </c>
      <c r="R910" t="str">
        <f>HYPERLINK("https://cfpub.epa.gov/ecotox/explore.cfm?ncbi=27406","Explore in ECOTOX")</f>
        <v>Explore in ECOTOX</v>
      </c>
    </row>
    <row r="911" spans="1:18" x14ac:dyDescent="0.25">
      <c r="A911">
        <v>6</v>
      </c>
      <c r="B911" t="str">
        <f>HYPERLINK("http://www.ncbi.nlm.nih.gov/protein/XP_037808402.1","XP_037808402.1")</f>
        <v>XP_037808402.1</v>
      </c>
      <c r="C911">
        <v>24184</v>
      </c>
      <c r="D911" t="str">
        <f>HYPERLINK("http://www.ncbi.nlm.nih.gov/Taxonomy/Browser/wwwtax.cgi?mode=Info&amp;id=13632&amp;lvl=3&amp;lin=f&amp;keep=1&amp;srchmode=1&amp;unlock","13632")</f>
        <v>13632</v>
      </c>
      <c r="E911" t="s">
        <v>698</v>
      </c>
      <c r="F911" t="s">
        <v>698</v>
      </c>
      <c r="G911" t="str">
        <f>HYPERLINK("http://www.ncbi.nlm.nih.gov/Taxonomy/Browser/wwwtax.cgi?mode=Info&amp;id=13632&amp;lvl=3&amp;lin=f&amp;keep=1&amp;srchmode=1&amp;unlock","Lucilia sericata")</f>
        <v>Lucilia sericata</v>
      </c>
      <c r="H911" t="s">
        <v>837</v>
      </c>
      <c r="I911" t="str">
        <f>HYPERLINK("http://www.ncbi.nlm.nih.gov/protein/XP_037808402.1","probable fatty acid-binding protein")</f>
        <v>probable fatty acid-binding protein</v>
      </c>
      <c r="J911">
        <v>55.84</v>
      </c>
      <c r="K911" t="s">
        <v>25</v>
      </c>
      <c r="L911">
        <v>139</v>
      </c>
      <c r="M911">
        <v>50.68</v>
      </c>
      <c r="N911">
        <v>22.13</v>
      </c>
      <c r="O911" t="s">
        <v>25</v>
      </c>
      <c r="P911" t="s">
        <v>21</v>
      </c>
      <c r="Q911" t="s">
        <v>20</v>
      </c>
      <c r="R911" t="str">
        <f>HYPERLINK("https://cfpub.epa.gov/ecotox/explore.cfm?ncbi=13632","Explore in ECOTOX")</f>
        <v>Explore in ECOTOX</v>
      </c>
    </row>
    <row r="912" spans="1:18" x14ac:dyDescent="0.25">
      <c r="A912">
        <v>6</v>
      </c>
      <c r="B912" t="str">
        <f>HYPERLINK("http://www.ncbi.nlm.nih.gov/protein/CAD5115679.1","CAD5115679.1")</f>
        <v>CAD5115679.1</v>
      </c>
      <c r="C912">
        <v>16184</v>
      </c>
      <c r="D912" t="str">
        <f>HYPERLINK("http://www.ncbi.nlm.nih.gov/Taxonomy/Browser/wwwtax.cgi?mode=Info&amp;id=2664684&amp;lvl=3&amp;lin=f&amp;keep=1&amp;srchmode=1&amp;unlock","2664684")</f>
        <v>2664684</v>
      </c>
      <c r="E912" t="s">
        <v>822</v>
      </c>
      <c r="F912" t="s">
        <v>822</v>
      </c>
      <c r="G912" t="str">
        <f>HYPERLINK("http://www.ncbi.nlm.nih.gov/Taxonomy/Browser/wwwtax.cgi?mode=Info&amp;id=2664684&amp;lvl=3&amp;lin=f&amp;keep=1&amp;srchmode=1&amp;unlock","Dimorphilus gyrociliatus")</f>
        <v>Dimorphilus gyrociliatus</v>
      </c>
      <c r="H912" t="s">
        <v>823</v>
      </c>
      <c r="I912" t="str">
        <f>HYPERLINK("http://www.ncbi.nlm.nih.gov/protein/CAD5115679.1","DgyrCDS4632")</f>
        <v>DgyrCDS4632</v>
      </c>
      <c r="J912">
        <v>55.84</v>
      </c>
      <c r="K912" t="s">
        <v>25</v>
      </c>
      <c r="L912">
        <v>139</v>
      </c>
      <c r="M912">
        <v>50.68</v>
      </c>
      <c r="N912">
        <v>22.13</v>
      </c>
      <c r="O912" t="s">
        <v>25</v>
      </c>
      <c r="P912" t="s">
        <v>21</v>
      </c>
      <c r="Q912" t="s">
        <v>20</v>
      </c>
      <c r="R912" t="str">
        <f>HYPERLINK("https://cfpub.epa.gov/ecotox/explore.cfm?ncbi=2664684","Explore in ECOTOX")</f>
        <v>Explore in ECOTOX</v>
      </c>
    </row>
    <row r="913" spans="1:18" x14ac:dyDescent="0.25">
      <c r="A913">
        <v>6</v>
      </c>
      <c r="B913" t="str">
        <f>HYPERLINK("http://www.ncbi.nlm.nih.gov/protein/O45035.1","O45035.1")</f>
        <v>O45035.1</v>
      </c>
      <c r="C913">
        <v>37148</v>
      </c>
      <c r="D913" t="str">
        <f>HYPERLINK("http://www.ncbi.nlm.nih.gov/Taxonomy/Browser/wwwtax.cgi?mode=Info&amp;id=6182&amp;lvl=3&amp;lin=f&amp;keep=1&amp;srchmode=1&amp;unlock","6182")</f>
        <v>6182</v>
      </c>
      <c r="E913" t="s">
        <v>793</v>
      </c>
      <c r="F913" t="s">
        <v>793</v>
      </c>
      <c r="G913" t="str">
        <f>HYPERLINK("http://www.ncbi.nlm.nih.gov/Taxonomy/Browser/wwwtax.cgi?mode=Info&amp;id=6182&amp;lvl=3&amp;lin=f&amp;keep=1&amp;srchmode=1&amp;unlock","Schistosoma japonicum")</f>
        <v>Schistosoma japonicum</v>
      </c>
      <c r="H913" t="s">
        <v>794</v>
      </c>
      <c r="I913" t="str">
        <f>HYPERLINK("http://www.ncbi.nlm.nih.gov/protein/O45035.1","RecName: Full=Fatty acid-binding protein; AltName: Full=Sj-FABPc; AltName: Full=Sj14FABP")</f>
        <v>RecName: Full=Fatty acid-binding protein; AltName: Full=Sj-FABPc; AltName: Full=Sj14FABP</v>
      </c>
      <c r="J913">
        <v>55.84</v>
      </c>
      <c r="K913" t="s">
        <v>25</v>
      </c>
      <c r="L913">
        <v>139</v>
      </c>
      <c r="M913">
        <v>50.68</v>
      </c>
      <c r="N913">
        <v>22.13</v>
      </c>
      <c r="O913" t="s">
        <v>25</v>
      </c>
      <c r="P913" t="s">
        <v>21</v>
      </c>
      <c r="Q913" t="s">
        <v>20</v>
      </c>
      <c r="R913" t="str">
        <f>HYPERLINK("https://cfpub.epa.gov/ecotox/explore.cfm?ncbi=6182","Explore in ECOTOX")</f>
        <v>Explore in ECOTOX</v>
      </c>
    </row>
    <row r="914" spans="1:18" x14ac:dyDescent="0.25">
      <c r="A914">
        <v>6</v>
      </c>
      <c r="B914" t="str">
        <f>HYPERLINK("http://www.ncbi.nlm.nih.gov/protein/XP_027841861.1","XP_027841861.1")</f>
        <v>XP_027841861.1</v>
      </c>
      <c r="C914">
        <v>19410</v>
      </c>
      <c r="D914" t="str">
        <f>HYPERLINK("http://www.ncbi.nlm.nih.gov/Taxonomy/Browser/wwwtax.cgi?mode=Info&amp;id=80765&amp;lvl=3&amp;lin=f&amp;keep=1&amp;srchmode=1&amp;unlock","80765")</f>
        <v>80765</v>
      </c>
      <c r="E914" t="s">
        <v>698</v>
      </c>
      <c r="F914" t="s">
        <v>698</v>
      </c>
      <c r="G914" t="str">
        <f>HYPERLINK("http://www.ncbi.nlm.nih.gov/Taxonomy/Browser/wwwtax.cgi?mode=Info&amp;id=80765&amp;lvl=3&amp;lin=f&amp;keep=1&amp;srchmode=1&amp;unlock","Aphis gossypii")</f>
        <v>Aphis gossypii</v>
      </c>
      <c r="H914" t="s">
        <v>838</v>
      </c>
      <c r="I914" t="str">
        <f>HYPERLINK("http://www.ncbi.nlm.nih.gov/protein/XP_027841861.1","fatty acid-binding protein, muscle-like")</f>
        <v>fatty acid-binding protein, muscle-like</v>
      </c>
      <c r="J914">
        <v>55.84</v>
      </c>
      <c r="K914" t="s">
        <v>25</v>
      </c>
      <c r="L914">
        <v>139</v>
      </c>
      <c r="M914">
        <v>50.68</v>
      </c>
      <c r="N914">
        <v>22.13</v>
      </c>
      <c r="O914" t="s">
        <v>25</v>
      </c>
      <c r="P914" t="s">
        <v>21</v>
      </c>
      <c r="Q914" t="s">
        <v>20</v>
      </c>
      <c r="R914" t="str">
        <f>HYPERLINK("https://cfpub.epa.gov/ecotox/explore.cfm?ncbi=80765","Explore in ECOTOX")</f>
        <v>Explore in ECOTOX</v>
      </c>
    </row>
    <row r="915" spans="1:18" x14ac:dyDescent="0.25">
      <c r="A915">
        <v>6</v>
      </c>
      <c r="B915" t="str">
        <f>HYPERLINK("http://www.ncbi.nlm.nih.gov/protein/XP_034113404.1","XP_034113404.1")</f>
        <v>XP_034113404.1</v>
      </c>
      <c r="C915">
        <v>23268</v>
      </c>
      <c r="D915" t="str">
        <f>HYPERLINK("http://www.ncbi.nlm.nih.gov/Taxonomy/Browser/wwwtax.cgi?mode=Info&amp;id=7291&amp;lvl=3&amp;lin=f&amp;keep=1&amp;srchmode=1&amp;unlock","7291")</f>
        <v>7291</v>
      </c>
      <c r="E915" t="s">
        <v>698</v>
      </c>
      <c r="F915" t="s">
        <v>698</v>
      </c>
      <c r="G915" t="str">
        <f>HYPERLINK("http://www.ncbi.nlm.nih.gov/Taxonomy/Browser/wwwtax.cgi?mode=Info&amp;id=7291&amp;lvl=3&amp;lin=f&amp;keep=1&amp;srchmode=1&amp;unlock","Drosophila albomicans")</f>
        <v>Drosophila albomicans</v>
      </c>
      <c r="H915" t="s">
        <v>753</v>
      </c>
      <c r="I915" t="str">
        <f>HYPERLINK("http://www.ncbi.nlm.nih.gov/protein/XP_034113404.1","probable fatty acid-binding protein")</f>
        <v>probable fatty acid-binding protein</v>
      </c>
      <c r="J915">
        <v>55.84</v>
      </c>
      <c r="K915" t="s">
        <v>25</v>
      </c>
      <c r="L915">
        <v>139</v>
      </c>
      <c r="M915">
        <v>50.68</v>
      </c>
      <c r="N915">
        <v>22.13</v>
      </c>
      <c r="O915" t="s">
        <v>25</v>
      </c>
      <c r="P915" t="s">
        <v>21</v>
      </c>
      <c r="Q915" t="s">
        <v>20</v>
      </c>
      <c r="R915" t="str">
        <f>HYPERLINK("https://cfpub.epa.gov/ecotox/explore.cfm?ncbi=7291","Explore in ECOTOX")</f>
        <v>Explore in ECOTOX</v>
      </c>
    </row>
    <row r="916" spans="1:18" x14ac:dyDescent="0.25">
      <c r="A916">
        <v>6</v>
      </c>
      <c r="B916" t="str">
        <f>HYPERLINK("http://www.ncbi.nlm.nih.gov/protein/XP_009066236.1","XP_009066236.1")</f>
        <v>XP_009066236.1</v>
      </c>
      <c r="C916">
        <v>47717</v>
      </c>
      <c r="D916" t="str">
        <f>HYPERLINK("http://www.ncbi.nlm.nih.gov/Taxonomy/Browser/wwwtax.cgi?mode=Info&amp;id=225164&amp;lvl=3&amp;lin=f&amp;keep=1&amp;srchmode=1&amp;unlock","225164")</f>
        <v>225164</v>
      </c>
      <c r="E916" t="s">
        <v>763</v>
      </c>
      <c r="F916" t="s">
        <v>763</v>
      </c>
      <c r="G916" t="str">
        <f>HYPERLINK("http://www.ncbi.nlm.nih.gov/Taxonomy/Browser/wwwtax.cgi?mode=Info&amp;id=225164&amp;lvl=3&amp;lin=f&amp;keep=1&amp;srchmode=1&amp;unlock","Lottia gigantea")</f>
        <v>Lottia gigantea</v>
      </c>
      <c r="H916" t="s">
        <v>839</v>
      </c>
      <c r="I916" t="str">
        <f>HYPERLINK("http://www.ncbi.nlm.nih.gov/protein/XP_009066236.1","hypothetical protein LOTGIDRAFT_223001")</f>
        <v>hypothetical protein LOTGIDRAFT_223001</v>
      </c>
      <c r="J916">
        <v>55.84</v>
      </c>
      <c r="K916" t="s">
        <v>25</v>
      </c>
      <c r="L916">
        <v>139</v>
      </c>
      <c r="M916">
        <v>50.68</v>
      </c>
      <c r="N916">
        <v>22.13</v>
      </c>
      <c r="O916" t="s">
        <v>25</v>
      </c>
      <c r="P916" t="s">
        <v>21</v>
      </c>
      <c r="Q916" t="s">
        <v>20</v>
      </c>
      <c r="R916" t="str">
        <f>HYPERLINK("https://cfpub.epa.gov/ecotox/explore.cfm?ncbi=225164","Explore in ECOTOX")</f>
        <v>Explore in ECOTOX</v>
      </c>
    </row>
    <row r="917" spans="1:18" x14ac:dyDescent="0.25">
      <c r="A917">
        <v>6</v>
      </c>
      <c r="B917" t="str">
        <f>HYPERLINK("http://www.ncbi.nlm.nih.gov/protein/XP_018398767.1","XP_018398767.1")</f>
        <v>XP_018398767.1</v>
      </c>
      <c r="C917">
        <v>31447</v>
      </c>
      <c r="D917" t="str">
        <f>HYPERLINK("http://www.ncbi.nlm.nih.gov/Taxonomy/Browser/wwwtax.cgi?mode=Info&amp;id=456900&amp;lvl=3&amp;lin=f&amp;keep=1&amp;srchmode=1&amp;unlock","456900")</f>
        <v>456900</v>
      </c>
      <c r="E917" t="s">
        <v>698</v>
      </c>
      <c r="F917" t="s">
        <v>698</v>
      </c>
      <c r="G917" t="str">
        <f>HYPERLINK("http://www.ncbi.nlm.nih.gov/Taxonomy/Browser/wwwtax.cgi?mode=Info&amp;id=456900&amp;lvl=3&amp;lin=f&amp;keep=1&amp;srchmode=1&amp;unlock","Cyphomyrmex costatus")</f>
        <v>Cyphomyrmex costatus</v>
      </c>
      <c r="H917" t="s">
        <v>755</v>
      </c>
      <c r="I917" t="str">
        <f>HYPERLINK("http://www.ncbi.nlm.nih.gov/protein/XP_018398767.1","PREDICTED: myelin P2 protein isoform X2")</f>
        <v>PREDICTED: myelin P2 protein isoform X2</v>
      </c>
      <c r="J917">
        <v>55.84</v>
      </c>
      <c r="K917" t="s">
        <v>25</v>
      </c>
      <c r="L917">
        <v>139</v>
      </c>
      <c r="M917">
        <v>50.68</v>
      </c>
      <c r="N917">
        <v>22.13</v>
      </c>
      <c r="O917" t="s">
        <v>25</v>
      </c>
      <c r="P917" t="s">
        <v>21</v>
      </c>
      <c r="Q917" t="s">
        <v>20</v>
      </c>
      <c r="R917" t="str">
        <f>HYPERLINK("https://cfpub.epa.gov/ecotox/explore.cfm?ncbi=456900","Explore in ECOTOX")</f>
        <v>Explore in ECOTOX</v>
      </c>
    </row>
    <row r="918" spans="1:18" x14ac:dyDescent="0.25">
      <c r="A918">
        <v>6</v>
      </c>
      <c r="B918" t="str">
        <f>HYPERLINK("http://www.ncbi.nlm.nih.gov/protein/ALS30217.1","ALS30217.1")</f>
        <v>ALS30217.1</v>
      </c>
      <c r="C918">
        <v>2729</v>
      </c>
      <c r="D918" t="str">
        <f>HYPERLINK("http://www.ncbi.nlm.nih.gov/Taxonomy/Browser/wwwtax.cgi?mode=Info&amp;id=13489&amp;lvl=3&amp;lin=f&amp;keep=1&amp;srchmode=1&amp;unlock","13489")</f>
        <v>13489</v>
      </c>
      <c r="E918" t="s">
        <v>384</v>
      </c>
      <c r="F918" t="s">
        <v>384</v>
      </c>
      <c r="G918" t="str">
        <f>HYPERLINK("http://www.ncbi.nlm.nih.gov/Taxonomy/Browser/wwwtax.cgi?mode=Info&amp;id=13489&amp;lvl=3&amp;lin=f&amp;keep=1&amp;srchmode=1&amp;unlock","Dicentrarchus labrax")</f>
        <v>Dicentrarchus labrax</v>
      </c>
      <c r="H918" t="s">
        <v>840</v>
      </c>
      <c r="I918" t="str">
        <f>HYPERLINK("http://www.ncbi.nlm.nih.gov/protein/ALS30217.1","cellular retinoic acid-binding protein 1")</f>
        <v>cellular retinoic acid-binding protein 1</v>
      </c>
      <c r="J918">
        <v>55.45</v>
      </c>
      <c r="K918" t="s">
        <v>25</v>
      </c>
      <c r="L918">
        <v>139</v>
      </c>
      <c r="M918">
        <v>50.68</v>
      </c>
      <c r="N918">
        <v>21.98</v>
      </c>
      <c r="O918" t="s">
        <v>20</v>
      </c>
      <c r="P918" t="s">
        <v>21</v>
      </c>
      <c r="Q918" t="s">
        <v>20</v>
      </c>
      <c r="R918" t="str">
        <f>HYPERLINK("https://cfpub.epa.gov/ecotox/explore.cfm?ncbi=13489","Explore in ECOTOX")</f>
        <v>Explore in ECOTOX</v>
      </c>
    </row>
    <row r="919" spans="1:18" x14ac:dyDescent="0.25">
      <c r="A919">
        <v>6</v>
      </c>
      <c r="B919" t="str">
        <f>HYPERLINK("http://www.ncbi.nlm.nih.gov/protein/XP_036333706.1","XP_036333706.1")</f>
        <v>XP_036333706.1</v>
      </c>
      <c r="C919">
        <v>30873</v>
      </c>
      <c r="D919" t="str">
        <f>HYPERLINK("http://www.ncbi.nlm.nih.gov/Taxonomy/Browser/wwwtax.cgi?mode=Info&amp;id=28610&amp;lvl=3&amp;lin=f&amp;keep=1&amp;srchmode=1&amp;unlock","28610")</f>
        <v>28610</v>
      </c>
      <c r="E919" t="s">
        <v>698</v>
      </c>
      <c r="F919" t="s">
        <v>698</v>
      </c>
      <c r="G919" t="str">
        <f>HYPERLINK("http://www.ncbi.nlm.nih.gov/Taxonomy/Browser/wwwtax.cgi?mode=Info&amp;id=28610&amp;lvl=3&amp;lin=f&amp;keep=1&amp;srchmode=1&amp;unlock","Rhagoletis pomonella")</f>
        <v>Rhagoletis pomonella</v>
      </c>
      <c r="H919" t="s">
        <v>841</v>
      </c>
      <c r="I919" t="str">
        <f>HYPERLINK("http://www.ncbi.nlm.nih.gov/protein/XP_036333706.1","probable fatty acid-binding protein")</f>
        <v>probable fatty acid-binding protein</v>
      </c>
      <c r="J919">
        <v>55.45</v>
      </c>
      <c r="K919" t="s">
        <v>25</v>
      </c>
      <c r="L919">
        <v>139</v>
      </c>
      <c r="M919">
        <v>50.68</v>
      </c>
      <c r="N919">
        <v>21.98</v>
      </c>
      <c r="O919" t="s">
        <v>25</v>
      </c>
      <c r="P919" t="s">
        <v>21</v>
      </c>
      <c r="Q919" t="s">
        <v>20</v>
      </c>
      <c r="R919" t="str">
        <f>HYPERLINK("https://cfpub.epa.gov/ecotox/explore.cfm?ncbi=28610","Explore in ECOTOX")</f>
        <v>Explore in ECOTOX</v>
      </c>
    </row>
    <row r="920" spans="1:18" x14ac:dyDescent="0.25">
      <c r="A920">
        <v>6</v>
      </c>
      <c r="B920" t="str">
        <f>HYPERLINK("http://www.ncbi.nlm.nih.gov/protein/XP_037711328.1","XP_037711328.1")</f>
        <v>XP_037711328.1</v>
      </c>
      <c r="C920">
        <v>25724</v>
      </c>
      <c r="D920" t="str">
        <f>HYPERLINK("http://www.ncbi.nlm.nih.gov/Taxonomy/Browser/wwwtax.cgi?mode=Info&amp;id=1486046&amp;lvl=3&amp;lin=f&amp;keep=1&amp;srchmode=1&amp;unlock","1486046")</f>
        <v>1486046</v>
      </c>
      <c r="E920" t="s">
        <v>698</v>
      </c>
      <c r="F920" t="s">
        <v>698</v>
      </c>
      <c r="G920" t="str">
        <f>HYPERLINK("http://www.ncbi.nlm.nih.gov/Taxonomy/Browser/wwwtax.cgi?mode=Info&amp;id=1486046&amp;lvl=3&amp;lin=f&amp;keep=1&amp;srchmode=1&amp;unlock","Drosophila subpulchrella")</f>
        <v>Drosophila subpulchrella</v>
      </c>
      <c r="H920" t="s">
        <v>753</v>
      </c>
      <c r="I920" t="str">
        <f>HYPERLINK("http://www.ncbi.nlm.nih.gov/protein/XP_037711328.1","fatty acid-binding protein, muscle")</f>
        <v>fatty acid-binding protein, muscle</v>
      </c>
      <c r="J920">
        <v>55.45</v>
      </c>
      <c r="K920" t="s">
        <v>25</v>
      </c>
      <c r="L920">
        <v>139</v>
      </c>
      <c r="M920">
        <v>50.68</v>
      </c>
      <c r="N920">
        <v>21.98</v>
      </c>
      <c r="O920" t="s">
        <v>25</v>
      </c>
      <c r="P920" t="s">
        <v>21</v>
      </c>
      <c r="Q920" t="s">
        <v>20</v>
      </c>
      <c r="R920" t="str">
        <f>HYPERLINK("https://cfpub.epa.gov/ecotox/explore.cfm?ncbi=1486046","Explore in ECOTOX")</f>
        <v>Explore in ECOTOX</v>
      </c>
    </row>
    <row r="921" spans="1:18" x14ac:dyDescent="0.25">
      <c r="A921">
        <v>6</v>
      </c>
      <c r="B921" t="str">
        <f>HYPERLINK("http://www.ncbi.nlm.nih.gov/protein/RZF35185.1","RZF35185.1")</f>
        <v>RZF35185.1</v>
      </c>
      <c r="C921">
        <v>18448</v>
      </c>
      <c r="D921" t="str">
        <f>HYPERLINK("http://www.ncbi.nlm.nih.gov/Taxonomy/Browser/wwwtax.cgi?mode=Info&amp;id=195883&amp;lvl=3&amp;lin=f&amp;keep=1&amp;srchmode=1&amp;unlock","195883")</f>
        <v>195883</v>
      </c>
      <c r="E921" t="s">
        <v>698</v>
      </c>
      <c r="F921" t="s">
        <v>698</v>
      </c>
      <c r="G921" t="str">
        <f>HYPERLINK("http://www.ncbi.nlm.nih.gov/Taxonomy/Browser/wwwtax.cgi?mode=Info&amp;id=195883&amp;lvl=3&amp;lin=f&amp;keep=1&amp;srchmode=1&amp;unlock","Laodelphax striatellus")</f>
        <v>Laodelphax striatellus</v>
      </c>
      <c r="H921" t="s">
        <v>842</v>
      </c>
      <c r="I921" t="str">
        <f>HYPERLINK("http://www.ncbi.nlm.nih.gov/protein/RZF35185.1","hypothetical protein LSTR_LSTR012623")</f>
        <v>hypothetical protein LSTR_LSTR012623</v>
      </c>
      <c r="J921">
        <v>55.45</v>
      </c>
      <c r="K921" t="s">
        <v>25</v>
      </c>
      <c r="L921">
        <v>139</v>
      </c>
      <c r="M921">
        <v>50.68</v>
      </c>
      <c r="N921">
        <v>21.98</v>
      </c>
      <c r="O921" t="s">
        <v>25</v>
      </c>
      <c r="P921" t="s">
        <v>21</v>
      </c>
      <c r="Q921" t="s">
        <v>20</v>
      </c>
      <c r="R921" t="str">
        <f>HYPERLINK("https://cfpub.epa.gov/ecotox/explore.cfm?ncbi=195883","Explore in ECOTOX")</f>
        <v>Explore in ECOTOX</v>
      </c>
    </row>
    <row r="922" spans="1:18" x14ac:dyDescent="0.25">
      <c r="A922">
        <v>6</v>
      </c>
      <c r="B922" t="str">
        <f>HYPERLINK("http://www.ncbi.nlm.nih.gov/protein/ALS04313.1","ALS04313.1")</f>
        <v>ALS04313.1</v>
      </c>
      <c r="C922">
        <v>649</v>
      </c>
      <c r="D922" t="str">
        <f>HYPERLINK("http://www.ncbi.nlm.nih.gov/Taxonomy/Browser/wwwtax.cgi?mode=Info&amp;id=335913&amp;lvl=3&amp;lin=f&amp;keep=1&amp;srchmode=1&amp;unlock","335913")</f>
        <v>335913</v>
      </c>
      <c r="E922" t="s">
        <v>760</v>
      </c>
      <c r="F922" t="s">
        <v>760</v>
      </c>
      <c r="G922" t="str">
        <f>HYPERLINK("http://www.ncbi.nlm.nih.gov/Taxonomy/Browser/wwwtax.cgi?mode=Info&amp;id=335913&amp;lvl=3&amp;lin=f&amp;keep=1&amp;srchmode=1&amp;unlock","Acartia pacifica")</f>
        <v>Acartia pacifica</v>
      </c>
      <c r="H922" t="s">
        <v>778</v>
      </c>
      <c r="I922" t="str">
        <f>HYPERLINK("http://www.ncbi.nlm.nih.gov/protein/ALS04313.1","cellular retinoic acid-binding protein 2")</f>
        <v>cellular retinoic acid-binding protein 2</v>
      </c>
      <c r="J922">
        <v>55.45</v>
      </c>
      <c r="K922" t="s">
        <v>25</v>
      </c>
      <c r="L922">
        <v>139</v>
      </c>
      <c r="M922">
        <v>50.68</v>
      </c>
      <c r="N922">
        <v>21.98</v>
      </c>
      <c r="O922" t="s">
        <v>25</v>
      </c>
      <c r="P922" t="s">
        <v>21</v>
      </c>
      <c r="Q922" t="s">
        <v>20</v>
      </c>
      <c r="R922" t="str">
        <f>HYPERLINK("https://cfpub.epa.gov/ecotox/explore.cfm?ncbi=335913","Explore in ECOTOX")</f>
        <v>Explore in ECOTOX</v>
      </c>
    </row>
    <row r="923" spans="1:18" x14ac:dyDescent="0.25">
      <c r="A923">
        <v>6</v>
      </c>
      <c r="B923" t="str">
        <f>HYPERLINK("http://www.ncbi.nlm.nih.gov/protein/KAF3421129.1","KAF3421129.1")</f>
        <v>KAF3421129.1</v>
      </c>
      <c r="C923">
        <v>11137</v>
      </c>
      <c r="D923" t="str">
        <f>HYPERLINK("http://www.ncbi.nlm.nih.gov/Taxonomy/Browser/wwwtax.cgi?mode=Info&amp;id=561572&amp;lvl=3&amp;lin=f&amp;keep=1&amp;srchmode=1&amp;unlock","561572")</f>
        <v>561572</v>
      </c>
      <c r="E923" t="s">
        <v>698</v>
      </c>
      <c r="F923" t="s">
        <v>698</v>
      </c>
      <c r="G923" t="str">
        <f>HYPERLINK("http://www.ncbi.nlm.nih.gov/Taxonomy/Browser/wwwtax.cgi?mode=Info&amp;id=561572&amp;lvl=3&amp;lin=f&amp;keep=1&amp;srchmode=1&amp;unlock","Frieseomelitta varia")</f>
        <v>Frieseomelitta varia</v>
      </c>
      <c r="H923" t="s">
        <v>835</v>
      </c>
      <c r="I923" t="str">
        <f>HYPERLINK("http://www.ncbi.nlm.nih.gov/protein/KAF3421129.1","hypothetical protein E2986_10838")</f>
        <v>hypothetical protein E2986_10838</v>
      </c>
      <c r="J923">
        <v>55.45</v>
      </c>
      <c r="K923" t="s">
        <v>25</v>
      </c>
      <c r="L923">
        <v>139</v>
      </c>
      <c r="M923">
        <v>50.68</v>
      </c>
      <c r="N923">
        <v>21.98</v>
      </c>
      <c r="O923" t="s">
        <v>25</v>
      </c>
      <c r="P923" t="s">
        <v>21</v>
      </c>
      <c r="Q923" t="s">
        <v>20</v>
      </c>
      <c r="R923" t="str">
        <f>HYPERLINK("https://cfpub.epa.gov/ecotox/explore.cfm?ncbi=561572","Explore in ECOTOX")</f>
        <v>Explore in ECOTOX</v>
      </c>
    </row>
    <row r="924" spans="1:18" x14ac:dyDescent="0.25">
      <c r="A924">
        <v>6</v>
      </c>
      <c r="B924" t="str">
        <f>HYPERLINK("http://www.ncbi.nlm.nih.gov/protein/XP_016931015.1","XP_016931015.1")</f>
        <v>XP_016931015.1</v>
      </c>
      <c r="C924">
        <v>25805</v>
      </c>
      <c r="D924" t="str">
        <f>HYPERLINK("http://www.ncbi.nlm.nih.gov/Taxonomy/Browser/wwwtax.cgi?mode=Info&amp;id=28584&amp;lvl=3&amp;lin=f&amp;keep=1&amp;srchmode=1&amp;unlock","28584")</f>
        <v>28584</v>
      </c>
      <c r="E924" t="s">
        <v>698</v>
      </c>
      <c r="F924" t="s">
        <v>698</v>
      </c>
      <c r="G924" t="str">
        <f>HYPERLINK("http://www.ncbi.nlm.nih.gov/Taxonomy/Browser/wwwtax.cgi?mode=Info&amp;id=28584&amp;lvl=3&amp;lin=f&amp;keep=1&amp;srchmode=1&amp;unlock","Drosophila suzukii")</f>
        <v>Drosophila suzukii</v>
      </c>
      <c r="H924" t="s">
        <v>753</v>
      </c>
      <c r="I924" t="str">
        <f>HYPERLINK("http://www.ncbi.nlm.nih.gov/protein/XP_016931015.1","fatty acid-binding protein, muscle")</f>
        <v>fatty acid-binding protein, muscle</v>
      </c>
      <c r="J924">
        <v>55.45</v>
      </c>
      <c r="K924" t="s">
        <v>25</v>
      </c>
      <c r="L924">
        <v>139</v>
      </c>
      <c r="M924">
        <v>50.68</v>
      </c>
      <c r="N924">
        <v>21.98</v>
      </c>
      <c r="O924" t="s">
        <v>25</v>
      </c>
      <c r="P924" t="s">
        <v>21</v>
      </c>
      <c r="Q924" t="s">
        <v>20</v>
      </c>
      <c r="R924" t="str">
        <f>HYPERLINK("https://cfpub.epa.gov/ecotox/explore.cfm?ncbi=28584","Explore in ECOTOX")</f>
        <v>Explore in ECOTOX</v>
      </c>
    </row>
    <row r="925" spans="1:18" x14ac:dyDescent="0.25">
      <c r="A925">
        <v>6</v>
      </c>
      <c r="B925" t="str">
        <f>HYPERLINK("http://www.ncbi.nlm.nih.gov/protein/XP_011684606.1","XP_011684606.1")</f>
        <v>XP_011684606.1</v>
      </c>
      <c r="C925">
        <v>24351</v>
      </c>
      <c r="D925" t="str">
        <f>HYPERLINK("http://www.ncbi.nlm.nih.gov/Taxonomy/Browser/wwwtax.cgi?mode=Info&amp;id=64793&amp;lvl=3&amp;lin=f&amp;keep=1&amp;srchmode=1&amp;unlock","64793")</f>
        <v>64793</v>
      </c>
      <c r="E925" t="s">
        <v>698</v>
      </c>
      <c r="F925" t="s">
        <v>698</v>
      </c>
      <c r="G925" t="str">
        <f>HYPERLINK("http://www.ncbi.nlm.nih.gov/Taxonomy/Browser/wwwtax.cgi?mode=Info&amp;id=64793&amp;lvl=3&amp;lin=f&amp;keep=1&amp;srchmode=1&amp;unlock","Wasmannia auropunctata")</f>
        <v>Wasmannia auropunctata</v>
      </c>
      <c r="H925" t="s">
        <v>843</v>
      </c>
      <c r="I925" t="str">
        <f>HYPERLINK("http://www.ncbi.nlm.nih.gov/protein/XP_011684606.1","PREDICTED: probable fatty acid-binding protein isoform X2")</f>
        <v>PREDICTED: probable fatty acid-binding protein isoform X2</v>
      </c>
      <c r="J925">
        <v>55.45</v>
      </c>
      <c r="K925" t="s">
        <v>25</v>
      </c>
      <c r="L925">
        <v>139</v>
      </c>
      <c r="M925">
        <v>50.68</v>
      </c>
      <c r="N925">
        <v>21.98</v>
      </c>
      <c r="O925" t="s">
        <v>25</v>
      </c>
      <c r="P925" t="s">
        <v>21</v>
      </c>
      <c r="Q925" t="s">
        <v>20</v>
      </c>
      <c r="R925" t="str">
        <f>HYPERLINK("https://cfpub.epa.gov/ecotox/explore.cfm?ncbi=64793","Explore in ECOTOX")</f>
        <v>Explore in ECOTOX</v>
      </c>
    </row>
    <row r="926" spans="1:18" x14ac:dyDescent="0.25">
      <c r="A926">
        <v>6</v>
      </c>
      <c r="B926" t="str">
        <f>HYPERLINK("http://www.ncbi.nlm.nih.gov/protein/XP_034827663.1","XP_034827663.1")</f>
        <v>XP_034827663.1</v>
      </c>
      <c r="C926">
        <v>17742</v>
      </c>
      <c r="D926" t="str">
        <f>HYPERLINK("http://www.ncbi.nlm.nih.gov/Taxonomy/Browser/wwwtax.cgi?mode=Info&amp;id=2795564&amp;lvl=3&amp;lin=f&amp;keep=1&amp;srchmode=1&amp;unlock","2795564")</f>
        <v>2795564</v>
      </c>
      <c r="E926" t="s">
        <v>698</v>
      </c>
      <c r="F926" t="s">
        <v>698</v>
      </c>
      <c r="G926" t="str">
        <f>HYPERLINK("http://www.ncbi.nlm.nih.gov/Taxonomy/Browser/wwwtax.cgi?mode=Info&amp;id=2795564&amp;lvl=3&amp;lin=f&amp;keep=1&amp;srchmode=1&amp;unlock","Maniola hyperantus")</f>
        <v>Maniola hyperantus</v>
      </c>
      <c r="H926" t="s">
        <v>844</v>
      </c>
      <c r="I926" t="str">
        <f>HYPERLINK("http://www.ncbi.nlm.nih.gov/protein/XP_034827663.1","sodium/calcium exchanger regulatory protein 1")</f>
        <v>sodium/calcium exchanger regulatory protein 1</v>
      </c>
      <c r="J926">
        <v>55.45</v>
      </c>
      <c r="K926" t="s">
        <v>25</v>
      </c>
      <c r="L926">
        <v>139</v>
      </c>
      <c r="M926">
        <v>50.68</v>
      </c>
      <c r="N926">
        <v>21.98</v>
      </c>
      <c r="O926" t="s">
        <v>25</v>
      </c>
      <c r="P926" t="s">
        <v>21</v>
      </c>
      <c r="Q926" t="s">
        <v>20</v>
      </c>
      <c r="R926" t="str">
        <f>HYPERLINK("https://cfpub.epa.gov/ecotox/explore.cfm?ncbi=2795564","Explore in ECOTOX")</f>
        <v>Explore in ECOTOX</v>
      </c>
    </row>
    <row r="927" spans="1:18" x14ac:dyDescent="0.25">
      <c r="A927">
        <v>6</v>
      </c>
      <c r="B927" t="str">
        <f>HYPERLINK("http://www.ncbi.nlm.nih.gov/protein/XP_026823099.1","XP_026823099.1")</f>
        <v>XP_026823099.1</v>
      </c>
      <c r="C927">
        <v>19583</v>
      </c>
      <c r="D927" t="str">
        <f>HYPERLINK("http://www.ncbi.nlm.nih.gov/Taxonomy/Browser/wwwtax.cgi?mode=Info&amp;id=43146&amp;lvl=3&amp;lin=f&amp;keep=1&amp;srchmode=1&amp;unlock","43146")</f>
        <v>43146</v>
      </c>
      <c r="E927" t="s">
        <v>698</v>
      </c>
      <c r="F927" t="s">
        <v>698</v>
      </c>
      <c r="G927" t="str">
        <f>HYPERLINK("http://www.ncbi.nlm.nih.gov/Taxonomy/Browser/wwwtax.cgi?mode=Info&amp;id=43146&amp;lvl=3&amp;lin=f&amp;keep=1&amp;srchmode=1&amp;unlock","Rhopalosiphum maidis")</f>
        <v>Rhopalosiphum maidis</v>
      </c>
      <c r="H927" t="s">
        <v>845</v>
      </c>
      <c r="I927" t="str">
        <f>HYPERLINK("http://www.ncbi.nlm.nih.gov/protein/XP_026823099.1","fatty acid-binding protein, muscle-like")</f>
        <v>fatty acid-binding protein, muscle-like</v>
      </c>
      <c r="J927">
        <v>55.45</v>
      </c>
      <c r="K927" t="s">
        <v>25</v>
      </c>
      <c r="L927">
        <v>139</v>
      </c>
      <c r="M927">
        <v>50.68</v>
      </c>
      <c r="N927">
        <v>21.98</v>
      </c>
      <c r="O927" t="s">
        <v>25</v>
      </c>
      <c r="P927" t="s">
        <v>21</v>
      </c>
      <c r="Q927" t="s">
        <v>20</v>
      </c>
      <c r="R927" t="str">
        <f>HYPERLINK("https://cfpub.epa.gov/ecotox/explore.cfm?ncbi=43146","Explore in ECOTOX")</f>
        <v>Explore in ECOTOX</v>
      </c>
    </row>
    <row r="928" spans="1:18" x14ac:dyDescent="0.25">
      <c r="A928">
        <v>6</v>
      </c>
      <c r="B928" t="str">
        <f>HYPERLINK("http://www.ncbi.nlm.nih.gov/protein/XP_030373570.1","XP_030373570.1")</f>
        <v>XP_030373570.1</v>
      </c>
      <c r="C928">
        <v>19868</v>
      </c>
      <c r="D928" t="str">
        <f>HYPERLINK("http://www.ncbi.nlm.nih.gov/Taxonomy/Browser/wwwtax.cgi?mode=Info&amp;id=7225&amp;lvl=3&amp;lin=f&amp;keep=1&amp;srchmode=1&amp;unlock","7225")</f>
        <v>7225</v>
      </c>
      <c r="E928" t="s">
        <v>698</v>
      </c>
      <c r="F928" t="s">
        <v>698</v>
      </c>
      <c r="G928" t="str">
        <f>HYPERLINK("http://www.ncbi.nlm.nih.gov/Taxonomy/Browser/wwwtax.cgi?mode=Info&amp;id=7225&amp;lvl=3&amp;lin=f&amp;keep=1&amp;srchmode=1&amp;unlock","Scaptodrosophila lebanonensis")</f>
        <v>Scaptodrosophila lebanonensis</v>
      </c>
      <c r="H928" t="s">
        <v>846</v>
      </c>
      <c r="I928" t="str">
        <f>HYPERLINK("http://www.ncbi.nlm.nih.gov/protein/XP_030373570.1","probable fatty acid-binding protein")</f>
        <v>probable fatty acid-binding protein</v>
      </c>
      <c r="J928">
        <v>55.45</v>
      </c>
      <c r="K928" t="s">
        <v>25</v>
      </c>
      <c r="L928">
        <v>139</v>
      </c>
      <c r="M928">
        <v>50.68</v>
      </c>
      <c r="N928">
        <v>21.98</v>
      </c>
      <c r="O928" t="s">
        <v>25</v>
      </c>
      <c r="P928" t="s">
        <v>21</v>
      </c>
      <c r="Q928" t="s">
        <v>20</v>
      </c>
      <c r="R928" t="str">
        <f>HYPERLINK("https://cfpub.epa.gov/ecotox/explore.cfm?ncbi=7225","Explore in ECOTOX")</f>
        <v>Explore in ECOTOX</v>
      </c>
    </row>
    <row r="929" spans="1:18" x14ac:dyDescent="0.25">
      <c r="A929">
        <v>6</v>
      </c>
      <c r="B929" t="str">
        <f>HYPERLINK("http://www.ncbi.nlm.nih.gov/protein/XP_001980550.1","XP_001980550.1")</f>
        <v>XP_001980550.1</v>
      </c>
      <c r="C929">
        <v>42790</v>
      </c>
      <c r="D929" t="str">
        <f>HYPERLINK("http://www.ncbi.nlm.nih.gov/Taxonomy/Browser/wwwtax.cgi?mode=Info&amp;id=7220&amp;lvl=3&amp;lin=f&amp;keep=1&amp;srchmode=1&amp;unlock","7220")</f>
        <v>7220</v>
      </c>
      <c r="E929" t="s">
        <v>698</v>
      </c>
      <c r="F929" t="s">
        <v>698</v>
      </c>
      <c r="G929" t="str">
        <f>HYPERLINK("http://www.ncbi.nlm.nih.gov/Taxonomy/Browser/wwwtax.cgi?mode=Info&amp;id=7220&amp;lvl=3&amp;lin=f&amp;keep=1&amp;srchmode=1&amp;unlock","Drosophila erecta")</f>
        <v>Drosophila erecta</v>
      </c>
      <c r="H929" t="s">
        <v>753</v>
      </c>
      <c r="I929" t="str">
        <f>HYPERLINK("http://www.ncbi.nlm.nih.gov/protein/XP_001980550.1","fatty acid-binding protein, muscle")</f>
        <v>fatty acid-binding protein, muscle</v>
      </c>
      <c r="J929">
        <v>55.07</v>
      </c>
      <c r="K929" t="s">
        <v>25</v>
      </c>
      <c r="L929">
        <v>139</v>
      </c>
      <c r="M929">
        <v>50.68</v>
      </c>
      <c r="N929">
        <v>21.83</v>
      </c>
      <c r="O929" t="s">
        <v>25</v>
      </c>
      <c r="P929" t="s">
        <v>21</v>
      </c>
      <c r="Q929" t="s">
        <v>20</v>
      </c>
      <c r="R929" t="str">
        <f>HYPERLINK("https://cfpub.epa.gov/ecotox/explore.cfm?ncbi=7220","Explore in ECOTOX")</f>
        <v>Explore in ECOTOX</v>
      </c>
    </row>
    <row r="930" spans="1:18" x14ac:dyDescent="0.25">
      <c r="A930">
        <v>6</v>
      </c>
      <c r="B930" t="str">
        <f>HYPERLINK("http://www.ncbi.nlm.nih.gov/protein/XP_025201353.1","XP_025201353.1")</f>
        <v>XP_025201353.1</v>
      </c>
      <c r="C930">
        <v>19221</v>
      </c>
      <c r="D930" t="str">
        <f>HYPERLINK("http://www.ncbi.nlm.nih.gov/Taxonomy/Browser/wwwtax.cgi?mode=Info&amp;id=742174&amp;lvl=3&amp;lin=f&amp;keep=1&amp;srchmode=1&amp;unlock","742174")</f>
        <v>742174</v>
      </c>
      <c r="E930" t="s">
        <v>698</v>
      </c>
      <c r="F930" t="s">
        <v>698</v>
      </c>
      <c r="G930" t="str">
        <f>HYPERLINK("http://www.ncbi.nlm.nih.gov/Taxonomy/Browser/wwwtax.cgi?mode=Info&amp;id=742174&amp;lvl=3&amp;lin=f&amp;keep=1&amp;srchmode=1&amp;unlock","Melanaphis sacchari")</f>
        <v>Melanaphis sacchari</v>
      </c>
      <c r="H930" t="s">
        <v>847</v>
      </c>
      <c r="I930" t="str">
        <f>HYPERLINK("http://www.ncbi.nlm.nih.gov/protein/XP_025201353.1","fatty acid-binding protein, muscle-like")</f>
        <v>fatty acid-binding protein, muscle-like</v>
      </c>
      <c r="J930">
        <v>55.07</v>
      </c>
      <c r="K930" t="s">
        <v>25</v>
      </c>
      <c r="L930">
        <v>139</v>
      </c>
      <c r="M930">
        <v>50.68</v>
      </c>
      <c r="N930">
        <v>21.83</v>
      </c>
      <c r="O930" t="s">
        <v>25</v>
      </c>
      <c r="P930" t="s">
        <v>21</v>
      </c>
      <c r="Q930" t="s">
        <v>20</v>
      </c>
      <c r="R930" t="str">
        <f>HYPERLINK("https://cfpub.epa.gov/ecotox/explore.cfm?ncbi=742174","Explore in ECOTOX")</f>
        <v>Explore in ECOTOX</v>
      </c>
    </row>
    <row r="931" spans="1:18" x14ac:dyDescent="0.25">
      <c r="A931">
        <v>6</v>
      </c>
      <c r="B931" t="str">
        <f>HYPERLINK("http://www.ncbi.nlm.nih.gov/protein/KRY18499.1","KRY18499.1")</f>
        <v>KRY18499.1</v>
      </c>
      <c r="C931">
        <v>19506</v>
      </c>
      <c r="D931" t="str">
        <f>HYPERLINK("http://www.ncbi.nlm.nih.gov/Taxonomy/Browser/wwwtax.cgi?mode=Info&amp;id=990121&amp;lvl=3&amp;lin=f&amp;keep=1&amp;srchmode=1&amp;unlock","990121")</f>
        <v>990121</v>
      </c>
      <c r="E931" t="s">
        <v>802</v>
      </c>
      <c r="F931" t="s">
        <v>802</v>
      </c>
      <c r="G931" t="str">
        <f>HYPERLINK("http://www.ncbi.nlm.nih.gov/Taxonomy/Browser/wwwtax.cgi?mode=Info&amp;id=990121&amp;lvl=3&amp;lin=f&amp;keep=1&amp;srchmode=1&amp;unlock","Trichinella patagoniensis")</f>
        <v>Trichinella patagoniensis</v>
      </c>
      <c r="H931" t="s">
        <v>803</v>
      </c>
      <c r="I931" t="str">
        <f>HYPERLINK("http://www.ncbi.nlm.nih.gov/protein/KRY18499.1","Fatty acid-binding -like protein 6")</f>
        <v>Fatty acid-binding -like protein 6</v>
      </c>
      <c r="J931">
        <v>55.07</v>
      </c>
      <c r="K931" t="s">
        <v>25</v>
      </c>
      <c r="L931">
        <v>139</v>
      </c>
      <c r="M931">
        <v>50.68</v>
      </c>
      <c r="N931">
        <v>21.83</v>
      </c>
      <c r="O931" t="s">
        <v>25</v>
      </c>
      <c r="P931" t="s">
        <v>21</v>
      </c>
      <c r="Q931" t="s">
        <v>20</v>
      </c>
      <c r="R931" t="str">
        <f>HYPERLINK("https://cfpub.epa.gov/ecotox/explore.cfm?ncbi=990121","Explore in ECOTOX")</f>
        <v>Explore in ECOTOX</v>
      </c>
    </row>
    <row r="932" spans="1:18" x14ac:dyDescent="0.25">
      <c r="A932">
        <v>6</v>
      </c>
      <c r="B932" t="str">
        <f>HYPERLINK("http://www.ncbi.nlm.nih.gov/protein/XP_018059658.1","XP_018059658.1")</f>
        <v>XP_018059658.1</v>
      </c>
      <c r="C932">
        <v>31103</v>
      </c>
      <c r="D932" t="str">
        <f>HYPERLINK("http://www.ncbi.nlm.nih.gov/Taxonomy/Browser/wwwtax.cgi?mode=Info&amp;id=520822&amp;lvl=3&amp;lin=f&amp;keep=1&amp;srchmode=1&amp;unlock","520822")</f>
        <v>520822</v>
      </c>
      <c r="E932" t="s">
        <v>698</v>
      </c>
      <c r="F932" t="s">
        <v>698</v>
      </c>
      <c r="G932" t="str">
        <f>HYPERLINK("http://www.ncbi.nlm.nih.gov/Taxonomy/Browser/wwwtax.cgi?mode=Info&amp;id=520822&amp;lvl=3&amp;lin=f&amp;keep=1&amp;srchmode=1&amp;unlock","Atta colombica")</f>
        <v>Atta colombica</v>
      </c>
      <c r="H932" t="s">
        <v>848</v>
      </c>
      <c r="I932" t="str">
        <f>HYPERLINK("http://www.ncbi.nlm.nih.gov/protein/XP_018059658.1","PREDICTED: fatty acid-binding protein, muscle isoform X2")</f>
        <v>PREDICTED: fatty acid-binding protein, muscle isoform X2</v>
      </c>
      <c r="J932">
        <v>55.07</v>
      </c>
      <c r="K932" t="s">
        <v>25</v>
      </c>
      <c r="L932">
        <v>139</v>
      </c>
      <c r="M932">
        <v>50.68</v>
      </c>
      <c r="N932">
        <v>21.83</v>
      </c>
      <c r="O932" t="s">
        <v>25</v>
      </c>
      <c r="P932" t="s">
        <v>21</v>
      </c>
      <c r="Q932" t="s">
        <v>20</v>
      </c>
      <c r="R932" t="str">
        <f>HYPERLINK("https://cfpub.epa.gov/ecotox/explore.cfm?ncbi=520822","Explore in ECOTOX")</f>
        <v>Explore in ECOTOX</v>
      </c>
    </row>
    <row r="933" spans="1:18" x14ac:dyDescent="0.25">
      <c r="A933">
        <v>6</v>
      </c>
      <c r="B933" t="str">
        <f>HYPERLINK("http://www.ncbi.nlm.nih.gov/protein/VVC26568.1","VVC26568.1")</f>
        <v>VVC26568.1</v>
      </c>
      <c r="C933">
        <v>22242</v>
      </c>
      <c r="D933" t="str">
        <f>HYPERLINK("http://www.ncbi.nlm.nih.gov/Taxonomy/Browser/wwwtax.cgi?mode=Info&amp;id=506608&amp;lvl=3&amp;lin=f&amp;keep=1&amp;srchmode=1&amp;unlock","506608")</f>
        <v>506608</v>
      </c>
      <c r="E933" t="s">
        <v>698</v>
      </c>
      <c r="F933" t="s">
        <v>698</v>
      </c>
      <c r="G933" t="str">
        <f>HYPERLINK("http://www.ncbi.nlm.nih.gov/Taxonomy/Browser/wwwtax.cgi?mode=Info&amp;id=506608&amp;lvl=3&amp;lin=f&amp;keep=1&amp;srchmode=1&amp;unlock","Cinara cedri")</f>
        <v>Cinara cedri</v>
      </c>
      <c r="H933" t="s">
        <v>847</v>
      </c>
      <c r="I933" t="str">
        <f>HYPERLINK("http://www.ncbi.nlm.nih.gov/protein/VVC26568.1","Hypothetical protein CINCED_3A003479")</f>
        <v>Hypothetical protein CINCED_3A003479</v>
      </c>
      <c r="J933">
        <v>55.07</v>
      </c>
      <c r="K933" t="s">
        <v>25</v>
      </c>
      <c r="L933">
        <v>139</v>
      </c>
      <c r="M933">
        <v>50.68</v>
      </c>
      <c r="N933">
        <v>21.83</v>
      </c>
      <c r="O933" t="s">
        <v>25</v>
      </c>
      <c r="P933" t="s">
        <v>21</v>
      </c>
      <c r="Q933" t="s">
        <v>20</v>
      </c>
      <c r="R933" t="str">
        <f>HYPERLINK("https://cfpub.epa.gov/ecotox/explore.cfm?ncbi=506608","Explore in ECOTOX")</f>
        <v>Explore in ECOTOX</v>
      </c>
    </row>
    <row r="934" spans="1:18" x14ac:dyDescent="0.25">
      <c r="A934">
        <v>6</v>
      </c>
      <c r="B934" t="str">
        <f>HYPERLINK("http://www.ncbi.nlm.nih.gov/protein/CAB0035871.1","CAB0035871.1")</f>
        <v>CAB0035871.1</v>
      </c>
      <c r="C934">
        <v>16951</v>
      </c>
      <c r="D934" t="str">
        <f>HYPERLINK("http://www.ncbi.nlm.nih.gov/Taxonomy/Browser/wwwtax.cgi?mode=Info&amp;id=86971&amp;lvl=3&amp;lin=f&amp;keep=1&amp;srchmode=1&amp;unlock","86971")</f>
        <v>86971</v>
      </c>
      <c r="E934" t="s">
        <v>698</v>
      </c>
      <c r="F934" t="s">
        <v>698</v>
      </c>
      <c r="G934" t="str">
        <f>HYPERLINK("http://www.ncbi.nlm.nih.gov/Taxonomy/Browser/wwwtax.cgi?mode=Info&amp;id=86971&amp;lvl=3&amp;lin=f&amp;keep=1&amp;srchmode=1&amp;unlock","Trichogramma brassicae")</f>
        <v>Trichogramma brassicae</v>
      </c>
      <c r="H934" t="s">
        <v>849</v>
      </c>
      <c r="I934" t="str">
        <f>HYPERLINK("http://www.ncbi.nlm.nih.gov/protein/CAB0035871.1","unnamed protein product")</f>
        <v>unnamed protein product</v>
      </c>
      <c r="J934">
        <v>55.07</v>
      </c>
      <c r="K934" t="s">
        <v>25</v>
      </c>
      <c r="L934">
        <v>139</v>
      </c>
      <c r="M934">
        <v>50.68</v>
      </c>
      <c r="N934">
        <v>21.83</v>
      </c>
      <c r="O934" t="s">
        <v>25</v>
      </c>
      <c r="P934" t="s">
        <v>21</v>
      </c>
      <c r="Q934" t="s">
        <v>20</v>
      </c>
      <c r="R934" t="str">
        <f>HYPERLINK("https://cfpub.epa.gov/ecotox/explore.cfm?ncbi=86971","Explore in ECOTOX")</f>
        <v>Explore in ECOTOX</v>
      </c>
    </row>
    <row r="935" spans="1:18" x14ac:dyDescent="0.25">
      <c r="A935">
        <v>6</v>
      </c>
      <c r="B935" t="str">
        <f>HYPERLINK("http://www.ncbi.nlm.nih.gov/protein/XP_005185799.1","XP_005185799.1")</f>
        <v>XP_005185799.1</v>
      </c>
      <c r="C935">
        <v>22201</v>
      </c>
      <c r="D935" t="str">
        <f>HYPERLINK("http://www.ncbi.nlm.nih.gov/Taxonomy/Browser/wwwtax.cgi?mode=Info&amp;id=7370&amp;lvl=3&amp;lin=f&amp;keep=1&amp;srchmode=1&amp;unlock","7370")</f>
        <v>7370</v>
      </c>
      <c r="E935" t="s">
        <v>698</v>
      </c>
      <c r="F935" t="s">
        <v>698</v>
      </c>
      <c r="G935" t="str">
        <f>HYPERLINK("http://www.ncbi.nlm.nih.gov/Taxonomy/Browser/wwwtax.cgi?mode=Info&amp;id=7370&amp;lvl=3&amp;lin=f&amp;keep=1&amp;srchmode=1&amp;unlock","Musca domestica")</f>
        <v>Musca domestica</v>
      </c>
      <c r="H935" t="s">
        <v>850</v>
      </c>
      <c r="I935" t="str">
        <f>HYPERLINK("http://www.ncbi.nlm.nih.gov/protein/XP_005185799.1","PREDICTED: probable fatty acid-binding protein")</f>
        <v>PREDICTED: probable fatty acid-binding protein</v>
      </c>
      <c r="J935">
        <v>54.68</v>
      </c>
      <c r="K935" t="s">
        <v>25</v>
      </c>
      <c r="L935">
        <v>139</v>
      </c>
      <c r="M935">
        <v>50.68</v>
      </c>
      <c r="N935">
        <v>21.67</v>
      </c>
      <c r="O935" t="s">
        <v>25</v>
      </c>
      <c r="P935" t="s">
        <v>21</v>
      </c>
      <c r="Q935" t="s">
        <v>20</v>
      </c>
      <c r="R935" t="str">
        <f>HYPERLINK("https://cfpub.epa.gov/ecotox/explore.cfm?ncbi=7370","Explore in ECOTOX")</f>
        <v>Explore in ECOTOX</v>
      </c>
    </row>
    <row r="936" spans="1:18" x14ac:dyDescent="0.25">
      <c r="A936">
        <v>6</v>
      </c>
      <c r="B936" t="str">
        <f>HYPERLINK("http://www.ncbi.nlm.nih.gov/protein/XP_018348634.1","XP_018348634.1")</f>
        <v>XP_018348634.1</v>
      </c>
      <c r="C936">
        <v>35616</v>
      </c>
      <c r="D936" t="str">
        <f>HYPERLINK("http://www.ncbi.nlm.nih.gov/Taxonomy/Browser/wwwtax.cgi?mode=Info&amp;id=34720&amp;lvl=3&amp;lin=f&amp;keep=1&amp;srchmode=1&amp;unlock","34720")</f>
        <v>34720</v>
      </c>
      <c r="E936" t="s">
        <v>698</v>
      </c>
      <c r="F936" t="s">
        <v>698</v>
      </c>
      <c r="G936" t="str">
        <f>HYPERLINK("http://www.ncbi.nlm.nih.gov/Taxonomy/Browser/wwwtax.cgi?mode=Info&amp;id=34720&amp;lvl=3&amp;lin=f&amp;keep=1&amp;srchmode=1&amp;unlock","Trachymyrmex septentrionalis")</f>
        <v>Trachymyrmex septentrionalis</v>
      </c>
      <c r="H936" t="s">
        <v>755</v>
      </c>
      <c r="I936" t="str">
        <f>HYPERLINK("http://www.ncbi.nlm.nih.gov/protein/XP_018348634.1","PREDICTED: fatty acid-binding protein, muscle isoform X2")</f>
        <v>PREDICTED: fatty acid-binding protein, muscle isoform X2</v>
      </c>
      <c r="J936">
        <v>54.68</v>
      </c>
      <c r="K936" t="s">
        <v>25</v>
      </c>
      <c r="L936">
        <v>139</v>
      </c>
      <c r="M936">
        <v>50.68</v>
      </c>
      <c r="N936">
        <v>21.67</v>
      </c>
      <c r="O936" t="s">
        <v>25</v>
      </c>
      <c r="P936" t="s">
        <v>21</v>
      </c>
      <c r="Q936" t="s">
        <v>20</v>
      </c>
      <c r="R936" t="str">
        <f>HYPERLINK("https://cfpub.epa.gov/ecotox/explore.cfm?ncbi=34720","Explore in ECOTOX")</f>
        <v>Explore in ECOTOX</v>
      </c>
    </row>
    <row r="937" spans="1:18" x14ac:dyDescent="0.25">
      <c r="A937">
        <v>6</v>
      </c>
      <c r="B937" t="str">
        <f>HYPERLINK("http://www.ncbi.nlm.nih.gov/protein/AGO02161.1","AGO02161.1")</f>
        <v>AGO02161.1</v>
      </c>
      <c r="C937">
        <v>975</v>
      </c>
      <c r="D937" t="str">
        <f>HYPERLINK("http://www.ncbi.nlm.nih.gov/Taxonomy/Browser/wwwtax.cgi?mode=Info&amp;id=85552&amp;lvl=3&amp;lin=f&amp;keep=1&amp;srchmode=1&amp;unlock","85552")</f>
        <v>85552</v>
      </c>
      <c r="E937" t="s">
        <v>742</v>
      </c>
      <c r="F937" t="s">
        <v>742</v>
      </c>
      <c r="G937" t="str">
        <f>HYPERLINK("http://www.ncbi.nlm.nih.gov/Taxonomy/Browser/wwwtax.cgi?mode=Info&amp;id=85552&amp;lvl=3&amp;lin=f&amp;keep=1&amp;srchmode=1&amp;unlock","Scylla paramamosain")</f>
        <v>Scylla paramamosain</v>
      </c>
      <c r="H937" t="s">
        <v>851</v>
      </c>
      <c r="I937" t="str">
        <f>HYPERLINK("http://www.ncbi.nlm.nih.gov/protein/AGO02161.1","fatty acid-binding protein")</f>
        <v>fatty acid-binding protein</v>
      </c>
      <c r="J937">
        <v>54.68</v>
      </c>
      <c r="K937" t="s">
        <v>20</v>
      </c>
      <c r="L937">
        <v>139</v>
      </c>
      <c r="M937">
        <v>50.68</v>
      </c>
      <c r="N937">
        <v>21.67</v>
      </c>
      <c r="O937" t="s">
        <v>20</v>
      </c>
      <c r="P937" t="s">
        <v>21</v>
      </c>
      <c r="Q937" t="s">
        <v>20</v>
      </c>
      <c r="R937" t="str">
        <f>HYPERLINK("https://cfpub.epa.gov/ecotox/explore.cfm?ncbi=85552","Explore in ECOTOX")</f>
        <v>Explore in ECOTOX</v>
      </c>
    </row>
    <row r="938" spans="1:18" x14ac:dyDescent="0.25">
      <c r="A938">
        <v>6</v>
      </c>
      <c r="B938" t="str">
        <f>HYPERLINK("http://www.ncbi.nlm.nih.gov/protein/XP_015782223.1","XP_015782223.1")</f>
        <v>XP_015782223.1</v>
      </c>
      <c r="C938">
        <v>16309</v>
      </c>
      <c r="D938" t="str">
        <f>HYPERLINK("http://www.ncbi.nlm.nih.gov/Taxonomy/Browser/wwwtax.cgi?mode=Info&amp;id=32264&amp;lvl=3&amp;lin=f&amp;keep=1&amp;srchmode=1&amp;unlock","32264")</f>
        <v>32264</v>
      </c>
      <c r="E938" t="s">
        <v>700</v>
      </c>
      <c r="F938" t="s">
        <v>700</v>
      </c>
      <c r="G938" t="str">
        <f>HYPERLINK("http://www.ncbi.nlm.nih.gov/Taxonomy/Browser/wwwtax.cgi?mode=Info&amp;id=32264&amp;lvl=3&amp;lin=f&amp;keep=1&amp;srchmode=1&amp;unlock","Tetranychus urticae")</f>
        <v>Tetranychus urticae</v>
      </c>
      <c r="H938" t="s">
        <v>852</v>
      </c>
      <c r="I938" t="str">
        <f>HYPERLINK("http://www.ncbi.nlm.nih.gov/protein/XP_015782223.1","fatty acid-binding protein")</f>
        <v>fatty acid-binding protein</v>
      </c>
      <c r="J938">
        <v>54.68</v>
      </c>
      <c r="K938" t="s">
        <v>25</v>
      </c>
      <c r="L938">
        <v>139</v>
      </c>
      <c r="M938">
        <v>50.68</v>
      </c>
      <c r="N938">
        <v>21.67</v>
      </c>
      <c r="O938" t="s">
        <v>25</v>
      </c>
      <c r="P938" t="s">
        <v>21</v>
      </c>
      <c r="Q938" t="s">
        <v>20</v>
      </c>
      <c r="R938" t="str">
        <f>HYPERLINK("https://cfpub.epa.gov/ecotox/explore.cfm?ncbi=32264","Explore in ECOTOX")</f>
        <v>Explore in ECOTOX</v>
      </c>
    </row>
    <row r="939" spans="1:18" x14ac:dyDescent="0.25">
      <c r="A939">
        <v>6</v>
      </c>
      <c r="B939" t="str">
        <f>HYPERLINK("http://www.ncbi.nlm.nih.gov/protein/XP_012063902.1","XP_012063902.1")</f>
        <v>XP_012063902.1</v>
      </c>
      <c r="C939">
        <v>10762</v>
      </c>
      <c r="D939" t="str">
        <f>HYPERLINK("http://www.ncbi.nlm.nih.gov/Taxonomy/Browser/wwwtax.cgi?mode=Info&amp;id=12957&amp;lvl=3&amp;lin=f&amp;keep=1&amp;srchmode=1&amp;unlock","12957")</f>
        <v>12957</v>
      </c>
      <c r="E939" t="s">
        <v>698</v>
      </c>
      <c r="F939" t="s">
        <v>698</v>
      </c>
      <c r="G939" t="str">
        <f>HYPERLINK("http://www.ncbi.nlm.nih.gov/Taxonomy/Browser/wwwtax.cgi?mode=Info&amp;id=12957&amp;lvl=3&amp;lin=f&amp;keep=1&amp;srchmode=1&amp;unlock","Atta cephalotes")</f>
        <v>Atta cephalotes</v>
      </c>
      <c r="H939" t="s">
        <v>848</v>
      </c>
      <c r="I939" t="str">
        <f>HYPERLINK("http://www.ncbi.nlm.nih.gov/protein/XP_012063902.1","PREDICTED: probable fatty acid-binding protein")</f>
        <v>PREDICTED: probable fatty acid-binding protein</v>
      </c>
      <c r="J939">
        <v>54.68</v>
      </c>
      <c r="K939" t="s">
        <v>25</v>
      </c>
      <c r="L939">
        <v>139</v>
      </c>
      <c r="M939">
        <v>50.68</v>
      </c>
      <c r="N939">
        <v>21.67</v>
      </c>
      <c r="O939" t="s">
        <v>25</v>
      </c>
      <c r="P939" t="s">
        <v>21</v>
      </c>
      <c r="Q939" t="s">
        <v>20</v>
      </c>
      <c r="R939" t="str">
        <f>HYPERLINK("https://cfpub.epa.gov/ecotox/explore.cfm?ncbi=12957","Explore in ECOTOX")</f>
        <v>Explore in ECOTOX</v>
      </c>
    </row>
    <row r="940" spans="1:18" x14ac:dyDescent="0.25">
      <c r="A940">
        <v>6</v>
      </c>
      <c r="B940" t="str">
        <f>HYPERLINK("http://www.ncbi.nlm.nih.gov/protein/XP_014604784.1","XP_014604784.1")</f>
        <v>XP_014604784.1</v>
      </c>
      <c r="C940">
        <v>19308</v>
      </c>
      <c r="D940" t="str">
        <f>HYPERLINK("http://www.ncbi.nlm.nih.gov/Taxonomy/Browser/wwwtax.cgi?mode=Info&amp;id=91411&amp;lvl=3&amp;lin=f&amp;keep=1&amp;srchmode=1&amp;unlock","91411")</f>
        <v>91411</v>
      </c>
      <c r="E940" t="s">
        <v>698</v>
      </c>
      <c r="F940" t="s">
        <v>698</v>
      </c>
      <c r="G940" t="str">
        <f>HYPERLINK("http://www.ncbi.nlm.nih.gov/Taxonomy/Browser/wwwtax.cgi?mode=Info&amp;id=91411&amp;lvl=3&amp;lin=f&amp;keep=1&amp;srchmode=1&amp;unlock","Polistes canadensis")</f>
        <v>Polistes canadensis</v>
      </c>
      <c r="H940" t="s">
        <v>853</v>
      </c>
      <c r="I940" t="str">
        <f>HYPERLINK("http://www.ncbi.nlm.nih.gov/protein/XP_014604784.1","PREDICTED: probable fatty acid-binding protein")</f>
        <v>PREDICTED: probable fatty acid-binding protein</v>
      </c>
      <c r="J940">
        <v>54.68</v>
      </c>
      <c r="K940" t="s">
        <v>25</v>
      </c>
      <c r="L940">
        <v>139</v>
      </c>
      <c r="M940">
        <v>50.68</v>
      </c>
      <c r="N940">
        <v>21.67</v>
      </c>
      <c r="O940" t="s">
        <v>25</v>
      </c>
      <c r="P940" t="s">
        <v>21</v>
      </c>
      <c r="Q940" t="s">
        <v>20</v>
      </c>
      <c r="R940" t="str">
        <f>HYPERLINK("https://cfpub.epa.gov/ecotox/explore.cfm?ncbi=91411","Explore in ECOTOX")</f>
        <v>Explore in ECOTOX</v>
      </c>
    </row>
    <row r="941" spans="1:18" x14ac:dyDescent="0.25">
      <c r="A941">
        <v>6</v>
      </c>
      <c r="B941" t="str">
        <f>HYPERLINK("http://www.ncbi.nlm.nih.gov/protein/XP_031346345.1","XP_031346345.1")</f>
        <v>XP_031346345.1</v>
      </c>
      <c r="C941">
        <v>48184</v>
      </c>
      <c r="D941" t="str">
        <f>HYPERLINK("http://www.ncbi.nlm.nih.gov/Taxonomy/Browser/wwwtax.cgi?mode=Info&amp;id=7054&amp;lvl=3&amp;lin=f&amp;keep=1&amp;srchmode=1&amp;unlock","7054")</f>
        <v>7054</v>
      </c>
      <c r="E941" t="s">
        <v>698</v>
      </c>
      <c r="F941" t="s">
        <v>698</v>
      </c>
      <c r="G941" t="str">
        <f>HYPERLINK("http://www.ncbi.nlm.nih.gov/Taxonomy/Browser/wwwtax.cgi?mode=Info&amp;id=7054&amp;lvl=3&amp;lin=f&amp;keep=1&amp;srchmode=1&amp;unlock","Photinus pyralis")</f>
        <v>Photinus pyralis</v>
      </c>
      <c r="H941" t="s">
        <v>854</v>
      </c>
      <c r="I941" t="str">
        <f>HYPERLINK("http://www.ncbi.nlm.nih.gov/protein/XP_031346345.1","fatty acid-binding protein, muscle-like")</f>
        <v>fatty acid-binding protein, muscle-like</v>
      </c>
      <c r="J941">
        <v>54.3</v>
      </c>
      <c r="K941" t="s">
        <v>25</v>
      </c>
      <c r="L941">
        <v>139</v>
      </c>
      <c r="M941">
        <v>50.68</v>
      </c>
      <c r="N941">
        <v>21.52</v>
      </c>
      <c r="O941" t="s">
        <v>25</v>
      </c>
      <c r="P941" t="s">
        <v>21</v>
      </c>
      <c r="Q941" t="s">
        <v>20</v>
      </c>
      <c r="R941" t="str">
        <f>HYPERLINK("https://cfpub.epa.gov/ecotox/explore.cfm?ncbi=7054","Explore in ECOTOX")</f>
        <v>Explore in ECOTOX</v>
      </c>
    </row>
    <row r="942" spans="1:18" x14ac:dyDescent="0.25">
      <c r="A942">
        <v>6</v>
      </c>
      <c r="B942" t="str">
        <f>HYPERLINK("http://www.ncbi.nlm.nih.gov/protein/RNA19088.1","RNA19088.1")</f>
        <v>RNA19088.1</v>
      </c>
      <c r="C942">
        <v>53037</v>
      </c>
      <c r="D942" t="str">
        <f>HYPERLINK("http://www.ncbi.nlm.nih.gov/Taxonomy/Browser/wwwtax.cgi?mode=Info&amp;id=10195&amp;lvl=3&amp;lin=f&amp;keep=1&amp;srchmode=1&amp;unlock","10195")</f>
        <v>10195</v>
      </c>
      <c r="E942" t="s">
        <v>855</v>
      </c>
      <c r="F942" t="s">
        <v>855</v>
      </c>
      <c r="G942" t="str">
        <f>HYPERLINK("http://www.ncbi.nlm.nih.gov/Taxonomy/Browser/wwwtax.cgi?mode=Info&amp;id=10195&amp;lvl=3&amp;lin=f&amp;keep=1&amp;srchmode=1&amp;unlock","Brachionus plicatilis")</f>
        <v>Brachionus plicatilis</v>
      </c>
      <c r="H942" t="s">
        <v>856</v>
      </c>
      <c r="I942" t="str">
        <f>HYPERLINK("http://www.ncbi.nlm.nih.gov/protein/RNA19088.1","fatty acid-binding heart")</f>
        <v>fatty acid-binding heart</v>
      </c>
      <c r="J942">
        <v>54.3</v>
      </c>
      <c r="K942" t="s">
        <v>25</v>
      </c>
      <c r="L942">
        <v>139</v>
      </c>
      <c r="M942">
        <v>50.68</v>
      </c>
      <c r="N942">
        <v>21.52</v>
      </c>
      <c r="O942" t="s">
        <v>25</v>
      </c>
      <c r="P942" t="s">
        <v>21</v>
      </c>
      <c r="Q942" t="s">
        <v>20</v>
      </c>
      <c r="R942" t="str">
        <f>HYPERLINK("https://cfpub.epa.gov/ecotox/explore.cfm?ncbi=10195","Explore in ECOTOX")</f>
        <v>Explore in ECOTOX</v>
      </c>
    </row>
    <row r="943" spans="1:18" x14ac:dyDescent="0.25">
      <c r="A943">
        <v>6</v>
      </c>
      <c r="B943" t="str">
        <f>HYPERLINK("http://www.ncbi.nlm.nih.gov/protein/XP_022215938.1","XP_022215938.1")</f>
        <v>XP_022215938.1</v>
      </c>
      <c r="C943">
        <v>26945</v>
      </c>
      <c r="D943" t="str">
        <f>HYPERLINK("http://www.ncbi.nlm.nih.gov/Taxonomy/Browser/wwwtax.cgi?mode=Info&amp;id=7282&amp;lvl=3&amp;lin=f&amp;keep=1&amp;srchmode=1&amp;unlock","7282")</f>
        <v>7282</v>
      </c>
      <c r="E943" t="s">
        <v>698</v>
      </c>
      <c r="F943" t="s">
        <v>698</v>
      </c>
      <c r="G943" t="str">
        <f>HYPERLINK("http://www.ncbi.nlm.nih.gov/Taxonomy/Browser/wwwtax.cgi?mode=Info&amp;id=7282&amp;lvl=3&amp;lin=f&amp;keep=1&amp;srchmode=1&amp;unlock","Drosophila obscura")</f>
        <v>Drosophila obscura</v>
      </c>
      <c r="H943" t="s">
        <v>753</v>
      </c>
      <c r="I943" t="str">
        <f>HYPERLINK("http://www.ncbi.nlm.nih.gov/protein/XP_022215938.1","probable fatty acid-binding protein")</f>
        <v>probable fatty acid-binding protein</v>
      </c>
      <c r="J943">
        <v>54.3</v>
      </c>
      <c r="K943" t="s">
        <v>25</v>
      </c>
      <c r="L943">
        <v>139</v>
      </c>
      <c r="M943">
        <v>50.68</v>
      </c>
      <c r="N943">
        <v>21.52</v>
      </c>
      <c r="O943" t="s">
        <v>25</v>
      </c>
      <c r="P943" t="s">
        <v>21</v>
      </c>
      <c r="Q943" t="s">
        <v>20</v>
      </c>
      <c r="R943" t="str">
        <f>HYPERLINK("https://cfpub.epa.gov/ecotox/explore.cfm?ncbi=7282","Explore in ECOTOX")</f>
        <v>Explore in ECOTOX</v>
      </c>
    </row>
    <row r="944" spans="1:18" x14ac:dyDescent="0.25">
      <c r="A944">
        <v>6</v>
      </c>
      <c r="B944" t="str">
        <f>HYPERLINK("http://www.ncbi.nlm.nih.gov/protein/KAF2899143.1","KAF2899143.1")</f>
        <v>KAF2899143.1</v>
      </c>
      <c r="C944">
        <v>27570</v>
      </c>
      <c r="D944" t="str">
        <f>HYPERLINK("http://www.ncbi.nlm.nih.gov/Taxonomy/Browser/wwwtax.cgi?mode=Info&amp;id=2038154&amp;lvl=3&amp;lin=f&amp;keep=1&amp;srchmode=1&amp;unlock","2038154")</f>
        <v>2038154</v>
      </c>
      <c r="E944" t="s">
        <v>698</v>
      </c>
      <c r="F944" t="s">
        <v>698</v>
      </c>
      <c r="G944" t="str">
        <f>HYPERLINK("http://www.ncbi.nlm.nih.gov/Taxonomy/Browser/wwwtax.cgi?mode=Info&amp;id=2038154&amp;lvl=3&amp;lin=f&amp;keep=1&amp;srchmode=1&amp;unlock","Ignelater luminosus")</f>
        <v>Ignelater luminosus</v>
      </c>
      <c r="H944" t="s">
        <v>857</v>
      </c>
      <c r="I944" t="str">
        <f>HYPERLINK("http://www.ncbi.nlm.nih.gov/protein/KAF2899143.1","hypothetical protein ILUMI_07031")</f>
        <v>hypothetical protein ILUMI_07031</v>
      </c>
      <c r="J944">
        <v>54.3</v>
      </c>
      <c r="K944" t="s">
        <v>25</v>
      </c>
      <c r="L944">
        <v>139</v>
      </c>
      <c r="M944">
        <v>50.68</v>
      </c>
      <c r="N944">
        <v>21.52</v>
      </c>
      <c r="O944" t="s">
        <v>25</v>
      </c>
      <c r="P944" t="s">
        <v>21</v>
      </c>
      <c r="Q944" t="s">
        <v>20</v>
      </c>
      <c r="R944" t="str">
        <f>HYPERLINK("https://cfpub.epa.gov/ecotox/explore.cfm?ncbi=2038154","Explore in ECOTOX")</f>
        <v>Explore in ECOTOX</v>
      </c>
    </row>
    <row r="945" spans="1:18" x14ac:dyDescent="0.25">
      <c r="A945">
        <v>6</v>
      </c>
      <c r="B945" t="str">
        <f>HYPERLINK("http://www.ncbi.nlm.nih.gov/protein/ABE77153.1","ABE77153.1")</f>
        <v>ABE77153.1</v>
      </c>
      <c r="C945">
        <v>181</v>
      </c>
      <c r="D945" t="str">
        <f>HYPERLINK("http://www.ncbi.nlm.nih.gov/Taxonomy/Browser/wwwtax.cgi?mode=Info&amp;id=6720&amp;lvl=3&amp;lin=f&amp;keep=1&amp;srchmode=1&amp;unlock","6720")</f>
        <v>6720</v>
      </c>
      <c r="E945" t="s">
        <v>742</v>
      </c>
      <c r="F945" t="s">
        <v>742</v>
      </c>
      <c r="G945" t="str">
        <f>HYPERLINK("http://www.ncbi.nlm.nih.gov/Taxonomy/Browser/wwwtax.cgi?mode=Info&amp;id=6720&amp;lvl=3&amp;lin=f&amp;keep=1&amp;srchmode=1&amp;unlock","Pacifastacus leniusculus")</f>
        <v>Pacifastacus leniusculus</v>
      </c>
      <c r="H945" t="s">
        <v>858</v>
      </c>
      <c r="I945" t="str">
        <f>HYPERLINK("http://www.ncbi.nlm.nih.gov/protein/ABE77153.1","intracellular fatty acid binding protein")</f>
        <v>intracellular fatty acid binding protein</v>
      </c>
      <c r="J945">
        <v>53.91</v>
      </c>
      <c r="K945" t="s">
        <v>25</v>
      </c>
      <c r="L945">
        <v>139</v>
      </c>
      <c r="M945">
        <v>50.68</v>
      </c>
      <c r="N945">
        <v>21.37</v>
      </c>
      <c r="O945" t="s">
        <v>25</v>
      </c>
      <c r="P945" t="s">
        <v>21</v>
      </c>
      <c r="Q945" t="s">
        <v>20</v>
      </c>
      <c r="R945" t="str">
        <f>HYPERLINK("https://cfpub.epa.gov/ecotox/explore.cfm?ncbi=6720","Explore in ECOTOX")</f>
        <v>Explore in ECOTOX</v>
      </c>
    </row>
    <row r="946" spans="1:18" x14ac:dyDescent="0.25">
      <c r="A946">
        <v>6</v>
      </c>
      <c r="B946" t="str">
        <f>HYPERLINK("http://www.ncbi.nlm.nih.gov/protein/XP_018022424.1","XP_018022424.1")</f>
        <v>XP_018022424.1</v>
      </c>
      <c r="C946">
        <v>32131</v>
      </c>
      <c r="D946" t="str">
        <f>HYPERLINK("http://www.ncbi.nlm.nih.gov/Taxonomy/Browser/wwwtax.cgi?mode=Info&amp;id=294128&amp;lvl=3&amp;lin=f&amp;keep=1&amp;srchmode=1&amp;unlock","294128")</f>
        <v>294128</v>
      </c>
      <c r="E946" t="s">
        <v>742</v>
      </c>
      <c r="F946" t="s">
        <v>742</v>
      </c>
      <c r="G946" t="str">
        <f>HYPERLINK("http://www.ncbi.nlm.nih.gov/Taxonomy/Browser/wwwtax.cgi?mode=Info&amp;id=294128&amp;lvl=3&amp;lin=f&amp;keep=1&amp;srchmode=1&amp;unlock","Hyalella azteca")</f>
        <v>Hyalella azteca</v>
      </c>
      <c r="H946" t="s">
        <v>773</v>
      </c>
      <c r="I946" t="str">
        <f>HYPERLINK("http://www.ncbi.nlm.nih.gov/protein/XP_018022424.1","PREDICTED: fatty acid binding protein 1-A, liver-like")</f>
        <v>PREDICTED: fatty acid binding protein 1-A, liver-like</v>
      </c>
      <c r="J946">
        <v>53.91</v>
      </c>
      <c r="K946" t="s">
        <v>25</v>
      </c>
      <c r="L946">
        <v>139</v>
      </c>
      <c r="M946">
        <v>50.68</v>
      </c>
      <c r="N946">
        <v>21.37</v>
      </c>
      <c r="O946" t="s">
        <v>25</v>
      </c>
      <c r="P946" t="s">
        <v>21</v>
      </c>
      <c r="Q946" t="s">
        <v>20</v>
      </c>
      <c r="R946" t="str">
        <f>HYPERLINK("https://cfpub.epa.gov/ecotox/explore.cfm?ncbi=294128","Explore in ECOTOX")</f>
        <v>Explore in ECOTOX</v>
      </c>
    </row>
    <row r="947" spans="1:18" x14ac:dyDescent="0.25">
      <c r="A947">
        <v>6</v>
      </c>
      <c r="B947" t="str">
        <f>HYPERLINK("http://www.ncbi.nlm.nih.gov/protein/AMY59978.1","AMY59978.1")</f>
        <v>AMY59978.1</v>
      </c>
      <c r="C947">
        <v>99936</v>
      </c>
      <c r="D947" t="str">
        <f>HYPERLINK("http://www.ncbi.nlm.nih.gov/Taxonomy/Browser/wwwtax.cgi?mode=Info&amp;id=210409&amp;lvl=3&amp;lin=f&amp;keep=1&amp;srchmode=1&amp;unlock","210409")</f>
        <v>210409</v>
      </c>
      <c r="E947" t="s">
        <v>742</v>
      </c>
      <c r="F947" t="s">
        <v>742</v>
      </c>
      <c r="G947" t="str">
        <f>HYPERLINK("http://www.ncbi.nlm.nih.gov/Taxonomy/Browser/wwwtax.cgi?mode=Info&amp;id=210409&amp;lvl=3&amp;lin=f&amp;keep=1&amp;srchmode=1&amp;unlock","Portunus trituberculatus")</f>
        <v>Portunus trituberculatus</v>
      </c>
      <c r="H947" t="s">
        <v>859</v>
      </c>
      <c r="I947" t="str">
        <f>HYPERLINK("http://www.ncbi.nlm.nih.gov/protein/AMY59978.1","hepatopancreas fatty acid-binding protein")</f>
        <v>hepatopancreas fatty acid-binding protein</v>
      </c>
      <c r="J947">
        <v>53.91</v>
      </c>
      <c r="K947" t="s">
        <v>20</v>
      </c>
      <c r="L947">
        <v>139</v>
      </c>
      <c r="M947">
        <v>50.68</v>
      </c>
      <c r="N947">
        <v>21.37</v>
      </c>
      <c r="O947" t="s">
        <v>20</v>
      </c>
      <c r="P947" t="s">
        <v>21</v>
      </c>
      <c r="Q947" t="s">
        <v>20</v>
      </c>
      <c r="R947" t="str">
        <f>HYPERLINK("https://cfpub.epa.gov/ecotox/explore.cfm?ncbi=210409","Explore in ECOTOX")</f>
        <v>Explore in ECOTOX</v>
      </c>
    </row>
    <row r="948" spans="1:18" x14ac:dyDescent="0.25">
      <c r="A948">
        <v>6</v>
      </c>
      <c r="B948" t="str">
        <f>HYPERLINK("http://www.ncbi.nlm.nih.gov/protein/XP_017845053.1","XP_017845053.1")</f>
        <v>XP_017845053.1</v>
      </c>
      <c r="C948">
        <v>31279</v>
      </c>
      <c r="D948" t="str">
        <f>HYPERLINK("http://www.ncbi.nlm.nih.gov/Taxonomy/Browser/wwwtax.cgi?mode=Info&amp;id=30019&amp;lvl=3&amp;lin=f&amp;keep=1&amp;srchmode=1&amp;unlock","30019")</f>
        <v>30019</v>
      </c>
      <c r="E948" t="s">
        <v>698</v>
      </c>
      <c r="F948" t="s">
        <v>698</v>
      </c>
      <c r="G948" t="str">
        <f>HYPERLINK("http://www.ncbi.nlm.nih.gov/Taxonomy/Browser/wwwtax.cgi?mode=Info&amp;id=30019&amp;lvl=3&amp;lin=f&amp;keep=1&amp;srchmode=1&amp;unlock","Drosophila busckii")</f>
        <v>Drosophila busckii</v>
      </c>
      <c r="H948" t="s">
        <v>753</v>
      </c>
      <c r="I948" t="str">
        <f>HYPERLINK("http://www.ncbi.nlm.nih.gov/protein/XP_017845053.1","probable fatty acid-binding protein")</f>
        <v>probable fatty acid-binding protein</v>
      </c>
      <c r="J948">
        <v>53.91</v>
      </c>
      <c r="K948" t="s">
        <v>25</v>
      </c>
      <c r="L948">
        <v>139</v>
      </c>
      <c r="M948">
        <v>50.68</v>
      </c>
      <c r="N948">
        <v>21.37</v>
      </c>
      <c r="O948" t="s">
        <v>25</v>
      </c>
      <c r="P948" t="s">
        <v>21</v>
      </c>
      <c r="Q948" t="s">
        <v>20</v>
      </c>
      <c r="R948" t="str">
        <f>HYPERLINK("https://cfpub.epa.gov/ecotox/explore.cfm?ncbi=30019","Explore in ECOTOX")</f>
        <v>Explore in ECOTOX</v>
      </c>
    </row>
    <row r="949" spans="1:18" x14ac:dyDescent="0.25">
      <c r="A949">
        <v>6</v>
      </c>
      <c r="B949" t="str">
        <f>HYPERLINK("http://www.ncbi.nlm.nih.gov/protein/XP_033321473.1","XP_033321473.1")</f>
        <v>XP_033321473.1</v>
      </c>
      <c r="C949">
        <v>22393</v>
      </c>
      <c r="D949" t="str">
        <f>HYPERLINK("http://www.ncbi.nlm.nih.gov/Taxonomy/Browser/wwwtax.cgi?mode=Info&amp;id=115081&amp;lvl=3&amp;lin=f&amp;keep=1&amp;srchmode=1&amp;unlock","115081")</f>
        <v>115081</v>
      </c>
      <c r="E949" t="s">
        <v>698</v>
      </c>
      <c r="F949" t="s">
        <v>698</v>
      </c>
      <c r="G949" t="str">
        <f>HYPERLINK("http://www.ncbi.nlm.nih.gov/Taxonomy/Browser/wwwtax.cgi?mode=Info&amp;id=115081&amp;lvl=3&amp;lin=f&amp;keep=1&amp;srchmode=1&amp;unlock","Megalopta genalis")</f>
        <v>Megalopta genalis</v>
      </c>
      <c r="H949" t="s">
        <v>860</v>
      </c>
      <c r="I949" t="str">
        <f>HYPERLINK("http://www.ncbi.nlm.nih.gov/protein/XP_033321473.1","sodium/calcium exchanger regulatory protein 1 isoform X2")</f>
        <v>sodium/calcium exchanger regulatory protein 1 isoform X2</v>
      </c>
      <c r="J949">
        <v>53.91</v>
      </c>
      <c r="K949" t="s">
        <v>25</v>
      </c>
      <c r="L949">
        <v>139</v>
      </c>
      <c r="M949">
        <v>50.68</v>
      </c>
      <c r="N949">
        <v>21.37</v>
      </c>
      <c r="O949" t="s">
        <v>25</v>
      </c>
      <c r="P949" t="s">
        <v>21</v>
      </c>
      <c r="Q949" t="s">
        <v>20</v>
      </c>
      <c r="R949" t="str">
        <f>HYPERLINK("https://cfpub.epa.gov/ecotox/explore.cfm?ncbi=115081","Explore in ECOTOX")</f>
        <v>Explore in ECOTOX</v>
      </c>
    </row>
    <row r="950" spans="1:18" x14ac:dyDescent="0.25">
      <c r="A950">
        <v>6</v>
      </c>
      <c r="B950" t="str">
        <f>HYPERLINK("http://www.ncbi.nlm.nih.gov/protein/XP_006814455.1","XP_006814455.1")</f>
        <v>XP_006814455.1</v>
      </c>
      <c r="C950">
        <v>22971</v>
      </c>
      <c r="D950" t="str">
        <f>HYPERLINK("http://www.ncbi.nlm.nih.gov/Taxonomy/Browser/wwwtax.cgi?mode=Info&amp;id=10224&amp;lvl=3&amp;lin=f&amp;keep=1&amp;srchmode=1&amp;unlock","10224")</f>
        <v>10224</v>
      </c>
      <c r="E950" t="s">
        <v>861</v>
      </c>
      <c r="F950" t="s">
        <v>861</v>
      </c>
      <c r="G950" t="str">
        <f>HYPERLINK("http://www.ncbi.nlm.nih.gov/Taxonomy/Browser/wwwtax.cgi?mode=Info&amp;id=10224&amp;lvl=3&amp;lin=f&amp;keep=1&amp;srchmode=1&amp;unlock","Saccoglossus kowalevskii")</f>
        <v>Saccoglossus kowalevskii</v>
      </c>
      <c r="H950" t="s">
        <v>862</v>
      </c>
      <c r="I950" t="str">
        <f>HYPERLINK("http://www.ncbi.nlm.nih.gov/protein/XP_006814455.1","PREDICTED: fatty acid-binding protein 10-A, liver basic-like")</f>
        <v>PREDICTED: fatty acid-binding protein 10-A, liver basic-like</v>
      </c>
      <c r="J950">
        <v>53.53</v>
      </c>
      <c r="K950" t="s">
        <v>25</v>
      </c>
      <c r="L950">
        <v>139</v>
      </c>
      <c r="M950">
        <v>50.68</v>
      </c>
      <c r="N950">
        <v>21.22</v>
      </c>
      <c r="O950" t="s">
        <v>25</v>
      </c>
      <c r="P950" t="s">
        <v>21</v>
      </c>
      <c r="Q950" t="s">
        <v>20</v>
      </c>
      <c r="R950" t="str">
        <f>HYPERLINK("https://cfpub.epa.gov/ecotox/explore.cfm?ncbi=10224","Explore in ECOTOX")</f>
        <v>Explore in ECOTOX</v>
      </c>
    </row>
    <row r="951" spans="1:18" x14ac:dyDescent="0.25">
      <c r="A951">
        <v>6</v>
      </c>
      <c r="B951" t="str">
        <f>HYPERLINK("http://www.ncbi.nlm.nih.gov/protein/XP_014220479.1","XP_014220479.1")</f>
        <v>XP_014220479.1</v>
      </c>
      <c r="C951">
        <v>21179</v>
      </c>
      <c r="D951" t="str">
        <f>HYPERLINK("http://www.ncbi.nlm.nih.gov/Taxonomy/Browser/wwwtax.cgi?mode=Info&amp;id=7493&amp;lvl=3&amp;lin=f&amp;keep=1&amp;srchmode=1&amp;unlock","7493")</f>
        <v>7493</v>
      </c>
      <c r="E951" t="s">
        <v>698</v>
      </c>
      <c r="F951" t="s">
        <v>698</v>
      </c>
      <c r="G951" t="str">
        <f>HYPERLINK("http://www.ncbi.nlm.nih.gov/Taxonomy/Browser/wwwtax.cgi?mode=Info&amp;id=7493&amp;lvl=3&amp;lin=f&amp;keep=1&amp;srchmode=1&amp;unlock","Trichogramma pretiosum")</f>
        <v>Trichogramma pretiosum</v>
      </c>
      <c r="H951" t="s">
        <v>849</v>
      </c>
      <c r="I951" t="str">
        <f>HYPERLINK("http://www.ncbi.nlm.nih.gov/protein/XP_014220479.1","fatty acid-binding protein, muscle isoform X2")</f>
        <v>fatty acid-binding protein, muscle isoform X2</v>
      </c>
      <c r="J951">
        <v>53.53</v>
      </c>
      <c r="K951" t="s">
        <v>25</v>
      </c>
      <c r="L951">
        <v>139</v>
      </c>
      <c r="M951">
        <v>50.68</v>
      </c>
      <c r="N951">
        <v>21.22</v>
      </c>
      <c r="O951" t="s">
        <v>25</v>
      </c>
      <c r="P951" t="s">
        <v>21</v>
      </c>
      <c r="Q951" t="s">
        <v>20</v>
      </c>
      <c r="R951" t="str">
        <f>HYPERLINK("https://cfpub.epa.gov/ecotox/explore.cfm?ncbi=7493","Explore in ECOTOX")</f>
        <v>Explore in ECOTOX</v>
      </c>
    </row>
    <row r="952" spans="1:18" x14ac:dyDescent="0.25">
      <c r="A952">
        <v>6</v>
      </c>
      <c r="B952" t="str">
        <f>HYPERLINK("http://www.ncbi.nlm.nih.gov/protein/XP_033214745.1","XP_033214745.1")</f>
        <v>XP_033214745.1</v>
      </c>
      <c r="C952">
        <v>25334</v>
      </c>
      <c r="D952" t="str">
        <f>HYPERLINK("http://www.ncbi.nlm.nih.gov/Taxonomy/Browser/wwwtax.cgi?mode=Info&amp;id=1159321&amp;lvl=3&amp;lin=f&amp;keep=1&amp;srchmode=1&amp;unlock","1159321")</f>
        <v>1159321</v>
      </c>
      <c r="E952" t="s">
        <v>698</v>
      </c>
      <c r="F952" t="s">
        <v>698</v>
      </c>
      <c r="G952" t="str">
        <f>HYPERLINK("http://www.ncbi.nlm.nih.gov/Taxonomy/Browser/wwwtax.cgi?mode=Info&amp;id=1159321&amp;lvl=3&amp;lin=f&amp;keep=1&amp;srchmode=1&amp;unlock","Belonocnema treatae")</f>
        <v>Belonocnema treatae</v>
      </c>
      <c r="H952" t="s">
        <v>863</v>
      </c>
      <c r="I952" t="str">
        <f>HYPERLINK("http://www.ncbi.nlm.nih.gov/protein/XP_033214745.1","sodium/calcium exchanger regulatory protein 1 isoform X2")</f>
        <v>sodium/calcium exchanger regulatory protein 1 isoform X2</v>
      </c>
      <c r="J952">
        <v>53.53</v>
      </c>
      <c r="K952" t="s">
        <v>25</v>
      </c>
      <c r="L952">
        <v>139</v>
      </c>
      <c r="M952">
        <v>50.68</v>
      </c>
      <c r="N952">
        <v>21.22</v>
      </c>
      <c r="O952" t="s">
        <v>25</v>
      </c>
      <c r="P952" t="s">
        <v>21</v>
      </c>
      <c r="Q952" t="s">
        <v>20</v>
      </c>
      <c r="R952" t="str">
        <f>HYPERLINK("https://cfpub.epa.gov/ecotox/explore.cfm?ncbi=1159321","Explore in ECOTOX")</f>
        <v>Explore in ECOTOX</v>
      </c>
    </row>
    <row r="953" spans="1:18" x14ac:dyDescent="0.25">
      <c r="A953">
        <v>6</v>
      </c>
      <c r="B953" t="str">
        <f>HYPERLINK("http://www.ncbi.nlm.nih.gov/protein/XP_016950156.1","XP_016950156.1")</f>
        <v>XP_016950156.1</v>
      </c>
      <c r="C953">
        <v>22747</v>
      </c>
      <c r="D953" t="str">
        <f>HYPERLINK("http://www.ncbi.nlm.nih.gov/Taxonomy/Browser/wwwtax.cgi?mode=Info&amp;id=125945&amp;lvl=3&amp;lin=f&amp;keep=1&amp;srchmode=1&amp;unlock","125945")</f>
        <v>125945</v>
      </c>
      <c r="E953" t="s">
        <v>698</v>
      </c>
      <c r="F953" t="s">
        <v>698</v>
      </c>
      <c r="G953" t="str">
        <f>HYPERLINK("http://www.ncbi.nlm.nih.gov/Taxonomy/Browser/wwwtax.cgi?mode=Info&amp;id=125945&amp;lvl=3&amp;lin=f&amp;keep=1&amp;srchmode=1&amp;unlock","Drosophila biarmipes")</f>
        <v>Drosophila biarmipes</v>
      </c>
      <c r="H953" t="s">
        <v>753</v>
      </c>
      <c r="I953" t="str">
        <f>HYPERLINK("http://www.ncbi.nlm.nih.gov/protein/XP_016950156.1","PREDICTED: fatty acid-binding protein, muscle")</f>
        <v>PREDICTED: fatty acid-binding protein, muscle</v>
      </c>
      <c r="J953">
        <v>53.53</v>
      </c>
      <c r="K953" t="s">
        <v>25</v>
      </c>
      <c r="L953">
        <v>139</v>
      </c>
      <c r="M953">
        <v>50.68</v>
      </c>
      <c r="N953">
        <v>21.22</v>
      </c>
      <c r="O953" t="s">
        <v>25</v>
      </c>
      <c r="P953" t="s">
        <v>21</v>
      </c>
      <c r="Q953" t="s">
        <v>20</v>
      </c>
      <c r="R953" t="str">
        <f>HYPERLINK("https://cfpub.epa.gov/ecotox/explore.cfm?ncbi=125945","Explore in ECOTOX")</f>
        <v>Explore in ECOTOX</v>
      </c>
    </row>
    <row r="954" spans="1:18" x14ac:dyDescent="0.25">
      <c r="A954">
        <v>6</v>
      </c>
      <c r="B954" t="str">
        <f>HYPERLINK("http://www.ncbi.nlm.nih.gov/protein/ADA61017.1","ADA61017.1")</f>
        <v>ADA61017.1</v>
      </c>
      <c r="C954">
        <v>180</v>
      </c>
      <c r="D954" t="str">
        <f>HYPERLINK("http://www.ncbi.nlm.nih.gov/Taxonomy/Browser/wwwtax.cgi?mode=Info&amp;id=75362&amp;lvl=3&amp;lin=f&amp;keep=1&amp;srchmode=1&amp;unlock","75362")</f>
        <v>75362</v>
      </c>
      <c r="E954" t="s">
        <v>384</v>
      </c>
      <c r="F954" t="s">
        <v>384</v>
      </c>
      <c r="G954" t="str">
        <f>HYPERLINK("http://www.ncbi.nlm.nih.gov/Taxonomy/Browser/wwwtax.cgi?mode=Info&amp;id=75362&amp;lvl=3&amp;lin=f&amp;keep=1&amp;srchmode=1&amp;unlock","Schizothorax prenanti")</f>
        <v>Schizothorax prenanti</v>
      </c>
      <c r="H954" t="s">
        <v>529</v>
      </c>
      <c r="I954" t="str">
        <f>HYPERLINK("http://www.ncbi.nlm.nih.gov/protein/ADA61017.1","heart-type fatty-acid binding protein")</f>
        <v>heart-type fatty-acid binding protein</v>
      </c>
      <c r="J954">
        <v>53.14</v>
      </c>
      <c r="K954" t="s">
        <v>25</v>
      </c>
      <c r="L954">
        <v>139</v>
      </c>
      <c r="M954">
        <v>50.68</v>
      </c>
      <c r="N954">
        <v>21.06</v>
      </c>
      <c r="O954" t="s">
        <v>20</v>
      </c>
      <c r="P954" t="s">
        <v>21</v>
      </c>
      <c r="Q954" t="s">
        <v>20</v>
      </c>
      <c r="R954" t="str">
        <f>HYPERLINK("https://cfpub.epa.gov/ecotox/explore.cfm?ncbi=75362","Explore in ECOTOX")</f>
        <v>Explore in ECOTOX</v>
      </c>
    </row>
    <row r="955" spans="1:18" x14ac:dyDescent="0.25">
      <c r="A955">
        <v>6</v>
      </c>
      <c r="B955" t="str">
        <f>HYPERLINK("http://www.ncbi.nlm.nih.gov/protein/RDD36679.1","RDD36679.1")</f>
        <v>RDD36679.1</v>
      </c>
      <c r="C955">
        <v>12180</v>
      </c>
      <c r="D955" t="str">
        <f>HYPERLINK("http://www.ncbi.nlm.nih.gov/Taxonomy/Browser/wwwtax.cgi?mode=Info&amp;id=287889&amp;lvl=3&amp;lin=f&amp;keep=1&amp;srchmode=1&amp;unlock","287889")</f>
        <v>287889</v>
      </c>
      <c r="E955" t="s">
        <v>864</v>
      </c>
      <c r="F955" t="s">
        <v>864</v>
      </c>
      <c r="G955" t="str">
        <f>HYPERLINK("http://www.ncbi.nlm.nih.gov/Taxonomy/Browser/wwwtax.cgi?mode=Info&amp;id=287889&amp;lvl=3&amp;lin=f&amp;keep=1&amp;srchmode=1&amp;unlock","Trichoplax sp. H2")</f>
        <v>Trichoplax sp. H2</v>
      </c>
      <c r="H955" t="s">
        <v>865</v>
      </c>
      <c r="I955" t="str">
        <f>HYPERLINK("http://www.ncbi.nlm.nih.gov/protein/RDD36679.1","Fatty acid-binding protein type 3")</f>
        <v>Fatty acid-binding protein type 3</v>
      </c>
      <c r="J955">
        <v>53.14</v>
      </c>
      <c r="K955" t="s">
        <v>25</v>
      </c>
      <c r="L955">
        <v>139</v>
      </c>
      <c r="M955">
        <v>50.68</v>
      </c>
      <c r="N955">
        <v>21.06</v>
      </c>
      <c r="O955" t="s">
        <v>25</v>
      </c>
      <c r="P955" t="s">
        <v>21</v>
      </c>
      <c r="Q955" t="s">
        <v>20</v>
      </c>
      <c r="R955" t="str">
        <f>HYPERLINK("https://cfpub.epa.gov/ecotox/explore.cfm?ncbi=287889","Explore in ECOTOX")</f>
        <v>Explore in ECOTOX</v>
      </c>
    </row>
    <row r="956" spans="1:18" x14ac:dyDescent="0.25">
      <c r="A956">
        <v>6</v>
      </c>
      <c r="B956" t="str">
        <f>HYPERLINK("http://www.ncbi.nlm.nih.gov/protein/5XN9_A","5XN9_A")</f>
        <v>5XN9_A</v>
      </c>
      <c r="C956">
        <v>23052</v>
      </c>
      <c r="D956" t="str">
        <f>HYPERLINK("http://www.ncbi.nlm.nih.gov/Taxonomy/Browser/wwwtax.cgi?mode=Info&amp;id=947166&amp;lvl=3&amp;lin=f&amp;keep=1&amp;srchmode=1&amp;unlock","947166")</f>
        <v>947166</v>
      </c>
      <c r="E956" t="s">
        <v>746</v>
      </c>
      <c r="F956" t="s">
        <v>746</v>
      </c>
      <c r="G956" t="str">
        <f>HYPERLINK("http://www.ncbi.nlm.nih.gov/Taxonomy/Browser/wwwtax.cgi?mode=Info&amp;id=947166&amp;lvl=3&amp;lin=f&amp;keep=1&amp;srchmode=1&amp;unlock","Ramazzottius varieornatus")</f>
        <v>Ramazzottius varieornatus</v>
      </c>
      <c r="H956" t="s">
        <v>747</v>
      </c>
      <c r="I956" t="str">
        <f>HYPERLINK("http://www.ncbi.nlm.nih.gov/protein/5XN9_A","Crystal structure of a secretary abundant heat soluble (SAHS) protein from Ramazzottius varieornatus (from monomer sample)")</f>
        <v>Crystal structure of a secretary abundant heat soluble (SAHS) protein from Ramazzottius varieornatus (from monomer sample)</v>
      </c>
      <c r="J956">
        <v>53.14</v>
      </c>
      <c r="K956" t="s">
        <v>25</v>
      </c>
      <c r="L956">
        <v>139</v>
      </c>
      <c r="M956">
        <v>50.68</v>
      </c>
      <c r="N956">
        <v>21.06</v>
      </c>
      <c r="O956" t="s">
        <v>25</v>
      </c>
      <c r="P956" t="s">
        <v>21</v>
      </c>
      <c r="Q956" t="s">
        <v>20</v>
      </c>
      <c r="R956" t="str">
        <f>HYPERLINK("https://cfpub.epa.gov/ecotox/explore.cfm?ncbi=947166","Explore in ECOTOX")</f>
        <v>Explore in ECOTOX</v>
      </c>
    </row>
    <row r="957" spans="1:18" x14ac:dyDescent="0.25">
      <c r="A957">
        <v>6</v>
      </c>
      <c r="B957" t="str">
        <f>HYPERLINK("http://www.ncbi.nlm.nih.gov/protein/XP_023030130.1","XP_023030130.1")</f>
        <v>XP_023030130.1</v>
      </c>
      <c r="C957">
        <v>20114</v>
      </c>
      <c r="D957" t="str">
        <f>HYPERLINK("http://www.ncbi.nlm.nih.gov/Taxonomy/Browser/wwwtax.cgi?mode=Info&amp;id=7539&amp;lvl=3&amp;lin=f&amp;keep=1&amp;srchmode=1&amp;unlock","7539")</f>
        <v>7539</v>
      </c>
      <c r="E957" t="s">
        <v>698</v>
      </c>
      <c r="F957" t="s">
        <v>698</v>
      </c>
      <c r="G957" t="str">
        <f>HYPERLINK("http://www.ncbi.nlm.nih.gov/Taxonomy/Browser/wwwtax.cgi?mode=Info&amp;id=7539&amp;lvl=3&amp;lin=f&amp;keep=1&amp;srchmode=1&amp;unlock","Leptinotarsa decemlineata")</f>
        <v>Leptinotarsa decemlineata</v>
      </c>
      <c r="H957" t="s">
        <v>866</v>
      </c>
      <c r="I957" t="str">
        <f>HYPERLINK("http://www.ncbi.nlm.nih.gov/protein/XP_023030130.1","fatty acid-binding protein-like")</f>
        <v>fatty acid-binding protein-like</v>
      </c>
      <c r="J957">
        <v>53.14</v>
      </c>
      <c r="K957" t="s">
        <v>25</v>
      </c>
      <c r="L957">
        <v>139</v>
      </c>
      <c r="M957">
        <v>50.68</v>
      </c>
      <c r="N957">
        <v>21.06</v>
      </c>
      <c r="O957" t="s">
        <v>25</v>
      </c>
      <c r="P957" t="s">
        <v>21</v>
      </c>
      <c r="Q957" t="s">
        <v>20</v>
      </c>
      <c r="R957" t="str">
        <f>HYPERLINK("https://cfpub.epa.gov/ecotox/explore.cfm?ncbi=7539","Explore in ECOTOX")</f>
        <v>Explore in ECOTOX</v>
      </c>
    </row>
    <row r="958" spans="1:18" x14ac:dyDescent="0.25">
      <c r="A958">
        <v>6</v>
      </c>
      <c r="B958" t="str">
        <f>HYPERLINK("http://www.ncbi.nlm.nih.gov/protein/XP_002115178.1","XP_002115178.1")</f>
        <v>XP_002115178.1</v>
      </c>
      <c r="C958">
        <v>23210</v>
      </c>
      <c r="D958" t="str">
        <f>HYPERLINK("http://www.ncbi.nlm.nih.gov/Taxonomy/Browser/wwwtax.cgi?mode=Info&amp;id=10228&amp;lvl=3&amp;lin=f&amp;keep=1&amp;srchmode=1&amp;unlock","10228")</f>
        <v>10228</v>
      </c>
      <c r="E958" t="s">
        <v>864</v>
      </c>
      <c r="F958" t="s">
        <v>864</v>
      </c>
      <c r="G958" t="str">
        <f>HYPERLINK("http://www.ncbi.nlm.nih.gov/Taxonomy/Browser/wwwtax.cgi?mode=Info&amp;id=10228&amp;lvl=3&amp;lin=f&amp;keep=1&amp;srchmode=1&amp;unlock","Trichoplax adhaerens")</f>
        <v>Trichoplax adhaerens</v>
      </c>
      <c r="H958" t="s">
        <v>865</v>
      </c>
      <c r="I958" t="str">
        <f>HYPERLINK("http://www.ncbi.nlm.nih.gov/protein/XP_002115178.1","hypothetical protein TRIADDRAFT_59086")</f>
        <v>hypothetical protein TRIADDRAFT_59086</v>
      </c>
      <c r="J958">
        <v>53.14</v>
      </c>
      <c r="K958" t="s">
        <v>25</v>
      </c>
      <c r="L958">
        <v>139</v>
      </c>
      <c r="M958">
        <v>50.68</v>
      </c>
      <c r="N958">
        <v>21.06</v>
      </c>
      <c r="O958" t="s">
        <v>25</v>
      </c>
      <c r="P958" t="s">
        <v>21</v>
      </c>
      <c r="Q958" t="s">
        <v>20</v>
      </c>
      <c r="R958" t="str">
        <f>HYPERLINK("https://cfpub.epa.gov/ecotox/explore.cfm?ncbi=10228","Explore in ECOTOX")</f>
        <v>Explore in ECOTOX</v>
      </c>
    </row>
    <row r="959" spans="1:18" x14ac:dyDescent="0.25">
      <c r="A959">
        <v>6</v>
      </c>
      <c r="B959" t="str">
        <f>HYPERLINK("http://www.ncbi.nlm.nih.gov/protein/OXU18530.1","OXU18530.1")</f>
        <v>OXU18530.1</v>
      </c>
      <c r="C959">
        <v>16087</v>
      </c>
      <c r="D959" t="str">
        <f>HYPERLINK("http://www.ncbi.nlm.nih.gov/Taxonomy/Browser/wwwtax.cgi?mode=Info&amp;id=543379&amp;lvl=3&amp;lin=f&amp;keep=1&amp;srchmode=1&amp;unlock","543379")</f>
        <v>543379</v>
      </c>
      <c r="E959" t="s">
        <v>698</v>
      </c>
      <c r="F959" t="s">
        <v>698</v>
      </c>
      <c r="G959" t="str">
        <f>HYPERLINK("http://www.ncbi.nlm.nih.gov/Taxonomy/Browser/wwwtax.cgi?mode=Info&amp;id=543379&amp;lvl=3&amp;lin=f&amp;keep=1&amp;srchmode=1&amp;unlock","Trichomalopsis sarcophagae")</f>
        <v>Trichomalopsis sarcophagae</v>
      </c>
      <c r="H959" t="s">
        <v>755</v>
      </c>
      <c r="I959" t="str">
        <f>HYPERLINK("http://www.ncbi.nlm.nih.gov/protein/OXU18530.1","hypothetical protein TSAR_011862")</f>
        <v>hypothetical protein TSAR_011862</v>
      </c>
      <c r="J959">
        <v>53.14</v>
      </c>
      <c r="K959" t="s">
        <v>25</v>
      </c>
      <c r="L959">
        <v>139</v>
      </c>
      <c r="M959">
        <v>50.68</v>
      </c>
      <c r="N959">
        <v>21.06</v>
      </c>
      <c r="O959" t="s">
        <v>25</v>
      </c>
      <c r="P959" t="s">
        <v>21</v>
      </c>
      <c r="Q959" t="s">
        <v>20</v>
      </c>
      <c r="R959" t="str">
        <f>HYPERLINK("https://cfpub.epa.gov/ecotox/explore.cfm?ncbi=543379","Explore in ECOTOX")</f>
        <v>Explore in ECOTOX</v>
      </c>
    </row>
    <row r="960" spans="1:18" x14ac:dyDescent="0.25">
      <c r="A960">
        <v>6</v>
      </c>
      <c r="B960" t="str">
        <f>HYPERLINK("http://www.ncbi.nlm.nih.gov/protein/XP_015919501.1","XP_015919501.1")</f>
        <v>XP_015919501.1</v>
      </c>
      <c r="C960">
        <v>27787</v>
      </c>
      <c r="D960" t="str">
        <f>HYPERLINK("http://www.ncbi.nlm.nih.gov/Taxonomy/Browser/wwwtax.cgi?mode=Info&amp;id=114398&amp;lvl=3&amp;lin=f&amp;keep=1&amp;srchmode=1&amp;unlock","114398")</f>
        <v>114398</v>
      </c>
      <c r="E960" t="s">
        <v>700</v>
      </c>
      <c r="F960" t="s">
        <v>700</v>
      </c>
      <c r="G960" t="str">
        <f>HYPERLINK("http://www.ncbi.nlm.nih.gov/Taxonomy/Browser/wwwtax.cgi?mode=Info&amp;id=114398&amp;lvl=3&amp;lin=f&amp;keep=1&amp;srchmode=1&amp;unlock","Parasteatoda tepidariorum")</f>
        <v>Parasteatoda tepidariorum</v>
      </c>
      <c r="H960" t="s">
        <v>867</v>
      </c>
      <c r="I960" t="str">
        <f>HYPERLINK("http://www.ncbi.nlm.nih.gov/protein/XP_015919501.1","fatty acid-binding protein-like isoform X1")</f>
        <v>fatty acid-binding protein-like isoform X1</v>
      </c>
      <c r="J960">
        <v>53.14</v>
      </c>
      <c r="K960" t="s">
        <v>25</v>
      </c>
      <c r="L960">
        <v>139</v>
      </c>
      <c r="M960">
        <v>50.68</v>
      </c>
      <c r="N960">
        <v>21.06</v>
      </c>
      <c r="O960" t="s">
        <v>25</v>
      </c>
      <c r="P960" t="s">
        <v>21</v>
      </c>
      <c r="Q960" t="s">
        <v>20</v>
      </c>
      <c r="R960" t="str">
        <f>HYPERLINK("https://cfpub.epa.gov/ecotox/explore.cfm?ncbi=114398","Explore in ECOTOX")</f>
        <v>Explore in ECOTOX</v>
      </c>
    </row>
    <row r="961" spans="1:18" x14ac:dyDescent="0.25">
      <c r="A961">
        <v>6</v>
      </c>
      <c r="B961" t="str">
        <f>HYPERLINK("http://www.ncbi.nlm.nih.gov/protein/XP_026333812.1","XP_026333812.1")</f>
        <v>XP_026333812.1</v>
      </c>
      <c r="C961">
        <v>20440</v>
      </c>
      <c r="D961" t="str">
        <f>HYPERLINK("http://www.ncbi.nlm.nih.gov/Taxonomy/Browser/wwwtax.cgi?mode=Info&amp;id=1477025&amp;lvl=3&amp;lin=f&amp;keep=1&amp;srchmode=1&amp;unlock","1477025")</f>
        <v>1477025</v>
      </c>
      <c r="E961" t="s">
        <v>698</v>
      </c>
      <c r="F961" t="s">
        <v>698</v>
      </c>
      <c r="G961" t="str">
        <f>HYPERLINK("http://www.ncbi.nlm.nih.gov/Taxonomy/Browser/wwwtax.cgi?mode=Info&amp;id=1477025&amp;lvl=3&amp;lin=f&amp;keep=1&amp;srchmode=1&amp;unlock","Hyposmocoma kahamanoa")</f>
        <v>Hyposmocoma kahamanoa</v>
      </c>
      <c r="H961" t="s">
        <v>868</v>
      </c>
      <c r="I961" t="str">
        <f>HYPERLINK("http://www.ncbi.nlm.nih.gov/protein/XP_026333812.1","myelin P2 protein-like")</f>
        <v>myelin P2 protein-like</v>
      </c>
      <c r="J961">
        <v>53.14</v>
      </c>
      <c r="K961" t="s">
        <v>25</v>
      </c>
      <c r="L961">
        <v>139</v>
      </c>
      <c r="M961">
        <v>50.68</v>
      </c>
      <c r="N961">
        <v>21.06</v>
      </c>
      <c r="O961" t="s">
        <v>25</v>
      </c>
      <c r="P961" t="s">
        <v>21</v>
      </c>
      <c r="Q961" t="s">
        <v>20</v>
      </c>
      <c r="R961" t="str">
        <f>HYPERLINK("https://cfpub.epa.gov/ecotox/explore.cfm?ncbi=1477025","Explore in ECOTOX")</f>
        <v>Explore in ECOTOX</v>
      </c>
    </row>
    <row r="962" spans="1:18" x14ac:dyDescent="0.25">
      <c r="A962">
        <v>6</v>
      </c>
      <c r="B962" t="str">
        <f>HYPERLINK("http://www.ncbi.nlm.nih.gov/protein/VDP30992.1","VDP30992.1")</f>
        <v>VDP30992.1</v>
      </c>
      <c r="C962">
        <v>27549</v>
      </c>
      <c r="D962" t="str">
        <f>HYPERLINK("http://www.ncbi.nlm.nih.gov/Taxonomy/Browser/wwwtax.cgi?mode=Info&amp;id=6339&amp;lvl=3&amp;lin=f&amp;keep=1&amp;srchmode=1&amp;unlock","6339")</f>
        <v>6339</v>
      </c>
      <c r="E962" t="s">
        <v>869</v>
      </c>
      <c r="F962" t="s">
        <v>869</v>
      </c>
      <c r="G962" t="str">
        <f>HYPERLINK("http://www.ncbi.nlm.nih.gov/Taxonomy/Browser/wwwtax.cgi?mode=Info&amp;id=6339&amp;lvl=3&amp;lin=f&amp;keep=1&amp;srchmode=1&amp;unlock","Heligmosomoides polygyrus")</f>
        <v>Heligmosomoides polygyrus</v>
      </c>
      <c r="H962" t="s">
        <v>803</v>
      </c>
      <c r="I962" t="str">
        <f>HYPERLINK("http://www.ncbi.nlm.nih.gov/protein/VDP30992.1","unnamed protein product")</f>
        <v>unnamed protein product</v>
      </c>
      <c r="J962">
        <v>53.14</v>
      </c>
      <c r="K962" t="s">
        <v>25</v>
      </c>
      <c r="L962">
        <v>139</v>
      </c>
      <c r="M962">
        <v>50.68</v>
      </c>
      <c r="N962">
        <v>21.06</v>
      </c>
      <c r="O962" t="s">
        <v>25</v>
      </c>
      <c r="P962" t="s">
        <v>21</v>
      </c>
      <c r="Q962" t="s">
        <v>20</v>
      </c>
      <c r="R962" t="str">
        <f>HYPERLINK("https://cfpub.epa.gov/ecotox/explore.cfm?ncbi=6339","Explore in ECOTOX")</f>
        <v>Explore in ECOTOX</v>
      </c>
    </row>
    <row r="963" spans="1:18" x14ac:dyDescent="0.25">
      <c r="A963">
        <v>6</v>
      </c>
      <c r="B963" t="str">
        <f>HYPERLINK("http://www.ncbi.nlm.nih.gov/protein/XP_014368527.1","XP_014368527.1")</f>
        <v>XP_014368527.1</v>
      </c>
      <c r="C963">
        <v>33312</v>
      </c>
      <c r="D963" t="str">
        <f>HYPERLINK("http://www.ncbi.nlm.nih.gov/Taxonomy/Browser/wwwtax.cgi?mode=Info&amp;id=76193&amp;lvl=3&amp;lin=f&amp;keep=1&amp;srchmode=1&amp;unlock","76193")</f>
        <v>76193</v>
      </c>
      <c r="E963" t="s">
        <v>698</v>
      </c>
      <c r="F963" t="s">
        <v>698</v>
      </c>
      <c r="G963" t="str">
        <f>HYPERLINK("http://www.ncbi.nlm.nih.gov/Taxonomy/Browser/wwwtax.cgi?mode=Info&amp;id=76193&amp;lvl=3&amp;lin=f&amp;keep=1&amp;srchmode=1&amp;unlock","Papilio machaon")</f>
        <v>Papilio machaon</v>
      </c>
      <c r="H963" t="s">
        <v>870</v>
      </c>
      <c r="I963" t="str">
        <f>HYPERLINK("http://www.ncbi.nlm.nih.gov/protein/XP_014368527.1","PREDICTED: fatty acid-binding protein")</f>
        <v>PREDICTED: fatty acid-binding protein</v>
      </c>
      <c r="J963">
        <v>53.14</v>
      </c>
      <c r="K963" t="s">
        <v>25</v>
      </c>
      <c r="L963">
        <v>139</v>
      </c>
      <c r="M963">
        <v>50.68</v>
      </c>
      <c r="N963">
        <v>21.06</v>
      </c>
      <c r="O963" t="s">
        <v>25</v>
      </c>
      <c r="P963" t="s">
        <v>21</v>
      </c>
      <c r="Q963" t="s">
        <v>20</v>
      </c>
      <c r="R963" t="str">
        <f>HYPERLINK("https://cfpub.epa.gov/ecotox/explore.cfm?ncbi=76193","Explore in ECOTOX")</f>
        <v>Explore in ECOTOX</v>
      </c>
    </row>
    <row r="964" spans="1:18" x14ac:dyDescent="0.25">
      <c r="A964">
        <v>6</v>
      </c>
      <c r="B964" t="str">
        <f>HYPERLINK("http://www.ncbi.nlm.nih.gov/protein/XP_037565739.1","XP_037565739.1")</f>
        <v>XP_037565739.1</v>
      </c>
      <c r="C964">
        <v>28879</v>
      </c>
      <c r="D964" t="str">
        <f>HYPERLINK("http://www.ncbi.nlm.nih.gov/Taxonomy/Browser/wwwtax.cgi?mode=Info&amp;id=543639&amp;lvl=3&amp;lin=f&amp;keep=1&amp;srchmode=1&amp;unlock","543639")</f>
        <v>543639</v>
      </c>
      <c r="E964" t="s">
        <v>700</v>
      </c>
      <c r="F964" t="s">
        <v>700</v>
      </c>
      <c r="G964" t="str">
        <f>HYPERLINK("http://www.ncbi.nlm.nih.gov/Taxonomy/Browser/wwwtax.cgi?mode=Info&amp;id=543639&amp;lvl=3&amp;lin=f&amp;keep=1&amp;srchmode=1&amp;unlock","Dermacentor silvarum")</f>
        <v>Dermacentor silvarum</v>
      </c>
      <c r="H964" t="s">
        <v>871</v>
      </c>
      <c r="I964" t="str">
        <f>HYPERLINK("http://www.ncbi.nlm.nih.gov/protein/XP_037565739.1","sodium/calcium exchanger regulatory protein 1-like")</f>
        <v>sodium/calcium exchanger regulatory protein 1-like</v>
      </c>
      <c r="J964">
        <v>52.76</v>
      </c>
      <c r="K964" t="s">
        <v>25</v>
      </c>
      <c r="L964">
        <v>139</v>
      </c>
      <c r="M964">
        <v>50.68</v>
      </c>
      <c r="N964">
        <v>20.91</v>
      </c>
      <c r="O964" t="s">
        <v>25</v>
      </c>
      <c r="P964" t="s">
        <v>21</v>
      </c>
      <c r="Q964" t="s">
        <v>20</v>
      </c>
      <c r="R964" t="str">
        <f>HYPERLINK("https://cfpub.epa.gov/ecotox/explore.cfm?ncbi=543639","Explore in ECOTOX")</f>
        <v>Explore in ECOTOX</v>
      </c>
    </row>
    <row r="965" spans="1:18" x14ac:dyDescent="0.25">
      <c r="A965">
        <v>6</v>
      </c>
      <c r="B965" t="str">
        <f>HYPERLINK("http://www.ncbi.nlm.nih.gov/protein/XP_037290335.1","XP_037290335.1")</f>
        <v>XP_037290335.1</v>
      </c>
      <c r="C965">
        <v>25380</v>
      </c>
      <c r="D965" t="str">
        <f>HYPERLINK("http://www.ncbi.nlm.nih.gov/Taxonomy/Browser/wwwtax.cgi?mode=Info&amp;id=6941&amp;lvl=3&amp;lin=f&amp;keep=1&amp;srchmode=1&amp;unlock","6941")</f>
        <v>6941</v>
      </c>
      <c r="E965" t="s">
        <v>700</v>
      </c>
      <c r="F965" t="s">
        <v>700</v>
      </c>
      <c r="G965" t="str">
        <f>HYPERLINK("http://www.ncbi.nlm.nih.gov/Taxonomy/Browser/wwwtax.cgi?mode=Info&amp;id=6941&amp;lvl=3&amp;lin=f&amp;keep=1&amp;srchmode=1&amp;unlock","Rhipicephalus microplus")</f>
        <v>Rhipicephalus microplus</v>
      </c>
      <c r="H965" t="s">
        <v>872</v>
      </c>
      <c r="I965" t="str">
        <f>HYPERLINK("http://www.ncbi.nlm.nih.gov/protein/XP_037290335.1","sodium/calcium exchanger regulatory protein 1-like")</f>
        <v>sodium/calcium exchanger regulatory protein 1-like</v>
      </c>
      <c r="J965">
        <v>52.76</v>
      </c>
      <c r="K965" t="s">
        <v>25</v>
      </c>
      <c r="L965">
        <v>139</v>
      </c>
      <c r="M965">
        <v>50.68</v>
      </c>
      <c r="N965">
        <v>20.91</v>
      </c>
      <c r="O965" t="s">
        <v>25</v>
      </c>
      <c r="P965" t="s">
        <v>21</v>
      </c>
      <c r="Q965" t="s">
        <v>20</v>
      </c>
      <c r="R965" t="str">
        <f>HYPERLINK("https://cfpub.epa.gov/ecotox/explore.cfm?ncbi=6941","Explore in ECOTOX")</f>
        <v>Explore in ECOTOX</v>
      </c>
    </row>
    <row r="966" spans="1:18" x14ac:dyDescent="0.25">
      <c r="A966">
        <v>6</v>
      </c>
      <c r="B966" t="str">
        <f>HYPERLINK("http://www.ncbi.nlm.nih.gov/protein/XP_001994590.1","XP_001994590.1")</f>
        <v>XP_001994590.1</v>
      </c>
      <c r="C966">
        <v>35106</v>
      </c>
      <c r="D966" t="str">
        <f>HYPERLINK("http://www.ncbi.nlm.nih.gov/Taxonomy/Browser/wwwtax.cgi?mode=Info&amp;id=7222&amp;lvl=3&amp;lin=f&amp;keep=1&amp;srchmode=1&amp;unlock","7222")</f>
        <v>7222</v>
      </c>
      <c r="E966" t="s">
        <v>698</v>
      </c>
      <c r="F966" t="s">
        <v>698</v>
      </c>
      <c r="G966" t="str">
        <f>HYPERLINK("http://www.ncbi.nlm.nih.gov/Taxonomy/Browser/wwwtax.cgi?mode=Info&amp;id=7222&amp;lvl=3&amp;lin=f&amp;keep=1&amp;srchmode=1&amp;unlock","Drosophila grimshawi")</f>
        <v>Drosophila grimshawi</v>
      </c>
      <c r="H966" t="s">
        <v>753</v>
      </c>
      <c r="I966" t="str">
        <f>HYPERLINK("http://www.ncbi.nlm.nih.gov/protein/XP_001994590.1","fatty acid-binding protein, muscle")</f>
        <v>fatty acid-binding protein, muscle</v>
      </c>
      <c r="J966">
        <v>52.76</v>
      </c>
      <c r="K966" t="s">
        <v>25</v>
      </c>
      <c r="L966">
        <v>139</v>
      </c>
      <c r="M966">
        <v>50.68</v>
      </c>
      <c r="N966">
        <v>20.91</v>
      </c>
      <c r="O966" t="s">
        <v>25</v>
      </c>
      <c r="P966" t="s">
        <v>21</v>
      </c>
      <c r="Q966" t="s">
        <v>20</v>
      </c>
      <c r="R966" t="str">
        <f>HYPERLINK("https://cfpub.epa.gov/ecotox/explore.cfm?ncbi=7222","Explore in ECOTOX")</f>
        <v>Explore in ECOTOX</v>
      </c>
    </row>
    <row r="967" spans="1:18" x14ac:dyDescent="0.25">
      <c r="A967">
        <v>6</v>
      </c>
      <c r="B967" t="str">
        <f>HYPERLINK("http://www.ncbi.nlm.nih.gov/protein/KAG0723716.1","KAG0723716.1")</f>
        <v>KAG0723716.1</v>
      </c>
      <c r="C967">
        <v>22690</v>
      </c>
      <c r="D967" t="str">
        <f>HYPERLINK("http://www.ncbi.nlm.nih.gov/Taxonomy/Browser/wwwtax.cgi?mode=Info&amp;id=41210&amp;lvl=3&amp;lin=f&amp;keep=1&amp;srchmode=1&amp;unlock","41210")</f>
        <v>41210</v>
      </c>
      <c r="E967" t="s">
        <v>742</v>
      </c>
      <c r="F967" t="s">
        <v>742</v>
      </c>
      <c r="G967" t="str">
        <f>HYPERLINK("http://www.ncbi.nlm.nih.gov/Taxonomy/Browser/wwwtax.cgi?mode=Info&amp;id=41210&amp;lvl=3&amp;lin=f&amp;keep=1&amp;srchmode=1&amp;unlock","Chionoecetes opilio")</f>
        <v>Chionoecetes opilio</v>
      </c>
      <c r="H967" t="s">
        <v>873</v>
      </c>
      <c r="I967" t="str">
        <f>HYPERLINK("http://www.ncbi.nlm.nih.gov/protein/KAG0723716.1","Fatty acid-binding protein, brain")</f>
        <v>Fatty acid-binding protein, brain</v>
      </c>
      <c r="J967">
        <v>52.76</v>
      </c>
      <c r="K967" t="s">
        <v>25</v>
      </c>
      <c r="L967">
        <v>139</v>
      </c>
      <c r="M967">
        <v>50.68</v>
      </c>
      <c r="N967">
        <v>20.91</v>
      </c>
      <c r="O967" t="s">
        <v>25</v>
      </c>
      <c r="P967" t="s">
        <v>21</v>
      </c>
      <c r="Q967" t="s">
        <v>20</v>
      </c>
      <c r="R967" t="str">
        <f>HYPERLINK("https://cfpub.epa.gov/ecotox/explore.cfm?ncbi=41210","Explore in ECOTOX")</f>
        <v>Explore in ECOTOX</v>
      </c>
    </row>
    <row r="968" spans="1:18" x14ac:dyDescent="0.25">
      <c r="A968">
        <v>6</v>
      </c>
      <c r="B968" t="str">
        <f>HYPERLINK("http://www.ncbi.nlm.nih.gov/protein/XP_001608047.1","XP_001608047.1")</f>
        <v>XP_001608047.1</v>
      </c>
      <c r="C968">
        <v>34745</v>
      </c>
      <c r="D968" t="str">
        <f>HYPERLINK("http://www.ncbi.nlm.nih.gov/Taxonomy/Browser/wwwtax.cgi?mode=Info&amp;id=7425&amp;lvl=3&amp;lin=f&amp;keep=1&amp;srchmode=1&amp;unlock","7425")</f>
        <v>7425</v>
      </c>
      <c r="E968" t="s">
        <v>698</v>
      </c>
      <c r="F968" t="s">
        <v>698</v>
      </c>
      <c r="G968" t="str">
        <f>HYPERLINK("http://www.ncbi.nlm.nih.gov/Taxonomy/Browser/wwwtax.cgi?mode=Info&amp;id=7425&amp;lvl=3&amp;lin=f&amp;keep=1&amp;srchmode=1&amp;unlock","Nasonia vitripennis")</f>
        <v>Nasonia vitripennis</v>
      </c>
      <c r="H968" t="s">
        <v>874</v>
      </c>
      <c r="I968" t="str">
        <f>HYPERLINK("http://www.ncbi.nlm.nih.gov/protein/XP_001608047.1","sodium/calcium exchanger regulatory protein 1 isoform X2")</f>
        <v>sodium/calcium exchanger regulatory protein 1 isoform X2</v>
      </c>
      <c r="J968">
        <v>52.76</v>
      </c>
      <c r="K968" t="s">
        <v>25</v>
      </c>
      <c r="L968">
        <v>139</v>
      </c>
      <c r="M968">
        <v>50.68</v>
      </c>
      <c r="N968">
        <v>20.91</v>
      </c>
      <c r="O968" t="s">
        <v>25</v>
      </c>
      <c r="P968" t="s">
        <v>21</v>
      </c>
      <c r="Q968" t="s">
        <v>20</v>
      </c>
      <c r="R968" t="str">
        <f>HYPERLINK("https://cfpub.epa.gov/ecotox/explore.cfm?ncbi=7425","Explore in ECOTOX")</f>
        <v>Explore in ECOTOX</v>
      </c>
    </row>
    <row r="969" spans="1:18" x14ac:dyDescent="0.25">
      <c r="A969">
        <v>6</v>
      </c>
      <c r="B969" t="str">
        <f>HYPERLINK("http://www.ncbi.nlm.nih.gov/protein/XP_011414186.1","XP_011414186.1")</f>
        <v>XP_011414186.1</v>
      </c>
      <c r="C969">
        <v>64622</v>
      </c>
      <c r="D969" t="str">
        <f>HYPERLINK("http://www.ncbi.nlm.nih.gov/Taxonomy/Browser/wwwtax.cgi?mode=Info&amp;id=29159&amp;lvl=3&amp;lin=f&amp;keep=1&amp;srchmode=1&amp;unlock","29159")</f>
        <v>29159</v>
      </c>
      <c r="E969" t="s">
        <v>709</v>
      </c>
      <c r="F969" t="s">
        <v>709</v>
      </c>
      <c r="G969" t="str">
        <f>HYPERLINK("http://www.ncbi.nlm.nih.gov/Taxonomy/Browser/wwwtax.cgi?mode=Info&amp;id=29159&amp;lvl=3&amp;lin=f&amp;keep=1&amp;srchmode=1&amp;unlock","Crassostrea gigas")</f>
        <v>Crassostrea gigas</v>
      </c>
      <c r="H969" t="s">
        <v>875</v>
      </c>
      <c r="I969" t="str">
        <f>HYPERLINK("http://www.ncbi.nlm.nih.gov/protein/XP_011414186.1","sodium/calcium exchanger regulatory protein 1")</f>
        <v>sodium/calcium exchanger regulatory protein 1</v>
      </c>
      <c r="J969">
        <v>52.76</v>
      </c>
      <c r="K969" t="s">
        <v>25</v>
      </c>
      <c r="L969">
        <v>139</v>
      </c>
      <c r="M969">
        <v>50.68</v>
      </c>
      <c r="N969">
        <v>20.91</v>
      </c>
      <c r="O969" t="s">
        <v>25</v>
      </c>
      <c r="P969" t="s">
        <v>21</v>
      </c>
      <c r="Q969" t="s">
        <v>20</v>
      </c>
      <c r="R969" t="str">
        <f>HYPERLINK("https://cfpub.epa.gov/ecotox/explore.cfm?ncbi=29159","Explore in ECOTOX")</f>
        <v>Explore in ECOTOX</v>
      </c>
    </row>
    <row r="970" spans="1:18" x14ac:dyDescent="0.25">
      <c r="A970">
        <v>6</v>
      </c>
      <c r="B970" t="str">
        <f>HYPERLINK("http://www.ncbi.nlm.nih.gov/protein/XP_028129670.1","XP_028129670.1")</f>
        <v>XP_028129670.1</v>
      </c>
      <c r="C970">
        <v>28186</v>
      </c>
      <c r="D970" t="str">
        <f>HYPERLINK("http://www.ncbi.nlm.nih.gov/Taxonomy/Browser/wwwtax.cgi?mode=Info&amp;id=50390&amp;lvl=3&amp;lin=f&amp;keep=1&amp;srchmode=1&amp;unlock","50390")</f>
        <v>50390</v>
      </c>
      <c r="E970" t="s">
        <v>698</v>
      </c>
      <c r="F970" t="s">
        <v>698</v>
      </c>
      <c r="G970" t="str">
        <f>HYPERLINK("http://www.ncbi.nlm.nih.gov/Taxonomy/Browser/wwwtax.cgi?mode=Info&amp;id=50390&amp;lvl=3&amp;lin=f&amp;keep=1&amp;srchmode=1&amp;unlock","Diabrotica virgifera virgifera")</f>
        <v>Diabrotica virgifera virgifera</v>
      </c>
      <c r="H970" t="s">
        <v>876</v>
      </c>
      <c r="I970" t="str">
        <f>HYPERLINK("http://www.ncbi.nlm.nih.gov/protein/XP_028129670.1","fatty acid-binding protein, liver-like")</f>
        <v>fatty acid-binding protein, liver-like</v>
      </c>
      <c r="J970">
        <v>52.76</v>
      </c>
      <c r="K970" t="s">
        <v>20</v>
      </c>
      <c r="L970">
        <v>139</v>
      </c>
      <c r="M970">
        <v>50.68</v>
      </c>
      <c r="N970">
        <v>20.91</v>
      </c>
      <c r="O970" t="s">
        <v>20</v>
      </c>
      <c r="P970" t="s">
        <v>21</v>
      </c>
      <c r="Q970" t="s">
        <v>20</v>
      </c>
      <c r="R970" t="str">
        <f>HYPERLINK("https://cfpub.epa.gov/ecotox/explore.cfm?ncbi=50390","Explore in ECOTOX")</f>
        <v>Explore in ECOTOX</v>
      </c>
    </row>
    <row r="971" spans="1:18" x14ac:dyDescent="0.25">
      <c r="A971">
        <v>6</v>
      </c>
      <c r="B971" t="str">
        <f>HYPERLINK("http://www.ncbi.nlm.nih.gov/protein/XP_030760275.1","XP_030760275.1")</f>
        <v>XP_030760275.1</v>
      </c>
      <c r="C971">
        <v>23735</v>
      </c>
      <c r="D971" t="str">
        <f>HYPERLINK("http://www.ncbi.nlm.nih.gov/Taxonomy/Browser/wwwtax.cgi?mode=Info&amp;id=7048&amp;lvl=3&amp;lin=f&amp;keep=1&amp;srchmode=1&amp;unlock","7048")</f>
        <v>7048</v>
      </c>
      <c r="E971" t="s">
        <v>698</v>
      </c>
      <c r="F971" t="s">
        <v>698</v>
      </c>
      <c r="G971" t="str">
        <f>HYPERLINK("http://www.ncbi.nlm.nih.gov/Taxonomy/Browser/wwwtax.cgi?mode=Info&amp;id=7048&amp;lvl=3&amp;lin=f&amp;keep=1&amp;srchmode=1&amp;unlock","Sitophilus oryzae")</f>
        <v>Sitophilus oryzae</v>
      </c>
      <c r="H971" t="s">
        <v>877</v>
      </c>
      <c r="I971" t="str">
        <f>HYPERLINK("http://www.ncbi.nlm.nih.gov/protein/XP_030760275.1","fatty acid-binding protein, adipocyte isoform X2")</f>
        <v>fatty acid-binding protein, adipocyte isoform X2</v>
      </c>
      <c r="J971">
        <v>52.37</v>
      </c>
      <c r="K971" t="s">
        <v>25</v>
      </c>
      <c r="L971">
        <v>139</v>
      </c>
      <c r="M971">
        <v>50.68</v>
      </c>
      <c r="N971">
        <v>20.76</v>
      </c>
      <c r="O971" t="s">
        <v>25</v>
      </c>
      <c r="P971" t="s">
        <v>21</v>
      </c>
      <c r="Q971" t="s">
        <v>20</v>
      </c>
      <c r="R971" t="str">
        <f>HYPERLINK("https://cfpub.epa.gov/ecotox/explore.cfm?ncbi=7048","Explore in ECOTOX")</f>
        <v>Explore in ECOTOX</v>
      </c>
    </row>
    <row r="972" spans="1:18" x14ac:dyDescent="0.25">
      <c r="A972">
        <v>6</v>
      </c>
      <c r="B972" t="str">
        <f>HYPERLINK("http://www.ncbi.nlm.nih.gov/protein/XP_034951149.1","XP_034951149.1")</f>
        <v>XP_034951149.1</v>
      </c>
      <c r="C972">
        <v>19262</v>
      </c>
      <c r="D972" t="str">
        <f>HYPERLINK("http://www.ncbi.nlm.nih.gov/Taxonomy/Browser/wwwtax.cgi?mode=Info&amp;id=460826&amp;lvl=3&amp;lin=f&amp;keep=1&amp;srchmode=1&amp;unlock","460826")</f>
        <v>460826</v>
      </c>
      <c r="E972" t="s">
        <v>698</v>
      </c>
      <c r="F972" t="s">
        <v>698</v>
      </c>
      <c r="G972" t="str">
        <f>HYPERLINK("http://www.ncbi.nlm.nih.gov/Taxonomy/Browser/wwwtax.cgi?mode=Info&amp;id=460826&amp;lvl=3&amp;lin=f&amp;keep=1&amp;srchmode=1&amp;unlock","Chelonus insularis")</f>
        <v>Chelonus insularis</v>
      </c>
      <c r="H972" t="s">
        <v>755</v>
      </c>
      <c r="I972" t="str">
        <f>HYPERLINK("http://www.ncbi.nlm.nih.gov/protein/XP_034951149.1","fatty acid-binding protein, muscle")</f>
        <v>fatty acid-binding protein, muscle</v>
      </c>
      <c r="J972">
        <v>52.37</v>
      </c>
      <c r="K972" t="s">
        <v>25</v>
      </c>
      <c r="L972">
        <v>139</v>
      </c>
      <c r="M972">
        <v>50.68</v>
      </c>
      <c r="N972">
        <v>20.76</v>
      </c>
      <c r="O972" t="s">
        <v>25</v>
      </c>
      <c r="P972" t="s">
        <v>21</v>
      </c>
      <c r="Q972" t="s">
        <v>20</v>
      </c>
      <c r="R972" t="str">
        <f>HYPERLINK("https://cfpub.epa.gov/ecotox/explore.cfm?ncbi=460826","Explore in ECOTOX")</f>
        <v>Explore in ECOTOX</v>
      </c>
    </row>
    <row r="973" spans="1:18" x14ac:dyDescent="0.25">
      <c r="A973">
        <v>6</v>
      </c>
      <c r="B973" t="str">
        <f>HYPERLINK("http://www.ncbi.nlm.nih.gov/protein/XP_018561455.1","XP_018561455.1")</f>
        <v>XP_018561455.1</v>
      </c>
      <c r="C973">
        <v>20924</v>
      </c>
      <c r="D973" t="str">
        <f>HYPERLINK("http://www.ncbi.nlm.nih.gov/Taxonomy/Browser/wwwtax.cgi?mode=Info&amp;id=217634&amp;lvl=3&amp;lin=f&amp;keep=1&amp;srchmode=1&amp;unlock","217634")</f>
        <v>217634</v>
      </c>
      <c r="E973" t="s">
        <v>698</v>
      </c>
      <c r="F973" t="s">
        <v>698</v>
      </c>
      <c r="G973" t="str">
        <f>HYPERLINK("http://www.ncbi.nlm.nih.gov/Taxonomy/Browser/wwwtax.cgi?mode=Info&amp;id=217634&amp;lvl=3&amp;lin=f&amp;keep=1&amp;srchmode=1&amp;unlock","Anoplophora glabripennis")</f>
        <v>Anoplophora glabripennis</v>
      </c>
      <c r="H973" t="s">
        <v>878</v>
      </c>
      <c r="I973" t="str">
        <f>HYPERLINK("http://www.ncbi.nlm.nih.gov/protein/XP_018561455.1","fatty acid-binding protein homolog 5-like")</f>
        <v>fatty acid-binding protein homolog 5-like</v>
      </c>
      <c r="J973">
        <v>52.37</v>
      </c>
      <c r="K973" t="s">
        <v>25</v>
      </c>
      <c r="L973">
        <v>139</v>
      </c>
      <c r="M973">
        <v>50.68</v>
      </c>
      <c r="N973">
        <v>20.76</v>
      </c>
      <c r="O973" t="s">
        <v>25</v>
      </c>
      <c r="P973" t="s">
        <v>21</v>
      </c>
      <c r="Q973" t="s">
        <v>20</v>
      </c>
      <c r="R973" t="str">
        <f>HYPERLINK("https://cfpub.epa.gov/ecotox/explore.cfm?ncbi=217634","Explore in ECOTOX")</f>
        <v>Explore in ECOTOX</v>
      </c>
    </row>
    <row r="974" spans="1:18" x14ac:dyDescent="0.25">
      <c r="A974">
        <v>6</v>
      </c>
      <c r="B974" t="str">
        <f>HYPERLINK("http://www.ncbi.nlm.nih.gov/protein/VEN47099.1","VEN47099.1")</f>
        <v>VEN47099.1</v>
      </c>
      <c r="C974">
        <v>31417</v>
      </c>
      <c r="D974" t="str">
        <f>HYPERLINK("http://www.ncbi.nlm.nih.gov/Taxonomy/Browser/wwwtax.cgi?mode=Info&amp;id=64391&amp;lvl=3&amp;lin=f&amp;keep=1&amp;srchmode=1&amp;unlock","64391")</f>
        <v>64391</v>
      </c>
      <c r="E974" t="s">
        <v>698</v>
      </c>
      <c r="F974" t="s">
        <v>698</v>
      </c>
      <c r="G974" t="str">
        <f>HYPERLINK("http://www.ncbi.nlm.nih.gov/Taxonomy/Browser/wwwtax.cgi?mode=Info&amp;id=64391&amp;lvl=3&amp;lin=f&amp;keep=1&amp;srchmode=1&amp;unlock","Callosobruchus maculatus")</f>
        <v>Callosobruchus maculatus</v>
      </c>
      <c r="H974" t="s">
        <v>879</v>
      </c>
      <c r="I974" t="str">
        <f>HYPERLINK("http://www.ncbi.nlm.nih.gov/protein/VEN47099.1","unnamed protein product")</f>
        <v>unnamed protein product</v>
      </c>
      <c r="J974">
        <v>52.37</v>
      </c>
      <c r="K974" t="s">
        <v>25</v>
      </c>
      <c r="L974">
        <v>139</v>
      </c>
      <c r="M974">
        <v>50.68</v>
      </c>
      <c r="N974">
        <v>20.76</v>
      </c>
      <c r="O974" t="s">
        <v>25</v>
      </c>
      <c r="P974" t="s">
        <v>21</v>
      </c>
      <c r="Q974" t="s">
        <v>20</v>
      </c>
      <c r="R974" t="str">
        <f>HYPERLINK("https://cfpub.epa.gov/ecotox/explore.cfm?ncbi=64391","Explore in ECOTOX")</f>
        <v>Explore in ECOTOX</v>
      </c>
    </row>
    <row r="975" spans="1:18" x14ac:dyDescent="0.25">
      <c r="A975">
        <v>6</v>
      </c>
      <c r="B975" t="str">
        <f>HYPERLINK("http://www.ncbi.nlm.nih.gov/protein/XP_022907159.1","XP_022907159.1")</f>
        <v>XP_022907159.1</v>
      </c>
      <c r="C975">
        <v>21694</v>
      </c>
      <c r="D975" t="str">
        <f>HYPERLINK("http://www.ncbi.nlm.nih.gov/Taxonomy/Browser/wwwtax.cgi?mode=Info&amp;id=166361&amp;lvl=3&amp;lin=f&amp;keep=1&amp;srchmode=1&amp;unlock","166361")</f>
        <v>166361</v>
      </c>
      <c r="E975" t="s">
        <v>698</v>
      </c>
      <c r="F975" t="s">
        <v>698</v>
      </c>
      <c r="G975" t="str">
        <f>HYPERLINK("http://www.ncbi.nlm.nih.gov/Taxonomy/Browser/wwwtax.cgi?mode=Info&amp;id=166361&amp;lvl=3&amp;lin=f&amp;keep=1&amp;srchmode=1&amp;unlock","Onthophagus taurus")</f>
        <v>Onthophagus taurus</v>
      </c>
      <c r="H975" t="s">
        <v>880</v>
      </c>
      <c r="I975" t="str">
        <f>HYPERLINK("http://www.ncbi.nlm.nih.gov/protein/XP_022907159.1","myelin P2 protein isoform X1")</f>
        <v>myelin P2 protein isoform X1</v>
      </c>
      <c r="J975">
        <v>52.37</v>
      </c>
      <c r="K975" t="s">
        <v>25</v>
      </c>
      <c r="L975">
        <v>139</v>
      </c>
      <c r="M975">
        <v>50.68</v>
      </c>
      <c r="N975">
        <v>20.76</v>
      </c>
      <c r="O975" t="s">
        <v>25</v>
      </c>
      <c r="P975" t="s">
        <v>21</v>
      </c>
      <c r="Q975" t="s">
        <v>20</v>
      </c>
      <c r="R975" t="str">
        <f>HYPERLINK("https://cfpub.epa.gov/ecotox/explore.cfm?ncbi=166361","Explore in ECOTOX")</f>
        <v>Explore in ECOTOX</v>
      </c>
    </row>
    <row r="976" spans="1:18" x14ac:dyDescent="0.25">
      <c r="A976">
        <v>6</v>
      </c>
      <c r="B976" t="str">
        <f>HYPERLINK("http://www.ncbi.nlm.nih.gov/protein/XP_023348696.1","XP_023348696.1")</f>
        <v>XP_023348696.1</v>
      </c>
      <c r="C976">
        <v>30734</v>
      </c>
      <c r="D976" t="str">
        <f>HYPERLINK("http://www.ncbi.nlm.nih.gov/Taxonomy/Browser/wwwtax.cgi?mode=Info&amp;id=88015&amp;lvl=3&amp;lin=f&amp;keep=1&amp;srchmode=1&amp;unlock","88015")</f>
        <v>88015</v>
      </c>
      <c r="E976" t="s">
        <v>760</v>
      </c>
      <c r="F976" t="s">
        <v>760</v>
      </c>
      <c r="G976" t="str">
        <f>HYPERLINK("http://www.ncbi.nlm.nih.gov/Taxonomy/Browser/wwwtax.cgi?mode=Info&amp;id=88015&amp;lvl=3&amp;lin=f&amp;keep=1&amp;srchmode=1&amp;unlock","Eurytemora affinis")</f>
        <v>Eurytemora affinis</v>
      </c>
      <c r="H976" t="s">
        <v>778</v>
      </c>
      <c r="I976" t="str">
        <f>HYPERLINK("http://www.ncbi.nlm.nih.gov/protein/XP_023348696.1","cellular retinoic acid-binding protein 2-like")</f>
        <v>cellular retinoic acid-binding protein 2-like</v>
      </c>
      <c r="J976">
        <v>51.99</v>
      </c>
      <c r="K976" t="s">
        <v>25</v>
      </c>
      <c r="L976">
        <v>139</v>
      </c>
      <c r="M976">
        <v>50.68</v>
      </c>
      <c r="N976">
        <v>20.61</v>
      </c>
      <c r="O976" t="s">
        <v>25</v>
      </c>
      <c r="P976" t="s">
        <v>21</v>
      </c>
      <c r="Q976" t="s">
        <v>20</v>
      </c>
      <c r="R976" t="str">
        <f>HYPERLINK("https://cfpub.epa.gov/ecotox/explore.cfm?ncbi=88015","Explore in ECOTOX")</f>
        <v>Explore in ECOTOX</v>
      </c>
    </row>
    <row r="977" spans="1:18" x14ac:dyDescent="0.25">
      <c r="A977">
        <v>6</v>
      </c>
      <c r="B977" t="str">
        <f>HYPERLINK("http://www.ncbi.nlm.nih.gov/protein/NP_001298643.1","NP_001298643.1")</f>
        <v>NP_001298643.1</v>
      </c>
      <c r="C977">
        <v>17827</v>
      </c>
      <c r="D977" t="str">
        <f>HYPERLINK("http://www.ncbi.nlm.nih.gov/Taxonomy/Browser/wwwtax.cgi?mode=Info&amp;id=76194&amp;lvl=3&amp;lin=f&amp;keep=1&amp;srchmode=1&amp;unlock","76194")</f>
        <v>76194</v>
      </c>
      <c r="E977" t="s">
        <v>698</v>
      </c>
      <c r="F977" t="s">
        <v>698</v>
      </c>
      <c r="G977" t="str">
        <f>HYPERLINK("http://www.ncbi.nlm.nih.gov/Taxonomy/Browser/wwwtax.cgi?mode=Info&amp;id=76194&amp;lvl=3&amp;lin=f&amp;keep=1&amp;srchmode=1&amp;unlock","Papilio polytes")</f>
        <v>Papilio polytes</v>
      </c>
      <c r="H977" t="s">
        <v>881</v>
      </c>
      <c r="I977" t="str">
        <f>HYPERLINK("http://www.ncbi.nlm.nih.gov/protein/NP_001298643.1","fatty acid-binding protein")</f>
        <v>fatty acid-binding protein</v>
      </c>
      <c r="J977">
        <v>51.99</v>
      </c>
      <c r="K977" t="s">
        <v>25</v>
      </c>
      <c r="L977">
        <v>139</v>
      </c>
      <c r="M977">
        <v>50.68</v>
      </c>
      <c r="N977">
        <v>20.61</v>
      </c>
      <c r="O977" t="s">
        <v>25</v>
      </c>
      <c r="P977" t="s">
        <v>21</v>
      </c>
      <c r="Q977" t="s">
        <v>20</v>
      </c>
      <c r="R977" t="str">
        <f>HYPERLINK("https://cfpub.epa.gov/ecotox/explore.cfm?ncbi=76194","Explore in ECOTOX")</f>
        <v>Explore in ECOTOX</v>
      </c>
    </row>
    <row r="978" spans="1:18" x14ac:dyDescent="0.25">
      <c r="A978">
        <v>6</v>
      </c>
      <c r="B978" t="str">
        <f>HYPERLINK("http://www.ncbi.nlm.nih.gov/protein/VDO21456.1","VDO21456.1")</f>
        <v>VDO21456.1</v>
      </c>
      <c r="C978">
        <v>21560</v>
      </c>
      <c r="D978" t="str">
        <f>HYPERLINK("http://www.ncbi.nlm.nih.gov/Taxonomy/Browser/wwwtax.cgi?mode=Info&amp;id=6290&amp;lvl=3&amp;lin=f&amp;keep=1&amp;srchmode=1&amp;unlock","6290")</f>
        <v>6290</v>
      </c>
      <c r="E978" t="s">
        <v>869</v>
      </c>
      <c r="F978" t="s">
        <v>869</v>
      </c>
      <c r="G978" t="str">
        <f>HYPERLINK("http://www.ncbi.nlm.nih.gov/Taxonomy/Browser/wwwtax.cgi?mode=Info&amp;id=6290&amp;lvl=3&amp;lin=f&amp;keep=1&amp;srchmode=1&amp;unlock","Haemonchus placei")</f>
        <v>Haemonchus placei</v>
      </c>
      <c r="H978" t="s">
        <v>803</v>
      </c>
      <c r="I978" t="str">
        <f>HYPERLINK("http://www.ncbi.nlm.nih.gov/protein/VDO21456.1","unnamed protein product")</f>
        <v>unnamed protein product</v>
      </c>
      <c r="J978">
        <v>51.99</v>
      </c>
      <c r="K978" t="s">
        <v>25</v>
      </c>
      <c r="L978">
        <v>139</v>
      </c>
      <c r="M978">
        <v>50.68</v>
      </c>
      <c r="N978">
        <v>20.61</v>
      </c>
      <c r="O978" t="s">
        <v>25</v>
      </c>
      <c r="P978" t="s">
        <v>21</v>
      </c>
      <c r="Q978" t="s">
        <v>20</v>
      </c>
      <c r="R978" t="str">
        <f>HYPERLINK("https://cfpub.epa.gov/ecotox/explore.cfm?ncbi=6290","Explore in ECOTOX")</f>
        <v>Explore in ECOTOX</v>
      </c>
    </row>
    <row r="979" spans="1:18" x14ac:dyDescent="0.25">
      <c r="A979">
        <v>6</v>
      </c>
      <c r="B979" t="str">
        <f>HYPERLINK("http://www.ncbi.nlm.nih.gov/protein/AJF36160.1","AJF36160.1")</f>
        <v>AJF36160.1</v>
      </c>
      <c r="C979">
        <v>263</v>
      </c>
      <c r="D979" t="str">
        <f>HYPERLINK("http://www.ncbi.nlm.nih.gov/Taxonomy/Browser/wwwtax.cgi?mode=Info&amp;id=194366&amp;lvl=3&amp;lin=f&amp;keep=1&amp;srchmode=1&amp;unlock","194366")</f>
        <v>194366</v>
      </c>
      <c r="E979" t="s">
        <v>384</v>
      </c>
      <c r="F979" t="s">
        <v>384</v>
      </c>
      <c r="G979" t="str">
        <f>HYPERLINK("http://www.ncbi.nlm.nih.gov/Taxonomy/Browser/wwwtax.cgi?mode=Info&amp;id=194366&amp;lvl=3&amp;lin=f&amp;keep=1&amp;srchmode=1&amp;unlock","Culter alburnus")</f>
        <v>Culter alburnus</v>
      </c>
      <c r="H979" t="s">
        <v>882</v>
      </c>
      <c r="I979" t="str">
        <f>HYPERLINK("http://www.ncbi.nlm.nih.gov/protein/AJF36160.1","heart-type fatty-acid binding protein")</f>
        <v>heart-type fatty-acid binding protein</v>
      </c>
      <c r="J979">
        <v>51.99</v>
      </c>
      <c r="K979" t="s">
        <v>25</v>
      </c>
      <c r="L979">
        <v>139</v>
      </c>
      <c r="M979">
        <v>50.68</v>
      </c>
      <c r="N979">
        <v>20.61</v>
      </c>
      <c r="O979" t="s">
        <v>20</v>
      </c>
      <c r="P979" t="s">
        <v>21</v>
      </c>
      <c r="Q979" t="s">
        <v>20</v>
      </c>
      <c r="R979" t="str">
        <f>HYPERLINK("https://cfpub.epa.gov/ecotox/explore.cfm?ncbi=194366","Explore in ECOTOX")</f>
        <v>Explore in ECOTOX</v>
      </c>
    </row>
    <row r="980" spans="1:18" x14ac:dyDescent="0.25">
      <c r="A980">
        <v>6</v>
      </c>
      <c r="B980" t="str">
        <f>HYPERLINK("http://www.ncbi.nlm.nih.gov/protein/XP_015593287.1","XP_015593287.1")</f>
        <v>XP_015593287.1</v>
      </c>
      <c r="C980">
        <v>32236</v>
      </c>
      <c r="D980" t="str">
        <f>HYPERLINK("http://www.ncbi.nlm.nih.gov/Taxonomy/Browser/wwwtax.cgi?mode=Info&amp;id=211228&amp;lvl=3&amp;lin=f&amp;keep=1&amp;srchmode=1&amp;unlock","211228")</f>
        <v>211228</v>
      </c>
      <c r="E980" t="s">
        <v>698</v>
      </c>
      <c r="F980" t="s">
        <v>698</v>
      </c>
      <c r="G980" t="str">
        <f>HYPERLINK("http://www.ncbi.nlm.nih.gov/Taxonomy/Browser/wwwtax.cgi?mode=Info&amp;id=211228&amp;lvl=3&amp;lin=f&amp;keep=1&amp;srchmode=1&amp;unlock","Cephus cinctus")</f>
        <v>Cephus cinctus</v>
      </c>
      <c r="H980" t="s">
        <v>883</v>
      </c>
      <c r="I980" t="str">
        <f>HYPERLINK("http://www.ncbi.nlm.nih.gov/protein/XP_015593287.1","fatty acid-binding protein, muscle isoform X2")</f>
        <v>fatty acid-binding protein, muscle isoform X2</v>
      </c>
      <c r="J980">
        <v>51.99</v>
      </c>
      <c r="K980" t="s">
        <v>25</v>
      </c>
      <c r="L980">
        <v>139</v>
      </c>
      <c r="M980">
        <v>50.68</v>
      </c>
      <c r="N980">
        <v>20.61</v>
      </c>
      <c r="O980" t="s">
        <v>25</v>
      </c>
      <c r="P980" t="s">
        <v>21</v>
      </c>
      <c r="Q980" t="s">
        <v>20</v>
      </c>
      <c r="R980" t="str">
        <f>HYPERLINK("https://cfpub.epa.gov/ecotox/explore.cfm?ncbi=211228","Explore in ECOTOX")</f>
        <v>Explore in ECOTOX</v>
      </c>
    </row>
    <row r="981" spans="1:18" x14ac:dyDescent="0.25">
      <c r="A981">
        <v>6</v>
      </c>
      <c r="B981" t="str">
        <f>HYPERLINK("http://www.ncbi.nlm.nih.gov/protein/AFD29289.1","AFD29289.1")</f>
        <v>AFD29289.1</v>
      </c>
      <c r="C981">
        <v>509</v>
      </c>
      <c r="D981" t="str">
        <f>HYPERLINK("http://www.ncbi.nlm.nih.gov/Taxonomy/Browser/wwwtax.cgi?mode=Info&amp;id=159736&amp;lvl=3&amp;lin=f&amp;keep=1&amp;srchmode=1&amp;unlock","159736")</f>
        <v>159736</v>
      </c>
      <c r="E981" t="s">
        <v>742</v>
      </c>
      <c r="F981" t="s">
        <v>742</v>
      </c>
      <c r="G981" t="str">
        <f>HYPERLINK("http://www.ncbi.nlm.nih.gov/Taxonomy/Browser/wwwtax.cgi?mode=Info&amp;id=159736&amp;lvl=3&amp;lin=f&amp;keep=1&amp;srchmode=1&amp;unlock","Macrobrachium nipponense")</f>
        <v>Macrobrachium nipponense</v>
      </c>
      <c r="H981" t="s">
        <v>884</v>
      </c>
      <c r="I981" t="str">
        <f>HYPERLINK("http://www.ncbi.nlm.nih.gov/protein/AFD29289.1","fatty acid binding protein 10")</f>
        <v>fatty acid binding protein 10</v>
      </c>
      <c r="J981">
        <v>51.99</v>
      </c>
      <c r="K981" t="s">
        <v>25</v>
      </c>
      <c r="L981">
        <v>139</v>
      </c>
      <c r="M981">
        <v>50.68</v>
      </c>
      <c r="N981">
        <v>20.61</v>
      </c>
      <c r="O981" t="s">
        <v>25</v>
      </c>
      <c r="P981" t="s">
        <v>21</v>
      </c>
      <c r="Q981" t="s">
        <v>20</v>
      </c>
      <c r="R981" t="str">
        <f>HYPERLINK("https://cfpub.epa.gov/ecotox/explore.cfm?ncbi=159736","Explore in ECOTOX")</f>
        <v>Explore in ECOTOX</v>
      </c>
    </row>
    <row r="982" spans="1:18" x14ac:dyDescent="0.25">
      <c r="A982">
        <v>6</v>
      </c>
      <c r="B982" t="str">
        <f>HYPERLINK("http://www.ncbi.nlm.nih.gov/protein/XP_022165569.1","XP_022165569.1")</f>
        <v>XP_022165569.1</v>
      </c>
      <c r="C982">
        <v>24394</v>
      </c>
      <c r="D982" t="str">
        <f>HYPERLINK("http://www.ncbi.nlm.nih.gov/Taxonomy/Browser/wwwtax.cgi?mode=Info&amp;id=13164&amp;lvl=3&amp;lin=f&amp;keep=1&amp;srchmode=1&amp;unlock","13164")</f>
        <v>13164</v>
      </c>
      <c r="E982" t="s">
        <v>698</v>
      </c>
      <c r="F982" t="s">
        <v>698</v>
      </c>
      <c r="G982" t="str">
        <f>HYPERLINK("http://www.ncbi.nlm.nih.gov/Taxonomy/Browser/wwwtax.cgi?mode=Info&amp;id=13164&amp;lvl=3&amp;lin=f&amp;keep=1&amp;srchmode=1&amp;unlock","Myzus persicae")</f>
        <v>Myzus persicae</v>
      </c>
      <c r="H982" t="s">
        <v>885</v>
      </c>
      <c r="I982" t="str">
        <f>HYPERLINK("http://www.ncbi.nlm.nih.gov/protein/XP_022165569.1","fatty acid-binding protein, muscle-like isoform X1")</f>
        <v>fatty acid-binding protein, muscle-like isoform X1</v>
      </c>
      <c r="J982">
        <v>51.99</v>
      </c>
      <c r="K982" t="s">
        <v>25</v>
      </c>
      <c r="L982">
        <v>139</v>
      </c>
      <c r="M982">
        <v>50.68</v>
      </c>
      <c r="N982">
        <v>20.61</v>
      </c>
      <c r="O982" t="s">
        <v>25</v>
      </c>
      <c r="P982" t="s">
        <v>21</v>
      </c>
      <c r="Q982" t="s">
        <v>20</v>
      </c>
      <c r="R982" t="str">
        <f>HYPERLINK("https://cfpub.epa.gov/ecotox/explore.cfm?ncbi=13164","Explore in ECOTOX")</f>
        <v>Explore in ECOTOX</v>
      </c>
    </row>
    <row r="983" spans="1:18" x14ac:dyDescent="0.25">
      <c r="A983">
        <v>6</v>
      </c>
      <c r="B983" t="str">
        <f>HYPERLINK("http://www.ncbi.nlm.nih.gov/protein/BAA92241.3","BAA92241.3")</f>
        <v>BAA92241.3</v>
      </c>
      <c r="C983">
        <v>702</v>
      </c>
      <c r="D983" t="str">
        <f>HYPERLINK("http://www.ncbi.nlm.nih.gov/Taxonomy/Browser/wwwtax.cgi?mode=Info&amp;id=7937&amp;lvl=3&amp;lin=f&amp;keep=1&amp;srchmode=1&amp;unlock","7937")</f>
        <v>7937</v>
      </c>
      <c r="E983" t="s">
        <v>384</v>
      </c>
      <c r="F983" t="s">
        <v>384</v>
      </c>
      <c r="G983" t="str">
        <f>HYPERLINK("http://www.ncbi.nlm.nih.gov/Taxonomy/Browser/wwwtax.cgi?mode=Info&amp;id=7937&amp;lvl=3&amp;lin=f&amp;keep=1&amp;srchmode=1&amp;unlock","Anguilla japonica")</f>
        <v>Anguilla japonica</v>
      </c>
      <c r="H983" t="s">
        <v>886</v>
      </c>
      <c r="I983" t="str">
        <f>HYPERLINK("http://www.ncbi.nlm.nih.gov/protein/BAA92241.3","heart fatty acid binding protein")</f>
        <v>heart fatty acid binding protein</v>
      </c>
      <c r="J983">
        <v>51.99</v>
      </c>
      <c r="K983" t="s">
        <v>25</v>
      </c>
      <c r="L983">
        <v>139</v>
      </c>
      <c r="M983">
        <v>50.68</v>
      </c>
      <c r="N983">
        <v>20.61</v>
      </c>
      <c r="O983" t="s">
        <v>20</v>
      </c>
      <c r="P983" t="s">
        <v>21</v>
      </c>
      <c r="Q983" t="s">
        <v>20</v>
      </c>
      <c r="R983" t="str">
        <f>HYPERLINK("https://cfpub.epa.gov/ecotox/explore.cfm?ncbi=7937","Explore in ECOTOX")</f>
        <v>Explore in ECOTOX</v>
      </c>
    </row>
    <row r="984" spans="1:18" x14ac:dyDescent="0.25">
      <c r="A984">
        <v>6</v>
      </c>
      <c r="B984" t="str">
        <f>HYPERLINK("http://www.ncbi.nlm.nih.gov/protein/XP_017062171.1","XP_017062171.1")</f>
        <v>XP_017062171.1</v>
      </c>
      <c r="C984">
        <v>23940</v>
      </c>
      <c r="D984" t="str">
        <f>HYPERLINK("http://www.ncbi.nlm.nih.gov/Taxonomy/Browser/wwwtax.cgi?mode=Info&amp;id=30025&amp;lvl=3&amp;lin=f&amp;keep=1&amp;srchmode=1&amp;unlock","30025")</f>
        <v>30025</v>
      </c>
      <c r="E984" t="s">
        <v>698</v>
      </c>
      <c r="F984" t="s">
        <v>698</v>
      </c>
      <c r="G984" t="str">
        <f>HYPERLINK("http://www.ncbi.nlm.nih.gov/Taxonomy/Browser/wwwtax.cgi?mode=Info&amp;id=30025&amp;lvl=3&amp;lin=f&amp;keep=1&amp;srchmode=1&amp;unlock","Drosophila ficusphila")</f>
        <v>Drosophila ficusphila</v>
      </c>
      <c r="H984" t="s">
        <v>753</v>
      </c>
      <c r="I984" t="str">
        <f>HYPERLINK("http://www.ncbi.nlm.nih.gov/protein/XP_017062171.1","PREDICTED: fatty acid-binding protein, muscle")</f>
        <v>PREDICTED: fatty acid-binding protein, muscle</v>
      </c>
      <c r="J984">
        <v>51.99</v>
      </c>
      <c r="K984" t="s">
        <v>25</v>
      </c>
      <c r="L984">
        <v>139</v>
      </c>
      <c r="M984">
        <v>50.68</v>
      </c>
      <c r="N984">
        <v>20.61</v>
      </c>
      <c r="O984" t="s">
        <v>25</v>
      </c>
      <c r="P984" t="s">
        <v>21</v>
      </c>
      <c r="Q984" t="s">
        <v>20</v>
      </c>
      <c r="R984" t="str">
        <f>HYPERLINK("https://cfpub.epa.gov/ecotox/explore.cfm?ncbi=30025","Explore in ECOTOX")</f>
        <v>Explore in ECOTOX</v>
      </c>
    </row>
    <row r="985" spans="1:18" x14ac:dyDescent="0.25">
      <c r="A985">
        <v>6</v>
      </c>
      <c r="B985" t="str">
        <f>HYPERLINK("http://www.ncbi.nlm.nih.gov/protein/EPB76467.1","EPB76467.1")</f>
        <v>EPB76467.1</v>
      </c>
      <c r="C985">
        <v>81587</v>
      </c>
      <c r="D985" t="str">
        <f>HYPERLINK("http://www.ncbi.nlm.nih.gov/Taxonomy/Browser/wwwtax.cgi?mode=Info&amp;id=53326&amp;lvl=3&amp;lin=f&amp;keep=1&amp;srchmode=1&amp;unlock","53326")</f>
        <v>53326</v>
      </c>
      <c r="E985" t="s">
        <v>869</v>
      </c>
      <c r="F985" t="s">
        <v>869</v>
      </c>
      <c r="G985" t="str">
        <f>HYPERLINK("http://www.ncbi.nlm.nih.gov/Taxonomy/Browser/wwwtax.cgi?mode=Info&amp;id=53326&amp;lvl=3&amp;lin=f&amp;keep=1&amp;srchmode=1&amp;unlock","Ancylostoma ceylanicum")</f>
        <v>Ancylostoma ceylanicum</v>
      </c>
      <c r="H985" t="s">
        <v>803</v>
      </c>
      <c r="I985" t="str">
        <f>HYPERLINK("http://www.ncbi.nlm.nih.gov/protein/EPB76467.1","lipocalin / cytosolic fatty-acid binding protein")</f>
        <v>lipocalin / cytosolic fatty-acid binding protein</v>
      </c>
      <c r="J985">
        <v>51.6</v>
      </c>
      <c r="K985" t="s">
        <v>25</v>
      </c>
      <c r="L985">
        <v>139</v>
      </c>
      <c r="M985">
        <v>50.68</v>
      </c>
      <c r="N985">
        <v>20.45</v>
      </c>
      <c r="O985" t="s">
        <v>25</v>
      </c>
      <c r="P985" t="s">
        <v>21</v>
      </c>
      <c r="Q985" t="s">
        <v>20</v>
      </c>
      <c r="R985" t="str">
        <f>HYPERLINK("https://cfpub.epa.gov/ecotox/explore.cfm?ncbi=53326","Explore in ECOTOX")</f>
        <v>Explore in ECOTOX</v>
      </c>
    </row>
    <row r="986" spans="1:18" x14ac:dyDescent="0.25">
      <c r="A986">
        <v>6</v>
      </c>
      <c r="B986" t="str">
        <f>HYPERLINK("http://www.ncbi.nlm.nih.gov/protein/NP_001156279.1","NP_001156279.1")</f>
        <v>NP_001156279.1</v>
      </c>
      <c r="C986">
        <v>31430</v>
      </c>
      <c r="D986" t="str">
        <f>HYPERLINK("http://www.ncbi.nlm.nih.gov/Taxonomy/Browser/wwwtax.cgi?mode=Info&amp;id=7029&amp;lvl=3&amp;lin=f&amp;keep=1&amp;srchmode=1&amp;unlock","7029")</f>
        <v>7029</v>
      </c>
      <c r="E986" t="s">
        <v>698</v>
      </c>
      <c r="F986" t="s">
        <v>698</v>
      </c>
      <c r="G986" t="str">
        <f>HYPERLINK("http://www.ncbi.nlm.nih.gov/Taxonomy/Browser/wwwtax.cgi?mode=Info&amp;id=7029&amp;lvl=3&amp;lin=f&amp;keep=1&amp;srchmode=1&amp;unlock","Acyrthosiphon pisum")</f>
        <v>Acyrthosiphon pisum</v>
      </c>
      <c r="H986" t="s">
        <v>887</v>
      </c>
      <c r="I986" t="str">
        <f>HYPERLINK("http://www.ncbi.nlm.nih.gov/protein/NP_001156279.1","MPA13 allergen-like")</f>
        <v>MPA13 allergen-like</v>
      </c>
      <c r="J986">
        <v>51.6</v>
      </c>
      <c r="K986" t="s">
        <v>25</v>
      </c>
      <c r="L986">
        <v>139</v>
      </c>
      <c r="M986">
        <v>50.68</v>
      </c>
      <c r="N986">
        <v>20.45</v>
      </c>
      <c r="O986" t="s">
        <v>25</v>
      </c>
      <c r="P986" t="s">
        <v>21</v>
      </c>
      <c r="Q986" t="s">
        <v>20</v>
      </c>
      <c r="R986" t="str">
        <f>HYPERLINK("https://cfpub.epa.gov/ecotox/explore.cfm?ncbi=7029","Explore in ECOTOX")</f>
        <v>Explore in ECOTOX</v>
      </c>
    </row>
    <row r="987" spans="1:18" x14ac:dyDescent="0.25">
      <c r="A987">
        <v>6</v>
      </c>
      <c r="B987" t="str">
        <f>HYPERLINK("http://www.ncbi.nlm.nih.gov/protein/XP_022344764.1","XP_022344764.1")</f>
        <v>XP_022344764.1</v>
      </c>
      <c r="C987">
        <v>60511</v>
      </c>
      <c r="D987" t="str">
        <f>HYPERLINK("http://www.ncbi.nlm.nih.gov/Taxonomy/Browser/wwwtax.cgi?mode=Info&amp;id=6565&amp;lvl=3&amp;lin=f&amp;keep=1&amp;srchmode=1&amp;unlock","6565")</f>
        <v>6565</v>
      </c>
      <c r="E987" t="s">
        <v>709</v>
      </c>
      <c r="F987" t="s">
        <v>709</v>
      </c>
      <c r="G987" t="str">
        <f>HYPERLINK("http://www.ncbi.nlm.nih.gov/Taxonomy/Browser/wwwtax.cgi?mode=Info&amp;id=6565&amp;lvl=3&amp;lin=f&amp;keep=1&amp;srchmode=1&amp;unlock","Crassostrea virginica")</f>
        <v>Crassostrea virginica</v>
      </c>
      <c r="H987" t="s">
        <v>888</v>
      </c>
      <c r="I987" t="str">
        <f>HYPERLINK("http://www.ncbi.nlm.nih.gov/protein/XP_022344764.1","fatty acid-binding protein, adipocyte-like")</f>
        <v>fatty acid-binding protein, adipocyte-like</v>
      </c>
      <c r="J987">
        <v>51.6</v>
      </c>
      <c r="K987" t="s">
        <v>25</v>
      </c>
      <c r="L987">
        <v>139</v>
      </c>
      <c r="M987">
        <v>50.68</v>
      </c>
      <c r="N987">
        <v>20.45</v>
      </c>
      <c r="O987" t="s">
        <v>25</v>
      </c>
      <c r="P987" t="s">
        <v>21</v>
      </c>
      <c r="Q987" t="s">
        <v>20</v>
      </c>
      <c r="R987" t="str">
        <f>HYPERLINK("https://cfpub.epa.gov/ecotox/explore.cfm?ncbi=6565","Explore in ECOTOX")</f>
        <v>Explore in ECOTOX</v>
      </c>
    </row>
    <row r="988" spans="1:18" x14ac:dyDescent="0.25">
      <c r="A988">
        <v>6</v>
      </c>
      <c r="B988" t="str">
        <f>HYPERLINK("http://www.ncbi.nlm.nih.gov/protein/XP_013099167.1","XP_013099167.1")</f>
        <v>XP_013099167.1</v>
      </c>
      <c r="C988">
        <v>22831</v>
      </c>
      <c r="D988" t="str">
        <f>HYPERLINK("http://www.ncbi.nlm.nih.gov/Taxonomy/Browser/wwwtax.cgi?mode=Info&amp;id=35570&amp;lvl=3&amp;lin=f&amp;keep=1&amp;srchmode=1&amp;unlock","35570")</f>
        <v>35570</v>
      </c>
      <c r="E988" t="s">
        <v>698</v>
      </c>
      <c r="F988" t="s">
        <v>698</v>
      </c>
      <c r="G988" t="str">
        <f>HYPERLINK("http://www.ncbi.nlm.nih.gov/Taxonomy/Browser/wwwtax.cgi?mode=Info&amp;id=35570&amp;lvl=3&amp;lin=f&amp;keep=1&amp;srchmode=1&amp;unlock","Stomoxys calcitrans")</f>
        <v>Stomoxys calcitrans</v>
      </c>
      <c r="H988" t="s">
        <v>889</v>
      </c>
      <c r="I988" t="str">
        <f>HYPERLINK("http://www.ncbi.nlm.nih.gov/protein/XP_013099167.1","PREDICTED: probable fatty acid-binding protein")</f>
        <v>PREDICTED: probable fatty acid-binding protein</v>
      </c>
      <c r="J988">
        <v>51.6</v>
      </c>
      <c r="K988" t="s">
        <v>25</v>
      </c>
      <c r="L988">
        <v>139</v>
      </c>
      <c r="M988">
        <v>50.68</v>
      </c>
      <c r="N988">
        <v>20.45</v>
      </c>
      <c r="O988" t="s">
        <v>25</v>
      </c>
      <c r="P988" t="s">
        <v>21</v>
      </c>
      <c r="Q988" t="s">
        <v>20</v>
      </c>
      <c r="R988" t="str">
        <f>HYPERLINK("https://cfpub.epa.gov/ecotox/explore.cfm?ncbi=35570","Explore in ECOTOX")</f>
        <v>Explore in ECOTOX</v>
      </c>
    </row>
    <row r="989" spans="1:18" x14ac:dyDescent="0.25">
      <c r="A989">
        <v>6</v>
      </c>
      <c r="B989" t="str">
        <f>HYPERLINK("http://www.ncbi.nlm.nih.gov/protein/ETE65874.1","ETE65874.1")</f>
        <v>ETE65874.1</v>
      </c>
      <c r="C989">
        <v>18733</v>
      </c>
      <c r="D989" t="str">
        <f>HYPERLINK("http://www.ncbi.nlm.nih.gov/Taxonomy/Browser/wwwtax.cgi?mode=Info&amp;id=8665&amp;lvl=3&amp;lin=f&amp;keep=1&amp;srchmode=1&amp;unlock","8665")</f>
        <v>8665</v>
      </c>
      <c r="E989" t="s">
        <v>236</v>
      </c>
      <c r="F989" t="s">
        <v>236</v>
      </c>
      <c r="G989" t="str">
        <f>HYPERLINK("http://www.ncbi.nlm.nih.gov/Taxonomy/Browser/wwwtax.cgi?mode=Info&amp;id=8665&amp;lvl=3&amp;lin=f&amp;keep=1&amp;srchmode=1&amp;unlock","Ophiophagus hannah")</f>
        <v>Ophiophagus hannah</v>
      </c>
      <c r="H989" t="s">
        <v>890</v>
      </c>
      <c r="I989" t="str">
        <f>HYPERLINK("http://www.ncbi.nlm.nih.gov/protein/ETE65874.1","Cellular retinoic acid-binding protein 1, partial")</f>
        <v>Cellular retinoic acid-binding protein 1, partial</v>
      </c>
      <c r="J989">
        <v>51.6</v>
      </c>
      <c r="K989" t="s">
        <v>25</v>
      </c>
      <c r="L989">
        <v>139</v>
      </c>
      <c r="M989">
        <v>50.68</v>
      </c>
      <c r="N989">
        <v>20.45</v>
      </c>
      <c r="O989" t="s">
        <v>20</v>
      </c>
      <c r="P989" t="s">
        <v>21</v>
      </c>
      <c r="Q989" t="s">
        <v>20</v>
      </c>
      <c r="R989" t="str">
        <f>HYPERLINK("https://cfpub.epa.gov/ecotox/explore.cfm?ncbi=8665","Explore in ECOTOX")</f>
        <v>Explore in ECOTOX</v>
      </c>
    </row>
    <row r="990" spans="1:18" x14ac:dyDescent="0.25">
      <c r="A990">
        <v>6</v>
      </c>
      <c r="B990" t="str">
        <f>HYPERLINK("http://www.ncbi.nlm.nih.gov/protein/XP_018799053.1","XP_018799053.1")</f>
        <v>XP_018799053.1</v>
      </c>
      <c r="C990">
        <v>22773</v>
      </c>
      <c r="D990" t="str">
        <f>HYPERLINK("http://www.ncbi.nlm.nih.gov/Taxonomy/Browser/wwwtax.cgi?mode=Info&amp;id=174628&amp;lvl=3&amp;lin=f&amp;keep=1&amp;srchmode=1&amp;unlock","174628")</f>
        <v>174628</v>
      </c>
      <c r="E990" t="s">
        <v>698</v>
      </c>
      <c r="F990" t="s">
        <v>698</v>
      </c>
      <c r="G990" t="str">
        <f>HYPERLINK("http://www.ncbi.nlm.nih.gov/Taxonomy/Browser/wwwtax.cgi?mode=Info&amp;id=174628&amp;lvl=3&amp;lin=f&amp;keep=1&amp;srchmode=1&amp;unlock","Bactrocera latifrons")</f>
        <v>Bactrocera latifrons</v>
      </c>
      <c r="H990" t="s">
        <v>753</v>
      </c>
      <c r="I990" t="str">
        <f>HYPERLINK("http://www.ncbi.nlm.nih.gov/protein/XP_018799053.1","PREDICTED: probable fatty acid-binding protein")</f>
        <v>PREDICTED: probable fatty acid-binding protein</v>
      </c>
      <c r="J990">
        <v>51.6</v>
      </c>
      <c r="K990" t="s">
        <v>25</v>
      </c>
      <c r="L990">
        <v>139</v>
      </c>
      <c r="M990">
        <v>50.68</v>
      </c>
      <c r="N990">
        <v>20.45</v>
      </c>
      <c r="O990" t="s">
        <v>25</v>
      </c>
      <c r="P990" t="s">
        <v>21</v>
      </c>
      <c r="Q990" t="s">
        <v>20</v>
      </c>
      <c r="R990" t="str">
        <f>HYPERLINK("https://cfpub.epa.gov/ecotox/explore.cfm?ncbi=174628","Explore in ECOTOX")</f>
        <v>Explore in ECOTOX</v>
      </c>
    </row>
    <row r="991" spans="1:18" x14ac:dyDescent="0.25">
      <c r="A991">
        <v>6</v>
      </c>
      <c r="B991" t="str">
        <f>HYPERLINK("http://www.ncbi.nlm.nih.gov/protein/XP_037974497.1","XP_037974497.1")</f>
        <v>XP_037974497.1</v>
      </c>
      <c r="C991">
        <v>41454</v>
      </c>
      <c r="D991" t="str">
        <f>HYPERLINK("http://www.ncbi.nlm.nih.gov/Taxonomy/Browser/wwwtax.cgi?mode=Info&amp;id=51655&amp;lvl=3&amp;lin=f&amp;keep=1&amp;srchmode=1&amp;unlock","51655")</f>
        <v>51655</v>
      </c>
      <c r="E991" t="s">
        <v>698</v>
      </c>
      <c r="F991" t="s">
        <v>698</v>
      </c>
      <c r="G991" t="str">
        <f>HYPERLINK("http://www.ncbi.nlm.nih.gov/Taxonomy/Browser/wwwtax.cgi?mode=Info&amp;id=51655&amp;lvl=3&amp;lin=f&amp;keep=1&amp;srchmode=1&amp;unlock","Plutella xylostella")</f>
        <v>Plutella xylostella</v>
      </c>
      <c r="H991" t="s">
        <v>891</v>
      </c>
      <c r="I991" t="str">
        <f>HYPERLINK("http://www.ncbi.nlm.nih.gov/protein/XP_037974497.1","sodium/calcium exchanger regulatory protein 1 isoform X2")</f>
        <v>sodium/calcium exchanger regulatory protein 1 isoform X2</v>
      </c>
      <c r="J991">
        <v>51.6</v>
      </c>
      <c r="K991" t="s">
        <v>25</v>
      </c>
      <c r="L991">
        <v>139</v>
      </c>
      <c r="M991">
        <v>50.68</v>
      </c>
      <c r="N991">
        <v>20.45</v>
      </c>
      <c r="O991" t="s">
        <v>25</v>
      </c>
      <c r="P991" t="s">
        <v>21</v>
      </c>
      <c r="Q991" t="s">
        <v>20</v>
      </c>
      <c r="R991" t="str">
        <f>HYPERLINK("https://cfpub.epa.gov/ecotox/explore.cfm?ncbi=51655","Explore in ECOTOX")</f>
        <v>Explore in ECOTOX</v>
      </c>
    </row>
    <row r="992" spans="1:18" x14ac:dyDescent="0.25">
      <c r="A992">
        <v>6</v>
      </c>
      <c r="B992" t="str">
        <f>HYPERLINK("http://www.ncbi.nlm.nih.gov/protein/AEM45872.1","AEM45872.1")</f>
        <v>AEM45872.1</v>
      </c>
      <c r="C992">
        <v>2</v>
      </c>
      <c r="D992" t="str">
        <f>HYPERLINK("http://www.ncbi.nlm.nih.gov/Taxonomy/Browser/wwwtax.cgi?mode=Info&amp;id=2740424&amp;lvl=3&amp;lin=f&amp;keep=1&amp;srchmode=1&amp;unlock","2740424")</f>
        <v>2740424</v>
      </c>
      <c r="E992" t="s">
        <v>698</v>
      </c>
      <c r="F992" t="s">
        <v>698</v>
      </c>
      <c r="G992" t="str">
        <f>HYPERLINK("http://www.ncbi.nlm.nih.gov/Taxonomy/Browser/wwwtax.cgi?mode=Info&amp;id=2740424&amp;lvl=3&amp;lin=f&amp;keep=1&amp;srchmode=1&amp;unlock","Abscondita cerata")</f>
        <v>Abscondita cerata</v>
      </c>
      <c r="H992" t="s">
        <v>892</v>
      </c>
      <c r="I992" t="str">
        <f>HYPERLINK("http://www.ncbi.nlm.nih.gov/protein/AEM45872.1","fatty acid-binding protein")</f>
        <v>fatty acid-binding protein</v>
      </c>
      <c r="J992">
        <v>51.6</v>
      </c>
      <c r="K992" t="s">
        <v>25</v>
      </c>
      <c r="L992">
        <v>139</v>
      </c>
      <c r="M992">
        <v>50.68</v>
      </c>
      <c r="N992">
        <v>20.45</v>
      </c>
      <c r="O992" t="s">
        <v>25</v>
      </c>
      <c r="P992" t="s">
        <v>21</v>
      </c>
      <c r="Q992" t="s">
        <v>20</v>
      </c>
      <c r="R992" t="str">
        <f>HYPERLINK("https://cfpub.epa.gov/ecotox/explore.cfm?ncbi=2740424","Explore in ECOTOX")</f>
        <v>Explore in ECOTOX</v>
      </c>
    </row>
    <row r="993" spans="1:18" x14ac:dyDescent="0.25">
      <c r="A993">
        <v>6</v>
      </c>
      <c r="B993" t="str">
        <f>HYPERLINK("http://www.ncbi.nlm.nih.gov/protein/TKR94166.1","TKR94166.1")</f>
        <v>TKR94166.1</v>
      </c>
      <c r="C993">
        <v>36673</v>
      </c>
      <c r="D993" t="str">
        <f>HYPERLINK("http://www.ncbi.nlm.nih.gov/Taxonomy/Browser/wwwtax.cgi?mode=Info&amp;id=34508&amp;lvl=3&amp;lin=f&amp;keep=1&amp;srchmode=1&amp;unlock","34508")</f>
        <v>34508</v>
      </c>
      <c r="E993" t="s">
        <v>869</v>
      </c>
      <c r="F993" t="s">
        <v>869</v>
      </c>
      <c r="G993" t="str">
        <f>HYPERLINK("http://www.ncbi.nlm.nih.gov/Taxonomy/Browser/wwwtax.cgi?mode=Info&amp;id=34508&amp;lvl=3&amp;lin=f&amp;keep=1&amp;srchmode=1&amp;unlock","Steinernema carpocapsae")</f>
        <v>Steinernema carpocapsae</v>
      </c>
      <c r="H993" t="s">
        <v>803</v>
      </c>
      <c r="I993" t="str">
        <f>HYPERLINK("http://www.ncbi.nlm.nih.gov/protein/TKR94166.1","hypothetical protein L596_008490")</f>
        <v>hypothetical protein L596_008490</v>
      </c>
      <c r="J993">
        <v>51.6</v>
      </c>
      <c r="K993" t="s">
        <v>25</v>
      </c>
      <c r="L993">
        <v>139</v>
      </c>
      <c r="M993">
        <v>50.68</v>
      </c>
      <c r="N993">
        <v>20.45</v>
      </c>
      <c r="O993" t="s">
        <v>25</v>
      </c>
      <c r="P993" t="s">
        <v>21</v>
      </c>
      <c r="Q993" t="s">
        <v>20</v>
      </c>
      <c r="R993" t="str">
        <f>HYPERLINK("https://cfpub.epa.gov/ecotox/explore.cfm?ncbi=34508","Explore in ECOTOX")</f>
        <v>Explore in ECOTOX</v>
      </c>
    </row>
    <row r="994" spans="1:18" x14ac:dyDescent="0.25">
      <c r="A994">
        <v>6</v>
      </c>
      <c r="B994" t="str">
        <f>HYPERLINK("http://www.ncbi.nlm.nih.gov/protein/KFD61777.1","KFD61777.1")</f>
        <v>KFD61777.1</v>
      </c>
      <c r="C994">
        <v>38521</v>
      </c>
      <c r="D994" t="str">
        <f>HYPERLINK("http://www.ncbi.nlm.nih.gov/Taxonomy/Browser/wwwtax.cgi?mode=Info&amp;id=68888&amp;lvl=3&amp;lin=f&amp;keep=1&amp;srchmode=1&amp;unlock","68888")</f>
        <v>68888</v>
      </c>
      <c r="E994" t="s">
        <v>802</v>
      </c>
      <c r="F994" t="s">
        <v>802</v>
      </c>
      <c r="G994" t="str">
        <f>HYPERLINK("http://www.ncbi.nlm.nih.gov/Taxonomy/Browser/wwwtax.cgi?mode=Info&amp;id=68888&amp;lvl=3&amp;lin=f&amp;keep=1&amp;srchmode=1&amp;unlock","Trichuris suis")</f>
        <v>Trichuris suis</v>
      </c>
      <c r="H994" t="s">
        <v>893</v>
      </c>
      <c r="I994" t="str">
        <f>HYPERLINK("http://www.ncbi.nlm.nih.gov/protein/KFD61777.1","hypothetical protein M514_04333")</f>
        <v>hypothetical protein M514_04333</v>
      </c>
      <c r="J994">
        <v>51.22</v>
      </c>
      <c r="K994" t="s">
        <v>25</v>
      </c>
      <c r="L994">
        <v>139</v>
      </c>
      <c r="M994">
        <v>50.68</v>
      </c>
      <c r="N994">
        <v>20.3</v>
      </c>
      <c r="O994" t="s">
        <v>25</v>
      </c>
      <c r="P994" t="s">
        <v>21</v>
      </c>
      <c r="Q994" t="s">
        <v>20</v>
      </c>
      <c r="R994" t="str">
        <f>HYPERLINK("https://cfpub.epa.gov/ecotox/explore.cfm?ncbi=68888","Explore in ECOTOX")</f>
        <v>Explore in ECOTOX</v>
      </c>
    </row>
    <row r="995" spans="1:18" x14ac:dyDescent="0.25">
      <c r="A995">
        <v>6</v>
      </c>
      <c r="B995" t="str">
        <f>HYPERLINK("http://www.ncbi.nlm.nih.gov/protein/XP_002056736.1","XP_002056736.1")</f>
        <v>XP_002056736.1</v>
      </c>
      <c r="C995">
        <v>44766</v>
      </c>
      <c r="D995" t="str">
        <f>HYPERLINK("http://www.ncbi.nlm.nih.gov/Taxonomy/Browser/wwwtax.cgi?mode=Info&amp;id=7244&amp;lvl=3&amp;lin=f&amp;keep=1&amp;srchmode=1&amp;unlock","7244")</f>
        <v>7244</v>
      </c>
      <c r="E995" t="s">
        <v>698</v>
      </c>
      <c r="F995" t="s">
        <v>698</v>
      </c>
      <c r="G995" t="str">
        <f>HYPERLINK("http://www.ncbi.nlm.nih.gov/Taxonomy/Browser/wwwtax.cgi?mode=Info&amp;id=7244&amp;lvl=3&amp;lin=f&amp;keep=1&amp;srchmode=1&amp;unlock","Drosophila virilis")</f>
        <v>Drosophila virilis</v>
      </c>
      <c r="H995" t="s">
        <v>753</v>
      </c>
      <c r="I995" t="str">
        <f>HYPERLINK("http://www.ncbi.nlm.nih.gov/protein/XP_002056736.1","fatty acid-binding protein, muscle")</f>
        <v>fatty acid-binding protein, muscle</v>
      </c>
      <c r="J995">
        <v>51.22</v>
      </c>
      <c r="K995" t="s">
        <v>25</v>
      </c>
      <c r="L995">
        <v>139</v>
      </c>
      <c r="M995">
        <v>50.68</v>
      </c>
      <c r="N995">
        <v>20.3</v>
      </c>
      <c r="O995" t="s">
        <v>25</v>
      </c>
      <c r="P995" t="s">
        <v>21</v>
      </c>
      <c r="Q995" t="s">
        <v>20</v>
      </c>
      <c r="R995" t="str">
        <f>HYPERLINK("https://cfpub.epa.gov/ecotox/explore.cfm?ncbi=7244","Explore in ECOTOX")</f>
        <v>Explore in ECOTOX</v>
      </c>
    </row>
    <row r="996" spans="1:18" x14ac:dyDescent="0.25">
      <c r="A996">
        <v>6</v>
      </c>
      <c r="B996" t="str">
        <f>HYPERLINK("http://www.ncbi.nlm.nih.gov/protein/KAF0759079.1","KAF0759079.1")</f>
        <v>KAF0759079.1</v>
      </c>
      <c r="C996">
        <v>32382</v>
      </c>
      <c r="D996" t="str">
        <f>HYPERLINK("http://www.ncbi.nlm.nih.gov/Taxonomy/Browser/wwwtax.cgi?mode=Info&amp;id=307492&amp;lvl=3&amp;lin=f&amp;keep=1&amp;srchmode=1&amp;unlock","307492")</f>
        <v>307492</v>
      </c>
      <c r="E996" t="s">
        <v>698</v>
      </c>
      <c r="F996" t="s">
        <v>698</v>
      </c>
      <c r="G996" t="str">
        <f>HYPERLINK("http://www.ncbi.nlm.nih.gov/Taxonomy/Browser/wwwtax.cgi?mode=Info&amp;id=307492&amp;lvl=3&amp;lin=f&amp;keep=1&amp;srchmode=1&amp;unlock","Aphis craccivora")</f>
        <v>Aphis craccivora</v>
      </c>
      <c r="H996" t="s">
        <v>894</v>
      </c>
      <c r="I996" t="str">
        <f>HYPERLINK("http://www.ncbi.nlm.nih.gov/protein/KAF0759079.1","fatty acid-binding protein, muscle-like")</f>
        <v>fatty acid-binding protein, muscle-like</v>
      </c>
      <c r="J996">
        <v>51.22</v>
      </c>
      <c r="K996" t="s">
        <v>25</v>
      </c>
      <c r="L996">
        <v>139</v>
      </c>
      <c r="M996">
        <v>50.68</v>
      </c>
      <c r="N996">
        <v>20.3</v>
      </c>
      <c r="O996" t="s">
        <v>25</v>
      </c>
      <c r="P996" t="s">
        <v>21</v>
      </c>
      <c r="Q996" t="s">
        <v>20</v>
      </c>
      <c r="R996" t="str">
        <f>HYPERLINK("https://cfpub.epa.gov/ecotox/explore.cfm?ncbi=307492","Explore in ECOTOX")</f>
        <v>Explore in ECOTOX</v>
      </c>
    </row>
    <row r="997" spans="1:18" x14ac:dyDescent="0.25">
      <c r="A997">
        <v>6</v>
      </c>
      <c r="B997" t="str">
        <f>HYPERLINK("http://www.ncbi.nlm.nih.gov/protein/XP_037514090.1","XP_037514090.1")</f>
        <v>XP_037514090.1</v>
      </c>
      <c r="C997">
        <v>32522</v>
      </c>
      <c r="D997" t="str">
        <f>HYPERLINK("http://www.ncbi.nlm.nih.gov/Taxonomy/Browser/wwwtax.cgi?mode=Info&amp;id=34632&amp;lvl=3&amp;lin=f&amp;keep=1&amp;srchmode=1&amp;unlock","34632")</f>
        <v>34632</v>
      </c>
      <c r="E997" t="s">
        <v>700</v>
      </c>
      <c r="F997" t="s">
        <v>700</v>
      </c>
      <c r="G997" t="str">
        <f>HYPERLINK("http://www.ncbi.nlm.nih.gov/Taxonomy/Browser/wwwtax.cgi?mode=Info&amp;id=34632&amp;lvl=3&amp;lin=f&amp;keep=1&amp;srchmode=1&amp;unlock","Rhipicephalus sanguineus")</f>
        <v>Rhipicephalus sanguineus</v>
      </c>
      <c r="H997" t="s">
        <v>895</v>
      </c>
      <c r="I997" t="str">
        <f>HYPERLINK("http://www.ncbi.nlm.nih.gov/protein/XP_037514090.1","sodium/calcium exchanger regulatory protein 1-like")</f>
        <v>sodium/calcium exchanger regulatory protein 1-like</v>
      </c>
      <c r="J997">
        <v>51.22</v>
      </c>
      <c r="K997" t="s">
        <v>25</v>
      </c>
      <c r="L997">
        <v>139</v>
      </c>
      <c r="M997">
        <v>50.68</v>
      </c>
      <c r="N997">
        <v>20.3</v>
      </c>
      <c r="O997" t="s">
        <v>25</v>
      </c>
      <c r="P997" t="s">
        <v>21</v>
      </c>
      <c r="Q997" t="s">
        <v>20</v>
      </c>
      <c r="R997" t="str">
        <f>HYPERLINK("https://cfpub.epa.gov/ecotox/explore.cfm?ncbi=34632","Explore in ECOTOX")</f>
        <v>Explore in ECOTOX</v>
      </c>
    </row>
    <row r="998" spans="1:18" x14ac:dyDescent="0.25">
      <c r="A998">
        <v>6</v>
      </c>
      <c r="B998" t="str">
        <f>HYPERLINK("http://www.ncbi.nlm.nih.gov/protein/AGG56524.1","AGG56524.1")</f>
        <v>AGG56524.1</v>
      </c>
      <c r="C998">
        <v>189</v>
      </c>
      <c r="D998" t="str">
        <f>HYPERLINK("http://www.ncbi.nlm.nih.gov/Taxonomy/Browser/wwwtax.cgi?mode=Info&amp;id=7121&amp;lvl=3&amp;lin=f&amp;keep=1&amp;srchmode=1&amp;unlock","7121")</f>
        <v>7121</v>
      </c>
      <c r="E998" t="s">
        <v>698</v>
      </c>
      <c r="F998" t="s">
        <v>698</v>
      </c>
      <c r="G998" t="str">
        <f>HYPERLINK("http://www.ncbi.nlm.nih.gov/Taxonomy/Browser/wwwtax.cgi?mode=Info&amp;id=7121&amp;lvl=3&amp;lin=f&amp;keep=1&amp;srchmode=1&amp;unlock","Antheraea yamamai")</f>
        <v>Antheraea yamamai</v>
      </c>
      <c r="H998" t="s">
        <v>896</v>
      </c>
      <c r="I998" t="str">
        <f>HYPERLINK("http://www.ncbi.nlm.nih.gov/protein/AGG56524.1","cellular retinoic acid binding protein")</f>
        <v>cellular retinoic acid binding protein</v>
      </c>
      <c r="J998">
        <v>51.22</v>
      </c>
      <c r="K998" t="s">
        <v>25</v>
      </c>
      <c r="L998">
        <v>139</v>
      </c>
      <c r="M998">
        <v>50.68</v>
      </c>
      <c r="N998">
        <v>20.3</v>
      </c>
      <c r="O998" t="s">
        <v>25</v>
      </c>
      <c r="P998" t="s">
        <v>21</v>
      </c>
      <c r="Q998" t="s">
        <v>20</v>
      </c>
      <c r="R998" t="str">
        <f>HYPERLINK("https://cfpub.epa.gov/ecotox/explore.cfm?ncbi=7121","Explore in ECOTOX")</f>
        <v>Explore in ECOTOX</v>
      </c>
    </row>
    <row r="999" spans="1:18" x14ac:dyDescent="0.25">
      <c r="A999">
        <v>6</v>
      </c>
      <c r="B999" t="str">
        <f>HYPERLINK("http://www.ncbi.nlm.nih.gov/protein/KAF5404146.1","KAF5404146.1")</f>
        <v>KAF5404146.1</v>
      </c>
      <c r="C999">
        <v>12547</v>
      </c>
      <c r="D999" t="str">
        <f>HYPERLINK("http://www.ncbi.nlm.nih.gov/Taxonomy/Browser/wwwtax.cgi?mode=Info&amp;id=100268&amp;lvl=3&amp;lin=f&amp;keep=1&amp;srchmode=1&amp;unlock","100268")</f>
        <v>100268</v>
      </c>
      <c r="E999" t="s">
        <v>793</v>
      </c>
      <c r="F999" t="s">
        <v>793</v>
      </c>
      <c r="G999" t="str">
        <f>HYPERLINK("http://www.ncbi.nlm.nih.gov/Taxonomy/Browser/wwwtax.cgi?mode=Info&amp;id=100268&amp;lvl=3&amp;lin=f&amp;keep=1&amp;srchmode=1&amp;unlock","Paragonimus heterotremus")</f>
        <v>Paragonimus heterotremus</v>
      </c>
      <c r="H999" t="s">
        <v>897</v>
      </c>
      <c r="I999" t="str">
        <f>HYPERLINK("http://www.ncbi.nlm.nih.gov/protein/KAF5404146.1","Fatty acid binding protein b")</f>
        <v>Fatty acid binding protein b</v>
      </c>
      <c r="J999">
        <v>51.22</v>
      </c>
      <c r="K999" t="s">
        <v>25</v>
      </c>
      <c r="L999">
        <v>139</v>
      </c>
      <c r="M999">
        <v>50.68</v>
      </c>
      <c r="N999">
        <v>20.3</v>
      </c>
      <c r="O999" t="s">
        <v>25</v>
      </c>
      <c r="P999" t="s">
        <v>21</v>
      </c>
      <c r="Q999" t="s">
        <v>20</v>
      </c>
      <c r="R999" t="str">
        <f>HYPERLINK("https://cfpub.epa.gov/ecotox/explore.cfm?ncbi=100268","Explore in ECOTOX")</f>
        <v>Explore in ECOTOX</v>
      </c>
    </row>
    <row r="1000" spans="1:18" x14ac:dyDescent="0.25">
      <c r="A1000">
        <v>6</v>
      </c>
      <c r="B1000" t="str">
        <f>HYPERLINK("http://www.ncbi.nlm.nih.gov/protein/KAF7285789.1","KAF7285789.1")</f>
        <v>KAF7285789.1</v>
      </c>
      <c r="C1000">
        <v>25887</v>
      </c>
      <c r="D1000" t="str">
        <f>HYPERLINK("http://www.ncbi.nlm.nih.gov/Taxonomy/Browser/wwwtax.cgi?mode=Info&amp;id=354439&amp;lvl=3&amp;lin=f&amp;keep=1&amp;srchmode=1&amp;unlock","354439")</f>
        <v>354439</v>
      </c>
      <c r="E1000" t="s">
        <v>698</v>
      </c>
      <c r="F1000" t="s">
        <v>698</v>
      </c>
      <c r="G1000" t="str">
        <f>HYPERLINK("http://www.ncbi.nlm.nih.gov/Taxonomy/Browser/wwwtax.cgi?mode=Info&amp;id=354439&amp;lvl=3&amp;lin=f&amp;keep=1&amp;srchmode=1&amp;unlock","Rhynchophorus ferrugineus")</f>
        <v>Rhynchophorus ferrugineus</v>
      </c>
      <c r="H1000" t="s">
        <v>898</v>
      </c>
      <c r="I1000" t="str">
        <f>HYPERLINK("http://www.ncbi.nlm.nih.gov/protein/KAF7285789.1","hypothetical protein GWI33_009972")</f>
        <v>hypothetical protein GWI33_009972</v>
      </c>
      <c r="J1000">
        <v>51.22</v>
      </c>
      <c r="K1000" t="s">
        <v>25</v>
      </c>
      <c r="L1000">
        <v>139</v>
      </c>
      <c r="M1000">
        <v>50.68</v>
      </c>
      <c r="N1000">
        <v>20.3</v>
      </c>
      <c r="O1000" t="s">
        <v>25</v>
      </c>
      <c r="P1000" t="s">
        <v>21</v>
      </c>
      <c r="Q1000" t="s">
        <v>20</v>
      </c>
      <c r="R1000" t="str">
        <f>HYPERLINK("https://cfpub.epa.gov/ecotox/explore.cfm?ncbi=354439","Explore in ECOTOX")</f>
        <v>Explore in ECOTOX</v>
      </c>
    </row>
    <row r="1001" spans="1:18" x14ac:dyDescent="0.25">
      <c r="A1001">
        <v>6</v>
      </c>
      <c r="B1001" t="str">
        <f>HYPERLINK("http://www.ncbi.nlm.nih.gov/protein/XP_030568149.1","XP_030568149.1")</f>
        <v>XP_030568149.1</v>
      </c>
      <c r="C1001">
        <v>20258</v>
      </c>
      <c r="D1001" t="str">
        <f>HYPERLINK("http://www.ncbi.nlm.nih.gov/Taxonomy/Browser/wwwtax.cgi?mode=Info&amp;id=47314&amp;lvl=3&amp;lin=f&amp;keep=1&amp;srchmode=1&amp;unlock","47314")</f>
        <v>47314</v>
      </c>
      <c r="E1001" t="s">
        <v>698</v>
      </c>
      <c r="F1001" t="s">
        <v>698</v>
      </c>
      <c r="G1001" t="str">
        <f>HYPERLINK("http://www.ncbi.nlm.nih.gov/Taxonomy/Browser/wwwtax.cgi?mode=Info&amp;id=47314&amp;lvl=3&amp;lin=f&amp;keep=1&amp;srchmode=1&amp;unlock","Drosophila novamexicana")</f>
        <v>Drosophila novamexicana</v>
      </c>
      <c r="H1001" t="s">
        <v>753</v>
      </c>
      <c r="I1001" t="str">
        <f>HYPERLINK("http://www.ncbi.nlm.nih.gov/protein/XP_030568149.1","fatty acid-binding protein, muscle")</f>
        <v>fatty acid-binding protein, muscle</v>
      </c>
      <c r="J1001">
        <v>51.22</v>
      </c>
      <c r="K1001" t="s">
        <v>25</v>
      </c>
      <c r="L1001">
        <v>139</v>
      </c>
      <c r="M1001">
        <v>50.68</v>
      </c>
      <c r="N1001">
        <v>20.3</v>
      </c>
      <c r="O1001" t="s">
        <v>25</v>
      </c>
      <c r="P1001" t="s">
        <v>21</v>
      </c>
      <c r="Q1001" t="s">
        <v>20</v>
      </c>
      <c r="R1001" t="str">
        <f>HYPERLINK("https://cfpub.epa.gov/ecotox/explore.cfm?ncbi=47314","Explore in ECOTOX")</f>
        <v>Explore in ECOTOX</v>
      </c>
    </row>
    <row r="1002" spans="1:18" x14ac:dyDescent="0.25">
      <c r="A1002">
        <v>6</v>
      </c>
      <c r="B1002" t="str">
        <f>HYPERLINK("http://www.ncbi.nlm.nih.gov/protein/RUS84238.1","RUS84238.1")</f>
        <v>RUS84238.1</v>
      </c>
      <c r="C1002">
        <v>23933</v>
      </c>
      <c r="D1002" t="str">
        <f>HYPERLINK("http://www.ncbi.nlm.nih.gov/Taxonomy/Browser/wwwtax.cgi?mode=Info&amp;id=188477&amp;lvl=3&amp;lin=f&amp;keep=1&amp;srchmode=1&amp;unlock","188477")</f>
        <v>188477</v>
      </c>
      <c r="E1002" t="s">
        <v>763</v>
      </c>
      <c r="F1002" t="s">
        <v>763</v>
      </c>
      <c r="G1002" t="str">
        <f>HYPERLINK("http://www.ncbi.nlm.nih.gov/Taxonomy/Browser/wwwtax.cgi?mode=Info&amp;id=188477&amp;lvl=3&amp;lin=f&amp;keep=1&amp;srchmode=1&amp;unlock","Elysia chlorotica")</f>
        <v>Elysia chlorotica</v>
      </c>
      <c r="H1002" t="s">
        <v>899</v>
      </c>
      <c r="I1002" t="str">
        <f>HYPERLINK("http://www.ncbi.nlm.nih.gov/protein/RUS84238.1","hypothetical protein EGW08_007990")</f>
        <v>hypothetical protein EGW08_007990</v>
      </c>
      <c r="J1002">
        <v>51.22</v>
      </c>
      <c r="K1002" t="s">
        <v>25</v>
      </c>
      <c r="L1002">
        <v>139</v>
      </c>
      <c r="M1002">
        <v>50.68</v>
      </c>
      <c r="N1002">
        <v>20.3</v>
      </c>
      <c r="O1002" t="s">
        <v>25</v>
      </c>
      <c r="P1002" t="s">
        <v>21</v>
      </c>
      <c r="Q1002" t="s">
        <v>20</v>
      </c>
      <c r="R1002" t="str">
        <f>HYPERLINK("https://cfpub.epa.gov/ecotox/explore.cfm?ncbi=188477","Explore in ECOTOX")</f>
        <v>Explore in ECOTOX</v>
      </c>
    </row>
    <row r="1003" spans="1:18" x14ac:dyDescent="0.25">
      <c r="A1003">
        <v>6</v>
      </c>
      <c r="B1003" t="str">
        <f>HYPERLINK("http://www.ncbi.nlm.nih.gov/protein/CAF1097632.1","CAF1097632.1")</f>
        <v>CAF1097632.1</v>
      </c>
      <c r="C1003">
        <v>25285</v>
      </c>
      <c r="D1003" t="str">
        <f>HYPERLINK("http://www.ncbi.nlm.nih.gov/Taxonomy/Browser/wwwtax.cgi?mode=Info&amp;id=104777&amp;lvl=3&amp;lin=f&amp;keep=1&amp;srchmode=1&amp;unlock","104777")</f>
        <v>104777</v>
      </c>
      <c r="E1003" t="s">
        <v>855</v>
      </c>
      <c r="F1003" t="s">
        <v>855</v>
      </c>
      <c r="G1003" t="str">
        <f>HYPERLINK("http://www.ncbi.nlm.nih.gov/Taxonomy/Browser/wwwtax.cgi?mode=Info&amp;id=104777&amp;lvl=3&amp;lin=f&amp;keep=1&amp;srchmode=1&amp;unlock","Brachionus calyciflorus")</f>
        <v>Brachionus calyciflorus</v>
      </c>
      <c r="H1003" t="s">
        <v>856</v>
      </c>
      <c r="I1003" t="str">
        <f>HYPERLINK("http://www.ncbi.nlm.nih.gov/protein/CAF1097632.1","unnamed protein product")</f>
        <v>unnamed protein product</v>
      </c>
      <c r="J1003">
        <v>50.83</v>
      </c>
      <c r="K1003" t="s">
        <v>25</v>
      </c>
      <c r="L1003">
        <v>139</v>
      </c>
      <c r="M1003">
        <v>50.68</v>
      </c>
      <c r="N1003">
        <v>20.149999999999999</v>
      </c>
      <c r="O1003" t="s">
        <v>25</v>
      </c>
      <c r="P1003" t="s">
        <v>21</v>
      </c>
      <c r="Q1003" t="s">
        <v>20</v>
      </c>
      <c r="R1003" t="str">
        <f>HYPERLINK("https://cfpub.epa.gov/ecotox/explore.cfm?ncbi=104777","Explore in ECOTOX")</f>
        <v>Explore in ECOTOX</v>
      </c>
    </row>
    <row r="1004" spans="1:18" x14ac:dyDescent="0.25">
      <c r="A1004">
        <v>6</v>
      </c>
      <c r="B1004" t="str">
        <f>HYPERLINK("http://www.ncbi.nlm.nih.gov/protein/XP_017119023.1","XP_017119023.1")</f>
        <v>XP_017119023.1</v>
      </c>
      <c r="C1004">
        <v>24328</v>
      </c>
      <c r="D1004" t="str">
        <f>HYPERLINK("http://www.ncbi.nlm.nih.gov/Taxonomy/Browser/wwwtax.cgi?mode=Info&amp;id=30023&amp;lvl=3&amp;lin=f&amp;keep=1&amp;srchmode=1&amp;unlock","30023")</f>
        <v>30023</v>
      </c>
      <c r="E1004" t="s">
        <v>698</v>
      </c>
      <c r="F1004" t="s">
        <v>698</v>
      </c>
      <c r="G1004" t="str">
        <f>HYPERLINK("http://www.ncbi.nlm.nih.gov/Taxonomy/Browser/wwwtax.cgi?mode=Info&amp;id=30023&amp;lvl=3&amp;lin=f&amp;keep=1&amp;srchmode=1&amp;unlock","Drosophila elegans")</f>
        <v>Drosophila elegans</v>
      </c>
      <c r="H1004" t="s">
        <v>753</v>
      </c>
      <c r="I1004" t="str">
        <f>HYPERLINK("http://www.ncbi.nlm.nih.gov/protein/XP_017119023.1","PREDICTED: fatty acid-binding protein, muscle")</f>
        <v>PREDICTED: fatty acid-binding protein, muscle</v>
      </c>
      <c r="J1004">
        <v>50.83</v>
      </c>
      <c r="K1004" t="s">
        <v>25</v>
      </c>
      <c r="L1004">
        <v>139</v>
      </c>
      <c r="M1004">
        <v>50.68</v>
      </c>
      <c r="N1004">
        <v>20.149999999999999</v>
      </c>
      <c r="O1004" t="s">
        <v>25</v>
      </c>
      <c r="P1004" t="s">
        <v>21</v>
      </c>
      <c r="Q1004" t="s">
        <v>20</v>
      </c>
      <c r="R1004" t="str">
        <f>HYPERLINK("https://cfpub.epa.gov/ecotox/explore.cfm?ncbi=30023","Explore in ECOTOX")</f>
        <v>Explore in ECOTOX</v>
      </c>
    </row>
    <row r="1005" spans="1:18" x14ac:dyDescent="0.25">
      <c r="A1005">
        <v>6</v>
      </c>
      <c r="B1005" t="str">
        <f>HYPERLINK("http://www.ncbi.nlm.nih.gov/protein/KAF5286872.1","KAF5286872.1")</f>
        <v>KAF5286872.1</v>
      </c>
      <c r="C1005">
        <v>19498</v>
      </c>
      <c r="D1005" t="str">
        <f>HYPERLINK("http://www.ncbi.nlm.nih.gov/Taxonomy/Browser/wwwtax.cgi?mode=Info&amp;id=370605&amp;lvl=3&amp;lin=f&amp;keep=1&amp;srchmode=1&amp;unlock","370605")</f>
        <v>370605</v>
      </c>
      <c r="E1005" t="s">
        <v>698</v>
      </c>
      <c r="F1005" t="s">
        <v>698</v>
      </c>
      <c r="G1005" t="str">
        <f>HYPERLINK("http://www.ncbi.nlm.nih.gov/Taxonomy/Browser/wwwtax.cgi?mode=Info&amp;id=370605&amp;lvl=3&amp;lin=f&amp;keep=1&amp;srchmode=1&amp;unlock","Lamprigera yunnana")</f>
        <v>Lamprigera yunnana</v>
      </c>
      <c r="H1005" t="s">
        <v>892</v>
      </c>
      <c r="I1005" t="str">
        <f>HYPERLINK("http://www.ncbi.nlm.nih.gov/protein/KAF5286872.1","hypothetical protein FQA39_LY00405")</f>
        <v>hypothetical protein FQA39_LY00405</v>
      </c>
      <c r="J1005">
        <v>50.83</v>
      </c>
      <c r="K1005" t="s">
        <v>25</v>
      </c>
      <c r="L1005">
        <v>139</v>
      </c>
      <c r="M1005">
        <v>50.68</v>
      </c>
      <c r="N1005">
        <v>20.149999999999999</v>
      </c>
      <c r="O1005" t="s">
        <v>25</v>
      </c>
      <c r="P1005" t="s">
        <v>21</v>
      </c>
      <c r="Q1005" t="s">
        <v>20</v>
      </c>
      <c r="R1005" t="str">
        <f>HYPERLINK("https://cfpub.epa.gov/ecotox/explore.cfm?ncbi=370605","Explore in ECOTOX")</f>
        <v>Explore in ECOTOX</v>
      </c>
    </row>
    <row r="1006" spans="1:18" x14ac:dyDescent="0.25">
      <c r="A1006">
        <v>6</v>
      </c>
      <c r="B1006" t="str">
        <f>HYPERLINK("http://www.ncbi.nlm.nih.gov/protein/DAA34565.1","DAA34565.1")</f>
        <v>DAA34565.1</v>
      </c>
      <c r="C1006">
        <v>774</v>
      </c>
      <c r="D1006" t="str">
        <f>HYPERLINK("http://www.ncbi.nlm.nih.gov/Taxonomy/Browser/wwwtax.cgi?mode=Info&amp;id=34610&amp;lvl=3&amp;lin=f&amp;keep=1&amp;srchmode=1&amp;unlock","34610")</f>
        <v>34610</v>
      </c>
      <c r="E1006" t="s">
        <v>700</v>
      </c>
      <c r="F1006" t="s">
        <v>700</v>
      </c>
      <c r="G1006" t="str">
        <f>HYPERLINK("http://www.ncbi.nlm.nih.gov/Taxonomy/Browser/wwwtax.cgi?mode=Info&amp;id=34610&amp;lvl=3&amp;lin=f&amp;keep=1&amp;srchmode=1&amp;unlock","Amblyomma variegatum")</f>
        <v>Amblyomma variegatum</v>
      </c>
      <c r="H1006" t="s">
        <v>900</v>
      </c>
      <c r="I1006" t="str">
        <f>HYPERLINK("http://www.ncbi.nlm.nih.gov/protein/DAA34565.1","TPA_exp: fatty acid-binding protein FABP")</f>
        <v>TPA_exp: fatty acid-binding protein FABP</v>
      </c>
      <c r="J1006">
        <v>50.83</v>
      </c>
      <c r="K1006" t="s">
        <v>25</v>
      </c>
      <c r="L1006">
        <v>139</v>
      </c>
      <c r="M1006">
        <v>50.68</v>
      </c>
      <c r="N1006">
        <v>20.149999999999999</v>
      </c>
      <c r="O1006" t="s">
        <v>25</v>
      </c>
      <c r="P1006" t="s">
        <v>21</v>
      </c>
      <c r="Q1006" t="s">
        <v>20</v>
      </c>
      <c r="R1006" t="str">
        <f>HYPERLINK("https://cfpub.epa.gov/ecotox/explore.cfm?ncbi=34610","Explore in ECOTOX")</f>
        <v>Explore in ECOTOX</v>
      </c>
    </row>
    <row r="1007" spans="1:18" x14ac:dyDescent="0.25">
      <c r="A1007">
        <v>6</v>
      </c>
      <c r="B1007" t="str">
        <f>HYPERLINK("http://www.ncbi.nlm.nih.gov/protein/KAA0201253.1","KAA0201253.1")</f>
        <v>KAA0201253.1</v>
      </c>
      <c r="C1007">
        <v>11875</v>
      </c>
      <c r="D1007" t="str">
        <f>HYPERLINK("http://www.ncbi.nlm.nih.gov/Taxonomy/Browser/wwwtax.cgi?mode=Info&amp;id=27845&amp;lvl=3&amp;lin=f&amp;keep=1&amp;srchmode=1&amp;unlock","27845")</f>
        <v>27845</v>
      </c>
      <c r="E1007" t="s">
        <v>793</v>
      </c>
      <c r="F1007" t="s">
        <v>793</v>
      </c>
      <c r="G1007" t="str">
        <f>HYPERLINK("http://www.ncbi.nlm.nih.gov/Taxonomy/Browser/wwwtax.cgi?mode=Info&amp;id=27845&amp;lvl=3&amp;lin=f&amp;keep=1&amp;srchmode=1&amp;unlock","Fasciolopsis buski")</f>
        <v>Fasciolopsis buski</v>
      </c>
      <c r="H1007" t="s">
        <v>897</v>
      </c>
      <c r="I1007" t="str">
        <f>HYPERLINK("http://www.ncbi.nlm.nih.gov/protein/KAA0201253.1","Fatty acid-binding protein type 3")</f>
        <v>Fatty acid-binding protein type 3</v>
      </c>
      <c r="J1007">
        <v>50.83</v>
      </c>
      <c r="K1007" t="s">
        <v>25</v>
      </c>
      <c r="L1007">
        <v>139</v>
      </c>
      <c r="M1007">
        <v>50.68</v>
      </c>
      <c r="N1007">
        <v>20.149999999999999</v>
      </c>
      <c r="O1007" t="s">
        <v>25</v>
      </c>
      <c r="P1007" t="s">
        <v>21</v>
      </c>
      <c r="Q1007" t="s">
        <v>20</v>
      </c>
      <c r="R1007" t="str">
        <f>HYPERLINK("https://cfpub.epa.gov/ecotox/explore.cfm?ncbi=27845","Explore in ECOTOX")</f>
        <v>Explore in ECOTOX</v>
      </c>
    </row>
    <row r="1008" spans="1:18" x14ac:dyDescent="0.25">
      <c r="A1008">
        <v>6</v>
      </c>
      <c r="B1008" t="str">
        <f>HYPERLINK("http://www.ncbi.nlm.nih.gov/protein/XP_032526944.1","XP_032526944.1")</f>
        <v>XP_032526944.1</v>
      </c>
      <c r="C1008">
        <v>34969</v>
      </c>
      <c r="D1008" t="str">
        <f>HYPERLINK("http://www.ncbi.nlm.nih.gov/Taxonomy/Browser/wwwtax.cgi?mode=Info&amp;id=278856&amp;lvl=3&amp;lin=f&amp;keep=1&amp;srchmode=1&amp;unlock","278856")</f>
        <v>278856</v>
      </c>
      <c r="E1008" t="s">
        <v>698</v>
      </c>
      <c r="F1008" t="s">
        <v>698</v>
      </c>
      <c r="G1008" t="str">
        <f>HYPERLINK("http://www.ncbi.nlm.nih.gov/Taxonomy/Browser/wwwtax.cgi?mode=Info&amp;id=278856&amp;lvl=3&amp;lin=f&amp;keep=1&amp;srchmode=1&amp;unlock","Danaus plexippus plexippus")</f>
        <v>Danaus plexippus plexippus</v>
      </c>
      <c r="H1008" t="s">
        <v>901</v>
      </c>
      <c r="I1008" t="str">
        <f>HYPERLINK("http://www.ncbi.nlm.nih.gov/protein/XP_032526944.1","sodium/calcium exchanger regulatory protein 1")</f>
        <v>sodium/calcium exchanger regulatory protein 1</v>
      </c>
      <c r="J1008">
        <v>50.83</v>
      </c>
      <c r="K1008" t="s">
        <v>25</v>
      </c>
      <c r="L1008">
        <v>139</v>
      </c>
      <c r="M1008">
        <v>50.68</v>
      </c>
      <c r="N1008">
        <v>20.149999999999999</v>
      </c>
      <c r="O1008" t="s">
        <v>25</v>
      </c>
      <c r="P1008" t="s">
        <v>21</v>
      </c>
      <c r="Q1008" t="s">
        <v>20</v>
      </c>
      <c r="R1008" t="str">
        <f>HYPERLINK("https://cfpub.epa.gov/ecotox/explore.cfm?ncbi=278856","Explore in ECOTOX")</f>
        <v>Explore in ECOTOX</v>
      </c>
    </row>
    <row r="1009" spans="1:18" x14ac:dyDescent="0.25">
      <c r="A1009">
        <v>6</v>
      </c>
      <c r="B1009" t="str">
        <f>HYPERLINK("http://www.ncbi.nlm.nih.gov/protein/PCG65719.1","PCG65719.1")</f>
        <v>PCG65719.1</v>
      </c>
      <c r="C1009">
        <v>19089</v>
      </c>
      <c r="D1009" t="str">
        <f>HYPERLINK("http://www.ncbi.nlm.nih.gov/Taxonomy/Browser/wwwtax.cgi?mode=Info&amp;id=7102&amp;lvl=3&amp;lin=f&amp;keep=1&amp;srchmode=1&amp;unlock","7102")</f>
        <v>7102</v>
      </c>
      <c r="E1009" t="s">
        <v>698</v>
      </c>
      <c r="F1009" t="s">
        <v>698</v>
      </c>
      <c r="G1009" t="str">
        <f>HYPERLINK("http://www.ncbi.nlm.nih.gov/Taxonomy/Browser/wwwtax.cgi?mode=Info&amp;id=7102&amp;lvl=3&amp;lin=f&amp;keep=1&amp;srchmode=1&amp;unlock","Heliothis virescens")</f>
        <v>Heliothis virescens</v>
      </c>
      <c r="H1009" t="s">
        <v>902</v>
      </c>
      <c r="I1009" t="str">
        <f>HYPERLINK("http://www.ncbi.nlm.nih.gov/protein/PCG65719.1","hypothetical protein B5V51_8777")</f>
        <v>hypothetical protein B5V51_8777</v>
      </c>
      <c r="J1009">
        <v>50.83</v>
      </c>
      <c r="K1009" t="s">
        <v>25</v>
      </c>
      <c r="L1009">
        <v>139</v>
      </c>
      <c r="M1009">
        <v>50.68</v>
      </c>
      <c r="N1009">
        <v>20.149999999999999</v>
      </c>
      <c r="O1009" t="s">
        <v>25</v>
      </c>
      <c r="P1009" t="s">
        <v>21</v>
      </c>
      <c r="Q1009" t="s">
        <v>20</v>
      </c>
      <c r="R1009" t="str">
        <f>HYPERLINK("https://cfpub.epa.gov/ecotox/explore.cfm?ncbi=7102","Explore in ECOTOX")</f>
        <v>Explore in ECOTOX</v>
      </c>
    </row>
    <row r="1010" spans="1:18" x14ac:dyDescent="0.25">
      <c r="A1010">
        <v>6</v>
      </c>
      <c r="B1010" t="str">
        <f>HYPERLINK("http://www.ncbi.nlm.nih.gov/protein/VDQ12369.1","VDQ12369.1")</f>
        <v>VDQ12369.1</v>
      </c>
      <c r="C1010">
        <v>22241</v>
      </c>
      <c r="D1010" t="str">
        <f>HYPERLINK("http://www.ncbi.nlm.nih.gov/Taxonomy/Browser/wwwtax.cgi?mode=Info&amp;id=157069&amp;lvl=3&amp;lin=f&amp;keep=1&amp;srchmode=1&amp;unlock","157069")</f>
        <v>157069</v>
      </c>
      <c r="E1010" t="s">
        <v>793</v>
      </c>
      <c r="F1010" t="s">
        <v>793</v>
      </c>
      <c r="G1010" t="str">
        <f>HYPERLINK("http://www.ncbi.nlm.nih.gov/Taxonomy/Browser/wwwtax.cgi?mode=Info&amp;id=157069&amp;lvl=3&amp;lin=f&amp;keep=1&amp;srchmode=1&amp;unlock","Trichobilharzia regenti")</f>
        <v>Trichobilharzia regenti</v>
      </c>
      <c r="H1010" t="s">
        <v>903</v>
      </c>
      <c r="I1010" t="str">
        <f>HYPERLINK("http://www.ncbi.nlm.nih.gov/protein/VDQ12369.1","unnamed protein product")</f>
        <v>unnamed protein product</v>
      </c>
      <c r="J1010">
        <v>50.83</v>
      </c>
      <c r="K1010" t="s">
        <v>25</v>
      </c>
      <c r="L1010">
        <v>139</v>
      </c>
      <c r="M1010">
        <v>50.68</v>
      </c>
      <c r="N1010">
        <v>20.149999999999999</v>
      </c>
      <c r="O1010" t="s">
        <v>25</v>
      </c>
      <c r="P1010" t="s">
        <v>21</v>
      </c>
      <c r="Q1010" t="s">
        <v>20</v>
      </c>
      <c r="R1010" t="str">
        <f>HYPERLINK("https://cfpub.epa.gov/ecotox/explore.cfm?ncbi=157069","Explore in ECOTOX")</f>
        <v>Explore in ECOTOX</v>
      </c>
    </row>
    <row r="1011" spans="1:18" x14ac:dyDescent="0.25">
      <c r="A1011">
        <v>6</v>
      </c>
      <c r="B1011" t="str">
        <f>HYPERLINK("http://www.ncbi.nlm.nih.gov/protein/CAB3245678.1","CAB3245678.1")</f>
        <v>CAB3245678.1</v>
      </c>
      <c r="C1011">
        <v>38600</v>
      </c>
      <c r="D1011" t="str">
        <f>HYPERLINK("http://www.ncbi.nlm.nih.gov/Taxonomy/Browser/wwwtax.cgi?mode=Info&amp;id=874455&amp;lvl=3&amp;lin=f&amp;keep=1&amp;srchmode=1&amp;unlock","874455")</f>
        <v>874455</v>
      </c>
      <c r="E1011" t="s">
        <v>698</v>
      </c>
      <c r="F1011" t="s">
        <v>698</v>
      </c>
      <c r="G1011" t="str">
        <f>HYPERLINK("http://www.ncbi.nlm.nih.gov/Taxonomy/Browser/wwwtax.cgi?mode=Info&amp;id=874455&amp;lvl=3&amp;lin=f&amp;keep=1&amp;srchmode=1&amp;unlock","Arctia plantaginis")</f>
        <v>Arctia plantaginis</v>
      </c>
      <c r="H1011" t="s">
        <v>904</v>
      </c>
      <c r="I1011" t="str">
        <f>HYPERLINK("http://www.ncbi.nlm.nih.gov/protein/CAB3245678.1","unnamed protein product")</f>
        <v>unnamed protein product</v>
      </c>
      <c r="J1011">
        <v>50.45</v>
      </c>
      <c r="K1011" t="s">
        <v>25</v>
      </c>
      <c r="L1011">
        <v>139</v>
      </c>
      <c r="M1011">
        <v>50.68</v>
      </c>
      <c r="N1011">
        <v>20</v>
      </c>
      <c r="O1011" t="s">
        <v>25</v>
      </c>
      <c r="P1011" t="s">
        <v>21</v>
      </c>
      <c r="Q1011" t="s">
        <v>20</v>
      </c>
      <c r="R1011" t="str">
        <f>HYPERLINK("https://cfpub.epa.gov/ecotox/explore.cfm?ncbi=874455","Explore in ECOTOX")</f>
        <v>Explore in ECOTOX</v>
      </c>
    </row>
    <row r="1012" spans="1:18" x14ac:dyDescent="0.25">
      <c r="A1012">
        <v>6</v>
      </c>
      <c r="B1012" t="str">
        <f>HYPERLINK("http://www.ncbi.nlm.nih.gov/protein/CRK98112.1","CRK98112.1")</f>
        <v>CRK98112.1</v>
      </c>
      <c r="C1012">
        <v>22648</v>
      </c>
      <c r="D1012" t="str">
        <f>HYPERLINK("http://www.ncbi.nlm.nih.gov/Taxonomy/Browser/wwwtax.cgi?mode=Info&amp;id=568069&amp;lvl=3&amp;lin=f&amp;keep=1&amp;srchmode=1&amp;unlock","568069")</f>
        <v>568069</v>
      </c>
      <c r="E1012" t="s">
        <v>698</v>
      </c>
      <c r="F1012" t="s">
        <v>698</v>
      </c>
      <c r="G1012" t="str">
        <f>HYPERLINK("http://www.ncbi.nlm.nih.gov/Taxonomy/Browser/wwwtax.cgi?mode=Info&amp;id=568069&amp;lvl=3&amp;lin=f&amp;keep=1&amp;srchmode=1&amp;unlock","Clunio marinus")</f>
        <v>Clunio marinus</v>
      </c>
      <c r="H1012" t="s">
        <v>905</v>
      </c>
      <c r="I1012" t="str">
        <f>HYPERLINK("http://www.ncbi.nlm.nih.gov/protein/CRK98112.1","CLUMA_CG011480, isoform A")</f>
        <v>CLUMA_CG011480, isoform A</v>
      </c>
      <c r="J1012">
        <v>50.45</v>
      </c>
      <c r="K1012" t="s">
        <v>25</v>
      </c>
      <c r="L1012">
        <v>139</v>
      </c>
      <c r="M1012">
        <v>50.68</v>
      </c>
      <c r="N1012">
        <v>20</v>
      </c>
      <c r="O1012" t="s">
        <v>25</v>
      </c>
      <c r="P1012" t="s">
        <v>21</v>
      </c>
      <c r="Q1012" t="s">
        <v>20</v>
      </c>
      <c r="R1012" t="str">
        <f>HYPERLINK("https://cfpub.epa.gov/ecotox/explore.cfm?ncbi=568069","Explore in ECOTOX")</f>
        <v>Explore in ECOTOX</v>
      </c>
    </row>
    <row r="1013" spans="1:18" x14ac:dyDescent="0.25">
      <c r="A1013">
        <v>6</v>
      </c>
      <c r="B1013" t="str">
        <f>HYPERLINK("http://www.ncbi.nlm.nih.gov/protein/CAA33509.1","CAA33509.1")</f>
        <v>CAA33509.1</v>
      </c>
      <c r="C1013">
        <v>1375</v>
      </c>
      <c r="D1013" t="str">
        <f>HYPERLINK("http://www.ncbi.nlm.nih.gov/Taxonomy/Browser/wwwtax.cgi?mode=Info&amp;id=10095&amp;lvl=3&amp;lin=f&amp;keep=1&amp;srchmode=1&amp;unlock","10095")</f>
        <v>10095</v>
      </c>
      <c r="E1013" t="s">
        <v>18</v>
      </c>
      <c r="F1013" t="s">
        <v>18</v>
      </c>
      <c r="G1013" t="str">
        <f>HYPERLINK("http://www.ncbi.nlm.nih.gov/Taxonomy/Browser/wwwtax.cgi?mode=Info&amp;id=10095&amp;lvl=3&amp;lin=f&amp;keep=1&amp;srchmode=1&amp;unlock","Mus sp.")</f>
        <v>Mus sp.</v>
      </c>
      <c r="H1013" t="s">
        <v>906</v>
      </c>
      <c r="I1013" t="str">
        <f>HYPERLINK("http://www.ncbi.nlm.nih.gov/protein/CAA33509.1","unnamed protein product")</f>
        <v>unnamed protein product</v>
      </c>
      <c r="J1013">
        <v>50.45</v>
      </c>
      <c r="K1013" t="s">
        <v>25</v>
      </c>
      <c r="L1013">
        <v>139</v>
      </c>
      <c r="M1013">
        <v>50.68</v>
      </c>
      <c r="N1013">
        <v>20</v>
      </c>
      <c r="O1013" t="s">
        <v>20</v>
      </c>
      <c r="P1013" t="s">
        <v>21</v>
      </c>
      <c r="Q1013" t="s">
        <v>20</v>
      </c>
      <c r="R1013" t="str">
        <f>HYPERLINK("https://cfpub.epa.gov/ecotox/explore.cfm?ncbi=10095","Explore in ECOTOX")</f>
        <v>Explore in ECOTOX</v>
      </c>
    </row>
    <row r="1014" spans="1:18" x14ac:dyDescent="0.25">
      <c r="A1014">
        <v>6</v>
      </c>
      <c r="B1014" t="str">
        <f>HYPERLINK("http://www.ncbi.nlm.nih.gov/protein/VDM06362.1","VDM06362.1")</f>
        <v>VDM06362.1</v>
      </c>
      <c r="C1014">
        <v>20287</v>
      </c>
      <c r="D1014" t="str">
        <f>HYPERLINK("http://www.ncbi.nlm.nih.gov/Taxonomy/Browser/wwwtax.cgi?mode=Info&amp;id=70667&amp;lvl=3&amp;lin=f&amp;keep=1&amp;srchmode=1&amp;unlock","70667")</f>
        <v>70667</v>
      </c>
      <c r="E1014" t="s">
        <v>907</v>
      </c>
      <c r="F1014" t="s">
        <v>907</v>
      </c>
      <c r="G1014" t="str">
        <f>HYPERLINK("http://www.ncbi.nlm.nih.gov/Taxonomy/Browser/wwwtax.cgi?mode=Info&amp;id=70667&amp;lvl=3&amp;lin=f&amp;keep=1&amp;srchmode=1&amp;unlock","Schistocephalus solidus")</f>
        <v>Schistocephalus solidus</v>
      </c>
      <c r="H1014" t="s">
        <v>908</v>
      </c>
      <c r="I1014" t="str">
        <f>HYPERLINK("http://www.ncbi.nlm.nih.gov/protein/VDM06362.1","unnamed protein product")</f>
        <v>unnamed protein product</v>
      </c>
      <c r="J1014">
        <v>50.45</v>
      </c>
      <c r="K1014" t="s">
        <v>25</v>
      </c>
      <c r="L1014">
        <v>139</v>
      </c>
      <c r="M1014">
        <v>50.68</v>
      </c>
      <c r="N1014">
        <v>20</v>
      </c>
      <c r="O1014" t="s">
        <v>25</v>
      </c>
      <c r="P1014" t="s">
        <v>21</v>
      </c>
      <c r="Q1014" t="s">
        <v>20</v>
      </c>
      <c r="R1014" t="str">
        <f>HYPERLINK("https://cfpub.epa.gov/ecotox/explore.cfm?ncbi=70667","Explore in ECOTOX")</f>
        <v>Explore in ECOTOX</v>
      </c>
    </row>
    <row r="1015" spans="1:18" x14ac:dyDescent="0.25">
      <c r="A1015">
        <v>6</v>
      </c>
      <c r="B1015" t="str">
        <f>HYPERLINK("http://www.ncbi.nlm.nih.gov/protein/XP_023938278.1","XP_023938278.1")</f>
        <v>XP_023938278.1</v>
      </c>
      <c r="C1015">
        <v>21983</v>
      </c>
      <c r="D1015" t="str">
        <f>HYPERLINK("http://www.ncbi.nlm.nih.gov/Taxonomy/Browser/wwwtax.cgi?mode=Info&amp;id=110368&amp;lvl=3&amp;lin=f&amp;keep=1&amp;srchmode=1&amp;unlock","110368")</f>
        <v>110368</v>
      </c>
      <c r="E1015" t="s">
        <v>698</v>
      </c>
      <c r="F1015" t="s">
        <v>698</v>
      </c>
      <c r="G1015" t="str">
        <f>HYPERLINK("http://www.ncbi.nlm.nih.gov/Taxonomy/Browser/wwwtax.cgi?mode=Info&amp;id=110368&amp;lvl=3&amp;lin=f&amp;keep=1&amp;srchmode=1&amp;unlock","Bicyclus anynana")</f>
        <v>Bicyclus anynana</v>
      </c>
      <c r="H1015" t="s">
        <v>909</v>
      </c>
      <c r="I1015" t="str">
        <f>HYPERLINK("http://www.ncbi.nlm.nih.gov/protein/XP_023938278.1","fatty acid-binding protein")</f>
        <v>fatty acid-binding protein</v>
      </c>
      <c r="J1015">
        <v>50.45</v>
      </c>
      <c r="K1015" t="s">
        <v>25</v>
      </c>
      <c r="L1015">
        <v>139</v>
      </c>
      <c r="M1015">
        <v>50.68</v>
      </c>
      <c r="N1015">
        <v>20</v>
      </c>
      <c r="O1015" t="s">
        <v>25</v>
      </c>
      <c r="P1015" t="s">
        <v>21</v>
      </c>
      <c r="Q1015" t="s">
        <v>20</v>
      </c>
      <c r="R1015" t="str">
        <f>HYPERLINK("https://cfpub.epa.gov/ecotox/explore.cfm?ncbi=110368","Explore in ECOTOX")</f>
        <v>Explore in ECOTOX</v>
      </c>
    </row>
    <row r="1016" spans="1:18" x14ac:dyDescent="0.25">
      <c r="A1016">
        <v>6</v>
      </c>
      <c r="B1016" t="str">
        <f>HYPERLINK("http://www.ncbi.nlm.nih.gov/protein/XP_017083837.1","XP_017083837.1")</f>
        <v>XP_017083837.1</v>
      </c>
      <c r="C1016">
        <v>24307</v>
      </c>
      <c r="D1016" t="str">
        <f>HYPERLINK("http://www.ncbi.nlm.nih.gov/Taxonomy/Browser/wwwtax.cgi?mode=Info&amp;id=29029&amp;lvl=3&amp;lin=f&amp;keep=1&amp;srchmode=1&amp;unlock","29029")</f>
        <v>29029</v>
      </c>
      <c r="E1016" t="s">
        <v>698</v>
      </c>
      <c r="F1016" t="s">
        <v>698</v>
      </c>
      <c r="G1016" t="str">
        <f>HYPERLINK("http://www.ncbi.nlm.nih.gov/Taxonomy/Browser/wwwtax.cgi?mode=Info&amp;id=29029&amp;lvl=3&amp;lin=f&amp;keep=1&amp;srchmode=1&amp;unlock","Drosophila eugracilis")</f>
        <v>Drosophila eugracilis</v>
      </c>
      <c r="H1016" t="s">
        <v>753</v>
      </c>
      <c r="I1016" t="str">
        <f>HYPERLINK("http://www.ncbi.nlm.nih.gov/protein/XP_017083837.1","PREDICTED: fatty acid-binding protein, muscle")</f>
        <v>PREDICTED: fatty acid-binding protein, muscle</v>
      </c>
      <c r="J1016">
        <v>50.45</v>
      </c>
      <c r="K1016" t="s">
        <v>25</v>
      </c>
      <c r="L1016">
        <v>139</v>
      </c>
      <c r="M1016">
        <v>50.68</v>
      </c>
      <c r="N1016">
        <v>20</v>
      </c>
      <c r="O1016" t="s">
        <v>25</v>
      </c>
      <c r="P1016" t="s">
        <v>21</v>
      </c>
      <c r="Q1016" t="s">
        <v>20</v>
      </c>
      <c r="R1016" t="str">
        <f>HYPERLINK("https://cfpub.epa.gov/ecotox/explore.cfm?ncbi=29029","Explore in ECOTOX")</f>
        <v>Explore in ECOTOX</v>
      </c>
    </row>
    <row r="1017" spans="1:18" x14ac:dyDescent="0.25">
      <c r="A1017">
        <v>6</v>
      </c>
      <c r="B1017" t="str">
        <f>HYPERLINK("http://www.ncbi.nlm.nih.gov/protein/CAF0892266.1","CAF0892266.1")</f>
        <v>CAF0892266.1</v>
      </c>
      <c r="C1017">
        <v>412312</v>
      </c>
      <c r="D1017" t="str">
        <f>HYPERLINK("http://www.ncbi.nlm.nih.gov/Taxonomy/Browser/wwwtax.cgi?mode=Info&amp;id=433720&amp;lvl=3&amp;lin=f&amp;keep=1&amp;srchmode=1&amp;unlock","433720")</f>
        <v>433720</v>
      </c>
      <c r="E1017" t="s">
        <v>855</v>
      </c>
      <c r="F1017" t="s">
        <v>855</v>
      </c>
      <c r="G1017" t="str">
        <f>HYPERLINK("http://www.ncbi.nlm.nih.gov/Taxonomy/Browser/wwwtax.cgi?mode=Info&amp;id=433720&amp;lvl=3&amp;lin=f&amp;keep=1&amp;srchmode=1&amp;unlock","Adineta steineri")</f>
        <v>Adineta steineri</v>
      </c>
      <c r="H1017" t="s">
        <v>856</v>
      </c>
      <c r="I1017" t="str">
        <f>HYPERLINK("http://www.ncbi.nlm.nih.gov/protein/CAF0892266.1","unnamed protein product")</f>
        <v>unnamed protein product</v>
      </c>
      <c r="J1017">
        <v>50.45</v>
      </c>
      <c r="K1017" t="s">
        <v>25</v>
      </c>
      <c r="L1017">
        <v>139</v>
      </c>
      <c r="M1017">
        <v>50.68</v>
      </c>
      <c r="N1017">
        <v>20</v>
      </c>
      <c r="O1017" t="s">
        <v>25</v>
      </c>
      <c r="P1017" t="s">
        <v>21</v>
      </c>
      <c r="Q1017" t="s">
        <v>20</v>
      </c>
      <c r="R1017" t="str">
        <f>HYPERLINK("https://cfpub.epa.gov/ecotox/explore.cfm?ncbi=433720","Explore in ECOTOX")</f>
        <v>Explore in ECOTOX</v>
      </c>
    </row>
    <row r="1018" spans="1:18" x14ac:dyDescent="0.25">
      <c r="A1018">
        <v>6</v>
      </c>
      <c r="B1018" t="str">
        <f>HYPERLINK("http://www.ncbi.nlm.nih.gov/protein/KAG0426949.1","KAG0426949.1")</f>
        <v>KAG0426949.1</v>
      </c>
      <c r="C1018">
        <v>28479</v>
      </c>
      <c r="D1018" t="str">
        <f>HYPERLINK("http://www.ncbi.nlm.nih.gov/Taxonomy/Browser/wwwtax.cgi?mode=Info&amp;id=34615&amp;lvl=3&amp;lin=f&amp;keep=1&amp;srchmode=1&amp;unlock","34615")</f>
        <v>34615</v>
      </c>
      <c r="E1018" t="s">
        <v>700</v>
      </c>
      <c r="F1018" t="s">
        <v>700</v>
      </c>
      <c r="G1018" t="str">
        <f>HYPERLINK("http://www.ncbi.nlm.nih.gov/Taxonomy/Browser/wwwtax.cgi?mode=Info&amp;id=34615&amp;lvl=3&amp;lin=f&amp;keep=1&amp;srchmode=1&amp;unlock","Ixodes persulcatus")</f>
        <v>Ixodes persulcatus</v>
      </c>
      <c r="H1018" t="s">
        <v>910</v>
      </c>
      <c r="I1018" t="str">
        <f>HYPERLINK("http://www.ncbi.nlm.nih.gov/protein/KAG0426949.1","hypothetical protein HPB47_025975, partial")</f>
        <v>hypothetical protein HPB47_025975, partial</v>
      </c>
      <c r="J1018">
        <v>50.45</v>
      </c>
      <c r="K1018" t="s">
        <v>25</v>
      </c>
      <c r="L1018">
        <v>139</v>
      </c>
      <c r="M1018">
        <v>50.68</v>
      </c>
      <c r="N1018">
        <v>20</v>
      </c>
      <c r="O1018" t="s">
        <v>25</v>
      </c>
      <c r="P1018" t="s">
        <v>21</v>
      </c>
      <c r="Q1018" t="s">
        <v>20</v>
      </c>
      <c r="R1018" t="str">
        <f>HYPERLINK("https://cfpub.epa.gov/ecotox/explore.cfm?ncbi=34615","Explore in ECOTOX")</f>
        <v>Explore in ECOTOX</v>
      </c>
    </row>
    <row r="1019" spans="1:18" x14ac:dyDescent="0.25">
      <c r="A1019">
        <v>6</v>
      </c>
      <c r="B1019" t="str">
        <f>HYPERLINK("http://www.ncbi.nlm.nih.gov/protein/XP_008486467.1","XP_008486467.1")</f>
        <v>XP_008486467.1</v>
      </c>
      <c r="C1019">
        <v>25935</v>
      </c>
      <c r="D1019" t="str">
        <f>HYPERLINK("http://www.ncbi.nlm.nih.gov/Taxonomy/Browser/wwwtax.cgi?mode=Info&amp;id=121845&amp;lvl=3&amp;lin=f&amp;keep=1&amp;srchmode=1&amp;unlock","121845")</f>
        <v>121845</v>
      </c>
      <c r="E1019" t="s">
        <v>698</v>
      </c>
      <c r="F1019" t="s">
        <v>698</v>
      </c>
      <c r="G1019" t="str">
        <f>HYPERLINK("http://www.ncbi.nlm.nih.gov/Taxonomy/Browser/wwwtax.cgi?mode=Info&amp;id=121845&amp;lvl=3&amp;lin=f&amp;keep=1&amp;srchmode=1&amp;unlock","Diaphorina citri")</f>
        <v>Diaphorina citri</v>
      </c>
      <c r="H1019" t="s">
        <v>911</v>
      </c>
      <c r="I1019" t="str">
        <f>HYPERLINK("http://www.ncbi.nlm.nih.gov/protein/XP_008486467.1","fatty acid-binding protein, muscle isoform X1")</f>
        <v>fatty acid-binding protein, muscle isoform X1</v>
      </c>
      <c r="J1019">
        <v>50.45</v>
      </c>
      <c r="K1019" t="s">
        <v>25</v>
      </c>
      <c r="L1019">
        <v>139</v>
      </c>
      <c r="M1019">
        <v>50.68</v>
      </c>
      <c r="N1019">
        <v>20</v>
      </c>
      <c r="O1019" t="s">
        <v>25</v>
      </c>
      <c r="P1019" t="s">
        <v>21</v>
      </c>
      <c r="Q1019" t="s">
        <v>20</v>
      </c>
      <c r="R1019" t="str">
        <f>HYPERLINK("https://cfpub.epa.gov/ecotox/explore.cfm?ncbi=121845","Explore in ECOTOX")</f>
        <v>Explore in ECOTOX</v>
      </c>
    </row>
    <row r="1020" spans="1:18" x14ac:dyDescent="0.25">
      <c r="A1020">
        <v>6</v>
      </c>
      <c r="B1020" t="str">
        <f>HYPERLINK("http://www.ncbi.nlm.nih.gov/protein/ADY80038.1","ADY80038.1")</f>
        <v>ADY80038.1</v>
      </c>
      <c r="C1020">
        <v>1015</v>
      </c>
      <c r="D1020" t="str">
        <f>HYPERLINK("http://www.ncbi.nlm.nih.gov/Taxonomy/Browser/wwwtax.cgi?mode=Info&amp;id=6728&amp;lvl=3&amp;lin=f&amp;keep=1&amp;srchmode=1&amp;unlock","6728")</f>
        <v>6728</v>
      </c>
      <c r="E1020" t="s">
        <v>742</v>
      </c>
      <c r="F1020" t="s">
        <v>742</v>
      </c>
      <c r="G1020" t="str">
        <f>HYPERLINK("http://www.ncbi.nlm.nih.gov/Taxonomy/Browser/wwwtax.cgi?mode=Info&amp;id=6728&amp;lvl=3&amp;lin=f&amp;keep=1&amp;srchmode=1&amp;unlock","Procambarus clarkii")</f>
        <v>Procambarus clarkii</v>
      </c>
      <c r="H1020" t="s">
        <v>912</v>
      </c>
      <c r="I1020" t="str">
        <f>HYPERLINK("http://www.ncbi.nlm.nih.gov/protein/ADY80038.1","fatty acid binding protein")</f>
        <v>fatty acid binding protein</v>
      </c>
      <c r="J1020">
        <v>50.45</v>
      </c>
      <c r="K1020" t="s">
        <v>25</v>
      </c>
      <c r="L1020">
        <v>139</v>
      </c>
      <c r="M1020">
        <v>50.68</v>
      </c>
      <c r="N1020">
        <v>20</v>
      </c>
      <c r="O1020" t="s">
        <v>25</v>
      </c>
      <c r="P1020" t="s">
        <v>21</v>
      </c>
      <c r="Q1020" t="s">
        <v>20</v>
      </c>
      <c r="R1020" t="str">
        <f>HYPERLINK("https://cfpub.epa.gov/ecotox/explore.cfm?ncbi=6728","Explore in ECOTOX")</f>
        <v>Explore in ECOTOX</v>
      </c>
    </row>
    <row r="1021" spans="1:18" x14ac:dyDescent="0.25">
      <c r="A1021">
        <v>6</v>
      </c>
      <c r="B1021" t="str">
        <f>HYPERLINK("http://www.ncbi.nlm.nih.gov/protein/AAA37452.1","AAA37452.1")</f>
        <v>AAA37452.1</v>
      </c>
      <c r="C1021">
        <v>2964</v>
      </c>
      <c r="D1021" t="str">
        <f>HYPERLINK("http://www.ncbi.nlm.nih.gov/Taxonomy/Browser/wwwtax.cgi?mode=Info&amp;id=10092&amp;lvl=3&amp;lin=f&amp;keep=1&amp;srchmode=1&amp;unlock","10092")</f>
        <v>10092</v>
      </c>
      <c r="E1021" t="s">
        <v>18</v>
      </c>
      <c r="F1021" t="s">
        <v>18</v>
      </c>
      <c r="G1021" t="str">
        <f>HYPERLINK("http://www.ncbi.nlm.nih.gov/Taxonomy/Browser/wwwtax.cgi?mode=Info&amp;id=10092&amp;lvl=3&amp;lin=f&amp;keep=1&amp;srchmode=1&amp;unlock","Mus musculus domesticus")</f>
        <v>Mus musculus domesticus</v>
      </c>
      <c r="H1021" t="s">
        <v>913</v>
      </c>
      <c r="I1021" t="str">
        <f>HYPERLINK("http://www.ncbi.nlm.nih.gov/protein/AAA37452.1","cellular retinoic acid binding protein type II, partial")</f>
        <v>cellular retinoic acid binding protein type II, partial</v>
      </c>
      <c r="J1021">
        <v>50.45</v>
      </c>
      <c r="K1021" t="s">
        <v>25</v>
      </c>
      <c r="L1021">
        <v>139</v>
      </c>
      <c r="M1021">
        <v>50.68</v>
      </c>
      <c r="N1021">
        <v>20</v>
      </c>
      <c r="O1021" t="s">
        <v>20</v>
      </c>
      <c r="P1021" t="s">
        <v>21</v>
      </c>
      <c r="Q1021" t="s">
        <v>20</v>
      </c>
      <c r="R1021" t="str">
        <f>HYPERLINK("https://cfpub.epa.gov/ecotox/explore.cfm?ncbi=10092","Explore in ECOTOX")</f>
        <v>Explore in ECOTOX</v>
      </c>
    </row>
    <row r="1022" spans="1:18" x14ac:dyDescent="0.25">
      <c r="A1022">
        <v>6</v>
      </c>
      <c r="B1022" t="str">
        <f>HYPERLINK("http://www.ncbi.nlm.nih.gov/protein/KAG5317671.1","KAG5317671.1")</f>
        <v>KAG5317671.1</v>
      </c>
      <c r="C1022">
        <v>9299</v>
      </c>
      <c r="D1022" t="str">
        <f>HYPERLINK("http://www.ncbi.nlm.nih.gov/Taxonomy/Browser/wwwtax.cgi?mode=Info&amp;id=621737&amp;lvl=3&amp;lin=f&amp;keep=1&amp;srchmode=1&amp;unlock","621737")</f>
        <v>621737</v>
      </c>
      <c r="E1022" t="s">
        <v>698</v>
      </c>
      <c r="F1022" t="s">
        <v>698</v>
      </c>
      <c r="G1022" t="str">
        <f>HYPERLINK("http://www.ncbi.nlm.nih.gov/Taxonomy/Browser/wwwtax.cgi?mode=Info&amp;id=621737&amp;lvl=3&amp;lin=f&amp;keep=1&amp;srchmode=1&amp;unlock","Pseudoatta argentina")</f>
        <v>Pseudoatta argentina</v>
      </c>
      <c r="H1022" t="s">
        <v>755</v>
      </c>
      <c r="I1022" t="str">
        <f>HYPERLINK("http://www.ncbi.nlm.nih.gov/protein/KAG5317671.1","FABPM protein, partial")</f>
        <v>FABPM protein, partial</v>
      </c>
      <c r="J1022">
        <v>50.45</v>
      </c>
      <c r="K1022" t="s">
        <v>25</v>
      </c>
      <c r="L1022">
        <v>139</v>
      </c>
      <c r="M1022">
        <v>50.68</v>
      </c>
      <c r="N1022">
        <v>20</v>
      </c>
      <c r="O1022" t="s">
        <v>25</v>
      </c>
      <c r="P1022" t="s">
        <v>21</v>
      </c>
      <c r="Q1022" t="s">
        <v>20</v>
      </c>
      <c r="R1022" t="str">
        <f>HYPERLINK("https://cfpub.epa.gov/ecotox/explore.cfm?ncbi=621737","Explore in ECOTOX")</f>
        <v>Explore in ECOTOX</v>
      </c>
    </row>
    <row r="1023" spans="1:18" x14ac:dyDescent="0.25">
      <c r="A1023">
        <v>6</v>
      </c>
      <c r="B1023" t="str">
        <f>HYPERLINK("http://www.ncbi.nlm.nih.gov/protein/XP_039970245.1","XP_039970245.1")</f>
        <v>XP_039970245.1</v>
      </c>
      <c r="C1023">
        <v>24218</v>
      </c>
      <c r="D1023" t="str">
        <f>HYPERLINK("http://www.ncbi.nlm.nih.gov/Taxonomy/Browser/wwwtax.cgi?mode=Info&amp;id=59916&amp;lvl=3&amp;lin=f&amp;keep=1&amp;srchmode=1&amp;unlock","59916")</f>
        <v>59916</v>
      </c>
      <c r="E1023" t="s">
        <v>698</v>
      </c>
      <c r="F1023" t="s">
        <v>698</v>
      </c>
      <c r="G1023" t="str">
        <f>HYPERLINK("http://www.ncbi.nlm.nih.gov/Taxonomy/Browser/wwwtax.cgi?mode=Info&amp;id=59916&amp;lvl=3&amp;lin=f&amp;keep=1&amp;srchmode=1&amp;unlock","Bactrocera tryoni")</f>
        <v>Bactrocera tryoni</v>
      </c>
      <c r="H1023" t="s">
        <v>914</v>
      </c>
      <c r="I1023" t="str">
        <f>HYPERLINK("http://www.ncbi.nlm.nih.gov/protein/XP_039970245.1","probable fatty acid-binding protein")</f>
        <v>probable fatty acid-binding protein</v>
      </c>
      <c r="J1023">
        <v>50.45</v>
      </c>
      <c r="K1023" t="s">
        <v>25</v>
      </c>
      <c r="L1023">
        <v>139</v>
      </c>
      <c r="M1023">
        <v>50.68</v>
      </c>
      <c r="N1023">
        <v>20</v>
      </c>
      <c r="O1023" t="s">
        <v>25</v>
      </c>
      <c r="P1023" t="s">
        <v>21</v>
      </c>
      <c r="Q1023" t="s">
        <v>20</v>
      </c>
      <c r="R1023" t="str">
        <f>HYPERLINK("https://cfpub.epa.gov/ecotox/explore.cfm?ncbi=59916","Explore in ECOTOX")</f>
        <v>Explore in ECOTOX</v>
      </c>
    </row>
    <row r="1024" spans="1:18" x14ac:dyDescent="0.25">
      <c r="A1024">
        <v>6</v>
      </c>
      <c r="B1024" t="str">
        <f>HYPERLINK("http://www.ncbi.nlm.nih.gov/protein/XP_030023920.1","XP_030023920.1")</f>
        <v>XP_030023920.1</v>
      </c>
      <c r="C1024">
        <v>25955</v>
      </c>
      <c r="D1024" t="str">
        <f>HYPERLINK("http://www.ncbi.nlm.nih.gov/Taxonomy/Browser/wwwtax.cgi?mode=Info&amp;id=7130&amp;lvl=3&amp;lin=f&amp;keep=1&amp;srchmode=1&amp;unlock","7130")</f>
        <v>7130</v>
      </c>
      <c r="E1024" t="s">
        <v>698</v>
      </c>
      <c r="F1024" t="s">
        <v>698</v>
      </c>
      <c r="G1024" t="str">
        <f>HYPERLINK("http://www.ncbi.nlm.nih.gov/Taxonomy/Browser/wwwtax.cgi?mode=Info&amp;id=7130&amp;lvl=3&amp;lin=f&amp;keep=1&amp;srchmode=1&amp;unlock","Manduca sexta")</f>
        <v>Manduca sexta</v>
      </c>
      <c r="H1024" t="s">
        <v>915</v>
      </c>
      <c r="I1024" t="str">
        <f>HYPERLINK("http://www.ncbi.nlm.nih.gov/protein/XP_030023920.1","fatty acid-binding protein 1")</f>
        <v>fatty acid-binding protein 1</v>
      </c>
      <c r="J1024">
        <v>50.45</v>
      </c>
      <c r="K1024" t="s">
        <v>25</v>
      </c>
      <c r="L1024">
        <v>139</v>
      </c>
      <c r="M1024">
        <v>50.68</v>
      </c>
      <c r="N1024">
        <v>20</v>
      </c>
      <c r="O1024" t="s">
        <v>25</v>
      </c>
      <c r="P1024" t="s">
        <v>21</v>
      </c>
      <c r="Q1024" t="s">
        <v>20</v>
      </c>
      <c r="R1024" t="str">
        <f>HYPERLINK("https://cfpub.epa.gov/ecotox/explore.cfm?ncbi=7130","Explore in ECOTOX")</f>
        <v>Explore in ECOTOX</v>
      </c>
    </row>
    <row r="1025" spans="1:18" x14ac:dyDescent="0.25">
      <c r="A1025">
        <v>6</v>
      </c>
      <c r="B1025" t="str">
        <f>HYPERLINK("http://www.ncbi.nlm.nih.gov/protein/XP_011204530.1","XP_011204530.1")</f>
        <v>XP_011204530.1</v>
      </c>
      <c r="C1025">
        <v>23873</v>
      </c>
      <c r="D1025" t="str">
        <f>HYPERLINK("http://www.ncbi.nlm.nih.gov/Taxonomy/Browser/wwwtax.cgi?mode=Info&amp;id=27457&amp;lvl=3&amp;lin=f&amp;keep=1&amp;srchmode=1&amp;unlock","27457")</f>
        <v>27457</v>
      </c>
      <c r="E1025" t="s">
        <v>698</v>
      </c>
      <c r="F1025" t="s">
        <v>698</v>
      </c>
      <c r="G1025" t="str">
        <f>HYPERLINK("http://www.ncbi.nlm.nih.gov/Taxonomy/Browser/wwwtax.cgi?mode=Info&amp;id=27457&amp;lvl=3&amp;lin=f&amp;keep=1&amp;srchmode=1&amp;unlock","Bactrocera dorsalis")</f>
        <v>Bactrocera dorsalis</v>
      </c>
      <c r="H1025" t="s">
        <v>916</v>
      </c>
      <c r="I1025" t="str">
        <f>HYPERLINK("http://www.ncbi.nlm.nih.gov/protein/XP_011204530.1","probable fatty acid-binding protein isoform X1")</f>
        <v>probable fatty acid-binding protein isoform X1</v>
      </c>
      <c r="J1025">
        <v>50.45</v>
      </c>
      <c r="K1025" t="s">
        <v>25</v>
      </c>
      <c r="L1025">
        <v>139</v>
      </c>
      <c r="M1025">
        <v>50.68</v>
      </c>
      <c r="N1025">
        <v>20</v>
      </c>
      <c r="O1025" t="s">
        <v>25</v>
      </c>
      <c r="P1025" t="s">
        <v>21</v>
      </c>
      <c r="Q1025" t="s">
        <v>20</v>
      </c>
      <c r="R1025" t="str">
        <f>HYPERLINK("https://cfpub.epa.gov/ecotox/explore.cfm?ncbi=27457","Explore in ECOTOX")</f>
        <v>Explore in ECOTOX</v>
      </c>
    </row>
    <row r="1026" spans="1:18" x14ac:dyDescent="0.25">
      <c r="A1026">
        <v>6</v>
      </c>
      <c r="B1026" t="str">
        <f>HYPERLINK("http://www.ncbi.nlm.nih.gov/protein/XP_040570609.1","XP_040570609.1")</f>
        <v>XP_040570609.1</v>
      </c>
      <c r="C1026">
        <v>58528</v>
      </c>
      <c r="D1026" t="str">
        <f>HYPERLINK("http://www.ncbi.nlm.nih.gov/Taxonomy/Browser/wwwtax.cgi?mode=Info&amp;id=72036&amp;lvl=3&amp;lin=f&amp;keep=1&amp;srchmode=1&amp;unlock","72036")</f>
        <v>72036</v>
      </c>
      <c r="E1026" t="s">
        <v>760</v>
      </c>
      <c r="F1026" t="s">
        <v>760</v>
      </c>
      <c r="G1026" t="str">
        <f>HYPERLINK("http://www.ncbi.nlm.nih.gov/Taxonomy/Browser/wwwtax.cgi?mode=Info&amp;id=72036&amp;lvl=3&amp;lin=f&amp;keep=1&amp;srchmode=1&amp;unlock","Lepeophtheirus salmonis")</f>
        <v>Lepeophtheirus salmonis</v>
      </c>
      <c r="H1026" t="s">
        <v>917</v>
      </c>
      <c r="I1026" t="str">
        <f>HYPERLINK("http://www.ncbi.nlm.nih.gov/protein/XP_040570609.1","fatty acid-binding protein-like")</f>
        <v>fatty acid-binding protein-like</v>
      </c>
      <c r="J1026">
        <v>50.45</v>
      </c>
      <c r="K1026" t="s">
        <v>25</v>
      </c>
      <c r="L1026">
        <v>139</v>
      </c>
      <c r="M1026">
        <v>50.68</v>
      </c>
      <c r="N1026">
        <v>20</v>
      </c>
      <c r="O1026" t="s">
        <v>25</v>
      </c>
      <c r="P1026" t="s">
        <v>21</v>
      </c>
      <c r="Q1026" t="s">
        <v>20</v>
      </c>
      <c r="R1026" t="str">
        <f>HYPERLINK("https://cfpub.epa.gov/ecotox/explore.cfm?ncbi=72036","Explore in ECOTOX")</f>
        <v>Explore in ECOTOX</v>
      </c>
    </row>
    <row r="1027" spans="1:18" x14ac:dyDescent="0.25">
      <c r="A1027">
        <v>6</v>
      </c>
      <c r="B1027" t="str">
        <f>HYPERLINK("http://www.ncbi.nlm.nih.gov/protein/XP_015366261.1","XP_015366261.1")</f>
        <v>XP_015366261.1</v>
      </c>
      <c r="C1027">
        <v>17638</v>
      </c>
      <c r="D1027" t="str">
        <f>HYPERLINK("http://www.ncbi.nlm.nih.gov/Taxonomy/Browser/wwwtax.cgi?mode=Info&amp;id=143948&amp;lvl=3&amp;lin=f&amp;keep=1&amp;srchmode=1&amp;unlock","143948")</f>
        <v>143948</v>
      </c>
      <c r="E1027" t="s">
        <v>698</v>
      </c>
      <c r="F1027" t="s">
        <v>698</v>
      </c>
      <c r="G1027" t="str">
        <f>HYPERLINK("http://www.ncbi.nlm.nih.gov/Taxonomy/Browser/wwwtax.cgi?mode=Info&amp;id=143948&amp;lvl=3&amp;lin=f&amp;keep=1&amp;srchmode=1&amp;unlock","Diuraphis noxia")</f>
        <v>Diuraphis noxia</v>
      </c>
      <c r="H1027" t="s">
        <v>918</v>
      </c>
      <c r="I1027" t="str">
        <f>HYPERLINK("http://www.ncbi.nlm.nih.gov/protein/XP_015366261.1","PREDICTED: fatty acid-binding protein, muscle-like")</f>
        <v>PREDICTED: fatty acid-binding protein, muscle-like</v>
      </c>
      <c r="J1027">
        <v>50.45</v>
      </c>
      <c r="K1027" t="s">
        <v>25</v>
      </c>
      <c r="L1027">
        <v>139</v>
      </c>
      <c r="M1027">
        <v>50.68</v>
      </c>
      <c r="N1027">
        <v>20</v>
      </c>
      <c r="O1027" t="s">
        <v>25</v>
      </c>
      <c r="P1027" t="s">
        <v>21</v>
      </c>
      <c r="Q1027" t="s">
        <v>20</v>
      </c>
      <c r="R1027" t="str">
        <f>HYPERLINK("https://cfpub.epa.gov/ecotox/explore.cfm?ncbi=143948","Explore in ECOTOX")</f>
        <v>Explore in ECOTOX</v>
      </c>
    </row>
    <row r="1028" spans="1:18" x14ac:dyDescent="0.25">
      <c r="A1028">
        <v>6</v>
      </c>
      <c r="B1028" t="str">
        <f>HYPERLINK("http://www.ncbi.nlm.nih.gov/protein/XP_013083883.1","XP_013083883.1")</f>
        <v>XP_013083883.1</v>
      </c>
      <c r="C1028">
        <v>37594</v>
      </c>
      <c r="D1028" t="str">
        <f>HYPERLINK("http://www.ncbi.nlm.nih.gov/Taxonomy/Browser/wwwtax.cgi?mode=Info&amp;id=6526&amp;lvl=3&amp;lin=f&amp;keep=1&amp;srchmode=1&amp;unlock","6526")</f>
        <v>6526</v>
      </c>
      <c r="E1028" t="s">
        <v>763</v>
      </c>
      <c r="F1028" t="s">
        <v>763</v>
      </c>
      <c r="G1028" t="str">
        <f>HYPERLINK("http://www.ncbi.nlm.nih.gov/Taxonomy/Browser/wwwtax.cgi?mode=Info&amp;id=6526&amp;lvl=3&amp;lin=f&amp;keep=1&amp;srchmode=1&amp;unlock","Biomphalaria glabrata")</f>
        <v>Biomphalaria glabrata</v>
      </c>
      <c r="H1028" t="s">
        <v>919</v>
      </c>
      <c r="I1028" t="str">
        <f>HYPERLINK("http://www.ncbi.nlm.nih.gov/protein/XP_013083883.1","PREDICTED: fatty acid-binding protein 12-like")</f>
        <v>PREDICTED: fatty acid-binding protein 12-like</v>
      </c>
      <c r="J1028">
        <v>50.06</v>
      </c>
      <c r="K1028" t="s">
        <v>25</v>
      </c>
      <c r="L1028">
        <v>139</v>
      </c>
      <c r="M1028">
        <v>50.68</v>
      </c>
      <c r="N1028">
        <v>19.84</v>
      </c>
      <c r="O1028" t="s">
        <v>25</v>
      </c>
      <c r="P1028" t="s">
        <v>21</v>
      </c>
      <c r="Q1028" t="s">
        <v>20</v>
      </c>
      <c r="R1028" t="str">
        <f>HYPERLINK("https://cfpub.epa.gov/ecotox/explore.cfm?ncbi=6526","Explore in ECOTOX")</f>
        <v>Explore in ECOTOX</v>
      </c>
    </row>
    <row r="1029" spans="1:18" x14ac:dyDescent="0.25">
      <c r="A1029">
        <v>6</v>
      </c>
      <c r="B1029" t="str">
        <f>HYPERLINK("http://www.ncbi.nlm.nih.gov/protein/ACO09092.1","ACO09092.1")</f>
        <v>ACO09092.1</v>
      </c>
      <c r="C1029">
        <v>1493</v>
      </c>
      <c r="D1029" t="str">
        <f>HYPERLINK("http://www.ncbi.nlm.nih.gov/Taxonomy/Browser/wwwtax.cgi?mode=Info&amp;id=8014&amp;lvl=3&amp;lin=f&amp;keep=1&amp;srchmode=1&amp;unlock","8014")</f>
        <v>8014</v>
      </c>
      <c r="E1029" t="s">
        <v>384</v>
      </c>
      <c r="F1029" t="s">
        <v>384</v>
      </c>
      <c r="G1029" t="str">
        <f>HYPERLINK("http://www.ncbi.nlm.nih.gov/Taxonomy/Browser/wwwtax.cgi?mode=Info&amp;id=8014&amp;lvl=3&amp;lin=f&amp;keep=1&amp;srchmode=1&amp;unlock","Osmerus mordax")</f>
        <v>Osmerus mordax</v>
      </c>
      <c r="H1029" t="s">
        <v>920</v>
      </c>
      <c r="I1029" t="str">
        <f>HYPERLINK("http://www.ncbi.nlm.nih.gov/protein/ACO09092.1","Cellular retinoic acid-binding protein 1")</f>
        <v>Cellular retinoic acid-binding protein 1</v>
      </c>
      <c r="J1029">
        <v>50.06</v>
      </c>
      <c r="K1029" t="s">
        <v>25</v>
      </c>
      <c r="L1029">
        <v>139</v>
      </c>
      <c r="M1029">
        <v>50.68</v>
      </c>
      <c r="N1029">
        <v>19.84</v>
      </c>
      <c r="O1029" t="s">
        <v>20</v>
      </c>
      <c r="P1029" t="s">
        <v>21</v>
      </c>
      <c r="Q1029" t="s">
        <v>20</v>
      </c>
      <c r="R1029" t="str">
        <f>HYPERLINK("https://cfpub.epa.gov/ecotox/explore.cfm?ncbi=8014","Explore in ECOTOX")</f>
        <v>Explore in ECOTOX</v>
      </c>
    </row>
    <row r="1030" spans="1:18" x14ac:dyDescent="0.25">
      <c r="A1030">
        <v>6</v>
      </c>
      <c r="B1030" t="str">
        <f>HYPERLINK("http://www.ncbi.nlm.nih.gov/protein/XP_019872499.1","XP_019872499.1")</f>
        <v>XP_019872499.1</v>
      </c>
      <c r="C1030">
        <v>17652</v>
      </c>
      <c r="D1030" t="str">
        <f>HYPERLINK("http://www.ncbi.nlm.nih.gov/Taxonomy/Browser/wwwtax.cgi?mode=Info&amp;id=116153&amp;lvl=3&amp;lin=f&amp;keep=1&amp;srchmode=1&amp;unlock","116153")</f>
        <v>116153</v>
      </c>
      <c r="E1030" t="s">
        <v>698</v>
      </c>
      <c r="F1030" t="s">
        <v>698</v>
      </c>
      <c r="G1030" t="str">
        <f>HYPERLINK("http://www.ncbi.nlm.nih.gov/Taxonomy/Browser/wwwtax.cgi?mode=Info&amp;id=116153&amp;lvl=3&amp;lin=f&amp;keep=1&amp;srchmode=1&amp;unlock","Aethina tumida")</f>
        <v>Aethina tumida</v>
      </c>
      <c r="H1030" t="s">
        <v>921</v>
      </c>
      <c r="I1030" t="str">
        <f>HYPERLINK("http://www.ncbi.nlm.nih.gov/protein/XP_019872499.1","PREDICTED: fatty acid-binding protein 1, liver-like")</f>
        <v>PREDICTED: fatty acid-binding protein 1, liver-like</v>
      </c>
      <c r="J1030">
        <v>50.06</v>
      </c>
      <c r="K1030" t="s">
        <v>25</v>
      </c>
      <c r="L1030">
        <v>139</v>
      </c>
      <c r="M1030">
        <v>50.68</v>
      </c>
      <c r="N1030">
        <v>19.84</v>
      </c>
      <c r="O1030" t="s">
        <v>25</v>
      </c>
      <c r="P1030" t="s">
        <v>21</v>
      </c>
      <c r="Q1030" t="s">
        <v>20</v>
      </c>
      <c r="R1030" t="str">
        <f>HYPERLINK("https://cfpub.epa.gov/ecotox/explore.cfm?ncbi=116153","Explore in ECOTOX")</f>
        <v>Explore in ECOTOX</v>
      </c>
    </row>
    <row r="1031" spans="1:18" x14ac:dyDescent="0.25">
      <c r="A1031">
        <v>6</v>
      </c>
      <c r="B1031" t="str">
        <f>HYPERLINK("http://www.ncbi.nlm.nih.gov/protein/CAD5225833.1","CAD5225833.1")</f>
        <v>CAD5225833.1</v>
      </c>
      <c r="C1031">
        <v>14536</v>
      </c>
      <c r="D1031" t="str">
        <f>HYPERLINK("http://www.ncbi.nlm.nih.gov/Taxonomy/Browser/wwwtax.cgi?mode=Info&amp;id=465554&amp;lvl=3&amp;lin=f&amp;keep=1&amp;srchmode=1&amp;unlock","465554")</f>
        <v>465554</v>
      </c>
      <c r="E1031" t="s">
        <v>869</v>
      </c>
      <c r="F1031" t="s">
        <v>869</v>
      </c>
      <c r="G1031" t="str">
        <f>HYPERLINK("http://www.ncbi.nlm.nih.gov/Taxonomy/Browser/wwwtax.cgi?mode=Info&amp;id=465554&amp;lvl=3&amp;lin=f&amp;keep=1&amp;srchmode=1&amp;unlock","Bursaphelenchus okinawaensis")</f>
        <v>Bursaphelenchus okinawaensis</v>
      </c>
      <c r="H1031" t="s">
        <v>922</v>
      </c>
      <c r="I1031" t="str">
        <f>HYPERLINK("http://www.ncbi.nlm.nih.gov/protein/CAD5225833.1","unnamed protein product")</f>
        <v>unnamed protein product</v>
      </c>
      <c r="J1031">
        <v>50.06</v>
      </c>
      <c r="K1031" t="s">
        <v>25</v>
      </c>
      <c r="L1031">
        <v>139</v>
      </c>
      <c r="M1031">
        <v>50.68</v>
      </c>
      <c r="N1031">
        <v>19.84</v>
      </c>
      <c r="O1031" t="s">
        <v>25</v>
      </c>
      <c r="P1031" t="s">
        <v>21</v>
      </c>
      <c r="Q1031" t="s">
        <v>20</v>
      </c>
      <c r="R1031" t="str">
        <f>HYPERLINK("https://cfpub.epa.gov/ecotox/explore.cfm?ncbi=465554","Explore in ECOTOX")</f>
        <v>Explore in ECOTOX</v>
      </c>
    </row>
    <row r="1032" spans="1:18" x14ac:dyDescent="0.25">
      <c r="A1032">
        <v>6</v>
      </c>
      <c r="B1032" t="str">
        <f>HYPERLINK("http://www.ncbi.nlm.nih.gov/protein/NP_001298777.1","NP_001298777.1")</f>
        <v>NP_001298777.1</v>
      </c>
      <c r="C1032">
        <v>39510</v>
      </c>
      <c r="D1032" t="str">
        <f>HYPERLINK("http://www.ncbi.nlm.nih.gov/Taxonomy/Browser/wwwtax.cgi?mode=Info&amp;id=66420&amp;lvl=3&amp;lin=f&amp;keep=1&amp;srchmode=1&amp;unlock","66420")</f>
        <v>66420</v>
      </c>
      <c r="E1032" t="s">
        <v>698</v>
      </c>
      <c r="F1032" t="s">
        <v>698</v>
      </c>
      <c r="G1032" t="str">
        <f>HYPERLINK("http://www.ncbi.nlm.nih.gov/Taxonomy/Browser/wwwtax.cgi?mode=Info&amp;id=66420&amp;lvl=3&amp;lin=f&amp;keep=1&amp;srchmode=1&amp;unlock","Papilio xuthus")</f>
        <v>Papilio xuthus</v>
      </c>
      <c r="H1032" t="s">
        <v>923</v>
      </c>
      <c r="I1032" t="str">
        <f>HYPERLINK("http://www.ncbi.nlm.nih.gov/protein/NP_001298777.1","fatty acid-binding protein")</f>
        <v>fatty acid-binding protein</v>
      </c>
      <c r="J1032">
        <v>50.06</v>
      </c>
      <c r="K1032" t="s">
        <v>25</v>
      </c>
      <c r="L1032">
        <v>139</v>
      </c>
      <c r="M1032">
        <v>50.68</v>
      </c>
      <c r="N1032">
        <v>19.84</v>
      </c>
      <c r="O1032" t="s">
        <v>25</v>
      </c>
      <c r="P1032" t="s">
        <v>21</v>
      </c>
      <c r="Q1032" t="s">
        <v>20</v>
      </c>
      <c r="R1032" t="str">
        <f>HYPERLINK("https://cfpub.epa.gov/ecotox/explore.cfm?ncbi=66420","Explore in ECOTOX")</f>
        <v>Explore in ECOTOX</v>
      </c>
    </row>
    <row r="1033" spans="1:18" x14ac:dyDescent="0.25">
      <c r="A1033">
        <v>6</v>
      </c>
      <c r="B1033" t="str">
        <f>HYPERLINK("http://www.ncbi.nlm.nih.gov/protein/KFM60507.1","KFM60507.1")</f>
        <v>KFM60507.1</v>
      </c>
      <c r="C1033">
        <v>27105</v>
      </c>
      <c r="D1033" t="str">
        <f>HYPERLINK("http://www.ncbi.nlm.nih.gov/Taxonomy/Browser/wwwtax.cgi?mode=Info&amp;id=407821&amp;lvl=3&amp;lin=f&amp;keep=1&amp;srchmode=1&amp;unlock","407821")</f>
        <v>407821</v>
      </c>
      <c r="E1033" t="s">
        <v>700</v>
      </c>
      <c r="F1033" t="s">
        <v>700</v>
      </c>
      <c r="G1033" t="str">
        <f>HYPERLINK("http://www.ncbi.nlm.nih.gov/Taxonomy/Browser/wwwtax.cgi?mode=Info&amp;id=407821&amp;lvl=3&amp;lin=f&amp;keep=1&amp;srchmode=1&amp;unlock","Stegodyphus mimosarum")</f>
        <v>Stegodyphus mimosarum</v>
      </c>
      <c r="H1033" t="s">
        <v>754</v>
      </c>
      <c r="I1033" t="str">
        <f>HYPERLINK("http://www.ncbi.nlm.nih.gov/protein/KFM60507.1","Fatty acid-binding protein, partial")</f>
        <v>Fatty acid-binding protein, partial</v>
      </c>
      <c r="J1033">
        <v>50.06</v>
      </c>
      <c r="K1033" t="s">
        <v>25</v>
      </c>
      <c r="L1033">
        <v>139</v>
      </c>
      <c r="M1033">
        <v>50.68</v>
      </c>
      <c r="N1033">
        <v>19.84</v>
      </c>
      <c r="O1033" t="s">
        <v>25</v>
      </c>
      <c r="P1033" t="s">
        <v>21</v>
      </c>
      <c r="Q1033" t="s">
        <v>20</v>
      </c>
      <c r="R1033" t="str">
        <f>HYPERLINK("https://cfpub.epa.gov/ecotox/explore.cfm?ncbi=407821","Explore in ECOTOX")</f>
        <v>Explore in ECOTOX</v>
      </c>
    </row>
    <row r="1034" spans="1:18" x14ac:dyDescent="0.25">
      <c r="A1034">
        <v>6</v>
      </c>
      <c r="B1034" t="str">
        <f>HYPERLINK("http://www.ncbi.nlm.nih.gov/protein/XP_014096051.1","XP_014096051.1")</f>
        <v>XP_014096051.1</v>
      </c>
      <c r="C1034">
        <v>34294</v>
      </c>
      <c r="D1034" t="str">
        <f>HYPERLINK("http://www.ncbi.nlm.nih.gov/Taxonomy/Browser/wwwtax.cgi?mode=Info&amp;id=104688&amp;lvl=3&amp;lin=f&amp;keep=1&amp;srchmode=1&amp;unlock","104688")</f>
        <v>104688</v>
      </c>
      <c r="E1034" t="s">
        <v>698</v>
      </c>
      <c r="F1034" t="s">
        <v>698</v>
      </c>
      <c r="G1034" t="str">
        <f>HYPERLINK("http://www.ncbi.nlm.nih.gov/Taxonomy/Browser/wwwtax.cgi?mode=Info&amp;id=104688&amp;lvl=3&amp;lin=f&amp;keep=1&amp;srchmode=1&amp;unlock","Bactrocera oleae")</f>
        <v>Bactrocera oleae</v>
      </c>
      <c r="H1034" t="s">
        <v>924</v>
      </c>
      <c r="I1034" t="str">
        <f>HYPERLINK("http://www.ncbi.nlm.nih.gov/protein/XP_014096051.1","probable fatty acid-binding protein")</f>
        <v>probable fatty acid-binding protein</v>
      </c>
      <c r="J1034">
        <v>50.06</v>
      </c>
      <c r="K1034" t="s">
        <v>25</v>
      </c>
      <c r="L1034">
        <v>139</v>
      </c>
      <c r="M1034">
        <v>50.68</v>
      </c>
      <c r="N1034">
        <v>19.84</v>
      </c>
      <c r="O1034" t="s">
        <v>25</v>
      </c>
      <c r="P1034" t="s">
        <v>21</v>
      </c>
      <c r="Q1034" t="s">
        <v>20</v>
      </c>
      <c r="R1034" t="str">
        <f>HYPERLINK("https://cfpub.epa.gov/ecotox/explore.cfm?ncbi=104688","Explore in ECOTOX")</f>
        <v>Explore in ECOTOX</v>
      </c>
    </row>
    <row r="1035" spans="1:18" x14ac:dyDescent="0.25">
      <c r="A1035">
        <v>6</v>
      </c>
      <c r="B1035" t="str">
        <f>HYPERLINK("http://www.ncbi.nlm.nih.gov/protein/XP_002097988.1","XP_002097988.1")</f>
        <v>XP_002097988.1</v>
      </c>
      <c r="C1035">
        <v>50596</v>
      </c>
      <c r="D1035" t="str">
        <f>HYPERLINK("http://www.ncbi.nlm.nih.gov/Taxonomy/Browser/wwwtax.cgi?mode=Info&amp;id=7245&amp;lvl=3&amp;lin=f&amp;keep=1&amp;srchmode=1&amp;unlock","7245")</f>
        <v>7245</v>
      </c>
      <c r="E1035" t="s">
        <v>698</v>
      </c>
      <c r="F1035" t="s">
        <v>698</v>
      </c>
      <c r="G1035" t="str">
        <f>HYPERLINK("http://www.ncbi.nlm.nih.gov/Taxonomy/Browser/wwwtax.cgi?mode=Info&amp;id=7245&amp;lvl=3&amp;lin=f&amp;keep=1&amp;srchmode=1&amp;unlock","Drosophila yakuba")</f>
        <v>Drosophila yakuba</v>
      </c>
      <c r="H1035" t="s">
        <v>753</v>
      </c>
      <c r="I1035" t="str">
        <f>HYPERLINK("http://www.ncbi.nlm.nih.gov/protein/XP_002097988.1","fatty acid-binding protein, muscle")</f>
        <v>fatty acid-binding protein, muscle</v>
      </c>
      <c r="J1035">
        <v>49.68</v>
      </c>
      <c r="K1035" t="s">
        <v>25</v>
      </c>
      <c r="L1035">
        <v>139</v>
      </c>
      <c r="M1035">
        <v>50.68</v>
      </c>
      <c r="N1035">
        <v>19.690000000000001</v>
      </c>
      <c r="O1035" t="s">
        <v>25</v>
      </c>
      <c r="P1035" t="s">
        <v>21</v>
      </c>
      <c r="Q1035" t="s">
        <v>20</v>
      </c>
      <c r="R1035" t="str">
        <f>HYPERLINK("https://cfpub.epa.gov/ecotox/explore.cfm?ncbi=7245","Explore in ECOTOX")</f>
        <v>Explore in ECOTOX</v>
      </c>
    </row>
    <row r="1036" spans="1:18" x14ac:dyDescent="0.25">
      <c r="A1036">
        <v>6</v>
      </c>
      <c r="B1036" t="str">
        <f>HYPERLINK("http://www.ncbi.nlm.nih.gov/protein/VUZ52011.1","VUZ52011.1")</f>
        <v>VUZ52011.1</v>
      </c>
      <c r="C1036">
        <v>30645</v>
      </c>
      <c r="D1036" t="str">
        <f>HYPERLINK("http://www.ncbi.nlm.nih.gov/Taxonomy/Browser/wwwtax.cgi?mode=Info&amp;id=6216&amp;lvl=3&amp;lin=f&amp;keep=1&amp;srchmode=1&amp;unlock","6216")</f>
        <v>6216</v>
      </c>
      <c r="E1036" t="s">
        <v>907</v>
      </c>
      <c r="F1036" t="s">
        <v>907</v>
      </c>
      <c r="G1036" t="str">
        <f>HYPERLINK("http://www.ncbi.nlm.nih.gov/Taxonomy/Browser/wwwtax.cgi?mode=Info&amp;id=6216&amp;lvl=3&amp;lin=f&amp;keep=1&amp;srchmode=1&amp;unlock","Hymenolepis diminuta")</f>
        <v>Hymenolepis diminuta</v>
      </c>
      <c r="H1036" t="s">
        <v>925</v>
      </c>
      <c r="I1036" t="str">
        <f>HYPERLINK("http://www.ncbi.nlm.nih.gov/protein/VUZ52011.1","unnamed protein product")</f>
        <v>unnamed protein product</v>
      </c>
      <c r="J1036">
        <v>49.68</v>
      </c>
      <c r="K1036" t="s">
        <v>25</v>
      </c>
      <c r="L1036">
        <v>139</v>
      </c>
      <c r="M1036">
        <v>50.68</v>
      </c>
      <c r="N1036">
        <v>19.690000000000001</v>
      </c>
      <c r="O1036" t="s">
        <v>25</v>
      </c>
      <c r="P1036" t="s">
        <v>21</v>
      </c>
      <c r="Q1036" t="s">
        <v>20</v>
      </c>
      <c r="R1036" t="str">
        <f>HYPERLINK("https://cfpub.epa.gov/ecotox/explore.cfm?ncbi=6216","Explore in ECOTOX")</f>
        <v>Explore in ECOTOX</v>
      </c>
    </row>
    <row r="1037" spans="1:18" x14ac:dyDescent="0.25">
      <c r="A1037">
        <v>6</v>
      </c>
      <c r="B1037" t="str">
        <f>HYPERLINK("http://www.ncbi.nlm.nih.gov/protein/NP_001037364.1","NP_001037364.1")</f>
        <v>NP_001037364.1</v>
      </c>
      <c r="C1037">
        <v>33238</v>
      </c>
      <c r="D1037" t="str">
        <f>HYPERLINK("http://www.ncbi.nlm.nih.gov/Taxonomy/Browser/wwwtax.cgi?mode=Info&amp;id=7091&amp;lvl=3&amp;lin=f&amp;keep=1&amp;srchmode=1&amp;unlock","7091")</f>
        <v>7091</v>
      </c>
      <c r="E1037" t="s">
        <v>698</v>
      </c>
      <c r="F1037" t="s">
        <v>698</v>
      </c>
      <c r="G1037" t="str">
        <f>HYPERLINK("http://www.ncbi.nlm.nih.gov/Taxonomy/Browser/wwwtax.cgi?mode=Info&amp;id=7091&amp;lvl=3&amp;lin=f&amp;keep=1&amp;srchmode=1&amp;unlock","Bombyx mori")</f>
        <v>Bombyx mori</v>
      </c>
      <c r="H1037" t="s">
        <v>926</v>
      </c>
      <c r="I1037" t="str">
        <f>HYPERLINK("http://www.ncbi.nlm.nih.gov/protein/NP_001037364.1","cellular retinoic acid binding protein")</f>
        <v>cellular retinoic acid binding protein</v>
      </c>
      <c r="J1037">
        <v>49.68</v>
      </c>
      <c r="K1037" t="s">
        <v>25</v>
      </c>
      <c r="L1037">
        <v>139</v>
      </c>
      <c r="M1037">
        <v>50.68</v>
      </c>
      <c r="N1037">
        <v>19.690000000000001</v>
      </c>
      <c r="O1037" t="s">
        <v>25</v>
      </c>
      <c r="P1037" t="s">
        <v>21</v>
      </c>
      <c r="Q1037" t="s">
        <v>20</v>
      </c>
      <c r="R1037" t="str">
        <f>HYPERLINK("https://cfpub.epa.gov/ecotox/explore.cfm?ncbi=7091","Explore in ECOTOX")</f>
        <v>Explore in ECOTOX</v>
      </c>
    </row>
    <row r="1038" spans="1:18" x14ac:dyDescent="0.25">
      <c r="A1038">
        <v>6</v>
      </c>
      <c r="B1038" t="str">
        <f>HYPERLINK("http://www.ncbi.nlm.nih.gov/protein/XP_039495748.1","XP_039495748.1")</f>
        <v>XP_039495748.1</v>
      </c>
      <c r="C1038">
        <v>24792</v>
      </c>
      <c r="D1038" t="str">
        <f>HYPERLINK("http://www.ncbi.nlm.nih.gov/Taxonomy/Browser/wwwtax.cgi?mode=Info&amp;id=129105&amp;lvl=3&amp;lin=f&amp;keep=1&amp;srchmode=1&amp;unlock","129105")</f>
        <v>129105</v>
      </c>
      <c r="E1038" t="s">
        <v>698</v>
      </c>
      <c r="F1038" t="s">
        <v>698</v>
      </c>
      <c r="G1038" t="str">
        <f>HYPERLINK("http://www.ncbi.nlm.nih.gov/Taxonomy/Browser/wwwtax.cgi?mode=Info&amp;id=129105&amp;lvl=3&amp;lin=f&amp;keep=1&amp;srchmode=1&amp;unlock","Drosophila santomea")</f>
        <v>Drosophila santomea</v>
      </c>
      <c r="H1038" t="s">
        <v>753</v>
      </c>
      <c r="I1038" t="str">
        <f>HYPERLINK("http://www.ncbi.nlm.nih.gov/protein/XP_039495748.1","fatty acid-binding protein, muscle")</f>
        <v>fatty acid-binding protein, muscle</v>
      </c>
      <c r="J1038">
        <v>49.68</v>
      </c>
      <c r="K1038" t="s">
        <v>25</v>
      </c>
      <c r="L1038">
        <v>139</v>
      </c>
      <c r="M1038">
        <v>50.68</v>
      </c>
      <c r="N1038">
        <v>19.690000000000001</v>
      </c>
      <c r="O1038" t="s">
        <v>25</v>
      </c>
      <c r="P1038" t="s">
        <v>21</v>
      </c>
      <c r="Q1038" t="s">
        <v>20</v>
      </c>
      <c r="R1038" t="str">
        <f>HYPERLINK("https://cfpub.epa.gov/ecotox/explore.cfm?ncbi=129105","Explore in ECOTOX")</f>
        <v>Explore in ECOTOX</v>
      </c>
    </row>
    <row r="1039" spans="1:18" x14ac:dyDescent="0.25">
      <c r="A1039">
        <v>6</v>
      </c>
      <c r="B1039" t="str">
        <f>HYPERLINK("http://www.ncbi.nlm.nih.gov/protein/XP_028036576.1","XP_028036576.1")</f>
        <v>XP_028036576.1</v>
      </c>
      <c r="C1039">
        <v>19923</v>
      </c>
      <c r="D1039" t="str">
        <f>HYPERLINK("http://www.ncbi.nlm.nih.gov/Taxonomy/Browser/wwwtax.cgi?mode=Info&amp;id=7092&amp;lvl=3&amp;lin=f&amp;keep=1&amp;srchmode=1&amp;unlock","7092")</f>
        <v>7092</v>
      </c>
      <c r="E1039" t="s">
        <v>698</v>
      </c>
      <c r="F1039" t="s">
        <v>698</v>
      </c>
      <c r="G1039" t="str">
        <f>HYPERLINK("http://www.ncbi.nlm.nih.gov/Taxonomy/Browser/wwwtax.cgi?mode=Info&amp;id=7092&amp;lvl=3&amp;lin=f&amp;keep=1&amp;srchmode=1&amp;unlock","Bombyx mandarina")</f>
        <v>Bombyx mandarina</v>
      </c>
      <c r="H1039" t="s">
        <v>927</v>
      </c>
      <c r="I1039" t="str">
        <f>HYPERLINK("http://www.ncbi.nlm.nih.gov/protein/XP_028036576.1","sodium/calcium exchanger regulatory protein 1")</f>
        <v>sodium/calcium exchanger regulatory protein 1</v>
      </c>
      <c r="J1039">
        <v>49.68</v>
      </c>
      <c r="K1039" t="s">
        <v>25</v>
      </c>
      <c r="L1039">
        <v>139</v>
      </c>
      <c r="M1039">
        <v>50.68</v>
      </c>
      <c r="N1039">
        <v>19.690000000000001</v>
      </c>
      <c r="O1039" t="s">
        <v>25</v>
      </c>
      <c r="P1039" t="s">
        <v>21</v>
      </c>
      <c r="Q1039" t="s">
        <v>20</v>
      </c>
      <c r="R1039" t="str">
        <f>HYPERLINK("https://cfpub.epa.gov/ecotox/explore.cfm?ncbi=7092","Explore in ECOTOX")</f>
        <v>Explore in ECOTOX</v>
      </c>
    </row>
    <row r="1040" spans="1:18" x14ac:dyDescent="0.25">
      <c r="A1040">
        <v>6</v>
      </c>
      <c r="B1040" t="str">
        <f>HYPERLINK("http://www.ncbi.nlm.nih.gov/protein/C4N147.1","C4N147.1")</f>
        <v>C4N147.1</v>
      </c>
      <c r="C1040">
        <v>176</v>
      </c>
      <c r="D1040" t="str">
        <f>HYPERLINK("http://www.ncbi.nlm.nih.gov/Taxonomy/Browser/wwwtax.cgi?mode=Info&amp;id=1051067&amp;lvl=3&amp;lin=f&amp;keep=1&amp;srchmode=1&amp;unlock","1051067")</f>
        <v>1051067</v>
      </c>
      <c r="E1040" t="s">
        <v>786</v>
      </c>
      <c r="F1040" t="s">
        <v>786</v>
      </c>
      <c r="G1040" t="str">
        <f>HYPERLINK("http://www.ncbi.nlm.nih.gov/Taxonomy/Browser/wwwtax.cgi?mode=Info&amp;id=1051067&amp;lvl=3&amp;lin=f&amp;keep=1&amp;srchmode=1&amp;unlock","Doryteuthis pealeii")</f>
        <v>Doryteuthis pealeii</v>
      </c>
      <c r="H1040" t="s">
        <v>928</v>
      </c>
      <c r="I1040" t="str">
        <f>HYPERLINK("http://www.ncbi.nlm.nih.gov/protein/C4N147.1","RecName: Full=Sodium/calcium exchanger regulatory protein 1; Short=ReP1-NCXSQ; AltName: Full=Fatty acid-binding protein 1; AltName: Full=Na(+)/Ca(2+) exchanger regulatory protein 1")</f>
        <v>RecName: Full=Sodium/calcium exchanger regulatory protein 1; Short=ReP1-NCXSQ; AltName: Full=Fatty acid-binding protein 1; AltName: Full=Na(+)/Ca(2+) exchanger regulatory protein 1</v>
      </c>
      <c r="J1040">
        <v>49.68</v>
      </c>
      <c r="K1040" t="s">
        <v>25</v>
      </c>
      <c r="L1040">
        <v>139</v>
      </c>
      <c r="M1040">
        <v>50.68</v>
      </c>
      <c r="N1040">
        <v>19.690000000000001</v>
      </c>
      <c r="O1040" t="s">
        <v>25</v>
      </c>
      <c r="P1040" t="s">
        <v>21</v>
      </c>
      <c r="Q1040" t="s">
        <v>20</v>
      </c>
      <c r="R1040" t="str">
        <f>HYPERLINK("https://cfpub.epa.gov/ecotox/explore.cfm?ncbi=1051067","Explore in ECOTOX")</f>
        <v>Explore in ECOTOX</v>
      </c>
    </row>
    <row r="1041" spans="1:18" x14ac:dyDescent="0.25">
      <c r="A1041">
        <v>6</v>
      </c>
      <c r="B1041" t="str">
        <f>HYPERLINK("http://www.ncbi.nlm.nih.gov/protein/KAF7232829.1","KAF7232829.1")</f>
        <v>KAF7232829.1</v>
      </c>
      <c r="C1041">
        <v>12655</v>
      </c>
      <c r="D1041" t="str">
        <f>HYPERLINK("http://www.ncbi.nlm.nih.gov/Taxonomy/Browser/wwwtax.cgi?mode=Info&amp;id=59628&amp;lvl=3&amp;lin=f&amp;keep=1&amp;srchmode=1&amp;unlock","59628")</f>
        <v>59628</v>
      </c>
      <c r="E1041" t="s">
        <v>793</v>
      </c>
      <c r="F1041" t="s">
        <v>793</v>
      </c>
      <c r="G1041" t="str">
        <f>HYPERLINK("http://www.ncbi.nlm.nih.gov/Taxonomy/Browser/wwwtax.cgi?mode=Info&amp;id=59628&amp;lvl=3&amp;lin=f&amp;keep=1&amp;srchmode=1&amp;unlock","Paragonimus miyazakii")</f>
        <v>Paragonimus miyazakii</v>
      </c>
      <c r="H1041" t="s">
        <v>897</v>
      </c>
      <c r="I1041" t="str">
        <f>HYPERLINK("http://www.ncbi.nlm.nih.gov/protein/KAF7232829.1","hypothetical protein EG68_06524")</f>
        <v>hypothetical protein EG68_06524</v>
      </c>
      <c r="J1041">
        <v>49.68</v>
      </c>
      <c r="K1041" t="s">
        <v>25</v>
      </c>
      <c r="L1041">
        <v>139</v>
      </c>
      <c r="M1041">
        <v>50.68</v>
      </c>
      <c r="N1041">
        <v>19.690000000000001</v>
      </c>
      <c r="O1041" t="s">
        <v>25</v>
      </c>
      <c r="P1041" t="s">
        <v>21</v>
      </c>
      <c r="Q1041" t="s">
        <v>20</v>
      </c>
      <c r="R1041" t="str">
        <f>HYPERLINK("https://cfpub.epa.gov/ecotox/explore.cfm?ncbi=59628","Explore in ECOTOX")</f>
        <v>Explore in ECOTOX</v>
      </c>
    </row>
    <row r="1042" spans="1:18" x14ac:dyDescent="0.25">
      <c r="A1042">
        <v>6</v>
      </c>
      <c r="B1042" t="str">
        <f>HYPERLINK("http://www.ncbi.nlm.nih.gov/protein/TWU76928.1","TWU76928.1")</f>
        <v>TWU76928.1</v>
      </c>
      <c r="C1042">
        <v>9124</v>
      </c>
      <c r="D1042" t="str">
        <f>HYPERLINK("http://www.ncbi.nlm.nih.gov/Taxonomy/Browser/wwwtax.cgi?mode=Info&amp;id=1649241&amp;lvl=3&amp;lin=f&amp;keep=1&amp;srchmode=1&amp;unlock","1649241")</f>
        <v>1649241</v>
      </c>
      <c r="E1042" t="s">
        <v>929</v>
      </c>
      <c r="F1042" t="s">
        <v>929</v>
      </c>
      <c r="G1042" t="str">
        <f>HYPERLINK("http://www.ncbi.nlm.nih.gov/Taxonomy/Browser/wwwtax.cgi?mode=Info&amp;id=1649241&amp;lvl=3&amp;lin=f&amp;keep=1&amp;srchmode=1&amp;unlock","Metarhizium rileyi")</f>
        <v>Metarhizium rileyi</v>
      </c>
      <c r="H1042" t="s">
        <v>930</v>
      </c>
      <c r="I1042" t="str">
        <f>HYPERLINK("http://www.ncbi.nlm.nih.gov/protein/TWU76928.1","hypothetical protein ED733_006962")</f>
        <v>hypothetical protein ED733_006962</v>
      </c>
      <c r="J1042">
        <v>49.29</v>
      </c>
      <c r="K1042" t="s">
        <v>25</v>
      </c>
      <c r="L1042">
        <v>139</v>
      </c>
      <c r="M1042">
        <v>50.68</v>
      </c>
      <c r="N1042">
        <v>19.54</v>
      </c>
      <c r="O1042" t="s">
        <v>25</v>
      </c>
      <c r="P1042" t="s">
        <v>21</v>
      </c>
      <c r="Q1042" t="s">
        <v>20</v>
      </c>
      <c r="R1042" t="str">
        <f>HYPERLINK("https://cfpub.epa.gov/ecotox/explore.cfm?ncbi=1649241","Explore in ECOTOX")</f>
        <v>Explore in ECOTOX</v>
      </c>
    </row>
    <row r="1043" spans="1:18" x14ac:dyDescent="0.25">
      <c r="A1043">
        <v>6</v>
      </c>
      <c r="B1043" t="str">
        <f>HYPERLINK("http://www.ncbi.nlm.nih.gov/protein/XP_018321648.1","XP_018321648.1")</f>
        <v>XP_018321648.1</v>
      </c>
      <c r="C1043">
        <v>22259</v>
      </c>
      <c r="D1043" t="str">
        <f>HYPERLINK("http://www.ncbi.nlm.nih.gov/Taxonomy/Browser/wwwtax.cgi?mode=Info&amp;id=224129&amp;lvl=3&amp;lin=f&amp;keep=1&amp;srchmode=1&amp;unlock","224129")</f>
        <v>224129</v>
      </c>
      <c r="E1043" t="s">
        <v>698</v>
      </c>
      <c r="F1043" t="s">
        <v>698</v>
      </c>
      <c r="G1043" t="str">
        <f>HYPERLINK("http://www.ncbi.nlm.nih.gov/Taxonomy/Browser/wwwtax.cgi?mode=Info&amp;id=224129&amp;lvl=3&amp;lin=f&amp;keep=1&amp;srchmode=1&amp;unlock","Agrilus planipennis")</f>
        <v>Agrilus planipennis</v>
      </c>
      <c r="H1043" t="s">
        <v>931</v>
      </c>
      <c r="I1043" t="str">
        <f>HYPERLINK("http://www.ncbi.nlm.nih.gov/protein/XP_018321648.1","myelin P2 protein isoform X2")</f>
        <v>myelin P2 protein isoform X2</v>
      </c>
      <c r="J1043">
        <v>49.29</v>
      </c>
      <c r="K1043" t="s">
        <v>25</v>
      </c>
      <c r="L1043">
        <v>139</v>
      </c>
      <c r="M1043">
        <v>50.68</v>
      </c>
      <c r="N1043">
        <v>19.54</v>
      </c>
      <c r="O1043" t="s">
        <v>25</v>
      </c>
      <c r="P1043" t="s">
        <v>21</v>
      </c>
      <c r="Q1043" t="s">
        <v>20</v>
      </c>
      <c r="R1043" t="str">
        <f>HYPERLINK("https://cfpub.epa.gov/ecotox/explore.cfm?ncbi=224129","Explore in ECOTOX")</f>
        <v>Explore in ECOTOX</v>
      </c>
    </row>
    <row r="1044" spans="1:18" x14ac:dyDescent="0.25">
      <c r="A1044">
        <v>6</v>
      </c>
      <c r="B1044" t="str">
        <f>HYPERLINK("http://www.ncbi.nlm.nih.gov/protein/XP_021189476.1","XP_021189476.1")</f>
        <v>XP_021189476.1</v>
      </c>
      <c r="C1044">
        <v>40265</v>
      </c>
      <c r="D1044" t="str">
        <f>HYPERLINK("http://www.ncbi.nlm.nih.gov/Taxonomy/Browser/wwwtax.cgi?mode=Info&amp;id=29058&amp;lvl=3&amp;lin=f&amp;keep=1&amp;srchmode=1&amp;unlock","29058")</f>
        <v>29058</v>
      </c>
      <c r="E1044" t="s">
        <v>698</v>
      </c>
      <c r="F1044" t="s">
        <v>698</v>
      </c>
      <c r="G1044" t="str">
        <f>HYPERLINK("http://www.ncbi.nlm.nih.gov/Taxonomy/Browser/wwwtax.cgi?mode=Info&amp;id=29058&amp;lvl=3&amp;lin=f&amp;keep=1&amp;srchmode=1&amp;unlock","Helicoverpa armigera")</f>
        <v>Helicoverpa armigera</v>
      </c>
      <c r="H1044" t="s">
        <v>932</v>
      </c>
      <c r="I1044" t="str">
        <f>HYPERLINK("http://www.ncbi.nlm.nih.gov/protein/XP_021189476.1","myelin P2 protein")</f>
        <v>myelin P2 protein</v>
      </c>
      <c r="J1044">
        <v>49.29</v>
      </c>
      <c r="K1044" t="s">
        <v>25</v>
      </c>
      <c r="L1044">
        <v>139</v>
      </c>
      <c r="M1044">
        <v>50.68</v>
      </c>
      <c r="N1044">
        <v>19.54</v>
      </c>
      <c r="O1044" t="s">
        <v>25</v>
      </c>
      <c r="P1044" t="s">
        <v>21</v>
      </c>
      <c r="Q1044" t="s">
        <v>20</v>
      </c>
      <c r="R1044" t="str">
        <f>HYPERLINK("https://cfpub.epa.gov/ecotox/explore.cfm?ncbi=29058","Explore in ECOTOX")</f>
        <v>Explore in ECOTOX</v>
      </c>
    </row>
    <row r="1045" spans="1:18" x14ac:dyDescent="0.25">
      <c r="A1045">
        <v>6</v>
      </c>
      <c r="B1045" t="str">
        <f>HYPERLINK("http://www.ncbi.nlm.nih.gov/protein/OAA43283.1","OAA43283.1")</f>
        <v>OAA43283.1</v>
      </c>
      <c r="C1045">
        <v>8770</v>
      </c>
      <c r="D1045" t="str">
        <f>HYPERLINK("http://www.ncbi.nlm.nih.gov/Taxonomy/Browser/wwwtax.cgi?mode=Info&amp;id=1081105&amp;lvl=3&amp;lin=f&amp;keep=1&amp;srchmode=1&amp;unlock","1081105")</f>
        <v>1081105</v>
      </c>
      <c r="E1045" t="s">
        <v>929</v>
      </c>
      <c r="F1045" t="s">
        <v>929</v>
      </c>
      <c r="G1045" t="str">
        <f>HYPERLINK("http://www.ncbi.nlm.nih.gov/Taxonomy/Browser/wwwtax.cgi?mode=Info&amp;id=1081105&amp;lvl=3&amp;lin=f&amp;keep=1&amp;srchmode=1&amp;unlock","Metarhizium rileyi RCEF 4871")</f>
        <v>Metarhizium rileyi RCEF 4871</v>
      </c>
      <c r="H1045" t="s">
        <v>930</v>
      </c>
      <c r="I1045" t="str">
        <f>HYPERLINK("http://www.ncbi.nlm.nih.gov/protein/OAA43283.1","allergen Ale o 13")</f>
        <v>allergen Ale o 13</v>
      </c>
      <c r="J1045">
        <v>49.29</v>
      </c>
      <c r="K1045" t="s">
        <v>25</v>
      </c>
      <c r="L1045">
        <v>139</v>
      </c>
      <c r="M1045">
        <v>50.68</v>
      </c>
      <c r="N1045">
        <v>19.54</v>
      </c>
      <c r="O1045" t="s">
        <v>25</v>
      </c>
      <c r="P1045" t="s">
        <v>21</v>
      </c>
      <c r="Q1045" t="s">
        <v>20</v>
      </c>
      <c r="R1045" t="str">
        <f>HYPERLINK("https://cfpub.epa.gov/ecotox/explore.cfm?ncbi=1081105","Explore in ECOTOX")</f>
        <v>Explore in ECOTOX</v>
      </c>
    </row>
    <row r="1046" spans="1:18" x14ac:dyDescent="0.25">
      <c r="A1046">
        <v>6</v>
      </c>
      <c r="B1046" t="str">
        <f>HYPERLINK("http://www.ncbi.nlm.nih.gov/protein/XP_035448438.1","XP_035448438.1")</f>
        <v>XP_035448438.1</v>
      </c>
      <c r="C1046">
        <v>54042</v>
      </c>
      <c r="D1046" t="str">
        <f>HYPERLINK("http://www.ncbi.nlm.nih.gov/Taxonomy/Browser/wwwtax.cgi?mode=Info&amp;id=7108&amp;lvl=3&amp;lin=f&amp;keep=1&amp;srchmode=1&amp;unlock","7108")</f>
        <v>7108</v>
      </c>
      <c r="E1046" t="s">
        <v>698</v>
      </c>
      <c r="F1046" t="s">
        <v>698</v>
      </c>
      <c r="G1046" t="str">
        <f>HYPERLINK("http://www.ncbi.nlm.nih.gov/Taxonomy/Browser/wwwtax.cgi?mode=Info&amp;id=7108&amp;lvl=3&amp;lin=f&amp;keep=1&amp;srchmode=1&amp;unlock","Spodoptera frugiperda")</f>
        <v>Spodoptera frugiperda</v>
      </c>
      <c r="H1046" t="s">
        <v>933</v>
      </c>
      <c r="I1046" t="str">
        <f>HYPERLINK("http://www.ncbi.nlm.nih.gov/protein/XP_035448438.1","fatty acid-binding protein 1-like")</f>
        <v>fatty acid-binding protein 1-like</v>
      </c>
      <c r="J1046">
        <v>49.29</v>
      </c>
      <c r="K1046" t="s">
        <v>25</v>
      </c>
      <c r="L1046">
        <v>139</v>
      </c>
      <c r="M1046">
        <v>50.68</v>
      </c>
      <c r="N1046">
        <v>19.54</v>
      </c>
      <c r="O1046" t="s">
        <v>25</v>
      </c>
      <c r="P1046" t="s">
        <v>21</v>
      </c>
      <c r="Q1046" t="s">
        <v>20</v>
      </c>
      <c r="R1046" t="str">
        <f>HYPERLINK("https://cfpub.epa.gov/ecotox/explore.cfm?ncbi=7108","Explore in ECOTOX")</f>
        <v>Explore in ECOTOX</v>
      </c>
    </row>
    <row r="1047" spans="1:18" x14ac:dyDescent="0.25">
      <c r="A1047">
        <v>6</v>
      </c>
      <c r="B1047" t="str">
        <f>HYPERLINK("http://www.ncbi.nlm.nih.gov/protein/CDJ85104.1","CDJ85104.1")</f>
        <v>CDJ85104.1</v>
      </c>
      <c r="C1047">
        <v>19619</v>
      </c>
      <c r="D1047" t="str">
        <f>HYPERLINK("http://www.ncbi.nlm.nih.gov/Taxonomy/Browser/wwwtax.cgi?mode=Info&amp;id=6289&amp;lvl=3&amp;lin=f&amp;keep=1&amp;srchmode=1&amp;unlock","6289")</f>
        <v>6289</v>
      </c>
      <c r="E1047" t="s">
        <v>869</v>
      </c>
      <c r="F1047" t="s">
        <v>869</v>
      </c>
      <c r="G1047" t="str">
        <f>HYPERLINK("http://www.ncbi.nlm.nih.gov/Taxonomy/Browser/wwwtax.cgi?mode=Info&amp;id=6289&amp;lvl=3&amp;lin=f&amp;keep=1&amp;srchmode=1&amp;unlock","Haemonchus contortus")</f>
        <v>Haemonchus contortus</v>
      </c>
      <c r="H1047" t="s">
        <v>934</v>
      </c>
      <c r="I1047" t="str">
        <f>HYPERLINK("http://www.ncbi.nlm.nih.gov/protein/CDJ85104.1","Lipocalin-related protein and Bos Can Equ allergen domain containing protein")</f>
        <v>Lipocalin-related protein and Bos Can Equ allergen domain containing protein</v>
      </c>
      <c r="J1047">
        <v>49.29</v>
      </c>
      <c r="K1047" t="s">
        <v>25</v>
      </c>
      <c r="L1047">
        <v>139</v>
      </c>
      <c r="M1047">
        <v>50.68</v>
      </c>
      <c r="N1047">
        <v>19.54</v>
      </c>
      <c r="O1047" t="s">
        <v>25</v>
      </c>
      <c r="P1047" t="s">
        <v>21</v>
      </c>
      <c r="Q1047" t="s">
        <v>20</v>
      </c>
      <c r="R1047" t="str">
        <f>HYPERLINK("https://cfpub.epa.gov/ecotox/explore.cfm?ncbi=6289","Explore in ECOTOX")</f>
        <v>Explore in ECOTOX</v>
      </c>
    </row>
    <row r="1048" spans="1:18" x14ac:dyDescent="0.25">
      <c r="A1048">
        <v>6</v>
      </c>
      <c r="B1048" t="str">
        <f>HYPERLINK("http://www.ncbi.nlm.nih.gov/protein/XP_017779730.1","XP_017779730.1")</f>
        <v>XP_017779730.1</v>
      </c>
      <c r="C1048">
        <v>19616</v>
      </c>
      <c r="D1048" t="str">
        <f>HYPERLINK("http://www.ncbi.nlm.nih.gov/Taxonomy/Browser/wwwtax.cgi?mode=Info&amp;id=110193&amp;lvl=3&amp;lin=f&amp;keep=1&amp;srchmode=1&amp;unlock","110193")</f>
        <v>110193</v>
      </c>
      <c r="E1048" t="s">
        <v>698</v>
      </c>
      <c r="F1048" t="s">
        <v>698</v>
      </c>
      <c r="G1048" t="str">
        <f>HYPERLINK("http://www.ncbi.nlm.nih.gov/Taxonomy/Browser/wwwtax.cgi?mode=Info&amp;id=110193&amp;lvl=3&amp;lin=f&amp;keep=1&amp;srchmode=1&amp;unlock","Nicrophorus vespilloides")</f>
        <v>Nicrophorus vespilloides</v>
      </c>
      <c r="H1048" t="s">
        <v>935</v>
      </c>
      <c r="I1048" t="str">
        <f>HYPERLINK("http://www.ncbi.nlm.nih.gov/protein/XP_017779730.1","PREDICTED: fatty acid-binding protein-like")</f>
        <v>PREDICTED: fatty acid-binding protein-like</v>
      </c>
      <c r="J1048">
        <v>49.29</v>
      </c>
      <c r="K1048" t="s">
        <v>25</v>
      </c>
      <c r="L1048">
        <v>139</v>
      </c>
      <c r="M1048">
        <v>50.68</v>
      </c>
      <c r="N1048">
        <v>19.54</v>
      </c>
      <c r="O1048" t="s">
        <v>25</v>
      </c>
      <c r="P1048" t="s">
        <v>21</v>
      </c>
      <c r="Q1048" t="s">
        <v>20</v>
      </c>
      <c r="R1048" t="str">
        <f>HYPERLINK("https://cfpub.epa.gov/ecotox/explore.cfm?ncbi=110193","Explore in ECOTOX")</f>
        <v>Explore in ECOTOX</v>
      </c>
    </row>
    <row r="1049" spans="1:18" x14ac:dyDescent="0.25">
      <c r="A1049">
        <v>6</v>
      </c>
      <c r="B1049" t="str">
        <f>HYPERLINK("http://www.ncbi.nlm.nih.gov/protein/AEZ53849.1","AEZ53849.1")</f>
        <v>AEZ53849.1</v>
      </c>
      <c r="C1049">
        <v>83</v>
      </c>
      <c r="D1049" t="str">
        <f>HYPERLINK("http://www.ncbi.nlm.nih.gov/Taxonomy/Browser/wwwtax.cgi?mode=Info&amp;id=233779&amp;lvl=3&amp;lin=f&amp;keep=1&amp;srchmode=1&amp;unlock","233779")</f>
        <v>233779</v>
      </c>
      <c r="E1049" t="s">
        <v>134</v>
      </c>
      <c r="F1049" t="s">
        <v>134</v>
      </c>
      <c r="G1049" t="str">
        <f>HYPERLINK("http://www.ncbi.nlm.nih.gov/Taxonomy/Browser/wwwtax.cgi?mode=Info&amp;id=233779&amp;lvl=3&amp;lin=f&amp;keep=1&amp;srchmode=1&amp;unlock","Spea bombifrons")</f>
        <v>Spea bombifrons</v>
      </c>
      <c r="H1049" t="s">
        <v>936</v>
      </c>
      <c r="I1049" t="str">
        <f>HYPERLINK("http://www.ncbi.nlm.nih.gov/protein/AEZ53849.1","retinol binding protein 1, cellular, partial")</f>
        <v>retinol binding protein 1, cellular, partial</v>
      </c>
      <c r="J1049">
        <v>48.91</v>
      </c>
      <c r="K1049" t="s">
        <v>25</v>
      </c>
      <c r="L1049">
        <v>139</v>
      </c>
      <c r="M1049">
        <v>50.68</v>
      </c>
      <c r="N1049">
        <v>19.38</v>
      </c>
      <c r="O1049" t="s">
        <v>20</v>
      </c>
      <c r="P1049" t="s">
        <v>21</v>
      </c>
      <c r="Q1049" t="s">
        <v>20</v>
      </c>
      <c r="R1049" t="str">
        <f>HYPERLINK("https://cfpub.epa.gov/ecotox/explore.cfm?ncbi=233779","Explore in ECOTOX")</f>
        <v>Explore in ECOTOX</v>
      </c>
    </row>
    <row r="1050" spans="1:18" x14ac:dyDescent="0.25">
      <c r="A1050">
        <v>6</v>
      </c>
      <c r="B1050" t="str">
        <f>HYPERLINK("http://www.ncbi.nlm.nih.gov/protein/XP_026754842.1","XP_026754842.1")</f>
        <v>XP_026754842.1</v>
      </c>
      <c r="C1050">
        <v>20714</v>
      </c>
      <c r="D1050" t="str">
        <f>HYPERLINK("http://www.ncbi.nlm.nih.gov/Taxonomy/Browser/wwwtax.cgi?mode=Info&amp;id=7137&amp;lvl=3&amp;lin=f&amp;keep=1&amp;srchmode=1&amp;unlock","7137")</f>
        <v>7137</v>
      </c>
      <c r="E1050" t="s">
        <v>698</v>
      </c>
      <c r="F1050" t="s">
        <v>698</v>
      </c>
      <c r="G1050" t="str">
        <f>HYPERLINK("http://www.ncbi.nlm.nih.gov/Taxonomy/Browser/wwwtax.cgi?mode=Info&amp;id=7137&amp;lvl=3&amp;lin=f&amp;keep=1&amp;srchmode=1&amp;unlock","Galleria mellonella")</f>
        <v>Galleria mellonella</v>
      </c>
      <c r="H1050" t="s">
        <v>937</v>
      </c>
      <c r="I1050" t="str">
        <f>HYPERLINK("http://www.ncbi.nlm.nih.gov/protein/XP_026754842.1","sodium/calcium exchanger regulatory protein 1")</f>
        <v>sodium/calcium exchanger regulatory protein 1</v>
      </c>
      <c r="J1050">
        <v>48.91</v>
      </c>
      <c r="K1050" t="s">
        <v>25</v>
      </c>
      <c r="L1050">
        <v>139</v>
      </c>
      <c r="M1050">
        <v>50.68</v>
      </c>
      <c r="N1050">
        <v>19.38</v>
      </c>
      <c r="O1050" t="s">
        <v>25</v>
      </c>
      <c r="P1050" t="s">
        <v>21</v>
      </c>
      <c r="Q1050" t="s">
        <v>20</v>
      </c>
      <c r="R1050" t="str">
        <f>HYPERLINK("https://cfpub.epa.gov/ecotox/explore.cfm?ncbi=7137","Explore in ECOTOX")</f>
        <v>Explore in ECOTOX</v>
      </c>
    </row>
    <row r="1051" spans="1:18" x14ac:dyDescent="0.25">
      <c r="A1051">
        <v>6</v>
      </c>
      <c r="B1051" t="str">
        <f>HYPERLINK("http://www.ncbi.nlm.nih.gov/protein/NP_001164131.1","NP_001164131.1")</f>
        <v>NP_001164131.1</v>
      </c>
      <c r="C1051">
        <v>42331</v>
      </c>
      <c r="D1051" t="str">
        <f>HYPERLINK("http://www.ncbi.nlm.nih.gov/Taxonomy/Browser/wwwtax.cgi?mode=Info&amp;id=7070&amp;lvl=3&amp;lin=f&amp;keep=1&amp;srchmode=1&amp;unlock","7070")</f>
        <v>7070</v>
      </c>
      <c r="E1051" t="s">
        <v>698</v>
      </c>
      <c r="F1051" t="s">
        <v>698</v>
      </c>
      <c r="G1051" t="str">
        <f>HYPERLINK("http://www.ncbi.nlm.nih.gov/Taxonomy/Browser/wwwtax.cgi?mode=Info&amp;id=7070&amp;lvl=3&amp;lin=f&amp;keep=1&amp;srchmode=1&amp;unlock","Tribolium castaneum")</f>
        <v>Tribolium castaneum</v>
      </c>
      <c r="H1051" t="s">
        <v>938</v>
      </c>
      <c r="I1051" t="str">
        <f>HYPERLINK("http://www.ncbi.nlm.nih.gov/protein/NP_001164131.1","cellular FABP-like protein isoform 2")</f>
        <v>cellular FABP-like protein isoform 2</v>
      </c>
      <c r="J1051">
        <v>48.91</v>
      </c>
      <c r="K1051" t="s">
        <v>25</v>
      </c>
      <c r="L1051">
        <v>139</v>
      </c>
      <c r="M1051">
        <v>50.68</v>
      </c>
      <c r="N1051">
        <v>19.38</v>
      </c>
      <c r="O1051" t="s">
        <v>25</v>
      </c>
      <c r="P1051" t="s">
        <v>21</v>
      </c>
      <c r="Q1051" t="s">
        <v>20</v>
      </c>
      <c r="R1051" t="str">
        <f>HYPERLINK("https://cfpub.epa.gov/ecotox/explore.cfm?ncbi=7070","Explore in ECOTOX")</f>
        <v>Explore in ECOTOX</v>
      </c>
    </row>
    <row r="1052" spans="1:18" x14ac:dyDescent="0.25">
      <c r="A1052">
        <v>6</v>
      </c>
      <c r="B1052" t="str">
        <f>HYPERLINK("http://www.ncbi.nlm.nih.gov/protein/KAF8569547.1","KAF8569547.1")</f>
        <v>KAF8569547.1</v>
      </c>
      <c r="C1052">
        <v>24986</v>
      </c>
      <c r="D1052" t="str">
        <f>HYPERLINK("http://www.ncbi.nlm.nih.gov/Taxonomy/Browser/wwwtax.cgi?mode=Info&amp;id=34504&amp;lvl=3&amp;lin=f&amp;keep=1&amp;srchmode=1&amp;unlock","34504")</f>
        <v>34504</v>
      </c>
      <c r="E1052" t="s">
        <v>793</v>
      </c>
      <c r="F1052" t="s">
        <v>793</v>
      </c>
      <c r="G1052" t="str">
        <f>HYPERLINK("http://www.ncbi.nlm.nih.gov/Taxonomy/Browser/wwwtax.cgi?mode=Info&amp;id=34504&amp;lvl=3&amp;lin=f&amp;keep=1&amp;srchmode=1&amp;unlock","Paragonimus westermani")</f>
        <v>Paragonimus westermani</v>
      </c>
      <c r="H1052" t="s">
        <v>897</v>
      </c>
      <c r="I1052" t="str">
        <f>HYPERLINK("http://www.ncbi.nlm.nih.gov/protein/KAF8569547.1","hypothetical protein P879_05587")</f>
        <v>hypothetical protein P879_05587</v>
      </c>
      <c r="J1052">
        <v>48.91</v>
      </c>
      <c r="K1052" t="s">
        <v>25</v>
      </c>
      <c r="L1052">
        <v>139</v>
      </c>
      <c r="M1052">
        <v>50.68</v>
      </c>
      <c r="N1052">
        <v>19.38</v>
      </c>
      <c r="O1052" t="s">
        <v>25</v>
      </c>
      <c r="P1052" t="s">
        <v>21</v>
      </c>
      <c r="Q1052" t="s">
        <v>20</v>
      </c>
      <c r="R1052" t="str">
        <f>HYPERLINK("https://cfpub.epa.gov/ecotox/explore.cfm?ncbi=34504","Explore in ECOTOX")</f>
        <v>Explore in ECOTOX</v>
      </c>
    </row>
    <row r="1053" spans="1:18" x14ac:dyDescent="0.25">
      <c r="A1053">
        <v>6</v>
      </c>
      <c r="B1053" t="str">
        <f>HYPERLINK("http://www.ncbi.nlm.nih.gov/protein/XP_011189615.1","XP_011189615.1")</f>
        <v>XP_011189615.1</v>
      </c>
      <c r="C1053">
        <v>24845</v>
      </c>
      <c r="D1053" t="str">
        <f>HYPERLINK("http://www.ncbi.nlm.nih.gov/Taxonomy/Browser/wwwtax.cgi?mode=Info&amp;id=28588&amp;lvl=3&amp;lin=f&amp;keep=1&amp;srchmode=1&amp;unlock","28588")</f>
        <v>28588</v>
      </c>
      <c r="E1053" t="s">
        <v>698</v>
      </c>
      <c r="F1053" t="s">
        <v>698</v>
      </c>
      <c r="G1053" t="str">
        <f>HYPERLINK("http://www.ncbi.nlm.nih.gov/Taxonomy/Browser/wwwtax.cgi?mode=Info&amp;id=28588&amp;lvl=3&amp;lin=f&amp;keep=1&amp;srchmode=1&amp;unlock","Zeugodacus cucurbitae")</f>
        <v>Zeugodacus cucurbitae</v>
      </c>
      <c r="H1053" t="s">
        <v>939</v>
      </c>
      <c r="I1053" t="str">
        <f>HYPERLINK("http://www.ncbi.nlm.nih.gov/protein/XP_011189615.1","probable fatty acid-binding protein")</f>
        <v>probable fatty acid-binding protein</v>
      </c>
      <c r="J1053">
        <v>48.52</v>
      </c>
      <c r="K1053" t="s">
        <v>25</v>
      </c>
      <c r="L1053">
        <v>139</v>
      </c>
      <c r="M1053">
        <v>50.68</v>
      </c>
      <c r="N1053">
        <v>19.23</v>
      </c>
      <c r="O1053" t="s">
        <v>25</v>
      </c>
      <c r="P1053" t="s">
        <v>21</v>
      </c>
      <c r="Q1053" t="s">
        <v>20</v>
      </c>
      <c r="R1053" t="str">
        <f>HYPERLINK("https://cfpub.epa.gov/ecotox/explore.cfm?ncbi=28588","Explore in ECOTOX")</f>
        <v>Explore in ECOTOX</v>
      </c>
    </row>
    <row r="1054" spans="1:18" x14ac:dyDescent="0.25">
      <c r="A1054">
        <v>6</v>
      </c>
      <c r="B1054" t="str">
        <f>HYPERLINK("http://www.ncbi.nlm.nih.gov/protein/BAF02663.1","BAF02663.1")</f>
        <v>BAF02663.1</v>
      </c>
      <c r="C1054">
        <v>89</v>
      </c>
      <c r="D1054" t="str">
        <f>HYPERLINK("http://www.ncbi.nlm.nih.gov/Taxonomy/Browser/wwwtax.cgi?mode=Info&amp;id=55055&amp;lvl=3&amp;lin=f&amp;keep=1&amp;srchmode=1&amp;unlock","55055")</f>
        <v>55055</v>
      </c>
      <c r="E1054" t="s">
        <v>698</v>
      </c>
      <c r="F1054" t="s">
        <v>698</v>
      </c>
      <c r="G1054" t="str">
        <f>HYPERLINK("http://www.ncbi.nlm.nih.gov/Taxonomy/Browser/wwwtax.cgi?mode=Info&amp;id=55055&amp;lvl=3&amp;lin=f&amp;keep=1&amp;srchmode=1&amp;unlock","Agrius convolvuli")</f>
        <v>Agrius convolvuli</v>
      </c>
      <c r="H1054" t="s">
        <v>940</v>
      </c>
      <c r="I1054" t="str">
        <f>HYPERLINK("http://www.ncbi.nlm.nih.gov/protein/BAF02663.1","cellular retinoic acid binding protein")</f>
        <v>cellular retinoic acid binding protein</v>
      </c>
      <c r="J1054">
        <v>48.52</v>
      </c>
      <c r="K1054" t="s">
        <v>25</v>
      </c>
      <c r="L1054">
        <v>139</v>
      </c>
      <c r="M1054">
        <v>50.68</v>
      </c>
      <c r="N1054">
        <v>19.23</v>
      </c>
      <c r="O1054" t="s">
        <v>25</v>
      </c>
      <c r="P1054" t="s">
        <v>21</v>
      </c>
      <c r="Q1054" t="s">
        <v>20</v>
      </c>
      <c r="R1054" t="str">
        <f>HYPERLINK("https://cfpub.epa.gov/ecotox/explore.cfm?ncbi=55055","Explore in ECOTOX")</f>
        <v>Explore in ECOTOX</v>
      </c>
    </row>
    <row r="1055" spans="1:18" x14ac:dyDescent="0.25">
      <c r="A1055">
        <v>6</v>
      </c>
      <c r="B1055" t="str">
        <f>HYPERLINK("http://www.ncbi.nlm.nih.gov/protein/KAF7988619.1","KAF7988619.1")</f>
        <v>KAF7988619.1</v>
      </c>
      <c r="C1055">
        <v>11719</v>
      </c>
      <c r="D1055" t="str">
        <f>HYPERLINK("http://www.ncbi.nlm.nih.gov/Taxonomy/Browser/wwwtax.cgi?mode=Info&amp;id=684658&amp;lvl=3&amp;lin=f&amp;keep=1&amp;srchmode=1&amp;unlock","684658")</f>
        <v>684658</v>
      </c>
      <c r="E1055" t="s">
        <v>698</v>
      </c>
      <c r="F1055" t="s">
        <v>698</v>
      </c>
      <c r="G1055" t="str">
        <f>HYPERLINK("http://www.ncbi.nlm.nih.gov/Taxonomy/Browser/wwwtax.cgi?mode=Info&amp;id=684658&amp;lvl=3&amp;lin=f&amp;keep=1&amp;srchmode=1&amp;unlock","Aphidius gifuensis")</f>
        <v>Aphidius gifuensis</v>
      </c>
      <c r="H1055" t="s">
        <v>755</v>
      </c>
      <c r="I1055" t="str">
        <f>HYPERLINK("http://www.ncbi.nlm.nih.gov/protein/KAF7988619.1","hypothetical protein HCN44_001192")</f>
        <v>hypothetical protein HCN44_001192</v>
      </c>
      <c r="J1055">
        <v>48.14</v>
      </c>
      <c r="K1055" t="s">
        <v>25</v>
      </c>
      <c r="L1055">
        <v>139</v>
      </c>
      <c r="M1055">
        <v>50.68</v>
      </c>
      <c r="N1055">
        <v>19.079999999999998</v>
      </c>
      <c r="O1055" t="s">
        <v>25</v>
      </c>
      <c r="P1055" t="s">
        <v>21</v>
      </c>
      <c r="Q1055" t="s">
        <v>20</v>
      </c>
      <c r="R1055" t="str">
        <f>HYPERLINK("https://cfpub.epa.gov/ecotox/explore.cfm?ncbi=684658","Explore in ECOTOX")</f>
        <v>Explore in ECOTOX</v>
      </c>
    </row>
    <row r="1056" spans="1:18" x14ac:dyDescent="0.25">
      <c r="A1056">
        <v>6</v>
      </c>
      <c r="B1056" t="str">
        <f>HYPERLINK("http://www.ncbi.nlm.nih.gov/protein/VVC95315.1","VVC95315.1")</f>
        <v>VVC95315.1</v>
      </c>
      <c r="C1056">
        <v>20060</v>
      </c>
      <c r="D1056" t="str">
        <f>HYPERLINK("http://www.ncbi.nlm.nih.gov/Taxonomy/Browser/wwwtax.cgi?mode=Info&amp;id=189913&amp;lvl=3&amp;lin=f&amp;keep=1&amp;srchmode=1&amp;unlock","189913")</f>
        <v>189913</v>
      </c>
      <c r="E1056" t="s">
        <v>698</v>
      </c>
      <c r="F1056" t="s">
        <v>698</v>
      </c>
      <c r="G1056" t="str">
        <f>HYPERLINK("http://www.ncbi.nlm.nih.gov/Taxonomy/Browser/wwwtax.cgi?mode=Info&amp;id=189913&amp;lvl=3&amp;lin=f&amp;keep=1&amp;srchmode=1&amp;unlock","Leptidea sinapis")</f>
        <v>Leptidea sinapis</v>
      </c>
      <c r="H1056" t="s">
        <v>941</v>
      </c>
      <c r="I1056" t="str">
        <f>HYPERLINK("http://www.ncbi.nlm.nih.gov/protein/VVC95315.1","unnamed protein product")</f>
        <v>unnamed protein product</v>
      </c>
      <c r="J1056">
        <v>48.14</v>
      </c>
      <c r="K1056" t="s">
        <v>25</v>
      </c>
      <c r="L1056">
        <v>139</v>
      </c>
      <c r="M1056">
        <v>50.68</v>
      </c>
      <c r="N1056">
        <v>19.079999999999998</v>
      </c>
      <c r="O1056" t="s">
        <v>25</v>
      </c>
      <c r="P1056" t="s">
        <v>21</v>
      </c>
      <c r="Q1056" t="s">
        <v>20</v>
      </c>
      <c r="R1056" t="str">
        <f>HYPERLINK("https://cfpub.epa.gov/ecotox/explore.cfm?ncbi=189913","Explore in ECOTOX")</f>
        <v>Explore in ECOTOX</v>
      </c>
    </row>
    <row r="1057" spans="1:18" x14ac:dyDescent="0.25">
      <c r="A1057">
        <v>6</v>
      </c>
      <c r="B1057" t="str">
        <f>HYPERLINK("http://www.ncbi.nlm.nih.gov/protein/AEM37665.1","AEM37665.1")</f>
        <v>AEM37665.1</v>
      </c>
      <c r="C1057">
        <v>319</v>
      </c>
      <c r="D1057" t="str">
        <f>HYPERLINK("http://www.ncbi.nlm.nih.gov/Taxonomy/Browser/wwwtax.cgi?mode=Info&amp;id=323802&amp;lvl=3&amp;lin=f&amp;keep=1&amp;srchmode=1&amp;unlock","323802")</f>
        <v>323802</v>
      </c>
      <c r="E1057" t="s">
        <v>384</v>
      </c>
      <c r="F1057" t="s">
        <v>384</v>
      </c>
      <c r="G1057" t="str">
        <f>HYPERLINK("http://www.ncbi.nlm.nih.gov/Taxonomy/Browser/wwwtax.cgi?mode=Info&amp;id=323802&amp;lvl=3&amp;lin=f&amp;keep=1&amp;srchmode=1&amp;unlock","Epinephelus bruneus")</f>
        <v>Epinephelus bruneus</v>
      </c>
      <c r="H1057" t="s">
        <v>942</v>
      </c>
      <c r="I1057" t="str">
        <f>HYPERLINK("http://www.ncbi.nlm.nih.gov/protein/AEM37665.1","cellular retinol-binding protein type II, partial")</f>
        <v>cellular retinol-binding protein type II, partial</v>
      </c>
      <c r="J1057">
        <v>48.14</v>
      </c>
      <c r="K1057" t="s">
        <v>25</v>
      </c>
      <c r="L1057">
        <v>139</v>
      </c>
      <c r="M1057">
        <v>50.68</v>
      </c>
      <c r="N1057">
        <v>19.079999999999998</v>
      </c>
      <c r="O1057" t="s">
        <v>20</v>
      </c>
      <c r="P1057" t="s">
        <v>21</v>
      </c>
      <c r="Q1057" t="s">
        <v>20</v>
      </c>
      <c r="R1057" t="str">
        <f>HYPERLINK("https://cfpub.epa.gov/ecotox/explore.cfm?ncbi=323802","Explore in ECOTOX")</f>
        <v>Explore in ECOTOX</v>
      </c>
    </row>
    <row r="1058" spans="1:18" x14ac:dyDescent="0.25">
      <c r="A1058">
        <v>6</v>
      </c>
      <c r="B1058" t="str">
        <f>HYPERLINK("http://www.ncbi.nlm.nih.gov/protein/AEZ53850.1","AEZ53850.1")</f>
        <v>AEZ53850.1</v>
      </c>
      <c r="C1058">
        <v>168</v>
      </c>
      <c r="D1058" t="str">
        <f>HYPERLINK("http://www.ncbi.nlm.nih.gov/Taxonomy/Browser/wwwtax.cgi?mode=Info&amp;id=30317&amp;lvl=3&amp;lin=f&amp;keep=1&amp;srchmode=1&amp;unlock","30317")</f>
        <v>30317</v>
      </c>
      <c r="E1058" t="s">
        <v>134</v>
      </c>
      <c r="F1058" t="s">
        <v>134</v>
      </c>
      <c r="G1058" t="str">
        <f>HYPERLINK("http://www.ncbi.nlm.nih.gov/Taxonomy/Browser/wwwtax.cgi?mode=Info&amp;id=30317&amp;lvl=3&amp;lin=f&amp;keep=1&amp;srchmode=1&amp;unlock","Spea multiplicata")</f>
        <v>Spea multiplicata</v>
      </c>
      <c r="H1058" t="s">
        <v>943</v>
      </c>
      <c r="I1058" t="str">
        <f>HYPERLINK("http://www.ncbi.nlm.nih.gov/protein/AEZ53850.1","retinol binding protein 1, cellular, partial")</f>
        <v>retinol binding protein 1, cellular, partial</v>
      </c>
      <c r="J1058">
        <v>48.14</v>
      </c>
      <c r="K1058" t="s">
        <v>25</v>
      </c>
      <c r="L1058">
        <v>139</v>
      </c>
      <c r="M1058">
        <v>50.68</v>
      </c>
      <c r="N1058">
        <v>19.079999999999998</v>
      </c>
      <c r="O1058" t="s">
        <v>20</v>
      </c>
      <c r="P1058" t="s">
        <v>21</v>
      </c>
      <c r="Q1058" t="s">
        <v>20</v>
      </c>
      <c r="R1058" t="str">
        <f>HYPERLINK("https://cfpub.epa.gov/ecotox/explore.cfm?ncbi=30317","Explore in ECOTOX")</f>
        <v>Explore in ECOTOX</v>
      </c>
    </row>
    <row r="1059" spans="1:18" x14ac:dyDescent="0.25">
      <c r="A1059">
        <v>6</v>
      </c>
      <c r="B1059" t="str">
        <f>HYPERLINK("http://www.ncbi.nlm.nih.gov/protein/PAV75850.1","PAV75850.1")</f>
        <v>PAV75850.1</v>
      </c>
      <c r="C1059">
        <v>38237</v>
      </c>
      <c r="D1059" t="str">
        <f>HYPERLINK("http://www.ncbi.nlm.nih.gov/Taxonomy/Browser/wwwtax.cgi?mode=Info&amp;id=2018661&amp;lvl=3&amp;lin=f&amp;keep=1&amp;srchmode=1&amp;unlock","2018661")</f>
        <v>2018661</v>
      </c>
      <c r="E1059" t="s">
        <v>869</v>
      </c>
      <c r="F1059" t="s">
        <v>869</v>
      </c>
      <c r="G1059" t="str">
        <f>HYPERLINK("http://www.ncbi.nlm.nih.gov/Taxonomy/Browser/wwwtax.cgi?mode=Info&amp;id=2018661&amp;lvl=3&amp;lin=f&amp;keep=1&amp;srchmode=1&amp;unlock","Diploscapter pachys")</f>
        <v>Diploscapter pachys</v>
      </c>
      <c r="H1059" t="s">
        <v>803</v>
      </c>
      <c r="I1059" t="str">
        <f>HYPERLINK("http://www.ncbi.nlm.nih.gov/protein/PAV75850.1","hypothetical protein WR25_14148")</f>
        <v>hypothetical protein WR25_14148</v>
      </c>
      <c r="J1059">
        <v>48.14</v>
      </c>
      <c r="K1059" t="s">
        <v>25</v>
      </c>
      <c r="L1059">
        <v>139</v>
      </c>
      <c r="M1059">
        <v>50.68</v>
      </c>
      <c r="N1059">
        <v>19.079999999999998</v>
      </c>
      <c r="O1059" t="s">
        <v>25</v>
      </c>
      <c r="P1059" t="s">
        <v>21</v>
      </c>
      <c r="Q1059" t="s">
        <v>20</v>
      </c>
      <c r="R1059" t="str">
        <f>HYPERLINK("https://cfpub.epa.gov/ecotox/explore.cfm?ncbi=2018661","Explore in ECOTOX")</f>
        <v>Explore in ECOTOX</v>
      </c>
    </row>
    <row r="1060" spans="1:18" x14ac:dyDescent="0.25">
      <c r="A1060">
        <v>6</v>
      </c>
      <c r="B1060" t="str">
        <f>HYPERLINK("http://www.ncbi.nlm.nih.gov/protein/NP_001027180.1","NP_001027180.1")</f>
        <v>NP_001027180.1</v>
      </c>
      <c r="C1060">
        <v>112894</v>
      </c>
      <c r="D1060" t="str">
        <f>HYPERLINK("http://www.ncbi.nlm.nih.gov/Taxonomy/Browser/wwwtax.cgi?mode=Info&amp;id=7227&amp;lvl=3&amp;lin=f&amp;keep=1&amp;srchmode=1&amp;unlock","7227")</f>
        <v>7227</v>
      </c>
      <c r="E1060" t="s">
        <v>698</v>
      </c>
      <c r="F1060" t="s">
        <v>698</v>
      </c>
      <c r="G1060" t="str">
        <f>HYPERLINK("http://www.ncbi.nlm.nih.gov/Taxonomy/Browser/wwwtax.cgi?mode=Info&amp;id=7227&amp;lvl=3&amp;lin=f&amp;keep=1&amp;srchmode=1&amp;unlock","Drosophila melanogaster")</f>
        <v>Drosophila melanogaster</v>
      </c>
      <c r="H1060" t="s">
        <v>944</v>
      </c>
      <c r="I1060" t="str">
        <f>HYPERLINK("http://www.ncbi.nlm.nih.gov/protein/NP_001027180.1","fatty acid binding protein, isoform B")</f>
        <v>fatty acid binding protein, isoform B</v>
      </c>
      <c r="J1060">
        <v>47.75</v>
      </c>
      <c r="K1060" t="s">
        <v>25</v>
      </c>
      <c r="L1060">
        <v>139</v>
      </c>
      <c r="M1060">
        <v>50.68</v>
      </c>
      <c r="N1060">
        <v>18.93</v>
      </c>
      <c r="O1060" t="s">
        <v>25</v>
      </c>
      <c r="P1060" t="s">
        <v>21</v>
      </c>
      <c r="Q1060" t="s">
        <v>20</v>
      </c>
      <c r="R1060" t="str">
        <f>HYPERLINK("https://cfpub.epa.gov/ecotox/explore.cfm?ncbi=7227","Explore in ECOTOX")</f>
        <v>Explore in ECOTOX</v>
      </c>
    </row>
    <row r="1061" spans="1:18" x14ac:dyDescent="0.25">
      <c r="A1061">
        <v>6</v>
      </c>
      <c r="B1061" t="str">
        <f>HYPERLINK("http://www.ncbi.nlm.nih.gov/protein/XP_008553732.1","XP_008553732.1")</f>
        <v>XP_008553732.1</v>
      </c>
      <c r="C1061">
        <v>18603</v>
      </c>
      <c r="D1061" t="str">
        <f>HYPERLINK("http://www.ncbi.nlm.nih.gov/Taxonomy/Browser/wwwtax.cgi?mode=Info&amp;id=69319&amp;lvl=3&amp;lin=f&amp;keep=1&amp;srchmode=1&amp;unlock","69319")</f>
        <v>69319</v>
      </c>
      <c r="E1061" t="s">
        <v>698</v>
      </c>
      <c r="F1061" t="s">
        <v>698</v>
      </c>
      <c r="G1061" t="str">
        <f>HYPERLINK("http://www.ncbi.nlm.nih.gov/Taxonomy/Browser/wwwtax.cgi?mode=Info&amp;id=69319&amp;lvl=3&amp;lin=f&amp;keep=1&amp;srchmode=1&amp;unlock","Microplitis demolitor")</f>
        <v>Microplitis demolitor</v>
      </c>
      <c r="H1061" t="s">
        <v>755</v>
      </c>
      <c r="I1061" t="str">
        <f>HYPERLINK("http://www.ncbi.nlm.nih.gov/protein/XP_008553732.1","PREDICTED: fatty acid-binding protein, muscle")</f>
        <v>PREDICTED: fatty acid-binding protein, muscle</v>
      </c>
      <c r="J1061">
        <v>47.75</v>
      </c>
      <c r="K1061" t="s">
        <v>25</v>
      </c>
      <c r="L1061">
        <v>139</v>
      </c>
      <c r="M1061">
        <v>50.68</v>
      </c>
      <c r="N1061">
        <v>18.93</v>
      </c>
      <c r="O1061" t="s">
        <v>25</v>
      </c>
      <c r="P1061" t="s">
        <v>21</v>
      </c>
      <c r="Q1061" t="s">
        <v>20</v>
      </c>
      <c r="R1061" t="str">
        <f>HYPERLINK("https://cfpub.epa.gov/ecotox/explore.cfm?ncbi=69319","Explore in ECOTOX")</f>
        <v>Explore in ECOTOX</v>
      </c>
    </row>
    <row r="1062" spans="1:18" x14ac:dyDescent="0.25">
      <c r="A1062">
        <v>6</v>
      </c>
      <c r="B1062" t="str">
        <f>HYPERLINK("http://www.ncbi.nlm.nih.gov/protein/XP_017018623.1","XP_017018623.1")</f>
        <v>XP_017018623.1</v>
      </c>
      <c r="C1062">
        <v>22493</v>
      </c>
      <c r="D1062" t="str">
        <f>HYPERLINK("http://www.ncbi.nlm.nih.gov/Taxonomy/Browser/wwwtax.cgi?mode=Info&amp;id=30033&amp;lvl=3&amp;lin=f&amp;keep=1&amp;srchmode=1&amp;unlock","30033")</f>
        <v>30033</v>
      </c>
      <c r="E1062" t="s">
        <v>698</v>
      </c>
      <c r="F1062" t="s">
        <v>698</v>
      </c>
      <c r="G1062" t="str">
        <f>HYPERLINK("http://www.ncbi.nlm.nih.gov/Taxonomy/Browser/wwwtax.cgi?mode=Info&amp;id=30033&amp;lvl=3&amp;lin=f&amp;keep=1&amp;srchmode=1&amp;unlock","Drosophila kikkawai")</f>
        <v>Drosophila kikkawai</v>
      </c>
      <c r="H1062" t="s">
        <v>753</v>
      </c>
      <c r="I1062" t="str">
        <f>HYPERLINK("http://www.ncbi.nlm.nih.gov/protein/XP_017018623.1","PREDICTED: fatty acid-binding protein, muscle")</f>
        <v>PREDICTED: fatty acid-binding protein, muscle</v>
      </c>
      <c r="J1062">
        <v>47.75</v>
      </c>
      <c r="K1062" t="s">
        <v>25</v>
      </c>
      <c r="L1062">
        <v>139</v>
      </c>
      <c r="M1062">
        <v>50.68</v>
      </c>
      <c r="N1062">
        <v>18.93</v>
      </c>
      <c r="O1062" t="s">
        <v>25</v>
      </c>
      <c r="P1062" t="s">
        <v>21</v>
      </c>
      <c r="Q1062" t="s">
        <v>20</v>
      </c>
      <c r="R1062" t="str">
        <f>HYPERLINK("https://cfpub.epa.gov/ecotox/explore.cfm?ncbi=30033","Explore in ECOTOX")</f>
        <v>Explore in ECOTOX</v>
      </c>
    </row>
    <row r="1063" spans="1:18" x14ac:dyDescent="0.25">
      <c r="A1063">
        <v>6</v>
      </c>
      <c r="B1063" t="str">
        <f>HYPERLINK("http://www.ncbi.nlm.nih.gov/protein/CAD5153588.1","CAD5153588.1")</f>
        <v>CAD5153588.1</v>
      </c>
      <c r="C1063">
        <v>32225</v>
      </c>
      <c r="D1063" t="str">
        <f>HYPERLINK("http://www.ncbi.nlm.nih.gov/Taxonomy/Browser/wwwtax.cgi?mode=Info&amp;id=6326&amp;lvl=3&amp;lin=f&amp;keep=1&amp;srchmode=1&amp;unlock","6326")</f>
        <v>6326</v>
      </c>
      <c r="E1063" t="s">
        <v>869</v>
      </c>
      <c r="F1063" t="s">
        <v>869</v>
      </c>
      <c r="G1063" t="str">
        <f>HYPERLINK("http://www.ncbi.nlm.nih.gov/Taxonomy/Browser/wwwtax.cgi?mode=Info&amp;id=6326&amp;lvl=3&amp;lin=f&amp;keep=1&amp;srchmode=1&amp;unlock","Bursaphelenchus xylophilus")</f>
        <v>Bursaphelenchus xylophilus</v>
      </c>
      <c r="H1063" t="s">
        <v>945</v>
      </c>
      <c r="I1063" t="str">
        <f>HYPERLINK("http://www.ncbi.nlm.nih.gov/protein/CAD5153588.1","unnamed protein product")</f>
        <v>unnamed protein product</v>
      </c>
      <c r="J1063">
        <v>47.75</v>
      </c>
      <c r="K1063" t="s">
        <v>25</v>
      </c>
      <c r="L1063">
        <v>139</v>
      </c>
      <c r="M1063">
        <v>50.68</v>
      </c>
      <c r="N1063">
        <v>18.93</v>
      </c>
      <c r="O1063" t="s">
        <v>25</v>
      </c>
      <c r="P1063" t="s">
        <v>21</v>
      </c>
      <c r="Q1063" t="s">
        <v>20</v>
      </c>
      <c r="R1063" t="str">
        <f>HYPERLINK("https://cfpub.epa.gov/ecotox/explore.cfm?ncbi=6326","Explore in ECOTOX")</f>
        <v>Explore in ECOTOX</v>
      </c>
    </row>
    <row r="1064" spans="1:18" x14ac:dyDescent="0.25">
      <c r="A1064">
        <v>6</v>
      </c>
      <c r="B1064" t="str">
        <f>HYPERLINK("http://www.ncbi.nlm.nih.gov/protein/XP_025092779.1","XP_025092779.1")</f>
        <v>XP_025092779.1</v>
      </c>
      <c r="C1064">
        <v>62143</v>
      </c>
      <c r="D1064" t="str">
        <f>HYPERLINK("http://www.ncbi.nlm.nih.gov/Taxonomy/Browser/wwwtax.cgi?mode=Info&amp;id=400727&amp;lvl=3&amp;lin=f&amp;keep=1&amp;srchmode=1&amp;unlock","400727")</f>
        <v>400727</v>
      </c>
      <c r="E1064" t="s">
        <v>763</v>
      </c>
      <c r="F1064" t="s">
        <v>763</v>
      </c>
      <c r="G1064" t="str">
        <f>HYPERLINK("http://www.ncbi.nlm.nih.gov/Taxonomy/Browser/wwwtax.cgi?mode=Info&amp;id=400727&amp;lvl=3&amp;lin=f&amp;keep=1&amp;srchmode=1&amp;unlock","Pomacea canaliculata")</f>
        <v>Pomacea canaliculata</v>
      </c>
      <c r="H1064" t="s">
        <v>946</v>
      </c>
      <c r="I1064" t="str">
        <f>HYPERLINK("http://www.ncbi.nlm.nih.gov/protein/XP_025092779.1","fatty acid-binding protein, heart-like")</f>
        <v>fatty acid-binding protein, heart-like</v>
      </c>
      <c r="J1064">
        <v>47.37</v>
      </c>
      <c r="K1064" t="s">
        <v>25</v>
      </c>
      <c r="L1064">
        <v>139</v>
      </c>
      <c r="M1064">
        <v>50.68</v>
      </c>
      <c r="N1064">
        <v>18.77</v>
      </c>
      <c r="O1064" t="s">
        <v>25</v>
      </c>
      <c r="P1064" t="s">
        <v>21</v>
      </c>
      <c r="Q1064" t="s">
        <v>20</v>
      </c>
      <c r="R1064" t="str">
        <f>HYPERLINK("https://cfpub.epa.gov/ecotox/explore.cfm?ncbi=400727","Explore in ECOTOX")</f>
        <v>Explore in ECOTOX</v>
      </c>
    </row>
    <row r="1065" spans="1:18" x14ac:dyDescent="0.25">
      <c r="A1065">
        <v>6</v>
      </c>
      <c r="B1065" t="str">
        <f>HYPERLINK("http://www.ncbi.nlm.nih.gov/protein/VZI02743.1","VZI02743.1")</f>
        <v>VZI02743.1</v>
      </c>
      <c r="C1065">
        <v>28571</v>
      </c>
      <c r="D1065" t="str">
        <f>HYPERLINK("http://www.ncbi.nlm.nih.gov/Taxonomy/Browser/wwwtax.cgi?mode=Info&amp;id=99802&amp;lvl=3&amp;lin=f&amp;keep=1&amp;srchmode=1&amp;unlock","99802")</f>
        <v>99802</v>
      </c>
      <c r="E1065" t="s">
        <v>907</v>
      </c>
      <c r="F1065" t="s">
        <v>907</v>
      </c>
      <c r="G1065" t="str">
        <f>HYPERLINK("http://www.ncbi.nlm.nih.gov/Taxonomy/Browser/wwwtax.cgi?mode=Info&amp;id=99802&amp;lvl=3&amp;lin=f&amp;keep=1&amp;srchmode=1&amp;unlock","Spirometra erinaceieuropaei")</f>
        <v>Spirometra erinaceieuropaei</v>
      </c>
      <c r="H1065" t="s">
        <v>908</v>
      </c>
      <c r="I1065" t="str">
        <f>HYPERLINK("http://www.ncbi.nlm.nih.gov/protein/VZI02743.1","unnamed protein product")</f>
        <v>unnamed protein product</v>
      </c>
      <c r="J1065">
        <v>47.37</v>
      </c>
      <c r="K1065" t="s">
        <v>25</v>
      </c>
      <c r="L1065">
        <v>139</v>
      </c>
      <c r="M1065">
        <v>50.68</v>
      </c>
      <c r="N1065">
        <v>18.77</v>
      </c>
      <c r="O1065" t="s">
        <v>25</v>
      </c>
      <c r="P1065" t="s">
        <v>21</v>
      </c>
      <c r="Q1065" t="s">
        <v>20</v>
      </c>
      <c r="R1065" t="str">
        <f>HYPERLINK("https://cfpub.epa.gov/ecotox/explore.cfm?ncbi=99802","Explore in ECOTOX")</f>
        <v>Explore in ECOTOX</v>
      </c>
    </row>
    <row r="1066" spans="1:18" x14ac:dyDescent="0.25">
      <c r="A1066">
        <v>6</v>
      </c>
      <c r="B1066" t="str">
        <f>HYPERLINK("http://www.ncbi.nlm.nih.gov/protein/KAE9549890.1","KAE9549890.1")</f>
        <v>KAE9549890.1</v>
      </c>
      <c r="C1066">
        <v>10997</v>
      </c>
      <c r="D1066" t="str">
        <f>HYPERLINK("http://www.ncbi.nlm.nih.gov/Taxonomy/Browser/wwwtax.cgi?mode=Info&amp;id=2598192&amp;lvl=3&amp;lin=f&amp;keep=1&amp;srchmode=1&amp;unlock","2598192")</f>
        <v>2598192</v>
      </c>
      <c r="E1066" t="s">
        <v>869</v>
      </c>
      <c r="F1066" t="s">
        <v>869</v>
      </c>
      <c r="G1066" t="str">
        <f>HYPERLINK("http://www.ncbi.nlm.nih.gov/Taxonomy/Browser/wwwtax.cgi?mode=Info&amp;id=2598192&amp;lvl=3&amp;lin=f&amp;keep=1&amp;srchmode=1&amp;unlock","Halicephalobus sp. NKZ332")</f>
        <v>Halicephalobus sp. NKZ332</v>
      </c>
      <c r="H1066" t="s">
        <v>803</v>
      </c>
      <c r="I1066" t="str">
        <f>HYPERLINK("http://www.ncbi.nlm.nih.gov/protein/KAE9549890.1","hypothetical protein FO519_006895")</f>
        <v>hypothetical protein FO519_006895</v>
      </c>
      <c r="J1066">
        <v>47.37</v>
      </c>
      <c r="K1066" t="s">
        <v>25</v>
      </c>
      <c r="L1066">
        <v>139</v>
      </c>
      <c r="M1066">
        <v>50.68</v>
      </c>
      <c r="N1066">
        <v>18.77</v>
      </c>
      <c r="O1066" t="s">
        <v>25</v>
      </c>
      <c r="P1066" t="s">
        <v>21</v>
      </c>
      <c r="Q1066" t="s">
        <v>20</v>
      </c>
      <c r="R1066" t="str">
        <f>HYPERLINK("https://cfpub.epa.gov/ecotox/explore.cfm?ncbi=2598192","Explore in ECOTOX")</f>
        <v>Explore in ECOTOX</v>
      </c>
    </row>
    <row r="1067" spans="1:18" x14ac:dyDescent="0.25">
      <c r="A1067">
        <v>6</v>
      </c>
      <c r="B1067" t="str">
        <f>HYPERLINK("http://www.ncbi.nlm.nih.gov/protein/CAD6213163.1","CAD6213163.1")</f>
        <v>CAD6213163.1</v>
      </c>
      <c r="C1067">
        <v>13971</v>
      </c>
      <c r="D1067" t="str">
        <f>HYPERLINK("http://www.ncbi.nlm.nih.gov/Taxonomy/Browser/wwwtax.cgi?mode=Info&amp;id=51543&amp;lvl=3&amp;lin=f&amp;keep=1&amp;srchmode=1&amp;unlock","51543")</f>
        <v>51543</v>
      </c>
      <c r="E1067" t="s">
        <v>698</v>
      </c>
      <c r="F1067" t="s">
        <v>698</v>
      </c>
      <c r="G1067" t="str">
        <f>HYPERLINK("http://www.ncbi.nlm.nih.gov/Taxonomy/Browser/wwwtax.cgi?mode=Info&amp;id=51543&amp;lvl=3&amp;lin=f&amp;keep=1&amp;srchmode=1&amp;unlock","Cotesia congregata")</f>
        <v>Cotesia congregata</v>
      </c>
      <c r="H1067" t="s">
        <v>755</v>
      </c>
      <c r="I1067" t="str">
        <f>HYPERLINK("http://www.ncbi.nlm.nih.gov/protein/CAD6213163.1","GSCOCG00003945001-RA-CDS")</f>
        <v>GSCOCG00003945001-RA-CDS</v>
      </c>
      <c r="J1067">
        <v>47.37</v>
      </c>
      <c r="K1067" t="s">
        <v>25</v>
      </c>
      <c r="L1067">
        <v>139</v>
      </c>
      <c r="M1067">
        <v>50.68</v>
      </c>
      <c r="N1067">
        <v>18.77</v>
      </c>
      <c r="O1067" t="s">
        <v>25</v>
      </c>
      <c r="P1067" t="s">
        <v>21</v>
      </c>
      <c r="Q1067" t="s">
        <v>20</v>
      </c>
      <c r="R1067" t="str">
        <f>HYPERLINK("https://cfpub.epa.gov/ecotox/explore.cfm?ncbi=51543","Explore in ECOTOX")</f>
        <v>Explore in ECOTOX</v>
      </c>
    </row>
    <row r="1068" spans="1:18" x14ac:dyDescent="0.25">
      <c r="A1068">
        <v>6</v>
      </c>
      <c r="B1068" t="str">
        <f>HYPERLINK("http://www.ncbi.nlm.nih.gov/protein/KRX58332.1","KRX58332.1")</f>
        <v>KRX58332.1</v>
      </c>
      <c r="C1068">
        <v>18540</v>
      </c>
      <c r="D1068" t="str">
        <f>HYPERLINK("http://www.ncbi.nlm.nih.gov/Taxonomy/Browser/wwwtax.cgi?mode=Info&amp;id=181606&amp;lvl=3&amp;lin=f&amp;keep=1&amp;srchmode=1&amp;unlock","181606")</f>
        <v>181606</v>
      </c>
      <c r="E1068" t="s">
        <v>802</v>
      </c>
      <c r="F1068" t="s">
        <v>802</v>
      </c>
      <c r="G1068" t="str">
        <f>HYPERLINK("http://www.ncbi.nlm.nih.gov/Taxonomy/Browser/wwwtax.cgi?mode=Info&amp;id=181606&amp;lvl=3&amp;lin=f&amp;keep=1&amp;srchmode=1&amp;unlock","Trichinella sp. T9")</f>
        <v>Trichinella sp. T9</v>
      </c>
      <c r="H1068" t="s">
        <v>803</v>
      </c>
      <c r="I1068" t="str">
        <f>HYPERLINK("http://www.ncbi.nlm.nih.gov/protein/KRX58332.1","Fatty acid-binding -like protein 6")</f>
        <v>Fatty acid-binding -like protein 6</v>
      </c>
      <c r="J1068">
        <v>47.37</v>
      </c>
      <c r="K1068" t="s">
        <v>25</v>
      </c>
      <c r="L1068">
        <v>139</v>
      </c>
      <c r="M1068">
        <v>50.68</v>
      </c>
      <c r="N1068">
        <v>18.77</v>
      </c>
      <c r="O1068" t="s">
        <v>25</v>
      </c>
      <c r="P1068" t="s">
        <v>21</v>
      </c>
      <c r="Q1068" t="s">
        <v>20</v>
      </c>
      <c r="R1068" t="str">
        <f>HYPERLINK("https://cfpub.epa.gov/ecotox/explore.cfm?ncbi=181606","Explore in ECOTOX")</f>
        <v>Explore in ECOTOX</v>
      </c>
    </row>
    <row r="1069" spans="1:18" x14ac:dyDescent="0.25">
      <c r="A1069">
        <v>6</v>
      </c>
      <c r="B1069" t="str">
        <f>HYPERLINK("http://www.ncbi.nlm.nih.gov/protein/KRY37637.1","KRY37637.1")</f>
        <v>KRY37637.1</v>
      </c>
      <c r="C1069">
        <v>35907</v>
      </c>
      <c r="D1069" t="str">
        <f>HYPERLINK("http://www.ncbi.nlm.nih.gov/Taxonomy/Browser/wwwtax.cgi?mode=Info&amp;id=6334&amp;lvl=3&amp;lin=f&amp;keep=1&amp;srchmode=1&amp;unlock","6334")</f>
        <v>6334</v>
      </c>
      <c r="E1069" t="s">
        <v>802</v>
      </c>
      <c r="F1069" t="s">
        <v>802</v>
      </c>
      <c r="G1069" t="str">
        <f>HYPERLINK("http://www.ncbi.nlm.nih.gov/Taxonomy/Browser/wwwtax.cgi?mode=Info&amp;id=6334&amp;lvl=3&amp;lin=f&amp;keep=1&amp;srchmode=1&amp;unlock","Trichinella spiralis")</f>
        <v>Trichinella spiralis</v>
      </c>
      <c r="H1069" t="s">
        <v>803</v>
      </c>
      <c r="I1069" t="str">
        <f>HYPERLINK("http://www.ncbi.nlm.nih.gov/protein/KRY37637.1","Fatty acid-binding -like protein 6")</f>
        <v>Fatty acid-binding -like protein 6</v>
      </c>
      <c r="J1069">
        <v>47.37</v>
      </c>
      <c r="K1069" t="s">
        <v>25</v>
      </c>
      <c r="L1069">
        <v>139</v>
      </c>
      <c r="M1069">
        <v>50.68</v>
      </c>
      <c r="N1069">
        <v>18.77</v>
      </c>
      <c r="O1069" t="s">
        <v>25</v>
      </c>
      <c r="P1069" t="s">
        <v>21</v>
      </c>
      <c r="Q1069" t="s">
        <v>20</v>
      </c>
      <c r="R1069" t="str">
        <f>HYPERLINK("https://cfpub.epa.gov/ecotox/explore.cfm?ncbi=6334","Explore in ECOTOX")</f>
        <v>Explore in ECOTOX</v>
      </c>
    </row>
    <row r="1070" spans="1:18" x14ac:dyDescent="0.25">
      <c r="A1070">
        <v>6</v>
      </c>
      <c r="B1070" t="str">
        <f>HYPERLINK("http://www.ncbi.nlm.nih.gov/protein/VDD96311.1","VDD96311.1")</f>
        <v>VDD96311.1</v>
      </c>
      <c r="C1070">
        <v>12974</v>
      </c>
      <c r="D1070" t="str">
        <f>HYPERLINK("http://www.ncbi.nlm.nih.gov/Taxonomy/Browser/wwwtax.cgi?mode=Info&amp;id=51028&amp;lvl=3&amp;lin=f&amp;keep=1&amp;srchmode=1&amp;unlock","51028")</f>
        <v>51028</v>
      </c>
      <c r="E1070" t="s">
        <v>869</v>
      </c>
      <c r="F1070" t="s">
        <v>869</v>
      </c>
      <c r="G1070" t="str">
        <f>HYPERLINK("http://www.ncbi.nlm.nih.gov/Taxonomy/Browser/wwwtax.cgi?mode=Info&amp;id=51028&amp;lvl=3&amp;lin=f&amp;keep=1&amp;srchmode=1&amp;unlock","Enterobius vermicularis")</f>
        <v>Enterobius vermicularis</v>
      </c>
      <c r="H1070" t="s">
        <v>947</v>
      </c>
      <c r="I1070" t="str">
        <f>HYPERLINK("http://www.ncbi.nlm.nih.gov/protein/VDD96311.1","unnamed protein product")</f>
        <v>unnamed protein product</v>
      </c>
      <c r="J1070">
        <v>47.37</v>
      </c>
      <c r="K1070" t="s">
        <v>25</v>
      </c>
      <c r="L1070">
        <v>139</v>
      </c>
      <c r="M1070">
        <v>50.68</v>
      </c>
      <c r="N1070">
        <v>18.77</v>
      </c>
      <c r="O1070" t="s">
        <v>25</v>
      </c>
      <c r="P1070" t="s">
        <v>21</v>
      </c>
      <c r="Q1070" t="s">
        <v>20</v>
      </c>
      <c r="R1070" t="str">
        <f>HYPERLINK("https://cfpub.epa.gov/ecotox/explore.cfm?ncbi=51028","Explore in ECOTOX")</f>
        <v>Explore in ECOTOX</v>
      </c>
    </row>
    <row r="1071" spans="1:18" x14ac:dyDescent="0.25">
      <c r="A1071">
        <v>6</v>
      </c>
      <c r="B1071" t="str">
        <f>HYPERLINK("http://www.ncbi.nlm.nih.gov/protein/AEZ53851.1","AEZ53851.1")</f>
        <v>AEZ53851.1</v>
      </c>
      <c r="C1071">
        <v>163</v>
      </c>
      <c r="D1071" t="str">
        <f>HYPERLINK("http://www.ncbi.nlm.nih.gov/Taxonomy/Browser/wwwtax.cgi?mode=Info&amp;id=85089&amp;lvl=3&amp;lin=f&amp;keep=1&amp;srchmode=1&amp;unlock","85089")</f>
        <v>85089</v>
      </c>
      <c r="E1071" t="s">
        <v>134</v>
      </c>
      <c r="F1071" t="s">
        <v>134</v>
      </c>
      <c r="G1071" t="str">
        <f>HYPERLINK("http://www.ncbi.nlm.nih.gov/Taxonomy/Browser/wwwtax.cgi?mode=Info&amp;id=85089&amp;lvl=3&amp;lin=f&amp;keep=1&amp;srchmode=1&amp;unlock","Scaphiopus couchii")</f>
        <v>Scaphiopus couchii</v>
      </c>
      <c r="H1071" t="s">
        <v>948</v>
      </c>
      <c r="I1071" t="str">
        <f>HYPERLINK("http://www.ncbi.nlm.nih.gov/protein/AEZ53851.1","retinol binding protein 1, cellular, partial")</f>
        <v>retinol binding protein 1, cellular, partial</v>
      </c>
      <c r="J1071">
        <v>46.98</v>
      </c>
      <c r="K1071" t="s">
        <v>25</v>
      </c>
      <c r="L1071">
        <v>139</v>
      </c>
      <c r="M1071">
        <v>50.68</v>
      </c>
      <c r="N1071">
        <v>18.62</v>
      </c>
      <c r="O1071" t="s">
        <v>20</v>
      </c>
      <c r="P1071" t="s">
        <v>21</v>
      </c>
      <c r="Q1071" t="s">
        <v>20</v>
      </c>
      <c r="R1071" t="str">
        <f>HYPERLINK("https://cfpub.epa.gov/ecotox/explore.cfm?ncbi=85089","Explore in ECOTOX")</f>
        <v>Explore in ECOTOX</v>
      </c>
    </row>
    <row r="1072" spans="1:18" x14ac:dyDescent="0.25">
      <c r="A1072">
        <v>6</v>
      </c>
      <c r="B1072" t="str">
        <f>HYPERLINK("http://www.ncbi.nlm.nih.gov/protein/XP_016035148.1","XP_016035148.1")</f>
        <v>XP_016035148.1</v>
      </c>
      <c r="C1072">
        <v>72158</v>
      </c>
      <c r="D1072" t="str">
        <f>HYPERLINK("http://www.ncbi.nlm.nih.gov/Taxonomy/Browser/wwwtax.cgi?mode=Info&amp;id=7240&amp;lvl=3&amp;lin=f&amp;keep=1&amp;srchmode=1&amp;unlock","7240")</f>
        <v>7240</v>
      </c>
      <c r="E1072" t="s">
        <v>698</v>
      </c>
      <c r="F1072" t="s">
        <v>698</v>
      </c>
      <c r="G1072" t="str">
        <f>HYPERLINK("http://www.ncbi.nlm.nih.gov/Taxonomy/Browser/wwwtax.cgi?mode=Info&amp;id=7240&amp;lvl=3&amp;lin=f&amp;keep=1&amp;srchmode=1&amp;unlock","Drosophila simulans")</f>
        <v>Drosophila simulans</v>
      </c>
      <c r="H1072" t="s">
        <v>753</v>
      </c>
      <c r="I1072" t="str">
        <f>HYPERLINK("http://www.ncbi.nlm.nih.gov/protein/XP_016035148.1","fatty acid-binding protein, muscle")</f>
        <v>fatty acid-binding protein, muscle</v>
      </c>
      <c r="J1072">
        <v>46.98</v>
      </c>
      <c r="K1072" t="s">
        <v>25</v>
      </c>
      <c r="L1072">
        <v>139</v>
      </c>
      <c r="M1072">
        <v>50.68</v>
      </c>
      <c r="N1072">
        <v>18.62</v>
      </c>
      <c r="O1072" t="s">
        <v>25</v>
      </c>
      <c r="P1072" t="s">
        <v>21</v>
      </c>
      <c r="Q1072" t="s">
        <v>20</v>
      </c>
      <c r="R1072" t="str">
        <f>HYPERLINK("https://cfpub.epa.gov/ecotox/explore.cfm?ncbi=7240","Explore in ECOTOX")</f>
        <v>Explore in ECOTOX</v>
      </c>
    </row>
    <row r="1073" spans="1:18" x14ac:dyDescent="0.25">
      <c r="A1073">
        <v>6</v>
      </c>
      <c r="B1073" t="str">
        <f>HYPERLINK("http://www.ncbi.nlm.nih.gov/protein/XP_034138188.1","XP_034138188.1")</f>
        <v>XP_034138188.1</v>
      </c>
      <c r="C1073">
        <v>40503</v>
      </c>
      <c r="D1073" t="str">
        <f>HYPERLINK("http://www.ncbi.nlm.nih.gov/Taxonomy/Browser/wwwtax.cgi?mode=Info&amp;id=7266&amp;lvl=3&amp;lin=f&amp;keep=1&amp;srchmode=1&amp;unlock","7266")</f>
        <v>7266</v>
      </c>
      <c r="E1073" t="s">
        <v>698</v>
      </c>
      <c r="F1073" t="s">
        <v>698</v>
      </c>
      <c r="G1073" t="str">
        <f>HYPERLINK("http://www.ncbi.nlm.nih.gov/Taxonomy/Browser/wwwtax.cgi?mode=Info&amp;id=7266&amp;lvl=3&amp;lin=f&amp;keep=1&amp;srchmode=1&amp;unlock","Drosophila guanche")</f>
        <v>Drosophila guanche</v>
      </c>
      <c r="H1073" t="s">
        <v>753</v>
      </c>
      <c r="I1073" t="str">
        <f>HYPERLINK("http://www.ncbi.nlm.nih.gov/protein/XP_034138188.1","probable fatty acid-binding protein")</f>
        <v>probable fatty acid-binding protein</v>
      </c>
      <c r="J1073">
        <v>46.98</v>
      </c>
      <c r="K1073" t="s">
        <v>25</v>
      </c>
      <c r="L1073">
        <v>139</v>
      </c>
      <c r="M1073">
        <v>50.68</v>
      </c>
      <c r="N1073">
        <v>18.62</v>
      </c>
      <c r="O1073" t="s">
        <v>25</v>
      </c>
      <c r="P1073" t="s">
        <v>21</v>
      </c>
      <c r="Q1073" t="s">
        <v>20</v>
      </c>
      <c r="R1073" t="str">
        <f>HYPERLINK("https://cfpub.epa.gov/ecotox/explore.cfm?ncbi=7266","Explore in ECOTOX")</f>
        <v>Explore in ECOTOX</v>
      </c>
    </row>
    <row r="1074" spans="1:18" x14ac:dyDescent="0.25">
      <c r="A1074">
        <v>6</v>
      </c>
      <c r="B1074" t="str">
        <f>HYPERLINK("http://www.ncbi.nlm.nih.gov/protein/XP_017008567.1","XP_017008567.1")</f>
        <v>XP_017008567.1</v>
      </c>
      <c r="C1074">
        <v>24128</v>
      </c>
      <c r="D1074" t="str">
        <f>HYPERLINK("http://www.ncbi.nlm.nih.gov/Taxonomy/Browser/wwwtax.cgi?mode=Info&amp;id=29030&amp;lvl=3&amp;lin=f&amp;keep=1&amp;srchmode=1&amp;unlock","29030")</f>
        <v>29030</v>
      </c>
      <c r="E1074" t="s">
        <v>698</v>
      </c>
      <c r="F1074" t="s">
        <v>698</v>
      </c>
      <c r="G1074" t="str">
        <f>HYPERLINK("http://www.ncbi.nlm.nih.gov/Taxonomy/Browser/wwwtax.cgi?mode=Info&amp;id=29030&amp;lvl=3&amp;lin=f&amp;keep=1&amp;srchmode=1&amp;unlock","Drosophila takahashii")</f>
        <v>Drosophila takahashii</v>
      </c>
      <c r="H1074" t="s">
        <v>753</v>
      </c>
      <c r="I1074" t="str">
        <f>HYPERLINK("http://www.ncbi.nlm.nih.gov/protein/XP_017008567.1","PREDICTED: fatty acid-binding protein, muscle")</f>
        <v>PREDICTED: fatty acid-binding protein, muscle</v>
      </c>
      <c r="J1074">
        <v>46.98</v>
      </c>
      <c r="K1074" t="s">
        <v>25</v>
      </c>
      <c r="L1074">
        <v>139</v>
      </c>
      <c r="M1074">
        <v>50.68</v>
      </c>
      <c r="N1074">
        <v>18.62</v>
      </c>
      <c r="O1074" t="s">
        <v>25</v>
      </c>
      <c r="P1074" t="s">
        <v>21</v>
      </c>
      <c r="Q1074" t="s">
        <v>20</v>
      </c>
      <c r="R1074" t="str">
        <f>HYPERLINK("https://cfpub.epa.gov/ecotox/explore.cfm?ncbi=29030","Explore in ECOTOX")</f>
        <v>Explore in ECOTOX</v>
      </c>
    </row>
    <row r="1075" spans="1:18" x14ac:dyDescent="0.25">
      <c r="A1075">
        <v>6</v>
      </c>
      <c r="B1075" t="str">
        <f>HYPERLINK("http://www.ncbi.nlm.nih.gov/protein/XP_020812008.1","XP_020812008.1")</f>
        <v>XP_020812008.1</v>
      </c>
      <c r="C1075">
        <v>20997</v>
      </c>
      <c r="D1075" t="str">
        <f>HYPERLINK("http://www.ncbi.nlm.nih.gov/Taxonomy/Browser/wwwtax.cgi?mode=Info&amp;id=7274&amp;lvl=3&amp;lin=f&amp;keep=1&amp;srchmode=1&amp;unlock","7274")</f>
        <v>7274</v>
      </c>
      <c r="E1075" t="s">
        <v>698</v>
      </c>
      <c r="F1075" t="s">
        <v>698</v>
      </c>
      <c r="G1075" t="str">
        <f>HYPERLINK("http://www.ncbi.nlm.nih.gov/Taxonomy/Browser/wwwtax.cgi?mode=Info&amp;id=7274&amp;lvl=3&amp;lin=f&amp;keep=1&amp;srchmode=1&amp;unlock","Drosophila serrata")</f>
        <v>Drosophila serrata</v>
      </c>
      <c r="H1075" t="s">
        <v>753</v>
      </c>
      <c r="I1075" t="str">
        <f>HYPERLINK("http://www.ncbi.nlm.nih.gov/protein/XP_020812008.1","fatty acid-binding protein, muscle")</f>
        <v>fatty acid-binding protein, muscle</v>
      </c>
      <c r="J1075">
        <v>46.98</v>
      </c>
      <c r="K1075" t="s">
        <v>25</v>
      </c>
      <c r="L1075">
        <v>139</v>
      </c>
      <c r="M1075">
        <v>50.68</v>
      </c>
      <c r="N1075">
        <v>18.62</v>
      </c>
      <c r="O1075" t="s">
        <v>25</v>
      </c>
      <c r="P1075" t="s">
        <v>21</v>
      </c>
      <c r="Q1075" t="s">
        <v>20</v>
      </c>
      <c r="R1075" t="str">
        <f>HYPERLINK("https://cfpub.epa.gov/ecotox/explore.cfm?ncbi=7274","Explore in ECOTOX")</f>
        <v>Explore in ECOTOX</v>
      </c>
    </row>
    <row r="1076" spans="1:18" x14ac:dyDescent="0.25">
      <c r="A1076">
        <v>6</v>
      </c>
      <c r="B1076" t="str">
        <f>HYPERLINK("http://www.ncbi.nlm.nih.gov/protein/AEZ53852.1","AEZ53852.1")</f>
        <v>AEZ53852.1</v>
      </c>
      <c r="C1076">
        <v>84</v>
      </c>
      <c r="D1076" t="str">
        <f>HYPERLINK("http://www.ncbi.nlm.nih.gov/Taxonomy/Browser/wwwtax.cgi?mode=Info&amp;id=8435&amp;lvl=3&amp;lin=f&amp;keep=1&amp;srchmode=1&amp;unlock","8435")</f>
        <v>8435</v>
      </c>
      <c r="E1076" t="s">
        <v>134</v>
      </c>
      <c r="F1076" t="s">
        <v>134</v>
      </c>
      <c r="G1076" t="str">
        <f>HYPERLINK("http://www.ncbi.nlm.nih.gov/Taxonomy/Browser/wwwtax.cgi?mode=Info&amp;id=8435&amp;lvl=3&amp;lin=f&amp;keep=1&amp;srchmode=1&amp;unlock","Scaphiopus holbrookii")</f>
        <v>Scaphiopus holbrookii</v>
      </c>
      <c r="H1076" t="s">
        <v>949</v>
      </c>
      <c r="I1076" t="str">
        <f>HYPERLINK("http://www.ncbi.nlm.nih.gov/protein/AEZ53852.1","retinol binding protein 1, cellular, partial")</f>
        <v>retinol binding protein 1, cellular, partial</v>
      </c>
      <c r="J1076">
        <v>46.98</v>
      </c>
      <c r="K1076" t="s">
        <v>25</v>
      </c>
      <c r="L1076">
        <v>139</v>
      </c>
      <c r="M1076">
        <v>50.68</v>
      </c>
      <c r="N1076">
        <v>18.62</v>
      </c>
      <c r="O1076" t="s">
        <v>20</v>
      </c>
      <c r="P1076" t="s">
        <v>21</v>
      </c>
      <c r="Q1076" t="s">
        <v>20</v>
      </c>
      <c r="R1076" t="str">
        <f>HYPERLINK("https://cfpub.epa.gov/ecotox/explore.cfm?ncbi=8435","Explore in ECOTOX")</f>
        <v>Explore in ECOTOX</v>
      </c>
    </row>
    <row r="1077" spans="1:18" x14ac:dyDescent="0.25">
      <c r="A1077">
        <v>6</v>
      </c>
      <c r="B1077" t="str">
        <f>HYPERLINK("http://www.ncbi.nlm.nih.gov/protein/QBB01810.1","QBB01810.1")</f>
        <v>QBB01810.1</v>
      </c>
      <c r="C1077">
        <v>873</v>
      </c>
      <c r="D1077" t="str">
        <f>HYPERLINK("http://www.ncbi.nlm.nih.gov/Taxonomy/Browser/wwwtax.cgi?mode=Info&amp;id=89804&amp;lvl=3&amp;lin=f&amp;keep=1&amp;srchmode=1&amp;unlock","89804")</f>
        <v>89804</v>
      </c>
      <c r="E1077" t="s">
        <v>698</v>
      </c>
      <c r="F1077" t="s">
        <v>698</v>
      </c>
      <c r="G1077" t="str">
        <f>HYPERLINK("http://www.ncbi.nlm.nih.gov/Taxonomy/Browser/wwwtax.cgi?mode=Info&amp;id=89804&amp;lvl=3&amp;lin=f&amp;keep=1&amp;srchmode=1&amp;unlock","Cotesia chilonis")</f>
        <v>Cotesia chilonis</v>
      </c>
      <c r="H1077" t="s">
        <v>755</v>
      </c>
      <c r="I1077" t="str">
        <f>HYPERLINK("http://www.ncbi.nlm.nih.gov/protein/QBB01810.1","putative fatty acid-binding protein, muscle, partial")</f>
        <v>putative fatty acid-binding protein, muscle, partial</v>
      </c>
      <c r="J1077">
        <v>46.98</v>
      </c>
      <c r="K1077" t="s">
        <v>25</v>
      </c>
      <c r="L1077">
        <v>139</v>
      </c>
      <c r="M1077">
        <v>50.68</v>
      </c>
      <c r="N1077">
        <v>18.62</v>
      </c>
      <c r="O1077" t="s">
        <v>25</v>
      </c>
      <c r="P1077" t="s">
        <v>21</v>
      </c>
      <c r="Q1077" t="s">
        <v>20</v>
      </c>
      <c r="R1077" t="str">
        <f>HYPERLINK("https://cfpub.epa.gov/ecotox/explore.cfm?ncbi=89804","Explore in ECOTOX")</f>
        <v>Explore in ECOTOX</v>
      </c>
    </row>
    <row r="1078" spans="1:18" x14ac:dyDescent="0.25">
      <c r="A1078">
        <v>6</v>
      </c>
      <c r="B1078" t="str">
        <f>HYPERLINK("http://www.ncbi.nlm.nih.gov/protein/TPP64087.1","TPP64087.1")</f>
        <v>TPP64087.1</v>
      </c>
      <c r="C1078">
        <v>13334</v>
      </c>
      <c r="D1078" t="str">
        <f>HYPERLINK("http://www.ncbi.nlm.nih.gov/Taxonomy/Browser/wwwtax.cgi?mode=Info&amp;id=46835&amp;lvl=3&amp;lin=f&amp;keep=1&amp;srchmode=1&amp;unlock","46835")</f>
        <v>46835</v>
      </c>
      <c r="E1078" t="s">
        <v>793</v>
      </c>
      <c r="F1078" t="s">
        <v>793</v>
      </c>
      <c r="G1078" t="str">
        <f>HYPERLINK("http://www.ncbi.nlm.nih.gov/Taxonomy/Browser/wwwtax.cgi?mode=Info&amp;id=46835&amp;lvl=3&amp;lin=f&amp;keep=1&amp;srchmode=1&amp;unlock","Fasciola gigantica")</f>
        <v>Fasciola gigantica</v>
      </c>
      <c r="H1078" t="s">
        <v>897</v>
      </c>
      <c r="I1078" t="str">
        <f>HYPERLINK("http://www.ncbi.nlm.nih.gov/protein/TPP64087.1","Fatty acid binding protein a")</f>
        <v>Fatty acid binding protein a</v>
      </c>
      <c r="J1078">
        <v>46.98</v>
      </c>
      <c r="K1078" t="s">
        <v>25</v>
      </c>
      <c r="L1078">
        <v>139</v>
      </c>
      <c r="M1078">
        <v>50.68</v>
      </c>
      <c r="N1078">
        <v>18.62</v>
      </c>
      <c r="O1078" t="s">
        <v>25</v>
      </c>
      <c r="P1078" t="s">
        <v>21</v>
      </c>
      <c r="Q1078" t="s">
        <v>20</v>
      </c>
      <c r="R1078" t="str">
        <f>HYPERLINK("https://cfpub.epa.gov/ecotox/explore.cfm?ncbi=46835","Explore in ECOTOX")</f>
        <v>Explore in ECOTOX</v>
      </c>
    </row>
    <row r="1079" spans="1:18" x14ac:dyDescent="0.25">
      <c r="A1079">
        <v>6</v>
      </c>
      <c r="B1079" t="str">
        <f>HYPERLINK("http://www.ncbi.nlm.nih.gov/protein/ABY90513.1","ABY90513.1")</f>
        <v>ABY90513.1</v>
      </c>
      <c r="C1079">
        <v>317</v>
      </c>
      <c r="D1079" t="str">
        <f>HYPERLINK("http://www.ncbi.nlm.nih.gov/Taxonomy/Browser/wwwtax.cgi?mode=Info&amp;id=141264&amp;lvl=3&amp;lin=f&amp;keep=1&amp;srchmode=1&amp;unlock","141264")</f>
        <v>141264</v>
      </c>
      <c r="E1079" t="s">
        <v>384</v>
      </c>
      <c r="F1079" t="s">
        <v>384</v>
      </c>
      <c r="G1079" t="str">
        <f>HYPERLINK("http://www.ncbi.nlm.nih.gov/Taxonomy/Browser/wwwtax.cgi?mode=Info&amp;id=141264&amp;lvl=3&amp;lin=f&amp;keep=1&amp;srchmode=1&amp;unlock","Rachycentron canadum")</f>
        <v>Rachycentron canadum</v>
      </c>
      <c r="H1079" t="s">
        <v>950</v>
      </c>
      <c r="I1079" t="str">
        <f>HYPERLINK("http://www.ncbi.nlm.nih.gov/protein/ABY90513.1","muscle fatty acid binding protein")</f>
        <v>muscle fatty acid binding protein</v>
      </c>
      <c r="J1079">
        <v>46.98</v>
      </c>
      <c r="K1079" t="s">
        <v>25</v>
      </c>
      <c r="L1079">
        <v>139</v>
      </c>
      <c r="M1079">
        <v>50.68</v>
      </c>
      <c r="N1079">
        <v>18.62</v>
      </c>
      <c r="O1079" t="s">
        <v>20</v>
      </c>
      <c r="P1079" t="s">
        <v>21</v>
      </c>
      <c r="Q1079" t="s">
        <v>20</v>
      </c>
      <c r="R1079" t="str">
        <f>HYPERLINK("https://cfpub.epa.gov/ecotox/explore.cfm?ncbi=141264","Explore in ECOTOX")</f>
        <v>Explore in ECOTOX</v>
      </c>
    </row>
    <row r="1080" spans="1:18" x14ac:dyDescent="0.25">
      <c r="A1080">
        <v>6</v>
      </c>
      <c r="B1080" t="str">
        <f>HYPERLINK("http://www.ncbi.nlm.nih.gov/protein/XP_033162984.1","XP_033162984.1")</f>
        <v>XP_033162984.1</v>
      </c>
      <c r="C1080">
        <v>24096</v>
      </c>
      <c r="D1080" t="str">
        <f>HYPERLINK("http://www.ncbi.nlm.nih.gov/Taxonomy/Browser/wwwtax.cgi?mode=Info&amp;id=7226&amp;lvl=3&amp;lin=f&amp;keep=1&amp;srchmode=1&amp;unlock","7226")</f>
        <v>7226</v>
      </c>
      <c r="E1080" t="s">
        <v>698</v>
      </c>
      <c r="F1080" t="s">
        <v>698</v>
      </c>
      <c r="G1080" t="str">
        <f>HYPERLINK("http://www.ncbi.nlm.nih.gov/Taxonomy/Browser/wwwtax.cgi?mode=Info&amp;id=7226&amp;lvl=3&amp;lin=f&amp;keep=1&amp;srchmode=1&amp;unlock","Drosophila mauritiana")</f>
        <v>Drosophila mauritiana</v>
      </c>
      <c r="H1080" t="s">
        <v>753</v>
      </c>
      <c r="I1080" t="str">
        <f>HYPERLINK("http://www.ncbi.nlm.nih.gov/protein/XP_033162984.1","fatty acid-binding protein, muscle")</f>
        <v>fatty acid-binding protein, muscle</v>
      </c>
      <c r="J1080">
        <v>46.98</v>
      </c>
      <c r="K1080" t="s">
        <v>25</v>
      </c>
      <c r="L1080">
        <v>139</v>
      </c>
      <c r="M1080">
        <v>50.68</v>
      </c>
      <c r="N1080">
        <v>18.62</v>
      </c>
      <c r="O1080" t="s">
        <v>25</v>
      </c>
      <c r="P1080" t="s">
        <v>21</v>
      </c>
      <c r="Q1080" t="s">
        <v>20</v>
      </c>
      <c r="R1080" t="str">
        <f>HYPERLINK("https://cfpub.epa.gov/ecotox/explore.cfm?ncbi=7226","Explore in ECOTOX")</f>
        <v>Explore in ECOTOX</v>
      </c>
    </row>
    <row r="1081" spans="1:18" x14ac:dyDescent="0.25">
      <c r="A1081">
        <v>6</v>
      </c>
      <c r="B1081" t="str">
        <f>HYPERLINK("http://www.ncbi.nlm.nih.gov/protein/CAF0844062.1","CAF0844062.1")</f>
        <v>CAF0844062.1</v>
      </c>
      <c r="C1081">
        <v>348871</v>
      </c>
      <c r="D1081" t="str">
        <f>HYPERLINK("http://www.ncbi.nlm.nih.gov/Taxonomy/Browser/wwwtax.cgi?mode=Info&amp;id=392033&amp;lvl=3&amp;lin=f&amp;keep=1&amp;srchmode=1&amp;unlock","392033")</f>
        <v>392033</v>
      </c>
      <c r="E1081" t="s">
        <v>855</v>
      </c>
      <c r="F1081" t="s">
        <v>855</v>
      </c>
      <c r="G1081" t="str">
        <f>HYPERLINK("http://www.ncbi.nlm.nih.gov/Taxonomy/Browser/wwwtax.cgi?mode=Info&amp;id=392033&amp;lvl=3&amp;lin=f&amp;keep=1&amp;srchmode=1&amp;unlock","Rotaria sordida")</f>
        <v>Rotaria sordida</v>
      </c>
      <c r="H1081" t="s">
        <v>856</v>
      </c>
      <c r="I1081" t="str">
        <f>HYPERLINK("http://www.ncbi.nlm.nih.gov/protein/CAF0844062.1","unnamed protein product")</f>
        <v>unnamed protein product</v>
      </c>
      <c r="J1081">
        <v>46.98</v>
      </c>
      <c r="K1081" t="s">
        <v>25</v>
      </c>
      <c r="L1081">
        <v>139</v>
      </c>
      <c r="M1081">
        <v>50.68</v>
      </c>
      <c r="N1081">
        <v>18.62</v>
      </c>
      <c r="O1081" t="s">
        <v>25</v>
      </c>
      <c r="P1081" t="s">
        <v>21</v>
      </c>
      <c r="Q1081" t="s">
        <v>20</v>
      </c>
      <c r="R1081" t="str">
        <f>HYPERLINK("https://cfpub.epa.gov/ecotox/explore.cfm?ncbi=392033","Explore in ECOTOX")</f>
        <v>Explore in ECOTOX</v>
      </c>
    </row>
    <row r="1082" spans="1:18" x14ac:dyDescent="0.25">
      <c r="A1082">
        <v>6</v>
      </c>
      <c r="B1082" t="str">
        <f>HYPERLINK("http://www.ncbi.nlm.nih.gov/protein/CAF4938572.1","CAF4938572.1")</f>
        <v>CAF4938572.1</v>
      </c>
      <c r="C1082">
        <v>18656</v>
      </c>
      <c r="D1082" t="str">
        <f>HYPERLINK("http://www.ncbi.nlm.nih.gov/Taxonomy/Browser/wwwtax.cgi?mode=Info&amp;id=345717&amp;lvl=3&amp;lin=f&amp;keep=1&amp;srchmode=1&amp;unlock","345717")</f>
        <v>345717</v>
      </c>
      <c r="E1082" t="s">
        <v>698</v>
      </c>
      <c r="F1082" t="s">
        <v>698</v>
      </c>
      <c r="G1082" t="str">
        <f>HYPERLINK("http://www.ncbi.nlm.nih.gov/Taxonomy/Browser/wwwtax.cgi?mode=Info&amp;id=345717&amp;lvl=3&amp;lin=f&amp;keep=1&amp;srchmode=1&amp;unlock","Pieris macdunnoughi")</f>
        <v>Pieris macdunnoughi</v>
      </c>
      <c r="H1082" t="s">
        <v>951</v>
      </c>
      <c r="I1082" t="str">
        <f>HYPERLINK("http://www.ncbi.nlm.nih.gov/protein/CAF4938572.1","unnamed protein product")</f>
        <v>unnamed protein product</v>
      </c>
      <c r="J1082">
        <v>46.59</v>
      </c>
      <c r="K1082" t="s">
        <v>25</v>
      </c>
      <c r="L1082">
        <v>139</v>
      </c>
      <c r="M1082">
        <v>50.68</v>
      </c>
      <c r="N1082">
        <v>18.47</v>
      </c>
      <c r="O1082" t="s">
        <v>25</v>
      </c>
      <c r="P1082" t="s">
        <v>21</v>
      </c>
      <c r="Q1082" t="s">
        <v>20</v>
      </c>
      <c r="R1082" t="str">
        <f>HYPERLINK("https://cfpub.epa.gov/ecotox/explore.cfm?ncbi=345717","Explore in ECOTOX")</f>
        <v>Explore in ECOTOX</v>
      </c>
    </row>
    <row r="1083" spans="1:18" x14ac:dyDescent="0.25">
      <c r="A1083">
        <v>6</v>
      </c>
      <c r="B1083" t="str">
        <f>HYPERLINK("http://www.ncbi.nlm.nih.gov/protein/XP_022711541.1","XP_022711541.1")</f>
        <v>XP_022711541.1</v>
      </c>
      <c r="C1083">
        <v>26233</v>
      </c>
      <c r="D1083" t="str">
        <f>HYPERLINK("http://www.ncbi.nlm.nih.gov/Taxonomy/Browser/wwwtax.cgi?mode=Info&amp;id=62625&amp;lvl=3&amp;lin=f&amp;keep=1&amp;srchmode=1&amp;unlock","62625")</f>
        <v>62625</v>
      </c>
      <c r="E1083" t="s">
        <v>700</v>
      </c>
      <c r="F1083" t="s">
        <v>700</v>
      </c>
      <c r="G1083" t="str">
        <f>HYPERLINK("http://www.ncbi.nlm.nih.gov/Taxonomy/Browser/wwwtax.cgi?mode=Info&amp;id=62625&amp;lvl=3&amp;lin=f&amp;keep=1&amp;srchmode=1&amp;unlock","Varroa jacobsoni")</f>
        <v>Varroa jacobsoni</v>
      </c>
      <c r="H1083" t="s">
        <v>701</v>
      </c>
      <c r="I1083" t="str">
        <f>HYPERLINK("http://www.ncbi.nlm.nih.gov/protein/XP_022711541.1","fatty acid-binding protein, heart-like")</f>
        <v>fatty acid-binding protein, heart-like</v>
      </c>
      <c r="J1083">
        <v>46.59</v>
      </c>
      <c r="K1083" t="s">
        <v>25</v>
      </c>
      <c r="L1083">
        <v>139</v>
      </c>
      <c r="M1083">
        <v>50.68</v>
      </c>
      <c r="N1083">
        <v>18.47</v>
      </c>
      <c r="O1083" t="s">
        <v>25</v>
      </c>
      <c r="P1083" t="s">
        <v>21</v>
      </c>
      <c r="Q1083" t="s">
        <v>20</v>
      </c>
      <c r="R1083" t="str">
        <f>HYPERLINK("https://cfpub.epa.gov/ecotox/explore.cfm?ncbi=62625","Explore in ECOTOX")</f>
        <v>Explore in ECOTOX</v>
      </c>
    </row>
    <row r="1084" spans="1:18" x14ac:dyDescent="0.25">
      <c r="A1084">
        <v>6</v>
      </c>
      <c r="B1084" t="str">
        <f>HYPERLINK("http://www.ncbi.nlm.nih.gov/protein/XP_013306125.1","XP_013306125.1")</f>
        <v>XP_013306125.1</v>
      </c>
      <c r="C1084">
        <v>38486</v>
      </c>
      <c r="D1084" t="str">
        <f>HYPERLINK("http://www.ncbi.nlm.nih.gov/Taxonomy/Browser/wwwtax.cgi?mode=Info&amp;id=51031&amp;lvl=3&amp;lin=f&amp;keep=1&amp;srchmode=1&amp;unlock","51031")</f>
        <v>51031</v>
      </c>
      <c r="E1084" t="s">
        <v>869</v>
      </c>
      <c r="F1084" t="s">
        <v>869</v>
      </c>
      <c r="G1084" t="str">
        <f>HYPERLINK("http://www.ncbi.nlm.nih.gov/Taxonomy/Browser/wwwtax.cgi?mode=Info&amp;id=51031&amp;lvl=3&amp;lin=f&amp;keep=1&amp;srchmode=1&amp;unlock","Necator americanus")</f>
        <v>Necator americanus</v>
      </c>
      <c r="H1084" t="s">
        <v>803</v>
      </c>
      <c r="I1084" t="str">
        <f>HYPERLINK("http://www.ncbi.nlm.nih.gov/protein/XP_013306125.1","lipocalin / cytosolic fatty-acid binding protein")</f>
        <v>lipocalin / cytosolic fatty-acid binding protein</v>
      </c>
      <c r="J1084">
        <v>46.59</v>
      </c>
      <c r="K1084" t="s">
        <v>25</v>
      </c>
      <c r="L1084">
        <v>139</v>
      </c>
      <c r="M1084">
        <v>50.68</v>
      </c>
      <c r="N1084">
        <v>18.47</v>
      </c>
      <c r="O1084" t="s">
        <v>25</v>
      </c>
      <c r="P1084" t="s">
        <v>21</v>
      </c>
      <c r="Q1084" t="s">
        <v>20</v>
      </c>
      <c r="R1084" t="str">
        <f>HYPERLINK("https://cfpub.epa.gov/ecotox/explore.cfm?ncbi=51031","Explore in ECOTOX")</f>
        <v>Explore in ECOTOX</v>
      </c>
    </row>
    <row r="1085" spans="1:18" x14ac:dyDescent="0.25">
      <c r="A1085">
        <v>6</v>
      </c>
      <c r="B1085" t="str">
        <f>HYPERLINK("http://www.ncbi.nlm.nih.gov/protein/VDO21820.1","VDO21820.1")</f>
        <v>VDO21820.1</v>
      </c>
      <c r="C1085">
        <v>25608</v>
      </c>
      <c r="D1085" t="str">
        <f>HYPERLINK("http://www.ncbi.nlm.nih.gov/Taxonomy/Browser/wwwtax.cgi?mode=Info&amp;id=48269&amp;lvl=3&amp;lin=f&amp;keep=1&amp;srchmode=1&amp;unlock","48269")</f>
        <v>48269</v>
      </c>
      <c r="E1085" t="s">
        <v>793</v>
      </c>
      <c r="F1085" t="s">
        <v>793</v>
      </c>
      <c r="G1085" t="str">
        <f>HYPERLINK("http://www.ncbi.nlm.nih.gov/Taxonomy/Browser/wwwtax.cgi?mode=Info&amp;id=48269&amp;lvl=3&amp;lin=f&amp;keep=1&amp;srchmode=1&amp;unlock","Schistosoma margrebowiei")</f>
        <v>Schistosoma margrebowiei</v>
      </c>
      <c r="H1085" t="s">
        <v>794</v>
      </c>
      <c r="I1085" t="str">
        <f>HYPERLINK("http://www.ncbi.nlm.nih.gov/protein/VDO21820.1","unnamed protein product")</f>
        <v>unnamed protein product</v>
      </c>
      <c r="J1085">
        <v>46.59</v>
      </c>
      <c r="K1085" t="s">
        <v>25</v>
      </c>
      <c r="L1085">
        <v>139</v>
      </c>
      <c r="M1085">
        <v>50.68</v>
      </c>
      <c r="N1085">
        <v>18.47</v>
      </c>
      <c r="O1085" t="s">
        <v>25</v>
      </c>
      <c r="P1085" t="s">
        <v>21</v>
      </c>
      <c r="Q1085" t="s">
        <v>20</v>
      </c>
      <c r="R1085" t="str">
        <f>HYPERLINK("https://cfpub.epa.gov/ecotox/explore.cfm?ncbi=48269","Explore in ECOTOX")</f>
        <v>Explore in ECOTOX</v>
      </c>
    </row>
    <row r="1086" spans="1:18" x14ac:dyDescent="0.25">
      <c r="A1086">
        <v>6</v>
      </c>
      <c r="B1086" t="str">
        <f>HYPERLINK("http://www.ncbi.nlm.nih.gov/protein/XP_039752701.1","XP_039752701.1")</f>
        <v>XP_039752701.1</v>
      </c>
      <c r="C1086">
        <v>21135</v>
      </c>
      <c r="D1086" t="str">
        <f>HYPERLINK("http://www.ncbi.nlm.nih.gov/Taxonomy/Browser/wwwtax.cgi?mode=Info&amp;id=116150&amp;lvl=3&amp;lin=f&amp;keep=1&amp;srchmode=1&amp;unlock","116150")</f>
        <v>116150</v>
      </c>
      <c r="E1086" t="s">
        <v>698</v>
      </c>
      <c r="F1086" t="s">
        <v>698</v>
      </c>
      <c r="G1086" t="str">
        <f>HYPERLINK("http://www.ncbi.nlm.nih.gov/Taxonomy/Browser/wwwtax.cgi?mode=Info&amp;id=116150&amp;lvl=3&amp;lin=f&amp;keep=1&amp;srchmode=1&amp;unlock","Pararge aegeria")</f>
        <v>Pararge aegeria</v>
      </c>
      <c r="H1086" t="s">
        <v>952</v>
      </c>
      <c r="I1086" t="str">
        <f>HYPERLINK("http://www.ncbi.nlm.nih.gov/protein/XP_039752701.1","sodium/calcium exchanger regulatory protein 1")</f>
        <v>sodium/calcium exchanger regulatory protein 1</v>
      </c>
      <c r="J1086">
        <v>46.59</v>
      </c>
      <c r="K1086" t="s">
        <v>25</v>
      </c>
      <c r="L1086">
        <v>139</v>
      </c>
      <c r="M1086">
        <v>50.68</v>
      </c>
      <c r="N1086">
        <v>18.47</v>
      </c>
      <c r="O1086" t="s">
        <v>25</v>
      </c>
      <c r="P1086" t="s">
        <v>21</v>
      </c>
      <c r="Q1086" t="s">
        <v>20</v>
      </c>
      <c r="R1086" t="str">
        <f>HYPERLINK("https://cfpub.epa.gov/ecotox/explore.cfm?ncbi=116150","Explore in ECOTOX")</f>
        <v>Explore in ECOTOX</v>
      </c>
    </row>
    <row r="1087" spans="1:18" x14ac:dyDescent="0.25">
      <c r="A1087">
        <v>6</v>
      </c>
      <c r="B1087" t="str">
        <f>HYPERLINK("http://www.ncbi.nlm.nih.gov/protein/CAF3479280.1","CAF3479280.1")</f>
        <v>CAF3479280.1</v>
      </c>
      <c r="C1087">
        <v>331713</v>
      </c>
      <c r="D1087" t="str">
        <f>HYPERLINK("http://www.ncbi.nlm.nih.gov/Taxonomy/Browser/wwwtax.cgi?mode=Info&amp;id=392032&amp;lvl=3&amp;lin=f&amp;keep=1&amp;srchmode=1&amp;unlock","392032")</f>
        <v>392032</v>
      </c>
      <c r="E1087" t="s">
        <v>855</v>
      </c>
      <c r="F1087" t="s">
        <v>855</v>
      </c>
      <c r="G1087" t="str">
        <f>HYPERLINK("http://www.ncbi.nlm.nih.gov/Taxonomy/Browser/wwwtax.cgi?mode=Info&amp;id=392032&amp;lvl=3&amp;lin=f&amp;keep=1&amp;srchmode=1&amp;unlock","Rotaria socialis")</f>
        <v>Rotaria socialis</v>
      </c>
      <c r="H1087" t="s">
        <v>856</v>
      </c>
      <c r="I1087" t="str">
        <f>HYPERLINK("http://www.ncbi.nlm.nih.gov/protein/CAF3479280.1","unnamed protein product")</f>
        <v>unnamed protein product</v>
      </c>
      <c r="J1087">
        <v>46.59</v>
      </c>
      <c r="K1087" t="s">
        <v>25</v>
      </c>
      <c r="L1087">
        <v>139</v>
      </c>
      <c r="M1087">
        <v>50.68</v>
      </c>
      <c r="N1087">
        <v>18.47</v>
      </c>
      <c r="O1087" t="s">
        <v>25</v>
      </c>
      <c r="P1087" t="s">
        <v>21</v>
      </c>
      <c r="Q1087" t="s">
        <v>20</v>
      </c>
      <c r="R1087" t="str">
        <f>HYPERLINK("https://cfpub.epa.gov/ecotox/explore.cfm?ncbi=392032","Explore in ECOTOX")</f>
        <v>Explore in ECOTOX</v>
      </c>
    </row>
    <row r="1088" spans="1:18" x14ac:dyDescent="0.25">
      <c r="A1088">
        <v>6</v>
      </c>
      <c r="B1088" t="str">
        <f>HYPERLINK("http://www.ncbi.nlm.nih.gov/protein/XP_002400305.1","XP_002400305.1")</f>
        <v>XP_002400305.1</v>
      </c>
      <c r="C1088">
        <v>57720</v>
      </c>
      <c r="D1088" t="str">
        <f>HYPERLINK("http://www.ncbi.nlm.nih.gov/Taxonomy/Browser/wwwtax.cgi?mode=Info&amp;id=6945&amp;lvl=3&amp;lin=f&amp;keep=1&amp;srchmode=1&amp;unlock","6945")</f>
        <v>6945</v>
      </c>
      <c r="E1088" t="s">
        <v>700</v>
      </c>
      <c r="F1088" t="s">
        <v>700</v>
      </c>
      <c r="G1088" t="str">
        <f>HYPERLINK("http://www.ncbi.nlm.nih.gov/Taxonomy/Browser/wwwtax.cgi?mode=Info&amp;id=6945&amp;lvl=3&amp;lin=f&amp;keep=1&amp;srchmode=1&amp;unlock","Ixodes scapularis")</f>
        <v>Ixodes scapularis</v>
      </c>
      <c r="H1088" t="s">
        <v>953</v>
      </c>
      <c r="I1088" t="str">
        <f>HYPERLINK("http://www.ncbi.nlm.nih.gov/protein/XP_002400305.1","sodium/calcium exchanger regulatory protein 1")</f>
        <v>sodium/calcium exchanger regulatory protein 1</v>
      </c>
      <c r="J1088">
        <v>46.59</v>
      </c>
      <c r="K1088" t="s">
        <v>25</v>
      </c>
      <c r="L1088">
        <v>139</v>
      </c>
      <c r="M1088">
        <v>50.68</v>
      </c>
      <c r="N1088">
        <v>18.47</v>
      </c>
      <c r="O1088" t="s">
        <v>25</v>
      </c>
      <c r="P1088" t="s">
        <v>21</v>
      </c>
      <c r="Q1088" t="s">
        <v>20</v>
      </c>
      <c r="R1088" t="str">
        <f>HYPERLINK("https://cfpub.epa.gov/ecotox/explore.cfm?ncbi=6945","Explore in ECOTOX")</f>
        <v>Explore in ECOTOX</v>
      </c>
    </row>
    <row r="1089" spans="1:18" x14ac:dyDescent="0.25">
      <c r="A1089">
        <v>6</v>
      </c>
      <c r="B1089" t="str">
        <f>HYPERLINK("http://www.ncbi.nlm.nih.gov/protein/XP_022661284.1","XP_022661284.1")</f>
        <v>XP_022661284.1</v>
      </c>
      <c r="C1089">
        <v>30490</v>
      </c>
      <c r="D1089" t="str">
        <f>HYPERLINK("http://www.ncbi.nlm.nih.gov/Taxonomy/Browser/wwwtax.cgi?mode=Info&amp;id=109461&amp;lvl=3&amp;lin=f&amp;keep=1&amp;srchmode=1&amp;unlock","109461")</f>
        <v>109461</v>
      </c>
      <c r="E1089" t="s">
        <v>700</v>
      </c>
      <c r="F1089" t="s">
        <v>700</v>
      </c>
      <c r="G1089" t="str">
        <f>HYPERLINK("http://www.ncbi.nlm.nih.gov/Taxonomy/Browser/wwwtax.cgi?mode=Info&amp;id=109461&amp;lvl=3&amp;lin=f&amp;keep=1&amp;srchmode=1&amp;unlock","Varroa destructor")</f>
        <v>Varroa destructor</v>
      </c>
      <c r="H1089" t="s">
        <v>954</v>
      </c>
      <c r="I1089" t="str">
        <f>HYPERLINK("http://www.ncbi.nlm.nih.gov/protein/XP_022661284.1","fatty acid-binding protein, heart-like")</f>
        <v>fatty acid-binding protein, heart-like</v>
      </c>
      <c r="J1089">
        <v>46.59</v>
      </c>
      <c r="K1089" t="s">
        <v>25</v>
      </c>
      <c r="L1089">
        <v>139</v>
      </c>
      <c r="M1089">
        <v>50.68</v>
      </c>
      <c r="N1089">
        <v>18.47</v>
      </c>
      <c r="O1089" t="s">
        <v>25</v>
      </c>
      <c r="P1089" t="s">
        <v>21</v>
      </c>
      <c r="Q1089" t="s">
        <v>20</v>
      </c>
      <c r="R1089" t="str">
        <f>HYPERLINK("https://cfpub.epa.gov/ecotox/explore.cfm?ncbi=109461","Explore in ECOTOX")</f>
        <v>Explore in ECOTOX</v>
      </c>
    </row>
    <row r="1090" spans="1:18" x14ac:dyDescent="0.25">
      <c r="A1090">
        <v>6</v>
      </c>
      <c r="B1090" t="str">
        <f>HYPERLINK("http://www.ncbi.nlm.nih.gov/protein/XP_022285734.1","XP_022285734.1")</f>
        <v>XP_022285734.1</v>
      </c>
      <c r="C1090">
        <v>28373</v>
      </c>
      <c r="D1090" t="str">
        <f>HYPERLINK("http://www.ncbi.nlm.nih.gov/Taxonomy/Browser/wwwtax.cgi?mode=Info&amp;id=1380566&amp;lvl=3&amp;lin=f&amp;keep=1&amp;srchmode=1&amp;unlock","1380566")</f>
        <v>1380566</v>
      </c>
      <c r="E1090" t="s">
        <v>929</v>
      </c>
      <c r="F1090" t="s">
        <v>929</v>
      </c>
      <c r="G1090" t="str">
        <f>HYPERLINK("http://www.ncbi.nlm.nih.gov/Taxonomy/Browser/wwwtax.cgi?mode=Info&amp;id=1380566&amp;lvl=3&amp;lin=f&amp;keep=1&amp;srchmode=1&amp;unlock","Pochonia chlamydosporia 170")</f>
        <v>Pochonia chlamydosporia 170</v>
      </c>
      <c r="H1090" t="s">
        <v>930</v>
      </c>
      <c r="I1090" t="str">
        <f>HYPERLINK("http://www.ncbi.nlm.nih.gov/protein/XP_022285734.1","lipocalin / cytosolic fatty-acid binding domain-containing protein")</f>
        <v>lipocalin / cytosolic fatty-acid binding domain-containing protein</v>
      </c>
      <c r="J1090">
        <v>46.59</v>
      </c>
      <c r="K1090" t="s">
        <v>25</v>
      </c>
      <c r="L1090">
        <v>139</v>
      </c>
      <c r="M1090">
        <v>50.68</v>
      </c>
      <c r="N1090">
        <v>18.47</v>
      </c>
      <c r="O1090" t="s">
        <v>25</v>
      </c>
      <c r="P1090" t="s">
        <v>21</v>
      </c>
      <c r="Q1090" t="s">
        <v>20</v>
      </c>
      <c r="R1090" t="str">
        <f>HYPERLINK("https://cfpub.epa.gov/ecotox/explore.cfm?ncbi=1380566","Explore in ECOTOX")</f>
        <v>Explore in ECOTOX</v>
      </c>
    </row>
    <row r="1091" spans="1:18" x14ac:dyDescent="0.25">
      <c r="A1091">
        <v>6</v>
      </c>
      <c r="B1091" t="str">
        <f>HYPERLINK("http://www.ncbi.nlm.nih.gov/protein/AQM52316.1","AQM52316.1")</f>
        <v>AQM52316.1</v>
      </c>
      <c r="C1091">
        <v>337</v>
      </c>
      <c r="D1091" t="str">
        <f>HYPERLINK("http://www.ncbi.nlm.nih.gov/Taxonomy/Browser/wwwtax.cgi?mode=Info&amp;id=143350&amp;lvl=3&amp;lin=f&amp;keep=1&amp;srchmode=1&amp;unlock","143350")</f>
        <v>143350</v>
      </c>
      <c r="E1091" t="s">
        <v>384</v>
      </c>
      <c r="F1091" t="s">
        <v>384</v>
      </c>
      <c r="G1091" t="str">
        <f>HYPERLINK("http://www.ncbi.nlm.nih.gov/Taxonomy/Browser/wwwtax.cgi?mode=Info&amp;id=143350&amp;lvl=3&amp;lin=f&amp;keep=1&amp;srchmode=1&amp;unlock","Pagrus major")</f>
        <v>Pagrus major</v>
      </c>
      <c r="H1091" t="s">
        <v>955</v>
      </c>
      <c r="I1091" t="str">
        <f>HYPERLINK("http://www.ncbi.nlm.nih.gov/protein/AQM52316.1","fatty acid binding protein 3")</f>
        <v>fatty acid binding protein 3</v>
      </c>
      <c r="J1091">
        <v>46.59</v>
      </c>
      <c r="K1091" t="s">
        <v>25</v>
      </c>
      <c r="L1091">
        <v>139</v>
      </c>
      <c r="M1091">
        <v>50.68</v>
      </c>
      <c r="N1091">
        <v>18.47</v>
      </c>
      <c r="O1091" t="s">
        <v>20</v>
      </c>
      <c r="P1091" t="s">
        <v>21</v>
      </c>
      <c r="Q1091" t="s">
        <v>20</v>
      </c>
      <c r="R1091" t="str">
        <f>HYPERLINK("https://cfpub.epa.gov/ecotox/explore.cfm?ncbi=143350","Explore in ECOTOX")</f>
        <v>Explore in ECOTOX</v>
      </c>
    </row>
    <row r="1092" spans="1:18" x14ac:dyDescent="0.25">
      <c r="A1092">
        <v>6</v>
      </c>
      <c r="B1092" t="str">
        <f>HYPERLINK("http://www.ncbi.nlm.nih.gov/protein/XP_033232722.1","XP_033232722.1")</f>
        <v>XP_033232722.1</v>
      </c>
      <c r="C1092">
        <v>29498</v>
      </c>
      <c r="D1092" t="str">
        <f>HYPERLINK("http://www.ncbi.nlm.nih.gov/Taxonomy/Browser/wwwtax.cgi?mode=Info&amp;id=7237&amp;lvl=3&amp;lin=f&amp;keep=1&amp;srchmode=1&amp;unlock","7237")</f>
        <v>7237</v>
      </c>
      <c r="E1092" t="s">
        <v>698</v>
      </c>
      <c r="F1092" t="s">
        <v>698</v>
      </c>
      <c r="G1092" t="str">
        <f>HYPERLINK("http://www.ncbi.nlm.nih.gov/Taxonomy/Browser/wwwtax.cgi?mode=Info&amp;id=7237&amp;lvl=3&amp;lin=f&amp;keep=1&amp;srchmode=1&amp;unlock","Drosophila pseudoobscura")</f>
        <v>Drosophila pseudoobscura</v>
      </c>
      <c r="H1092" t="s">
        <v>753</v>
      </c>
      <c r="I1092" t="str">
        <f>HYPERLINK("http://www.ncbi.nlm.nih.gov/protein/XP_033232722.1","probable fatty acid-binding protein")</f>
        <v>probable fatty acid-binding protein</v>
      </c>
      <c r="J1092">
        <v>46.21</v>
      </c>
      <c r="K1092" t="s">
        <v>25</v>
      </c>
      <c r="L1092">
        <v>139</v>
      </c>
      <c r="M1092">
        <v>50.68</v>
      </c>
      <c r="N1092">
        <v>18.32</v>
      </c>
      <c r="O1092" t="s">
        <v>25</v>
      </c>
      <c r="P1092" t="s">
        <v>21</v>
      </c>
      <c r="Q1092" t="s">
        <v>20</v>
      </c>
      <c r="R1092" t="str">
        <f>HYPERLINK("https://cfpub.epa.gov/ecotox/explore.cfm?ncbi=7237","Explore in ECOTOX")</f>
        <v>Explore in ECOTOX</v>
      </c>
    </row>
    <row r="1093" spans="1:18" x14ac:dyDescent="0.25">
      <c r="A1093">
        <v>6</v>
      </c>
      <c r="B1093" t="str">
        <f>HYPERLINK("http://www.ncbi.nlm.nih.gov/protein/XP_038213352.1","XP_038213352.1")</f>
        <v>XP_038213352.1</v>
      </c>
      <c r="C1093">
        <v>17482</v>
      </c>
      <c r="D1093" t="str">
        <f>HYPERLINK("http://www.ncbi.nlm.nih.gov/Taxonomy/Browser/wwwtax.cgi?mode=Info&amp;id=33412&amp;lvl=3&amp;lin=f&amp;keep=1&amp;srchmode=1&amp;unlock","33412")</f>
        <v>33412</v>
      </c>
      <c r="E1093" t="s">
        <v>698</v>
      </c>
      <c r="F1093" t="s">
        <v>698</v>
      </c>
      <c r="G1093" t="str">
        <f>HYPERLINK("http://www.ncbi.nlm.nih.gov/Taxonomy/Browser/wwwtax.cgi?mode=Info&amp;id=33412&amp;lvl=3&amp;lin=f&amp;keep=1&amp;srchmode=1&amp;unlock","Zerene cesonia")</f>
        <v>Zerene cesonia</v>
      </c>
      <c r="H1093" t="s">
        <v>956</v>
      </c>
      <c r="I1093" t="str">
        <f>HYPERLINK("http://www.ncbi.nlm.nih.gov/protein/XP_038213352.1","sodium/calcium exchanger regulatory protein 1-like")</f>
        <v>sodium/calcium exchanger regulatory protein 1-like</v>
      </c>
      <c r="J1093">
        <v>46.21</v>
      </c>
      <c r="K1093" t="s">
        <v>25</v>
      </c>
      <c r="L1093">
        <v>139</v>
      </c>
      <c r="M1093">
        <v>50.68</v>
      </c>
      <c r="N1093">
        <v>18.32</v>
      </c>
      <c r="O1093" t="s">
        <v>25</v>
      </c>
      <c r="P1093" t="s">
        <v>21</v>
      </c>
      <c r="Q1093" t="s">
        <v>20</v>
      </c>
      <c r="R1093" t="str">
        <f>HYPERLINK("https://cfpub.epa.gov/ecotox/explore.cfm?ncbi=33412","Explore in ECOTOX")</f>
        <v>Explore in ECOTOX</v>
      </c>
    </row>
    <row r="1094" spans="1:18" x14ac:dyDescent="0.25">
      <c r="A1094">
        <v>6</v>
      </c>
      <c r="B1094" t="str">
        <f>HYPERLINK("http://www.ncbi.nlm.nih.gov/protein/XP_002019386.1","XP_002019386.1")</f>
        <v>XP_002019386.1</v>
      </c>
      <c r="C1094">
        <v>37444</v>
      </c>
      <c r="D1094" t="str">
        <f>HYPERLINK("http://www.ncbi.nlm.nih.gov/Taxonomy/Browser/wwwtax.cgi?mode=Info&amp;id=7234&amp;lvl=3&amp;lin=f&amp;keep=1&amp;srchmode=1&amp;unlock","7234")</f>
        <v>7234</v>
      </c>
      <c r="E1094" t="s">
        <v>698</v>
      </c>
      <c r="F1094" t="s">
        <v>698</v>
      </c>
      <c r="G1094" t="str">
        <f>HYPERLINK("http://www.ncbi.nlm.nih.gov/Taxonomy/Browser/wwwtax.cgi?mode=Info&amp;id=7234&amp;lvl=3&amp;lin=f&amp;keep=1&amp;srchmode=1&amp;unlock","Drosophila persimilis")</f>
        <v>Drosophila persimilis</v>
      </c>
      <c r="H1094" t="s">
        <v>753</v>
      </c>
      <c r="I1094" t="str">
        <f>HYPERLINK("http://www.ncbi.nlm.nih.gov/protein/XP_002019386.1","probable fatty acid-binding protein")</f>
        <v>probable fatty acid-binding protein</v>
      </c>
      <c r="J1094">
        <v>46.21</v>
      </c>
      <c r="K1094" t="s">
        <v>25</v>
      </c>
      <c r="L1094">
        <v>139</v>
      </c>
      <c r="M1094">
        <v>50.68</v>
      </c>
      <c r="N1094">
        <v>18.32</v>
      </c>
      <c r="O1094" t="s">
        <v>25</v>
      </c>
      <c r="P1094" t="s">
        <v>21</v>
      </c>
      <c r="Q1094" t="s">
        <v>20</v>
      </c>
      <c r="R1094" t="str">
        <f>HYPERLINK("https://cfpub.epa.gov/ecotox/explore.cfm?ncbi=7234","Explore in ECOTOX")</f>
        <v>Explore in ECOTOX</v>
      </c>
    </row>
    <row r="1095" spans="1:18" x14ac:dyDescent="0.25">
      <c r="A1095">
        <v>6</v>
      </c>
      <c r="B1095" t="str">
        <f>HYPERLINK("http://www.ncbi.nlm.nih.gov/protein/XP_017141863.1","XP_017141863.1")</f>
        <v>XP_017141863.1</v>
      </c>
      <c r="C1095">
        <v>33726</v>
      </c>
      <c r="D1095" t="str">
        <f>HYPERLINK("http://www.ncbi.nlm.nih.gov/Taxonomy/Browser/wwwtax.cgi?mode=Info&amp;id=7229&amp;lvl=3&amp;lin=f&amp;keep=1&amp;srchmode=1&amp;unlock","7229")</f>
        <v>7229</v>
      </c>
      <c r="E1095" t="s">
        <v>698</v>
      </c>
      <c r="F1095" t="s">
        <v>698</v>
      </c>
      <c r="G1095" t="str">
        <f>HYPERLINK("http://www.ncbi.nlm.nih.gov/Taxonomy/Browser/wwwtax.cgi?mode=Info&amp;id=7229&amp;lvl=3&amp;lin=f&amp;keep=1&amp;srchmode=1&amp;unlock","Drosophila miranda")</f>
        <v>Drosophila miranda</v>
      </c>
      <c r="H1095" t="s">
        <v>753</v>
      </c>
      <c r="I1095" t="str">
        <f>HYPERLINK("http://www.ncbi.nlm.nih.gov/protein/XP_017141863.1","probable fatty acid-binding protein")</f>
        <v>probable fatty acid-binding protein</v>
      </c>
      <c r="J1095">
        <v>46.21</v>
      </c>
      <c r="K1095" t="s">
        <v>25</v>
      </c>
      <c r="L1095">
        <v>139</v>
      </c>
      <c r="M1095">
        <v>50.68</v>
      </c>
      <c r="N1095">
        <v>18.32</v>
      </c>
      <c r="O1095" t="s">
        <v>25</v>
      </c>
      <c r="P1095" t="s">
        <v>21</v>
      </c>
      <c r="Q1095" t="s">
        <v>20</v>
      </c>
      <c r="R1095" t="str">
        <f>HYPERLINK("https://cfpub.epa.gov/ecotox/explore.cfm?ncbi=7229","Explore in ECOTOX")</f>
        <v>Explore in ECOTOX</v>
      </c>
    </row>
    <row r="1096" spans="1:18" x14ac:dyDescent="0.25">
      <c r="A1096">
        <v>6</v>
      </c>
      <c r="B1096" t="str">
        <f>HYPERLINK("http://www.ncbi.nlm.nih.gov/protein/AAT38124.1","AAT38124.1")</f>
        <v>AAT38124.1</v>
      </c>
      <c r="C1096">
        <v>260</v>
      </c>
      <c r="D1096" t="str">
        <f>HYPERLINK("http://www.ncbi.nlm.nih.gov/Taxonomy/Browser/wwwtax.cgi?mode=Info&amp;id=155462&amp;lvl=3&amp;lin=f&amp;keep=1&amp;srchmode=1&amp;unlock","155462")</f>
        <v>155462</v>
      </c>
      <c r="E1096" t="s">
        <v>725</v>
      </c>
      <c r="F1096" t="s">
        <v>725</v>
      </c>
      <c r="G1096" t="str">
        <f>HYPERLINK("http://www.ncbi.nlm.nih.gov/Taxonomy/Browser/wwwtax.cgi?mode=Info&amp;id=155462&amp;lvl=3&amp;lin=f&amp;keep=1&amp;srchmode=1&amp;unlock","Branchiostoma belcheri tsingtauense")</f>
        <v>Branchiostoma belcheri tsingtauense</v>
      </c>
      <c r="H1096" t="s">
        <v>726</v>
      </c>
      <c r="I1096" t="str">
        <f>HYPERLINK("http://www.ncbi.nlm.nih.gov/protein/AAT38124.1","liver-basic fatty acid binding protein")</f>
        <v>liver-basic fatty acid binding protein</v>
      </c>
      <c r="J1096">
        <v>46.21</v>
      </c>
      <c r="K1096" t="s">
        <v>25</v>
      </c>
      <c r="L1096">
        <v>139</v>
      </c>
      <c r="M1096">
        <v>50.68</v>
      </c>
      <c r="N1096">
        <v>18.32</v>
      </c>
      <c r="O1096" t="s">
        <v>25</v>
      </c>
      <c r="P1096" t="s">
        <v>21</v>
      </c>
      <c r="Q1096" t="s">
        <v>20</v>
      </c>
      <c r="R1096" t="str">
        <f>HYPERLINK("https://cfpub.epa.gov/ecotox/explore.cfm?ncbi=155462","Explore in ECOTOX")</f>
        <v>Explore in ECOTOX</v>
      </c>
    </row>
    <row r="1097" spans="1:18" x14ac:dyDescent="0.25">
      <c r="A1097">
        <v>6</v>
      </c>
      <c r="B1097" t="str">
        <f>HYPERLINK("http://www.ncbi.nlm.nih.gov/protein/KRT84730.1","KRT84730.1")</f>
        <v>KRT84730.1</v>
      </c>
      <c r="C1097">
        <v>8838</v>
      </c>
      <c r="D1097" t="str">
        <f>HYPERLINK("http://www.ncbi.nlm.nih.gov/Taxonomy/Browser/wwwtax.cgi?mode=Info&amp;id=1629725&amp;lvl=3&amp;lin=f&amp;keep=1&amp;srchmode=1&amp;unlock","1629725")</f>
        <v>1629725</v>
      </c>
      <c r="E1097" t="s">
        <v>698</v>
      </c>
      <c r="F1097" t="s">
        <v>698</v>
      </c>
      <c r="G1097" t="str">
        <f>HYPERLINK("http://www.ncbi.nlm.nih.gov/Taxonomy/Browser/wwwtax.cgi?mode=Info&amp;id=1629725&amp;lvl=3&amp;lin=f&amp;keep=1&amp;srchmode=1&amp;unlock","Oryctes borbonicus")</f>
        <v>Oryctes borbonicus</v>
      </c>
      <c r="H1097" t="s">
        <v>957</v>
      </c>
      <c r="I1097" t="str">
        <f>HYPERLINK("http://www.ncbi.nlm.nih.gov/protein/KRT84730.1","hypothetical protein AMK59_2857")</f>
        <v>hypothetical protein AMK59_2857</v>
      </c>
      <c r="J1097">
        <v>46.21</v>
      </c>
      <c r="K1097" t="s">
        <v>25</v>
      </c>
      <c r="L1097">
        <v>139</v>
      </c>
      <c r="M1097">
        <v>50.68</v>
      </c>
      <c r="N1097">
        <v>18.32</v>
      </c>
      <c r="O1097" t="s">
        <v>25</v>
      </c>
      <c r="P1097" t="s">
        <v>21</v>
      </c>
      <c r="Q1097" t="s">
        <v>20</v>
      </c>
      <c r="R1097" t="str">
        <f>HYPERLINK("https://cfpub.epa.gov/ecotox/explore.cfm?ncbi=1629725","Explore in ECOTOX")</f>
        <v>Explore in ECOTOX</v>
      </c>
    </row>
    <row r="1098" spans="1:18" x14ac:dyDescent="0.25">
      <c r="A1098">
        <v>6</v>
      </c>
      <c r="B1098" t="str">
        <f>HYPERLINK("http://www.ncbi.nlm.nih.gov/protein/KRX21621.1","KRX21621.1")</f>
        <v>KRX21621.1</v>
      </c>
      <c r="C1098">
        <v>17020</v>
      </c>
      <c r="D1098" t="str">
        <f>HYPERLINK("http://www.ncbi.nlm.nih.gov/Taxonomy/Browser/wwwtax.cgi?mode=Info&amp;id=6336&amp;lvl=3&amp;lin=f&amp;keep=1&amp;srchmode=1&amp;unlock","6336")</f>
        <v>6336</v>
      </c>
      <c r="E1098" t="s">
        <v>802</v>
      </c>
      <c r="F1098" t="s">
        <v>802</v>
      </c>
      <c r="G1098" t="str">
        <f>HYPERLINK("http://www.ncbi.nlm.nih.gov/Taxonomy/Browser/wwwtax.cgi?mode=Info&amp;id=6336&amp;lvl=3&amp;lin=f&amp;keep=1&amp;srchmode=1&amp;unlock","Trichinella nelsoni")</f>
        <v>Trichinella nelsoni</v>
      </c>
      <c r="H1098" t="s">
        <v>803</v>
      </c>
      <c r="I1098" t="str">
        <f>HYPERLINK("http://www.ncbi.nlm.nih.gov/protein/KRX21621.1","Fatty acid-binding -like protein 6")</f>
        <v>Fatty acid-binding -like protein 6</v>
      </c>
      <c r="J1098">
        <v>46.21</v>
      </c>
      <c r="K1098" t="s">
        <v>25</v>
      </c>
      <c r="L1098">
        <v>139</v>
      </c>
      <c r="M1098">
        <v>50.68</v>
      </c>
      <c r="N1098">
        <v>18.32</v>
      </c>
      <c r="O1098" t="s">
        <v>25</v>
      </c>
      <c r="P1098" t="s">
        <v>21</v>
      </c>
      <c r="Q1098" t="s">
        <v>20</v>
      </c>
      <c r="R1098" t="str">
        <f>HYPERLINK("https://cfpub.epa.gov/ecotox/explore.cfm?ncbi=6336","Explore in ECOTOX")</f>
        <v>Explore in ECOTOX</v>
      </c>
    </row>
    <row r="1099" spans="1:18" x14ac:dyDescent="0.25">
      <c r="A1099">
        <v>6</v>
      </c>
      <c r="B1099" t="str">
        <f>HYPERLINK("http://www.ncbi.nlm.nih.gov/protein/KAE9535580.1","KAE9535580.1")</f>
        <v>KAE9535580.1</v>
      </c>
      <c r="C1099">
        <v>18787</v>
      </c>
      <c r="D1099" t="str">
        <f>HYPERLINK("http://www.ncbi.nlm.nih.gov/Taxonomy/Browser/wwwtax.cgi?mode=Info&amp;id=307491&amp;lvl=3&amp;lin=f&amp;keep=1&amp;srchmode=1&amp;unlock","307491")</f>
        <v>307491</v>
      </c>
      <c r="E1099" t="s">
        <v>698</v>
      </c>
      <c r="F1099" t="s">
        <v>698</v>
      </c>
      <c r="G1099" t="str">
        <f>HYPERLINK("http://www.ncbi.nlm.nih.gov/Taxonomy/Browser/wwwtax.cgi?mode=Info&amp;id=307491&amp;lvl=3&amp;lin=f&amp;keep=1&amp;srchmode=1&amp;unlock","Aphis glycines")</f>
        <v>Aphis glycines</v>
      </c>
      <c r="H1099" t="s">
        <v>958</v>
      </c>
      <c r="I1099" t="str">
        <f>HYPERLINK("http://www.ncbi.nlm.nih.gov/protein/KAE9535580.1","hypothetical protein AGLY_007481")</f>
        <v>hypothetical protein AGLY_007481</v>
      </c>
      <c r="J1099">
        <v>45.82</v>
      </c>
      <c r="K1099" t="s">
        <v>25</v>
      </c>
      <c r="L1099">
        <v>139</v>
      </c>
      <c r="M1099">
        <v>50.68</v>
      </c>
      <c r="N1099">
        <v>18.16</v>
      </c>
      <c r="O1099" t="s">
        <v>25</v>
      </c>
      <c r="P1099" t="s">
        <v>21</v>
      </c>
      <c r="Q1099" t="s">
        <v>20</v>
      </c>
      <c r="R1099" t="str">
        <f>HYPERLINK("https://cfpub.epa.gov/ecotox/explore.cfm?ncbi=307491","Explore in ECOTOX")</f>
        <v>Explore in ECOTOX</v>
      </c>
    </row>
    <row r="1100" spans="1:18" x14ac:dyDescent="0.25">
      <c r="A1100">
        <v>6</v>
      </c>
      <c r="B1100" t="str">
        <f>HYPERLINK("http://www.ncbi.nlm.nih.gov/protein/XP_002426176.1","XP_002426176.1")</f>
        <v>XP_002426176.1</v>
      </c>
      <c r="C1100">
        <v>21853</v>
      </c>
      <c r="D1100" t="str">
        <f>HYPERLINK("http://www.ncbi.nlm.nih.gov/Taxonomy/Browser/wwwtax.cgi?mode=Info&amp;id=121224&amp;lvl=3&amp;lin=f&amp;keep=1&amp;srchmode=1&amp;unlock","121224")</f>
        <v>121224</v>
      </c>
      <c r="E1100" t="s">
        <v>698</v>
      </c>
      <c r="F1100" t="s">
        <v>698</v>
      </c>
      <c r="G1100" t="str">
        <f>HYPERLINK("http://www.ncbi.nlm.nih.gov/Taxonomy/Browser/wwwtax.cgi?mode=Info&amp;id=121224&amp;lvl=3&amp;lin=f&amp;keep=1&amp;srchmode=1&amp;unlock","Pediculus humanus corporis")</f>
        <v>Pediculus humanus corporis</v>
      </c>
      <c r="H1100" t="s">
        <v>959</v>
      </c>
      <c r="I1100" t="str">
        <f>HYPERLINK("http://www.ncbi.nlm.nih.gov/protein/XP_002426176.1","fatty acid-binding protein, putative")</f>
        <v>fatty acid-binding protein, putative</v>
      </c>
      <c r="J1100">
        <v>45.82</v>
      </c>
      <c r="K1100" t="s">
        <v>25</v>
      </c>
      <c r="L1100">
        <v>139</v>
      </c>
      <c r="M1100">
        <v>50.68</v>
      </c>
      <c r="N1100">
        <v>18.16</v>
      </c>
      <c r="O1100" t="s">
        <v>25</v>
      </c>
      <c r="P1100" t="s">
        <v>21</v>
      </c>
      <c r="Q1100" t="s">
        <v>20</v>
      </c>
      <c r="R1100" t="str">
        <f>HYPERLINK("https://cfpub.epa.gov/ecotox/explore.cfm?ncbi=121224","Explore in ECOTOX")</f>
        <v>Explore in ECOTOX</v>
      </c>
    </row>
    <row r="1101" spans="1:18" x14ac:dyDescent="0.25">
      <c r="A1101">
        <v>6</v>
      </c>
      <c r="B1101" t="str">
        <f>HYPERLINK("http://www.ncbi.nlm.nih.gov/protein/XP_024762311.1","XP_024762311.1")</f>
        <v>XP_024762311.1</v>
      </c>
      <c r="C1101">
        <v>25075</v>
      </c>
      <c r="D1101" t="str">
        <f>HYPERLINK("http://www.ncbi.nlm.nih.gov/Taxonomy/Browser/wwwtax.cgi?mode=Info&amp;id=1042311&amp;lvl=3&amp;lin=f&amp;keep=1&amp;srchmode=1&amp;unlock","1042311")</f>
        <v>1042311</v>
      </c>
      <c r="E1101" t="s">
        <v>929</v>
      </c>
      <c r="F1101" t="s">
        <v>929</v>
      </c>
      <c r="G1101" t="str">
        <f>HYPERLINK("http://www.ncbi.nlm.nih.gov/Taxonomy/Browser/wwwtax.cgi?mode=Info&amp;id=1042311&amp;lvl=3&amp;lin=f&amp;keep=1&amp;srchmode=1&amp;unlock","Trichoderma asperellum CBS 433.97")</f>
        <v>Trichoderma asperellum CBS 433.97</v>
      </c>
      <c r="H1101" t="s">
        <v>930</v>
      </c>
      <c r="I1101" t="str">
        <f>HYPERLINK("http://www.ncbi.nlm.nih.gov/protein/XP_024762311.1","hypothetical protein M441DRAFT_79300")</f>
        <v>hypothetical protein M441DRAFT_79300</v>
      </c>
      <c r="J1101">
        <v>45.82</v>
      </c>
      <c r="K1101" t="s">
        <v>25</v>
      </c>
      <c r="L1101">
        <v>139</v>
      </c>
      <c r="M1101">
        <v>50.68</v>
      </c>
      <c r="N1101">
        <v>18.16</v>
      </c>
      <c r="O1101" t="s">
        <v>25</v>
      </c>
      <c r="P1101" t="s">
        <v>21</v>
      </c>
      <c r="Q1101" t="s">
        <v>20</v>
      </c>
      <c r="R1101" t="str">
        <f>HYPERLINK("https://cfpub.epa.gov/ecotox/explore.cfm?ncbi=1042311","Explore in ECOTOX")</f>
        <v>Explore in ECOTOX</v>
      </c>
    </row>
    <row r="1102" spans="1:18" x14ac:dyDescent="0.25">
      <c r="A1102">
        <v>6</v>
      </c>
      <c r="B1102" t="str">
        <f>HYPERLINK("http://www.ncbi.nlm.nih.gov/protein/KAB7498910.1","KAB7498910.1")</f>
        <v>KAB7498910.1</v>
      </c>
      <c r="C1102">
        <v>14640</v>
      </c>
      <c r="D1102" t="str">
        <f>HYPERLINK("http://www.ncbi.nlm.nih.gov/Taxonomy/Browser/wwwtax.cgi?mode=Info&amp;id=96803&amp;lvl=3&amp;lin=f&amp;keep=1&amp;srchmode=1&amp;unlock","96803")</f>
        <v>96803</v>
      </c>
      <c r="E1102" t="s">
        <v>742</v>
      </c>
      <c r="F1102" t="s">
        <v>742</v>
      </c>
      <c r="G1102" t="str">
        <f>HYPERLINK("http://www.ncbi.nlm.nih.gov/Taxonomy/Browser/wwwtax.cgi?mode=Info&amp;id=96803&amp;lvl=3&amp;lin=f&amp;keep=1&amp;srchmode=1&amp;unlock","Armadillidium nasatum")</f>
        <v>Armadillidium nasatum</v>
      </c>
      <c r="H1102" t="s">
        <v>960</v>
      </c>
      <c r="I1102" t="str">
        <f>HYPERLINK("http://www.ncbi.nlm.nih.gov/protein/KAB7498910.1","Fatty acid-binding protein 2, liver")</f>
        <v>Fatty acid-binding protein 2, liver</v>
      </c>
      <c r="J1102">
        <v>45.82</v>
      </c>
      <c r="K1102" t="s">
        <v>25</v>
      </c>
      <c r="L1102">
        <v>139</v>
      </c>
      <c r="M1102">
        <v>50.68</v>
      </c>
      <c r="N1102">
        <v>18.16</v>
      </c>
      <c r="O1102" t="s">
        <v>25</v>
      </c>
      <c r="P1102" t="s">
        <v>21</v>
      </c>
      <c r="Q1102" t="s">
        <v>20</v>
      </c>
      <c r="R1102" t="str">
        <f>HYPERLINK("https://cfpub.epa.gov/ecotox/explore.cfm?ncbi=96803","Explore in ECOTOX")</f>
        <v>Explore in ECOTOX</v>
      </c>
    </row>
    <row r="1103" spans="1:18" x14ac:dyDescent="0.25">
      <c r="A1103">
        <v>6</v>
      </c>
      <c r="B1103" t="str">
        <f>HYPERLINK("http://www.ncbi.nlm.nih.gov/protein/RCN47624.1","RCN47624.1")</f>
        <v>RCN47624.1</v>
      </c>
      <c r="C1103">
        <v>30347</v>
      </c>
      <c r="D1103" t="str">
        <f>HYPERLINK("http://www.ncbi.nlm.nih.gov/Taxonomy/Browser/wwwtax.cgi?mode=Info&amp;id=29170&amp;lvl=3&amp;lin=f&amp;keep=1&amp;srchmode=1&amp;unlock","29170")</f>
        <v>29170</v>
      </c>
      <c r="E1103" t="s">
        <v>869</v>
      </c>
      <c r="F1103" t="s">
        <v>869</v>
      </c>
      <c r="G1103" t="str">
        <f>HYPERLINK("http://www.ncbi.nlm.nih.gov/Taxonomy/Browser/wwwtax.cgi?mode=Info&amp;id=29170&amp;lvl=3&amp;lin=f&amp;keep=1&amp;srchmode=1&amp;unlock","Ancylostoma caninum")</f>
        <v>Ancylostoma caninum</v>
      </c>
      <c r="H1103" t="s">
        <v>961</v>
      </c>
      <c r="I1103" t="str">
        <f>HYPERLINK("http://www.ncbi.nlm.nih.gov/protein/RCN47624.1","lipocalin / cytosolic fatty-acid binding protein")</f>
        <v>lipocalin / cytosolic fatty-acid binding protein</v>
      </c>
      <c r="J1103">
        <v>45.82</v>
      </c>
      <c r="K1103" t="s">
        <v>25</v>
      </c>
      <c r="L1103">
        <v>139</v>
      </c>
      <c r="M1103">
        <v>50.68</v>
      </c>
      <c r="N1103">
        <v>18.16</v>
      </c>
      <c r="O1103" t="s">
        <v>25</v>
      </c>
      <c r="P1103" t="s">
        <v>21</v>
      </c>
      <c r="Q1103" t="s">
        <v>20</v>
      </c>
      <c r="R1103" t="str">
        <f>HYPERLINK("https://cfpub.epa.gov/ecotox/explore.cfm?ncbi=29170","Explore in ECOTOX")</f>
        <v>Explore in ECOTOX</v>
      </c>
    </row>
    <row r="1104" spans="1:18" x14ac:dyDescent="0.25">
      <c r="A1104">
        <v>6</v>
      </c>
      <c r="B1104" t="str">
        <f>HYPERLINK("http://www.ncbi.nlm.nih.gov/protein/XP_002031609.1","XP_002031609.1")</f>
        <v>XP_002031609.1</v>
      </c>
      <c r="C1104">
        <v>40453</v>
      </c>
      <c r="D1104" t="str">
        <f>HYPERLINK("http://www.ncbi.nlm.nih.gov/Taxonomy/Browser/wwwtax.cgi?mode=Info&amp;id=7238&amp;lvl=3&amp;lin=f&amp;keep=1&amp;srchmode=1&amp;unlock","7238")</f>
        <v>7238</v>
      </c>
      <c r="E1104" t="s">
        <v>698</v>
      </c>
      <c r="F1104" t="s">
        <v>698</v>
      </c>
      <c r="G1104" t="str">
        <f>HYPERLINK("http://www.ncbi.nlm.nih.gov/Taxonomy/Browser/wwwtax.cgi?mode=Info&amp;id=7238&amp;lvl=3&amp;lin=f&amp;keep=1&amp;srchmode=1&amp;unlock","Drosophila sechellia")</f>
        <v>Drosophila sechellia</v>
      </c>
      <c r="H1104" t="s">
        <v>753</v>
      </c>
      <c r="I1104" t="str">
        <f>HYPERLINK("http://www.ncbi.nlm.nih.gov/protein/XP_002031609.1","fatty acid-binding protein, muscle")</f>
        <v>fatty acid-binding protein, muscle</v>
      </c>
      <c r="J1104">
        <v>45.82</v>
      </c>
      <c r="K1104" t="s">
        <v>25</v>
      </c>
      <c r="L1104">
        <v>139</v>
      </c>
      <c r="M1104">
        <v>50.68</v>
      </c>
      <c r="N1104">
        <v>18.16</v>
      </c>
      <c r="O1104" t="s">
        <v>25</v>
      </c>
      <c r="P1104" t="s">
        <v>21</v>
      </c>
      <c r="Q1104" t="s">
        <v>20</v>
      </c>
      <c r="R1104" t="str">
        <f>HYPERLINK("https://cfpub.epa.gov/ecotox/explore.cfm?ncbi=7238","Explore in ECOTOX")</f>
        <v>Explore in ECOTOX</v>
      </c>
    </row>
    <row r="1105" spans="1:18" x14ac:dyDescent="0.25">
      <c r="A1105">
        <v>6</v>
      </c>
      <c r="B1105" t="str">
        <f>HYPERLINK("http://www.ncbi.nlm.nih.gov/protein/VDO31156.1","VDO31156.1")</f>
        <v>VDO31156.1</v>
      </c>
      <c r="C1105">
        <v>15878</v>
      </c>
      <c r="D1105" t="str">
        <f>HYPERLINK("http://www.ncbi.nlm.nih.gov/Taxonomy/Browser/wwwtax.cgi?mode=Info&amp;id=42155&amp;lvl=3&amp;lin=f&amp;keep=1&amp;srchmode=1&amp;unlock","42155")</f>
        <v>42155</v>
      </c>
      <c r="E1105" t="s">
        <v>869</v>
      </c>
      <c r="F1105" t="s">
        <v>869</v>
      </c>
      <c r="G1105" t="str">
        <f>HYPERLINK("http://www.ncbi.nlm.nih.gov/Taxonomy/Browser/wwwtax.cgi?mode=Info&amp;id=42155&amp;lvl=3&amp;lin=f&amp;keep=1&amp;srchmode=1&amp;unlock","Brugia timori")</f>
        <v>Brugia timori</v>
      </c>
      <c r="H1105" t="s">
        <v>803</v>
      </c>
      <c r="I1105" t="str">
        <f>HYPERLINK("http://www.ncbi.nlm.nih.gov/protein/VDO31156.1","unnamed protein product")</f>
        <v>unnamed protein product</v>
      </c>
      <c r="J1105">
        <v>45.82</v>
      </c>
      <c r="K1105" t="s">
        <v>25</v>
      </c>
      <c r="L1105">
        <v>139</v>
      </c>
      <c r="M1105">
        <v>50.68</v>
      </c>
      <c r="N1105">
        <v>18.16</v>
      </c>
      <c r="O1105" t="s">
        <v>25</v>
      </c>
      <c r="P1105" t="s">
        <v>21</v>
      </c>
      <c r="Q1105" t="s">
        <v>20</v>
      </c>
      <c r="R1105" t="str">
        <f>HYPERLINK("https://cfpub.epa.gov/ecotox/explore.cfm?ncbi=42155","Explore in ECOTOX")</f>
        <v>Explore in ECOTOX</v>
      </c>
    </row>
    <row r="1106" spans="1:18" x14ac:dyDescent="0.25">
      <c r="A1106">
        <v>6</v>
      </c>
      <c r="B1106" t="str">
        <f>HYPERLINK("http://www.ncbi.nlm.nih.gov/protein/XP_026488076.1","XP_026488076.1")</f>
        <v>XP_026488076.1</v>
      </c>
      <c r="C1106">
        <v>18776</v>
      </c>
      <c r="D1106" t="str">
        <f>HYPERLINK("http://www.ncbi.nlm.nih.gov/Taxonomy/Browser/wwwtax.cgi?mode=Info&amp;id=334116&amp;lvl=3&amp;lin=f&amp;keep=1&amp;srchmode=1&amp;unlock","334116")</f>
        <v>334116</v>
      </c>
      <c r="E1106" t="s">
        <v>698</v>
      </c>
      <c r="F1106" t="s">
        <v>698</v>
      </c>
      <c r="G1106" t="str">
        <f>HYPERLINK("http://www.ncbi.nlm.nih.gov/Taxonomy/Browser/wwwtax.cgi?mode=Info&amp;id=334116&amp;lvl=3&amp;lin=f&amp;keep=1&amp;srchmode=1&amp;unlock","Vanessa tameamea")</f>
        <v>Vanessa tameamea</v>
      </c>
      <c r="H1106" t="s">
        <v>962</v>
      </c>
      <c r="I1106" t="str">
        <f>HYPERLINK("http://www.ncbi.nlm.nih.gov/protein/XP_026488076.1","fatty acid-binding protein-like")</f>
        <v>fatty acid-binding protein-like</v>
      </c>
      <c r="J1106">
        <v>45.44</v>
      </c>
      <c r="K1106" t="s">
        <v>25</v>
      </c>
      <c r="L1106">
        <v>139</v>
      </c>
      <c r="M1106">
        <v>50.68</v>
      </c>
      <c r="N1106">
        <v>18.010000000000002</v>
      </c>
      <c r="O1106" t="s">
        <v>25</v>
      </c>
      <c r="P1106" t="s">
        <v>21</v>
      </c>
      <c r="Q1106" t="s">
        <v>20</v>
      </c>
      <c r="R1106" t="str">
        <f>HYPERLINK("https://cfpub.epa.gov/ecotox/explore.cfm?ncbi=334116","Explore in ECOTOX")</f>
        <v>Explore in ECOTOX</v>
      </c>
    </row>
    <row r="1107" spans="1:18" x14ac:dyDescent="0.25">
      <c r="A1107">
        <v>6</v>
      </c>
      <c r="B1107" t="str">
        <f>HYPERLINK("http://www.ncbi.nlm.nih.gov/protein/PIO69707.1","PIO69707.1")</f>
        <v>PIO69707.1</v>
      </c>
      <c r="C1107">
        <v>25769</v>
      </c>
      <c r="D1107" t="str">
        <f>HYPERLINK("http://www.ncbi.nlm.nih.gov/Taxonomy/Browser/wwwtax.cgi?mode=Info&amp;id=45464&amp;lvl=3&amp;lin=f&amp;keep=1&amp;srchmode=1&amp;unlock","45464")</f>
        <v>45464</v>
      </c>
      <c r="E1107" t="s">
        <v>869</v>
      </c>
      <c r="F1107" t="s">
        <v>869</v>
      </c>
      <c r="G1107" t="str">
        <f>HYPERLINK("http://www.ncbi.nlm.nih.gov/Taxonomy/Browser/wwwtax.cgi?mode=Info&amp;id=45464&amp;lvl=3&amp;lin=f&amp;keep=1&amp;srchmode=1&amp;unlock","Teladorsagia circumcincta")</f>
        <v>Teladorsagia circumcincta</v>
      </c>
      <c r="H1107" t="s">
        <v>803</v>
      </c>
      <c r="I1107" t="str">
        <f>HYPERLINK("http://www.ncbi.nlm.nih.gov/protein/PIO69707.1","lipocalin / cytosolic fatty-acid binding protein")</f>
        <v>lipocalin / cytosolic fatty-acid binding protein</v>
      </c>
      <c r="J1107">
        <v>45.44</v>
      </c>
      <c r="K1107" t="s">
        <v>25</v>
      </c>
      <c r="L1107">
        <v>139</v>
      </c>
      <c r="M1107">
        <v>50.68</v>
      </c>
      <c r="N1107">
        <v>18.010000000000002</v>
      </c>
      <c r="O1107" t="s">
        <v>25</v>
      </c>
      <c r="P1107" t="s">
        <v>21</v>
      </c>
      <c r="Q1107" t="s">
        <v>20</v>
      </c>
      <c r="R1107" t="str">
        <f>HYPERLINK("https://cfpub.epa.gov/ecotox/explore.cfm?ncbi=45464","Explore in ECOTOX")</f>
        <v>Explore in ECOTOX</v>
      </c>
    </row>
    <row r="1108" spans="1:18" x14ac:dyDescent="0.25">
      <c r="A1108">
        <v>6</v>
      </c>
      <c r="B1108" t="str">
        <f>HYPERLINK("http://www.ncbi.nlm.nih.gov/protein/QQP52297.1","QQP52297.1")</f>
        <v>QQP52297.1</v>
      </c>
      <c r="C1108">
        <v>20529</v>
      </c>
      <c r="D1108" t="str">
        <f>HYPERLINK("http://www.ncbi.nlm.nih.gov/Taxonomy/Browser/wwwtax.cgi?mode=Info&amp;id=217165&amp;lvl=3&amp;lin=f&amp;keep=1&amp;srchmode=1&amp;unlock","217165")</f>
        <v>217165</v>
      </c>
      <c r="E1108" t="s">
        <v>760</v>
      </c>
      <c r="F1108" t="s">
        <v>760</v>
      </c>
      <c r="G1108" t="str">
        <f>HYPERLINK("http://www.ncbi.nlm.nih.gov/Taxonomy/Browser/wwwtax.cgi?mode=Info&amp;id=217165&amp;lvl=3&amp;lin=f&amp;keep=1&amp;srchmode=1&amp;unlock","Caligus rogercresseyi")</f>
        <v>Caligus rogercresseyi</v>
      </c>
      <c r="H1108" t="s">
        <v>778</v>
      </c>
      <c r="I1108" t="str">
        <f>HYPERLINK("http://www.ncbi.nlm.nih.gov/protein/QQP52297.1","Cellular retinoic acid-binding protein 2, partial")</f>
        <v>Cellular retinoic acid-binding protein 2, partial</v>
      </c>
      <c r="J1108">
        <v>45.44</v>
      </c>
      <c r="K1108" t="s">
        <v>25</v>
      </c>
      <c r="L1108">
        <v>139</v>
      </c>
      <c r="M1108">
        <v>50.68</v>
      </c>
      <c r="N1108">
        <v>18.010000000000002</v>
      </c>
      <c r="O1108" t="s">
        <v>25</v>
      </c>
      <c r="P1108" t="s">
        <v>21</v>
      </c>
      <c r="Q1108" t="s">
        <v>20</v>
      </c>
      <c r="R1108" t="str">
        <f>HYPERLINK("https://cfpub.epa.gov/ecotox/explore.cfm?ncbi=217165","Explore in ECOTOX")</f>
        <v>Explore in ECOTOX</v>
      </c>
    </row>
    <row r="1109" spans="1:18" x14ac:dyDescent="0.25">
      <c r="A1109">
        <v>6</v>
      </c>
      <c r="B1109" t="str">
        <f>HYPERLINK("http://www.ncbi.nlm.nih.gov/protein/Q7M4G1.2","Q7M4G1.2")</f>
        <v>Q7M4G1.2</v>
      </c>
      <c r="C1109">
        <v>12731</v>
      </c>
      <c r="D1109" t="str">
        <f>HYPERLINK("http://www.ncbi.nlm.nih.gov/Taxonomy/Browser/wwwtax.cgi?mode=Info&amp;id=6192&amp;lvl=3&amp;lin=f&amp;keep=1&amp;srchmode=1&amp;unlock","6192")</f>
        <v>6192</v>
      </c>
      <c r="E1109" t="s">
        <v>793</v>
      </c>
      <c r="F1109" t="s">
        <v>793</v>
      </c>
      <c r="G1109" t="str">
        <f>HYPERLINK("http://www.ncbi.nlm.nih.gov/Taxonomy/Browser/wwwtax.cgi?mode=Info&amp;id=6192&amp;lvl=3&amp;lin=f&amp;keep=1&amp;srchmode=1&amp;unlock","Fasciola hepatica")</f>
        <v>Fasciola hepatica</v>
      </c>
      <c r="H1109" t="s">
        <v>963</v>
      </c>
      <c r="I1109" t="str">
        <f>HYPERLINK("http://www.ncbi.nlm.nih.gov/protein/Q7M4G1.2","RecName: Full=Fatty acid-binding protein type 2")</f>
        <v>RecName: Full=Fatty acid-binding protein type 2</v>
      </c>
      <c r="J1109">
        <v>45.05</v>
      </c>
      <c r="K1109" t="s">
        <v>25</v>
      </c>
      <c r="L1109">
        <v>139</v>
      </c>
      <c r="M1109">
        <v>50.68</v>
      </c>
      <c r="N1109">
        <v>17.86</v>
      </c>
      <c r="O1109" t="s">
        <v>25</v>
      </c>
      <c r="P1109" t="s">
        <v>21</v>
      </c>
      <c r="Q1109" t="s">
        <v>20</v>
      </c>
      <c r="R1109" t="str">
        <f>HYPERLINK("https://cfpub.epa.gov/ecotox/explore.cfm?ncbi=6192","Explore in ECOTOX")</f>
        <v>Explore in ECOTOX</v>
      </c>
    </row>
    <row r="1110" spans="1:18" x14ac:dyDescent="0.25">
      <c r="A1110">
        <v>6</v>
      </c>
      <c r="B1110" t="str">
        <f>HYPERLINK("http://www.ncbi.nlm.nih.gov/protein/XP_015429057.1","XP_015429057.1")</f>
        <v>XP_015429057.1</v>
      </c>
      <c r="C1110">
        <v>23634</v>
      </c>
      <c r="D1110" t="str">
        <f>HYPERLINK("http://www.ncbi.nlm.nih.gov/Taxonomy/Browser/wwwtax.cgi?mode=Info&amp;id=178035&amp;lvl=3&amp;lin=f&amp;keep=1&amp;srchmode=1&amp;unlock","178035")</f>
        <v>178035</v>
      </c>
      <c r="E1110" t="s">
        <v>698</v>
      </c>
      <c r="F1110" t="s">
        <v>698</v>
      </c>
      <c r="G1110" t="str">
        <f>HYPERLINK("http://www.ncbi.nlm.nih.gov/Taxonomy/Browser/wwwtax.cgi?mode=Info&amp;id=178035&amp;lvl=3&amp;lin=f&amp;keep=1&amp;srchmode=1&amp;unlock","Dufourea novaeangliae")</f>
        <v>Dufourea novaeangliae</v>
      </c>
      <c r="H1110" t="s">
        <v>964</v>
      </c>
      <c r="I1110" t="str">
        <f>HYPERLINK("http://www.ncbi.nlm.nih.gov/protein/XP_015429057.1","PREDICTED: LOW QUALITY PROTEIN: myelin P2 protein")</f>
        <v>PREDICTED: LOW QUALITY PROTEIN: myelin P2 protein</v>
      </c>
      <c r="J1110">
        <v>45.05</v>
      </c>
      <c r="K1110" t="s">
        <v>25</v>
      </c>
      <c r="L1110">
        <v>139</v>
      </c>
      <c r="M1110">
        <v>50.68</v>
      </c>
      <c r="N1110">
        <v>17.86</v>
      </c>
      <c r="O1110" t="s">
        <v>25</v>
      </c>
      <c r="P1110" t="s">
        <v>21</v>
      </c>
      <c r="Q1110" t="s">
        <v>20</v>
      </c>
      <c r="R1110" t="str">
        <f>HYPERLINK("https://cfpub.epa.gov/ecotox/explore.cfm?ncbi=178035","Explore in ECOTOX")</f>
        <v>Explore in ECOTOX</v>
      </c>
    </row>
    <row r="1111" spans="1:18" x14ac:dyDescent="0.25">
      <c r="A1111">
        <v>6</v>
      </c>
      <c r="B1111" t="str">
        <f>HYPERLINK("http://www.ncbi.nlm.nih.gov/protein/CAF0930548.1","CAF0930548.1")</f>
        <v>CAF0930548.1</v>
      </c>
      <c r="C1111">
        <v>441131</v>
      </c>
      <c r="D1111" t="str">
        <f>HYPERLINK("http://www.ncbi.nlm.nih.gov/Taxonomy/Browser/wwwtax.cgi?mode=Info&amp;id=2762511&amp;lvl=3&amp;lin=f&amp;keep=1&amp;srchmode=1&amp;unlock","2762511")</f>
        <v>2762511</v>
      </c>
      <c r="E1111" t="s">
        <v>855</v>
      </c>
      <c r="F1111" t="s">
        <v>855</v>
      </c>
      <c r="G1111" t="str">
        <f>HYPERLINK("http://www.ncbi.nlm.nih.gov/Taxonomy/Browser/wwwtax.cgi?mode=Info&amp;id=2762511&amp;lvl=3&amp;lin=f&amp;keep=1&amp;srchmode=1&amp;unlock","Rotaria sp. Silwood1")</f>
        <v>Rotaria sp. Silwood1</v>
      </c>
      <c r="H1111" t="s">
        <v>856</v>
      </c>
      <c r="I1111" t="str">
        <f>HYPERLINK("http://www.ncbi.nlm.nih.gov/protein/CAF0930548.1","unnamed protein product")</f>
        <v>unnamed protein product</v>
      </c>
      <c r="J1111">
        <v>45.05</v>
      </c>
      <c r="K1111" t="s">
        <v>25</v>
      </c>
      <c r="L1111">
        <v>139</v>
      </c>
      <c r="M1111">
        <v>50.68</v>
      </c>
      <c r="N1111">
        <v>17.86</v>
      </c>
      <c r="O1111" t="s">
        <v>25</v>
      </c>
      <c r="P1111" t="s">
        <v>21</v>
      </c>
      <c r="Q1111" t="s">
        <v>20</v>
      </c>
      <c r="R1111" t="str">
        <f>HYPERLINK("https://cfpub.epa.gov/ecotox/explore.cfm?ncbi=2762511","Explore in ECOTOX")</f>
        <v>Explore in ECOTOX</v>
      </c>
    </row>
    <row r="1112" spans="1:18" x14ac:dyDescent="0.25">
      <c r="A1112">
        <v>6</v>
      </c>
      <c r="B1112" t="str">
        <f>HYPERLINK("http://www.ncbi.nlm.nih.gov/protein/CAB3408943.1","CAB3408943.1")</f>
        <v>CAB3408943.1</v>
      </c>
      <c r="C1112">
        <v>15165</v>
      </c>
      <c r="D1112" t="str">
        <f>HYPERLINK("http://www.ncbi.nlm.nih.gov/Taxonomy/Browser/wwwtax.cgi?mode=Info&amp;id=2654633&amp;lvl=3&amp;lin=f&amp;keep=1&amp;srchmode=1&amp;unlock","2654633")</f>
        <v>2654633</v>
      </c>
      <c r="E1112" t="s">
        <v>869</v>
      </c>
      <c r="F1112" t="s">
        <v>869</v>
      </c>
      <c r="G1112" t="str">
        <f>HYPERLINK("http://www.ncbi.nlm.nih.gov/Taxonomy/Browser/wwwtax.cgi?mode=Info&amp;id=2654633&amp;lvl=3&amp;lin=f&amp;keep=1&amp;srchmode=1&amp;unlock","Caenorhabditis bovis")</f>
        <v>Caenorhabditis bovis</v>
      </c>
      <c r="H1112" t="s">
        <v>803</v>
      </c>
      <c r="I1112" t="str">
        <f>HYPERLINK("http://www.ncbi.nlm.nih.gov/protein/CAB3408943.1","unnamed protein product")</f>
        <v>unnamed protein product</v>
      </c>
      <c r="J1112">
        <v>45.05</v>
      </c>
      <c r="K1112" t="s">
        <v>25</v>
      </c>
      <c r="L1112">
        <v>139</v>
      </c>
      <c r="M1112">
        <v>50.68</v>
      </c>
      <c r="N1112">
        <v>17.86</v>
      </c>
      <c r="O1112" t="s">
        <v>25</v>
      </c>
      <c r="P1112" t="s">
        <v>21</v>
      </c>
      <c r="Q1112" t="s">
        <v>20</v>
      </c>
      <c r="R1112" t="str">
        <f>HYPERLINK("https://cfpub.epa.gov/ecotox/explore.cfm?ncbi=2654633","Explore in ECOTOX")</f>
        <v>Explore in ECOTOX</v>
      </c>
    </row>
    <row r="1113" spans="1:18" x14ac:dyDescent="0.25">
      <c r="A1113">
        <v>6</v>
      </c>
      <c r="B1113" t="str">
        <f>HYPERLINK("http://www.ncbi.nlm.nih.gov/protein/VZI09608.1","VZI09608.1")</f>
        <v>VZI09608.1</v>
      </c>
      <c r="C1113">
        <v>22428</v>
      </c>
      <c r="D1113" t="str">
        <f>HYPERLINK("http://www.ncbi.nlm.nih.gov/Taxonomy/Browser/wwwtax.cgi?mode=Info&amp;id=64606&amp;lvl=3&amp;lin=f&amp;keep=1&amp;srchmode=1&amp;unlock","64606")</f>
        <v>64606</v>
      </c>
      <c r="E1113" t="s">
        <v>907</v>
      </c>
      <c r="F1113" t="s">
        <v>907</v>
      </c>
      <c r="G1113" t="str">
        <f>HYPERLINK("http://www.ncbi.nlm.nih.gov/Taxonomy/Browser/wwwtax.cgi?mode=Info&amp;id=64606&amp;lvl=3&amp;lin=f&amp;keep=1&amp;srchmode=1&amp;unlock","Sparganum proliferum")</f>
        <v>Sparganum proliferum</v>
      </c>
      <c r="H1113" t="s">
        <v>908</v>
      </c>
      <c r="I1113" t="str">
        <f>HYPERLINK("http://www.ncbi.nlm.nih.gov/protein/VZI09608.1","unnamed protein product")</f>
        <v>unnamed protein product</v>
      </c>
      <c r="J1113">
        <v>45.05</v>
      </c>
      <c r="K1113" t="s">
        <v>25</v>
      </c>
      <c r="L1113">
        <v>139</v>
      </c>
      <c r="M1113">
        <v>50.68</v>
      </c>
      <c r="N1113">
        <v>17.86</v>
      </c>
      <c r="O1113" t="s">
        <v>25</v>
      </c>
      <c r="P1113" t="s">
        <v>21</v>
      </c>
      <c r="Q1113" t="s">
        <v>20</v>
      </c>
      <c r="R1113" t="str">
        <f>HYPERLINK("https://cfpub.epa.gov/ecotox/explore.cfm?ncbi=64606","Explore in ECOTOX")</f>
        <v>Explore in ECOTOX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06561-2466-4A93-9C4F-F1BBEC799A36}">
  <dimension ref="A1:W600"/>
  <sheetViews>
    <sheetView workbookViewId="0">
      <selection activeCell="M23" sqref="M23"/>
    </sheetView>
  </sheetViews>
  <sheetFormatPr defaultRowHeight="15" x14ac:dyDescent="0.25"/>
  <sheetData>
    <row r="1" spans="1:23" x14ac:dyDescent="0.25">
      <c r="A1" t="s">
        <v>0</v>
      </c>
      <c r="B1" t="s">
        <v>1298</v>
      </c>
      <c r="C1" t="s">
        <v>1</v>
      </c>
      <c r="D1" t="s">
        <v>2</v>
      </c>
      <c r="E1" t="s">
        <v>3</v>
      </c>
      <c r="F1" t="s">
        <v>4</v>
      </c>
      <c r="G1" t="s">
        <v>6</v>
      </c>
      <c r="H1" t="s">
        <v>7</v>
      </c>
      <c r="I1" t="s">
        <v>8</v>
      </c>
      <c r="J1" t="s">
        <v>15</v>
      </c>
      <c r="K1" t="s">
        <v>1299</v>
      </c>
      <c r="L1" t="s">
        <v>1300</v>
      </c>
      <c r="M1" t="s">
        <v>1301</v>
      </c>
      <c r="N1" t="s">
        <v>1302</v>
      </c>
      <c r="O1" t="s">
        <v>1303</v>
      </c>
      <c r="P1" t="s">
        <v>1304</v>
      </c>
      <c r="Q1" t="s">
        <v>1305</v>
      </c>
      <c r="R1" t="s">
        <v>1306</v>
      </c>
      <c r="S1" t="s">
        <v>1307</v>
      </c>
      <c r="T1" t="s">
        <v>1308</v>
      </c>
      <c r="U1" t="s">
        <v>1309</v>
      </c>
      <c r="V1" t="s">
        <v>1310</v>
      </c>
      <c r="W1" t="s">
        <v>1311</v>
      </c>
    </row>
    <row r="2" spans="1:23" x14ac:dyDescent="0.25">
      <c r="A2">
        <v>6</v>
      </c>
      <c r="B2" t="s">
        <v>18</v>
      </c>
      <c r="C2" t="str">
        <f>HYPERLINK("http://www.ncbi.nlm.nih.gov/protein/AAI32976.1","AAI32976.1")</f>
        <v>AAI32976.1</v>
      </c>
      <c r="D2">
        <v>2603582</v>
      </c>
      <c r="E2" t="str">
        <f>HYPERLINK("http://www.ncbi.nlm.nih.gov/Taxonomy/Browser/wwwtax.cgi?mode=Info&amp;id=9606&amp;lvl=3&amp;lin=f&amp;keep=1&amp;srchmode=1&amp;unlock","9606")</f>
        <v>9606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HYPERLINK("http://www.ncbi.nlm.nih.gov/protein/AAI32976.1","AR protein")</f>
        <v>AR protein</v>
      </c>
      <c r="J2" t="s">
        <v>1312</v>
      </c>
      <c r="K2" t="s">
        <v>20</v>
      </c>
      <c r="L2">
        <v>700</v>
      </c>
      <c r="M2" t="s">
        <v>25</v>
      </c>
      <c r="N2" t="s">
        <v>20</v>
      </c>
      <c r="O2">
        <v>706</v>
      </c>
      <c r="P2" t="s">
        <v>1313</v>
      </c>
      <c r="Q2" t="s">
        <v>20</v>
      </c>
      <c r="R2">
        <v>747</v>
      </c>
      <c r="S2" t="s">
        <v>1314</v>
      </c>
      <c r="T2" t="s">
        <v>20</v>
      </c>
      <c r="U2">
        <v>872</v>
      </c>
      <c r="V2" t="s">
        <v>1315</v>
      </c>
      <c r="W2" t="s">
        <v>20</v>
      </c>
    </row>
    <row r="3" spans="1:23" x14ac:dyDescent="0.25">
      <c r="A3">
        <v>6</v>
      </c>
      <c r="B3" t="s">
        <v>18</v>
      </c>
      <c r="C3" t="str">
        <f>HYPERLINK("http://www.ncbi.nlm.nih.gov/protein/PNI41853.1","PNI41853.1")</f>
        <v>PNI41853.1</v>
      </c>
      <c r="D3">
        <v>171683</v>
      </c>
      <c r="E3" t="str">
        <f>HYPERLINK("http://www.ncbi.nlm.nih.gov/Taxonomy/Browser/wwwtax.cgi?mode=Info&amp;id=9598&amp;lvl=3&amp;lin=f&amp;keep=1&amp;srchmode=1&amp;unlock","9598")</f>
        <v>9598</v>
      </c>
      <c r="F3" t="s">
        <v>18</v>
      </c>
      <c r="G3" t="str">
        <f>HYPERLINK("http://www.ncbi.nlm.nih.gov/Taxonomy/Browser/wwwtax.cgi?mode=Info&amp;id=9598&amp;lvl=3&amp;lin=f&amp;keep=1&amp;srchmode=1&amp;unlock","Pan troglodytes")</f>
        <v>Pan troglodytes</v>
      </c>
      <c r="H3" t="s">
        <v>22</v>
      </c>
      <c r="I3" t="str">
        <f>HYPERLINK("http://www.ncbi.nlm.nih.gov/protein/PNI41853.1","AR isoform 1")</f>
        <v>AR isoform 1</v>
      </c>
      <c r="J3" t="s">
        <v>1312</v>
      </c>
      <c r="K3" t="s">
        <v>20</v>
      </c>
      <c r="L3">
        <v>699</v>
      </c>
      <c r="M3" t="s">
        <v>25</v>
      </c>
      <c r="N3" t="s">
        <v>20</v>
      </c>
      <c r="O3">
        <v>705</v>
      </c>
      <c r="P3" t="s">
        <v>1313</v>
      </c>
      <c r="Q3" t="s">
        <v>20</v>
      </c>
      <c r="R3">
        <v>746</v>
      </c>
      <c r="S3" t="s">
        <v>1314</v>
      </c>
      <c r="T3" t="s">
        <v>20</v>
      </c>
      <c r="U3">
        <v>871</v>
      </c>
      <c r="V3" t="s">
        <v>1315</v>
      </c>
      <c r="W3" t="s">
        <v>20</v>
      </c>
    </row>
    <row r="4" spans="1:23" x14ac:dyDescent="0.25">
      <c r="A4">
        <v>6</v>
      </c>
      <c r="B4" t="s">
        <v>18</v>
      </c>
      <c r="C4" t="str">
        <f>HYPERLINK("http://www.ncbi.nlm.nih.gov/protein/XP_034805436.1","XP_034805436.1")</f>
        <v>XP_034805436.1</v>
      </c>
      <c r="D4">
        <v>71982</v>
      </c>
      <c r="E4" t="str">
        <f>HYPERLINK("http://www.ncbi.nlm.nih.gov/Taxonomy/Browser/wwwtax.cgi?mode=Info&amp;id=9597&amp;lvl=3&amp;lin=f&amp;keep=1&amp;srchmode=1&amp;unlock","9597")</f>
        <v>9597</v>
      </c>
      <c r="F4" t="s">
        <v>18</v>
      </c>
      <c r="G4" t="str">
        <f>HYPERLINK("http://www.ncbi.nlm.nih.gov/Taxonomy/Browser/wwwtax.cgi?mode=Info&amp;id=9597&amp;lvl=3&amp;lin=f&amp;keep=1&amp;srchmode=1&amp;unlock","Pan paniscus")</f>
        <v>Pan paniscus</v>
      </c>
      <c r="H4" t="s">
        <v>23</v>
      </c>
      <c r="I4" t="str">
        <f>HYPERLINK("http://www.ncbi.nlm.nih.gov/protein/XP_034805436.1","androgen receptor isoform X1")</f>
        <v>androgen receptor isoform X1</v>
      </c>
      <c r="J4" t="s">
        <v>1312</v>
      </c>
      <c r="K4" t="s">
        <v>20</v>
      </c>
      <c r="L4">
        <v>693</v>
      </c>
      <c r="M4" t="s">
        <v>25</v>
      </c>
      <c r="N4" t="s">
        <v>20</v>
      </c>
      <c r="O4">
        <v>699</v>
      </c>
      <c r="P4" t="s">
        <v>1313</v>
      </c>
      <c r="Q4" t="s">
        <v>20</v>
      </c>
      <c r="R4">
        <v>740</v>
      </c>
      <c r="S4" t="s">
        <v>1314</v>
      </c>
      <c r="T4" t="s">
        <v>20</v>
      </c>
      <c r="U4">
        <v>865</v>
      </c>
      <c r="V4" t="s">
        <v>1315</v>
      </c>
      <c r="W4" t="s">
        <v>20</v>
      </c>
    </row>
    <row r="5" spans="1:23" x14ac:dyDescent="0.25">
      <c r="A5">
        <v>6</v>
      </c>
      <c r="B5" t="s">
        <v>18</v>
      </c>
      <c r="C5" t="str">
        <f>HYPERLINK("http://www.ncbi.nlm.nih.gov/protein/XP_018875276.1","XP_018875276.1")</f>
        <v>XP_018875276.1</v>
      </c>
      <c r="D5">
        <v>52137</v>
      </c>
      <c r="E5" t="str">
        <f>HYPERLINK("http://www.ncbi.nlm.nih.gov/Taxonomy/Browser/wwwtax.cgi?mode=Info&amp;id=9595&amp;lvl=3&amp;lin=f&amp;keep=1&amp;srchmode=1&amp;unlock","9595")</f>
        <v>9595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HYPERLINK("http://www.ncbi.nlm.nih.gov/protein/XP_018875276.1","androgen receptor")</f>
        <v>androgen receptor</v>
      </c>
      <c r="J5" t="s">
        <v>1312</v>
      </c>
      <c r="K5" t="s">
        <v>20</v>
      </c>
      <c r="L5">
        <v>688</v>
      </c>
      <c r="M5" t="s">
        <v>25</v>
      </c>
      <c r="N5" t="s">
        <v>20</v>
      </c>
      <c r="O5">
        <v>694</v>
      </c>
      <c r="P5" t="s">
        <v>1313</v>
      </c>
      <c r="Q5" t="s">
        <v>20</v>
      </c>
      <c r="R5">
        <v>735</v>
      </c>
      <c r="S5" t="s">
        <v>1314</v>
      </c>
      <c r="T5" t="s">
        <v>20</v>
      </c>
      <c r="U5">
        <v>860</v>
      </c>
      <c r="V5" t="s">
        <v>1315</v>
      </c>
      <c r="W5" t="s">
        <v>20</v>
      </c>
    </row>
    <row r="6" spans="1:23" x14ac:dyDescent="0.25">
      <c r="A6">
        <v>6</v>
      </c>
      <c r="B6" t="s">
        <v>18</v>
      </c>
      <c r="C6" t="str">
        <f>HYPERLINK("http://www.ncbi.nlm.nih.gov/protein/XP_009233214.1","XP_009233214.1")</f>
        <v>XP_009233214.1</v>
      </c>
      <c r="D6">
        <v>141069</v>
      </c>
      <c r="E6" t="str">
        <f>HYPERLINK("http://www.ncbi.nlm.nih.gov/Taxonomy/Browser/wwwtax.cgi?mode=Info&amp;id=9601&amp;lvl=3&amp;lin=f&amp;keep=1&amp;srchmode=1&amp;unlock","9601")</f>
        <v>9601</v>
      </c>
      <c r="F6" t="s">
        <v>18</v>
      </c>
      <c r="G6" t="str">
        <f>HYPERLINK("http://www.ncbi.nlm.nih.gov/Taxonomy/Browser/wwwtax.cgi?mode=Info&amp;id=9601&amp;lvl=3&amp;lin=f&amp;keep=1&amp;srchmode=1&amp;unlock","Pongo abelii")</f>
        <v>Pongo abelii</v>
      </c>
      <c r="H6" t="s">
        <v>28</v>
      </c>
      <c r="I6" t="str">
        <f>HYPERLINK("http://www.ncbi.nlm.nih.gov/protein/XP_009233214.1","androgen receptor isoform X1")</f>
        <v>androgen receptor isoform X1</v>
      </c>
      <c r="J6" t="s">
        <v>1312</v>
      </c>
      <c r="K6" t="s">
        <v>20</v>
      </c>
      <c r="L6">
        <v>694</v>
      </c>
      <c r="M6" t="s">
        <v>25</v>
      </c>
      <c r="N6" t="s">
        <v>20</v>
      </c>
      <c r="O6">
        <v>700</v>
      </c>
      <c r="P6" t="s">
        <v>1313</v>
      </c>
      <c r="Q6" t="s">
        <v>20</v>
      </c>
      <c r="R6">
        <v>741</v>
      </c>
      <c r="S6" t="s">
        <v>1314</v>
      </c>
      <c r="T6" t="s">
        <v>20</v>
      </c>
      <c r="U6">
        <v>866</v>
      </c>
      <c r="V6" t="s">
        <v>1315</v>
      </c>
      <c r="W6" t="s">
        <v>20</v>
      </c>
    </row>
    <row r="7" spans="1:23" x14ac:dyDescent="0.25">
      <c r="A7">
        <v>6</v>
      </c>
      <c r="B7" t="s">
        <v>18</v>
      </c>
      <c r="C7" t="str">
        <f>HYPERLINK("http://www.ncbi.nlm.nih.gov/protein/XP_023054207.1","XP_023054207.1")</f>
        <v>XP_023054207.1</v>
      </c>
      <c r="D7">
        <v>55467</v>
      </c>
      <c r="E7" t="str">
        <f>HYPERLINK("http://www.ncbi.nlm.nih.gov/Taxonomy/Browser/wwwtax.cgi?mode=Info&amp;id=591936&amp;lvl=3&amp;lin=f&amp;keep=1&amp;srchmode=1&amp;unlock","591936")</f>
        <v>591936</v>
      </c>
      <c r="F7" t="s">
        <v>18</v>
      </c>
      <c r="G7" t="str">
        <f>HYPERLINK("http://www.ncbi.nlm.nih.gov/Taxonomy/Browser/wwwtax.cgi?mode=Info&amp;id=591936&amp;lvl=3&amp;lin=f&amp;keep=1&amp;srchmode=1&amp;unlock","Piliocolobus tephrosceles")</f>
        <v>Piliocolobus tephrosceles</v>
      </c>
      <c r="H7" t="s">
        <v>33</v>
      </c>
      <c r="I7" t="str">
        <f>HYPERLINK("http://www.ncbi.nlm.nih.gov/protein/XP_023054207.1","androgen receptor isoform X1")</f>
        <v>androgen receptor isoform X1</v>
      </c>
      <c r="J7" t="s">
        <v>1312</v>
      </c>
      <c r="K7" t="s">
        <v>20</v>
      </c>
      <c r="L7">
        <v>686</v>
      </c>
      <c r="M7" t="s">
        <v>25</v>
      </c>
      <c r="N7" t="s">
        <v>20</v>
      </c>
      <c r="O7">
        <v>692</v>
      </c>
      <c r="P7" t="s">
        <v>1313</v>
      </c>
      <c r="Q7" t="s">
        <v>20</v>
      </c>
      <c r="R7">
        <v>733</v>
      </c>
      <c r="S7" t="s">
        <v>1314</v>
      </c>
      <c r="T7" t="s">
        <v>20</v>
      </c>
      <c r="U7">
        <v>858</v>
      </c>
      <c r="V7" t="s">
        <v>1315</v>
      </c>
      <c r="W7" t="s">
        <v>20</v>
      </c>
    </row>
    <row r="8" spans="1:23" x14ac:dyDescent="0.25">
      <c r="A8">
        <v>6</v>
      </c>
      <c r="B8" t="s">
        <v>18</v>
      </c>
      <c r="C8" t="str">
        <f>HYPERLINK("http://www.ncbi.nlm.nih.gov/protein/XP_025227875.1","XP_025227875.1")</f>
        <v>XP_025227875.1</v>
      </c>
      <c r="D8">
        <v>52581</v>
      </c>
      <c r="E8" t="str">
        <f>HYPERLINK("http://www.ncbi.nlm.nih.gov/Taxonomy/Browser/wwwtax.cgi?mode=Info&amp;id=9565&amp;lvl=3&amp;lin=f&amp;keep=1&amp;srchmode=1&amp;unlock","9565")</f>
        <v>9565</v>
      </c>
      <c r="F8" t="s">
        <v>18</v>
      </c>
      <c r="G8" t="str">
        <f>HYPERLINK("http://www.ncbi.nlm.nih.gov/Taxonomy/Browser/wwwtax.cgi?mode=Info&amp;id=9565&amp;lvl=3&amp;lin=f&amp;keep=1&amp;srchmode=1&amp;unlock","Theropithecus gelada")</f>
        <v>Theropithecus gelada</v>
      </c>
      <c r="H8" t="s">
        <v>41</v>
      </c>
      <c r="I8" t="str">
        <f>HYPERLINK("http://www.ncbi.nlm.nih.gov/protein/XP_025227875.1","androgen receptor isoform X1")</f>
        <v>androgen receptor isoform X1</v>
      </c>
      <c r="J8" t="s">
        <v>1312</v>
      </c>
      <c r="K8" t="s">
        <v>20</v>
      </c>
      <c r="L8">
        <v>684</v>
      </c>
      <c r="M8" t="s">
        <v>25</v>
      </c>
      <c r="N8" t="s">
        <v>20</v>
      </c>
      <c r="O8">
        <v>690</v>
      </c>
      <c r="P8" t="s">
        <v>1313</v>
      </c>
      <c r="Q8" t="s">
        <v>20</v>
      </c>
      <c r="R8">
        <v>731</v>
      </c>
      <c r="S8" t="s">
        <v>1314</v>
      </c>
      <c r="T8" t="s">
        <v>20</v>
      </c>
      <c r="U8">
        <v>856</v>
      </c>
      <c r="V8" t="s">
        <v>1315</v>
      </c>
      <c r="W8" t="s">
        <v>20</v>
      </c>
    </row>
    <row r="9" spans="1:23" x14ac:dyDescent="0.25">
      <c r="A9">
        <v>6</v>
      </c>
      <c r="B9" t="s">
        <v>18</v>
      </c>
      <c r="C9" t="str">
        <f>HYPERLINK("http://www.ncbi.nlm.nih.gov/protein/XP_011731144.1","XP_011731144.1")</f>
        <v>XP_011731144.1</v>
      </c>
      <c r="D9">
        <v>68712</v>
      </c>
      <c r="E9" t="str">
        <f>HYPERLINK("http://www.ncbi.nlm.nih.gov/Taxonomy/Browser/wwwtax.cgi?mode=Info&amp;id=9545&amp;lvl=3&amp;lin=f&amp;keep=1&amp;srchmode=1&amp;unlock","9545")</f>
        <v>9545</v>
      </c>
      <c r="F9" t="s">
        <v>18</v>
      </c>
      <c r="G9" t="str">
        <f>HYPERLINK("http://www.ncbi.nlm.nih.gov/Taxonomy/Browser/wwwtax.cgi?mode=Info&amp;id=9545&amp;lvl=3&amp;lin=f&amp;keep=1&amp;srchmode=1&amp;unlock","Macaca nemestrina")</f>
        <v>Macaca nemestrina</v>
      </c>
      <c r="H9" t="s">
        <v>30</v>
      </c>
      <c r="I9" t="str">
        <f>HYPERLINK("http://www.ncbi.nlm.nih.gov/protein/XP_011731144.1","androgen receptor isoform X1")</f>
        <v>androgen receptor isoform X1</v>
      </c>
      <c r="J9" t="s">
        <v>1312</v>
      </c>
      <c r="K9" t="s">
        <v>20</v>
      </c>
      <c r="L9">
        <v>684</v>
      </c>
      <c r="M9" t="s">
        <v>25</v>
      </c>
      <c r="N9" t="s">
        <v>20</v>
      </c>
      <c r="O9">
        <v>690</v>
      </c>
      <c r="P9" t="s">
        <v>1313</v>
      </c>
      <c r="Q9" t="s">
        <v>20</v>
      </c>
      <c r="R9">
        <v>731</v>
      </c>
      <c r="S9" t="s">
        <v>1314</v>
      </c>
      <c r="T9" t="s">
        <v>20</v>
      </c>
      <c r="U9">
        <v>856</v>
      </c>
      <c r="V9" t="s">
        <v>1315</v>
      </c>
      <c r="W9" t="s">
        <v>20</v>
      </c>
    </row>
    <row r="10" spans="1:23" x14ac:dyDescent="0.25">
      <c r="A10">
        <v>6</v>
      </c>
      <c r="B10" t="s">
        <v>18</v>
      </c>
      <c r="C10" t="str">
        <f>HYPERLINK("http://www.ncbi.nlm.nih.gov/protein/XP_003917866.2","XP_003917866.2")</f>
        <v>XP_003917866.2</v>
      </c>
      <c r="D10">
        <v>73528</v>
      </c>
      <c r="E10" t="str">
        <f>HYPERLINK("http://www.ncbi.nlm.nih.gov/Taxonomy/Browser/wwwtax.cgi?mode=Info&amp;id=9555&amp;lvl=3&amp;lin=f&amp;keep=1&amp;srchmode=1&amp;unlock","9555")</f>
        <v>9555</v>
      </c>
      <c r="F10" t="s">
        <v>18</v>
      </c>
      <c r="G10" t="str">
        <f>HYPERLINK("http://www.ncbi.nlm.nih.gov/Taxonomy/Browser/wwwtax.cgi?mode=Info&amp;id=9555&amp;lvl=3&amp;lin=f&amp;keep=1&amp;srchmode=1&amp;unlock","Papio anubis")</f>
        <v>Papio anubis</v>
      </c>
      <c r="H10" t="s">
        <v>38</v>
      </c>
      <c r="I10" t="str">
        <f>HYPERLINK("http://www.ncbi.nlm.nih.gov/protein/XP_003917866.2","androgen receptor isoform X1")</f>
        <v>androgen receptor isoform X1</v>
      </c>
      <c r="J10" t="s">
        <v>1312</v>
      </c>
      <c r="K10" t="s">
        <v>20</v>
      </c>
      <c r="L10">
        <v>682</v>
      </c>
      <c r="M10" t="s">
        <v>25</v>
      </c>
      <c r="N10" t="s">
        <v>20</v>
      </c>
      <c r="O10">
        <v>688</v>
      </c>
      <c r="P10" t="s">
        <v>1313</v>
      </c>
      <c r="Q10" t="s">
        <v>20</v>
      </c>
      <c r="R10">
        <v>729</v>
      </c>
      <c r="S10" t="s">
        <v>1314</v>
      </c>
      <c r="T10" t="s">
        <v>20</v>
      </c>
      <c r="U10">
        <v>854</v>
      </c>
      <c r="V10" t="s">
        <v>1315</v>
      </c>
      <c r="W10" t="s">
        <v>20</v>
      </c>
    </row>
    <row r="11" spans="1:23" x14ac:dyDescent="0.25">
      <c r="A11">
        <v>6</v>
      </c>
      <c r="B11" t="s">
        <v>18</v>
      </c>
      <c r="C11" t="str">
        <f>HYPERLINK("http://www.ncbi.nlm.nih.gov/protein/XP_030790396.1","XP_030790396.1")</f>
        <v>XP_030790396.1</v>
      </c>
      <c r="D11">
        <v>53902</v>
      </c>
      <c r="E11" t="str">
        <f>HYPERLINK("http://www.ncbi.nlm.nih.gov/Taxonomy/Browser/wwwtax.cgi?mode=Info&amp;id=61622&amp;lvl=3&amp;lin=f&amp;keep=1&amp;srchmode=1&amp;unlock","61622")</f>
        <v>61622</v>
      </c>
      <c r="F11" t="s">
        <v>18</v>
      </c>
      <c r="G11" t="str">
        <f>HYPERLINK("http://www.ncbi.nlm.nih.gov/Taxonomy/Browser/wwwtax.cgi?mode=Info&amp;id=61622&amp;lvl=3&amp;lin=f&amp;keep=1&amp;srchmode=1&amp;unlock","Rhinopithecus roxellana")</f>
        <v>Rhinopithecus roxellana</v>
      </c>
      <c r="H11" t="s">
        <v>36</v>
      </c>
      <c r="I11" t="str">
        <f>HYPERLINK("http://www.ncbi.nlm.nih.gov/protein/XP_030790396.1","androgen receptor")</f>
        <v>androgen receptor</v>
      </c>
      <c r="J11" t="s">
        <v>1312</v>
      </c>
      <c r="K11" t="s">
        <v>20</v>
      </c>
      <c r="L11">
        <v>690</v>
      </c>
      <c r="M11" t="s">
        <v>25</v>
      </c>
      <c r="N11" t="s">
        <v>20</v>
      </c>
      <c r="O11">
        <v>696</v>
      </c>
      <c r="P11" t="s">
        <v>1313</v>
      </c>
      <c r="Q11" t="s">
        <v>20</v>
      </c>
      <c r="R11">
        <v>737</v>
      </c>
      <c r="S11" t="s">
        <v>1314</v>
      </c>
      <c r="T11" t="s">
        <v>20</v>
      </c>
      <c r="U11">
        <v>862</v>
      </c>
      <c r="V11" t="s">
        <v>1315</v>
      </c>
      <c r="W11" t="s">
        <v>20</v>
      </c>
    </row>
    <row r="12" spans="1:23" x14ac:dyDescent="0.25">
      <c r="A12">
        <v>6</v>
      </c>
      <c r="B12" t="s">
        <v>18</v>
      </c>
      <c r="C12" t="str">
        <f>HYPERLINK("http://www.ncbi.nlm.nih.gov/protein/XP_007990129.1","XP_007990129.1")</f>
        <v>XP_007990129.1</v>
      </c>
      <c r="D12">
        <v>62297</v>
      </c>
      <c r="E12" t="str">
        <f>HYPERLINK("http://www.ncbi.nlm.nih.gov/Taxonomy/Browser/wwwtax.cgi?mode=Info&amp;id=60711&amp;lvl=3&amp;lin=f&amp;keep=1&amp;srchmode=1&amp;unlock","60711")</f>
        <v>60711</v>
      </c>
      <c r="F12" t="s">
        <v>18</v>
      </c>
      <c r="G12" t="str">
        <f>HYPERLINK("http://www.ncbi.nlm.nih.gov/Taxonomy/Browser/wwwtax.cgi?mode=Info&amp;id=60711&amp;lvl=3&amp;lin=f&amp;keep=1&amp;srchmode=1&amp;unlock","Chlorocebus sabaeus")</f>
        <v>Chlorocebus sabaeus</v>
      </c>
      <c r="H12" t="s">
        <v>52</v>
      </c>
      <c r="I12" t="str">
        <f>HYPERLINK("http://www.ncbi.nlm.nih.gov/protein/XP_007990129.1","androgen receptor")</f>
        <v>androgen receptor</v>
      </c>
      <c r="J12" t="s">
        <v>1312</v>
      </c>
      <c r="K12" t="s">
        <v>20</v>
      </c>
      <c r="L12">
        <v>686</v>
      </c>
      <c r="M12" t="s">
        <v>25</v>
      </c>
      <c r="N12" t="s">
        <v>20</v>
      </c>
      <c r="O12">
        <v>692</v>
      </c>
      <c r="P12" t="s">
        <v>1313</v>
      </c>
      <c r="Q12" t="s">
        <v>20</v>
      </c>
      <c r="R12">
        <v>733</v>
      </c>
      <c r="S12" t="s">
        <v>1314</v>
      </c>
      <c r="T12" t="s">
        <v>20</v>
      </c>
      <c r="U12">
        <v>858</v>
      </c>
      <c r="V12" t="s">
        <v>1315</v>
      </c>
      <c r="W12" t="s">
        <v>20</v>
      </c>
    </row>
    <row r="13" spans="1:23" x14ac:dyDescent="0.25">
      <c r="A13">
        <v>6</v>
      </c>
      <c r="B13" t="s">
        <v>18</v>
      </c>
      <c r="C13" t="str">
        <f>HYPERLINK("http://www.ncbi.nlm.nih.gov/protein/O97960.1","O97960.1")</f>
        <v>O97960.1</v>
      </c>
      <c r="D13">
        <v>593</v>
      </c>
      <c r="E13" t="str">
        <f>HYPERLINK("http://www.ncbi.nlm.nih.gov/Taxonomy/Browser/wwwtax.cgi?mode=Info&amp;id=9557&amp;lvl=3&amp;lin=f&amp;keep=1&amp;srchmode=1&amp;unlock","9557")</f>
        <v>9557</v>
      </c>
      <c r="F13" t="s">
        <v>18</v>
      </c>
      <c r="G13" t="str">
        <f>HYPERLINK("http://www.ncbi.nlm.nih.gov/Taxonomy/Browser/wwwtax.cgi?mode=Info&amp;id=9557&amp;lvl=3&amp;lin=f&amp;keep=1&amp;srchmode=1&amp;unlock","Papio hamadryas")</f>
        <v>Papio hamadryas</v>
      </c>
      <c r="H13" t="s">
        <v>966</v>
      </c>
      <c r="I13" t="str">
        <f>HYPERLINK("http://www.ncbi.nlm.nih.gov/protein/O97960.1","RecName: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13" t="s">
        <v>1312</v>
      </c>
      <c r="K13" t="s">
        <v>20</v>
      </c>
      <c r="L13">
        <v>681</v>
      </c>
      <c r="M13" t="s">
        <v>25</v>
      </c>
      <c r="N13" t="s">
        <v>20</v>
      </c>
      <c r="O13">
        <v>687</v>
      </c>
      <c r="P13" t="s">
        <v>1313</v>
      </c>
      <c r="Q13" t="s">
        <v>20</v>
      </c>
      <c r="R13">
        <v>728</v>
      </c>
      <c r="S13" t="s">
        <v>1314</v>
      </c>
      <c r="T13" t="s">
        <v>20</v>
      </c>
      <c r="U13">
        <v>853</v>
      </c>
      <c r="V13" t="s">
        <v>1315</v>
      </c>
      <c r="W13" t="s">
        <v>20</v>
      </c>
    </row>
    <row r="14" spans="1:23" x14ac:dyDescent="0.25">
      <c r="A14">
        <v>6</v>
      </c>
      <c r="B14" t="s">
        <v>18</v>
      </c>
      <c r="C14" t="str">
        <f>HYPERLINK("http://www.ncbi.nlm.nih.gov/protein/XP_011835925.1","XP_011835925.1")</f>
        <v>XP_011835925.1</v>
      </c>
      <c r="D14">
        <v>38457</v>
      </c>
      <c r="E14" t="str">
        <f>HYPERLINK("http://www.ncbi.nlm.nih.gov/Taxonomy/Browser/wwwtax.cgi?mode=Info&amp;id=9568&amp;lvl=3&amp;lin=f&amp;keep=1&amp;srchmode=1&amp;unlock","9568")</f>
        <v>9568</v>
      </c>
      <c r="F14" t="s">
        <v>18</v>
      </c>
      <c r="G14" t="str">
        <f>HYPERLINK("http://www.ncbi.nlm.nih.gov/Taxonomy/Browser/wwwtax.cgi?mode=Info&amp;id=9568&amp;lvl=3&amp;lin=f&amp;keep=1&amp;srchmode=1&amp;unlock","Mandrillus leucophaeus")</f>
        <v>Mandrillus leucophaeus</v>
      </c>
      <c r="H14" t="s">
        <v>43</v>
      </c>
      <c r="I14" t="str">
        <f>HYPERLINK("http://www.ncbi.nlm.nih.gov/protein/XP_011835925.1","PREDICTED: androgen receptor isoform X1")</f>
        <v>PREDICTED: androgen receptor isoform X1</v>
      </c>
      <c r="J14" t="s">
        <v>1312</v>
      </c>
      <c r="K14" t="s">
        <v>20</v>
      </c>
      <c r="L14">
        <v>680</v>
      </c>
      <c r="M14" t="s">
        <v>25</v>
      </c>
      <c r="N14" t="s">
        <v>20</v>
      </c>
      <c r="O14">
        <v>686</v>
      </c>
      <c r="P14" t="s">
        <v>1313</v>
      </c>
      <c r="Q14" t="s">
        <v>20</v>
      </c>
      <c r="R14">
        <v>727</v>
      </c>
      <c r="S14" t="s">
        <v>1314</v>
      </c>
      <c r="T14" t="s">
        <v>20</v>
      </c>
      <c r="U14">
        <v>852</v>
      </c>
      <c r="V14" t="s">
        <v>1315</v>
      </c>
      <c r="W14" t="s">
        <v>20</v>
      </c>
    </row>
    <row r="15" spans="1:23" x14ac:dyDescent="0.25">
      <c r="A15">
        <v>6</v>
      </c>
      <c r="B15" t="s">
        <v>18</v>
      </c>
      <c r="C15" t="str">
        <f>HYPERLINK("http://www.ncbi.nlm.nih.gov/protein/XP_011817378.1","XP_011817378.1")</f>
        <v>XP_011817378.1</v>
      </c>
      <c r="D15">
        <v>38676</v>
      </c>
      <c r="E15" t="str">
        <f>HYPERLINK("http://www.ncbi.nlm.nih.gov/Taxonomy/Browser/wwwtax.cgi?mode=Info&amp;id=336983&amp;lvl=3&amp;lin=f&amp;keep=1&amp;srchmode=1&amp;unlock","336983")</f>
        <v>336983</v>
      </c>
      <c r="F15" t="s">
        <v>18</v>
      </c>
      <c r="G15" t="str">
        <f>HYPERLINK("http://www.ncbi.nlm.nih.gov/Taxonomy/Browser/wwwtax.cgi?mode=Info&amp;id=336983&amp;lvl=3&amp;lin=f&amp;keep=1&amp;srchmode=1&amp;unlock","Colobus angolensis palliatus")</f>
        <v>Colobus angolensis palliatus</v>
      </c>
      <c r="H15" t="s">
        <v>32</v>
      </c>
      <c r="I15" t="str">
        <f>HYPERLINK("http://www.ncbi.nlm.nih.gov/protein/XP_011817378.1","PREDICTED: androgen receptor")</f>
        <v>PREDICTED: androgen receptor</v>
      </c>
      <c r="J15" t="s">
        <v>1312</v>
      </c>
      <c r="K15" t="s">
        <v>20</v>
      </c>
      <c r="L15">
        <v>683</v>
      </c>
      <c r="M15" t="s">
        <v>25</v>
      </c>
      <c r="N15" t="s">
        <v>20</v>
      </c>
      <c r="O15">
        <v>689</v>
      </c>
      <c r="P15" t="s">
        <v>1313</v>
      </c>
      <c r="Q15" t="s">
        <v>20</v>
      </c>
      <c r="R15">
        <v>730</v>
      </c>
      <c r="S15" t="s">
        <v>1314</v>
      </c>
      <c r="T15" t="s">
        <v>20</v>
      </c>
      <c r="U15">
        <v>855</v>
      </c>
      <c r="V15" t="s">
        <v>1315</v>
      </c>
      <c r="W15" t="s">
        <v>20</v>
      </c>
    </row>
    <row r="16" spans="1:23" x14ac:dyDescent="0.25">
      <c r="A16">
        <v>6</v>
      </c>
      <c r="B16" t="s">
        <v>18</v>
      </c>
      <c r="C16" t="str">
        <f>HYPERLINK("http://www.ncbi.nlm.nih.gov/protein/XP_005593867.1","XP_005593867.1")</f>
        <v>XP_005593867.1</v>
      </c>
      <c r="D16">
        <v>98680</v>
      </c>
      <c r="E16" t="str">
        <f>HYPERLINK("http://www.ncbi.nlm.nih.gov/Taxonomy/Browser/wwwtax.cgi?mode=Info&amp;id=9541&amp;lvl=3&amp;lin=f&amp;keep=1&amp;srchmode=1&amp;unlock","9541")</f>
        <v>9541</v>
      </c>
      <c r="F16" t="s">
        <v>18</v>
      </c>
      <c r="G16" t="str">
        <f>HYPERLINK("http://www.ncbi.nlm.nih.gov/Taxonomy/Browser/wwwtax.cgi?mode=Info&amp;id=9541&amp;lvl=3&amp;lin=f&amp;keep=1&amp;srchmode=1&amp;unlock","Macaca fascicularis")</f>
        <v>Macaca fascicularis</v>
      </c>
      <c r="H16" t="s">
        <v>31</v>
      </c>
      <c r="I16" t="str">
        <f>HYPERLINK("http://www.ncbi.nlm.nih.gov/protein/XP_005593867.1","PREDICTED: androgen receptor")</f>
        <v>PREDICTED: androgen receptor</v>
      </c>
      <c r="J16" t="s">
        <v>1312</v>
      </c>
      <c r="K16" t="s">
        <v>20</v>
      </c>
      <c r="L16">
        <v>681</v>
      </c>
      <c r="M16" t="s">
        <v>25</v>
      </c>
      <c r="N16" t="s">
        <v>20</v>
      </c>
      <c r="O16">
        <v>687</v>
      </c>
      <c r="P16" t="s">
        <v>1313</v>
      </c>
      <c r="Q16" t="s">
        <v>20</v>
      </c>
      <c r="R16">
        <v>728</v>
      </c>
      <c r="S16" t="s">
        <v>1314</v>
      </c>
      <c r="T16" t="s">
        <v>20</v>
      </c>
      <c r="U16">
        <v>853</v>
      </c>
      <c r="V16" t="s">
        <v>1315</v>
      </c>
      <c r="W16" t="s">
        <v>20</v>
      </c>
    </row>
    <row r="17" spans="1:23" x14ac:dyDescent="0.25">
      <c r="A17">
        <v>6</v>
      </c>
      <c r="B17" t="s">
        <v>18</v>
      </c>
      <c r="C17" t="str">
        <f>HYPERLINK("http://www.ncbi.nlm.nih.gov/protein/XP_030663284.1","XP_030663284.1")</f>
        <v>XP_030663284.1</v>
      </c>
      <c r="D17">
        <v>51657</v>
      </c>
      <c r="E17" t="str">
        <f>HYPERLINK("http://www.ncbi.nlm.nih.gov/Taxonomy/Browser/wwwtax.cgi?mode=Info&amp;id=61853&amp;lvl=3&amp;lin=f&amp;keep=1&amp;srchmode=1&amp;unlock","61853")</f>
        <v>61853</v>
      </c>
      <c r="F17" t="s">
        <v>18</v>
      </c>
      <c r="G17" t="str">
        <f>HYPERLINK("http://www.ncbi.nlm.nih.gov/Taxonomy/Browser/wwwtax.cgi?mode=Info&amp;id=61853&amp;lvl=3&amp;lin=f&amp;keep=1&amp;srchmode=1&amp;unlock","Nomascus leucogenys")</f>
        <v>Nomascus leucogenys</v>
      </c>
      <c r="H17" t="s">
        <v>27</v>
      </c>
      <c r="I17" t="str">
        <f>HYPERLINK("http://www.ncbi.nlm.nih.gov/protein/XP_030663284.1","androgen receptor isoform X1")</f>
        <v>androgen receptor isoform X1</v>
      </c>
      <c r="J17" t="s">
        <v>1312</v>
      </c>
      <c r="K17" t="s">
        <v>20</v>
      </c>
      <c r="L17">
        <v>685</v>
      </c>
      <c r="M17" t="s">
        <v>25</v>
      </c>
      <c r="N17" t="s">
        <v>20</v>
      </c>
      <c r="O17">
        <v>691</v>
      </c>
      <c r="P17" t="s">
        <v>1313</v>
      </c>
      <c r="Q17" t="s">
        <v>20</v>
      </c>
      <c r="R17">
        <v>732</v>
      </c>
      <c r="S17" t="s">
        <v>1314</v>
      </c>
      <c r="T17" t="s">
        <v>20</v>
      </c>
      <c r="U17">
        <v>857</v>
      </c>
      <c r="V17" t="s">
        <v>1315</v>
      </c>
      <c r="W17" t="s">
        <v>20</v>
      </c>
    </row>
    <row r="18" spans="1:23" x14ac:dyDescent="0.25">
      <c r="A18">
        <v>6</v>
      </c>
      <c r="B18" t="s">
        <v>18</v>
      </c>
      <c r="C18" t="str">
        <f>HYPERLINK("http://www.ncbi.nlm.nih.gov/protein/XP_011916275.1","XP_011916275.1")</f>
        <v>XP_011916275.1</v>
      </c>
      <c r="D18">
        <v>66421</v>
      </c>
      <c r="E18" t="str">
        <f>HYPERLINK("http://www.ncbi.nlm.nih.gov/Taxonomy/Browser/wwwtax.cgi?mode=Info&amp;id=9531&amp;lvl=3&amp;lin=f&amp;keep=1&amp;srchmode=1&amp;unlock","9531")</f>
        <v>9531</v>
      </c>
      <c r="F18" t="s">
        <v>18</v>
      </c>
      <c r="G18" t="str">
        <f>HYPERLINK("http://www.ncbi.nlm.nih.gov/Taxonomy/Browser/wwwtax.cgi?mode=Info&amp;id=9531&amp;lvl=3&amp;lin=f&amp;keep=1&amp;srchmode=1&amp;unlock","Cercocebus atys")</f>
        <v>Cercocebus atys</v>
      </c>
      <c r="H18" t="s">
        <v>599</v>
      </c>
      <c r="I18" t="str">
        <f>HYPERLINK("http://www.ncbi.nlm.nih.gov/protein/XP_011916275.1","PREDICTED: androgen receptor")</f>
        <v>PREDICTED: androgen receptor</v>
      </c>
      <c r="J18" t="s">
        <v>1312</v>
      </c>
      <c r="K18" t="s">
        <v>20</v>
      </c>
      <c r="L18">
        <v>683</v>
      </c>
      <c r="M18" t="s">
        <v>25</v>
      </c>
      <c r="N18" t="s">
        <v>20</v>
      </c>
      <c r="O18">
        <v>689</v>
      </c>
      <c r="P18" t="s">
        <v>1313</v>
      </c>
      <c r="Q18" t="s">
        <v>20</v>
      </c>
      <c r="R18">
        <v>730</v>
      </c>
      <c r="S18" t="s">
        <v>1314</v>
      </c>
      <c r="T18" t="s">
        <v>20</v>
      </c>
      <c r="U18">
        <v>855</v>
      </c>
      <c r="V18" t="s">
        <v>1315</v>
      </c>
      <c r="W18" t="s">
        <v>20</v>
      </c>
    </row>
    <row r="19" spans="1:23" x14ac:dyDescent="0.25">
      <c r="A19">
        <v>6</v>
      </c>
      <c r="B19" t="s">
        <v>18</v>
      </c>
      <c r="C19" t="str">
        <f>HYPERLINK("http://www.ncbi.nlm.nih.gov/protein/NP_001028083.1","NP_001028083.1")</f>
        <v>NP_001028083.1</v>
      </c>
      <c r="D19">
        <v>177851</v>
      </c>
      <c r="E19" t="str">
        <f>HYPERLINK("http://www.ncbi.nlm.nih.gov/Taxonomy/Browser/wwwtax.cgi?mode=Info&amp;id=9544&amp;lvl=3&amp;lin=f&amp;keep=1&amp;srchmode=1&amp;unlock","9544")</f>
        <v>9544</v>
      </c>
      <c r="F19" t="s">
        <v>18</v>
      </c>
      <c r="G19" t="str">
        <f>HYPERLINK("http://www.ncbi.nlm.nih.gov/Taxonomy/Browser/wwwtax.cgi?mode=Info&amp;id=9544&amp;lvl=3&amp;lin=f&amp;keep=1&amp;srchmode=1&amp;unlock","Macaca mulatta")</f>
        <v>Macaca mulatta</v>
      </c>
      <c r="H19" t="s">
        <v>29</v>
      </c>
      <c r="I19" t="str">
        <f>HYPERLINK("http://www.ncbi.nlm.nih.gov/protein/NP_001028083.1","androgen receptor")</f>
        <v>androgen receptor</v>
      </c>
      <c r="J19" t="s">
        <v>1312</v>
      </c>
      <c r="K19" t="s">
        <v>20</v>
      </c>
      <c r="L19">
        <v>681</v>
      </c>
      <c r="M19" t="s">
        <v>25</v>
      </c>
      <c r="N19" t="s">
        <v>20</v>
      </c>
      <c r="O19">
        <v>687</v>
      </c>
      <c r="P19" t="s">
        <v>1313</v>
      </c>
      <c r="Q19" t="s">
        <v>20</v>
      </c>
      <c r="R19">
        <v>728</v>
      </c>
      <c r="S19" t="s">
        <v>1314</v>
      </c>
      <c r="T19" t="s">
        <v>20</v>
      </c>
      <c r="U19">
        <v>853</v>
      </c>
      <c r="V19" t="s">
        <v>1315</v>
      </c>
      <c r="W19" t="s">
        <v>20</v>
      </c>
    </row>
    <row r="20" spans="1:23" x14ac:dyDescent="0.25">
      <c r="A20">
        <v>6</v>
      </c>
      <c r="B20" t="s">
        <v>18</v>
      </c>
      <c r="C20" t="str">
        <f>HYPERLINK("http://www.ncbi.nlm.nih.gov/protein/XP_032612994.1","XP_032612994.1")</f>
        <v>XP_032612994.1</v>
      </c>
      <c r="D20">
        <v>54538</v>
      </c>
      <c r="E20" t="str">
        <f>HYPERLINK("http://www.ncbi.nlm.nih.gov/Taxonomy/Browser/wwwtax.cgi?mode=Info&amp;id=81572&amp;lvl=3&amp;lin=f&amp;keep=1&amp;srchmode=1&amp;unlock","81572")</f>
        <v>81572</v>
      </c>
      <c r="F20" t="s">
        <v>18</v>
      </c>
      <c r="G20" t="str">
        <f>HYPERLINK("http://www.ncbi.nlm.nih.gov/Taxonomy/Browser/wwwtax.cgi?mode=Info&amp;id=81572&amp;lvl=3&amp;lin=f&amp;keep=1&amp;srchmode=1&amp;unlock","Hylobates moloch")</f>
        <v>Hylobates moloch</v>
      </c>
      <c r="H20" t="s">
        <v>26</v>
      </c>
      <c r="I20" t="str">
        <f>HYPERLINK("http://www.ncbi.nlm.nih.gov/protein/XP_032612994.1","androgen receptor isoform X1")</f>
        <v>androgen receptor isoform X1</v>
      </c>
      <c r="J20" t="s">
        <v>1312</v>
      </c>
      <c r="K20" t="s">
        <v>20</v>
      </c>
      <c r="L20">
        <v>677</v>
      </c>
      <c r="M20" t="s">
        <v>25</v>
      </c>
      <c r="N20" t="s">
        <v>20</v>
      </c>
      <c r="O20">
        <v>683</v>
      </c>
      <c r="P20" t="s">
        <v>1313</v>
      </c>
      <c r="Q20" t="s">
        <v>20</v>
      </c>
      <c r="R20">
        <v>724</v>
      </c>
      <c r="S20" t="s">
        <v>1314</v>
      </c>
      <c r="T20" t="s">
        <v>20</v>
      </c>
      <c r="U20">
        <v>849</v>
      </c>
      <c r="V20" t="s">
        <v>1315</v>
      </c>
      <c r="W20" t="s">
        <v>20</v>
      </c>
    </row>
    <row r="21" spans="1:23" x14ac:dyDescent="0.25">
      <c r="A21">
        <v>6</v>
      </c>
      <c r="B21" t="s">
        <v>18</v>
      </c>
      <c r="C21" t="str">
        <f>HYPERLINK("http://www.ncbi.nlm.nih.gov/protein/XP_012316261.1","XP_012316261.1")</f>
        <v>XP_012316261.1</v>
      </c>
      <c r="D21">
        <v>48089</v>
      </c>
      <c r="E21" t="str">
        <f>HYPERLINK("http://www.ncbi.nlm.nih.gov/Taxonomy/Browser/wwwtax.cgi?mode=Info&amp;id=37293&amp;lvl=3&amp;lin=f&amp;keep=1&amp;srchmode=1&amp;unlock","37293")</f>
        <v>37293</v>
      </c>
      <c r="F21" t="s">
        <v>18</v>
      </c>
      <c r="G21" t="str">
        <f>HYPERLINK("http://www.ncbi.nlm.nih.gov/Taxonomy/Browser/wwwtax.cgi?mode=Info&amp;id=37293&amp;lvl=3&amp;lin=f&amp;keep=1&amp;srchmode=1&amp;unlock","Aotus nancymaae")</f>
        <v>Aotus nancymaae</v>
      </c>
      <c r="H21" t="s">
        <v>65</v>
      </c>
      <c r="I21" t="str">
        <f>HYPERLINK("http://www.ncbi.nlm.nih.gov/protein/XP_012316261.1","androgen receptor isoform X1")</f>
        <v>androgen receptor isoform X1</v>
      </c>
      <c r="J21" t="s">
        <v>1312</v>
      </c>
      <c r="K21" t="s">
        <v>20</v>
      </c>
      <c r="L21">
        <v>673</v>
      </c>
      <c r="M21" t="s">
        <v>25</v>
      </c>
      <c r="N21" t="s">
        <v>20</v>
      </c>
      <c r="O21">
        <v>679</v>
      </c>
      <c r="P21" t="s">
        <v>1313</v>
      </c>
      <c r="Q21" t="s">
        <v>20</v>
      </c>
      <c r="R21">
        <v>720</v>
      </c>
      <c r="S21" t="s">
        <v>1314</v>
      </c>
      <c r="T21" t="s">
        <v>20</v>
      </c>
      <c r="U21">
        <v>845</v>
      </c>
      <c r="V21" t="s">
        <v>1315</v>
      </c>
      <c r="W21" t="s">
        <v>20</v>
      </c>
    </row>
    <row r="22" spans="1:23" x14ac:dyDescent="0.25">
      <c r="A22">
        <v>6</v>
      </c>
      <c r="B22" t="s">
        <v>18</v>
      </c>
      <c r="C22" t="str">
        <f>HYPERLINK("http://www.ncbi.nlm.nih.gov/protein/XP_002762998.1","XP_002762998.1")</f>
        <v>XP_002762998.1</v>
      </c>
      <c r="D22">
        <v>87648</v>
      </c>
      <c r="E22" t="str">
        <f>HYPERLINK("http://www.ncbi.nlm.nih.gov/Taxonomy/Browser/wwwtax.cgi?mode=Info&amp;id=9483&amp;lvl=3&amp;lin=f&amp;keep=1&amp;srchmode=1&amp;unlock","9483")</f>
        <v>9483</v>
      </c>
      <c r="F22" t="s">
        <v>18</v>
      </c>
      <c r="G22" t="str">
        <f>HYPERLINK("http://www.ncbi.nlm.nih.gov/Taxonomy/Browser/wwwtax.cgi?mode=Info&amp;id=9483&amp;lvl=3&amp;lin=f&amp;keep=1&amp;srchmode=1&amp;unlock","Callithrix jacchus")</f>
        <v>Callithrix jacchus</v>
      </c>
      <c r="H22" t="s">
        <v>79</v>
      </c>
      <c r="I22" t="str">
        <f>HYPERLINK("http://www.ncbi.nlm.nih.gov/protein/XP_002762998.1","androgen receptor isoform X1")</f>
        <v>androgen receptor isoform X1</v>
      </c>
      <c r="J22" t="s">
        <v>1312</v>
      </c>
      <c r="K22" t="s">
        <v>20</v>
      </c>
      <c r="L22">
        <v>673</v>
      </c>
      <c r="M22" t="s">
        <v>25</v>
      </c>
      <c r="N22" t="s">
        <v>20</v>
      </c>
      <c r="O22">
        <v>679</v>
      </c>
      <c r="P22" t="s">
        <v>1313</v>
      </c>
      <c r="Q22" t="s">
        <v>20</v>
      </c>
      <c r="R22">
        <v>720</v>
      </c>
      <c r="S22" t="s">
        <v>1314</v>
      </c>
      <c r="T22" t="s">
        <v>20</v>
      </c>
      <c r="U22">
        <v>845</v>
      </c>
      <c r="V22" t="s">
        <v>1315</v>
      </c>
      <c r="W22" t="s">
        <v>20</v>
      </c>
    </row>
    <row r="23" spans="1:23" x14ac:dyDescent="0.25">
      <c r="A23">
        <v>6</v>
      </c>
      <c r="B23" t="s">
        <v>18</v>
      </c>
      <c r="C23" t="str">
        <f>HYPERLINK("http://www.ncbi.nlm.nih.gov/protein/XP_012499360.1","XP_012499360.1")</f>
        <v>XP_012499360.1</v>
      </c>
      <c r="D23">
        <v>28331</v>
      </c>
      <c r="E23" t="str">
        <f>HYPERLINK("http://www.ncbi.nlm.nih.gov/Taxonomy/Browser/wwwtax.cgi?mode=Info&amp;id=379532&amp;lvl=3&amp;lin=f&amp;keep=1&amp;srchmode=1&amp;unlock","379532")</f>
        <v>379532</v>
      </c>
      <c r="F23" t="s">
        <v>18</v>
      </c>
      <c r="G23" t="str">
        <f>HYPERLINK("http://www.ncbi.nlm.nih.gov/Taxonomy/Browser/wwwtax.cgi?mode=Info&amp;id=379532&amp;lvl=3&amp;lin=f&amp;keep=1&amp;srchmode=1&amp;unlock","Propithecus coquereli")</f>
        <v>Propithecus coquereli</v>
      </c>
      <c r="H23" t="s">
        <v>652</v>
      </c>
      <c r="I23" t="str">
        <f>HYPERLINK("http://www.ncbi.nlm.nih.gov/protein/XP_012499360.1","PREDICTED: androgen receptor")</f>
        <v>PREDICTED: androgen receptor</v>
      </c>
      <c r="J23" t="s">
        <v>1312</v>
      </c>
      <c r="K23" t="s">
        <v>20</v>
      </c>
      <c r="L23">
        <v>672</v>
      </c>
      <c r="M23" t="s">
        <v>25</v>
      </c>
      <c r="N23" t="s">
        <v>20</v>
      </c>
      <c r="O23">
        <v>678</v>
      </c>
      <c r="P23" t="s">
        <v>1313</v>
      </c>
      <c r="Q23" t="s">
        <v>20</v>
      </c>
      <c r="R23">
        <v>719</v>
      </c>
      <c r="S23" t="s">
        <v>1314</v>
      </c>
      <c r="T23" t="s">
        <v>20</v>
      </c>
      <c r="U23">
        <v>844</v>
      </c>
      <c r="V23" t="s">
        <v>1315</v>
      </c>
      <c r="W23" t="s">
        <v>20</v>
      </c>
    </row>
    <row r="24" spans="1:23" x14ac:dyDescent="0.25">
      <c r="A24">
        <v>6</v>
      </c>
      <c r="B24" t="s">
        <v>18</v>
      </c>
      <c r="C24" t="str">
        <f>HYPERLINK("http://www.ncbi.nlm.nih.gov/protein/NP_001266892.1","NP_001266892.1")</f>
        <v>NP_001266892.1</v>
      </c>
      <c r="D24">
        <v>181</v>
      </c>
      <c r="E24" t="str">
        <f>HYPERLINK("http://www.ncbi.nlm.nih.gov/Taxonomy/Browser/wwwtax.cgi?mode=Info&amp;id=27679&amp;lvl=3&amp;lin=f&amp;keep=1&amp;srchmode=1&amp;unlock","27679")</f>
        <v>27679</v>
      </c>
      <c r="F24" t="s">
        <v>18</v>
      </c>
      <c r="G24" t="str">
        <f>HYPERLINK("http://www.ncbi.nlm.nih.gov/Taxonomy/Browser/wwwtax.cgi?mode=Info&amp;id=27679&amp;lvl=3&amp;lin=f&amp;keep=1&amp;srchmode=1&amp;unlock","Saimiri boliviensis")</f>
        <v>Saimiri boliviensis</v>
      </c>
      <c r="H24" t="s">
        <v>73</v>
      </c>
      <c r="I24" t="str">
        <f>HYPERLINK("http://www.ncbi.nlm.nih.gov/protein/NP_001266892.1","androgen receptor")</f>
        <v>androgen receptor</v>
      </c>
      <c r="J24" t="s">
        <v>1312</v>
      </c>
      <c r="K24" t="s">
        <v>20</v>
      </c>
      <c r="L24">
        <v>704</v>
      </c>
      <c r="M24" t="s">
        <v>25</v>
      </c>
      <c r="N24" t="s">
        <v>20</v>
      </c>
      <c r="O24">
        <v>710</v>
      </c>
      <c r="P24" t="s">
        <v>1313</v>
      </c>
      <c r="Q24" t="s">
        <v>20</v>
      </c>
      <c r="R24">
        <v>751</v>
      </c>
      <c r="S24" t="s">
        <v>1314</v>
      </c>
      <c r="T24" t="s">
        <v>20</v>
      </c>
      <c r="U24">
        <v>876</v>
      </c>
      <c r="V24" t="s">
        <v>1315</v>
      </c>
      <c r="W24" t="s">
        <v>20</v>
      </c>
    </row>
    <row r="25" spans="1:23" x14ac:dyDescent="0.25">
      <c r="A25">
        <v>6</v>
      </c>
      <c r="B25" t="s">
        <v>18</v>
      </c>
      <c r="C25" t="str">
        <f>HYPERLINK("http://www.ncbi.nlm.nih.gov/protein/XP_032111715.1","XP_032111715.1")</f>
        <v>XP_032111715.1</v>
      </c>
      <c r="D25">
        <v>62477</v>
      </c>
      <c r="E25" t="str">
        <f>HYPERLINK("http://www.ncbi.nlm.nih.gov/Taxonomy/Browser/wwwtax.cgi?mode=Info&amp;id=9515&amp;lvl=3&amp;lin=f&amp;keep=1&amp;srchmode=1&amp;unlock","9515")</f>
        <v>9515</v>
      </c>
      <c r="F25" t="s">
        <v>18</v>
      </c>
      <c r="G25" t="str">
        <f>HYPERLINK("http://www.ncbi.nlm.nih.gov/Taxonomy/Browser/wwwtax.cgi?mode=Info&amp;id=9515&amp;lvl=3&amp;lin=f&amp;keep=1&amp;srchmode=1&amp;unlock","Sapajus apella")</f>
        <v>Sapajus apella</v>
      </c>
      <c r="H25" t="s">
        <v>86</v>
      </c>
      <c r="I25" t="str">
        <f>HYPERLINK("http://www.ncbi.nlm.nih.gov/protein/XP_032111715.1","androgen receptor isoform X1")</f>
        <v>androgen receptor isoform X1</v>
      </c>
      <c r="J25" t="s">
        <v>1312</v>
      </c>
      <c r="K25" t="s">
        <v>20</v>
      </c>
      <c r="L25">
        <v>676</v>
      </c>
      <c r="M25" t="s">
        <v>25</v>
      </c>
      <c r="N25" t="s">
        <v>20</v>
      </c>
      <c r="O25">
        <v>682</v>
      </c>
      <c r="P25" t="s">
        <v>1313</v>
      </c>
      <c r="Q25" t="s">
        <v>20</v>
      </c>
      <c r="R25">
        <v>723</v>
      </c>
      <c r="S25" t="s">
        <v>1314</v>
      </c>
      <c r="T25" t="s">
        <v>20</v>
      </c>
      <c r="U25">
        <v>848</v>
      </c>
      <c r="V25" t="s">
        <v>1315</v>
      </c>
      <c r="W25" t="s">
        <v>20</v>
      </c>
    </row>
    <row r="26" spans="1:23" x14ac:dyDescent="0.25">
      <c r="A26">
        <v>6</v>
      </c>
      <c r="B26" t="s">
        <v>18</v>
      </c>
      <c r="C26" t="str">
        <f>HYPERLINK("http://www.ncbi.nlm.nih.gov/protein/XP_017375691.1","XP_017375691.1")</f>
        <v>XP_017375691.1</v>
      </c>
      <c r="D26">
        <v>55886</v>
      </c>
      <c r="E26" t="str">
        <f>HYPERLINK("http://www.ncbi.nlm.nih.gov/Taxonomy/Browser/wwwtax.cgi?mode=Info&amp;id=2715852&amp;lvl=3&amp;lin=f&amp;keep=1&amp;srchmode=1&amp;unlock","2715852")</f>
        <v>2715852</v>
      </c>
      <c r="F26" t="s">
        <v>18</v>
      </c>
      <c r="G26" t="str">
        <f>HYPERLINK("http://www.ncbi.nlm.nih.gov/Taxonomy/Browser/wwwtax.cgi?mode=Info&amp;id=2715852&amp;lvl=3&amp;lin=f&amp;keep=1&amp;srchmode=1&amp;unlock","Cebus imitator")</f>
        <v>Cebus imitator</v>
      </c>
      <c r="H26" t="s">
        <v>85</v>
      </c>
      <c r="I26" t="str">
        <f>HYPERLINK("http://www.ncbi.nlm.nih.gov/protein/XP_017375691.1","androgen receptor")</f>
        <v>androgen receptor</v>
      </c>
      <c r="J26" t="s">
        <v>1312</v>
      </c>
      <c r="K26" t="s">
        <v>20</v>
      </c>
      <c r="L26">
        <v>673</v>
      </c>
      <c r="M26" t="s">
        <v>25</v>
      </c>
      <c r="N26" t="s">
        <v>20</v>
      </c>
      <c r="O26">
        <v>679</v>
      </c>
      <c r="P26" t="s">
        <v>1313</v>
      </c>
      <c r="Q26" t="s">
        <v>20</v>
      </c>
      <c r="R26">
        <v>720</v>
      </c>
      <c r="S26" t="s">
        <v>1314</v>
      </c>
      <c r="T26" t="s">
        <v>20</v>
      </c>
      <c r="U26">
        <v>845</v>
      </c>
      <c r="V26" t="s">
        <v>1315</v>
      </c>
      <c r="W26" t="s">
        <v>20</v>
      </c>
    </row>
    <row r="27" spans="1:23" x14ac:dyDescent="0.25">
      <c r="A27">
        <v>6</v>
      </c>
      <c r="B27" t="s">
        <v>18</v>
      </c>
      <c r="C27" t="str">
        <f>HYPERLINK("http://www.ncbi.nlm.nih.gov/protein/XP_008062492.1","XP_008062492.1")</f>
        <v>XP_008062492.1</v>
      </c>
      <c r="D27">
        <v>33266</v>
      </c>
      <c r="E27" t="str">
        <f>HYPERLINK("http://www.ncbi.nlm.nih.gov/Taxonomy/Browser/wwwtax.cgi?mode=Info&amp;id=1868482&amp;lvl=3&amp;lin=f&amp;keep=1&amp;srchmode=1&amp;unlock","1868482")</f>
        <v>1868482</v>
      </c>
      <c r="F27" t="s">
        <v>18</v>
      </c>
      <c r="G27" t="str">
        <f>HYPERLINK("http://www.ncbi.nlm.nih.gov/Taxonomy/Browser/wwwtax.cgi?mode=Info&amp;id=1868482&amp;lvl=3&amp;lin=f&amp;keep=1&amp;srchmode=1&amp;unlock","Carlito syrichta")</f>
        <v>Carlito syrichta</v>
      </c>
      <c r="H27" t="s">
        <v>69</v>
      </c>
      <c r="I27" t="str">
        <f>HYPERLINK("http://www.ncbi.nlm.nih.gov/protein/XP_008062492.1","androgen receptor")</f>
        <v>androgen receptor</v>
      </c>
      <c r="J27" t="s">
        <v>1312</v>
      </c>
      <c r="K27" t="s">
        <v>20</v>
      </c>
      <c r="L27">
        <v>673</v>
      </c>
      <c r="M27" t="s">
        <v>25</v>
      </c>
      <c r="N27" t="s">
        <v>20</v>
      </c>
      <c r="O27">
        <v>679</v>
      </c>
      <c r="P27" t="s">
        <v>1313</v>
      </c>
      <c r="Q27" t="s">
        <v>20</v>
      </c>
      <c r="R27">
        <v>720</v>
      </c>
      <c r="S27" t="s">
        <v>1314</v>
      </c>
      <c r="T27" t="s">
        <v>20</v>
      </c>
      <c r="U27">
        <v>845</v>
      </c>
      <c r="V27" t="s">
        <v>1315</v>
      </c>
      <c r="W27" t="s">
        <v>20</v>
      </c>
    </row>
    <row r="28" spans="1:23" x14ac:dyDescent="0.25">
      <c r="A28">
        <v>6</v>
      </c>
      <c r="B28" t="s">
        <v>18</v>
      </c>
      <c r="C28" t="str">
        <f>HYPERLINK("http://www.ncbi.nlm.nih.gov/protein/XP_004416958.1","XP_004416958.1")</f>
        <v>XP_004416958.1</v>
      </c>
      <c r="D28">
        <v>31383</v>
      </c>
      <c r="E28" t="str">
        <f>HYPERLINK("http://www.ncbi.nlm.nih.gov/Taxonomy/Browser/wwwtax.cgi?mode=Info&amp;id=9708&amp;lvl=3&amp;lin=f&amp;keep=1&amp;srchmode=1&amp;unlock","9708")</f>
        <v>9708</v>
      </c>
      <c r="F28" t="s">
        <v>18</v>
      </c>
      <c r="G28" t="str">
        <f>HYPERLINK("http://www.ncbi.nlm.nih.gov/Taxonomy/Browser/wwwtax.cgi?mode=Info&amp;id=9708&amp;lvl=3&amp;lin=f&amp;keep=1&amp;srchmode=1&amp;unlock","Odobenus rosmarus divergens")</f>
        <v>Odobenus rosmarus divergens</v>
      </c>
      <c r="H28" t="s">
        <v>83</v>
      </c>
      <c r="I28" t="str">
        <f>HYPERLINK("http://www.ncbi.nlm.nih.gov/protein/XP_004416958.1","PREDICTED: androgen receptor")</f>
        <v>PREDICTED: androgen receptor</v>
      </c>
      <c r="J28" t="s">
        <v>1312</v>
      </c>
      <c r="K28" t="s">
        <v>20</v>
      </c>
      <c r="L28">
        <v>672</v>
      </c>
      <c r="M28" t="s">
        <v>25</v>
      </c>
      <c r="N28" t="s">
        <v>20</v>
      </c>
      <c r="O28">
        <v>678</v>
      </c>
      <c r="P28" t="s">
        <v>1313</v>
      </c>
      <c r="Q28" t="s">
        <v>20</v>
      </c>
      <c r="R28">
        <v>719</v>
      </c>
      <c r="S28" t="s">
        <v>1314</v>
      </c>
      <c r="T28" t="s">
        <v>20</v>
      </c>
      <c r="U28">
        <v>844</v>
      </c>
      <c r="V28" t="s">
        <v>1315</v>
      </c>
      <c r="W28" t="s">
        <v>20</v>
      </c>
    </row>
    <row r="29" spans="1:23" x14ac:dyDescent="0.25">
      <c r="A29">
        <v>6</v>
      </c>
      <c r="B29" t="s">
        <v>18</v>
      </c>
      <c r="C29" t="str">
        <f>HYPERLINK("http://www.ncbi.nlm.nih.gov/protein/XP_027287560.1","XP_027287560.1")</f>
        <v>XP_027287560.1</v>
      </c>
      <c r="D29">
        <v>138048</v>
      </c>
      <c r="E29" t="str">
        <f>HYPERLINK("http://www.ncbi.nlm.nih.gov/Taxonomy/Browser/wwwtax.cgi?mode=Info&amp;id=10029&amp;lvl=3&amp;lin=f&amp;keep=1&amp;srchmode=1&amp;unlock","10029")</f>
        <v>10029</v>
      </c>
      <c r="F29" t="s">
        <v>18</v>
      </c>
      <c r="G29" t="str">
        <f>HYPERLINK("http://www.ncbi.nlm.nih.gov/Taxonomy/Browser/wwwtax.cgi?mode=Info&amp;id=10029&amp;lvl=3&amp;lin=f&amp;keep=1&amp;srchmode=1&amp;unlock","Cricetulus griseus")</f>
        <v>Cricetulus griseus</v>
      </c>
      <c r="H29" t="s">
        <v>149</v>
      </c>
      <c r="I29" t="str">
        <f>HYPERLINK("http://www.ncbi.nlm.nih.gov/protein/XP_027287560.1","androgen receptor isoform X3")</f>
        <v>androgen receptor isoform X3</v>
      </c>
      <c r="J29" t="s">
        <v>1312</v>
      </c>
      <c r="K29" t="s">
        <v>20</v>
      </c>
      <c r="L29">
        <v>695</v>
      </c>
      <c r="M29" t="s">
        <v>25</v>
      </c>
      <c r="N29" t="s">
        <v>20</v>
      </c>
      <c r="O29">
        <v>701</v>
      </c>
      <c r="P29" t="s">
        <v>1313</v>
      </c>
      <c r="Q29" t="s">
        <v>20</v>
      </c>
      <c r="R29">
        <v>742</v>
      </c>
      <c r="S29" t="s">
        <v>1314</v>
      </c>
      <c r="T29" t="s">
        <v>20</v>
      </c>
      <c r="U29">
        <v>867</v>
      </c>
      <c r="V29" t="s">
        <v>1315</v>
      </c>
      <c r="W29" t="s">
        <v>20</v>
      </c>
    </row>
    <row r="30" spans="1:23" x14ac:dyDescent="0.25">
      <c r="A30">
        <v>6</v>
      </c>
      <c r="B30" t="s">
        <v>18</v>
      </c>
      <c r="C30" t="str">
        <f>HYPERLINK("http://www.ncbi.nlm.nih.gov/protein/XP_027464601.1","XP_027464601.1")</f>
        <v>XP_027464601.1</v>
      </c>
      <c r="D30">
        <v>61138</v>
      </c>
      <c r="E30" t="str">
        <f>HYPERLINK("http://www.ncbi.nlm.nih.gov/Taxonomy/Browser/wwwtax.cgi?mode=Info&amp;id=9704&amp;lvl=3&amp;lin=f&amp;keep=1&amp;srchmode=1&amp;unlock","9704")</f>
        <v>9704</v>
      </c>
      <c r="F30" t="s">
        <v>18</v>
      </c>
      <c r="G30" t="str">
        <f>HYPERLINK("http://www.ncbi.nlm.nih.gov/Taxonomy/Browser/wwwtax.cgi?mode=Info&amp;id=9704&amp;lvl=3&amp;lin=f&amp;keep=1&amp;srchmode=1&amp;unlock","Zalophus californianus")</f>
        <v>Zalophus californianus</v>
      </c>
      <c r="H30" t="s">
        <v>67</v>
      </c>
      <c r="I30" t="str">
        <f>HYPERLINK("http://www.ncbi.nlm.nih.gov/protein/XP_027464601.1","androgen receptor")</f>
        <v>androgen receptor</v>
      </c>
      <c r="J30" t="s">
        <v>1312</v>
      </c>
      <c r="K30" t="s">
        <v>20</v>
      </c>
      <c r="L30">
        <v>673</v>
      </c>
      <c r="M30" t="s">
        <v>25</v>
      </c>
      <c r="N30" t="s">
        <v>20</v>
      </c>
      <c r="O30">
        <v>679</v>
      </c>
      <c r="P30" t="s">
        <v>1313</v>
      </c>
      <c r="Q30" t="s">
        <v>20</v>
      </c>
      <c r="R30">
        <v>720</v>
      </c>
      <c r="S30" t="s">
        <v>1314</v>
      </c>
      <c r="T30" t="s">
        <v>20</v>
      </c>
      <c r="U30">
        <v>845</v>
      </c>
      <c r="V30" t="s">
        <v>1315</v>
      </c>
      <c r="W30" t="s">
        <v>20</v>
      </c>
    </row>
    <row r="31" spans="1:23" x14ac:dyDescent="0.25">
      <c r="A31">
        <v>6</v>
      </c>
      <c r="B31" t="s">
        <v>18</v>
      </c>
      <c r="C31" t="str">
        <f>HYPERLINK("http://www.ncbi.nlm.nih.gov/protein/XP_032249776.1","XP_032249776.1")</f>
        <v>XP_032249776.1</v>
      </c>
      <c r="D31">
        <v>45582</v>
      </c>
      <c r="E31" t="str">
        <f>HYPERLINK("http://www.ncbi.nlm.nih.gov/Taxonomy/Browser/wwwtax.cgi?mode=Info&amp;id=9720&amp;lvl=3&amp;lin=f&amp;keep=1&amp;srchmode=1&amp;unlock","9720")</f>
        <v>9720</v>
      </c>
      <c r="F31" t="s">
        <v>18</v>
      </c>
      <c r="G31" t="str">
        <f>HYPERLINK("http://www.ncbi.nlm.nih.gov/Taxonomy/Browser/wwwtax.cgi?mode=Info&amp;id=9720&amp;lvl=3&amp;lin=f&amp;keep=1&amp;srchmode=1&amp;unlock","Phoca vitulina")</f>
        <v>Phoca vitulina</v>
      </c>
      <c r="H31" t="s">
        <v>46</v>
      </c>
      <c r="I31" t="str">
        <f>HYPERLINK("http://www.ncbi.nlm.nih.gov/protein/XP_032249776.1","androgen receptor")</f>
        <v>androgen receptor</v>
      </c>
      <c r="J31" t="s">
        <v>1312</v>
      </c>
      <c r="K31" t="s">
        <v>20</v>
      </c>
      <c r="L31">
        <v>684</v>
      </c>
      <c r="M31" t="s">
        <v>25</v>
      </c>
      <c r="N31" t="s">
        <v>20</v>
      </c>
      <c r="O31">
        <v>690</v>
      </c>
      <c r="P31" t="s">
        <v>1313</v>
      </c>
      <c r="Q31" t="s">
        <v>20</v>
      </c>
      <c r="R31">
        <v>731</v>
      </c>
      <c r="S31" t="s">
        <v>1314</v>
      </c>
      <c r="T31" t="s">
        <v>20</v>
      </c>
      <c r="U31">
        <v>856</v>
      </c>
      <c r="V31" t="s">
        <v>1315</v>
      </c>
      <c r="W31" t="s">
        <v>20</v>
      </c>
    </row>
    <row r="32" spans="1:23" x14ac:dyDescent="0.25">
      <c r="A32">
        <v>6</v>
      </c>
      <c r="B32" t="s">
        <v>18</v>
      </c>
      <c r="C32" t="str">
        <f>HYPERLINK("http://www.ncbi.nlm.nih.gov/protein/XP_003801358.1","XP_003801358.1")</f>
        <v>XP_003801358.1</v>
      </c>
      <c r="D32">
        <v>33103</v>
      </c>
      <c r="E32" t="str">
        <f>HYPERLINK("http://www.ncbi.nlm.nih.gov/Taxonomy/Browser/wwwtax.cgi?mode=Info&amp;id=30611&amp;lvl=3&amp;lin=f&amp;keep=1&amp;srchmode=1&amp;unlock","30611")</f>
        <v>30611</v>
      </c>
      <c r="F32" t="s">
        <v>18</v>
      </c>
      <c r="G32" t="str">
        <f>HYPERLINK("http://www.ncbi.nlm.nih.gov/Taxonomy/Browser/wwwtax.cgi?mode=Info&amp;id=30611&amp;lvl=3&amp;lin=f&amp;keep=1&amp;srchmode=1&amp;unlock","Otolemur garnettii")</f>
        <v>Otolemur garnettii</v>
      </c>
      <c r="H32" t="s">
        <v>88</v>
      </c>
      <c r="I32" t="str">
        <f>HYPERLINK("http://www.ncbi.nlm.nih.gov/protein/XP_003801358.1","androgen receptor isoform X1")</f>
        <v>androgen receptor isoform X1</v>
      </c>
      <c r="J32" t="s">
        <v>1312</v>
      </c>
      <c r="K32" t="s">
        <v>20</v>
      </c>
      <c r="L32">
        <v>683</v>
      </c>
      <c r="M32" t="s">
        <v>25</v>
      </c>
      <c r="N32" t="s">
        <v>20</v>
      </c>
      <c r="O32">
        <v>689</v>
      </c>
      <c r="P32" t="s">
        <v>1313</v>
      </c>
      <c r="Q32" t="s">
        <v>20</v>
      </c>
      <c r="R32">
        <v>730</v>
      </c>
      <c r="S32" t="s">
        <v>1314</v>
      </c>
      <c r="T32" t="s">
        <v>20</v>
      </c>
      <c r="U32">
        <v>855</v>
      </c>
      <c r="V32" t="s">
        <v>1315</v>
      </c>
      <c r="W32" t="s">
        <v>20</v>
      </c>
    </row>
    <row r="33" spans="1:23" x14ac:dyDescent="0.25">
      <c r="A33">
        <v>6</v>
      </c>
      <c r="B33" t="s">
        <v>18</v>
      </c>
      <c r="C33" t="str">
        <f>HYPERLINK("http://www.ncbi.nlm.nih.gov/protein/XP_034868513.1","XP_034868513.1")</f>
        <v>XP_034868513.1</v>
      </c>
      <c r="D33">
        <v>64815</v>
      </c>
      <c r="E33" t="str">
        <f>HYPERLINK("http://www.ncbi.nlm.nih.gov/Taxonomy/Browser/wwwtax.cgi?mode=Info&amp;id=9715&amp;lvl=3&amp;lin=f&amp;keep=1&amp;srchmode=1&amp;unlock","9715")</f>
        <v>9715</v>
      </c>
      <c r="F33" t="s">
        <v>18</v>
      </c>
      <c r="G33" t="str">
        <f>HYPERLINK("http://www.ncbi.nlm.nih.gov/Taxonomy/Browser/wwwtax.cgi?mode=Info&amp;id=9715&amp;lvl=3&amp;lin=f&amp;keep=1&amp;srchmode=1&amp;unlock","Mirounga leonina")</f>
        <v>Mirounga leonina</v>
      </c>
      <c r="H33" t="s">
        <v>58</v>
      </c>
      <c r="I33" t="str">
        <f>HYPERLINK("http://www.ncbi.nlm.nih.gov/protein/XP_034868513.1","androgen receptor")</f>
        <v>androgen receptor</v>
      </c>
      <c r="J33" t="s">
        <v>1312</v>
      </c>
      <c r="K33" t="s">
        <v>20</v>
      </c>
      <c r="L33">
        <v>685</v>
      </c>
      <c r="M33" t="s">
        <v>25</v>
      </c>
      <c r="N33" t="s">
        <v>20</v>
      </c>
      <c r="O33">
        <v>691</v>
      </c>
      <c r="P33" t="s">
        <v>1313</v>
      </c>
      <c r="Q33" t="s">
        <v>20</v>
      </c>
      <c r="R33">
        <v>732</v>
      </c>
      <c r="S33" t="s">
        <v>1314</v>
      </c>
      <c r="T33" t="s">
        <v>20</v>
      </c>
      <c r="U33">
        <v>857</v>
      </c>
      <c r="V33" t="s">
        <v>1315</v>
      </c>
      <c r="W33" t="s">
        <v>20</v>
      </c>
    </row>
    <row r="34" spans="1:23" x14ac:dyDescent="0.25">
      <c r="A34">
        <v>6</v>
      </c>
      <c r="B34" t="s">
        <v>18</v>
      </c>
      <c r="C34" t="str">
        <f>HYPERLINK("http://www.ncbi.nlm.nih.gov/protein/O97776.1","O97776.1")</f>
        <v>O97776.1</v>
      </c>
      <c r="D34">
        <v>64</v>
      </c>
      <c r="E34" t="str">
        <f>HYPERLINK("http://www.ncbi.nlm.nih.gov/Taxonomy/Browser/wwwtax.cgi?mode=Info&amp;id=47178&amp;lvl=3&amp;lin=f&amp;keep=1&amp;srchmode=1&amp;unlock","47178")</f>
        <v>47178</v>
      </c>
      <c r="F34" t="s">
        <v>18</v>
      </c>
      <c r="G34" t="str">
        <f>HYPERLINK("http://www.ncbi.nlm.nih.gov/Taxonomy/Browser/wwwtax.cgi?mode=Info&amp;id=47178&amp;lvl=3&amp;lin=f&amp;keep=1&amp;srchmode=1&amp;unlock","Eulemur fulvus collaris")</f>
        <v>Eulemur fulvus collaris</v>
      </c>
      <c r="H34" t="s">
        <v>967</v>
      </c>
      <c r="I34" t="str">
        <f>HYPERLINK("http://www.ncbi.nlm.nih.gov/protein/O97776.1","RecName: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34" t="s">
        <v>1312</v>
      </c>
      <c r="K34" t="s">
        <v>20</v>
      </c>
      <c r="L34">
        <v>670</v>
      </c>
      <c r="M34" t="s">
        <v>25</v>
      </c>
      <c r="N34" t="s">
        <v>20</v>
      </c>
      <c r="O34">
        <v>676</v>
      </c>
      <c r="P34" t="s">
        <v>1313</v>
      </c>
      <c r="Q34" t="s">
        <v>20</v>
      </c>
      <c r="R34">
        <v>717</v>
      </c>
      <c r="S34" t="s">
        <v>1314</v>
      </c>
      <c r="T34" t="s">
        <v>20</v>
      </c>
      <c r="U34">
        <v>842</v>
      </c>
      <c r="V34" t="s">
        <v>1315</v>
      </c>
      <c r="W34" t="s">
        <v>20</v>
      </c>
    </row>
    <row r="35" spans="1:23" x14ac:dyDescent="0.25">
      <c r="A35">
        <v>6</v>
      </c>
      <c r="B35" t="s">
        <v>18</v>
      </c>
      <c r="C35" t="str">
        <f>HYPERLINK("http://www.ncbi.nlm.nih.gov/protein/ANA11823.1","ANA11823.1")</f>
        <v>ANA11823.1</v>
      </c>
      <c r="D35">
        <v>67826</v>
      </c>
      <c r="E35" t="str">
        <f>HYPERLINK("http://www.ncbi.nlm.nih.gov/Taxonomy/Browser/wwwtax.cgi?mode=Info&amp;id=9796&amp;lvl=3&amp;lin=f&amp;keep=1&amp;srchmode=1&amp;unlock","9796")</f>
        <v>9796</v>
      </c>
      <c r="F35" t="s">
        <v>18</v>
      </c>
      <c r="G35" t="str">
        <f>HYPERLINK("http://www.ncbi.nlm.nih.gov/Taxonomy/Browser/wwwtax.cgi?mode=Info&amp;id=9796&amp;lvl=3&amp;lin=f&amp;keep=1&amp;srchmode=1&amp;unlock","Equus caballus")</f>
        <v>Equus caballus</v>
      </c>
      <c r="H35" t="s">
        <v>388</v>
      </c>
      <c r="I35" t="str">
        <f>HYPERLINK("http://www.ncbi.nlm.nih.gov/protein/ANA11823.1","androgen receptor")</f>
        <v>androgen receptor</v>
      </c>
      <c r="J35" t="s">
        <v>1312</v>
      </c>
      <c r="K35" t="s">
        <v>20</v>
      </c>
      <c r="L35">
        <v>668</v>
      </c>
      <c r="M35" t="s">
        <v>25</v>
      </c>
      <c r="N35" t="s">
        <v>20</v>
      </c>
      <c r="O35">
        <v>674</v>
      </c>
      <c r="P35" t="s">
        <v>1313</v>
      </c>
      <c r="Q35" t="s">
        <v>20</v>
      </c>
      <c r="R35">
        <v>715</v>
      </c>
      <c r="S35" t="s">
        <v>1314</v>
      </c>
      <c r="T35" t="s">
        <v>20</v>
      </c>
      <c r="U35">
        <v>840</v>
      </c>
      <c r="V35" t="s">
        <v>1315</v>
      </c>
      <c r="W35" t="s">
        <v>20</v>
      </c>
    </row>
    <row r="36" spans="1:23" x14ac:dyDescent="0.25">
      <c r="A36">
        <v>6</v>
      </c>
      <c r="B36" t="s">
        <v>18</v>
      </c>
      <c r="C36" t="str">
        <f>HYPERLINK("http://www.ncbi.nlm.nih.gov/protein/BCD56309.1","BCD56309.1")</f>
        <v>BCD56309.1</v>
      </c>
      <c r="D36">
        <v>136175</v>
      </c>
      <c r="E36" t="str">
        <f>HYPERLINK("http://www.ncbi.nlm.nih.gov/Taxonomy/Browser/wwwtax.cgi?mode=Info&amp;id=9615&amp;lvl=3&amp;lin=f&amp;keep=1&amp;srchmode=1&amp;unlock","9615")</f>
        <v>9615</v>
      </c>
      <c r="F36" t="s">
        <v>18</v>
      </c>
      <c r="G36" t="str">
        <f>HYPERLINK("http://www.ncbi.nlm.nih.gov/Taxonomy/Browser/wwwtax.cgi?mode=Info&amp;id=9615&amp;lvl=3&amp;lin=f&amp;keep=1&amp;srchmode=1&amp;unlock","Canis lupus familiaris")</f>
        <v>Canis lupus familiaris</v>
      </c>
      <c r="H36" t="s">
        <v>54</v>
      </c>
      <c r="I36" t="str">
        <f>HYPERLINK("http://www.ncbi.nlm.nih.gov/protein/BCD56309.1","canine androgen receptor")</f>
        <v>canine androgen receptor</v>
      </c>
      <c r="J36" t="s">
        <v>1312</v>
      </c>
      <c r="K36" t="s">
        <v>20</v>
      </c>
      <c r="L36">
        <v>693</v>
      </c>
      <c r="M36" t="s">
        <v>25</v>
      </c>
      <c r="N36" t="s">
        <v>20</v>
      </c>
      <c r="O36">
        <v>699</v>
      </c>
      <c r="P36" t="s">
        <v>1313</v>
      </c>
      <c r="Q36" t="s">
        <v>20</v>
      </c>
      <c r="R36">
        <v>740</v>
      </c>
      <c r="S36" t="s">
        <v>1314</v>
      </c>
      <c r="T36" t="s">
        <v>20</v>
      </c>
      <c r="U36">
        <v>865</v>
      </c>
      <c r="V36" t="s">
        <v>1315</v>
      </c>
      <c r="W36" t="s">
        <v>20</v>
      </c>
    </row>
    <row r="37" spans="1:23" x14ac:dyDescent="0.25">
      <c r="A37">
        <v>6</v>
      </c>
      <c r="B37" t="s">
        <v>18</v>
      </c>
      <c r="C37" t="str">
        <f>HYPERLINK("http://www.ncbi.nlm.nih.gov/protein/XP_025842610.1","XP_025842610.1")</f>
        <v>XP_025842610.1</v>
      </c>
      <c r="D37">
        <v>38432</v>
      </c>
      <c r="E37" t="str">
        <f>HYPERLINK("http://www.ncbi.nlm.nih.gov/Taxonomy/Browser/wwwtax.cgi?mode=Info&amp;id=9627&amp;lvl=3&amp;lin=f&amp;keep=1&amp;srchmode=1&amp;unlock","9627")</f>
        <v>9627</v>
      </c>
      <c r="F37" t="s">
        <v>18</v>
      </c>
      <c r="G37" t="str">
        <f>HYPERLINK("http://www.ncbi.nlm.nih.gov/Taxonomy/Browser/wwwtax.cgi?mode=Info&amp;id=9627&amp;lvl=3&amp;lin=f&amp;keep=1&amp;srchmode=1&amp;unlock","Vulpes vulpes")</f>
        <v>Vulpes vulpes</v>
      </c>
      <c r="H37" t="s">
        <v>40</v>
      </c>
      <c r="I37" t="str">
        <f>HYPERLINK("http://www.ncbi.nlm.nih.gov/protein/XP_025842610.1","androgen receptor")</f>
        <v>androgen receptor</v>
      </c>
      <c r="J37" t="s">
        <v>1312</v>
      </c>
      <c r="K37" t="s">
        <v>20</v>
      </c>
      <c r="L37">
        <v>686</v>
      </c>
      <c r="M37" t="s">
        <v>25</v>
      </c>
      <c r="N37" t="s">
        <v>20</v>
      </c>
      <c r="O37">
        <v>692</v>
      </c>
      <c r="P37" t="s">
        <v>1313</v>
      </c>
      <c r="Q37" t="s">
        <v>20</v>
      </c>
      <c r="R37">
        <v>733</v>
      </c>
      <c r="S37" t="s">
        <v>1314</v>
      </c>
      <c r="T37" t="s">
        <v>20</v>
      </c>
      <c r="U37">
        <v>858</v>
      </c>
      <c r="V37" t="s">
        <v>1315</v>
      </c>
      <c r="W37" t="s">
        <v>20</v>
      </c>
    </row>
    <row r="38" spans="1:23" x14ac:dyDescent="0.25">
      <c r="A38">
        <v>6</v>
      </c>
      <c r="B38" t="s">
        <v>18</v>
      </c>
      <c r="C38" t="str">
        <f>HYPERLINK("http://www.ncbi.nlm.nih.gov/protein/XP_036030573.1","XP_036030573.1")</f>
        <v>XP_036030573.1</v>
      </c>
      <c r="D38">
        <v>43277</v>
      </c>
      <c r="E38" t="str">
        <f>HYPERLINK("http://www.ncbi.nlm.nih.gov/Taxonomy/Browser/wwwtax.cgi?mode=Info&amp;id=38674&amp;lvl=3&amp;lin=f&amp;keep=1&amp;srchmode=1&amp;unlock","38674")</f>
        <v>38674</v>
      </c>
      <c r="F38" t="s">
        <v>18</v>
      </c>
      <c r="G38" t="str">
        <f>HYPERLINK("http://www.ncbi.nlm.nih.gov/Taxonomy/Browser/wwwtax.cgi?mode=Info&amp;id=38674&amp;lvl=3&amp;lin=f&amp;keep=1&amp;srchmode=1&amp;unlock","Onychomys torridus")</f>
        <v>Onychomys torridus</v>
      </c>
      <c r="H38" t="s">
        <v>137</v>
      </c>
      <c r="I38" t="str">
        <f>HYPERLINK("http://www.ncbi.nlm.nih.gov/protein/XP_036030573.1","androgen receptor isoform X1")</f>
        <v>androgen receptor isoform X1</v>
      </c>
      <c r="J38" t="s">
        <v>1312</v>
      </c>
      <c r="K38" t="s">
        <v>20</v>
      </c>
      <c r="L38">
        <v>686</v>
      </c>
      <c r="M38" t="s">
        <v>25</v>
      </c>
      <c r="N38" t="s">
        <v>20</v>
      </c>
      <c r="O38">
        <v>692</v>
      </c>
      <c r="P38" t="s">
        <v>1313</v>
      </c>
      <c r="Q38" t="s">
        <v>20</v>
      </c>
      <c r="R38">
        <v>733</v>
      </c>
      <c r="S38" t="s">
        <v>1314</v>
      </c>
      <c r="T38" t="s">
        <v>20</v>
      </c>
      <c r="U38">
        <v>858</v>
      </c>
      <c r="V38" t="s">
        <v>1315</v>
      </c>
      <c r="W38" t="s">
        <v>20</v>
      </c>
    </row>
    <row r="39" spans="1:23" x14ac:dyDescent="0.25">
      <c r="A39">
        <v>6</v>
      </c>
      <c r="B39" t="s">
        <v>18</v>
      </c>
      <c r="C39" t="str">
        <f>HYPERLINK("http://www.ncbi.nlm.nih.gov/protein/XP_025321850.2","XP_025321850.2")</f>
        <v>XP_025321850.2</v>
      </c>
      <c r="D39">
        <v>70986</v>
      </c>
      <c r="E39" t="str">
        <f>HYPERLINK("http://www.ncbi.nlm.nih.gov/Taxonomy/Browser/wwwtax.cgi?mode=Info&amp;id=286419&amp;lvl=3&amp;lin=f&amp;keep=1&amp;srchmode=1&amp;unlock","286419")</f>
        <v>286419</v>
      </c>
      <c r="F39" t="s">
        <v>18</v>
      </c>
      <c r="G39" t="str">
        <f>HYPERLINK("http://www.ncbi.nlm.nih.gov/Taxonomy/Browser/wwwtax.cgi?mode=Info&amp;id=286419&amp;lvl=3&amp;lin=f&amp;keep=1&amp;srchmode=1&amp;unlock","Canis lupus dingo")</f>
        <v>Canis lupus dingo</v>
      </c>
      <c r="H39" t="s">
        <v>53</v>
      </c>
      <c r="I39" t="str">
        <f>HYPERLINK("http://www.ncbi.nlm.nih.gov/protein/XP_025321850.2","androgen receptor")</f>
        <v>androgen receptor</v>
      </c>
      <c r="J39" t="s">
        <v>1312</v>
      </c>
      <c r="K39" t="s">
        <v>20</v>
      </c>
      <c r="L39">
        <v>695</v>
      </c>
      <c r="M39" t="s">
        <v>25</v>
      </c>
      <c r="N39" t="s">
        <v>20</v>
      </c>
      <c r="O39">
        <v>701</v>
      </c>
      <c r="P39" t="s">
        <v>1313</v>
      </c>
      <c r="Q39" t="s">
        <v>20</v>
      </c>
      <c r="R39">
        <v>742</v>
      </c>
      <c r="S39" t="s">
        <v>1314</v>
      </c>
      <c r="T39" t="s">
        <v>20</v>
      </c>
      <c r="U39">
        <v>867</v>
      </c>
      <c r="V39" t="s">
        <v>1315</v>
      </c>
      <c r="W39" t="s">
        <v>20</v>
      </c>
    </row>
    <row r="40" spans="1:23" x14ac:dyDescent="0.25">
      <c r="A40">
        <v>6</v>
      </c>
      <c r="B40" t="s">
        <v>18</v>
      </c>
      <c r="C40" t="str">
        <f>HYPERLINK("http://www.ncbi.nlm.nih.gov/protein/XP_021535659.1","XP_021535659.1")</f>
        <v>XP_021535659.1</v>
      </c>
      <c r="D40">
        <v>28446</v>
      </c>
      <c r="E40" t="str">
        <f>HYPERLINK("http://www.ncbi.nlm.nih.gov/Taxonomy/Browser/wwwtax.cgi?mode=Info&amp;id=29088&amp;lvl=3&amp;lin=f&amp;keep=1&amp;srchmode=1&amp;unlock","29088")</f>
        <v>29088</v>
      </c>
      <c r="F40" t="s">
        <v>18</v>
      </c>
      <c r="G40" t="str">
        <f>HYPERLINK("http://www.ncbi.nlm.nih.gov/Taxonomy/Browser/wwwtax.cgi?mode=Info&amp;id=29088&amp;lvl=3&amp;lin=f&amp;keep=1&amp;srchmode=1&amp;unlock","Neomonachus schauinslandi")</f>
        <v>Neomonachus schauinslandi</v>
      </c>
      <c r="H40" t="s">
        <v>50</v>
      </c>
      <c r="I40" t="str">
        <f>HYPERLINK("http://www.ncbi.nlm.nih.gov/protein/XP_021535659.1","androgen receptor isoform X2")</f>
        <v>androgen receptor isoform X2</v>
      </c>
      <c r="J40" t="s">
        <v>1312</v>
      </c>
      <c r="K40" t="s">
        <v>20</v>
      </c>
      <c r="L40">
        <v>681</v>
      </c>
      <c r="M40" t="s">
        <v>25</v>
      </c>
      <c r="N40" t="s">
        <v>20</v>
      </c>
      <c r="O40">
        <v>687</v>
      </c>
      <c r="P40" t="s">
        <v>1313</v>
      </c>
      <c r="Q40" t="s">
        <v>20</v>
      </c>
      <c r="R40">
        <v>728</v>
      </c>
      <c r="S40" t="s">
        <v>1314</v>
      </c>
      <c r="T40" t="s">
        <v>20</v>
      </c>
      <c r="U40">
        <v>853</v>
      </c>
      <c r="V40" t="s">
        <v>1315</v>
      </c>
      <c r="W40" t="s">
        <v>20</v>
      </c>
    </row>
    <row r="41" spans="1:23" x14ac:dyDescent="0.25">
      <c r="A41">
        <v>6</v>
      </c>
      <c r="B41" t="s">
        <v>18</v>
      </c>
      <c r="C41" t="str">
        <f>HYPERLINK("http://www.ncbi.nlm.nih.gov/protein/XP_027982377.1","XP_027982377.1")</f>
        <v>XP_027982377.1</v>
      </c>
      <c r="D41">
        <v>40115</v>
      </c>
      <c r="E41" t="str">
        <f>HYPERLINK("http://www.ncbi.nlm.nih.gov/Taxonomy/Browser/wwwtax.cgi?mode=Info&amp;id=34886&amp;lvl=3&amp;lin=f&amp;keep=1&amp;srchmode=1&amp;unlock","34886")</f>
        <v>34886</v>
      </c>
      <c r="F41" t="s">
        <v>18</v>
      </c>
      <c r="G41" t="str">
        <f>HYPERLINK("http://www.ncbi.nlm.nih.gov/Taxonomy/Browser/wwwtax.cgi?mode=Info&amp;id=34886&amp;lvl=3&amp;lin=f&amp;keep=1&amp;srchmode=1&amp;unlock","Eumetopias jubatus")</f>
        <v>Eumetopias jubatus</v>
      </c>
      <c r="H41" t="s">
        <v>61</v>
      </c>
      <c r="I41" t="str">
        <f>HYPERLINK("http://www.ncbi.nlm.nih.gov/protein/XP_027982377.1","androgen receptor isoform X1")</f>
        <v>androgen receptor isoform X1</v>
      </c>
      <c r="J41" t="s">
        <v>1312</v>
      </c>
      <c r="K41" t="s">
        <v>20</v>
      </c>
      <c r="L41">
        <v>671</v>
      </c>
      <c r="M41" t="s">
        <v>25</v>
      </c>
      <c r="N41" t="s">
        <v>20</v>
      </c>
      <c r="O41">
        <v>677</v>
      </c>
      <c r="P41" t="s">
        <v>1313</v>
      </c>
      <c r="Q41" t="s">
        <v>20</v>
      </c>
      <c r="R41">
        <v>718</v>
      </c>
      <c r="S41" t="s">
        <v>1314</v>
      </c>
      <c r="T41" t="s">
        <v>20</v>
      </c>
      <c r="U41">
        <v>843</v>
      </c>
      <c r="V41" t="s">
        <v>1315</v>
      </c>
      <c r="W41" t="s">
        <v>20</v>
      </c>
    </row>
    <row r="42" spans="1:23" x14ac:dyDescent="0.25">
      <c r="A42">
        <v>6</v>
      </c>
      <c r="B42" t="s">
        <v>18</v>
      </c>
      <c r="C42" t="str">
        <f>HYPERLINK("http://www.ncbi.nlm.nih.gov/protein/XP_032185838.1","XP_032185838.1")</f>
        <v>XP_032185838.1</v>
      </c>
      <c r="D42">
        <v>60653</v>
      </c>
      <c r="E42" t="str">
        <f>HYPERLINK("http://www.ncbi.nlm.nih.gov/Taxonomy/Browser/wwwtax.cgi?mode=Info&amp;id=36723&amp;lvl=3&amp;lin=f&amp;keep=1&amp;srchmode=1&amp;unlock","36723")</f>
        <v>36723</v>
      </c>
      <c r="F42" t="s">
        <v>18</v>
      </c>
      <c r="G42" t="str">
        <f>HYPERLINK("http://www.ncbi.nlm.nih.gov/Taxonomy/Browser/wwwtax.cgi?mode=Info&amp;id=36723&amp;lvl=3&amp;lin=f&amp;keep=1&amp;srchmode=1&amp;unlock","Mustela erminea")</f>
        <v>Mustela erminea</v>
      </c>
      <c r="H42" t="s">
        <v>51</v>
      </c>
      <c r="I42" t="str">
        <f>HYPERLINK("http://www.ncbi.nlm.nih.gov/protein/XP_032185838.1","androgen receptor isoform X1")</f>
        <v>androgen receptor isoform X1</v>
      </c>
      <c r="J42" t="s">
        <v>1312</v>
      </c>
      <c r="K42" t="s">
        <v>20</v>
      </c>
      <c r="L42">
        <v>686</v>
      </c>
      <c r="M42" t="s">
        <v>25</v>
      </c>
      <c r="N42" t="s">
        <v>20</v>
      </c>
      <c r="O42">
        <v>692</v>
      </c>
      <c r="P42" t="s">
        <v>1313</v>
      </c>
      <c r="Q42" t="s">
        <v>20</v>
      </c>
      <c r="R42">
        <v>733</v>
      </c>
      <c r="S42" t="s">
        <v>1314</v>
      </c>
      <c r="T42" t="s">
        <v>20</v>
      </c>
      <c r="U42">
        <v>858</v>
      </c>
      <c r="V42" t="s">
        <v>1315</v>
      </c>
      <c r="W42" t="s">
        <v>20</v>
      </c>
    </row>
    <row r="43" spans="1:23" x14ac:dyDescent="0.25">
      <c r="A43">
        <v>6</v>
      </c>
      <c r="B43" t="s">
        <v>18</v>
      </c>
      <c r="C43" t="str">
        <f>HYPERLINK("http://www.ncbi.nlm.nih.gov/protein/XP_004780480.1","XP_004780480.1")</f>
        <v>XP_004780480.1</v>
      </c>
      <c r="D43">
        <v>48574</v>
      </c>
      <c r="E43" t="str">
        <f>HYPERLINK("http://www.ncbi.nlm.nih.gov/Taxonomy/Browser/wwwtax.cgi?mode=Info&amp;id=9669&amp;lvl=3&amp;lin=f&amp;keep=1&amp;srchmode=1&amp;unlock","9669")</f>
        <v>9669</v>
      </c>
      <c r="F43" t="s">
        <v>18</v>
      </c>
      <c r="G43" t="str">
        <f>HYPERLINK("http://www.ncbi.nlm.nih.gov/Taxonomy/Browser/wwwtax.cgi?mode=Info&amp;id=9669&amp;lvl=3&amp;lin=f&amp;keep=1&amp;srchmode=1&amp;unlock","Mustela putorius furo")</f>
        <v>Mustela putorius furo</v>
      </c>
      <c r="H43" t="s">
        <v>48</v>
      </c>
      <c r="I43" t="str">
        <f>HYPERLINK("http://www.ncbi.nlm.nih.gov/protein/XP_004780480.1","PREDICTED: androgen receptor")</f>
        <v>PREDICTED: androgen receptor</v>
      </c>
      <c r="J43" t="s">
        <v>1312</v>
      </c>
      <c r="K43" t="s">
        <v>20</v>
      </c>
      <c r="L43">
        <v>678</v>
      </c>
      <c r="M43" t="s">
        <v>25</v>
      </c>
      <c r="N43" t="s">
        <v>20</v>
      </c>
      <c r="O43">
        <v>684</v>
      </c>
      <c r="P43" t="s">
        <v>1313</v>
      </c>
      <c r="Q43" t="s">
        <v>20</v>
      </c>
      <c r="R43">
        <v>725</v>
      </c>
      <c r="S43" t="s">
        <v>1314</v>
      </c>
      <c r="T43" t="s">
        <v>20</v>
      </c>
      <c r="U43">
        <v>850</v>
      </c>
      <c r="V43" t="s">
        <v>1315</v>
      </c>
      <c r="W43" t="s">
        <v>20</v>
      </c>
    </row>
    <row r="44" spans="1:23" x14ac:dyDescent="0.25">
      <c r="A44">
        <v>6</v>
      </c>
      <c r="B44" t="s">
        <v>18</v>
      </c>
      <c r="C44" t="str">
        <f>HYPERLINK("http://www.ncbi.nlm.nih.gov/protein/XP_032701479.1","XP_032701479.1")</f>
        <v>XP_032701479.1</v>
      </c>
      <c r="D44">
        <v>48403</v>
      </c>
      <c r="E44" t="str">
        <f>HYPERLINK("http://www.ncbi.nlm.nih.gov/Taxonomy/Browser/wwwtax.cgi?mode=Info&amp;id=76717&amp;lvl=3&amp;lin=f&amp;keep=1&amp;srchmode=1&amp;unlock","76717")</f>
        <v>76717</v>
      </c>
      <c r="F44" t="s">
        <v>18</v>
      </c>
      <c r="G44" t="str">
        <f>HYPERLINK("http://www.ncbi.nlm.nih.gov/Taxonomy/Browser/wwwtax.cgi?mode=Info&amp;id=76717&amp;lvl=3&amp;lin=f&amp;keep=1&amp;srchmode=1&amp;unlock","Lontra canadensis")</f>
        <v>Lontra canadensis</v>
      </c>
      <c r="H44" t="s">
        <v>47</v>
      </c>
      <c r="I44" t="str">
        <f>HYPERLINK("http://www.ncbi.nlm.nih.gov/protein/XP_032701479.1","androgen receptor isoform X1")</f>
        <v>androgen receptor isoform X1</v>
      </c>
      <c r="J44" t="s">
        <v>1312</v>
      </c>
      <c r="K44" t="s">
        <v>20</v>
      </c>
      <c r="L44">
        <v>674</v>
      </c>
      <c r="M44" t="s">
        <v>25</v>
      </c>
      <c r="N44" t="s">
        <v>20</v>
      </c>
      <c r="O44">
        <v>680</v>
      </c>
      <c r="P44" t="s">
        <v>1313</v>
      </c>
      <c r="Q44" t="s">
        <v>20</v>
      </c>
      <c r="R44">
        <v>721</v>
      </c>
      <c r="S44" t="s">
        <v>1314</v>
      </c>
      <c r="T44" t="s">
        <v>20</v>
      </c>
      <c r="U44">
        <v>846</v>
      </c>
      <c r="V44" t="s">
        <v>1315</v>
      </c>
      <c r="W44" t="s">
        <v>20</v>
      </c>
    </row>
    <row r="45" spans="1:23" x14ac:dyDescent="0.25">
      <c r="A45">
        <v>6</v>
      </c>
      <c r="B45" t="s">
        <v>18</v>
      </c>
      <c r="C45" t="str">
        <f>HYPERLINK("http://www.ncbi.nlm.nih.gov/protein/XP_006981237.1","XP_006981237.1")</f>
        <v>XP_006981237.1</v>
      </c>
      <c r="D45">
        <v>45653</v>
      </c>
      <c r="E45" t="str">
        <f>HYPERLINK("http://www.ncbi.nlm.nih.gov/Taxonomy/Browser/wwwtax.cgi?mode=Info&amp;id=230844&amp;lvl=3&amp;lin=f&amp;keep=1&amp;srchmode=1&amp;unlock","230844")</f>
        <v>230844</v>
      </c>
      <c r="F45" t="s">
        <v>18</v>
      </c>
      <c r="G45" t="str">
        <f>HYPERLINK("http://www.ncbi.nlm.nih.gov/Taxonomy/Browser/wwwtax.cgi?mode=Info&amp;id=230844&amp;lvl=3&amp;lin=f&amp;keep=1&amp;srchmode=1&amp;unlock","Peromyscus maniculatus bairdii")</f>
        <v>Peromyscus maniculatus bairdii</v>
      </c>
      <c r="H45" t="s">
        <v>157</v>
      </c>
      <c r="I45" t="str">
        <f>HYPERLINK("http://www.ncbi.nlm.nih.gov/protein/XP_006981237.1","PREDICTED: androgen receptor")</f>
        <v>PREDICTED: androgen receptor</v>
      </c>
      <c r="J45" t="s">
        <v>1312</v>
      </c>
      <c r="K45" t="s">
        <v>20</v>
      </c>
      <c r="L45">
        <v>679</v>
      </c>
      <c r="M45" t="s">
        <v>25</v>
      </c>
      <c r="N45" t="s">
        <v>20</v>
      </c>
      <c r="O45">
        <v>685</v>
      </c>
      <c r="P45" t="s">
        <v>1313</v>
      </c>
      <c r="Q45" t="s">
        <v>20</v>
      </c>
      <c r="R45">
        <v>726</v>
      </c>
      <c r="S45" t="s">
        <v>1314</v>
      </c>
      <c r="T45" t="s">
        <v>20</v>
      </c>
      <c r="U45">
        <v>851</v>
      </c>
      <c r="V45" t="s">
        <v>1315</v>
      </c>
      <c r="W45" t="s">
        <v>20</v>
      </c>
    </row>
    <row r="46" spans="1:23" x14ac:dyDescent="0.25">
      <c r="A46">
        <v>6</v>
      </c>
      <c r="B46" t="s">
        <v>18</v>
      </c>
      <c r="C46" t="str">
        <f>HYPERLINK("http://www.ncbi.nlm.nih.gov/protein/XP_014687510.1","XP_014687510.1")</f>
        <v>XP_014687510.1</v>
      </c>
      <c r="D46">
        <v>42730</v>
      </c>
      <c r="E46" t="str">
        <f>HYPERLINK("http://www.ncbi.nlm.nih.gov/Taxonomy/Browser/wwwtax.cgi?mode=Info&amp;id=9793&amp;lvl=3&amp;lin=f&amp;keep=1&amp;srchmode=1&amp;unlock","9793")</f>
        <v>9793</v>
      </c>
      <c r="F46" t="s">
        <v>18</v>
      </c>
      <c r="G46" t="str">
        <f>HYPERLINK("http://www.ncbi.nlm.nih.gov/Taxonomy/Browser/wwwtax.cgi?mode=Info&amp;id=9793&amp;lvl=3&amp;lin=f&amp;keep=1&amp;srchmode=1&amp;unlock","Equus asinus")</f>
        <v>Equus asinus</v>
      </c>
      <c r="H46" t="s">
        <v>381</v>
      </c>
      <c r="I46" t="str">
        <f>HYPERLINK("http://www.ncbi.nlm.nih.gov/protein/XP_014687510.1","PREDICTED: androgen receptor")</f>
        <v>PREDICTED: androgen receptor</v>
      </c>
      <c r="J46" t="s">
        <v>1312</v>
      </c>
      <c r="K46" t="s">
        <v>20</v>
      </c>
      <c r="L46">
        <v>674</v>
      </c>
      <c r="M46" t="s">
        <v>25</v>
      </c>
      <c r="N46" t="s">
        <v>20</v>
      </c>
      <c r="O46">
        <v>680</v>
      </c>
      <c r="P46" t="s">
        <v>1313</v>
      </c>
      <c r="Q46" t="s">
        <v>20</v>
      </c>
      <c r="R46">
        <v>721</v>
      </c>
      <c r="S46" t="s">
        <v>1314</v>
      </c>
      <c r="T46" t="s">
        <v>20</v>
      </c>
      <c r="U46">
        <v>846</v>
      </c>
      <c r="V46" t="s">
        <v>1315</v>
      </c>
      <c r="W46" t="s">
        <v>20</v>
      </c>
    </row>
    <row r="47" spans="1:23" x14ac:dyDescent="0.25">
      <c r="A47">
        <v>6</v>
      </c>
      <c r="B47" t="s">
        <v>18</v>
      </c>
      <c r="C47" t="str">
        <f>HYPERLINK("http://www.ncbi.nlm.nih.gov/protein/XP_028739721.1","XP_028739721.1")</f>
        <v>XP_028739721.1</v>
      </c>
      <c r="D47">
        <v>48460</v>
      </c>
      <c r="E47" t="str">
        <f>HYPERLINK("http://www.ncbi.nlm.nih.gov/Taxonomy/Browser/wwwtax.cgi?mode=Info&amp;id=10041&amp;lvl=3&amp;lin=f&amp;keep=1&amp;srchmode=1&amp;unlock","10041")</f>
        <v>10041</v>
      </c>
      <c r="F47" t="s">
        <v>18</v>
      </c>
      <c r="G47" t="str">
        <f>HYPERLINK("http://www.ncbi.nlm.nih.gov/Taxonomy/Browser/wwwtax.cgi?mode=Info&amp;id=10041&amp;lvl=3&amp;lin=f&amp;keep=1&amp;srchmode=1&amp;unlock","Peromyscus leucopus")</f>
        <v>Peromyscus leucopus</v>
      </c>
      <c r="H47" t="s">
        <v>128</v>
      </c>
      <c r="I47" t="str">
        <f>HYPERLINK("http://www.ncbi.nlm.nih.gov/protein/XP_028739721.1","androgen receptor")</f>
        <v>androgen receptor</v>
      </c>
      <c r="J47" t="s">
        <v>1312</v>
      </c>
      <c r="K47" t="s">
        <v>20</v>
      </c>
      <c r="L47">
        <v>683</v>
      </c>
      <c r="M47" t="s">
        <v>25</v>
      </c>
      <c r="N47" t="s">
        <v>20</v>
      </c>
      <c r="O47">
        <v>689</v>
      </c>
      <c r="P47" t="s">
        <v>1313</v>
      </c>
      <c r="Q47" t="s">
        <v>20</v>
      </c>
      <c r="R47">
        <v>730</v>
      </c>
      <c r="S47" t="s">
        <v>1314</v>
      </c>
      <c r="T47" t="s">
        <v>20</v>
      </c>
      <c r="U47">
        <v>855</v>
      </c>
      <c r="V47" t="s">
        <v>1315</v>
      </c>
      <c r="W47" t="s">
        <v>20</v>
      </c>
    </row>
    <row r="48" spans="1:23" x14ac:dyDescent="0.25">
      <c r="A48">
        <v>6</v>
      </c>
      <c r="B48" t="s">
        <v>18</v>
      </c>
      <c r="C48" t="str">
        <f>HYPERLINK("http://www.ncbi.nlm.nih.gov/protein/XP_004439954.1","XP_004439954.1")</f>
        <v>XP_004439954.1</v>
      </c>
      <c r="D48">
        <v>33636</v>
      </c>
      <c r="E48" t="str">
        <f>HYPERLINK("http://www.ncbi.nlm.nih.gov/Taxonomy/Browser/wwwtax.cgi?mode=Info&amp;id=73337&amp;lvl=3&amp;lin=f&amp;keep=1&amp;srchmode=1&amp;unlock","73337")</f>
        <v>73337</v>
      </c>
      <c r="F48" t="s">
        <v>18</v>
      </c>
      <c r="G48" t="str">
        <f>HYPERLINK("http://www.ncbi.nlm.nih.gov/Taxonomy/Browser/wwwtax.cgi?mode=Info&amp;id=73337&amp;lvl=3&amp;lin=f&amp;keep=1&amp;srchmode=1&amp;unlock","Ceratotherium simum simum")</f>
        <v>Ceratotherium simum simum</v>
      </c>
      <c r="H48" t="s">
        <v>560</v>
      </c>
      <c r="I48" t="str">
        <f>HYPERLINK("http://www.ncbi.nlm.nih.gov/protein/XP_004439954.1","PREDICTED: androgen receptor")</f>
        <v>PREDICTED: androgen receptor</v>
      </c>
      <c r="J48" t="s">
        <v>1312</v>
      </c>
      <c r="K48" t="s">
        <v>20</v>
      </c>
      <c r="L48">
        <v>677</v>
      </c>
      <c r="M48" t="s">
        <v>25</v>
      </c>
      <c r="N48" t="s">
        <v>20</v>
      </c>
      <c r="O48">
        <v>683</v>
      </c>
      <c r="P48" t="s">
        <v>1313</v>
      </c>
      <c r="Q48" t="s">
        <v>20</v>
      </c>
      <c r="R48">
        <v>724</v>
      </c>
      <c r="S48" t="s">
        <v>1314</v>
      </c>
      <c r="T48" t="s">
        <v>20</v>
      </c>
      <c r="U48">
        <v>849</v>
      </c>
      <c r="V48" t="s">
        <v>1315</v>
      </c>
      <c r="W48" t="s">
        <v>20</v>
      </c>
    </row>
    <row r="49" spans="1:23" x14ac:dyDescent="0.25">
      <c r="A49">
        <v>6</v>
      </c>
      <c r="B49" t="s">
        <v>18</v>
      </c>
      <c r="C49" t="str">
        <f>HYPERLINK("http://www.ncbi.nlm.nih.gov/protein/MXQ98755.1","MXQ98755.1")</f>
        <v>MXQ98755.1</v>
      </c>
      <c r="D49">
        <v>68258</v>
      </c>
      <c r="E49" t="str">
        <f>HYPERLINK("http://www.ncbi.nlm.nih.gov/Taxonomy/Browser/wwwtax.cgi?mode=Info&amp;id=72004&amp;lvl=3&amp;lin=f&amp;keep=1&amp;srchmode=1&amp;unlock","72004")</f>
        <v>72004</v>
      </c>
      <c r="F49" t="s">
        <v>18</v>
      </c>
      <c r="G49" t="str">
        <f>HYPERLINK("http://www.ncbi.nlm.nih.gov/Taxonomy/Browser/wwwtax.cgi?mode=Info&amp;id=72004&amp;lvl=3&amp;lin=f&amp;keep=1&amp;srchmode=1&amp;unlock","Bos mutus")</f>
        <v>Bos mutus</v>
      </c>
      <c r="H49" t="s">
        <v>117</v>
      </c>
      <c r="I49" t="str">
        <f>HYPERLINK("http://www.ncbi.nlm.nih.gov/protein/MXQ98755.1","hypothetical protein")</f>
        <v>hypothetical protein</v>
      </c>
      <c r="J49" t="s">
        <v>1312</v>
      </c>
      <c r="K49" t="s">
        <v>20</v>
      </c>
      <c r="L49">
        <v>676</v>
      </c>
      <c r="M49" t="s">
        <v>25</v>
      </c>
      <c r="N49" t="s">
        <v>20</v>
      </c>
      <c r="O49">
        <v>682</v>
      </c>
      <c r="P49" t="s">
        <v>1313</v>
      </c>
      <c r="Q49" t="s">
        <v>20</v>
      </c>
      <c r="R49">
        <v>723</v>
      </c>
      <c r="S49" t="s">
        <v>1314</v>
      </c>
      <c r="T49" t="s">
        <v>20</v>
      </c>
      <c r="U49">
        <v>848</v>
      </c>
      <c r="V49" t="s">
        <v>1315</v>
      </c>
      <c r="W49" t="s">
        <v>20</v>
      </c>
    </row>
    <row r="50" spans="1:23" x14ac:dyDescent="0.25">
      <c r="A50">
        <v>6</v>
      </c>
      <c r="B50" t="s">
        <v>18</v>
      </c>
      <c r="C50" t="str">
        <f>HYPERLINK("http://www.ncbi.nlm.nih.gov/protein/NP_001231056.1","NP_001231056.1")</f>
        <v>NP_001231056.1</v>
      </c>
      <c r="D50">
        <v>134275</v>
      </c>
      <c r="E50" t="str">
        <f>HYPERLINK("http://www.ncbi.nlm.nih.gov/Taxonomy/Browser/wwwtax.cgi?mode=Info&amp;id=9913&amp;lvl=3&amp;lin=f&amp;keep=1&amp;srchmode=1&amp;unlock","9913")</f>
        <v>9913</v>
      </c>
      <c r="F50" t="s">
        <v>18</v>
      </c>
      <c r="G50" t="str">
        <f>HYPERLINK("http://www.ncbi.nlm.nih.gov/Taxonomy/Browser/wwwtax.cgi?mode=Info&amp;id=9913&amp;lvl=3&amp;lin=f&amp;keep=1&amp;srchmode=1&amp;unlock","Bos taurus")</f>
        <v>Bos taurus</v>
      </c>
      <c r="H50" t="s">
        <v>123</v>
      </c>
      <c r="I50" t="str">
        <f>HYPERLINK("http://www.ncbi.nlm.nih.gov/protein/NP_001231056.1","androgen receptor")</f>
        <v>androgen receptor</v>
      </c>
      <c r="J50" t="s">
        <v>1312</v>
      </c>
      <c r="K50" t="s">
        <v>20</v>
      </c>
      <c r="L50">
        <v>676</v>
      </c>
      <c r="M50" t="s">
        <v>25</v>
      </c>
      <c r="N50" t="s">
        <v>20</v>
      </c>
      <c r="O50">
        <v>682</v>
      </c>
      <c r="P50" t="s">
        <v>1313</v>
      </c>
      <c r="Q50" t="s">
        <v>20</v>
      </c>
      <c r="R50">
        <v>723</v>
      </c>
      <c r="S50" t="s">
        <v>1314</v>
      </c>
      <c r="T50" t="s">
        <v>20</v>
      </c>
      <c r="U50">
        <v>848</v>
      </c>
      <c r="V50" t="s">
        <v>1315</v>
      </c>
      <c r="W50" t="s">
        <v>20</v>
      </c>
    </row>
    <row r="51" spans="1:23" x14ac:dyDescent="0.25">
      <c r="A51">
        <v>6</v>
      </c>
      <c r="B51" t="s">
        <v>18</v>
      </c>
      <c r="C51" t="str">
        <f>HYPERLINK("http://www.ncbi.nlm.nih.gov/protein/XP_019811422.1","XP_019811422.1")</f>
        <v>XP_019811422.1</v>
      </c>
      <c r="D51">
        <v>37841</v>
      </c>
      <c r="E51" t="str">
        <f>HYPERLINK("http://www.ncbi.nlm.nih.gov/Taxonomy/Browser/wwwtax.cgi?mode=Info&amp;id=9915&amp;lvl=3&amp;lin=f&amp;keep=1&amp;srchmode=1&amp;unlock","9915")</f>
        <v>9915</v>
      </c>
      <c r="F51" t="s">
        <v>18</v>
      </c>
      <c r="G51" t="str">
        <f>HYPERLINK("http://www.ncbi.nlm.nih.gov/Taxonomy/Browser/wwwtax.cgi?mode=Info&amp;id=9915&amp;lvl=3&amp;lin=f&amp;keep=1&amp;srchmode=1&amp;unlock","Bos indicus")</f>
        <v>Bos indicus</v>
      </c>
      <c r="H51" t="s">
        <v>146</v>
      </c>
      <c r="I51" t="str">
        <f>HYPERLINK("http://www.ncbi.nlm.nih.gov/protein/XP_019811422.1","PREDICTED: androgen receptor")</f>
        <v>PREDICTED: androgen receptor</v>
      </c>
      <c r="J51" t="s">
        <v>1312</v>
      </c>
      <c r="K51" t="s">
        <v>20</v>
      </c>
      <c r="L51">
        <v>676</v>
      </c>
      <c r="M51" t="s">
        <v>25</v>
      </c>
      <c r="N51" t="s">
        <v>20</v>
      </c>
      <c r="O51">
        <v>682</v>
      </c>
      <c r="P51" t="s">
        <v>1313</v>
      </c>
      <c r="Q51" t="s">
        <v>20</v>
      </c>
      <c r="R51">
        <v>723</v>
      </c>
      <c r="S51" t="s">
        <v>1314</v>
      </c>
      <c r="T51" t="s">
        <v>20</v>
      </c>
      <c r="U51">
        <v>848</v>
      </c>
      <c r="V51" t="s">
        <v>1315</v>
      </c>
      <c r="W51" t="s">
        <v>20</v>
      </c>
    </row>
    <row r="52" spans="1:23" x14ac:dyDescent="0.25">
      <c r="A52">
        <v>6</v>
      </c>
      <c r="B52" t="s">
        <v>18</v>
      </c>
      <c r="C52" t="str">
        <f>HYPERLINK("http://www.ncbi.nlm.nih.gov/protein/XP_027388936.1","XP_027388936.1")</f>
        <v>XP_027388936.1</v>
      </c>
      <c r="D52">
        <v>54422</v>
      </c>
      <c r="E52" t="str">
        <f>HYPERLINK("http://www.ncbi.nlm.nih.gov/Taxonomy/Browser/wwwtax.cgi?mode=Info&amp;id=30522&amp;lvl=3&amp;lin=f&amp;keep=1&amp;srchmode=1&amp;unlock","30522")</f>
        <v>30522</v>
      </c>
      <c r="F52" t="s">
        <v>18</v>
      </c>
      <c r="G52" t="str">
        <f>HYPERLINK("http://www.ncbi.nlm.nih.gov/Taxonomy/Browser/wwwtax.cgi?mode=Info&amp;id=30522&amp;lvl=3&amp;lin=f&amp;keep=1&amp;srchmode=1&amp;unlock","Bos indicus x Bos taurus")</f>
        <v>Bos indicus x Bos taurus</v>
      </c>
      <c r="H52" t="s">
        <v>121</v>
      </c>
      <c r="I52" t="str">
        <f>HYPERLINK("http://www.ncbi.nlm.nih.gov/protein/XP_027388936.1","androgen receptor isoform X1")</f>
        <v>androgen receptor isoform X1</v>
      </c>
      <c r="J52" t="s">
        <v>1312</v>
      </c>
      <c r="K52" t="s">
        <v>20</v>
      </c>
      <c r="L52">
        <v>676</v>
      </c>
      <c r="M52" t="s">
        <v>25</v>
      </c>
      <c r="N52" t="s">
        <v>20</v>
      </c>
      <c r="O52">
        <v>682</v>
      </c>
      <c r="P52" t="s">
        <v>1313</v>
      </c>
      <c r="Q52" t="s">
        <v>20</v>
      </c>
      <c r="R52">
        <v>723</v>
      </c>
      <c r="S52" t="s">
        <v>1314</v>
      </c>
      <c r="T52" t="s">
        <v>20</v>
      </c>
      <c r="U52">
        <v>848</v>
      </c>
      <c r="V52" t="s">
        <v>1315</v>
      </c>
      <c r="W52" t="s">
        <v>20</v>
      </c>
    </row>
    <row r="53" spans="1:23" x14ac:dyDescent="0.25">
      <c r="A53">
        <v>6</v>
      </c>
      <c r="B53" t="s">
        <v>18</v>
      </c>
      <c r="C53" t="str">
        <f>HYPERLINK("http://www.ncbi.nlm.nih.gov/protein/XP_030161381.1","XP_030161381.1")</f>
        <v>XP_030161381.1</v>
      </c>
      <c r="D53">
        <v>42175</v>
      </c>
      <c r="E53" t="str">
        <f>HYPERLINK("http://www.ncbi.nlm.nih.gov/Taxonomy/Browser/wwwtax.cgi?mode=Info&amp;id=61383&amp;lvl=3&amp;lin=f&amp;keep=1&amp;srchmode=1&amp;unlock","61383")</f>
        <v>61383</v>
      </c>
      <c r="F53" t="s">
        <v>18</v>
      </c>
      <c r="G53" t="str">
        <f>HYPERLINK("http://www.ncbi.nlm.nih.gov/Taxonomy/Browser/wwwtax.cgi?mode=Info&amp;id=61383&amp;lvl=3&amp;lin=f&amp;keep=1&amp;srchmode=1&amp;unlock","Lynx canadensis")</f>
        <v>Lynx canadensis</v>
      </c>
      <c r="H53" t="s">
        <v>63</v>
      </c>
      <c r="I53" t="str">
        <f>HYPERLINK("http://www.ncbi.nlm.nih.gov/protein/XP_030161381.1","androgen receptor")</f>
        <v>androgen receptor</v>
      </c>
      <c r="J53" t="s">
        <v>1312</v>
      </c>
      <c r="K53" t="s">
        <v>20</v>
      </c>
      <c r="L53">
        <v>690</v>
      </c>
      <c r="M53" t="s">
        <v>25</v>
      </c>
      <c r="N53" t="s">
        <v>20</v>
      </c>
      <c r="O53">
        <v>696</v>
      </c>
      <c r="P53" t="s">
        <v>1313</v>
      </c>
      <c r="Q53" t="s">
        <v>20</v>
      </c>
      <c r="R53">
        <v>737</v>
      </c>
      <c r="S53" t="s">
        <v>1314</v>
      </c>
      <c r="T53" t="s">
        <v>20</v>
      </c>
      <c r="U53">
        <v>862</v>
      </c>
      <c r="V53" t="s">
        <v>1315</v>
      </c>
      <c r="W53" t="s">
        <v>20</v>
      </c>
    </row>
    <row r="54" spans="1:23" x14ac:dyDescent="0.25">
      <c r="A54">
        <v>6</v>
      </c>
      <c r="B54" t="s">
        <v>18</v>
      </c>
      <c r="C54" t="str">
        <f>HYPERLINK("http://www.ncbi.nlm.nih.gov/protein/XP_005081209.1","XP_005081209.1")</f>
        <v>XP_005081209.1</v>
      </c>
      <c r="D54">
        <v>54395</v>
      </c>
      <c r="E54" t="str">
        <f>HYPERLINK("http://www.ncbi.nlm.nih.gov/Taxonomy/Browser/wwwtax.cgi?mode=Info&amp;id=10036&amp;lvl=3&amp;lin=f&amp;keep=1&amp;srchmode=1&amp;unlock","10036")</f>
        <v>10036</v>
      </c>
      <c r="F54" t="s">
        <v>18</v>
      </c>
      <c r="G54" t="str">
        <f>HYPERLINK("http://www.ncbi.nlm.nih.gov/Taxonomy/Browser/wwwtax.cgi?mode=Info&amp;id=10036&amp;lvl=3&amp;lin=f&amp;keep=1&amp;srchmode=1&amp;unlock","Mesocricetus auratus")</f>
        <v>Mesocricetus auratus</v>
      </c>
      <c r="H54" t="s">
        <v>160</v>
      </c>
      <c r="I54" t="str">
        <f>HYPERLINK("http://www.ncbi.nlm.nih.gov/protein/XP_005081209.1","androgen receptor")</f>
        <v>androgen receptor</v>
      </c>
      <c r="J54" t="s">
        <v>1312</v>
      </c>
      <c r="K54" t="s">
        <v>20</v>
      </c>
      <c r="L54">
        <v>686</v>
      </c>
      <c r="M54" t="s">
        <v>25</v>
      </c>
      <c r="N54" t="s">
        <v>20</v>
      </c>
      <c r="O54">
        <v>692</v>
      </c>
      <c r="P54" t="s">
        <v>1313</v>
      </c>
      <c r="Q54" t="s">
        <v>20</v>
      </c>
      <c r="R54">
        <v>733</v>
      </c>
      <c r="S54" t="s">
        <v>1314</v>
      </c>
      <c r="T54" t="s">
        <v>20</v>
      </c>
      <c r="U54">
        <v>858</v>
      </c>
      <c r="V54" t="s">
        <v>1315</v>
      </c>
      <c r="W54" t="s">
        <v>20</v>
      </c>
    </row>
    <row r="55" spans="1:23" x14ac:dyDescent="0.25">
      <c r="A55">
        <v>6</v>
      </c>
      <c r="B55" t="s">
        <v>18</v>
      </c>
      <c r="C55" t="str">
        <f>HYPERLINK("http://www.ncbi.nlm.nih.gov/protein/XP_004694494.1","XP_004694494.1")</f>
        <v>XP_004694494.1</v>
      </c>
      <c r="D55">
        <v>29269</v>
      </c>
      <c r="E55" t="str">
        <f>HYPERLINK("http://www.ncbi.nlm.nih.gov/Taxonomy/Browser/wwwtax.cgi?mode=Info&amp;id=143302&amp;lvl=3&amp;lin=f&amp;keep=1&amp;srchmode=1&amp;unlock","143302")</f>
        <v>143302</v>
      </c>
      <c r="F55" t="s">
        <v>18</v>
      </c>
      <c r="G55" t="str">
        <f>HYPERLINK("http://www.ncbi.nlm.nih.gov/Taxonomy/Browser/wwwtax.cgi?mode=Info&amp;id=143302&amp;lvl=3&amp;lin=f&amp;keep=1&amp;srchmode=1&amp;unlock","Condylura cristata")</f>
        <v>Condylura cristata</v>
      </c>
      <c r="H55" t="s">
        <v>110</v>
      </c>
      <c r="I55" t="str">
        <f>HYPERLINK("http://www.ncbi.nlm.nih.gov/protein/XP_004694494.1","PREDICTED: androgen receptor")</f>
        <v>PREDICTED: androgen receptor</v>
      </c>
      <c r="J55" t="s">
        <v>1312</v>
      </c>
      <c r="K55" t="s">
        <v>20</v>
      </c>
      <c r="L55">
        <v>694</v>
      </c>
      <c r="M55" t="s">
        <v>25</v>
      </c>
      <c r="N55" t="s">
        <v>20</v>
      </c>
      <c r="O55">
        <v>700</v>
      </c>
      <c r="P55" t="s">
        <v>1313</v>
      </c>
      <c r="Q55" t="s">
        <v>20</v>
      </c>
      <c r="R55">
        <v>741</v>
      </c>
      <c r="S55" t="s">
        <v>1314</v>
      </c>
      <c r="T55" t="s">
        <v>20</v>
      </c>
      <c r="U55">
        <v>866</v>
      </c>
      <c r="V55" t="s">
        <v>1315</v>
      </c>
      <c r="W55" t="s">
        <v>20</v>
      </c>
    </row>
    <row r="56" spans="1:23" x14ac:dyDescent="0.25">
      <c r="A56">
        <v>6</v>
      </c>
      <c r="B56" t="s">
        <v>18</v>
      </c>
      <c r="C56" t="str">
        <f>HYPERLINK("http://www.ncbi.nlm.nih.gov/protein/XP_026909507.1","XP_026909507.1")</f>
        <v>XP_026909507.1</v>
      </c>
      <c r="D56">
        <v>56437</v>
      </c>
      <c r="E56" t="str">
        <f>HYPERLINK("http://www.ncbi.nlm.nih.gov/Taxonomy/Browser/wwwtax.cgi?mode=Info&amp;id=32536&amp;lvl=3&amp;lin=f&amp;keep=1&amp;srchmode=1&amp;unlock","32536")</f>
        <v>32536</v>
      </c>
      <c r="F56" t="s">
        <v>18</v>
      </c>
      <c r="G56" t="str">
        <f>HYPERLINK("http://www.ncbi.nlm.nih.gov/Taxonomy/Browser/wwwtax.cgi?mode=Info&amp;id=32536&amp;lvl=3&amp;lin=f&amp;keep=1&amp;srchmode=1&amp;unlock","Acinonyx jubatus")</f>
        <v>Acinonyx jubatus</v>
      </c>
      <c r="H56" t="s">
        <v>62</v>
      </c>
      <c r="I56" t="str">
        <f>HYPERLINK("http://www.ncbi.nlm.nih.gov/protein/XP_026909507.1","androgen receptor isoform X1")</f>
        <v>androgen receptor isoform X1</v>
      </c>
      <c r="J56" t="s">
        <v>1312</v>
      </c>
      <c r="K56" t="s">
        <v>20</v>
      </c>
      <c r="L56">
        <v>685</v>
      </c>
      <c r="M56" t="s">
        <v>25</v>
      </c>
      <c r="N56" t="s">
        <v>20</v>
      </c>
      <c r="O56">
        <v>691</v>
      </c>
      <c r="P56" t="s">
        <v>1313</v>
      </c>
      <c r="Q56" t="s">
        <v>20</v>
      </c>
      <c r="R56">
        <v>732</v>
      </c>
      <c r="S56" t="s">
        <v>1314</v>
      </c>
      <c r="T56" t="s">
        <v>20</v>
      </c>
      <c r="U56">
        <v>857</v>
      </c>
      <c r="V56" t="s">
        <v>1315</v>
      </c>
      <c r="W56" t="s">
        <v>20</v>
      </c>
    </row>
    <row r="57" spans="1:23" x14ac:dyDescent="0.25">
      <c r="A57">
        <v>6</v>
      </c>
      <c r="B57" t="s">
        <v>18</v>
      </c>
      <c r="C57" t="str">
        <f>HYPERLINK("http://www.ncbi.nlm.nih.gov/protein/XP_022380163.1","XP_022380163.1")</f>
        <v>XP_022380163.1</v>
      </c>
      <c r="D57">
        <v>36593</v>
      </c>
      <c r="E57" t="str">
        <f>HYPERLINK("http://www.ncbi.nlm.nih.gov/Taxonomy/Browser/wwwtax.cgi?mode=Info&amp;id=391180&amp;lvl=3&amp;lin=f&amp;keep=1&amp;srchmode=1&amp;unlock","391180")</f>
        <v>391180</v>
      </c>
      <c r="F57" t="s">
        <v>18</v>
      </c>
      <c r="G57" t="str">
        <f>HYPERLINK("http://www.ncbi.nlm.nih.gov/Taxonomy/Browser/wwwtax.cgi?mode=Info&amp;id=391180&amp;lvl=3&amp;lin=f&amp;keep=1&amp;srchmode=1&amp;unlock","Enhydra lutris kenyoni")</f>
        <v>Enhydra lutris kenyoni</v>
      </c>
      <c r="H57" t="s">
        <v>71</v>
      </c>
      <c r="I57" t="str">
        <f>HYPERLINK("http://www.ncbi.nlm.nih.gov/protein/XP_022380163.1","androgen receptor")</f>
        <v>androgen receptor</v>
      </c>
      <c r="J57" t="s">
        <v>1312</v>
      </c>
      <c r="K57" t="s">
        <v>20</v>
      </c>
      <c r="L57">
        <v>677</v>
      </c>
      <c r="M57" t="s">
        <v>25</v>
      </c>
      <c r="N57" t="s">
        <v>20</v>
      </c>
      <c r="O57">
        <v>683</v>
      </c>
      <c r="P57" t="s">
        <v>1313</v>
      </c>
      <c r="Q57" t="s">
        <v>20</v>
      </c>
      <c r="R57">
        <v>724</v>
      </c>
      <c r="S57" t="s">
        <v>1314</v>
      </c>
      <c r="T57" t="s">
        <v>20</v>
      </c>
      <c r="U57">
        <v>849</v>
      </c>
      <c r="V57" t="s">
        <v>1315</v>
      </c>
      <c r="W57" t="s">
        <v>20</v>
      </c>
    </row>
    <row r="58" spans="1:23" x14ac:dyDescent="0.25">
      <c r="A58">
        <v>6</v>
      </c>
      <c r="B58" t="s">
        <v>18</v>
      </c>
      <c r="C58" t="str">
        <f>HYPERLINK("http://www.ncbi.nlm.nih.gov/protein/NP_001182653.1","NP_001182653.1")</f>
        <v>NP_001182653.1</v>
      </c>
      <c r="D58">
        <v>52342</v>
      </c>
      <c r="E58" t="str">
        <f>HYPERLINK("http://www.ncbi.nlm.nih.gov/Taxonomy/Browser/wwwtax.cgi?mode=Info&amp;id=9986&amp;lvl=3&amp;lin=f&amp;keep=1&amp;srchmode=1&amp;unlock","9986")</f>
        <v>9986</v>
      </c>
      <c r="F58" t="s">
        <v>18</v>
      </c>
      <c r="G58" t="str">
        <f>HYPERLINK("http://www.ncbi.nlm.nih.gov/Taxonomy/Browser/wwwtax.cgi?mode=Info&amp;id=9986&amp;lvl=3&amp;lin=f&amp;keep=1&amp;srchmode=1&amp;unlock","Oryctolagus cuniculus")</f>
        <v>Oryctolagus cuniculus</v>
      </c>
      <c r="H58" t="s">
        <v>183</v>
      </c>
      <c r="I58" t="str">
        <f>HYPERLINK("http://www.ncbi.nlm.nih.gov/protein/NP_001182653.1","androgen receptor")</f>
        <v>androgen receptor</v>
      </c>
      <c r="J58" t="s">
        <v>1312</v>
      </c>
      <c r="K58" t="s">
        <v>20</v>
      </c>
      <c r="L58">
        <v>687</v>
      </c>
      <c r="M58" t="s">
        <v>25</v>
      </c>
      <c r="N58" t="s">
        <v>20</v>
      </c>
      <c r="O58">
        <v>693</v>
      </c>
      <c r="P58" t="s">
        <v>1313</v>
      </c>
      <c r="Q58" t="s">
        <v>20</v>
      </c>
      <c r="R58">
        <v>734</v>
      </c>
      <c r="S58" t="s">
        <v>1314</v>
      </c>
      <c r="T58" t="s">
        <v>20</v>
      </c>
      <c r="U58">
        <v>859</v>
      </c>
      <c r="V58" t="s">
        <v>1315</v>
      </c>
      <c r="W58" t="s">
        <v>20</v>
      </c>
    </row>
    <row r="59" spans="1:23" x14ac:dyDescent="0.25">
      <c r="A59">
        <v>6</v>
      </c>
      <c r="B59" t="s">
        <v>18</v>
      </c>
      <c r="C59" t="str">
        <f>HYPERLINK("http://www.ncbi.nlm.nih.gov/protein/XP_028378974.1","XP_028378974.1")</f>
        <v>XP_028378974.1</v>
      </c>
      <c r="D59">
        <v>107564</v>
      </c>
      <c r="E59" t="str">
        <f>HYPERLINK("http://www.ncbi.nlm.nih.gov/Taxonomy/Browser/wwwtax.cgi?mode=Info&amp;id=89673&amp;lvl=3&amp;lin=f&amp;keep=1&amp;srchmode=1&amp;unlock","89673")</f>
        <v>89673</v>
      </c>
      <c r="F59" t="s">
        <v>18</v>
      </c>
      <c r="G59" t="str">
        <f>HYPERLINK("http://www.ncbi.nlm.nih.gov/Taxonomy/Browser/wwwtax.cgi?mode=Info&amp;id=89673&amp;lvl=3&amp;lin=f&amp;keep=1&amp;srchmode=1&amp;unlock","Phyllostomus discolor")</f>
        <v>Phyllostomus discolor</v>
      </c>
      <c r="H59" t="s">
        <v>98</v>
      </c>
      <c r="I59" t="str">
        <f>HYPERLINK("http://www.ncbi.nlm.nih.gov/protein/XP_028378974.1","androgen receptor")</f>
        <v>androgen receptor</v>
      </c>
      <c r="J59" t="s">
        <v>1312</v>
      </c>
      <c r="K59" t="s">
        <v>20</v>
      </c>
      <c r="L59">
        <v>672</v>
      </c>
      <c r="M59" t="s">
        <v>25</v>
      </c>
      <c r="N59" t="s">
        <v>20</v>
      </c>
      <c r="O59">
        <v>678</v>
      </c>
      <c r="P59" t="s">
        <v>1313</v>
      </c>
      <c r="Q59" t="s">
        <v>20</v>
      </c>
      <c r="R59">
        <v>719</v>
      </c>
      <c r="S59" t="s">
        <v>1314</v>
      </c>
      <c r="T59" t="s">
        <v>20</v>
      </c>
      <c r="U59">
        <v>844</v>
      </c>
      <c r="V59" t="s">
        <v>1315</v>
      </c>
      <c r="W59" t="s">
        <v>20</v>
      </c>
    </row>
    <row r="60" spans="1:23" x14ac:dyDescent="0.25">
      <c r="A60">
        <v>6</v>
      </c>
      <c r="B60" t="s">
        <v>18</v>
      </c>
      <c r="C60" t="str">
        <f>HYPERLINK("http://www.ncbi.nlm.nih.gov/protein/XP_026341601.1","XP_026341601.1")</f>
        <v>XP_026341601.1</v>
      </c>
      <c r="D60">
        <v>43159</v>
      </c>
      <c r="E60" t="str">
        <f>HYPERLINK("http://www.ncbi.nlm.nih.gov/Taxonomy/Browser/wwwtax.cgi?mode=Info&amp;id=116960&amp;lvl=3&amp;lin=f&amp;keep=1&amp;srchmode=1&amp;unlock","116960")</f>
        <v>116960</v>
      </c>
      <c r="F60" t="s">
        <v>18</v>
      </c>
      <c r="G60" t="str">
        <f>HYPERLINK("http://www.ncbi.nlm.nih.gov/Taxonomy/Browser/wwwtax.cgi?mode=Info&amp;id=116960&amp;lvl=3&amp;lin=f&amp;keep=1&amp;srchmode=1&amp;unlock","Ursus arctos horribilis")</f>
        <v>Ursus arctos horribilis</v>
      </c>
      <c r="H60" t="s">
        <v>45</v>
      </c>
      <c r="I60" t="str">
        <f>HYPERLINK("http://www.ncbi.nlm.nih.gov/protein/XP_026341601.1","androgen receptor")</f>
        <v>androgen receptor</v>
      </c>
      <c r="J60" t="s">
        <v>1312</v>
      </c>
      <c r="K60" t="s">
        <v>20</v>
      </c>
      <c r="L60">
        <v>695</v>
      </c>
      <c r="M60" t="s">
        <v>25</v>
      </c>
      <c r="N60" t="s">
        <v>20</v>
      </c>
      <c r="O60">
        <v>701</v>
      </c>
      <c r="P60" t="s">
        <v>1313</v>
      </c>
      <c r="Q60" t="s">
        <v>20</v>
      </c>
      <c r="R60">
        <v>742</v>
      </c>
      <c r="S60" t="s">
        <v>1314</v>
      </c>
      <c r="T60" t="s">
        <v>20</v>
      </c>
      <c r="U60">
        <v>867</v>
      </c>
      <c r="V60" t="s">
        <v>1315</v>
      </c>
      <c r="W60" t="s">
        <v>20</v>
      </c>
    </row>
    <row r="61" spans="1:23" x14ac:dyDescent="0.25">
      <c r="A61">
        <v>6</v>
      </c>
      <c r="B61" t="s">
        <v>18</v>
      </c>
      <c r="C61" t="str">
        <f>HYPERLINK("http://www.ncbi.nlm.nih.gov/protein/XP_006067834.1","XP_006067834.1")</f>
        <v>XP_006067834.1</v>
      </c>
      <c r="D61">
        <v>61063</v>
      </c>
      <c r="E61" t="str">
        <f>HYPERLINK("http://www.ncbi.nlm.nih.gov/Taxonomy/Browser/wwwtax.cgi?mode=Info&amp;id=89462&amp;lvl=3&amp;lin=f&amp;keep=1&amp;srchmode=1&amp;unlock","89462")</f>
        <v>89462</v>
      </c>
      <c r="F61" t="s">
        <v>18</v>
      </c>
      <c r="G61" t="str">
        <f>HYPERLINK("http://www.ncbi.nlm.nih.gov/Taxonomy/Browser/wwwtax.cgi?mode=Info&amp;id=89462&amp;lvl=3&amp;lin=f&amp;keep=1&amp;srchmode=1&amp;unlock","Bubalus bubalis")</f>
        <v>Bubalus bubalis</v>
      </c>
      <c r="H61" t="s">
        <v>113</v>
      </c>
      <c r="I61" t="str">
        <f>HYPERLINK("http://www.ncbi.nlm.nih.gov/protein/XP_006067834.1","androgen receptor isoform X1")</f>
        <v>androgen receptor isoform X1</v>
      </c>
      <c r="J61" t="s">
        <v>1312</v>
      </c>
      <c r="K61" t="s">
        <v>20</v>
      </c>
      <c r="L61">
        <v>674</v>
      </c>
      <c r="M61" t="s">
        <v>25</v>
      </c>
      <c r="N61" t="s">
        <v>20</v>
      </c>
      <c r="O61">
        <v>680</v>
      </c>
      <c r="P61" t="s">
        <v>1313</v>
      </c>
      <c r="Q61" t="s">
        <v>20</v>
      </c>
      <c r="R61">
        <v>721</v>
      </c>
      <c r="S61" t="s">
        <v>1314</v>
      </c>
      <c r="T61" t="s">
        <v>20</v>
      </c>
      <c r="U61">
        <v>846</v>
      </c>
      <c r="V61" t="s">
        <v>1315</v>
      </c>
      <c r="W61" t="s">
        <v>20</v>
      </c>
    </row>
    <row r="62" spans="1:23" x14ac:dyDescent="0.25">
      <c r="A62">
        <v>6</v>
      </c>
      <c r="B62" t="s">
        <v>18</v>
      </c>
      <c r="C62" t="str">
        <f>HYPERLINK("http://www.ncbi.nlm.nih.gov/protein/XP_008842588.1","XP_008842588.1")</f>
        <v>XP_008842588.1</v>
      </c>
      <c r="D62">
        <v>49440</v>
      </c>
      <c r="E62" t="str">
        <f>HYPERLINK("http://www.ncbi.nlm.nih.gov/Taxonomy/Browser/wwwtax.cgi?mode=Info&amp;id=1026970&amp;lvl=3&amp;lin=f&amp;keep=1&amp;srchmode=1&amp;unlock","1026970")</f>
        <v>1026970</v>
      </c>
      <c r="F62" t="s">
        <v>18</v>
      </c>
      <c r="G62" t="str">
        <f>HYPERLINK("http://www.ncbi.nlm.nih.gov/Taxonomy/Browser/wwwtax.cgi?mode=Info&amp;id=1026970&amp;lvl=3&amp;lin=f&amp;keep=1&amp;srchmode=1&amp;unlock","Nannospalax galili")</f>
        <v>Nannospalax galili</v>
      </c>
      <c r="H62" t="s">
        <v>102</v>
      </c>
      <c r="I62" t="str">
        <f>HYPERLINK("http://www.ncbi.nlm.nih.gov/protein/XP_008842588.1","androgen receptor")</f>
        <v>androgen receptor</v>
      </c>
      <c r="J62" t="s">
        <v>1312</v>
      </c>
      <c r="K62" t="s">
        <v>20</v>
      </c>
      <c r="L62">
        <v>689</v>
      </c>
      <c r="M62" t="s">
        <v>25</v>
      </c>
      <c r="N62" t="s">
        <v>20</v>
      </c>
      <c r="O62">
        <v>695</v>
      </c>
      <c r="P62" t="s">
        <v>1313</v>
      </c>
      <c r="Q62" t="s">
        <v>20</v>
      </c>
      <c r="R62">
        <v>736</v>
      </c>
      <c r="S62" t="s">
        <v>1314</v>
      </c>
      <c r="T62" t="s">
        <v>20</v>
      </c>
      <c r="U62">
        <v>861</v>
      </c>
      <c r="V62" t="s">
        <v>1315</v>
      </c>
      <c r="W62" t="s">
        <v>20</v>
      </c>
    </row>
    <row r="63" spans="1:23" x14ac:dyDescent="0.25">
      <c r="A63">
        <v>6</v>
      </c>
      <c r="B63" t="s">
        <v>18</v>
      </c>
      <c r="C63" t="str">
        <f>HYPERLINK("http://www.ncbi.nlm.nih.gov/protein/NP_001295513.1","NP_001295513.1")</f>
        <v>NP_001295513.1</v>
      </c>
      <c r="D63">
        <v>73093</v>
      </c>
      <c r="E63" t="str">
        <f>HYPERLINK("http://www.ncbi.nlm.nih.gov/Taxonomy/Browser/wwwtax.cgi?mode=Info&amp;id=9940&amp;lvl=3&amp;lin=f&amp;keep=1&amp;srchmode=1&amp;unlock","9940")</f>
        <v>9940</v>
      </c>
      <c r="F63" t="s">
        <v>18</v>
      </c>
      <c r="G63" t="str">
        <f>HYPERLINK("http://www.ncbi.nlm.nih.gov/Taxonomy/Browser/wwwtax.cgi?mode=Info&amp;id=9940&amp;lvl=3&amp;lin=f&amp;keep=1&amp;srchmode=1&amp;unlock","Ovis aries")</f>
        <v>Ovis aries</v>
      </c>
      <c r="H63" t="s">
        <v>129</v>
      </c>
      <c r="I63" t="str">
        <f>HYPERLINK("http://www.ncbi.nlm.nih.gov/protein/NP_001295513.1","androgen receptor")</f>
        <v>androgen receptor</v>
      </c>
      <c r="J63" t="s">
        <v>1312</v>
      </c>
      <c r="K63" t="s">
        <v>20</v>
      </c>
      <c r="L63">
        <v>676</v>
      </c>
      <c r="M63" t="s">
        <v>25</v>
      </c>
      <c r="N63" t="s">
        <v>20</v>
      </c>
      <c r="O63">
        <v>682</v>
      </c>
      <c r="P63" t="s">
        <v>1313</v>
      </c>
      <c r="Q63" t="s">
        <v>20</v>
      </c>
      <c r="R63">
        <v>723</v>
      </c>
      <c r="S63" t="s">
        <v>1314</v>
      </c>
      <c r="T63" t="s">
        <v>20</v>
      </c>
      <c r="U63">
        <v>848</v>
      </c>
      <c r="V63" t="s">
        <v>1315</v>
      </c>
      <c r="W63" t="s">
        <v>20</v>
      </c>
    </row>
    <row r="64" spans="1:23" x14ac:dyDescent="0.25">
      <c r="A64">
        <v>6</v>
      </c>
      <c r="B64" t="s">
        <v>18</v>
      </c>
      <c r="C64" t="str">
        <f>HYPERLINK("http://www.ncbi.nlm.nih.gov/protein/XP_029785952.1","XP_029785952.1")</f>
        <v>XP_029785952.1</v>
      </c>
      <c r="D64">
        <v>43355</v>
      </c>
      <c r="E64" t="str">
        <f>HYPERLINK("http://www.ncbi.nlm.nih.gov/Taxonomy/Browser/wwwtax.cgi?mode=Info&amp;id=37032&amp;lvl=3&amp;lin=f&amp;keep=1&amp;srchmode=1&amp;unlock","37032")</f>
        <v>37032</v>
      </c>
      <c r="F64" t="s">
        <v>18</v>
      </c>
      <c r="G64" t="str">
        <f>HYPERLINK("http://www.ncbi.nlm.nih.gov/Taxonomy/Browser/wwwtax.cgi?mode=Info&amp;id=37032&amp;lvl=3&amp;lin=f&amp;keep=1&amp;srchmode=1&amp;unlock","Suricata suricatta")</f>
        <v>Suricata suricatta</v>
      </c>
      <c r="H64" t="s">
        <v>57</v>
      </c>
      <c r="I64" t="str">
        <f>HYPERLINK("http://www.ncbi.nlm.nih.gov/protein/XP_029785952.1","androgen receptor isoform X1")</f>
        <v>androgen receptor isoform X1</v>
      </c>
      <c r="J64" t="s">
        <v>1312</v>
      </c>
      <c r="K64" t="s">
        <v>20</v>
      </c>
      <c r="L64">
        <v>685</v>
      </c>
      <c r="M64" t="s">
        <v>25</v>
      </c>
      <c r="N64" t="s">
        <v>20</v>
      </c>
      <c r="O64">
        <v>691</v>
      </c>
      <c r="P64" t="s">
        <v>1313</v>
      </c>
      <c r="Q64" t="s">
        <v>20</v>
      </c>
      <c r="R64">
        <v>732</v>
      </c>
      <c r="S64" t="s">
        <v>1314</v>
      </c>
      <c r="T64" t="s">
        <v>20</v>
      </c>
      <c r="U64">
        <v>857</v>
      </c>
      <c r="V64" t="s">
        <v>1315</v>
      </c>
      <c r="W64" t="s">
        <v>20</v>
      </c>
    </row>
    <row r="65" spans="1:23" x14ac:dyDescent="0.25">
      <c r="A65">
        <v>6</v>
      </c>
      <c r="B65" t="s">
        <v>18</v>
      </c>
      <c r="C65" t="str">
        <f>HYPERLINK("http://www.ncbi.nlm.nih.gov/protein/AUM57183.1","AUM57183.1")</f>
        <v>AUM57183.1</v>
      </c>
      <c r="D65">
        <v>241</v>
      </c>
      <c r="E65" t="str">
        <f>HYPERLINK("http://www.ncbi.nlm.nih.gov/Taxonomy/Browser/wwwtax.cgi?mode=Info&amp;id=68408&amp;lvl=3&amp;lin=f&amp;keep=1&amp;srchmode=1&amp;unlock","68408")</f>
        <v>68408</v>
      </c>
      <c r="F65" t="s">
        <v>18</v>
      </c>
      <c r="G65" t="str">
        <f>HYPERLINK("http://www.ncbi.nlm.nih.gov/Taxonomy/Browser/wwwtax.cgi?mode=Info&amp;id=68408&amp;lvl=3&amp;lin=f&amp;keep=1&amp;srchmode=1&amp;unlock","Moschus berezovskii")</f>
        <v>Moschus berezovskii</v>
      </c>
      <c r="H65" t="s">
        <v>968</v>
      </c>
      <c r="I65" t="str">
        <f>HYPERLINK("http://www.ncbi.nlm.nih.gov/protein/AUM57183.1","androgen receptor")</f>
        <v>androgen receptor</v>
      </c>
      <c r="J65" t="s">
        <v>1312</v>
      </c>
      <c r="K65" t="s">
        <v>20</v>
      </c>
      <c r="L65">
        <v>677</v>
      </c>
      <c r="M65" t="s">
        <v>25</v>
      </c>
      <c r="N65" t="s">
        <v>20</v>
      </c>
      <c r="O65">
        <v>683</v>
      </c>
      <c r="P65" t="s">
        <v>1313</v>
      </c>
      <c r="Q65" t="s">
        <v>20</v>
      </c>
      <c r="R65">
        <v>724</v>
      </c>
      <c r="S65" t="s">
        <v>1314</v>
      </c>
      <c r="T65" t="s">
        <v>20</v>
      </c>
      <c r="U65">
        <v>849</v>
      </c>
      <c r="V65" t="s">
        <v>1315</v>
      </c>
      <c r="W65" t="s">
        <v>20</v>
      </c>
    </row>
    <row r="66" spans="1:23" x14ac:dyDescent="0.25">
      <c r="A66">
        <v>6</v>
      </c>
      <c r="B66" t="s">
        <v>18</v>
      </c>
      <c r="C66" t="str">
        <f>HYPERLINK("http://www.ncbi.nlm.nih.gov/protein/XP_040856903.1","XP_040856903.1")</f>
        <v>XP_040856903.1</v>
      </c>
      <c r="D66">
        <v>42386</v>
      </c>
      <c r="E66" t="str">
        <f>HYPERLINK("http://www.ncbi.nlm.nih.gov/Taxonomy/Browser/wwwtax.cgi?mode=Info&amp;id=130825&amp;lvl=3&amp;lin=f&amp;keep=1&amp;srchmode=1&amp;unlock","130825")</f>
        <v>130825</v>
      </c>
      <c r="F66" t="s">
        <v>18</v>
      </c>
      <c r="G66" t="str">
        <f>HYPERLINK("http://www.ncbi.nlm.nih.gov/Taxonomy/Browser/wwwtax.cgi?mode=Info&amp;id=130825&amp;lvl=3&amp;lin=f&amp;keep=1&amp;srchmode=1&amp;unlock","Ochotona curzoniae")</f>
        <v>Ochotona curzoniae</v>
      </c>
      <c r="H66" t="s">
        <v>350</v>
      </c>
      <c r="I66" t="str">
        <f>HYPERLINK("http://www.ncbi.nlm.nih.gov/protein/XP_040856903.1","androgen receptor isoform X1")</f>
        <v>androgen receptor isoform X1</v>
      </c>
      <c r="J66" t="s">
        <v>1312</v>
      </c>
      <c r="K66" t="s">
        <v>20</v>
      </c>
      <c r="L66">
        <v>681</v>
      </c>
      <c r="M66" t="s">
        <v>25</v>
      </c>
      <c r="N66" t="s">
        <v>20</v>
      </c>
      <c r="O66">
        <v>687</v>
      </c>
      <c r="P66" t="s">
        <v>1313</v>
      </c>
      <c r="Q66" t="s">
        <v>20</v>
      </c>
      <c r="R66">
        <v>728</v>
      </c>
      <c r="S66" t="s">
        <v>1314</v>
      </c>
      <c r="T66" t="s">
        <v>20</v>
      </c>
      <c r="U66">
        <v>853</v>
      </c>
      <c r="V66" t="s">
        <v>1315</v>
      </c>
      <c r="W66" t="s">
        <v>20</v>
      </c>
    </row>
    <row r="67" spans="1:23" x14ac:dyDescent="0.25">
      <c r="A67">
        <v>6</v>
      </c>
      <c r="B67" t="s">
        <v>18</v>
      </c>
      <c r="C67" t="str">
        <f>HYPERLINK("http://www.ncbi.nlm.nih.gov/protein/XP_027791672.1","XP_027791672.1")</f>
        <v>XP_027791672.1</v>
      </c>
      <c r="D67">
        <v>37737</v>
      </c>
      <c r="E67" t="str">
        <f>HYPERLINK("http://www.ncbi.nlm.nih.gov/Taxonomy/Browser/wwwtax.cgi?mode=Info&amp;id=93162&amp;lvl=3&amp;lin=f&amp;keep=1&amp;srchmode=1&amp;unlock","93162")</f>
        <v>93162</v>
      </c>
      <c r="F67" t="s">
        <v>18</v>
      </c>
      <c r="G67" t="str">
        <f>HYPERLINK("http://www.ncbi.nlm.nih.gov/Taxonomy/Browser/wwwtax.cgi?mode=Info&amp;id=93162&amp;lvl=3&amp;lin=f&amp;keep=1&amp;srchmode=1&amp;unlock","Marmota flaviventris")</f>
        <v>Marmota flaviventris</v>
      </c>
      <c r="H67" t="s">
        <v>76</v>
      </c>
      <c r="I67" t="str">
        <f>HYPERLINK("http://www.ncbi.nlm.nih.gov/protein/XP_027791672.1","androgen receptor")</f>
        <v>androgen receptor</v>
      </c>
      <c r="J67" t="s">
        <v>1312</v>
      </c>
      <c r="K67" t="s">
        <v>20</v>
      </c>
      <c r="L67">
        <v>670</v>
      </c>
      <c r="M67" t="s">
        <v>25</v>
      </c>
      <c r="N67" t="s">
        <v>20</v>
      </c>
      <c r="O67">
        <v>676</v>
      </c>
      <c r="P67" t="s">
        <v>1313</v>
      </c>
      <c r="Q67" t="s">
        <v>20</v>
      </c>
      <c r="R67">
        <v>717</v>
      </c>
      <c r="S67" t="s">
        <v>1314</v>
      </c>
      <c r="T67" t="s">
        <v>20</v>
      </c>
      <c r="U67">
        <v>842</v>
      </c>
      <c r="V67" t="s">
        <v>1315</v>
      </c>
      <c r="W67" t="s">
        <v>20</v>
      </c>
    </row>
    <row r="68" spans="1:23" x14ac:dyDescent="0.25">
      <c r="A68">
        <v>6</v>
      </c>
      <c r="B68" t="s">
        <v>18</v>
      </c>
      <c r="C68" t="str">
        <f>HYPERLINK("http://www.ncbi.nlm.nih.gov/protein/XP_004595261.1","XP_004595261.1")</f>
        <v>XP_004595261.1</v>
      </c>
      <c r="D68">
        <v>30035</v>
      </c>
      <c r="E68" t="str">
        <f>HYPERLINK("http://www.ncbi.nlm.nih.gov/Taxonomy/Browser/wwwtax.cgi?mode=Info&amp;id=9978&amp;lvl=3&amp;lin=f&amp;keep=1&amp;srchmode=1&amp;unlock","9978")</f>
        <v>9978</v>
      </c>
      <c r="F68" t="s">
        <v>18</v>
      </c>
      <c r="G68" t="str">
        <f>HYPERLINK("http://www.ncbi.nlm.nih.gov/Taxonomy/Browser/wwwtax.cgi?mode=Info&amp;id=9978&amp;lvl=3&amp;lin=f&amp;keep=1&amp;srchmode=1&amp;unlock","Ochotona princeps")</f>
        <v>Ochotona princeps</v>
      </c>
      <c r="H68" t="s">
        <v>417</v>
      </c>
      <c r="I68" t="str">
        <f>HYPERLINK("http://www.ncbi.nlm.nih.gov/protein/XP_004595261.1","androgen receptor")</f>
        <v>androgen receptor</v>
      </c>
      <c r="J68" t="s">
        <v>1312</v>
      </c>
      <c r="K68" t="s">
        <v>20</v>
      </c>
      <c r="L68">
        <v>680</v>
      </c>
      <c r="M68" t="s">
        <v>25</v>
      </c>
      <c r="N68" t="s">
        <v>20</v>
      </c>
      <c r="O68">
        <v>686</v>
      </c>
      <c r="P68" t="s">
        <v>1313</v>
      </c>
      <c r="Q68" t="s">
        <v>20</v>
      </c>
      <c r="R68">
        <v>727</v>
      </c>
      <c r="S68" t="s">
        <v>1314</v>
      </c>
      <c r="T68" t="s">
        <v>20</v>
      </c>
      <c r="U68">
        <v>852</v>
      </c>
      <c r="V68" t="s">
        <v>1315</v>
      </c>
      <c r="W68" t="s">
        <v>20</v>
      </c>
    </row>
    <row r="69" spans="1:23" x14ac:dyDescent="0.25">
      <c r="A69">
        <v>6</v>
      </c>
      <c r="B69" t="s">
        <v>18</v>
      </c>
      <c r="C69" t="str">
        <f>HYPERLINK("http://www.ncbi.nlm.nih.gov/protein/XP_004000624.2","XP_004000624.2")</f>
        <v>XP_004000624.2</v>
      </c>
      <c r="D69">
        <v>57528</v>
      </c>
      <c r="E69" t="str">
        <f>HYPERLINK("http://www.ncbi.nlm.nih.gov/Taxonomy/Browser/wwwtax.cgi?mode=Info&amp;id=9685&amp;lvl=3&amp;lin=f&amp;keep=1&amp;srchmode=1&amp;unlock","9685")</f>
        <v>9685</v>
      </c>
      <c r="F69" t="s">
        <v>18</v>
      </c>
      <c r="G69" t="str">
        <f>HYPERLINK("http://www.ncbi.nlm.nih.gov/Taxonomy/Browser/wwwtax.cgi?mode=Info&amp;id=9685&amp;lvl=3&amp;lin=f&amp;keep=1&amp;srchmode=1&amp;unlock","Felis catus")</f>
        <v>Felis catus</v>
      </c>
      <c r="H69" t="s">
        <v>60</v>
      </c>
      <c r="I69" t="str">
        <f>HYPERLINK("http://www.ncbi.nlm.nih.gov/protein/XP_004000624.2","androgen receptor isoform X1")</f>
        <v>androgen receptor isoform X1</v>
      </c>
      <c r="J69" t="s">
        <v>1312</v>
      </c>
      <c r="K69" t="s">
        <v>20</v>
      </c>
      <c r="L69">
        <v>689</v>
      </c>
      <c r="M69" t="s">
        <v>25</v>
      </c>
      <c r="N69" t="s">
        <v>20</v>
      </c>
      <c r="O69">
        <v>695</v>
      </c>
      <c r="P69" t="s">
        <v>1313</v>
      </c>
      <c r="Q69" t="s">
        <v>20</v>
      </c>
      <c r="R69">
        <v>736</v>
      </c>
      <c r="S69" t="s">
        <v>1314</v>
      </c>
      <c r="T69" t="s">
        <v>20</v>
      </c>
      <c r="U69">
        <v>861</v>
      </c>
      <c r="V69" t="s">
        <v>1315</v>
      </c>
      <c r="W69" t="s">
        <v>20</v>
      </c>
    </row>
    <row r="70" spans="1:23" x14ac:dyDescent="0.25">
      <c r="A70">
        <v>6</v>
      </c>
      <c r="B70" t="s">
        <v>18</v>
      </c>
      <c r="C70" t="str">
        <f>HYPERLINK("http://www.ncbi.nlm.nih.gov/protein/Q9GKL7.3","Q9GKL7.3")</f>
        <v>Q9GKL7.3</v>
      </c>
      <c r="D70">
        <v>83623</v>
      </c>
      <c r="E70" t="str">
        <f>HYPERLINK("http://www.ncbi.nlm.nih.gov/Taxonomy/Browser/wwwtax.cgi?mode=Info&amp;id=9823&amp;lvl=3&amp;lin=f&amp;keep=1&amp;srchmode=1&amp;unlock","9823")</f>
        <v>9823</v>
      </c>
      <c r="F70" t="s">
        <v>18</v>
      </c>
      <c r="G70" t="str">
        <f>HYPERLINK("http://www.ncbi.nlm.nih.gov/Taxonomy/Browser/wwwtax.cgi?mode=Info&amp;id=9823&amp;lvl=3&amp;lin=f&amp;keep=1&amp;srchmode=1&amp;unlock","Sus scrofa")</f>
        <v>Sus scrofa</v>
      </c>
      <c r="H70" t="s">
        <v>55</v>
      </c>
      <c r="I70" t="str">
        <f>HYPERLINK("http://www.ncbi.nlm.nih.gov/protein/Q9GKL7.3","RecName: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70" t="s">
        <v>1312</v>
      </c>
      <c r="K70" t="s">
        <v>20</v>
      </c>
      <c r="L70">
        <v>682</v>
      </c>
      <c r="M70" t="s">
        <v>25</v>
      </c>
      <c r="N70" t="s">
        <v>20</v>
      </c>
      <c r="O70">
        <v>688</v>
      </c>
      <c r="P70" t="s">
        <v>1313</v>
      </c>
      <c r="Q70" t="s">
        <v>20</v>
      </c>
      <c r="R70">
        <v>729</v>
      </c>
      <c r="S70" t="s">
        <v>1314</v>
      </c>
      <c r="T70" t="s">
        <v>20</v>
      </c>
      <c r="U70">
        <v>854</v>
      </c>
      <c r="V70" t="s">
        <v>1315</v>
      </c>
      <c r="W70" t="s">
        <v>20</v>
      </c>
    </row>
    <row r="71" spans="1:23" x14ac:dyDescent="0.25">
      <c r="A71">
        <v>6</v>
      </c>
      <c r="B71" t="s">
        <v>18</v>
      </c>
      <c r="C71" t="str">
        <f>HYPERLINK("http://www.ncbi.nlm.nih.gov/protein/XP_036126901.1","XP_036126901.1")</f>
        <v>XP_036126901.1</v>
      </c>
      <c r="D71">
        <v>96162</v>
      </c>
      <c r="E71" t="str">
        <f>HYPERLINK("http://www.ncbi.nlm.nih.gov/Taxonomy/Browser/wwwtax.cgi?mode=Info&amp;id=27622&amp;lvl=3&amp;lin=f&amp;keep=1&amp;srchmode=1&amp;unlock","27622")</f>
        <v>27622</v>
      </c>
      <c r="F71" t="s">
        <v>18</v>
      </c>
      <c r="G71" t="str">
        <f>HYPERLINK("http://www.ncbi.nlm.nih.gov/Taxonomy/Browser/wwwtax.cgi?mode=Info&amp;id=27622&amp;lvl=3&amp;lin=f&amp;keep=1&amp;srchmode=1&amp;unlock","Molossus molossus")</f>
        <v>Molossus molossus</v>
      </c>
      <c r="H71" t="s">
        <v>112</v>
      </c>
      <c r="I71" t="str">
        <f>HYPERLINK("http://www.ncbi.nlm.nih.gov/protein/XP_036126901.1","androgen receptor isoform X2")</f>
        <v>androgen receptor isoform X2</v>
      </c>
      <c r="J71" t="s">
        <v>1312</v>
      </c>
      <c r="K71" t="s">
        <v>20</v>
      </c>
      <c r="L71">
        <v>677</v>
      </c>
      <c r="M71" t="s">
        <v>25</v>
      </c>
      <c r="N71" t="s">
        <v>20</v>
      </c>
      <c r="O71">
        <v>683</v>
      </c>
      <c r="P71" t="s">
        <v>1313</v>
      </c>
      <c r="Q71" t="s">
        <v>20</v>
      </c>
      <c r="R71">
        <v>724</v>
      </c>
      <c r="S71" t="s">
        <v>1314</v>
      </c>
      <c r="T71" t="s">
        <v>20</v>
      </c>
      <c r="U71">
        <v>849</v>
      </c>
      <c r="V71" t="s">
        <v>1315</v>
      </c>
      <c r="W71" t="s">
        <v>20</v>
      </c>
    </row>
    <row r="72" spans="1:23" x14ac:dyDescent="0.25">
      <c r="A72">
        <v>6</v>
      </c>
      <c r="B72" t="s">
        <v>18</v>
      </c>
      <c r="C72" t="str">
        <f>HYPERLINK("http://www.ncbi.nlm.nih.gov/protein/XP_019284124.1","XP_019284124.1")</f>
        <v>XP_019284124.1</v>
      </c>
      <c r="D72">
        <v>58570</v>
      </c>
      <c r="E72" t="str">
        <f>HYPERLINK("http://www.ncbi.nlm.nih.gov/Taxonomy/Browser/wwwtax.cgi?mode=Info&amp;id=9691&amp;lvl=3&amp;lin=f&amp;keep=1&amp;srchmode=1&amp;unlock","9691")</f>
        <v>9691</v>
      </c>
      <c r="F72" t="s">
        <v>18</v>
      </c>
      <c r="G72" t="str">
        <f>HYPERLINK("http://www.ncbi.nlm.nih.gov/Taxonomy/Browser/wwwtax.cgi?mode=Info&amp;id=9691&amp;lvl=3&amp;lin=f&amp;keep=1&amp;srchmode=1&amp;unlock","Panthera pardus")</f>
        <v>Panthera pardus</v>
      </c>
      <c r="H72" t="s">
        <v>75</v>
      </c>
      <c r="I72" t="str">
        <f>HYPERLINK("http://www.ncbi.nlm.nih.gov/protein/XP_019284124.1","PREDICTED: androgen receptor isoform X1")</f>
        <v>PREDICTED: androgen receptor isoform X1</v>
      </c>
      <c r="J72" t="s">
        <v>1312</v>
      </c>
      <c r="K72" t="s">
        <v>20</v>
      </c>
      <c r="L72">
        <v>698</v>
      </c>
      <c r="M72" t="s">
        <v>25</v>
      </c>
      <c r="N72" t="s">
        <v>20</v>
      </c>
      <c r="O72">
        <v>704</v>
      </c>
      <c r="P72" t="s">
        <v>1313</v>
      </c>
      <c r="Q72" t="s">
        <v>20</v>
      </c>
      <c r="R72">
        <v>745</v>
      </c>
      <c r="S72" t="s">
        <v>1314</v>
      </c>
      <c r="T72" t="s">
        <v>20</v>
      </c>
      <c r="U72">
        <v>870</v>
      </c>
      <c r="V72" t="s">
        <v>1315</v>
      </c>
      <c r="W72" t="s">
        <v>20</v>
      </c>
    </row>
    <row r="73" spans="1:23" x14ac:dyDescent="0.25">
      <c r="A73">
        <v>6</v>
      </c>
      <c r="B73" t="s">
        <v>18</v>
      </c>
      <c r="C73" t="str">
        <f>HYPERLINK("http://www.ncbi.nlm.nih.gov/protein/XP_005335252.1","XP_005335252.1")</f>
        <v>XP_005335252.1</v>
      </c>
      <c r="D73">
        <v>94507</v>
      </c>
      <c r="E73" t="str">
        <f>HYPERLINK("http://www.ncbi.nlm.nih.gov/Taxonomy/Browser/wwwtax.cgi?mode=Info&amp;id=43179&amp;lvl=3&amp;lin=f&amp;keep=1&amp;srchmode=1&amp;unlock","43179")</f>
        <v>43179</v>
      </c>
      <c r="F73" t="s">
        <v>18</v>
      </c>
      <c r="G73" t="str">
        <f>HYPERLINK("http://www.ncbi.nlm.nih.gov/Taxonomy/Browser/wwwtax.cgi?mode=Info&amp;id=43179&amp;lvl=3&amp;lin=f&amp;keep=1&amp;srchmode=1&amp;unlock","Ictidomys tridecemlineatus")</f>
        <v>Ictidomys tridecemlineatus</v>
      </c>
      <c r="H73" t="s">
        <v>78</v>
      </c>
      <c r="I73" t="str">
        <f>HYPERLINK("http://www.ncbi.nlm.nih.gov/protein/XP_005335252.1","androgen receptor")</f>
        <v>androgen receptor</v>
      </c>
      <c r="J73" t="s">
        <v>1312</v>
      </c>
      <c r="K73" t="s">
        <v>20</v>
      </c>
      <c r="L73">
        <v>670</v>
      </c>
      <c r="M73" t="s">
        <v>25</v>
      </c>
      <c r="N73" t="s">
        <v>20</v>
      </c>
      <c r="O73">
        <v>676</v>
      </c>
      <c r="P73" t="s">
        <v>1313</v>
      </c>
      <c r="Q73" t="s">
        <v>20</v>
      </c>
      <c r="R73">
        <v>717</v>
      </c>
      <c r="S73" t="s">
        <v>1314</v>
      </c>
      <c r="T73" t="s">
        <v>20</v>
      </c>
      <c r="U73">
        <v>842</v>
      </c>
      <c r="V73" t="s">
        <v>1315</v>
      </c>
      <c r="W73" t="s">
        <v>20</v>
      </c>
    </row>
    <row r="74" spans="1:23" x14ac:dyDescent="0.25">
      <c r="A74">
        <v>6</v>
      </c>
      <c r="B74" t="s">
        <v>18</v>
      </c>
      <c r="C74" t="str">
        <f>HYPERLINK("http://www.ncbi.nlm.nih.gov/protein/XP_034341416.1","XP_034341416.1")</f>
        <v>XP_034341416.1</v>
      </c>
      <c r="D74">
        <v>41675</v>
      </c>
      <c r="E74" t="str">
        <f>HYPERLINK("http://www.ncbi.nlm.nih.gov/Taxonomy/Browser/wwwtax.cgi?mode=Info&amp;id=61156&amp;lvl=3&amp;lin=f&amp;keep=1&amp;srchmode=1&amp;unlock","61156")</f>
        <v>61156</v>
      </c>
      <c r="F74" t="s">
        <v>18</v>
      </c>
      <c r="G74" t="str">
        <f>HYPERLINK("http://www.ncbi.nlm.nih.gov/Taxonomy/Browser/wwwtax.cgi?mode=Info&amp;id=61156&amp;lvl=3&amp;lin=f&amp;keep=1&amp;srchmode=1&amp;unlock","Arvicanthis niloticus")</f>
        <v>Arvicanthis niloticus</v>
      </c>
      <c r="H74" t="s">
        <v>130</v>
      </c>
      <c r="I74" t="str">
        <f>HYPERLINK("http://www.ncbi.nlm.nih.gov/protein/XP_034341416.1","androgen receptor")</f>
        <v>androgen receptor</v>
      </c>
      <c r="J74" t="s">
        <v>1312</v>
      </c>
      <c r="K74" t="s">
        <v>20</v>
      </c>
      <c r="L74">
        <v>687</v>
      </c>
      <c r="M74" t="s">
        <v>25</v>
      </c>
      <c r="N74" t="s">
        <v>20</v>
      </c>
      <c r="O74">
        <v>693</v>
      </c>
      <c r="P74" t="s">
        <v>1313</v>
      </c>
      <c r="Q74" t="s">
        <v>20</v>
      </c>
      <c r="R74">
        <v>734</v>
      </c>
      <c r="S74" t="s">
        <v>1314</v>
      </c>
      <c r="T74" t="s">
        <v>20</v>
      </c>
      <c r="U74">
        <v>859</v>
      </c>
      <c r="V74" t="s">
        <v>1315</v>
      </c>
      <c r="W74" t="s">
        <v>20</v>
      </c>
    </row>
    <row r="75" spans="1:23" x14ac:dyDescent="0.25">
      <c r="A75">
        <v>6</v>
      </c>
      <c r="B75" t="s">
        <v>18</v>
      </c>
      <c r="C75" t="str">
        <f>HYPERLINK("http://www.ncbi.nlm.nih.gov/protein/XP_026640574.1","XP_026640574.1")</f>
        <v>XP_026640574.1</v>
      </c>
      <c r="D75">
        <v>38011</v>
      </c>
      <c r="E75" t="str">
        <f>HYPERLINK("http://www.ncbi.nlm.nih.gov/Taxonomy/Browser/wwwtax.cgi?mode=Info&amp;id=79684&amp;lvl=3&amp;lin=f&amp;keep=1&amp;srchmode=1&amp;unlock","79684")</f>
        <v>79684</v>
      </c>
      <c r="F75" t="s">
        <v>18</v>
      </c>
      <c r="G75" t="str">
        <f>HYPERLINK("http://www.ncbi.nlm.nih.gov/Taxonomy/Browser/wwwtax.cgi?mode=Info&amp;id=79684&amp;lvl=3&amp;lin=f&amp;keep=1&amp;srchmode=1&amp;unlock","Microtus ochrogaster")</f>
        <v>Microtus ochrogaster</v>
      </c>
      <c r="H75" t="s">
        <v>141</v>
      </c>
      <c r="I75" t="str">
        <f>HYPERLINK("http://www.ncbi.nlm.nih.gov/protein/XP_026640574.1","androgen receptor isoform X2")</f>
        <v>androgen receptor isoform X2</v>
      </c>
      <c r="J75" t="s">
        <v>1312</v>
      </c>
      <c r="K75" t="s">
        <v>20</v>
      </c>
      <c r="L75">
        <v>702</v>
      </c>
      <c r="M75" t="s">
        <v>25</v>
      </c>
      <c r="N75" t="s">
        <v>20</v>
      </c>
      <c r="O75">
        <v>708</v>
      </c>
      <c r="P75" t="s">
        <v>1313</v>
      </c>
      <c r="Q75" t="s">
        <v>20</v>
      </c>
      <c r="R75">
        <v>749</v>
      </c>
      <c r="S75" t="s">
        <v>1314</v>
      </c>
      <c r="T75" t="s">
        <v>20</v>
      </c>
      <c r="U75">
        <v>874</v>
      </c>
      <c r="V75" t="s">
        <v>1315</v>
      </c>
      <c r="W75" t="s">
        <v>20</v>
      </c>
    </row>
    <row r="76" spans="1:23" x14ac:dyDescent="0.25">
      <c r="A76">
        <v>6</v>
      </c>
      <c r="B76" t="s">
        <v>18</v>
      </c>
      <c r="C76" t="str">
        <f>HYPERLINK("http://www.ncbi.nlm.nih.gov/protein/XP_032969878.1","XP_032969878.1")</f>
        <v>XP_032969878.1</v>
      </c>
      <c r="D76">
        <v>90503</v>
      </c>
      <c r="E76" t="str">
        <f>HYPERLINK("http://www.ncbi.nlm.nih.gov/Taxonomy/Browser/wwwtax.cgi?mode=Info&amp;id=59479&amp;lvl=3&amp;lin=f&amp;keep=1&amp;srchmode=1&amp;unlock","59479")</f>
        <v>59479</v>
      </c>
      <c r="F76" t="s">
        <v>18</v>
      </c>
      <c r="G76" t="str">
        <f>HYPERLINK("http://www.ncbi.nlm.nih.gov/Taxonomy/Browser/wwwtax.cgi?mode=Info&amp;id=59479&amp;lvl=3&amp;lin=f&amp;keep=1&amp;srchmode=1&amp;unlock","Rhinolophus ferrumequinum")</f>
        <v>Rhinolophus ferrumequinum</v>
      </c>
      <c r="H76" t="s">
        <v>89</v>
      </c>
      <c r="I76" t="str">
        <f>HYPERLINK("http://www.ncbi.nlm.nih.gov/protein/XP_032969878.1","androgen receptor")</f>
        <v>androgen receptor</v>
      </c>
      <c r="J76" t="s">
        <v>1312</v>
      </c>
      <c r="K76" t="s">
        <v>20</v>
      </c>
      <c r="L76">
        <v>679</v>
      </c>
      <c r="M76" t="s">
        <v>25</v>
      </c>
      <c r="N76" t="s">
        <v>20</v>
      </c>
      <c r="O76">
        <v>685</v>
      </c>
      <c r="P76" t="s">
        <v>1313</v>
      </c>
      <c r="Q76" t="s">
        <v>20</v>
      </c>
      <c r="R76">
        <v>726</v>
      </c>
      <c r="S76" t="s">
        <v>1314</v>
      </c>
      <c r="T76" t="s">
        <v>20</v>
      </c>
      <c r="U76">
        <v>851</v>
      </c>
      <c r="V76" t="s">
        <v>1315</v>
      </c>
      <c r="W76" t="s">
        <v>20</v>
      </c>
    </row>
    <row r="77" spans="1:23" x14ac:dyDescent="0.25">
      <c r="A77">
        <v>6</v>
      </c>
      <c r="B77" t="s">
        <v>18</v>
      </c>
      <c r="C77" t="str">
        <f>HYPERLINK("http://www.ncbi.nlm.nih.gov/protein/XP_003412790.1","XP_003412790.1")</f>
        <v>XP_003412790.1</v>
      </c>
      <c r="D77">
        <v>41920</v>
      </c>
      <c r="E77" t="str">
        <f>HYPERLINK("http://www.ncbi.nlm.nih.gov/Taxonomy/Browser/wwwtax.cgi?mode=Info&amp;id=9785&amp;lvl=3&amp;lin=f&amp;keep=1&amp;srchmode=1&amp;unlock","9785")</f>
        <v>9785</v>
      </c>
      <c r="F77" t="s">
        <v>18</v>
      </c>
      <c r="G77" t="str">
        <f>HYPERLINK("http://www.ncbi.nlm.nih.gov/Taxonomy/Browser/wwwtax.cgi?mode=Info&amp;id=9785&amp;lvl=3&amp;lin=f&amp;keep=1&amp;srchmode=1&amp;unlock","Loxodonta africana")</f>
        <v>Loxodonta africana</v>
      </c>
      <c r="H77" t="s">
        <v>120</v>
      </c>
      <c r="I77" t="str">
        <f>HYPERLINK("http://www.ncbi.nlm.nih.gov/protein/XP_003412790.1","androgen receptor isoform X1")</f>
        <v>androgen receptor isoform X1</v>
      </c>
      <c r="J77" t="s">
        <v>1312</v>
      </c>
      <c r="K77" t="s">
        <v>20</v>
      </c>
      <c r="L77">
        <v>683</v>
      </c>
      <c r="M77" t="s">
        <v>25</v>
      </c>
      <c r="N77" t="s">
        <v>20</v>
      </c>
      <c r="O77">
        <v>689</v>
      </c>
      <c r="P77" t="s">
        <v>1313</v>
      </c>
      <c r="Q77" t="s">
        <v>20</v>
      </c>
      <c r="R77">
        <v>730</v>
      </c>
      <c r="S77" t="s">
        <v>1314</v>
      </c>
      <c r="T77" t="s">
        <v>20</v>
      </c>
      <c r="U77">
        <v>855</v>
      </c>
      <c r="V77" t="s">
        <v>1315</v>
      </c>
      <c r="W77" t="s">
        <v>20</v>
      </c>
    </row>
    <row r="78" spans="1:23" x14ac:dyDescent="0.25">
      <c r="A78">
        <v>6</v>
      </c>
      <c r="B78" t="s">
        <v>18</v>
      </c>
      <c r="C78" t="str">
        <f>HYPERLINK("http://www.ncbi.nlm.nih.gov/protein/XP_039079782.1","XP_039079782.1")</f>
        <v>XP_039079782.1</v>
      </c>
      <c r="D78">
        <v>41430</v>
      </c>
      <c r="E78" t="str">
        <f>HYPERLINK("http://www.ncbi.nlm.nih.gov/Taxonomy/Browser/wwwtax.cgi?mode=Info&amp;id=95912&amp;lvl=3&amp;lin=f&amp;keep=1&amp;srchmode=1&amp;unlock","95912")</f>
        <v>95912</v>
      </c>
      <c r="F78" t="s">
        <v>18</v>
      </c>
      <c r="G78" t="str">
        <f>HYPERLINK("http://www.ncbi.nlm.nih.gov/Taxonomy/Browser/wwwtax.cgi?mode=Info&amp;id=95912&amp;lvl=3&amp;lin=f&amp;keep=1&amp;srchmode=1&amp;unlock","Hyaena hyaena")</f>
        <v>Hyaena hyaena</v>
      </c>
      <c r="H78" t="s">
        <v>44</v>
      </c>
      <c r="I78" t="str">
        <f>HYPERLINK("http://www.ncbi.nlm.nih.gov/protein/XP_039079782.1","androgen receptor")</f>
        <v>androgen receptor</v>
      </c>
      <c r="J78" t="s">
        <v>1312</v>
      </c>
      <c r="K78" t="s">
        <v>20</v>
      </c>
      <c r="L78">
        <v>696</v>
      </c>
      <c r="M78" t="s">
        <v>25</v>
      </c>
      <c r="N78" t="s">
        <v>20</v>
      </c>
      <c r="O78">
        <v>702</v>
      </c>
      <c r="P78" t="s">
        <v>1313</v>
      </c>
      <c r="Q78" t="s">
        <v>20</v>
      </c>
      <c r="R78">
        <v>743</v>
      </c>
      <c r="S78" t="s">
        <v>1314</v>
      </c>
      <c r="T78" t="s">
        <v>20</v>
      </c>
      <c r="U78">
        <v>868</v>
      </c>
      <c r="V78" t="s">
        <v>1315</v>
      </c>
      <c r="W78" t="s">
        <v>20</v>
      </c>
    </row>
    <row r="79" spans="1:23" x14ac:dyDescent="0.25">
      <c r="A79">
        <v>6</v>
      </c>
      <c r="B79" t="s">
        <v>18</v>
      </c>
      <c r="C79" t="str">
        <f>HYPERLINK("http://www.ncbi.nlm.nih.gov/protein/XP_040121708.1","XP_040121708.1")</f>
        <v>XP_040121708.1</v>
      </c>
      <c r="D79">
        <v>44054</v>
      </c>
      <c r="E79" t="str">
        <f>HYPERLINK("http://www.ncbi.nlm.nih.gov/Taxonomy/Browser/wwwtax.cgi?mode=Info&amp;id=59534&amp;lvl=3&amp;lin=f&amp;keep=1&amp;srchmode=1&amp;unlock","59534")</f>
        <v>59534</v>
      </c>
      <c r="F79" t="s">
        <v>18</v>
      </c>
      <c r="G79" t="str">
        <f>HYPERLINK("http://www.ncbi.nlm.nih.gov/Taxonomy/Browser/wwwtax.cgi?mode=Info&amp;id=59534&amp;lvl=3&amp;lin=f&amp;keep=1&amp;srchmode=1&amp;unlock","Oryx dammah")</f>
        <v>Oryx dammah</v>
      </c>
      <c r="H79" t="s">
        <v>116</v>
      </c>
      <c r="I79" t="str">
        <f>HYPERLINK("http://www.ncbi.nlm.nih.gov/protein/XP_040121708.1","androgen receptor")</f>
        <v>androgen receptor</v>
      </c>
      <c r="J79" t="s">
        <v>1312</v>
      </c>
      <c r="K79" t="s">
        <v>20</v>
      </c>
      <c r="L79">
        <v>677</v>
      </c>
      <c r="M79" t="s">
        <v>25</v>
      </c>
      <c r="N79" t="s">
        <v>20</v>
      </c>
      <c r="O79">
        <v>683</v>
      </c>
      <c r="P79" t="s">
        <v>1313</v>
      </c>
      <c r="Q79" t="s">
        <v>20</v>
      </c>
      <c r="R79">
        <v>724</v>
      </c>
      <c r="S79" t="s">
        <v>1314</v>
      </c>
      <c r="T79" t="s">
        <v>20</v>
      </c>
      <c r="U79">
        <v>849</v>
      </c>
      <c r="V79" t="s">
        <v>1315</v>
      </c>
      <c r="W79" t="s">
        <v>20</v>
      </c>
    </row>
    <row r="80" spans="1:23" x14ac:dyDescent="0.25">
      <c r="A80">
        <v>6</v>
      </c>
      <c r="B80" t="s">
        <v>18</v>
      </c>
      <c r="C80" t="str">
        <f>HYPERLINK("http://www.ncbi.nlm.nih.gov/protein/XP_040322896.1","XP_040322896.1")</f>
        <v>XP_040322896.1</v>
      </c>
      <c r="D80">
        <v>55674</v>
      </c>
      <c r="E80" t="str">
        <f>HYPERLINK("http://www.ncbi.nlm.nih.gov/Taxonomy/Browser/wwwtax.cgi?mode=Info&amp;id=1608482&amp;lvl=3&amp;lin=f&amp;keep=1&amp;srchmode=1&amp;unlock","1608482")</f>
        <v>1608482</v>
      </c>
      <c r="F80" t="s">
        <v>18</v>
      </c>
      <c r="G80" t="str">
        <f>HYPERLINK("http://www.ncbi.nlm.nih.gov/Taxonomy/Browser/wwwtax.cgi?mode=Info&amp;id=1608482&amp;lvl=3&amp;lin=f&amp;keep=1&amp;srchmode=1&amp;unlock","Puma yagouaroundi")</f>
        <v>Puma yagouaroundi</v>
      </c>
      <c r="H80" t="s">
        <v>66</v>
      </c>
      <c r="I80" t="str">
        <f>HYPERLINK("http://www.ncbi.nlm.nih.gov/protein/XP_040322896.1","androgen receptor isoform X1")</f>
        <v>androgen receptor isoform X1</v>
      </c>
      <c r="J80" t="s">
        <v>1312</v>
      </c>
      <c r="K80" t="s">
        <v>20</v>
      </c>
      <c r="L80">
        <v>691</v>
      </c>
      <c r="M80" t="s">
        <v>25</v>
      </c>
      <c r="N80" t="s">
        <v>20</v>
      </c>
      <c r="O80">
        <v>697</v>
      </c>
      <c r="P80" t="s">
        <v>1313</v>
      </c>
      <c r="Q80" t="s">
        <v>20</v>
      </c>
      <c r="R80">
        <v>738</v>
      </c>
      <c r="S80" t="s">
        <v>1314</v>
      </c>
      <c r="T80" t="s">
        <v>20</v>
      </c>
      <c r="U80">
        <v>863</v>
      </c>
      <c r="V80" t="s">
        <v>1315</v>
      </c>
      <c r="W80" t="s">
        <v>20</v>
      </c>
    </row>
    <row r="81" spans="1:23" x14ac:dyDescent="0.25">
      <c r="A81">
        <v>6</v>
      </c>
      <c r="B81" t="s">
        <v>18</v>
      </c>
      <c r="C81" t="str">
        <f>HYPERLINK("http://www.ncbi.nlm.nih.gov/protein/XP_026255764.1","XP_026255764.1")</f>
        <v>XP_026255764.1</v>
      </c>
      <c r="D81">
        <v>36494</v>
      </c>
      <c r="E81" t="str">
        <f>HYPERLINK("http://www.ncbi.nlm.nih.gov/Taxonomy/Browser/wwwtax.cgi?mode=Info&amp;id=9999&amp;lvl=3&amp;lin=f&amp;keep=1&amp;srchmode=1&amp;unlock","9999")</f>
        <v>9999</v>
      </c>
      <c r="F81" t="s">
        <v>18</v>
      </c>
      <c r="G81" t="str">
        <f>HYPERLINK("http://www.ncbi.nlm.nih.gov/Taxonomy/Browser/wwwtax.cgi?mode=Info&amp;id=9999&amp;lvl=3&amp;lin=f&amp;keep=1&amp;srchmode=1&amp;unlock","Urocitellus parryii")</f>
        <v>Urocitellus parryii</v>
      </c>
      <c r="H81" t="s">
        <v>84</v>
      </c>
      <c r="I81" t="str">
        <f>HYPERLINK("http://www.ncbi.nlm.nih.gov/protein/XP_026255764.1","androgen receptor")</f>
        <v>androgen receptor</v>
      </c>
      <c r="J81" t="s">
        <v>1312</v>
      </c>
      <c r="K81" t="s">
        <v>20</v>
      </c>
      <c r="L81">
        <v>670</v>
      </c>
      <c r="M81" t="s">
        <v>25</v>
      </c>
      <c r="N81" t="s">
        <v>20</v>
      </c>
      <c r="O81">
        <v>676</v>
      </c>
      <c r="P81" t="s">
        <v>1313</v>
      </c>
      <c r="Q81" t="s">
        <v>20</v>
      </c>
      <c r="R81">
        <v>717</v>
      </c>
      <c r="S81" t="s">
        <v>1314</v>
      </c>
      <c r="T81" t="s">
        <v>20</v>
      </c>
      <c r="U81">
        <v>842</v>
      </c>
      <c r="V81" t="s">
        <v>1315</v>
      </c>
      <c r="W81" t="s">
        <v>20</v>
      </c>
    </row>
    <row r="82" spans="1:23" x14ac:dyDescent="0.25">
      <c r="A82">
        <v>6</v>
      </c>
      <c r="B82" t="s">
        <v>18</v>
      </c>
      <c r="C82" t="str">
        <f>HYPERLINK("http://www.ncbi.nlm.nih.gov/protein/XP_004871834.1","XP_004871834.1")</f>
        <v>XP_004871834.1</v>
      </c>
      <c r="D82">
        <v>82656</v>
      </c>
      <c r="E82" t="str">
        <f>HYPERLINK("http://www.ncbi.nlm.nih.gov/Taxonomy/Browser/wwwtax.cgi?mode=Info&amp;id=10181&amp;lvl=3&amp;lin=f&amp;keep=1&amp;srchmode=1&amp;unlock","10181")</f>
        <v>10181</v>
      </c>
      <c r="F82" t="s">
        <v>18</v>
      </c>
      <c r="G82" t="str">
        <f>HYPERLINK("http://www.ncbi.nlm.nih.gov/Taxonomy/Browser/wwwtax.cgi?mode=Info&amp;id=10181&amp;lvl=3&amp;lin=f&amp;keep=1&amp;srchmode=1&amp;unlock","Heterocephalus glaber")</f>
        <v>Heterocephalus glaber</v>
      </c>
      <c r="H82" t="s">
        <v>144</v>
      </c>
      <c r="I82" t="str">
        <f>HYPERLINK("http://www.ncbi.nlm.nih.gov/protein/XP_004871834.1","androgen receptor isoform X1")</f>
        <v>androgen receptor isoform X1</v>
      </c>
      <c r="J82" t="s">
        <v>1312</v>
      </c>
      <c r="K82" t="s">
        <v>20</v>
      </c>
      <c r="L82">
        <v>676</v>
      </c>
      <c r="M82" t="s">
        <v>25</v>
      </c>
      <c r="N82" t="s">
        <v>20</v>
      </c>
      <c r="O82">
        <v>682</v>
      </c>
      <c r="P82" t="s">
        <v>1313</v>
      </c>
      <c r="Q82" t="s">
        <v>20</v>
      </c>
      <c r="R82">
        <v>723</v>
      </c>
      <c r="S82" t="s">
        <v>1314</v>
      </c>
      <c r="T82" t="s">
        <v>20</v>
      </c>
      <c r="U82">
        <v>848</v>
      </c>
      <c r="V82" t="s">
        <v>1315</v>
      </c>
      <c r="W82" t="s">
        <v>20</v>
      </c>
    </row>
    <row r="83" spans="1:23" x14ac:dyDescent="0.25">
      <c r="A83">
        <v>6</v>
      </c>
      <c r="B83" t="s">
        <v>18</v>
      </c>
      <c r="C83" t="str">
        <f>HYPERLINK("http://www.ncbi.nlm.nih.gov/protein/CDG23667.1","CDG23667.1")</f>
        <v>CDG23667.1</v>
      </c>
      <c r="D83">
        <v>352</v>
      </c>
      <c r="E83" t="str">
        <f>HYPERLINK("http://www.ncbi.nlm.nih.gov/Taxonomy/Browser/wwwtax.cgi?mode=Info&amp;id=9858&amp;lvl=3&amp;lin=f&amp;keep=1&amp;srchmode=1&amp;unlock","9858")</f>
        <v>9858</v>
      </c>
      <c r="F83" t="s">
        <v>18</v>
      </c>
      <c r="G83" t="str">
        <f>HYPERLINK("http://www.ncbi.nlm.nih.gov/Taxonomy/Browser/wwwtax.cgi?mode=Info&amp;id=9858&amp;lvl=3&amp;lin=f&amp;keep=1&amp;srchmode=1&amp;unlock","Capreolus capreolus")</f>
        <v>Capreolus capreolus</v>
      </c>
      <c r="H83" t="s">
        <v>970</v>
      </c>
      <c r="I83" t="str">
        <f>HYPERLINK("http://www.ncbi.nlm.nih.gov/protein/CDG23667.1","androgen receptor")</f>
        <v>androgen receptor</v>
      </c>
      <c r="J83" t="s">
        <v>1312</v>
      </c>
      <c r="K83" t="s">
        <v>20</v>
      </c>
      <c r="L83">
        <v>680</v>
      </c>
      <c r="M83" t="s">
        <v>25</v>
      </c>
      <c r="N83" t="s">
        <v>20</v>
      </c>
      <c r="O83">
        <v>686</v>
      </c>
      <c r="P83" t="s">
        <v>1313</v>
      </c>
      <c r="Q83" t="s">
        <v>20</v>
      </c>
      <c r="R83">
        <v>727</v>
      </c>
      <c r="S83" t="s">
        <v>1314</v>
      </c>
      <c r="T83" t="s">
        <v>20</v>
      </c>
      <c r="U83">
        <v>852</v>
      </c>
      <c r="V83" t="s">
        <v>1315</v>
      </c>
      <c r="W83" t="s">
        <v>20</v>
      </c>
    </row>
    <row r="84" spans="1:23" x14ac:dyDescent="0.25">
      <c r="A84">
        <v>6</v>
      </c>
      <c r="B84" t="s">
        <v>18</v>
      </c>
      <c r="C84" t="str">
        <f>HYPERLINK("http://www.ncbi.nlm.nih.gov/protein/XP_007445632.1","XP_007445632.1")</f>
        <v>XP_007445632.1</v>
      </c>
      <c r="D84">
        <v>27194</v>
      </c>
      <c r="E84" t="str">
        <f>HYPERLINK("http://www.ncbi.nlm.nih.gov/Taxonomy/Browser/wwwtax.cgi?mode=Info&amp;id=118797&amp;lvl=3&amp;lin=f&amp;keep=1&amp;srchmode=1&amp;unlock","118797")</f>
        <v>118797</v>
      </c>
      <c r="F84" t="s">
        <v>18</v>
      </c>
      <c r="G84" t="str">
        <f>HYPERLINK("http://www.ncbi.nlm.nih.gov/Taxonomy/Browser/wwwtax.cgi?mode=Info&amp;id=118797&amp;lvl=3&amp;lin=f&amp;keep=1&amp;srchmode=1&amp;unlock","Lipotes vexillifer")</f>
        <v>Lipotes vexillifer</v>
      </c>
      <c r="H84" t="s">
        <v>165</v>
      </c>
      <c r="I84" t="str">
        <f>HYPERLINK("http://www.ncbi.nlm.nih.gov/protein/XP_007445632.1","PREDICTED: androgen receptor")</f>
        <v>PREDICTED: androgen receptor</v>
      </c>
      <c r="J84" t="s">
        <v>1312</v>
      </c>
      <c r="K84" t="s">
        <v>20</v>
      </c>
      <c r="L84">
        <v>674</v>
      </c>
      <c r="M84" t="s">
        <v>25</v>
      </c>
      <c r="N84" t="s">
        <v>20</v>
      </c>
      <c r="O84">
        <v>680</v>
      </c>
      <c r="P84" t="s">
        <v>1313</v>
      </c>
      <c r="Q84" t="s">
        <v>20</v>
      </c>
      <c r="R84">
        <v>721</v>
      </c>
      <c r="S84" t="s">
        <v>1314</v>
      </c>
      <c r="T84" t="s">
        <v>20</v>
      </c>
      <c r="U84">
        <v>846</v>
      </c>
      <c r="V84" t="s">
        <v>1315</v>
      </c>
      <c r="W84" t="s">
        <v>20</v>
      </c>
    </row>
    <row r="85" spans="1:23" x14ac:dyDescent="0.25">
      <c r="A85">
        <v>6</v>
      </c>
      <c r="B85" t="s">
        <v>18</v>
      </c>
      <c r="C85" t="str">
        <f>HYPERLINK("http://www.ncbi.nlm.nih.gov/protein/XP_017899319.1","XP_017899319.1")</f>
        <v>XP_017899319.1</v>
      </c>
      <c r="D85">
        <v>47245</v>
      </c>
      <c r="E85" t="str">
        <f>HYPERLINK("http://www.ncbi.nlm.nih.gov/Taxonomy/Browser/wwwtax.cgi?mode=Info&amp;id=9925&amp;lvl=3&amp;lin=f&amp;keep=1&amp;srchmode=1&amp;unlock","9925")</f>
        <v>9925</v>
      </c>
      <c r="F85" t="s">
        <v>18</v>
      </c>
      <c r="G85" t="str">
        <f>HYPERLINK("http://www.ncbi.nlm.nih.gov/Taxonomy/Browser/wwwtax.cgi?mode=Info&amp;id=9925&amp;lvl=3&amp;lin=f&amp;keep=1&amp;srchmode=1&amp;unlock","Capra hircus")</f>
        <v>Capra hircus</v>
      </c>
      <c r="H85" t="s">
        <v>108</v>
      </c>
      <c r="I85" t="str">
        <f>HYPERLINK("http://www.ncbi.nlm.nih.gov/protein/XP_017899319.1","PREDICTED: androgen receptor")</f>
        <v>PREDICTED: androgen receptor</v>
      </c>
      <c r="J85" t="s">
        <v>1312</v>
      </c>
      <c r="K85" t="s">
        <v>20</v>
      </c>
      <c r="L85">
        <v>677</v>
      </c>
      <c r="M85" t="s">
        <v>25</v>
      </c>
      <c r="N85" t="s">
        <v>20</v>
      </c>
      <c r="O85">
        <v>683</v>
      </c>
      <c r="P85" t="s">
        <v>1313</v>
      </c>
      <c r="Q85" t="s">
        <v>20</v>
      </c>
      <c r="R85">
        <v>724</v>
      </c>
      <c r="S85" t="s">
        <v>1314</v>
      </c>
      <c r="T85" t="s">
        <v>20</v>
      </c>
      <c r="U85">
        <v>849</v>
      </c>
      <c r="V85" t="s">
        <v>1315</v>
      </c>
      <c r="W85" t="s">
        <v>20</v>
      </c>
    </row>
    <row r="86" spans="1:23" x14ac:dyDescent="0.25">
      <c r="A86">
        <v>6</v>
      </c>
      <c r="B86" t="s">
        <v>18</v>
      </c>
      <c r="C86" t="str">
        <f>HYPERLINK("http://www.ncbi.nlm.nih.gov/protein/Q8MIK0.1","Q8MIK0.1")</f>
        <v>Q8MIK0.1</v>
      </c>
      <c r="D86">
        <v>17488</v>
      </c>
      <c r="E86" t="str">
        <f>HYPERLINK("http://www.ncbi.nlm.nih.gov/Taxonomy/Browser/wwwtax.cgi?mode=Info&amp;id=9678&amp;lvl=3&amp;lin=f&amp;keep=1&amp;srchmode=1&amp;unlock","9678")</f>
        <v>9678</v>
      </c>
      <c r="F86" t="s">
        <v>18</v>
      </c>
      <c r="G86" t="str">
        <f>HYPERLINK("http://www.ncbi.nlm.nih.gov/Taxonomy/Browser/wwwtax.cgi?mode=Info&amp;id=9678&amp;lvl=3&amp;lin=f&amp;keep=1&amp;srchmode=1&amp;unlock","Crocuta crocuta")</f>
        <v>Crocuta crocuta</v>
      </c>
      <c r="H86" t="s">
        <v>164</v>
      </c>
      <c r="I86" t="str">
        <f>HYPERLINK("http://www.ncbi.nlm.nih.gov/protein/Q8MIK0.1","RecName: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86" t="s">
        <v>1312</v>
      </c>
      <c r="K86" t="s">
        <v>20</v>
      </c>
      <c r="L86">
        <v>698</v>
      </c>
      <c r="M86" t="s">
        <v>25</v>
      </c>
      <c r="N86" t="s">
        <v>20</v>
      </c>
      <c r="O86">
        <v>704</v>
      </c>
      <c r="P86" t="s">
        <v>1313</v>
      </c>
      <c r="Q86" t="s">
        <v>20</v>
      </c>
      <c r="R86">
        <v>745</v>
      </c>
      <c r="S86" t="s">
        <v>1314</v>
      </c>
      <c r="T86" t="s">
        <v>20</v>
      </c>
      <c r="U86">
        <v>870</v>
      </c>
      <c r="V86" t="s">
        <v>1315</v>
      </c>
      <c r="W86" t="s">
        <v>20</v>
      </c>
    </row>
    <row r="87" spans="1:23" x14ac:dyDescent="0.25">
      <c r="A87">
        <v>6</v>
      </c>
      <c r="B87" t="s">
        <v>18</v>
      </c>
      <c r="C87" t="str">
        <f>HYPERLINK("http://www.ncbi.nlm.nih.gov/protein/XP_004380149.1","XP_004380149.1")</f>
        <v>XP_004380149.1</v>
      </c>
      <c r="D87">
        <v>37488</v>
      </c>
      <c r="E87" t="str">
        <f>HYPERLINK("http://www.ncbi.nlm.nih.gov/Taxonomy/Browser/wwwtax.cgi?mode=Info&amp;id=127582&amp;lvl=3&amp;lin=f&amp;keep=1&amp;srchmode=1&amp;unlock","127582")</f>
        <v>127582</v>
      </c>
      <c r="F87" t="s">
        <v>18</v>
      </c>
      <c r="G87" t="str">
        <f>HYPERLINK("http://www.ncbi.nlm.nih.gov/Taxonomy/Browser/wwwtax.cgi?mode=Info&amp;id=127582&amp;lvl=3&amp;lin=f&amp;keep=1&amp;srchmode=1&amp;unlock","Trichechus manatus latirostris")</f>
        <v>Trichechus manatus latirostris</v>
      </c>
      <c r="H87" t="s">
        <v>125</v>
      </c>
      <c r="I87" t="str">
        <f>HYPERLINK("http://www.ncbi.nlm.nih.gov/protein/XP_004380149.1","androgen receptor isoform X1")</f>
        <v>androgen receptor isoform X1</v>
      </c>
      <c r="J87" t="s">
        <v>1312</v>
      </c>
      <c r="K87" t="s">
        <v>20</v>
      </c>
      <c r="L87">
        <v>708</v>
      </c>
      <c r="M87" t="s">
        <v>25</v>
      </c>
      <c r="N87" t="s">
        <v>20</v>
      </c>
      <c r="O87">
        <v>714</v>
      </c>
      <c r="P87" t="s">
        <v>1313</v>
      </c>
      <c r="Q87" t="s">
        <v>20</v>
      </c>
      <c r="R87">
        <v>755</v>
      </c>
      <c r="S87" t="s">
        <v>1314</v>
      </c>
      <c r="T87" t="s">
        <v>20</v>
      </c>
      <c r="U87">
        <v>880</v>
      </c>
      <c r="V87" t="s">
        <v>1315</v>
      </c>
      <c r="W87" t="s">
        <v>20</v>
      </c>
    </row>
    <row r="88" spans="1:23" x14ac:dyDescent="0.25">
      <c r="A88">
        <v>6</v>
      </c>
      <c r="B88" t="s">
        <v>18</v>
      </c>
      <c r="C88" t="str">
        <f>HYPERLINK("http://www.ncbi.nlm.nih.gov/protein/XP_004644568.1","XP_004644568.1")</f>
        <v>XP_004644568.1</v>
      </c>
      <c r="D88">
        <v>42554</v>
      </c>
      <c r="E88" t="str">
        <f>HYPERLINK("http://www.ncbi.nlm.nih.gov/Taxonomy/Browser/wwwtax.cgi?mode=Info&amp;id=10160&amp;lvl=3&amp;lin=f&amp;keep=1&amp;srchmode=1&amp;unlock","10160")</f>
        <v>10160</v>
      </c>
      <c r="F88" t="s">
        <v>18</v>
      </c>
      <c r="G88" t="str">
        <f>HYPERLINK("http://www.ncbi.nlm.nih.gov/Taxonomy/Browser/wwwtax.cgi?mode=Info&amp;id=10160&amp;lvl=3&amp;lin=f&amp;keep=1&amp;srchmode=1&amp;unlock","Octodon degus")</f>
        <v>Octodon degus</v>
      </c>
      <c r="H88" t="s">
        <v>106</v>
      </c>
      <c r="I88" t="str">
        <f>HYPERLINK("http://www.ncbi.nlm.nih.gov/protein/XP_004644568.1","androgen receptor isoform X1")</f>
        <v>androgen receptor isoform X1</v>
      </c>
      <c r="J88" t="s">
        <v>1312</v>
      </c>
      <c r="K88" t="s">
        <v>20</v>
      </c>
      <c r="L88">
        <v>692</v>
      </c>
      <c r="M88" t="s">
        <v>25</v>
      </c>
      <c r="N88" t="s">
        <v>20</v>
      </c>
      <c r="O88">
        <v>698</v>
      </c>
      <c r="P88" t="s">
        <v>1313</v>
      </c>
      <c r="Q88" t="s">
        <v>20</v>
      </c>
      <c r="R88">
        <v>739</v>
      </c>
      <c r="S88" t="s">
        <v>1314</v>
      </c>
      <c r="T88" t="s">
        <v>20</v>
      </c>
      <c r="U88">
        <v>864</v>
      </c>
      <c r="V88" t="s">
        <v>1315</v>
      </c>
      <c r="W88" t="s">
        <v>20</v>
      </c>
    </row>
    <row r="89" spans="1:23" x14ac:dyDescent="0.25">
      <c r="A89">
        <v>6</v>
      </c>
      <c r="B89" t="s">
        <v>18</v>
      </c>
      <c r="C89" t="str">
        <f>HYPERLINK("http://www.ncbi.nlm.nih.gov/protein/XP_021043964.1","XP_021043964.1")</f>
        <v>XP_021043964.1</v>
      </c>
      <c r="D89">
        <v>42356</v>
      </c>
      <c r="E89" t="str">
        <f>HYPERLINK("http://www.ncbi.nlm.nih.gov/Taxonomy/Browser/wwwtax.cgi?mode=Info&amp;id=10093&amp;lvl=3&amp;lin=f&amp;keep=1&amp;srchmode=1&amp;unlock","10093")</f>
        <v>10093</v>
      </c>
      <c r="F89" t="s">
        <v>18</v>
      </c>
      <c r="G89" t="str">
        <f>HYPERLINK("http://www.ncbi.nlm.nih.gov/Taxonomy/Browser/wwwtax.cgi?mode=Info&amp;id=10093&amp;lvl=3&amp;lin=f&amp;keep=1&amp;srchmode=1&amp;unlock","Mus pahari")</f>
        <v>Mus pahari</v>
      </c>
      <c r="H89" t="s">
        <v>132</v>
      </c>
      <c r="I89" t="str">
        <f>HYPERLINK("http://www.ncbi.nlm.nih.gov/protein/XP_021043964.1","androgen receptor")</f>
        <v>androgen receptor</v>
      </c>
      <c r="J89" t="s">
        <v>1312</v>
      </c>
      <c r="K89" t="s">
        <v>20</v>
      </c>
      <c r="L89">
        <v>683</v>
      </c>
      <c r="M89" t="s">
        <v>25</v>
      </c>
      <c r="N89" t="s">
        <v>20</v>
      </c>
      <c r="O89">
        <v>689</v>
      </c>
      <c r="P89" t="s">
        <v>1313</v>
      </c>
      <c r="Q89" t="s">
        <v>20</v>
      </c>
      <c r="R89">
        <v>730</v>
      </c>
      <c r="S89" t="s">
        <v>1314</v>
      </c>
      <c r="T89" t="s">
        <v>20</v>
      </c>
      <c r="U89">
        <v>855</v>
      </c>
      <c r="V89" t="s">
        <v>1315</v>
      </c>
      <c r="W89" t="s">
        <v>20</v>
      </c>
    </row>
    <row r="90" spans="1:23" x14ac:dyDescent="0.25">
      <c r="A90">
        <v>6</v>
      </c>
      <c r="B90" t="s">
        <v>18</v>
      </c>
      <c r="C90" t="str">
        <f>HYPERLINK("http://www.ncbi.nlm.nih.gov/protein/XP_004715496.1","XP_004715496.1")</f>
        <v>XP_004715496.1</v>
      </c>
      <c r="D90">
        <v>24944</v>
      </c>
      <c r="E90" t="str">
        <f>HYPERLINK("http://www.ncbi.nlm.nih.gov/Taxonomy/Browser/wwwtax.cgi?mode=Info&amp;id=9371&amp;lvl=3&amp;lin=f&amp;keep=1&amp;srchmode=1&amp;unlock","9371")</f>
        <v>9371</v>
      </c>
      <c r="F90" t="s">
        <v>18</v>
      </c>
      <c r="G90" t="str">
        <f>HYPERLINK("http://www.ncbi.nlm.nih.gov/Taxonomy/Browser/wwwtax.cgi?mode=Info&amp;id=9371&amp;lvl=3&amp;lin=f&amp;keep=1&amp;srchmode=1&amp;unlock","Echinops telfairi")</f>
        <v>Echinops telfairi</v>
      </c>
      <c r="H90" t="s">
        <v>114</v>
      </c>
      <c r="I90" t="str">
        <f>HYPERLINK("http://www.ncbi.nlm.nih.gov/protein/XP_004715496.1","androgen receptor")</f>
        <v>androgen receptor</v>
      </c>
      <c r="J90" t="s">
        <v>1312</v>
      </c>
      <c r="K90" t="s">
        <v>20</v>
      </c>
      <c r="L90">
        <v>673</v>
      </c>
      <c r="M90" t="s">
        <v>25</v>
      </c>
      <c r="N90" t="s">
        <v>20</v>
      </c>
      <c r="O90">
        <v>679</v>
      </c>
      <c r="P90" t="s">
        <v>1313</v>
      </c>
      <c r="Q90" t="s">
        <v>20</v>
      </c>
      <c r="R90">
        <v>720</v>
      </c>
      <c r="S90" t="s">
        <v>1314</v>
      </c>
      <c r="T90" t="s">
        <v>20</v>
      </c>
      <c r="U90">
        <v>845</v>
      </c>
      <c r="V90" t="s">
        <v>1315</v>
      </c>
      <c r="W90" t="s">
        <v>20</v>
      </c>
    </row>
    <row r="91" spans="1:23" x14ac:dyDescent="0.25">
      <c r="A91">
        <v>6</v>
      </c>
      <c r="B91" t="s">
        <v>18</v>
      </c>
      <c r="C91" t="str">
        <f>HYPERLINK("http://www.ncbi.nlm.nih.gov/protein/XP_012591725.1","XP_012591725.1")</f>
        <v>XP_012591725.1</v>
      </c>
      <c r="D91">
        <v>60035</v>
      </c>
      <c r="E91" t="str">
        <f>HYPERLINK("http://www.ncbi.nlm.nih.gov/Taxonomy/Browser/wwwtax.cgi?mode=Info&amp;id=30608&amp;lvl=3&amp;lin=f&amp;keep=1&amp;srchmode=1&amp;unlock","30608")</f>
        <v>30608</v>
      </c>
      <c r="F91" t="s">
        <v>18</v>
      </c>
      <c r="G91" t="str">
        <f>HYPERLINK("http://www.ncbi.nlm.nih.gov/Taxonomy/Browser/wwwtax.cgi?mode=Info&amp;id=30608&amp;lvl=3&amp;lin=f&amp;keep=1&amp;srchmode=1&amp;unlock","Microcebus murinus")</f>
        <v>Microcebus murinus</v>
      </c>
      <c r="H91" t="s">
        <v>93</v>
      </c>
      <c r="I91" t="str">
        <f>HYPERLINK("http://www.ncbi.nlm.nih.gov/protein/XP_012591725.1","androgen receptor")</f>
        <v>androgen receptor</v>
      </c>
      <c r="J91" t="s">
        <v>1312</v>
      </c>
      <c r="K91" t="s">
        <v>20</v>
      </c>
      <c r="L91">
        <v>673</v>
      </c>
      <c r="M91" t="s">
        <v>25</v>
      </c>
      <c r="N91" t="s">
        <v>20</v>
      </c>
      <c r="O91">
        <v>679</v>
      </c>
      <c r="P91" t="s">
        <v>1313</v>
      </c>
      <c r="Q91" t="s">
        <v>20</v>
      </c>
      <c r="R91">
        <v>720</v>
      </c>
      <c r="S91" t="s">
        <v>1314</v>
      </c>
      <c r="T91" t="s">
        <v>20</v>
      </c>
      <c r="U91">
        <v>845</v>
      </c>
      <c r="V91" t="s">
        <v>1315</v>
      </c>
      <c r="W91" t="s">
        <v>20</v>
      </c>
    </row>
    <row r="92" spans="1:23" x14ac:dyDescent="0.25">
      <c r="A92">
        <v>6</v>
      </c>
      <c r="B92" t="s">
        <v>18</v>
      </c>
      <c r="C92" t="str">
        <f>HYPERLINK("http://www.ncbi.nlm.nih.gov/protein/XP_006868555.1","XP_006868555.1")</f>
        <v>XP_006868555.1</v>
      </c>
      <c r="D92">
        <v>25292</v>
      </c>
      <c r="E92" t="str">
        <f>HYPERLINK("http://www.ncbi.nlm.nih.gov/Taxonomy/Browser/wwwtax.cgi?mode=Info&amp;id=185453&amp;lvl=3&amp;lin=f&amp;keep=1&amp;srchmode=1&amp;unlock","185453")</f>
        <v>185453</v>
      </c>
      <c r="F92" t="s">
        <v>18</v>
      </c>
      <c r="G92" t="str">
        <f>HYPERLINK("http://www.ncbi.nlm.nih.gov/Taxonomy/Browser/wwwtax.cgi?mode=Info&amp;id=185453&amp;lvl=3&amp;lin=f&amp;keep=1&amp;srchmode=1&amp;unlock","Chrysochloris asiatica")</f>
        <v>Chrysochloris asiatica</v>
      </c>
      <c r="H92" t="s">
        <v>124</v>
      </c>
      <c r="I92" t="str">
        <f>HYPERLINK("http://www.ncbi.nlm.nih.gov/protein/XP_006868555.1","PREDICTED: androgen receptor-like isoform X4")</f>
        <v>PREDICTED: androgen receptor-like isoform X4</v>
      </c>
      <c r="J92" t="s">
        <v>1312</v>
      </c>
      <c r="K92" t="s">
        <v>20</v>
      </c>
      <c r="L92">
        <v>685</v>
      </c>
      <c r="M92" t="s">
        <v>25</v>
      </c>
      <c r="N92" t="s">
        <v>20</v>
      </c>
      <c r="O92">
        <v>691</v>
      </c>
      <c r="P92" t="s">
        <v>1313</v>
      </c>
      <c r="Q92" t="s">
        <v>20</v>
      </c>
      <c r="R92">
        <v>732</v>
      </c>
      <c r="S92" t="s">
        <v>1314</v>
      </c>
      <c r="T92" t="s">
        <v>20</v>
      </c>
      <c r="U92">
        <v>857</v>
      </c>
      <c r="V92" t="s">
        <v>1315</v>
      </c>
      <c r="W92" t="s">
        <v>20</v>
      </c>
    </row>
    <row r="93" spans="1:23" x14ac:dyDescent="0.25">
      <c r="A93">
        <v>6</v>
      </c>
      <c r="B93" t="s">
        <v>18</v>
      </c>
      <c r="C93" t="str">
        <f>HYPERLINK("http://www.ncbi.nlm.nih.gov/protein/NP_038504.1","NP_038504.1")</f>
        <v>NP_038504.1</v>
      </c>
      <c r="D93">
        <v>329947</v>
      </c>
      <c r="E93" t="str">
        <f>HYPERLINK("http://www.ncbi.nlm.nih.gov/Taxonomy/Browser/wwwtax.cgi?mode=Info&amp;id=10090&amp;lvl=3&amp;lin=f&amp;keep=1&amp;srchmode=1&amp;unlock","10090")</f>
        <v>10090</v>
      </c>
      <c r="F93" t="s">
        <v>18</v>
      </c>
      <c r="G93" t="str">
        <f>HYPERLINK("http://www.ncbi.nlm.nih.gov/Taxonomy/Browser/wwwtax.cgi?mode=Info&amp;id=10090&amp;lvl=3&amp;lin=f&amp;keep=1&amp;srchmode=1&amp;unlock","Mus musculus")</f>
        <v>Mus musculus</v>
      </c>
      <c r="H93" t="s">
        <v>119</v>
      </c>
      <c r="I93" t="str">
        <f>HYPERLINK("http://www.ncbi.nlm.nih.gov/protein/NP_038504.1","androgen receptor")</f>
        <v>androgen receptor</v>
      </c>
      <c r="J93" t="s">
        <v>1312</v>
      </c>
      <c r="K93" t="s">
        <v>20</v>
      </c>
      <c r="L93">
        <v>685</v>
      </c>
      <c r="M93" t="s">
        <v>25</v>
      </c>
      <c r="N93" t="s">
        <v>20</v>
      </c>
      <c r="O93">
        <v>691</v>
      </c>
      <c r="P93" t="s">
        <v>1313</v>
      </c>
      <c r="Q93" t="s">
        <v>20</v>
      </c>
      <c r="R93">
        <v>732</v>
      </c>
      <c r="S93" t="s">
        <v>1314</v>
      </c>
      <c r="T93" t="s">
        <v>20</v>
      </c>
      <c r="U93">
        <v>857</v>
      </c>
      <c r="V93" t="s">
        <v>1315</v>
      </c>
      <c r="W93" t="s">
        <v>20</v>
      </c>
    </row>
    <row r="94" spans="1:23" x14ac:dyDescent="0.25">
      <c r="A94">
        <v>6</v>
      </c>
      <c r="B94" t="s">
        <v>18</v>
      </c>
      <c r="C94" t="str">
        <f>HYPERLINK("http://www.ncbi.nlm.nih.gov/protein/XP_036696642.1","XP_036696642.1")</f>
        <v>XP_036696642.1</v>
      </c>
      <c r="D94">
        <v>52383</v>
      </c>
      <c r="E94" t="str">
        <f>HYPERLINK("http://www.ncbi.nlm.nih.gov/Taxonomy/Browser/wwwtax.cgi?mode=Info&amp;id=9771&amp;lvl=3&amp;lin=f&amp;keep=1&amp;srchmode=1&amp;unlock","9771")</f>
        <v>9771</v>
      </c>
      <c r="F94" t="s">
        <v>18</v>
      </c>
      <c r="G94" t="str">
        <f>HYPERLINK("http://www.ncbi.nlm.nih.gov/Taxonomy/Browser/wwwtax.cgi?mode=Info&amp;id=9771&amp;lvl=3&amp;lin=f&amp;keep=1&amp;srchmode=1&amp;unlock","Balaenoptera musculus")</f>
        <v>Balaenoptera musculus</v>
      </c>
      <c r="H94" t="s">
        <v>190</v>
      </c>
      <c r="I94" t="str">
        <f>HYPERLINK("http://www.ncbi.nlm.nih.gov/protein/XP_036696642.1","androgen receptor")</f>
        <v>androgen receptor</v>
      </c>
      <c r="J94" t="s">
        <v>1312</v>
      </c>
      <c r="K94" t="s">
        <v>20</v>
      </c>
      <c r="L94">
        <v>679</v>
      </c>
      <c r="M94" t="s">
        <v>25</v>
      </c>
      <c r="N94" t="s">
        <v>20</v>
      </c>
      <c r="O94">
        <v>685</v>
      </c>
      <c r="P94" t="s">
        <v>1313</v>
      </c>
      <c r="Q94" t="s">
        <v>20</v>
      </c>
      <c r="R94">
        <v>726</v>
      </c>
      <c r="S94" t="s">
        <v>1314</v>
      </c>
      <c r="T94" t="s">
        <v>20</v>
      </c>
      <c r="U94">
        <v>851</v>
      </c>
      <c r="V94" t="s">
        <v>1315</v>
      </c>
      <c r="W94" t="s">
        <v>20</v>
      </c>
    </row>
    <row r="95" spans="1:23" x14ac:dyDescent="0.25">
      <c r="A95">
        <v>6</v>
      </c>
      <c r="B95" t="s">
        <v>18</v>
      </c>
      <c r="C95" t="str">
        <f>HYPERLINK("http://www.ncbi.nlm.nih.gov/protein/AAA37234.1","AAA37234.1")</f>
        <v>AAA37234.1</v>
      </c>
      <c r="D95">
        <v>2964</v>
      </c>
      <c r="E95" t="str">
        <f>HYPERLINK("http://www.ncbi.nlm.nih.gov/Taxonomy/Browser/wwwtax.cgi?mode=Info&amp;id=10092&amp;lvl=3&amp;lin=f&amp;keep=1&amp;srchmode=1&amp;unlock","10092")</f>
        <v>10092</v>
      </c>
      <c r="F95" t="s">
        <v>18</v>
      </c>
      <c r="G95" t="str">
        <f>HYPERLINK("http://www.ncbi.nlm.nih.gov/Taxonomy/Browser/wwwtax.cgi?mode=Info&amp;id=10092&amp;lvl=3&amp;lin=f&amp;keep=1&amp;srchmode=1&amp;unlock","Mus musculus domesticus")</f>
        <v>Mus musculus domesticus</v>
      </c>
      <c r="H95" t="s">
        <v>913</v>
      </c>
      <c r="I95" t="str">
        <f>HYPERLINK("http://www.ncbi.nlm.nih.gov/protein/AAA37234.1","androgen receptor")</f>
        <v>androgen receptor</v>
      </c>
      <c r="J95" t="s">
        <v>1312</v>
      </c>
      <c r="K95" t="s">
        <v>20</v>
      </c>
      <c r="L95">
        <v>685</v>
      </c>
      <c r="M95" t="s">
        <v>25</v>
      </c>
      <c r="N95" t="s">
        <v>20</v>
      </c>
      <c r="O95">
        <v>691</v>
      </c>
      <c r="P95" t="s">
        <v>1313</v>
      </c>
      <c r="Q95" t="s">
        <v>20</v>
      </c>
      <c r="R95">
        <v>732</v>
      </c>
      <c r="S95" t="s">
        <v>1314</v>
      </c>
      <c r="T95" t="s">
        <v>20</v>
      </c>
      <c r="U95">
        <v>857</v>
      </c>
      <c r="V95" t="s">
        <v>1315</v>
      </c>
      <c r="W95" t="s">
        <v>20</v>
      </c>
    </row>
    <row r="96" spans="1:23" x14ac:dyDescent="0.25">
      <c r="A96">
        <v>6</v>
      </c>
      <c r="B96" t="s">
        <v>18</v>
      </c>
      <c r="C96" t="str">
        <f>HYPERLINK("http://www.ncbi.nlm.nih.gov/protein/AAB19916.1","AAB19916.1")</f>
        <v>AAB19916.1</v>
      </c>
      <c r="D96">
        <v>1375</v>
      </c>
      <c r="E96" t="str">
        <f>HYPERLINK("http://www.ncbi.nlm.nih.gov/Taxonomy/Browser/wwwtax.cgi?mode=Info&amp;id=10095&amp;lvl=3&amp;lin=f&amp;keep=1&amp;srchmode=1&amp;unlock","10095")</f>
        <v>10095</v>
      </c>
      <c r="F96" t="s">
        <v>18</v>
      </c>
      <c r="G96" t="str">
        <f>HYPERLINK("http://www.ncbi.nlm.nih.gov/Taxonomy/Browser/wwwtax.cgi?mode=Info&amp;id=10095&amp;lvl=3&amp;lin=f&amp;keep=1&amp;srchmode=1&amp;unlock","Mus sp.")</f>
        <v>Mus sp.</v>
      </c>
      <c r="H96" t="s">
        <v>906</v>
      </c>
      <c r="I96" t="str">
        <f>HYPERLINK("http://www.ncbi.nlm.nih.gov/protein/AAB19916.1","AR")</f>
        <v>AR</v>
      </c>
      <c r="J96" t="s">
        <v>1312</v>
      </c>
      <c r="K96" t="s">
        <v>20</v>
      </c>
      <c r="L96">
        <v>685</v>
      </c>
      <c r="M96" t="s">
        <v>25</v>
      </c>
      <c r="N96" t="s">
        <v>20</v>
      </c>
      <c r="O96">
        <v>691</v>
      </c>
      <c r="P96" t="s">
        <v>1313</v>
      </c>
      <c r="Q96" t="s">
        <v>20</v>
      </c>
      <c r="R96">
        <v>732</v>
      </c>
      <c r="S96" t="s">
        <v>1314</v>
      </c>
      <c r="T96" t="s">
        <v>20</v>
      </c>
      <c r="U96">
        <v>857</v>
      </c>
      <c r="V96" t="s">
        <v>1315</v>
      </c>
      <c r="W96" t="s">
        <v>20</v>
      </c>
    </row>
    <row r="97" spans="1:23" x14ac:dyDescent="0.25">
      <c r="A97">
        <v>6</v>
      </c>
      <c r="B97" t="s">
        <v>18</v>
      </c>
      <c r="C97" t="str">
        <f>HYPERLINK("http://www.ncbi.nlm.nih.gov/protein/XP_002929217.2","XP_002929217.2")</f>
        <v>XP_002929217.2</v>
      </c>
      <c r="D97">
        <v>73410</v>
      </c>
      <c r="E97" t="str">
        <f>HYPERLINK("http://www.ncbi.nlm.nih.gov/Taxonomy/Browser/wwwtax.cgi?mode=Info&amp;id=9646&amp;lvl=3&amp;lin=f&amp;keep=1&amp;srchmode=1&amp;unlock","9646")</f>
        <v>9646</v>
      </c>
      <c r="F97" t="s">
        <v>18</v>
      </c>
      <c r="G97" t="str">
        <f>HYPERLINK("http://www.ncbi.nlm.nih.gov/Taxonomy/Browser/wwwtax.cgi?mode=Info&amp;id=9646&amp;lvl=3&amp;lin=f&amp;keep=1&amp;srchmode=1&amp;unlock","Ailuropoda melanoleuca")</f>
        <v>Ailuropoda melanoleuca</v>
      </c>
      <c r="H97" t="s">
        <v>37</v>
      </c>
      <c r="I97" t="str">
        <f>HYPERLINK("http://www.ncbi.nlm.nih.gov/protein/XP_002929217.2","androgen receptor")</f>
        <v>androgen receptor</v>
      </c>
      <c r="J97" t="s">
        <v>1312</v>
      </c>
      <c r="K97" t="s">
        <v>20</v>
      </c>
      <c r="L97">
        <v>693</v>
      </c>
      <c r="M97" t="s">
        <v>25</v>
      </c>
      <c r="N97" t="s">
        <v>20</v>
      </c>
      <c r="O97">
        <v>699</v>
      </c>
      <c r="P97" t="s">
        <v>1313</v>
      </c>
      <c r="Q97" t="s">
        <v>20</v>
      </c>
      <c r="R97">
        <v>740</v>
      </c>
      <c r="S97" t="s">
        <v>1314</v>
      </c>
      <c r="T97" t="s">
        <v>20</v>
      </c>
      <c r="U97">
        <v>865</v>
      </c>
      <c r="V97" t="s">
        <v>1315</v>
      </c>
      <c r="W97" t="s">
        <v>20</v>
      </c>
    </row>
    <row r="98" spans="1:23" x14ac:dyDescent="0.25">
      <c r="A98">
        <v>6</v>
      </c>
      <c r="B98" t="s">
        <v>18</v>
      </c>
      <c r="C98" t="str">
        <f>HYPERLINK("http://www.ncbi.nlm.nih.gov/protein/XP_028625865.1","XP_028625865.1")</f>
        <v>XP_028625865.1</v>
      </c>
      <c r="D98">
        <v>38217</v>
      </c>
      <c r="E98" t="str">
        <f>HYPERLINK("http://www.ncbi.nlm.nih.gov/Taxonomy/Browser/wwwtax.cgi?mode=Info&amp;id=491861&amp;lvl=3&amp;lin=f&amp;keep=1&amp;srchmode=1&amp;unlock","491861")</f>
        <v>491861</v>
      </c>
      <c r="F98" t="s">
        <v>18</v>
      </c>
      <c r="G98" t="str">
        <f>HYPERLINK("http://www.ncbi.nlm.nih.gov/Taxonomy/Browser/wwwtax.cgi?mode=Info&amp;id=491861&amp;lvl=3&amp;lin=f&amp;keep=1&amp;srchmode=1&amp;unlock","Grammomys surdaster")</f>
        <v>Grammomys surdaster</v>
      </c>
      <c r="H98" t="s">
        <v>133</v>
      </c>
      <c r="I98" t="str">
        <f>HYPERLINK("http://www.ncbi.nlm.nih.gov/protein/XP_028625865.1","androgen receptor")</f>
        <v>androgen receptor</v>
      </c>
      <c r="J98" t="s">
        <v>1312</v>
      </c>
      <c r="K98" t="s">
        <v>20</v>
      </c>
      <c r="L98">
        <v>685</v>
      </c>
      <c r="M98" t="s">
        <v>25</v>
      </c>
      <c r="N98" t="s">
        <v>20</v>
      </c>
      <c r="O98">
        <v>691</v>
      </c>
      <c r="P98" t="s">
        <v>1313</v>
      </c>
      <c r="Q98" t="s">
        <v>20</v>
      </c>
      <c r="R98">
        <v>732</v>
      </c>
      <c r="S98" t="s">
        <v>1314</v>
      </c>
      <c r="T98" t="s">
        <v>20</v>
      </c>
      <c r="U98">
        <v>857</v>
      </c>
      <c r="V98" t="s">
        <v>1315</v>
      </c>
      <c r="W98" t="s">
        <v>20</v>
      </c>
    </row>
    <row r="99" spans="1:23" x14ac:dyDescent="0.25">
      <c r="A99">
        <v>6</v>
      </c>
      <c r="B99" t="s">
        <v>18</v>
      </c>
      <c r="C99" t="str">
        <f>HYPERLINK("http://www.ncbi.nlm.nih.gov/protein/NP_036634.2","NP_036634.2")</f>
        <v>NP_036634.2</v>
      </c>
      <c r="D99">
        <v>157817</v>
      </c>
      <c r="E99" t="str">
        <f>HYPERLINK("http://www.ncbi.nlm.nih.gov/Taxonomy/Browser/wwwtax.cgi?mode=Info&amp;id=10116&amp;lvl=3&amp;lin=f&amp;keep=1&amp;srchmode=1&amp;unlock","10116")</f>
        <v>10116</v>
      </c>
      <c r="F99" t="s">
        <v>18</v>
      </c>
      <c r="G99" t="str">
        <f>HYPERLINK("http://www.ncbi.nlm.nih.gov/Taxonomy/Browser/wwwtax.cgi?mode=Info&amp;id=10116&amp;lvl=3&amp;lin=f&amp;keep=1&amp;srchmode=1&amp;unlock","Rattus norvegicus")</f>
        <v>Rattus norvegicus</v>
      </c>
      <c r="H99" t="s">
        <v>136</v>
      </c>
      <c r="I99" t="str">
        <f>HYPERLINK("http://www.ncbi.nlm.nih.gov/protein/NP_036634.2","androgen receptor")</f>
        <v>androgen receptor</v>
      </c>
      <c r="J99" t="s">
        <v>1312</v>
      </c>
      <c r="K99" t="s">
        <v>20</v>
      </c>
      <c r="L99">
        <v>688</v>
      </c>
      <c r="M99" t="s">
        <v>25</v>
      </c>
      <c r="N99" t="s">
        <v>20</v>
      </c>
      <c r="O99">
        <v>694</v>
      </c>
      <c r="P99" t="s">
        <v>1313</v>
      </c>
      <c r="Q99" t="s">
        <v>20</v>
      </c>
      <c r="R99">
        <v>735</v>
      </c>
      <c r="S99" t="s">
        <v>1314</v>
      </c>
      <c r="T99" t="s">
        <v>20</v>
      </c>
      <c r="U99">
        <v>860</v>
      </c>
      <c r="V99" t="s">
        <v>1315</v>
      </c>
      <c r="W99" t="s">
        <v>20</v>
      </c>
    </row>
    <row r="100" spans="1:23" x14ac:dyDescent="0.25">
      <c r="A100">
        <v>6</v>
      </c>
      <c r="B100" t="s">
        <v>18</v>
      </c>
      <c r="C100" t="str">
        <f>HYPERLINK("http://www.ncbi.nlm.nih.gov/protein/XP_016059359.1","XP_016059359.1")</f>
        <v>XP_016059359.1</v>
      </c>
      <c r="D100">
        <v>29863</v>
      </c>
      <c r="E100" t="str">
        <f>HYPERLINK("http://www.ncbi.nlm.nih.gov/Taxonomy/Browser/wwwtax.cgi?mode=Info&amp;id=291302&amp;lvl=3&amp;lin=f&amp;keep=1&amp;srchmode=1&amp;unlock","291302")</f>
        <v>291302</v>
      </c>
      <c r="F100" t="s">
        <v>18</v>
      </c>
      <c r="G100" t="str">
        <f>HYPERLINK("http://www.ncbi.nlm.nih.gov/Taxonomy/Browser/wwwtax.cgi?mode=Info&amp;id=291302&amp;lvl=3&amp;lin=f&amp;keep=1&amp;srchmode=1&amp;unlock","Miniopterus natalensis")</f>
        <v>Miniopterus natalensis</v>
      </c>
      <c r="H100" t="s">
        <v>77</v>
      </c>
      <c r="I100" t="str">
        <f>HYPERLINK("http://www.ncbi.nlm.nih.gov/protein/XP_016059359.1","PREDICTED: androgen receptor isoform X3")</f>
        <v>PREDICTED: androgen receptor isoform X3</v>
      </c>
      <c r="J100" t="s">
        <v>1312</v>
      </c>
      <c r="K100" t="s">
        <v>20</v>
      </c>
      <c r="L100">
        <v>690</v>
      </c>
      <c r="M100" t="s">
        <v>25</v>
      </c>
      <c r="N100" t="s">
        <v>20</v>
      </c>
      <c r="O100">
        <v>696</v>
      </c>
      <c r="P100" t="s">
        <v>1313</v>
      </c>
      <c r="Q100" t="s">
        <v>20</v>
      </c>
      <c r="R100">
        <v>737</v>
      </c>
      <c r="S100" t="s">
        <v>1314</v>
      </c>
      <c r="T100" t="s">
        <v>20</v>
      </c>
      <c r="U100">
        <v>862</v>
      </c>
      <c r="V100" t="s">
        <v>1315</v>
      </c>
      <c r="W100" t="s">
        <v>20</v>
      </c>
    </row>
    <row r="101" spans="1:23" x14ac:dyDescent="0.25">
      <c r="A101">
        <v>6</v>
      </c>
      <c r="B101" t="s">
        <v>18</v>
      </c>
      <c r="C101" t="str">
        <f>HYPERLINK("http://www.ncbi.nlm.nih.gov/protein/XP_024411091.1","XP_024411091.1")</f>
        <v>XP_024411091.1</v>
      </c>
      <c r="D101">
        <v>30698</v>
      </c>
      <c r="E101" t="str">
        <f>HYPERLINK("http://www.ncbi.nlm.nih.gov/Taxonomy/Browser/wwwtax.cgi?mode=Info&amp;id=9430&amp;lvl=3&amp;lin=f&amp;keep=1&amp;srchmode=1&amp;unlock","9430")</f>
        <v>9430</v>
      </c>
      <c r="F101" t="s">
        <v>18</v>
      </c>
      <c r="G101" t="str">
        <f>HYPERLINK("http://www.ncbi.nlm.nih.gov/Taxonomy/Browser/wwwtax.cgi?mode=Info&amp;id=9430&amp;lvl=3&amp;lin=f&amp;keep=1&amp;srchmode=1&amp;unlock","Desmodus rotundus")</f>
        <v>Desmodus rotundus</v>
      </c>
      <c r="H101" t="s">
        <v>131</v>
      </c>
      <c r="I101" t="str">
        <f>HYPERLINK("http://www.ncbi.nlm.nih.gov/protein/XP_024411091.1","androgen receptor isoform X1")</f>
        <v>androgen receptor isoform X1</v>
      </c>
      <c r="J101" t="s">
        <v>1312</v>
      </c>
      <c r="K101" t="s">
        <v>20</v>
      </c>
      <c r="L101">
        <v>671</v>
      </c>
      <c r="M101" t="s">
        <v>25</v>
      </c>
      <c r="N101" t="s">
        <v>20</v>
      </c>
      <c r="O101">
        <v>677</v>
      </c>
      <c r="P101" t="s">
        <v>1313</v>
      </c>
      <c r="Q101" t="s">
        <v>20</v>
      </c>
      <c r="R101">
        <v>718</v>
      </c>
      <c r="S101" t="s">
        <v>1314</v>
      </c>
      <c r="T101" t="s">
        <v>20</v>
      </c>
      <c r="U101">
        <v>843</v>
      </c>
      <c r="V101" t="s">
        <v>1315</v>
      </c>
      <c r="W101" t="s">
        <v>20</v>
      </c>
    </row>
    <row r="102" spans="1:23" x14ac:dyDescent="0.25">
      <c r="A102">
        <v>6</v>
      </c>
      <c r="B102" t="s">
        <v>18</v>
      </c>
      <c r="C102" t="str">
        <f>HYPERLINK("http://www.ncbi.nlm.nih.gov/protein/XP_007113487.1","XP_007113487.1")</f>
        <v>XP_007113487.1</v>
      </c>
      <c r="D102">
        <v>51265</v>
      </c>
      <c r="E102" t="str">
        <f>HYPERLINK("http://www.ncbi.nlm.nih.gov/Taxonomy/Browser/wwwtax.cgi?mode=Info&amp;id=9755&amp;lvl=3&amp;lin=f&amp;keep=1&amp;srchmode=1&amp;unlock","9755")</f>
        <v>9755</v>
      </c>
      <c r="F102" t="s">
        <v>18</v>
      </c>
      <c r="G102" t="str">
        <f>HYPERLINK("http://www.ncbi.nlm.nih.gov/Taxonomy/Browser/wwwtax.cgi?mode=Info&amp;id=9755&amp;lvl=3&amp;lin=f&amp;keep=1&amp;srchmode=1&amp;unlock","Physeter catodon")</f>
        <v>Physeter catodon</v>
      </c>
      <c r="H102" t="s">
        <v>139</v>
      </c>
      <c r="I102" t="str">
        <f>HYPERLINK("http://www.ncbi.nlm.nih.gov/protein/XP_007113487.1","androgen receptor isoform X1")</f>
        <v>androgen receptor isoform X1</v>
      </c>
      <c r="J102" t="s">
        <v>1312</v>
      </c>
      <c r="K102" t="s">
        <v>20</v>
      </c>
      <c r="L102">
        <v>679</v>
      </c>
      <c r="M102" t="s">
        <v>25</v>
      </c>
      <c r="N102" t="s">
        <v>20</v>
      </c>
      <c r="O102">
        <v>685</v>
      </c>
      <c r="P102" t="s">
        <v>1313</v>
      </c>
      <c r="Q102" t="s">
        <v>20</v>
      </c>
      <c r="R102">
        <v>726</v>
      </c>
      <c r="S102" t="s">
        <v>1314</v>
      </c>
      <c r="T102" t="s">
        <v>20</v>
      </c>
      <c r="U102">
        <v>851</v>
      </c>
      <c r="V102" t="s">
        <v>1315</v>
      </c>
      <c r="W102" t="s">
        <v>20</v>
      </c>
    </row>
    <row r="103" spans="1:23" x14ac:dyDescent="0.25">
      <c r="A103">
        <v>6</v>
      </c>
      <c r="B103" t="s">
        <v>18</v>
      </c>
      <c r="C103" t="str">
        <f>HYPERLINK("http://www.ncbi.nlm.nih.gov/protein/XP_007185523.1","XP_007185523.1")</f>
        <v>XP_007185523.1</v>
      </c>
      <c r="D103">
        <v>37624</v>
      </c>
      <c r="E103" t="str">
        <f>HYPERLINK("http://www.ncbi.nlm.nih.gov/Taxonomy/Browser/wwwtax.cgi?mode=Info&amp;id=310752&amp;lvl=3&amp;lin=f&amp;keep=1&amp;srchmode=1&amp;unlock","310752")</f>
        <v>310752</v>
      </c>
      <c r="F103" t="s">
        <v>18</v>
      </c>
      <c r="G103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03" t="s">
        <v>241</v>
      </c>
      <c r="I103" t="str">
        <f>HYPERLINK("http://www.ncbi.nlm.nih.gov/protein/XP_007185523.1","androgen receptor isoform X1")</f>
        <v>androgen receptor isoform X1</v>
      </c>
      <c r="J103" t="s">
        <v>1312</v>
      </c>
      <c r="K103" t="s">
        <v>20</v>
      </c>
      <c r="L103">
        <v>681</v>
      </c>
      <c r="M103" t="s">
        <v>25</v>
      </c>
      <c r="N103" t="s">
        <v>20</v>
      </c>
      <c r="O103">
        <v>687</v>
      </c>
      <c r="P103" t="s">
        <v>1313</v>
      </c>
      <c r="Q103" t="s">
        <v>20</v>
      </c>
      <c r="R103">
        <v>728</v>
      </c>
      <c r="S103" t="s">
        <v>1314</v>
      </c>
      <c r="T103" t="s">
        <v>20</v>
      </c>
      <c r="U103">
        <v>853</v>
      </c>
      <c r="V103" t="s">
        <v>1315</v>
      </c>
      <c r="W103" t="s">
        <v>20</v>
      </c>
    </row>
    <row r="104" spans="1:23" x14ac:dyDescent="0.25">
      <c r="A104">
        <v>6</v>
      </c>
      <c r="B104" t="s">
        <v>18</v>
      </c>
      <c r="C104" t="str">
        <f>HYPERLINK("http://www.ncbi.nlm.nih.gov/protein/XP_012887093.1","XP_012887093.1")</f>
        <v>XP_012887093.1</v>
      </c>
      <c r="D104">
        <v>29406</v>
      </c>
      <c r="E104" t="str">
        <f>HYPERLINK("http://www.ncbi.nlm.nih.gov/Taxonomy/Browser/wwwtax.cgi?mode=Info&amp;id=10020&amp;lvl=3&amp;lin=f&amp;keep=1&amp;srchmode=1&amp;unlock","10020")</f>
        <v>10020</v>
      </c>
      <c r="F104" t="s">
        <v>18</v>
      </c>
      <c r="G104" t="str">
        <f>HYPERLINK("http://www.ncbi.nlm.nih.gov/Taxonomy/Browser/wwwtax.cgi?mode=Info&amp;id=10020&amp;lvl=3&amp;lin=f&amp;keep=1&amp;srchmode=1&amp;unlock","Dipodomys ordii")</f>
        <v>Dipodomys ordii</v>
      </c>
      <c r="H104" t="s">
        <v>107</v>
      </c>
      <c r="I104" t="str">
        <f>HYPERLINK("http://www.ncbi.nlm.nih.gov/protein/XP_012887093.1","PREDICTED: androgen receptor")</f>
        <v>PREDICTED: androgen receptor</v>
      </c>
      <c r="J104" t="s">
        <v>1312</v>
      </c>
      <c r="K104" t="s">
        <v>20</v>
      </c>
      <c r="L104">
        <v>675</v>
      </c>
      <c r="M104" t="s">
        <v>25</v>
      </c>
      <c r="N104" t="s">
        <v>20</v>
      </c>
      <c r="O104">
        <v>681</v>
      </c>
      <c r="P104" t="s">
        <v>1313</v>
      </c>
      <c r="Q104" t="s">
        <v>20</v>
      </c>
      <c r="R104">
        <v>722</v>
      </c>
      <c r="S104" t="s">
        <v>1314</v>
      </c>
      <c r="T104" t="s">
        <v>20</v>
      </c>
      <c r="U104">
        <v>847</v>
      </c>
      <c r="V104" t="s">
        <v>1315</v>
      </c>
      <c r="W104" t="s">
        <v>20</v>
      </c>
    </row>
    <row r="105" spans="1:23" x14ac:dyDescent="0.25">
      <c r="A105">
        <v>6</v>
      </c>
      <c r="B105" t="s">
        <v>18</v>
      </c>
      <c r="C105" t="str">
        <f>HYPERLINK("http://www.ncbi.nlm.nih.gov/protein/XP_021009144.1","XP_021009144.1")</f>
        <v>XP_021009144.1</v>
      </c>
      <c r="D105">
        <v>47716</v>
      </c>
      <c r="E105" t="str">
        <f>HYPERLINK("http://www.ncbi.nlm.nih.gov/Taxonomy/Browser/wwwtax.cgi?mode=Info&amp;id=10089&amp;lvl=3&amp;lin=f&amp;keep=1&amp;srchmode=1&amp;unlock","10089")</f>
        <v>10089</v>
      </c>
      <c r="F105" t="s">
        <v>18</v>
      </c>
      <c r="G105" t="str">
        <f>HYPERLINK("http://www.ncbi.nlm.nih.gov/Taxonomy/Browser/wwwtax.cgi?mode=Info&amp;id=10089&amp;lvl=3&amp;lin=f&amp;keep=1&amp;srchmode=1&amp;unlock","Mus caroli")</f>
        <v>Mus caroli</v>
      </c>
      <c r="H105" t="s">
        <v>126</v>
      </c>
      <c r="I105" t="str">
        <f>HYPERLINK("http://www.ncbi.nlm.nih.gov/protein/XP_021009144.1","androgen receptor")</f>
        <v>androgen receptor</v>
      </c>
      <c r="J105" t="s">
        <v>1312</v>
      </c>
      <c r="K105" t="s">
        <v>20</v>
      </c>
      <c r="L105">
        <v>680</v>
      </c>
      <c r="M105" t="s">
        <v>25</v>
      </c>
      <c r="N105" t="s">
        <v>20</v>
      </c>
      <c r="O105">
        <v>686</v>
      </c>
      <c r="P105" t="s">
        <v>1313</v>
      </c>
      <c r="Q105" t="s">
        <v>20</v>
      </c>
      <c r="R105">
        <v>727</v>
      </c>
      <c r="S105" t="s">
        <v>1314</v>
      </c>
      <c r="T105" t="s">
        <v>20</v>
      </c>
      <c r="U105">
        <v>852</v>
      </c>
      <c r="V105" t="s">
        <v>1315</v>
      </c>
      <c r="W105" t="s">
        <v>20</v>
      </c>
    </row>
    <row r="106" spans="1:23" x14ac:dyDescent="0.25">
      <c r="A106">
        <v>6</v>
      </c>
      <c r="B106" t="s">
        <v>18</v>
      </c>
      <c r="C106" t="str">
        <f>HYPERLINK("http://www.ncbi.nlm.nih.gov/protein/XP_036872999.1","XP_036872999.1")</f>
        <v>XP_036872999.1</v>
      </c>
      <c r="D106">
        <v>56038</v>
      </c>
      <c r="E106" t="str">
        <f>HYPERLINK("http://www.ncbi.nlm.nih.gov/Taxonomy/Browser/wwwtax.cgi?mode=Info&amp;id=9974&amp;lvl=3&amp;lin=f&amp;keep=1&amp;srchmode=1&amp;unlock","9974")</f>
        <v>9974</v>
      </c>
      <c r="F106" t="s">
        <v>18</v>
      </c>
      <c r="G106" t="str">
        <f>HYPERLINK("http://www.ncbi.nlm.nih.gov/Taxonomy/Browser/wwwtax.cgi?mode=Info&amp;id=9974&amp;lvl=3&amp;lin=f&amp;keep=1&amp;srchmode=1&amp;unlock","Manis javanica")</f>
        <v>Manis javanica</v>
      </c>
      <c r="H106" t="s">
        <v>87</v>
      </c>
      <c r="I106" t="str">
        <f>HYPERLINK("http://www.ncbi.nlm.nih.gov/protein/XP_036872999.1","androgen receptor")</f>
        <v>androgen receptor</v>
      </c>
      <c r="J106" t="s">
        <v>1312</v>
      </c>
      <c r="K106" t="s">
        <v>20</v>
      </c>
      <c r="L106">
        <v>669</v>
      </c>
      <c r="M106" t="s">
        <v>25</v>
      </c>
      <c r="N106" t="s">
        <v>20</v>
      </c>
      <c r="O106">
        <v>675</v>
      </c>
      <c r="P106" t="s">
        <v>1313</v>
      </c>
      <c r="Q106" t="s">
        <v>20</v>
      </c>
      <c r="R106">
        <v>716</v>
      </c>
      <c r="S106" t="s">
        <v>1314</v>
      </c>
      <c r="T106" t="s">
        <v>20</v>
      </c>
      <c r="U106">
        <v>841</v>
      </c>
      <c r="V106" t="s">
        <v>1315</v>
      </c>
      <c r="W106" t="s">
        <v>20</v>
      </c>
    </row>
    <row r="107" spans="1:23" x14ac:dyDescent="0.25">
      <c r="A107">
        <v>6</v>
      </c>
      <c r="B107" t="s">
        <v>18</v>
      </c>
      <c r="C107" t="str">
        <f>HYPERLINK("http://www.ncbi.nlm.nih.gov/protein/XP_038171936.1","XP_038171936.1")</f>
        <v>XP_038171936.1</v>
      </c>
      <c r="D107">
        <v>40931</v>
      </c>
      <c r="E107" t="str">
        <f>HYPERLINK("http://www.ncbi.nlm.nih.gov/Taxonomy/Browser/wwwtax.cgi?mode=Info&amp;id=1047088&amp;lvl=3&amp;lin=f&amp;keep=1&amp;srchmode=1&amp;unlock","1047088")</f>
        <v>1047088</v>
      </c>
      <c r="F107" t="s">
        <v>18</v>
      </c>
      <c r="G107" t="str">
        <f>HYPERLINK("http://www.ncbi.nlm.nih.gov/Taxonomy/Browser/wwwtax.cgi?mode=Info&amp;id=1047088&amp;lvl=3&amp;lin=f&amp;keep=1&amp;srchmode=1&amp;unlock","Arvicola amphibius")</f>
        <v>Arvicola amphibius</v>
      </c>
      <c r="H107" t="s">
        <v>145</v>
      </c>
      <c r="I107" t="str">
        <f>HYPERLINK("http://www.ncbi.nlm.nih.gov/protein/XP_038171936.1","androgen receptor")</f>
        <v>androgen receptor</v>
      </c>
      <c r="J107" t="s">
        <v>1312</v>
      </c>
      <c r="K107" t="s">
        <v>20</v>
      </c>
      <c r="L107">
        <v>681</v>
      </c>
      <c r="M107" t="s">
        <v>25</v>
      </c>
      <c r="N107" t="s">
        <v>20</v>
      </c>
      <c r="O107">
        <v>687</v>
      </c>
      <c r="P107" t="s">
        <v>1313</v>
      </c>
      <c r="Q107" t="s">
        <v>20</v>
      </c>
      <c r="R107">
        <v>728</v>
      </c>
      <c r="S107" t="s">
        <v>1314</v>
      </c>
      <c r="T107" t="s">
        <v>20</v>
      </c>
      <c r="U107">
        <v>853</v>
      </c>
      <c r="V107" t="s">
        <v>1315</v>
      </c>
      <c r="W107" t="s">
        <v>20</v>
      </c>
    </row>
    <row r="108" spans="1:23" x14ac:dyDescent="0.25">
      <c r="A108">
        <v>6</v>
      </c>
      <c r="B108" t="s">
        <v>18</v>
      </c>
      <c r="C108" t="str">
        <f>HYPERLINK("http://www.ncbi.nlm.nih.gov/protein/XP_007954476.1","XP_007954476.1")</f>
        <v>XP_007954476.1</v>
      </c>
      <c r="D108">
        <v>25532</v>
      </c>
      <c r="E108" t="str">
        <f>HYPERLINK("http://www.ncbi.nlm.nih.gov/Taxonomy/Browser/wwwtax.cgi?mode=Info&amp;id=1230840&amp;lvl=3&amp;lin=f&amp;keep=1&amp;srchmode=1&amp;unlock","1230840")</f>
        <v>1230840</v>
      </c>
      <c r="F108" t="s">
        <v>18</v>
      </c>
      <c r="G108" t="str">
        <f>HYPERLINK("http://www.ncbi.nlm.nih.gov/Taxonomy/Browser/wwwtax.cgi?mode=Info&amp;id=1230840&amp;lvl=3&amp;lin=f&amp;keep=1&amp;srchmode=1&amp;unlock","Orycteropus afer afer")</f>
        <v>Orycteropus afer afer</v>
      </c>
      <c r="H108" t="s">
        <v>90</v>
      </c>
      <c r="I108" t="str">
        <f>HYPERLINK("http://www.ncbi.nlm.nih.gov/protein/XP_007954476.1","PREDICTED: androgen receptor isoform X1")</f>
        <v>PREDICTED: androgen receptor isoform X1</v>
      </c>
      <c r="J108" t="s">
        <v>1312</v>
      </c>
      <c r="K108" t="s">
        <v>20</v>
      </c>
      <c r="L108">
        <v>714</v>
      </c>
      <c r="M108" t="s">
        <v>25</v>
      </c>
      <c r="N108" t="s">
        <v>20</v>
      </c>
      <c r="O108">
        <v>720</v>
      </c>
      <c r="P108" t="s">
        <v>1313</v>
      </c>
      <c r="Q108" t="s">
        <v>20</v>
      </c>
      <c r="R108">
        <v>761</v>
      </c>
      <c r="S108" t="s">
        <v>1314</v>
      </c>
      <c r="T108" t="s">
        <v>20</v>
      </c>
      <c r="U108">
        <v>886</v>
      </c>
      <c r="V108" t="s">
        <v>1315</v>
      </c>
      <c r="W108" t="s">
        <v>20</v>
      </c>
    </row>
    <row r="109" spans="1:23" x14ac:dyDescent="0.25">
      <c r="A109">
        <v>6</v>
      </c>
      <c r="B109" t="s">
        <v>18</v>
      </c>
      <c r="C109" t="str">
        <f>HYPERLINK("http://www.ncbi.nlm.nih.gov/protein/XP_036161321.1","XP_036161321.1")</f>
        <v>XP_036161321.1</v>
      </c>
      <c r="D109">
        <v>106885</v>
      </c>
      <c r="E109" t="str">
        <f>HYPERLINK("http://www.ncbi.nlm.nih.gov/Taxonomy/Browser/wwwtax.cgi?mode=Info&amp;id=51298&amp;lvl=3&amp;lin=f&amp;keep=1&amp;srchmode=1&amp;unlock","51298")</f>
        <v>51298</v>
      </c>
      <c r="F109" t="s">
        <v>18</v>
      </c>
      <c r="G109" t="str">
        <f>HYPERLINK("http://www.ncbi.nlm.nih.gov/Taxonomy/Browser/wwwtax.cgi?mode=Info&amp;id=51298&amp;lvl=3&amp;lin=f&amp;keep=1&amp;srchmode=1&amp;unlock","Myotis myotis")</f>
        <v>Myotis myotis</v>
      </c>
      <c r="H109" t="s">
        <v>77</v>
      </c>
      <c r="I109" t="str">
        <f>HYPERLINK("http://www.ncbi.nlm.nih.gov/protein/XP_036161321.1","androgen receptor")</f>
        <v>androgen receptor</v>
      </c>
      <c r="J109" t="s">
        <v>1312</v>
      </c>
      <c r="K109" t="s">
        <v>20</v>
      </c>
      <c r="L109">
        <v>679</v>
      </c>
      <c r="M109" t="s">
        <v>25</v>
      </c>
      <c r="N109" t="s">
        <v>20</v>
      </c>
      <c r="O109">
        <v>685</v>
      </c>
      <c r="P109" t="s">
        <v>1313</v>
      </c>
      <c r="Q109" t="s">
        <v>20</v>
      </c>
      <c r="R109">
        <v>726</v>
      </c>
      <c r="S109" t="s">
        <v>1314</v>
      </c>
      <c r="T109" t="s">
        <v>20</v>
      </c>
      <c r="U109">
        <v>851</v>
      </c>
      <c r="V109" t="s">
        <v>1315</v>
      </c>
      <c r="W109" t="s">
        <v>20</v>
      </c>
    </row>
    <row r="110" spans="1:23" x14ac:dyDescent="0.25">
      <c r="A110">
        <v>6</v>
      </c>
      <c r="B110" t="s">
        <v>18</v>
      </c>
      <c r="C110" t="str">
        <f>HYPERLINK("http://www.ncbi.nlm.nih.gov/protein/XP_005000186.1","XP_005000186.1")</f>
        <v>XP_005000186.1</v>
      </c>
      <c r="D110">
        <v>49097</v>
      </c>
      <c r="E110" t="str">
        <f>HYPERLINK("http://www.ncbi.nlm.nih.gov/Taxonomy/Browser/wwwtax.cgi?mode=Info&amp;id=10141&amp;lvl=3&amp;lin=f&amp;keep=1&amp;srchmode=1&amp;unlock","10141")</f>
        <v>10141</v>
      </c>
      <c r="F110" t="s">
        <v>18</v>
      </c>
      <c r="G110" t="str">
        <f>HYPERLINK("http://www.ncbi.nlm.nih.gov/Taxonomy/Browser/wwwtax.cgi?mode=Info&amp;id=10141&amp;lvl=3&amp;lin=f&amp;keep=1&amp;srchmode=1&amp;unlock","Cavia porcellus")</f>
        <v>Cavia porcellus</v>
      </c>
      <c r="H110" t="s">
        <v>142</v>
      </c>
      <c r="I110" t="str">
        <f>HYPERLINK("http://www.ncbi.nlm.nih.gov/protein/XP_005000186.1","androgen receptor")</f>
        <v>androgen receptor</v>
      </c>
      <c r="J110" t="s">
        <v>1312</v>
      </c>
      <c r="K110" t="s">
        <v>20</v>
      </c>
      <c r="L110">
        <v>684</v>
      </c>
      <c r="M110" t="s">
        <v>25</v>
      </c>
      <c r="N110" t="s">
        <v>20</v>
      </c>
      <c r="O110">
        <v>690</v>
      </c>
      <c r="P110" t="s">
        <v>1313</v>
      </c>
      <c r="Q110" t="s">
        <v>20</v>
      </c>
      <c r="R110">
        <v>731</v>
      </c>
      <c r="S110" t="s">
        <v>1314</v>
      </c>
      <c r="T110" t="s">
        <v>20</v>
      </c>
      <c r="U110">
        <v>856</v>
      </c>
      <c r="V110" t="s">
        <v>1315</v>
      </c>
      <c r="W110" t="s">
        <v>20</v>
      </c>
    </row>
    <row r="111" spans="1:23" x14ac:dyDescent="0.25">
      <c r="A111">
        <v>6</v>
      </c>
      <c r="B111" t="s">
        <v>18</v>
      </c>
      <c r="C111" t="str">
        <f>HYPERLINK("http://www.ncbi.nlm.nih.gov/protein/XP_004473341.1","XP_004473341.1")</f>
        <v>XP_004473341.1</v>
      </c>
      <c r="D111">
        <v>38769</v>
      </c>
      <c r="E111" t="str">
        <f>HYPERLINK("http://www.ncbi.nlm.nih.gov/Taxonomy/Browser/wwwtax.cgi?mode=Info&amp;id=9361&amp;lvl=3&amp;lin=f&amp;keep=1&amp;srchmode=1&amp;unlock","9361")</f>
        <v>9361</v>
      </c>
      <c r="F111" t="s">
        <v>18</v>
      </c>
      <c r="G111" t="str">
        <f>HYPERLINK("http://www.ncbi.nlm.nih.gov/Taxonomy/Browser/wwwtax.cgi?mode=Info&amp;id=9361&amp;lvl=3&amp;lin=f&amp;keep=1&amp;srchmode=1&amp;unlock","Dasypus novemcinctus")</f>
        <v>Dasypus novemcinctus</v>
      </c>
      <c r="H111" t="s">
        <v>162</v>
      </c>
      <c r="I111" t="str">
        <f>HYPERLINK("http://www.ncbi.nlm.nih.gov/protein/XP_004473341.1","androgen receptor isoform X1")</f>
        <v>androgen receptor isoform X1</v>
      </c>
      <c r="J111" t="s">
        <v>1312</v>
      </c>
      <c r="K111" t="s">
        <v>20</v>
      </c>
      <c r="L111">
        <v>696</v>
      </c>
      <c r="M111" t="s">
        <v>25</v>
      </c>
      <c r="N111" t="s">
        <v>20</v>
      </c>
      <c r="O111">
        <v>702</v>
      </c>
      <c r="P111" t="s">
        <v>1313</v>
      </c>
      <c r="Q111" t="s">
        <v>20</v>
      </c>
      <c r="R111">
        <v>743</v>
      </c>
      <c r="S111" t="s">
        <v>1314</v>
      </c>
      <c r="T111" t="s">
        <v>20</v>
      </c>
      <c r="U111">
        <v>868</v>
      </c>
      <c r="V111" t="s">
        <v>1315</v>
      </c>
      <c r="W111" t="s">
        <v>20</v>
      </c>
    </row>
    <row r="112" spans="1:23" x14ac:dyDescent="0.25">
      <c r="A112">
        <v>6</v>
      </c>
      <c r="B112" t="s">
        <v>18</v>
      </c>
      <c r="C112" t="str">
        <f>HYPERLINK("http://www.ncbi.nlm.nih.gov/protein/XP_037678266.1","XP_037678266.1")</f>
        <v>XP_037678266.1</v>
      </c>
      <c r="D112">
        <v>54609</v>
      </c>
      <c r="E112" t="str">
        <f>HYPERLINK("http://www.ncbi.nlm.nih.gov/Taxonomy/Browser/wwwtax.cgi?mode=Info&amp;id=27675&amp;lvl=3&amp;lin=f&amp;keep=1&amp;srchmode=1&amp;unlock","27675")</f>
        <v>27675</v>
      </c>
      <c r="F112" t="s">
        <v>18</v>
      </c>
      <c r="G112" t="str">
        <f>HYPERLINK("http://www.ncbi.nlm.nih.gov/Taxonomy/Browser/wwwtax.cgi?mode=Info&amp;id=27675&amp;lvl=3&amp;lin=f&amp;keep=1&amp;srchmode=1&amp;unlock","Choloepus didactylus")</f>
        <v>Choloepus didactylus</v>
      </c>
      <c r="H112" t="s">
        <v>147</v>
      </c>
      <c r="I112" t="str">
        <f>HYPERLINK("http://www.ncbi.nlm.nih.gov/protein/XP_037678266.1","androgen receptor")</f>
        <v>androgen receptor</v>
      </c>
      <c r="J112" t="s">
        <v>1312</v>
      </c>
      <c r="K112" t="s">
        <v>20</v>
      </c>
      <c r="L112">
        <v>676</v>
      </c>
      <c r="M112" t="s">
        <v>25</v>
      </c>
      <c r="N112" t="s">
        <v>20</v>
      </c>
      <c r="O112">
        <v>682</v>
      </c>
      <c r="P112" t="s">
        <v>1316</v>
      </c>
      <c r="Q112" t="s">
        <v>20</v>
      </c>
      <c r="R112">
        <v>723</v>
      </c>
      <c r="S112" t="s">
        <v>1314</v>
      </c>
      <c r="T112" t="s">
        <v>20</v>
      </c>
      <c r="U112">
        <v>848</v>
      </c>
      <c r="V112" t="s">
        <v>1315</v>
      </c>
      <c r="W112" t="s">
        <v>20</v>
      </c>
    </row>
    <row r="113" spans="1:23" x14ac:dyDescent="0.25">
      <c r="A113">
        <v>6</v>
      </c>
      <c r="B113" t="s">
        <v>18</v>
      </c>
      <c r="C113" t="str">
        <f>HYPERLINK("http://www.ncbi.nlm.nih.gov/protein/XP_027621790.1","XP_027621790.1")</f>
        <v>XP_027621790.1</v>
      </c>
      <c r="D113">
        <v>59503</v>
      </c>
      <c r="E113" t="str">
        <f>HYPERLINK("http://www.ncbi.nlm.nih.gov/Taxonomy/Browser/wwwtax.cgi?mode=Info&amp;id=246437&amp;lvl=3&amp;lin=f&amp;keep=1&amp;srchmode=1&amp;unlock","246437")</f>
        <v>246437</v>
      </c>
      <c r="F113" t="s">
        <v>18</v>
      </c>
      <c r="G113" t="str">
        <f>HYPERLINK("http://www.ncbi.nlm.nih.gov/Taxonomy/Browser/wwwtax.cgi?mode=Info&amp;id=246437&amp;lvl=3&amp;lin=f&amp;keep=1&amp;srchmode=1&amp;unlock","Tupaia chinensis")</f>
        <v>Tupaia chinensis</v>
      </c>
      <c r="H113" t="s">
        <v>70</v>
      </c>
      <c r="I113" t="str">
        <f>HYPERLINK("http://www.ncbi.nlm.nih.gov/protein/XP_027621790.1","androgen receptor")</f>
        <v>androgen receptor</v>
      </c>
      <c r="J113" t="s">
        <v>1312</v>
      </c>
      <c r="K113" t="s">
        <v>20</v>
      </c>
      <c r="L113">
        <v>692</v>
      </c>
      <c r="M113" t="s">
        <v>25</v>
      </c>
      <c r="N113" t="s">
        <v>20</v>
      </c>
      <c r="O113">
        <v>698</v>
      </c>
      <c r="P113" t="s">
        <v>1313</v>
      </c>
      <c r="Q113" t="s">
        <v>20</v>
      </c>
      <c r="R113">
        <v>739</v>
      </c>
      <c r="S113" t="s">
        <v>1314</v>
      </c>
      <c r="T113" t="s">
        <v>20</v>
      </c>
      <c r="U113">
        <v>864</v>
      </c>
      <c r="V113" t="s">
        <v>1315</v>
      </c>
      <c r="W113" t="s">
        <v>20</v>
      </c>
    </row>
    <row r="114" spans="1:23" x14ac:dyDescent="0.25">
      <c r="A114">
        <v>6</v>
      </c>
      <c r="B114" t="s">
        <v>18</v>
      </c>
      <c r="C114" t="str">
        <f>HYPERLINK("http://www.ncbi.nlm.nih.gov/protein/XP_014399122.1","XP_014399122.1")</f>
        <v>XP_014399122.1</v>
      </c>
      <c r="D114">
        <v>60288</v>
      </c>
      <c r="E114" t="str">
        <f>HYPERLINK("http://www.ncbi.nlm.nih.gov/Taxonomy/Browser/wwwtax.cgi?mode=Info&amp;id=109478&amp;lvl=3&amp;lin=f&amp;keep=1&amp;srchmode=1&amp;unlock","109478")</f>
        <v>109478</v>
      </c>
      <c r="F114" t="s">
        <v>18</v>
      </c>
      <c r="G114" t="str">
        <f>HYPERLINK("http://www.ncbi.nlm.nih.gov/Taxonomy/Browser/wwwtax.cgi?mode=Info&amp;id=109478&amp;lvl=3&amp;lin=f&amp;keep=1&amp;srchmode=1&amp;unlock","Myotis brandtii")</f>
        <v>Myotis brandtii</v>
      </c>
      <c r="H114" t="s">
        <v>95</v>
      </c>
      <c r="I114" t="str">
        <f>HYPERLINK("http://www.ncbi.nlm.nih.gov/protein/XP_014399122.1","PREDICTED: androgen receptor isoform X2")</f>
        <v>PREDICTED: androgen receptor isoform X2</v>
      </c>
      <c r="J114" t="s">
        <v>1312</v>
      </c>
      <c r="K114" t="s">
        <v>20</v>
      </c>
      <c r="L114">
        <v>674</v>
      </c>
      <c r="M114" t="s">
        <v>25</v>
      </c>
      <c r="N114" t="s">
        <v>20</v>
      </c>
      <c r="O114">
        <v>680</v>
      </c>
      <c r="P114" t="s">
        <v>1313</v>
      </c>
      <c r="Q114" t="s">
        <v>20</v>
      </c>
      <c r="R114">
        <v>721</v>
      </c>
      <c r="S114" t="s">
        <v>1314</v>
      </c>
      <c r="T114" t="s">
        <v>20</v>
      </c>
      <c r="U114">
        <v>846</v>
      </c>
      <c r="V114" t="s">
        <v>1315</v>
      </c>
      <c r="W114" t="s">
        <v>20</v>
      </c>
    </row>
    <row r="115" spans="1:23" x14ac:dyDescent="0.25">
      <c r="A115">
        <v>6</v>
      </c>
      <c r="B115" t="s">
        <v>18</v>
      </c>
      <c r="C115" t="str">
        <f>HYPERLINK("http://www.ncbi.nlm.nih.gov/protein/XP_004661062.1","XP_004661062.1")</f>
        <v>XP_004661062.1</v>
      </c>
      <c r="D115">
        <v>25744</v>
      </c>
      <c r="E115" t="str">
        <f>HYPERLINK("http://www.ncbi.nlm.nih.gov/Taxonomy/Browser/wwwtax.cgi?mode=Info&amp;id=51337&amp;lvl=3&amp;lin=f&amp;keep=1&amp;srchmode=1&amp;unlock","51337")</f>
        <v>51337</v>
      </c>
      <c r="F115" t="s">
        <v>18</v>
      </c>
      <c r="G115" t="str">
        <f>HYPERLINK("http://www.ncbi.nlm.nih.gov/Taxonomy/Browser/wwwtax.cgi?mode=Info&amp;id=51337&amp;lvl=3&amp;lin=f&amp;keep=1&amp;srchmode=1&amp;unlock","Jaculus jaculus")</f>
        <v>Jaculus jaculus</v>
      </c>
      <c r="H115" t="s">
        <v>91</v>
      </c>
      <c r="I115" t="str">
        <f>HYPERLINK("http://www.ncbi.nlm.nih.gov/protein/XP_004661062.1","PREDICTED: androgen receptor")</f>
        <v>PREDICTED: androgen receptor</v>
      </c>
      <c r="J115" t="s">
        <v>1312</v>
      </c>
      <c r="K115" t="s">
        <v>20</v>
      </c>
      <c r="L115">
        <v>705</v>
      </c>
      <c r="M115" t="s">
        <v>25</v>
      </c>
      <c r="N115" t="s">
        <v>20</v>
      </c>
      <c r="O115">
        <v>711</v>
      </c>
      <c r="P115" t="s">
        <v>1313</v>
      </c>
      <c r="Q115" t="s">
        <v>20</v>
      </c>
      <c r="R115">
        <v>752</v>
      </c>
      <c r="S115" t="s">
        <v>1314</v>
      </c>
      <c r="T115" t="s">
        <v>20</v>
      </c>
      <c r="U115">
        <v>877</v>
      </c>
      <c r="V115" t="s">
        <v>1315</v>
      </c>
      <c r="W115" t="s">
        <v>20</v>
      </c>
    </row>
    <row r="116" spans="1:23" x14ac:dyDescent="0.25">
      <c r="A116">
        <v>6</v>
      </c>
      <c r="B116" t="s">
        <v>18</v>
      </c>
      <c r="C116" t="str">
        <f>HYPERLINK("http://www.ncbi.nlm.nih.gov/protein/XP_006082997.1","XP_006082997.1")</f>
        <v>XP_006082997.1</v>
      </c>
      <c r="D116">
        <v>44006</v>
      </c>
      <c r="E116" t="str">
        <f>HYPERLINK("http://www.ncbi.nlm.nih.gov/Taxonomy/Browser/wwwtax.cgi?mode=Info&amp;id=59463&amp;lvl=3&amp;lin=f&amp;keep=1&amp;srchmode=1&amp;unlock","59463")</f>
        <v>59463</v>
      </c>
      <c r="F116" t="s">
        <v>18</v>
      </c>
      <c r="G116" t="str">
        <f>HYPERLINK("http://www.ncbi.nlm.nih.gov/Taxonomy/Browser/wwwtax.cgi?mode=Info&amp;id=59463&amp;lvl=3&amp;lin=f&amp;keep=1&amp;srchmode=1&amp;unlock","Myotis lucifugus")</f>
        <v>Myotis lucifugus</v>
      </c>
      <c r="H116" t="s">
        <v>94</v>
      </c>
      <c r="I116" t="str">
        <f>HYPERLINK("http://www.ncbi.nlm.nih.gov/protein/XP_006082997.1","androgen receptor isoform X1")</f>
        <v>androgen receptor isoform X1</v>
      </c>
      <c r="J116" t="s">
        <v>1312</v>
      </c>
      <c r="K116" t="s">
        <v>20</v>
      </c>
      <c r="L116">
        <v>678</v>
      </c>
      <c r="M116" t="s">
        <v>25</v>
      </c>
      <c r="N116" t="s">
        <v>20</v>
      </c>
      <c r="O116">
        <v>684</v>
      </c>
      <c r="P116" t="s">
        <v>1313</v>
      </c>
      <c r="Q116" t="s">
        <v>20</v>
      </c>
      <c r="R116">
        <v>725</v>
      </c>
      <c r="S116" t="s">
        <v>1314</v>
      </c>
      <c r="T116" t="s">
        <v>20</v>
      </c>
      <c r="U116">
        <v>850</v>
      </c>
      <c r="V116" t="s">
        <v>1315</v>
      </c>
      <c r="W116" t="s">
        <v>20</v>
      </c>
    </row>
    <row r="117" spans="1:23" x14ac:dyDescent="0.25">
      <c r="A117">
        <v>6</v>
      </c>
      <c r="B117" t="s">
        <v>18</v>
      </c>
      <c r="C117" t="str">
        <f>HYPERLINK("http://www.ncbi.nlm.nih.gov/protein/XP_006215299.1","XP_006215299.1")</f>
        <v>XP_006215299.1</v>
      </c>
      <c r="D117">
        <v>44961</v>
      </c>
      <c r="E117" t="str">
        <f>HYPERLINK("http://www.ncbi.nlm.nih.gov/Taxonomy/Browser/wwwtax.cgi?mode=Info&amp;id=30538&amp;lvl=3&amp;lin=f&amp;keep=1&amp;srchmode=1&amp;unlock","30538")</f>
        <v>30538</v>
      </c>
      <c r="F117" t="s">
        <v>18</v>
      </c>
      <c r="G117" t="str">
        <f>HYPERLINK("http://www.ncbi.nlm.nih.gov/Taxonomy/Browser/wwwtax.cgi?mode=Info&amp;id=30538&amp;lvl=3&amp;lin=f&amp;keep=1&amp;srchmode=1&amp;unlock","Vicugna pacos")</f>
        <v>Vicugna pacos</v>
      </c>
      <c r="H117" t="s">
        <v>971</v>
      </c>
      <c r="I117" t="str">
        <f>HYPERLINK("http://www.ncbi.nlm.nih.gov/protein/XP_006215299.1","androgen receptor")</f>
        <v>androgen receptor</v>
      </c>
      <c r="J117" t="s">
        <v>1312</v>
      </c>
      <c r="K117" t="s">
        <v>20</v>
      </c>
      <c r="L117">
        <v>684</v>
      </c>
      <c r="M117" t="s">
        <v>25</v>
      </c>
      <c r="N117" t="s">
        <v>20</v>
      </c>
      <c r="O117">
        <v>690</v>
      </c>
      <c r="P117" t="s">
        <v>1313</v>
      </c>
      <c r="Q117" t="s">
        <v>20</v>
      </c>
      <c r="R117">
        <v>731</v>
      </c>
      <c r="S117" t="s">
        <v>1314</v>
      </c>
      <c r="T117" t="s">
        <v>20</v>
      </c>
      <c r="U117">
        <v>856</v>
      </c>
      <c r="V117" t="s">
        <v>1315</v>
      </c>
      <c r="W117" t="s">
        <v>20</v>
      </c>
    </row>
    <row r="118" spans="1:23" x14ac:dyDescent="0.25">
      <c r="A118">
        <v>6</v>
      </c>
      <c r="B118" t="s">
        <v>18</v>
      </c>
      <c r="C118" t="str">
        <f>HYPERLINK("http://www.ncbi.nlm.nih.gov/protein/XP_008157993.1","XP_008157993.1")</f>
        <v>XP_008157993.1</v>
      </c>
      <c r="D118">
        <v>50025</v>
      </c>
      <c r="E118" t="str">
        <f>HYPERLINK("http://www.ncbi.nlm.nih.gov/Taxonomy/Browser/wwwtax.cgi?mode=Info&amp;id=29078&amp;lvl=3&amp;lin=f&amp;keep=1&amp;srchmode=1&amp;unlock","29078")</f>
        <v>29078</v>
      </c>
      <c r="F118" t="s">
        <v>18</v>
      </c>
      <c r="G118" t="str">
        <f>HYPERLINK("http://www.ncbi.nlm.nih.gov/Taxonomy/Browser/wwwtax.cgi?mode=Info&amp;id=29078&amp;lvl=3&amp;lin=f&amp;keep=1&amp;srchmode=1&amp;unlock","Eptesicus fuscus")</f>
        <v>Eptesicus fuscus</v>
      </c>
      <c r="H118" t="s">
        <v>99</v>
      </c>
      <c r="I118" t="str">
        <f>HYPERLINK("http://www.ncbi.nlm.nih.gov/protein/XP_008157993.1","androgen receptor")</f>
        <v>androgen receptor</v>
      </c>
      <c r="J118" t="s">
        <v>1312</v>
      </c>
      <c r="K118" t="s">
        <v>20</v>
      </c>
      <c r="L118">
        <v>677</v>
      </c>
      <c r="M118" t="s">
        <v>25</v>
      </c>
      <c r="N118" t="s">
        <v>20</v>
      </c>
      <c r="O118">
        <v>683</v>
      </c>
      <c r="P118" t="s">
        <v>1313</v>
      </c>
      <c r="Q118" t="s">
        <v>20</v>
      </c>
      <c r="R118">
        <v>724</v>
      </c>
      <c r="S118" t="s">
        <v>1314</v>
      </c>
      <c r="T118" t="s">
        <v>20</v>
      </c>
      <c r="U118">
        <v>849</v>
      </c>
      <c r="V118" t="s">
        <v>1315</v>
      </c>
      <c r="W118" t="s">
        <v>20</v>
      </c>
    </row>
    <row r="119" spans="1:23" x14ac:dyDescent="0.25">
      <c r="A119">
        <v>6</v>
      </c>
      <c r="B119" t="s">
        <v>18</v>
      </c>
      <c r="C119" t="str">
        <f>HYPERLINK("http://www.ncbi.nlm.nih.gov/protein/XP_006902051.1","XP_006902051.1")</f>
        <v>XP_006902051.1</v>
      </c>
      <c r="D119">
        <v>25292</v>
      </c>
      <c r="E119" t="str">
        <f>HYPERLINK("http://www.ncbi.nlm.nih.gov/Taxonomy/Browser/wwwtax.cgi?mode=Info&amp;id=28737&amp;lvl=3&amp;lin=f&amp;keep=1&amp;srchmode=1&amp;unlock","28737")</f>
        <v>28737</v>
      </c>
      <c r="F119" t="s">
        <v>18</v>
      </c>
      <c r="G119" t="str">
        <f>HYPERLINK("http://www.ncbi.nlm.nih.gov/Taxonomy/Browser/wwwtax.cgi?mode=Info&amp;id=28737&amp;lvl=3&amp;lin=f&amp;keep=1&amp;srchmode=1&amp;unlock","Elephantulus edwardii")</f>
        <v>Elephantulus edwardii</v>
      </c>
      <c r="H119" t="s">
        <v>151</v>
      </c>
      <c r="I119" t="str">
        <f>HYPERLINK("http://www.ncbi.nlm.nih.gov/protein/XP_006902051.1","PREDICTED: androgen receptor-like")</f>
        <v>PREDICTED: androgen receptor-like</v>
      </c>
      <c r="J119" t="s">
        <v>1312</v>
      </c>
      <c r="K119" t="s">
        <v>20</v>
      </c>
      <c r="L119">
        <v>689</v>
      </c>
      <c r="M119" t="s">
        <v>25</v>
      </c>
      <c r="N119" t="s">
        <v>20</v>
      </c>
      <c r="O119">
        <v>695</v>
      </c>
      <c r="P119" t="s">
        <v>1313</v>
      </c>
      <c r="Q119" t="s">
        <v>20</v>
      </c>
      <c r="R119">
        <v>736</v>
      </c>
      <c r="S119" t="s">
        <v>1314</v>
      </c>
      <c r="T119" t="s">
        <v>20</v>
      </c>
      <c r="U119">
        <v>861</v>
      </c>
      <c r="V119" t="s">
        <v>1315</v>
      </c>
      <c r="W119" t="s">
        <v>20</v>
      </c>
    </row>
    <row r="120" spans="1:23" x14ac:dyDescent="0.25">
      <c r="A120">
        <v>6</v>
      </c>
      <c r="B120" t="s">
        <v>18</v>
      </c>
      <c r="C120" t="str">
        <f>HYPERLINK("http://www.ncbi.nlm.nih.gov/protein/XP_031302354.1","XP_031302354.1")</f>
        <v>XP_031302354.1</v>
      </c>
      <c r="D120">
        <v>86974</v>
      </c>
      <c r="E120" t="str">
        <f>HYPERLINK("http://www.ncbi.nlm.nih.gov/Taxonomy/Browser/wwwtax.cgi?mode=Info&amp;id=9838&amp;lvl=3&amp;lin=f&amp;keep=1&amp;srchmode=1&amp;unlock","9838")</f>
        <v>9838</v>
      </c>
      <c r="F120" t="s">
        <v>18</v>
      </c>
      <c r="G120" t="str">
        <f>HYPERLINK("http://www.ncbi.nlm.nih.gov/Taxonomy/Browser/wwwtax.cgi?mode=Info&amp;id=9838&amp;lvl=3&amp;lin=f&amp;keep=1&amp;srchmode=1&amp;unlock","Camelus dromedarius")</f>
        <v>Camelus dromedarius</v>
      </c>
      <c r="H120" t="s">
        <v>115</v>
      </c>
      <c r="I120" t="str">
        <f>HYPERLINK("http://www.ncbi.nlm.nih.gov/protein/XP_031302354.1","androgen receptor")</f>
        <v>androgen receptor</v>
      </c>
      <c r="J120" t="s">
        <v>1312</v>
      </c>
      <c r="K120" t="s">
        <v>20</v>
      </c>
      <c r="L120">
        <v>691</v>
      </c>
      <c r="M120" t="s">
        <v>25</v>
      </c>
      <c r="N120" t="s">
        <v>20</v>
      </c>
      <c r="O120">
        <v>697</v>
      </c>
      <c r="P120" t="s">
        <v>1313</v>
      </c>
      <c r="Q120" t="s">
        <v>20</v>
      </c>
      <c r="R120">
        <v>738</v>
      </c>
      <c r="S120" t="s">
        <v>1314</v>
      </c>
      <c r="T120" t="s">
        <v>20</v>
      </c>
      <c r="U120">
        <v>863</v>
      </c>
      <c r="V120" t="s">
        <v>1315</v>
      </c>
      <c r="W120" t="s">
        <v>20</v>
      </c>
    </row>
    <row r="121" spans="1:23" x14ac:dyDescent="0.25">
      <c r="A121">
        <v>6</v>
      </c>
      <c r="B121" t="s">
        <v>18</v>
      </c>
      <c r="C121" t="str">
        <f>HYPERLINK("http://www.ncbi.nlm.nih.gov/protein/XP_032330272.1","XP_032330272.1")</f>
        <v>XP_032330272.1</v>
      </c>
      <c r="D121">
        <v>74736</v>
      </c>
      <c r="E121" t="str">
        <f>HYPERLINK("http://www.ncbi.nlm.nih.gov/Taxonomy/Browser/wwwtax.cgi?mode=Info&amp;id=419612&amp;lvl=3&amp;lin=f&amp;keep=1&amp;srchmode=1&amp;unlock","419612")</f>
        <v>419612</v>
      </c>
      <c r="F121" t="s">
        <v>18</v>
      </c>
      <c r="G121" t="str">
        <f>HYPERLINK("http://www.ncbi.nlm.nih.gov/Taxonomy/Browser/wwwtax.cgi?mode=Info&amp;id=419612&amp;lvl=3&amp;lin=f&amp;keep=1&amp;srchmode=1&amp;unlock","Camelus ferus")</f>
        <v>Camelus ferus</v>
      </c>
      <c r="H121" t="s">
        <v>96</v>
      </c>
      <c r="I121" t="str">
        <f>HYPERLINK("http://www.ncbi.nlm.nih.gov/protein/XP_032330272.1","androgen receptor")</f>
        <v>androgen receptor</v>
      </c>
      <c r="J121" t="s">
        <v>1312</v>
      </c>
      <c r="K121" t="s">
        <v>20</v>
      </c>
      <c r="L121">
        <v>690</v>
      </c>
      <c r="M121" t="s">
        <v>25</v>
      </c>
      <c r="N121" t="s">
        <v>20</v>
      </c>
      <c r="O121">
        <v>696</v>
      </c>
      <c r="P121" t="s">
        <v>1313</v>
      </c>
      <c r="Q121" t="s">
        <v>20</v>
      </c>
      <c r="R121">
        <v>737</v>
      </c>
      <c r="S121" t="s">
        <v>1314</v>
      </c>
      <c r="T121" t="s">
        <v>20</v>
      </c>
      <c r="U121">
        <v>862</v>
      </c>
      <c r="V121" t="s">
        <v>1315</v>
      </c>
      <c r="W121" t="s">
        <v>20</v>
      </c>
    </row>
    <row r="122" spans="1:23" x14ac:dyDescent="0.25">
      <c r="A122">
        <v>6</v>
      </c>
      <c r="B122" t="s">
        <v>18</v>
      </c>
      <c r="C122" t="str">
        <f>HYPERLINK("http://www.ncbi.nlm.nih.gov/protein/XP_005401638.1","XP_005401638.1")</f>
        <v>XP_005401638.1</v>
      </c>
      <c r="D122">
        <v>45556</v>
      </c>
      <c r="E122" t="str">
        <f>HYPERLINK("http://www.ncbi.nlm.nih.gov/Taxonomy/Browser/wwwtax.cgi?mode=Info&amp;id=34839&amp;lvl=3&amp;lin=f&amp;keep=1&amp;srchmode=1&amp;unlock","34839")</f>
        <v>34839</v>
      </c>
      <c r="F122" t="s">
        <v>18</v>
      </c>
      <c r="G122" t="str">
        <f>HYPERLINK("http://www.ncbi.nlm.nih.gov/Taxonomy/Browser/wwwtax.cgi?mode=Info&amp;id=34839&amp;lvl=3&amp;lin=f&amp;keep=1&amp;srchmode=1&amp;unlock","Chinchilla lanigera")</f>
        <v>Chinchilla lanigera</v>
      </c>
      <c r="H122" t="s">
        <v>156</v>
      </c>
      <c r="I122" t="str">
        <f>HYPERLINK("http://www.ncbi.nlm.nih.gov/protein/XP_005401638.1","PREDICTED: androgen receptor")</f>
        <v>PREDICTED: androgen receptor</v>
      </c>
      <c r="J122" t="s">
        <v>1312</v>
      </c>
      <c r="K122" t="s">
        <v>20</v>
      </c>
      <c r="L122">
        <v>681</v>
      </c>
      <c r="M122" t="s">
        <v>25</v>
      </c>
      <c r="N122" t="s">
        <v>20</v>
      </c>
      <c r="O122">
        <v>687</v>
      </c>
      <c r="P122" t="s">
        <v>1313</v>
      </c>
      <c r="Q122" t="s">
        <v>20</v>
      </c>
      <c r="R122">
        <v>728</v>
      </c>
      <c r="S122" t="s">
        <v>1314</v>
      </c>
      <c r="T122" t="s">
        <v>20</v>
      </c>
      <c r="U122">
        <v>853</v>
      </c>
      <c r="V122" t="s">
        <v>1315</v>
      </c>
      <c r="W122" t="s">
        <v>20</v>
      </c>
    </row>
    <row r="123" spans="1:23" x14ac:dyDescent="0.25">
      <c r="A123">
        <v>6</v>
      </c>
      <c r="B123" t="s">
        <v>18</v>
      </c>
      <c r="C123" t="str">
        <f>HYPERLINK("http://www.ncbi.nlm.nih.gov/protein/XP_036268512.1","XP_036268512.1")</f>
        <v>XP_036268512.1</v>
      </c>
      <c r="D123">
        <v>93471</v>
      </c>
      <c r="E123" t="str">
        <f>HYPERLINK("http://www.ncbi.nlm.nih.gov/Taxonomy/Browser/wwwtax.cgi?mode=Info&amp;id=59472&amp;lvl=3&amp;lin=f&amp;keep=1&amp;srchmode=1&amp;unlock","59472")</f>
        <v>59472</v>
      </c>
      <c r="F123" t="s">
        <v>18</v>
      </c>
      <c r="G123" t="str">
        <f>HYPERLINK("http://www.ncbi.nlm.nih.gov/Taxonomy/Browser/wwwtax.cgi?mode=Info&amp;id=59472&amp;lvl=3&amp;lin=f&amp;keep=1&amp;srchmode=1&amp;unlock","Pipistrellus kuhlii")</f>
        <v>Pipistrellus kuhlii</v>
      </c>
      <c r="H123" t="s">
        <v>92</v>
      </c>
      <c r="I123" t="str">
        <f>HYPERLINK("http://www.ncbi.nlm.nih.gov/protein/XP_036268512.1","androgen receptor isoform X1")</f>
        <v>androgen receptor isoform X1</v>
      </c>
      <c r="J123" t="s">
        <v>1312</v>
      </c>
      <c r="K123" t="s">
        <v>20</v>
      </c>
      <c r="L123">
        <v>678</v>
      </c>
      <c r="M123" t="s">
        <v>25</v>
      </c>
      <c r="N123" t="s">
        <v>20</v>
      </c>
      <c r="O123">
        <v>684</v>
      </c>
      <c r="P123" t="s">
        <v>1313</v>
      </c>
      <c r="Q123" t="s">
        <v>20</v>
      </c>
      <c r="R123">
        <v>725</v>
      </c>
      <c r="S123" t="s">
        <v>1314</v>
      </c>
      <c r="T123" t="s">
        <v>20</v>
      </c>
      <c r="U123">
        <v>850</v>
      </c>
      <c r="V123" t="s">
        <v>1315</v>
      </c>
      <c r="W123" t="s">
        <v>20</v>
      </c>
    </row>
    <row r="124" spans="1:23" x14ac:dyDescent="0.25">
      <c r="A124">
        <v>6</v>
      </c>
      <c r="B124" t="s">
        <v>18</v>
      </c>
      <c r="C124" t="str">
        <f>HYPERLINK("http://www.ncbi.nlm.nih.gov/protein/XP_016013685.2","XP_016013685.2")</f>
        <v>XP_016013685.2</v>
      </c>
      <c r="D124">
        <v>117130</v>
      </c>
      <c r="E124" t="str">
        <f>HYPERLINK("http://www.ncbi.nlm.nih.gov/Taxonomy/Browser/wwwtax.cgi?mode=Info&amp;id=9407&amp;lvl=3&amp;lin=f&amp;keep=1&amp;srchmode=1&amp;unlock","9407")</f>
        <v>9407</v>
      </c>
      <c r="F124" t="s">
        <v>18</v>
      </c>
      <c r="G124" t="str">
        <f>HYPERLINK("http://www.ncbi.nlm.nih.gov/Taxonomy/Browser/wwwtax.cgi?mode=Info&amp;id=9407&amp;lvl=3&amp;lin=f&amp;keep=1&amp;srchmode=1&amp;unlock","Rousettus aegyptiacus")</f>
        <v>Rousettus aegyptiacus</v>
      </c>
      <c r="H124" t="s">
        <v>170</v>
      </c>
      <c r="I124" t="str">
        <f>HYPERLINK("http://www.ncbi.nlm.nih.gov/protein/XP_016013685.2","androgen receptor")</f>
        <v>androgen receptor</v>
      </c>
      <c r="J124" t="s">
        <v>1312</v>
      </c>
      <c r="K124" t="s">
        <v>20</v>
      </c>
      <c r="L124">
        <v>688</v>
      </c>
      <c r="M124" t="s">
        <v>25</v>
      </c>
      <c r="N124" t="s">
        <v>20</v>
      </c>
      <c r="O124">
        <v>694</v>
      </c>
      <c r="P124" t="s">
        <v>1313</v>
      </c>
      <c r="Q124" t="s">
        <v>20</v>
      </c>
      <c r="R124">
        <v>735</v>
      </c>
      <c r="S124" t="s">
        <v>1314</v>
      </c>
      <c r="T124" t="s">
        <v>20</v>
      </c>
      <c r="U124">
        <v>860</v>
      </c>
      <c r="V124" t="s">
        <v>1315</v>
      </c>
      <c r="W124" t="s">
        <v>20</v>
      </c>
    </row>
    <row r="125" spans="1:23" x14ac:dyDescent="0.25">
      <c r="A125">
        <v>6</v>
      </c>
      <c r="B125" t="s">
        <v>18</v>
      </c>
      <c r="C125" t="str">
        <f>HYPERLINK("http://www.ncbi.nlm.nih.gov/protein/XP_032475571.1","XP_032475571.1")</f>
        <v>XP_032475571.1</v>
      </c>
      <c r="D125">
        <v>52375</v>
      </c>
      <c r="E125" t="str">
        <f>HYPERLINK("http://www.ncbi.nlm.nih.gov/Taxonomy/Browser/wwwtax.cgi?mode=Info&amp;id=42100&amp;lvl=3&amp;lin=f&amp;keep=1&amp;srchmode=1&amp;unlock","42100")</f>
        <v>42100</v>
      </c>
      <c r="F125" t="s">
        <v>18</v>
      </c>
      <c r="G125" t="str">
        <f>HYPERLINK("http://www.ncbi.nlm.nih.gov/Taxonomy/Browser/wwwtax.cgi?mode=Info&amp;id=42100&amp;lvl=3&amp;lin=f&amp;keep=1&amp;srchmode=1&amp;unlock","Phocoena sinus")</f>
        <v>Phocoena sinus</v>
      </c>
      <c r="H125" t="s">
        <v>177</v>
      </c>
      <c r="I125" t="str">
        <f>HYPERLINK("http://www.ncbi.nlm.nih.gov/protein/XP_032475571.1","androgen receptor isoform X1")</f>
        <v>androgen receptor isoform X1</v>
      </c>
      <c r="J125" t="s">
        <v>1312</v>
      </c>
      <c r="K125" t="s">
        <v>20</v>
      </c>
      <c r="L125">
        <v>679</v>
      </c>
      <c r="M125" t="s">
        <v>25</v>
      </c>
      <c r="N125" t="s">
        <v>20</v>
      </c>
      <c r="O125">
        <v>685</v>
      </c>
      <c r="P125" t="s">
        <v>1313</v>
      </c>
      <c r="Q125" t="s">
        <v>20</v>
      </c>
      <c r="R125">
        <v>726</v>
      </c>
      <c r="S125" t="s">
        <v>1314</v>
      </c>
      <c r="T125" t="s">
        <v>20</v>
      </c>
      <c r="U125">
        <v>851</v>
      </c>
      <c r="V125" t="s">
        <v>1315</v>
      </c>
      <c r="W125" t="s">
        <v>20</v>
      </c>
    </row>
    <row r="126" spans="1:23" x14ac:dyDescent="0.25">
      <c r="A126">
        <v>6</v>
      </c>
      <c r="B126" t="s">
        <v>18</v>
      </c>
      <c r="C126" t="str">
        <f>HYPERLINK("http://www.ncbi.nlm.nih.gov/protein/XP_029096398.1","XP_029096398.1")</f>
        <v>XP_029096398.1</v>
      </c>
      <c r="D126">
        <v>65835</v>
      </c>
      <c r="E126" t="str">
        <f>HYPERLINK("http://www.ncbi.nlm.nih.gov/Taxonomy/Browser/wwwtax.cgi?mode=Info&amp;id=40151&amp;lvl=3&amp;lin=f&amp;keep=1&amp;srchmode=1&amp;unlock","40151")</f>
        <v>40151</v>
      </c>
      <c r="F126" t="s">
        <v>18</v>
      </c>
      <c r="G126" t="str">
        <f>HYPERLINK("http://www.ncbi.nlm.nih.gov/Taxonomy/Browser/wwwtax.cgi?mode=Info&amp;id=40151&amp;lvl=3&amp;lin=f&amp;keep=1&amp;srchmode=1&amp;unlock","Monodon monoceros")</f>
        <v>Monodon monoceros</v>
      </c>
      <c r="H126" t="s">
        <v>153</v>
      </c>
      <c r="I126" t="str">
        <f>HYPERLINK("http://www.ncbi.nlm.nih.gov/protein/XP_029096398.1","androgen receptor isoform X1")</f>
        <v>androgen receptor isoform X1</v>
      </c>
      <c r="J126" t="s">
        <v>1312</v>
      </c>
      <c r="K126" t="s">
        <v>20</v>
      </c>
      <c r="L126">
        <v>679</v>
      </c>
      <c r="M126" t="s">
        <v>25</v>
      </c>
      <c r="N126" t="s">
        <v>20</v>
      </c>
      <c r="O126">
        <v>685</v>
      </c>
      <c r="P126" t="s">
        <v>1313</v>
      </c>
      <c r="Q126" t="s">
        <v>20</v>
      </c>
      <c r="R126">
        <v>726</v>
      </c>
      <c r="S126" t="s">
        <v>1314</v>
      </c>
      <c r="T126" t="s">
        <v>20</v>
      </c>
      <c r="U126">
        <v>851</v>
      </c>
      <c r="V126" t="s">
        <v>1315</v>
      </c>
      <c r="W126" t="s">
        <v>20</v>
      </c>
    </row>
    <row r="127" spans="1:23" x14ac:dyDescent="0.25">
      <c r="A127">
        <v>6</v>
      </c>
      <c r="B127" t="s">
        <v>18</v>
      </c>
      <c r="C127" t="str">
        <f>HYPERLINK("http://www.ncbi.nlm.nih.gov/protein/XP_004275845.1","XP_004275845.1")</f>
        <v>XP_004275845.1</v>
      </c>
      <c r="D127">
        <v>59479</v>
      </c>
      <c r="E127" t="str">
        <f>HYPERLINK("http://www.ncbi.nlm.nih.gov/Taxonomy/Browser/wwwtax.cgi?mode=Info&amp;id=9733&amp;lvl=3&amp;lin=f&amp;keep=1&amp;srchmode=1&amp;unlock","9733")</f>
        <v>9733</v>
      </c>
      <c r="F127" t="s">
        <v>18</v>
      </c>
      <c r="G127" t="str">
        <f>HYPERLINK("http://www.ncbi.nlm.nih.gov/Taxonomy/Browser/wwwtax.cgi?mode=Info&amp;id=9733&amp;lvl=3&amp;lin=f&amp;keep=1&amp;srchmode=1&amp;unlock","Orcinus orca")</f>
        <v>Orcinus orca</v>
      </c>
      <c r="H127" t="s">
        <v>155</v>
      </c>
      <c r="I127" t="str">
        <f>HYPERLINK("http://www.ncbi.nlm.nih.gov/protein/XP_004275845.1","androgen receptor")</f>
        <v>androgen receptor</v>
      </c>
      <c r="J127" t="s">
        <v>1312</v>
      </c>
      <c r="K127" t="s">
        <v>20</v>
      </c>
      <c r="L127">
        <v>679</v>
      </c>
      <c r="M127" t="s">
        <v>25</v>
      </c>
      <c r="N127" t="s">
        <v>20</v>
      </c>
      <c r="O127">
        <v>685</v>
      </c>
      <c r="P127" t="s">
        <v>1313</v>
      </c>
      <c r="Q127" t="s">
        <v>20</v>
      </c>
      <c r="R127">
        <v>726</v>
      </c>
      <c r="S127" t="s">
        <v>1314</v>
      </c>
      <c r="T127" t="s">
        <v>20</v>
      </c>
      <c r="U127">
        <v>851</v>
      </c>
      <c r="V127" t="s">
        <v>1315</v>
      </c>
      <c r="W127" t="s">
        <v>20</v>
      </c>
    </row>
    <row r="128" spans="1:23" x14ac:dyDescent="0.25">
      <c r="A128">
        <v>6</v>
      </c>
      <c r="B128" t="s">
        <v>18</v>
      </c>
      <c r="C128" t="str">
        <f>HYPERLINK("http://www.ncbi.nlm.nih.gov/protein/XP_026949412.1","XP_026949412.1")</f>
        <v>XP_026949412.1</v>
      </c>
      <c r="D128">
        <v>54700</v>
      </c>
      <c r="E128" t="str">
        <f>HYPERLINK("http://www.ncbi.nlm.nih.gov/Taxonomy/Browser/wwwtax.cgi?mode=Info&amp;id=90247&amp;lvl=3&amp;lin=f&amp;keep=1&amp;srchmode=1&amp;unlock","90247")</f>
        <v>90247</v>
      </c>
      <c r="F128" t="s">
        <v>18</v>
      </c>
      <c r="G128" t="str">
        <f>HYPERLINK("http://www.ncbi.nlm.nih.gov/Taxonomy/Browser/wwwtax.cgi?mode=Info&amp;id=90247&amp;lvl=3&amp;lin=f&amp;keep=1&amp;srchmode=1&amp;unlock","Lagenorhynchus obliquidens")</f>
        <v>Lagenorhynchus obliquidens</v>
      </c>
      <c r="H128" t="s">
        <v>159</v>
      </c>
      <c r="I128" t="str">
        <f>HYPERLINK("http://www.ncbi.nlm.nih.gov/protein/XP_026949412.1","androgen receptor isoform X1")</f>
        <v>androgen receptor isoform X1</v>
      </c>
      <c r="J128" t="s">
        <v>1312</v>
      </c>
      <c r="K128" t="s">
        <v>20</v>
      </c>
      <c r="L128">
        <v>679</v>
      </c>
      <c r="M128" t="s">
        <v>25</v>
      </c>
      <c r="N128" t="s">
        <v>20</v>
      </c>
      <c r="O128">
        <v>685</v>
      </c>
      <c r="P128" t="s">
        <v>1313</v>
      </c>
      <c r="Q128" t="s">
        <v>20</v>
      </c>
      <c r="R128">
        <v>726</v>
      </c>
      <c r="S128" t="s">
        <v>1314</v>
      </c>
      <c r="T128" t="s">
        <v>20</v>
      </c>
      <c r="U128">
        <v>851</v>
      </c>
      <c r="V128" t="s">
        <v>1315</v>
      </c>
      <c r="W128" t="s">
        <v>20</v>
      </c>
    </row>
    <row r="129" spans="1:23" x14ac:dyDescent="0.25">
      <c r="A129">
        <v>6</v>
      </c>
      <c r="B129" t="s">
        <v>18</v>
      </c>
      <c r="C129" t="str">
        <f>HYPERLINK("http://www.ncbi.nlm.nih.gov/protein/XP_004316835.2","XP_004316835.2")</f>
        <v>XP_004316835.2</v>
      </c>
      <c r="D129">
        <v>57007</v>
      </c>
      <c r="E129" t="str">
        <f>HYPERLINK("http://www.ncbi.nlm.nih.gov/Taxonomy/Browser/wwwtax.cgi?mode=Info&amp;id=9739&amp;lvl=3&amp;lin=f&amp;keep=1&amp;srchmode=1&amp;unlock","9739")</f>
        <v>9739</v>
      </c>
      <c r="F129" t="s">
        <v>18</v>
      </c>
      <c r="G129" t="str">
        <f>HYPERLINK("http://www.ncbi.nlm.nih.gov/Taxonomy/Browser/wwwtax.cgi?mode=Info&amp;id=9739&amp;lvl=3&amp;lin=f&amp;keep=1&amp;srchmode=1&amp;unlock","Tursiops truncatus")</f>
        <v>Tursiops truncatus</v>
      </c>
      <c r="H129" t="s">
        <v>154</v>
      </c>
      <c r="I129" t="str">
        <f>HYPERLINK("http://www.ncbi.nlm.nih.gov/protein/XP_004316835.2","androgen receptor isoform X1")</f>
        <v>androgen receptor isoform X1</v>
      </c>
      <c r="J129" t="s">
        <v>1312</v>
      </c>
      <c r="K129" t="s">
        <v>20</v>
      </c>
      <c r="L129">
        <v>679</v>
      </c>
      <c r="M129" t="s">
        <v>25</v>
      </c>
      <c r="N129" t="s">
        <v>20</v>
      </c>
      <c r="O129">
        <v>685</v>
      </c>
      <c r="P129" t="s">
        <v>1313</v>
      </c>
      <c r="Q129" t="s">
        <v>20</v>
      </c>
      <c r="R129">
        <v>726</v>
      </c>
      <c r="S129" t="s">
        <v>1314</v>
      </c>
      <c r="T129" t="s">
        <v>20</v>
      </c>
      <c r="U129">
        <v>851</v>
      </c>
      <c r="V129" t="s">
        <v>1315</v>
      </c>
      <c r="W129" t="s">
        <v>20</v>
      </c>
    </row>
    <row r="130" spans="1:23" x14ac:dyDescent="0.25">
      <c r="A130">
        <v>6</v>
      </c>
      <c r="B130" t="s">
        <v>18</v>
      </c>
      <c r="C130" t="str">
        <f>HYPERLINK("http://www.ncbi.nlm.nih.gov/protein/XP_030705966.1","XP_030705966.1")</f>
        <v>XP_030705966.1</v>
      </c>
      <c r="D130">
        <v>54641</v>
      </c>
      <c r="E130" t="str">
        <f>HYPERLINK("http://www.ncbi.nlm.nih.gov/Taxonomy/Browser/wwwtax.cgi?mode=Info&amp;id=9731&amp;lvl=3&amp;lin=f&amp;keep=1&amp;srchmode=1&amp;unlock","9731")</f>
        <v>9731</v>
      </c>
      <c r="F130" t="s">
        <v>18</v>
      </c>
      <c r="G130" t="str">
        <f>HYPERLINK("http://www.ncbi.nlm.nih.gov/Taxonomy/Browser/wwwtax.cgi?mode=Info&amp;id=9731&amp;lvl=3&amp;lin=f&amp;keep=1&amp;srchmode=1&amp;unlock","Globicephala melas")</f>
        <v>Globicephala melas</v>
      </c>
      <c r="H130" t="s">
        <v>158</v>
      </c>
      <c r="I130" t="str">
        <f>HYPERLINK("http://www.ncbi.nlm.nih.gov/protein/XP_030705966.1","androgen receptor isoform X1")</f>
        <v>androgen receptor isoform X1</v>
      </c>
      <c r="J130" t="s">
        <v>1312</v>
      </c>
      <c r="K130" t="s">
        <v>20</v>
      </c>
      <c r="L130">
        <v>679</v>
      </c>
      <c r="M130" t="s">
        <v>25</v>
      </c>
      <c r="N130" t="s">
        <v>20</v>
      </c>
      <c r="O130">
        <v>685</v>
      </c>
      <c r="P130" t="s">
        <v>1313</v>
      </c>
      <c r="Q130" t="s">
        <v>20</v>
      </c>
      <c r="R130">
        <v>726</v>
      </c>
      <c r="S130" t="s">
        <v>1314</v>
      </c>
      <c r="T130" t="s">
        <v>20</v>
      </c>
      <c r="U130">
        <v>851</v>
      </c>
      <c r="V130" t="s">
        <v>1315</v>
      </c>
      <c r="W130" t="s">
        <v>20</v>
      </c>
    </row>
    <row r="131" spans="1:23" x14ac:dyDescent="0.25">
      <c r="A131">
        <v>6</v>
      </c>
      <c r="B131" t="s">
        <v>18</v>
      </c>
      <c r="C131" t="str">
        <f>HYPERLINK("http://www.ncbi.nlm.nih.gov/protein/XP_022416760.1","XP_022416760.1")</f>
        <v>XP_022416760.1</v>
      </c>
      <c r="D131">
        <v>51113</v>
      </c>
      <c r="E131" t="str">
        <f>HYPERLINK("http://www.ncbi.nlm.nih.gov/Taxonomy/Browser/wwwtax.cgi?mode=Info&amp;id=9749&amp;lvl=3&amp;lin=f&amp;keep=1&amp;srchmode=1&amp;unlock","9749")</f>
        <v>9749</v>
      </c>
      <c r="F131" t="s">
        <v>18</v>
      </c>
      <c r="G131" t="str">
        <f>HYPERLINK("http://www.ncbi.nlm.nih.gov/Taxonomy/Browser/wwwtax.cgi?mode=Info&amp;id=9749&amp;lvl=3&amp;lin=f&amp;keep=1&amp;srchmode=1&amp;unlock","Delphinapterus leucas")</f>
        <v>Delphinapterus leucas</v>
      </c>
      <c r="H131" t="s">
        <v>152</v>
      </c>
      <c r="I131" t="str">
        <f>HYPERLINK("http://www.ncbi.nlm.nih.gov/protein/XP_022416760.1","androgen receptor")</f>
        <v>androgen receptor</v>
      </c>
      <c r="J131" t="s">
        <v>1312</v>
      </c>
      <c r="K131" t="s">
        <v>20</v>
      </c>
      <c r="L131">
        <v>679</v>
      </c>
      <c r="M131" t="s">
        <v>25</v>
      </c>
      <c r="N131" t="s">
        <v>20</v>
      </c>
      <c r="O131">
        <v>685</v>
      </c>
      <c r="P131" t="s">
        <v>1313</v>
      </c>
      <c r="Q131" t="s">
        <v>20</v>
      </c>
      <c r="R131">
        <v>726</v>
      </c>
      <c r="S131" t="s">
        <v>1314</v>
      </c>
      <c r="T131" t="s">
        <v>20</v>
      </c>
      <c r="U131">
        <v>851</v>
      </c>
      <c r="V131" t="s">
        <v>1315</v>
      </c>
      <c r="W131" t="s">
        <v>20</v>
      </c>
    </row>
    <row r="132" spans="1:23" x14ac:dyDescent="0.25">
      <c r="A132">
        <v>6</v>
      </c>
      <c r="B132" t="s">
        <v>18</v>
      </c>
      <c r="C132" t="str">
        <f>HYPERLINK("http://www.ncbi.nlm.nih.gov/protein/XP_024607628.1","XP_024607628.1")</f>
        <v>XP_024607628.1</v>
      </c>
      <c r="D132">
        <v>38184</v>
      </c>
      <c r="E132" t="str">
        <f>HYPERLINK("http://www.ncbi.nlm.nih.gov/Taxonomy/Browser/wwwtax.cgi?mode=Info&amp;id=1706337&amp;lvl=3&amp;lin=f&amp;keep=1&amp;srchmode=1&amp;unlock","1706337")</f>
        <v>1706337</v>
      </c>
      <c r="F132" t="s">
        <v>18</v>
      </c>
      <c r="G132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32" t="s">
        <v>175</v>
      </c>
      <c r="I132" t="str">
        <f>HYPERLINK("http://www.ncbi.nlm.nih.gov/protein/XP_024607628.1","androgen receptor isoform X1")</f>
        <v>androgen receptor isoform X1</v>
      </c>
      <c r="J132" t="s">
        <v>1312</v>
      </c>
      <c r="K132" t="s">
        <v>20</v>
      </c>
      <c r="L132">
        <v>679</v>
      </c>
      <c r="M132" t="s">
        <v>25</v>
      </c>
      <c r="N132" t="s">
        <v>20</v>
      </c>
      <c r="O132">
        <v>685</v>
      </c>
      <c r="P132" t="s">
        <v>1313</v>
      </c>
      <c r="Q132" t="s">
        <v>20</v>
      </c>
      <c r="R132">
        <v>726</v>
      </c>
      <c r="S132" t="s">
        <v>1314</v>
      </c>
      <c r="T132" t="s">
        <v>20</v>
      </c>
      <c r="U132">
        <v>851</v>
      </c>
      <c r="V132" t="s">
        <v>1315</v>
      </c>
      <c r="W132" t="s">
        <v>20</v>
      </c>
    </row>
    <row r="133" spans="1:23" x14ac:dyDescent="0.25">
      <c r="A133">
        <v>6</v>
      </c>
      <c r="B133" t="s">
        <v>18</v>
      </c>
      <c r="C133" t="str">
        <f>HYPERLINK("http://www.ncbi.nlm.nih.gov/protein/XP_040487359.1","XP_040487359.1")</f>
        <v>XP_040487359.1</v>
      </c>
      <c r="D133">
        <v>41699</v>
      </c>
      <c r="E133" t="str">
        <f>HYPERLINK("http://www.ncbi.nlm.nih.gov/Taxonomy/Browser/wwwtax.cgi?mode=Info&amp;id=29073&amp;lvl=3&amp;lin=f&amp;keep=1&amp;srchmode=1&amp;unlock","29073")</f>
        <v>29073</v>
      </c>
      <c r="F133" t="s">
        <v>18</v>
      </c>
      <c r="G133" t="str">
        <f>HYPERLINK("http://www.ncbi.nlm.nih.gov/Taxonomy/Browser/wwwtax.cgi?mode=Info&amp;id=29073&amp;lvl=3&amp;lin=f&amp;keep=1&amp;srchmode=1&amp;unlock","Ursus maritimus")</f>
        <v>Ursus maritimus</v>
      </c>
      <c r="H133" t="s">
        <v>161</v>
      </c>
      <c r="I133" t="str">
        <f>HYPERLINK("http://www.ncbi.nlm.nih.gov/protein/XP_040487359.1","androgen receptor")</f>
        <v>androgen receptor</v>
      </c>
      <c r="J133" t="s">
        <v>1312</v>
      </c>
      <c r="K133" t="s">
        <v>20</v>
      </c>
      <c r="L133">
        <v>661</v>
      </c>
      <c r="M133" t="s">
        <v>25</v>
      </c>
      <c r="N133" t="s">
        <v>20</v>
      </c>
      <c r="O133">
        <v>667</v>
      </c>
      <c r="P133" t="s">
        <v>1313</v>
      </c>
      <c r="Q133" t="s">
        <v>20</v>
      </c>
      <c r="R133">
        <v>708</v>
      </c>
      <c r="S133" t="s">
        <v>1314</v>
      </c>
      <c r="T133" t="s">
        <v>20</v>
      </c>
      <c r="U133">
        <v>833</v>
      </c>
      <c r="V133" t="s">
        <v>1315</v>
      </c>
      <c r="W133" t="s">
        <v>20</v>
      </c>
    </row>
    <row r="134" spans="1:23" x14ac:dyDescent="0.25">
      <c r="A134">
        <v>6</v>
      </c>
      <c r="B134" t="s">
        <v>18</v>
      </c>
      <c r="C134" t="str">
        <f>HYPERLINK("http://www.ncbi.nlm.nih.gov/protein/XP_010630488.1","XP_010630488.1")</f>
        <v>XP_010630488.1</v>
      </c>
      <c r="D134">
        <v>67680</v>
      </c>
      <c r="E134" t="str">
        <f>HYPERLINK("http://www.ncbi.nlm.nih.gov/Taxonomy/Browser/wwwtax.cgi?mode=Info&amp;id=885580&amp;lvl=3&amp;lin=f&amp;keep=1&amp;srchmode=1&amp;unlock","885580")</f>
        <v>885580</v>
      </c>
      <c r="F134" t="s">
        <v>18</v>
      </c>
      <c r="G134" t="str">
        <f>HYPERLINK("http://www.ncbi.nlm.nih.gov/Taxonomy/Browser/wwwtax.cgi?mode=Info&amp;id=885580&amp;lvl=3&amp;lin=f&amp;keep=1&amp;srchmode=1&amp;unlock","Fukomys damarensis")</f>
        <v>Fukomys damarensis</v>
      </c>
      <c r="H134" t="s">
        <v>163</v>
      </c>
      <c r="I134" t="str">
        <f>HYPERLINK("http://www.ncbi.nlm.nih.gov/protein/XP_010630488.1","androgen receptor")</f>
        <v>androgen receptor</v>
      </c>
      <c r="J134" t="s">
        <v>1312</v>
      </c>
      <c r="K134" t="s">
        <v>20</v>
      </c>
      <c r="L134">
        <v>685</v>
      </c>
      <c r="M134" t="s">
        <v>25</v>
      </c>
      <c r="N134" t="s">
        <v>20</v>
      </c>
      <c r="O134">
        <v>691</v>
      </c>
      <c r="P134" t="s">
        <v>1313</v>
      </c>
      <c r="Q134" t="s">
        <v>20</v>
      </c>
      <c r="R134">
        <v>732</v>
      </c>
      <c r="S134" t="s">
        <v>1314</v>
      </c>
      <c r="T134" t="s">
        <v>20</v>
      </c>
      <c r="U134">
        <v>857</v>
      </c>
      <c r="V134" t="s">
        <v>1315</v>
      </c>
      <c r="W134" t="s">
        <v>20</v>
      </c>
    </row>
    <row r="135" spans="1:23" x14ac:dyDescent="0.25">
      <c r="A135">
        <v>6</v>
      </c>
      <c r="B135" t="s">
        <v>18</v>
      </c>
      <c r="C135" t="str">
        <f>HYPERLINK("http://www.ncbi.nlm.nih.gov/protein/XP_004615825.1","XP_004615825.1")</f>
        <v>XP_004615825.1</v>
      </c>
      <c r="D135">
        <v>24236</v>
      </c>
      <c r="E135" t="str">
        <f>HYPERLINK("http://www.ncbi.nlm.nih.gov/Taxonomy/Browser/wwwtax.cgi?mode=Info&amp;id=42254&amp;lvl=3&amp;lin=f&amp;keep=1&amp;srchmode=1&amp;unlock","42254")</f>
        <v>42254</v>
      </c>
      <c r="F135" t="s">
        <v>18</v>
      </c>
      <c r="G135" t="str">
        <f>HYPERLINK("http://www.ncbi.nlm.nih.gov/Taxonomy/Browser/wwwtax.cgi?mode=Info&amp;id=42254&amp;lvl=3&amp;lin=f&amp;keep=1&amp;srchmode=1&amp;unlock","Sorex araneus")</f>
        <v>Sorex araneus</v>
      </c>
      <c r="H135" t="s">
        <v>195</v>
      </c>
      <c r="I135" t="str">
        <f>HYPERLINK("http://www.ncbi.nlm.nih.gov/protein/XP_004615825.1","PREDICTED: androgen receptor")</f>
        <v>PREDICTED: androgen receptor</v>
      </c>
      <c r="J135" t="s">
        <v>1312</v>
      </c>
      <c r="K135" t="s">
        <v>20</v>
      </c>
      <c r="L135">
        <v>669</v>
      </c>
      <c r="M135" t="s">
        <v>25</v>
      </c>
      <c r="N135" t="s">
        <v>20</v>
      </c>
      <c r="O135">
        <v>675</v>
      </c>
      <c r="P135" t="s">
        <v>1313</v>
      </c>
      <c r="Q135" t="s">
        <v>20</v>
      </c>
      <c r="R135">
        <v>716</v>
      </c>
      <c r="S135" t="s">
        <v>1314</v>
      </c>
      <c r="T135" t="s">
        <v>20</v>
      </c>
      <c r="U135">
        <v>841</v>
      </c>
      <c r="V135" t="s">
        <v>1315</v>
      </c>
      <c r="W135" t="s">
        <v>20</v>
      </c>
    </row>
    <row r="136" spans="1:23" x14ac:dyDescent="0.25">
      <c r="A136">
        <v>6</v>
      </c>
      <c r="B136" t="s">
        <v>18</v>
      </c>
      <c r="C136" t="str">
        <f>HYPERLINK("http://www.ncbi.nlm.nih.gov/protein/XP_008579122.1","XP_008579122.1")</f>
        <v>XP_008579122.1</v>
      </c>
      <c r="D136">
        <v>32194</v>
      </c>
      <c r="E136" t="str">
        <f>HYPERLINK("http://www.ncbi.nlm.nih.gov/Taxonomy/Browser/wwwtax.cgi?mode=Info&amp;id=482537&amp;lvl=3&amp;lin=f&amp;keep=1&amp;srchmode=1&amp;unlock","482537")</f>
        <v>482537</v>
      </c>
      <c r="F136" t="s">
        <v>18</v>
      </c>
      <c r="G136" t="str">
        <f>HYPERLINK("http://www.ncbi.nlm.nih.gov/Taxonomy/Browser/wwwtax.cgi?mode=Info&amp;id=482537&amp;lvl=3&amp;lin=f&amp;keep=1&amp;srchmode=1&amp;unlock","Galeopterus variegatus")</f>
        <v>Galeopterus variegatus</v>
      </c>
      <c r="H136" t="s">
        <v>648</v>
      </c>
      <c r="I136" t="str">
        <f>HYPERLINK("http://www.ncbi.nlm.nih.gov/protein/XP_008579122.1","PREDICTED: androgen receptor")</f>
        <v>PREDICTED: androgen receptor</v>
      </c>
      <c r="J136" t="s">
        <v>1312</v>
      </c>
      <c r="K136" t="s">
        <v>25</v>
      </c>
      <c r="L136">
        <v>623</v>
      </c>
      <c r="M136" t="s">
        <v>25</v>
      </c>
      <c r="N136" t="s">
        <v>20</v>
      </c>
      <c r="O136">
        <v>629</v>
      </c>
      <c r="P136" t="s">
        <v>1313</v>
      </c>
      <c r="Q136" t="s">
        <v>20</v>
      </c>
      <c r="R136">
        <v>670</v>
      </c>
      <c r="S136" t="s">
        <v>1314</v>
      </c>
      <c r="T136" t="s">
        <v>20</v>
      </c>
      <c r="U136" t="s">
        <v>1317</v>
      </c>
      <c r="V136" t="s">
        <v>1317</v>
      </c>
      <c r="W136" t="s">
        <v>25</v>
      </c>
    </row>
    <row r="137" spans="1:23" x14ac:dyDescent="0.25">
      <c r="A137">
        <v>6</v>
      </c>
      <c r="B137" t="s">
        <v>18</v>
      </c>
      <c r="C137" t="str">
        <f>HYPERLINK("http://www.ncbi.nlm.nih.gov/protein/XP_019503520.1","XP_019503520.1")</f>
        <v>XP_019503520.1</v>
      </c>
      <c r="D137">
        <v>46132</v>
      </c>
      <c r="E137" t="str">
        <f>HYPERLINK("http://www.ncbi.nlm.nih.gov/Taxonomy/Browser/wwwtax.cgi?mode=Info&amp;id=186990&amp;lvl=3&amp;lin=f&amp;keep=1&amp;srchmode=1&amp;unlock","186990")</f>
        <v>186990</v>
      </c>
      <c r="F137" t="s">
        <v>18</v>
      </c>
      <c r="G137" t="str">
        <f>HYPERLINK("http://www.ncbi.nlm.nih.gov/Taxonomy/Browser/wwwtax.cgi?mode=Info&amp;id=186990&amp;lvl=3&amp;lin=f&amp;keep=1&amp;srchmode=1&amp;unlock","Hipposideros armiger")</f>
        <v>Hipposideros armiger</v>
      </c>
      <c r="H137" t="s">
        <v>82</v>
      </c>
      <c r="I137" t="str">
        <f>HYPERLINK("http://www.ncbi.nlm.nih.gov/protein/XP_019503520.1","PREDICTED: androgen receptor")</f>
        <v>PREDICTED: androgen receptor</v>
      </c>
      <c r="J137" t="s">
        <v>1312</v>
      </c>
      <c r="K137" t="s">
        <v>25</v>
      </c>
      <c r="L137">
        <v>678</v>
      </c>
      <c r="M137" t="s">
        <v>25</v>
      </c>
      <c r="N137" t="s">
        <v>20</v>
      </c>
      <c r="O137">
        <v>684</v>
      </c>
      <c r="P137" t="s">
        <v>1313</v>
      </c>
      <c r="Q137" t="s">
        <v>20</v>
      </c>
      <c r="R137">
        <v>728</v>
      </c>
      <c r="S137" t="s">
        <v>1318</v>
      </c>
      <c r="T137" t="s">
        <v>25</v>
      </c>
      <c r="U137">
        <v>851</v>
      </c>
      <c r="V137" t="s">
        <v>1315</v>
      </c>
      <c r="W137" t="s">
        <v>20</v>
      </c>
    </row>
    <row r="138" spans="1:23" x14ac:dyDescent="0.25">
      <c r="A138">
        <v>6</v>
      </c>
      <c r="B138" t="s">
        <v>18</v>
      </c>
      <c r="C138" t="str">
        <f>HYPERLINK("http://www.ncbi.nlm.nih.gov/protein/XP_036596279.1","XP_036596279.1")</f>
        <v>XP_036596279.1</v>
      </c>
      <c r="D138">
        <v>35972</v>
      </c>
      <c r="E138" t="str">
        <f>HYPERLINK("http://www.ncbi.nlm.nih.gov/Taxonomy/Browser/wwwtax.cgi?mode=Info&amp;id=9337&amp;lvl=3&amp;lin=f&amp;keep=1&amp;srchmode=1&amp;unlock","9337")</f>
        <v>9337</v>
      </c>
      <c r="F138" t="s">
        <v>18</v>
      </c>
      <c r="G138" t="str">
        <f>HYPERLINK("http://www.ncbi.nlm.nih.gov/Taxonomy/Browser/wwwtax.cgi?mode=Info&amp;id=9337&amp;lvl=3&amp;lin=f&amp;keep=1&amp;srchmode=1&amp;unlock","Trichosurus vulpecula")</f>
        <v>Trichosurus vulpecula</v>
      </c>
      <c r="H138" t="s">
        <v>150</v>
      </c>
      <c r="I138" t="str">
        <f>HYPERLINK("http://www.ncbi.nlm.nih.gov/protein/XP_036596279.1","androgen receptor")</f>
        <v>androgen receptor</v>
      </c>
      <c r="J138" t="s">
        <v>1312</v>
      </c>
      <c r="K138" t="s">
        <v>20</v>
      </c>
      <c r="L138">
        <v>743</v>
      </c>
      <c r="M138" t="s">
        <v>25</v>
      </c>
      <c r="N138" t="s">
        <v>20</v>
      </c>
      <c r="O138">
        <v>749</v>
      </c>
      <c r="P138" t="s">
        <v>1313</v>
      </c>
      <c r="Q138" t="s">
        <v>20</v>
      </c>
      <c r="R138">
        <v>790</v>
      </c>
      <c r="S138" t="s">
        <v>1314</v>
      </c>
      <c r="T138" t="s">
        <v>20</v>
      </c>
      <c r="U138">
        <v>915</v>
      </c>
      <c r="V138" t="s">
        <v>1315</v>
      </c>
      <c r="W138" t="s">
        <v>20</v>
      </c>
    </row>
    <row r="139" spans="1:23" x14ac:dyDescent="0.25">
      <c r="A139">
        <v>6</v>
      </c>
      <c r="B139" t="s">
        <v>18</v>
      </c>
      <c r="C139" t="str">
        <f>HYPERLINK("http://www.ncbi.nlm.nih.gov/protein/XP_031800701.1","XP_031800701.1")</f>
        <v>XP_031800701.1</v>
      </c>
      <c r="D139">
        <v>46282</v>
      </c>
      <c r="E139" t="str">
        <f>HYPERLINK("http://www.ncbi.nlm.nih.gov/Taxonomy/Browser/wwwtax.cgi?mode=Info&amp;id=9305&amp;lvl=3&amp;lin=f&amp;keep=1&amp;srchmode=1&amp;unlock","9305")</f>
        <v>9305</v>
      </c>
      <c r="F139" t="s">
        <v>18</v>
      </c>
      <c r="G139" t="str">
        <f>HYPERLINK("http://www.ncbi.nlm.nih.gov/Taxonomy/Browser/wwwtax.cgi?mode=Info&amp;id=9305&amp;lvl=3&amp;lin=f&amp;keep=1&amp;srchmode=1&amp;unlock","Sarcophilus harrisii")</f>
        <v>Sarcophilus harrisii</v>
      </c>
      <c r="H139" t="s">
        <v>122</v>
      </c>
      <c r="I139" t="str">
        <f>HYPERLINK("http://www.ncbi.nlm.nih.gov/protein/XP_031800701.1","androgen receptor")</f>
        <v>androgen receptor</v>
      </c>
      <c r="J139" t="s">
        <v>1312</v>
      </c>
      <c r="K139" t="s">
        <v>20</v>
      </c>
      <c r="L139">
        <v>742</v>
      </c>
      <c r="M139" t="s">
        <v>25</v>
      </c>
      <c r="N139" t="s">
        <v>20</v>
      </c>
      <c r="O139">
        <v>748</v>
      </c>
      <c r="P139" t="s">
        <v>1313</v>
      </c>
      <c r="Q139" t="s">
        <v>20</v>
      </c>
      <c r="R139">
        <v>789</v>
      </c>
      <c r="S139" t="s">
        <v>1314</v>
      </c>
      <c r="T139" t="s">
        <v>20</v>
      </c>
      <c r="U139">
        <v>914</v>
      </c>
      <c r="V139" t="s">
        <v>1315</v>
      </c>
      <c r="W139" t="s">
        <v>20</v>
      </c>
    </row>
    <row r="140" spans="1:23" x14ac:dyDescent="0.25">
      <c r="A140">
        <v>6</v>
      </c>
      <c r="B140" t="s">
        <v>18</v>
      </c>
      <c r="C140" t="str">
        <f>HYPERLINK("http://www.ncbi.nlm.nih.gov/protein/XP_007507022.1","XP_007507022.1")</f>
        <v>XP_007507022.1</v>
      </c>
      <c r="D140">
        <v>51257</v>
      </c>
      <c r="E140" t="str">
        <f>HYPERLINK("http://www.ncbi.nlm.nih.gov/Taxonomy/Browser/wwwtax.cgi?mode=Info&amp;id=13616&amp;lvl=3&amp;lin=f&amp;keep=1&amp;srchmode=1&amp;unlock","13616")</f>
        <v>13616</v>
      </c>
      <c r="F140" t="s">
        <v>18</v>
      </c>
      <c r="G140" t="str">
        <f>HYPERLINK("http://www.ncbi.nlm.nih.gov/Taxonomy/Browser/wwwtax.cgi?mode=Info&amp;id=13616&amp;lvl=3&amp;lin=f&amp;keep=1&amp;srchmode=1&amp;unlock","Monodelphis domestica")</f>
        <v>Monodelphis domestica</v>
      </c>
      <c r="H140" t="s">
        <v>638</v>
      </c>
      <c r="I140" t="str">
        <f>HYPERLINK("http://www.ncbi.nlm.nih.gov/protein/XP_007507022.1","PREDICTED: androgen receptor")</f>
        <v>PREDICTED: androgen receptor</v>
      </c>
      <c r="J140" t="s">
        <v>1312</v>
      </c>
      <c r="K140" t="s">
        <v>20</v>
      </c>
      <c r="L140">
        <v>746</v>
      </c>
      <c r="M140" t="s">
        <v>25</v>
      </c>
      <c r="N140" t="s">
        <v>20</v>
      </c>
      <c r="O140">
        <v>752</v>
      </c>
      <c r="P140" t="s">
        <v>1313</v>
      </c>
      <c r="Q140" t="s">
        <v>20</v>
      </c>
      <c r="R140">
        <v>793</v>
      </c>
      <c r="S140" t="s">
        <v>1314</v>
      </c>
      <c r="T140" t="s">
        <v>20</v>
      </c>
      <c r="U140">
        <v>918</v>
      </c>
      <c r="V140" t="s">
        <v>1315</v>
      </c>
      <c r="W140" t="s">
        <v>20</v>
      </c>
    </row>
    <row r="141" spans="1:23" x14ac:dyDescent="0.25">
      <c r="A141">
        <v>6</v>
      </c>
      <c r="B141" t="s">
        <v>18</v>
      </c>
      <c r="C141" t="str">
        <f>HYPERLINK("http://www.ncbi.nlm.nih.gov/protein/XP_038604381.1","XP_038604381.1")</f>
        <v>XP_038604381.1</v>
      </c>
      <c r="D141">
        <v>33527</v>
      </c>
      <c r="E141" t="str">
        <f>HYPERLINK("http://www.ncbi.nlm.nih.gov/Taxonomy/Browser/wwwtax.cgi?mode=Info&amp;id=9261&amp;lvl=3&amp;lin=f&amp;keep=1&amp;srchmode=1&amp;unlock","9261")</f>
        <v>9261</v>
      </c>
      <c r="F141" t="s">
        <v>18</v>
      </c>
      <c r="G141" t="str">
        <f>HYPERLINK("http://www.ncbi.nlm.nih.gov/Taxonomy/Browser/wwwtax.cgi?mode=Info&amp;id=9261&amp;lvl=3&amp;lin=f&amp;keep=1&amp;srchmode=1&amp;unlock","Tachyglossus aculeatus")</f>
        <v>Tachyglossus aculeatus</v>
      </c>
      <c r="H141" t="s">
        <v>166</v>
      </c>
      <c r="I141" t="str">
        <f>HYPERLINK("http://www.ncbi.nlm.nih.gov/protein/XP_038604381.1","androgen receptor isoform X1")</f>
        <v>androgen receptor isoform X1</v>
      </c>
      <c r="J141" t="s">
        <v>1312</v>
      </c>
      <c r="K141" t="s">
        <v>20</v>
      </c>
      <c r="L141">
        <v>605</v>
      </c>
      <c r="M141" t="s">
        <v>25</v>
      </c>
      <c r="N141" t="s">
        <v>20</v>
      </c>
      <c r="O141">
        <v>611</v>
      </c>
      <c r="P141" t="s">
        <v>1313</v>
      </c>
      <c r="Q141" t="s">
        <v>20</v>
      </c>
      <c r="R141">
        <v>652</v>
      </c>
      <c r="S141" t="s">
        <v>1314</v>
      </c>
      <c r="T141" t="s">
        <v>20</v>
      </c>
      <c r="U141">
        <v>777</v>
      </c>
      <c r="V141" t="s">
        <v>1315</v>
      </c>
      <c r="W141" t="s">
        <v>20</v>
      </c>
    </row>
    <row r="142" spans="1:23" x14ac:dyDescent="0.25">
      <c r="A142">
        <v>6</v>
      </c>
      <c r="B142" t="s">
        <v>18</v>
      </c>
      <c r="C142" t="str">
        <f>HYPERLINK("http://www.ncbi.nlm.nih.gov/protein/XP_007077225.1","XP_007077225.1")</f>
        <v>XP_007077225.1</v>
      </c>
      <c r="D142">
        <v>29960</v>
      </c>
      <c r="E142" t="str">
        <f>HYPERLINK("http://www.ncbi.nlm.nih.gov/Taxonomy/Browser/wwwtax.cgi?mode=Info&amp;id=74533&amp;lvl=3&amp;lin=f&amp;keep=1&amp;srchmode=1&amp;unlock","74533")</f>
        <v>74533</v>
      </c>
      <c r="F142" t="s">
        <v>18</v>
      </c>
      <c r="G142" t="str">
        <f>HYPERLINK("http://www.ncbi.nlm.nih.gov/Taxonomy/Browser/wwwtax.cgi?mode=Info&amp;id=74533&amp;lvl=3&amp;lin=f&amp;keep=1&amp;srchmode=1&amp;unlock","Panthera tigris altaica")</f>
        <v>Panthera tigris altaica</v>
      </c>
      <c r="H142" t="s">
        <v>74</v>
      </c>
      <c r="I142" t="str">
        <f>HYPERLINK("http://www.ncbi.nlm.nih.gov/protein/XP_007077225.1","PREDICTED: androgen receptor")</f>
        <v>PREDICTED: androgen receptor</v>
      </c>
      <c r="J142" t="s">
        <v>1312</v>
      </c>
      <c r="K142" t="s">
        <v>20</v>
      </c>
      <c r="L142">
        <v>422</v>
      </c>
      <c r="M142" t="s">
        <v>25</v>
      </c>
      <c r="N142" t="s">
        <v>20</v>
      </c>
      <c r="O142">
        <v>428</v>
      </c>
      <c r="P142" t="s">
        <v>1313</v>
      </c>
      <c r="Q142" t="s">
        <v>20</v>
      </c>
      <c r="R142">
        <v>469</v>
      </c>
      <c r="S142" t="s">
        <v>1314</v>
      </c>
      <c r="T142" t="s">
        <v>20</v>
      </c>
      <c r="U142">
        <v>594</v>
      </c>
      <c r="V142" t="s">
        <v>1315</v>
      </c>
      <c r="W142" t="s">
        <v>20</v>
      </c>
    </row>
    <row r="143" spans="1:23" x14ac:dyDescent="0.25">
      <c r="A143">
        <v>6</v>
      </c>
      <c r="B143" t="s">
        <v>18</v>
      </c>
      <c r="C143" t="str">
        <f>HYPERLINK("http://www.ncbi.nlm.nih.gov/protein/VFV46928.1","VFV46928.1")</f>
        <v>VFV46928.1</v>
      </c>
      <c r="D143">
        <v>31243</v>
      </c>
      <c r="E143" t="str">
        <f>HYPERLINK("http://www.ncbi.nlm.nih.gov/Taxonomy/Browser/wwwtax.cgi?mode=Info&amp;id=191816&amp;lvl=3&amp;lin=f&amp;keep=1&amp;srchmode=1&amp;unlock","191816")</f>
        <v>191816</v>
      </c>
      <c r="F143" t="s">
        <v>18</v>
      </c>
      <c r="G143" t="str">
        <f>HYPERLINK("http://www.ncbi.nlm.nih.gov/Taxonomy/Browser/wwwtax.cgi?mode=Info&amp;id=191816&amp;lvl=3&amp;lin=f&amp;keep=1&amp;srchmode=1&amp;unlock","Lynx pardinus")</f>
        <v>Lynx pardinus</v>
      </c>
      <c r="H143" t="s">
        <v>72</v>
      </c>
      <c r="I143" t="str">
        <f>HYPERLINK("http://www.ncbi.nlm.nih.gov/protein/VFV46928.1","androgen receptor")</f>
        <v>androgen receptor</v>
      </c>
      <c r="J143" t="s">
        <v>1312</v>
      </c>
      <c r="K143" t="s">
        <v>20</v>
      </c>
      <c r="L143">
        <v>660</v>
      </c>
      <c r="M143" t="s">
        <v>25</v>
      </c>
      <c r="N143" t="s">
        <v>20</v>
      </c>
      <c r="O143">
        <v>666</v>
      </c>
      <c r="P143" t="s">
        <v>1313</v>
      </c>
      <c r="Q143" t="s">
        <v>20</v>
      </c>
      <c r="R143">
        <v>707</v>
      </c>
      <c r="S143" t="s">
        <v>1314</v>
      </c>
      <c r="T143" t="s">
        <v>20</v>
      </c>
      <c r="U143">
        <v>832</v>
      </c>
      <c r="V143" t="s">
        <v>1315</v>
      </c>
      <c r="W143" t="s">
        <v>20</v>
      </c>
    </row>
    <row r="144" spans="1:23" x14ac:dyDescent="0.25">
      <c r="A144">
        <v>6</v>
      </c>
      <c r="B144" t="s">
        <v>18</v>
      </c>
      <c r="C144" t="str">
        <f>HYPERLINK("http://www.ncbi.nlm.nih.gov/protein/XP_031224355.1","XP_031224355.1")</f>
        <v>XP_031224355.1</v>
      </c>
      <c r="D144">
        <v>54478</v>
      </c>
      <c r="E144" t="str">
        <f>HYPERLINK("http://www.ncbi.nlm.nih.gov/Taxonomy/Browser/wwwtax.cgi?mode=Info&amp;id=35658&amp;lvl=3&amp;lin=f&amp;keep=1&amp;srchmode=1&amp;unlock","35658")</f>
        <v>35658</v>
      </c>
      <c r="F144" t="s">
        <v>18</v>
      </c>
      <c r="G144" t="str">
        <f>HYPERLINK("http://www.ncbi.nlm.nih.gov/Taxonomy/Browser/wwwtax.cgi?mode=Info&amp;id=35658&amp;lvl=3&amp;lin=f&amp;keep=1&amp;srchmode=1&amp;unlock","Mastomys coucha")</f>
        <v>Mastomys coucha</v>
      </c>
      <c r="H144" t="s">
        <v>127</v>
      </c>
      <c r="I144" t="str">
        <f>HYPERLINK("http://www.ncbi.nlm.nih.gov/protein/XP_031224355.1","androgen receptor")</f>
        <v>androgen receptor</v>
      </c>
      <c r="J144" t="s">
        <v>1312</v>
      </c>
      <c r="K144" t="s">
        <v>20</v>
      </c>
      <c r="L144">
        <v>305</v>
      </c>
      <c r="M144" t="s">
        <v>25</v>
      </c>
      <c r="N144" t="s">
        <v>20</v>
      </c>
      <c r="O144">
        <v>311</v>
      </c>
      <c r="P144" t="s">
        <v>1313</v>
      </c>
      <c r="Q144" t="s">
        <v>20</v>
      </c>
      <c r="R144">
        <v>352</v>
      </c>
      <c r="S144" t="s">
        <v>1314</v>
      </c>
      <c r="T144" t="s">
        <v>20</v>
      </c>
      <c r="U144">
        <v>477</v>
      </c>
      <c r="V144" t="s">
        <v>1315</v>
      </c>
      <c r="W144" t="s">
        <v>20</v>
      </c>
    </row>
    <row r="145" spans="1:23" x14ac:dyDescent="0.25">
      <c r="A145">
        <v>6</v>
      </c>
      <c r="B145" t="s">
        <v>18</v>
      </c>
      <c r="C145" t="str">
        <f>HYPERLINK("http://www.ncbi.nlm.nih.gov/protein/XP_030886033.1","XP_030886033.1")</f>
        <v>XP_030886033.1</v>
      </c>
      <c r="D145">
        <v>40472</v>
      </c>
      <c r="E145" t="str">
        <f>HYPERLINK("http://www.ncbi.nlm.nih.gov/Taxonomy/Browser/wwwtax.cgi?mode=Info&amp;id=9713&amp;lvl=3&amp;lin=f&amp;keep=1&amp;srchmode=1&amp;unlock","9713")</f>
        <v>9713</v>
      </c>
      <c r="F145" t="s">
        <v>18</v>
      </c>
      <c r="G145" t="str">
        <f>HYPERLINK("http://www.ncbi.nlm.nih.gov/Taxonomy/Browser/wwwtax.cgi?mode=Info&amp;id=9713&amp;lvl=3&amp;lin=f&amp;keep=1&amp;srchmode=1&amp;unlock","Leptonychotes weddellii")</f>
        <v>Leptonychotes weddellii</v>
      </c>
      <c r="H145" t="s">
        <v>49</v>
      </c>
      <c r="I145" t="str">
        <f>HYPERLINK("http://www.ncbi.nlm.nih.gov/protein/XP_030886033.1","androgen receptor-like")</f>
        <v>androgen receptor-like</v>
      </c>
      <c r="J145" t="s">
        <v>1312</v>
      </c>
      <c r="K145" t="s">
        <v>25</v>
      </c>
      <c r="L145" t="s">
        <v>1317</v>
      </c>
      <c r="M145" t="s">
        <v>1317</v>
      </c>
      <c r="N145" t="s">
        <v>25</v>
      </c>
      <c r="O145" t="s">
        <v>1317</v>
      </c>
      <c r="P145" t="s">
        <v>1317</v>
      </c>
      <c r="Q145" t="s">
        <v>25</v>
      </c>
      <c r="R145" t="s">
        <v>1317</v>
      </c>
      <c r="S145" t="s">
        <v>1317</v>
      </c>
      <c r="T145" t="s">
        <v>25</v>
      </c>
      <c r="U145" t="s">
        <v>1317</v>
      </c>
      <c r="V145" t="s">
        <v>1317</v>
      </c>
      <c r="W145" t="s">
        <v>25</v>
      </c>
    </row>
    <row r="146" spans="1:23" x14ac:dyDescent="0.25">
      <c r="A146">
        <v>6</v>
      </c>
      <c r="B146" t="s">
        <v>18</v>
      </c>
      <c r="C146" t="str">
        <f>HYPERLINK("http://www.ncbi.nlm.nih.gov/protein/XP_007534618.1","XP_007534618.1")</f>
        <v>XP_007534618.1</v>
      </c>
      <c r="D146">
        <v>29636</v>
      </c>
      <c r="E146" t="str">
        <f>HYPERLINK("http://www.ncbi.nlm.nih.gov/Taxonomy/Browser/wwwtax.cgi?mode=Info&amp;id=9365&amp;lvl=3&amp;lin=f&amp;keep=1&amp;srchmode=1&amp;unlock","9365")</f>
        <v>9365</v>
      </c>
      <c r="F146" t="s">
        <v>18</v>
      </c>
      <c r="G146" t="str">
        <f>HYPERLINK("http://www.ncbi.nlm.nih.gov/Taxonomy/Browser/wwwtax.cgi?mode=Info&amp;id=9365&amp;lvl=3&amp;lin=f&amp;keep=1&amp;srchmode=1&amp;unlock","Erinaceus europaeus")</f>
        <v>Erinaceus europaeus</v>
      </c>
      <c r="H146" t="s">
        <v>105</v>
      </c>
      <c r="I146" t="str">
        <f>HYPERLINK("http://www.ncbi.nlm.nih.gov/protein/XP_007534618.1","PREDICTED: androgen receptor")</f>
        <v>PREDICTED: androgen receptor</v>
      </c>
      <c r="J146" t="s">
        <v>1312</v>
      </c>
      <c r="K146" t="s">
        <v>20</v>
      </c>
      <c r="L146">
        <v>178</v>
      </c>
      <c r="M146" t="s">
        <v>25</v>
      </c>
      <c r="N146" t="s">
        <v>20</v>
      </c>
      <c r="O146">
        <v>184</v>
      </c>
      <c r="P146" t="s">
        <v>1313</v>
      </c>
      <c r="Q146" t="s">
        <v>20</v>
      </c>
      <c r="R146">
        <v>225</v>
      </c>
      <c r="S146" t="s">
        <v>1314</v>
      </c>
      <c r="T146" t="s">
        <v>20</v>
      </c>
      <c r="U146">
        <v>350</v>
      </c>
      <c r="V146" t="s">
        <v>1315</v>
      </c>
      <c r="W146" t="s">
        <v>20</v>
      </c>
    </row>
    <row r="147" spans="1:23" x14ac:dyDescent="0.25">
      <c r="A147">
        <v>6</v>
      </c>
      <c r="B147" t="s">
        <v>18</v>
      </c>
      <c r="C147" t="str">
        <f>HYPERLINK("http://www.ncbi.nlm.nih.gov/protein/XP_025715214.1","XP_025715214.1")</f>
        <v>XP_025715214.1</v>
      </c>
      <c r="D147">
        <v>46265</v>
      </c>
      <c r="E147" t="str">
        <f>HYPERLINK("http://www.ncbi.nlm.nih.gov/Taxonomy/Browser/wwwtax.cgi?mode=Info&amp;id=34884&amp;lvl=3&amp;lin=f&amp;keep=1&amp;srchmode=1&amp;unlock","34884")</f>
        <v>34884</v>
      </c>
      <c r="F147" t="s">
        <v>18</v>
      </c>
      <c r="G147" t="str">
        <f>HYPERLINK("http://www.ncbi.nlm.nih.gov/Taxonomy/Browser/wwwtax.cgi?mode=Info&amp;id=34884&amp;lvl=3&amp;lin=f&amp;keep=1&amp;srchmode=1&amp;unlock","Callorhinus ursinus")</f>
        <v>Callorhinus ursinus</v>
      </c>
      <c r="H147" t="s">
        <v>59</v>
      </c>
      <c r="I147" t="str">
        <f>HYPERLINK("http://www.ncbi.nlm.nih.gov/protein/XP_025715214.1","androgen receptor-like")</f>
        <v>androgen receptor-like</v>
      </c>
      <c r="J147" t="s">
        <v>1312</v>
      </c>
      <c r="K147" t="s">
        <v>20</v>
      </c>
      <c r="L147">
        <v>211</v>
      </c>
      <c r="M147" t="s">
        <v>25</v>
      </c>
      <c r="N147" t="s">
        <v>20</v>
      </c>
      <c r="O147">
        <v>217</v>
      </c>
      <c r="P147" t="s">
        <v>1313</v>
      </c>
      <c r="Q147" t="s">
        <v>20</v>
      </c>
      <c r="R147">
        <v>258</v>
      </c>
      <c r="S147" t="s">
        <v>1314</v>
      </c>
      <c r="T147" t="s">
        <v>20</v>
      </c>
      <c r="U147">
        <v>383</v>
      </c>
      <c r="V147" t="s">
        <v>1315</v>
      </c>
      <c r="W147" t="s">
        <v>20</v>
      </c>
    </row>
    <row r="148" spans="1:23" x14ac:dyDescent="0.25">
      <c r="A148">
        <v>6</v>
      </c>
      <c r="B148" t="s">
        <v>18</v>
      </c>
      <c r="C148" t="str">
        <f>HYPERLINK("http://www.ncbi.nlm.nih.gov/protein/XP_025789612.1","XP_025789612.1")</f>
        <v>XP_025789612.1</v>
      </c>
      <c r="D148">
        <v>23617</v>
      </c>
      <c r="E148" t="str">
        <f>HYPERLINK("http://www.ncbi.nlm.nih.gov/Taxonomy/Browser/wwwtax.cgi?mode=Info&amp;id=9696&amp;lvl=3&amp;lin=f&amp;keep=1&amp;srchmode=1&amp;unlock","9696")</f>
        <v>9696</v>
      </c>
      <c r="F148" t="s">
        <v>18</v>
      </c>
      <c r="G148" t="str">
        <f>HYPERLINK("http://www.ncbi.nlm.nih.gov/Taxonomy/Browser/wwwtax.cgi?mode=Info&amp;id=9696&amp;lvl=3&amp;lin=f&amp;keep=1&amp;srchmode=1&amp;unlock","Puma concolor")</f>
        <v>Puma concolor</v>
      </c>
      <c r="H148" t="s">
        <v>64</v>
      </c>
      <c r="I148" t="str">
        <f>HYPERLINK("http://www.ncbi.nlm.nih.gov/protein/XP_025789612.1","androgen receptor")</f>
        <v>androgen receptor</v>
      </c>
      <c r="J148" t="s">
        <v>1312</v>
      </c>
      <c r="K148" t="s">
        <v>20</v>
      </c>
      <c r="L148">
        <v>177</v>
      </c>
      <c r="M148" t="s">
        <v>25</v>
      </c>
      <c r="N148" t="s">
        <v>20</v>
      </c>
      <c r="O148">
        <v>183</v>
      </c>
      <c r="P148" t="s">
        <v>1313</v>
      </c>
      <c r="Q148" t="s">
        <v>20</v>
      </c>
      <c r="R148">
        <v>224</v>
      </c>
      <c r="S148" t="s">
        <v>1314</v>
      </c>
      <c r="T148" t="s">
        <v>20</v>
      </c>
      <c r="U148">
        <v>349</v>
      </c>
      <c r="V148" t="s">
        <v>1315</v>
      </c>
      <c r="W148" t="s">
        <v>20</v>
      </c>
    </row>
    <row r="149" spans="1:23" x14ac:dyDescent="0.25">
      <c r="A149">
        <v>6</v>
      </c>
      <c r="B149" t="s">
        <v>18</v>
      </c>
      <c r="C149" t="str">
        <f>HYPERLINK("http://www.ncbi.nlm.nih.gov/protein/XP_020762611.1","XP_020762611.1")</f>
        <v>XP_020762611.1</v>
      </c>
      <c r="D149">
        <v>48218</v>
      </c>
      <c r="E149" t="str">
        <f>HYPERLINK("http://www.ncbi.nlm.nih.gov/Taxonomy/Browser/wwwtax.cgi?mode=Info&amp;id=9880&amp;lvl=3&amp;lin=f&amp;keep=1&amp;srchmode=1&amp;unlock","9880")</f>
        <v>9880</v>
      </c>
      <c r="F149" t="s">
        <v>18</v>
      </c>
      <c r="G149" t="str">
        <f>HYPERLINK("http://www.ncbi.nlm.nih.gov/Taxonomy/Browser/wwwtax.cgi?mode=Info&amp;id=9880&amp;lvl=3&amp;lin=f&amp;keep=1&amp;srchmode=1&amp;unlock","Odocoileus virginianus texanus")</f>
        <v>Odocoileus virginianus texanus</v>
      </c>
      <c r="H149" t="s">
        <v>101</v>
      </c>
      <c r="I149" t="str">
        <f>HYPERLINK("http://www.ncbi.nlm.nih.gov/protein/XP_020762611.1","androgen receptor")</f>
        <v>androgen receptor</v>
      </c>
      <c r="J149" t="s">
        <v>1312</v>
      </c>
      <c r="K149" t="s">
        <v>20</v>
      </c>
      <c r="L149">
        <v>198</v>
      </c>
      <c r="M149" t="s">
        <v>25</v>
      </c>
      <c r="N149" t="s">
        <v>20</v>
      </c>
      <c r="O149">
        <v>204</v>
      </c>
      <c r="P149" t="s">
        <v>1313</v>
      </c>
      <c r="Q149" t="s">
        <v>20</v>
      </c>
      <c r="R149">
        <v>245</v>
      </c>
      <c r="S149" t="s">
        <v>1314</v>
      </c>
      <c r="T149" t="s">
        <v>20</v>
      </c>
      <c r="U149">
        <v>370</v>
      </c>
      <c r="V149" t="s">
        <v>1315</v>
      </c>
      <c r="W149" t="s">
        <v>20</v>
      </c>
    </row>
    <row r="150" spans="1:23" x14ac:dyDescent="0.25">
      <c r="A150">
        <v>6</v>
      </c>
      <c r="B150" t="s">
        <v>18</v>
      </c>
      <c r="C150" t="str">
        <f>HYPERLINK("http://www.ncbi.nlm.nih.gov/protein/XP_006774533.1","XP_006774533.1")</f>
        <v>XP_006774533.1</v>
      </c>
      <c r="D150">
        <v>48733</v>
      </c>
      <c r="E150" t="str">
        <f>HYPERLINK("http://www.ncbi.nlm.nih.gov/Taxonomy/Browser/wwwtax.cgi?mode=Info&amp;id=225400&amp;lvl=3&amp;lin=f&amp;keep=1&amp;srchmode=1&amp;unlock","225400")</f>
        <v>225400</v>
      </c>
      <c r="F150" t="s">
        <v>18</v>
      </c>
      <c r="G150" t="str">
        <f>HYPERLINK("http://www.ncbi.nlm.nih.gov/Taxonomy/Browser/wwwtax.cgi?mode=Info&amp;id=225400&amp;lvl=3&amp;lin=f&amp;keep=1&amp;srchmode=1&amp;unlock","Myotis davidii")</f>
        <v>Myotis davidii</v>
      </c>
      <c r="H150" t="s">
        <v>77</v>
      </c>
      <c r="I150" t="str">
        <f>HYPERLINK("http://www.ncbi.nlm.nih.gov/protein/XP_006774533.1","PREDICTED: androgen receptor")</f>
        <v>PREDICTED: androgen receptor</v>
      </c>
      <c r="J150" t="s">
        <v>1312</v>
      </c>
      <c r="K150" t="s">
        <v>20</v>
      </c>
      <c r="L150">
        <v>179</v>
      </c>
      <c r="M150" t="s">
        <v>25</v>
      </c>
      <c r="N150" t="s">
        <v>20</v>
      </c>
      <c r="O150">
        <v>185</v>
      </c>
      <c r="P150" t="s">
        <v>1313</v>
      </c>
      <c r="Q150" t="s">
        <v>20</v>
      </c>
      <c r="R150">
        <v>226</v>
      </c>
      <c r="S150" t="s">
        <v>1314</v>
      </c>
      <c r="T150" t="s">
        <v>20</v>
      </c>
      <c r="U150">
        <v>351</v>
      </c>
      <c r="V150" t="s">
        <v>1315</v>
      </c>
      <c r="W150" t="s">
        <v>20</v>
      </c>
    </row>
    <row r="151" spans="1:23" x14ac:dyDescent="0.25">
      <c r="A151">
        <v>6</v>
      </c>
      <c r="B151" t="s">
        <v>18</v>
      </c>
      <c r="C151" t="str">
        <f>HYPERLINK("http://www.ncbi.nlm.nih.gov/protein/XP_027694876.1","XP_027694876.1")</f>
        <v>XP_027694876.1</v>
      </c>
      <c r="D151">
        <v>42741</v>
      </c>
      <c r="E151" t="str">
        <f>HYPERLINK("http://www.ncbi.nlm.nih.gov/Taxonomy/Browser/wwwtax.cgi?mode=Info&amp;id=29139&amp;lvl=3&amp;lin=f&amp;keep=1&amp;srchmode=1&amp;unlock","29139")</f>
        <v>29139</v>
      </c>
      <c r="F151" t="s">
        <v>18</v>
      </c>
      <c r="G151" t="str">
        <f>HYPERLINK("http://www.ncbi.nlm.nih.gov/Taxonomy/Browser/wwwtax.cgi?mode=Info&amp;id=29139&amp;lvl=3&amp;lin=f&amp;keep=1&amp;srchmode=1&amp;unlock","Vombatus ursinus")</f>
        <v>Vombatus ursinus</v>
      </c>
      <c r="H151" t="s">
        <v>181</v>
      </c>
      <c r="I151" t="str">
        <f>HYPERLINK("http://www.ncbi.nlm.nih.gov/protein/XP_027694876.1","androgen receptor")</f>
        <v>androgen receptor</v>
      </c>
      <c r="J151" t="s">
        <v>1312</v>
      </c>
      <c r="K151" t="s">
        <v>20</v>
      </c>
      <c r="L151">
        <v>169</v>
      </c>
      <c r="M151" t="s">
        <v>25</v>
      </c>
      <c r="N151" t="s">
        <v>20</v>
      </c>
      <c r="O151">
        <v>175</v>
      </c>
      <c r="P151" t="s">
        <v>1313</v>
      </c>
      <c r="Q151" t="s">
        <v>20</v>
      </c>
      <c r="R151">
        <v>216</v>
      </c>
      <c r="S151" t="s">
        <v>1314</v>
      </c>
      <c r="T151" t="s">
        <v>20</v>
      </c>
      <c r="U151">
        <v>341</v>
      </c>
      <c r="V151" t="s">
        <v>1315</v>
      </c>
      <c r="W151" t="s">
        <v>20</v>
      </c>
    </row>
    <row r="152" spans="1:23" x14ac:dyDescent="0.25">
      <c r="A152">
        <v>6</v>
      </c>
      <c r="B152" t="s">
        <v>18</v>
      </c>
      <c r="C152" t="str">
        <f>HYPERLINK("http://www.ncbi.nlm.nih.gov/protein/XP_015442220.1","XP_015442220.1")</f>
        <v>XP_015442220.1</v>
      </c>
      <c r="D152">
        <v>59367</v>
      </c>
      <c r="E152" t="str">
        <f>HYPERLINK("http://www.ncbi.nlm.nih.gov/Taxonomy/Browser/wwwtax.cgi?mode=Info&amp;id=9402&amp;lvl=3&amp;lin=f&amp;keep=1&amp;srchmode=1&amp;unlock","9402")</f>
        <v>9402</v>
      </c>
      <c r="F152" t="s">
        <v>18</v>
      </c>
      <c r="G152" t="str">
        <f>HYPERLINK("http://www.ncbi.nlm.nih.gov/Taxonomy/Browser/wwwtax.cgi?mode=Info&amp;id=9402&amp;lvl=3&amp;lin=f&amp;keep=1&amp;srchmode=1&amp;unlock","Pteropus alecto")</f>
        <v>Pteropus alecto</v>
      </c>
      <c r="H152" t="s">
        <v>100</v>
      </c>
      <c r="I152" t="str">
        <f>HYPERLINK("http://www.ncbi.nlm.nih.gov/protein/XP_015442220.1","androgen receptor")</f>
        <v>androgen receptor</v>
      </c>
      <c r="J152" t="s">
        <v>1312</v>
      </c>
      <c r="K152" t="s">
        <v>20</v>
      </c>
      <c r="L152">
        <v>291</v>
      </c>
      <c r="M152" t="s">
        <v>25</v>
      </c>
      <c r="N152" t="s">
        <v>20</v>
      </c>
      <c r="O152">
        <v>297</v>
      </c>
      <c r="P152" t="s">
        <v>1313</v>
      </c>
      <c r="Q152" t="s">
        <v>20</v>
      </c>
      <c r="R152">
        <v>338</v>
      </c>
      <c r="S152" t="s">
        <v>1314</v>
      </c>
      <c r="T152" t="s">
        <v>20</v>
      </c>
      <c r="U152">
        <v>463</v>
      </c>
      <c r="V152" t="s">
        <v>1315</v>
      </c>
      <c r="W152" t="s">
        <v>20</v>
      </c>
    </row>
    <row r="153" spans="1:23" x14ac:dyDescent="0.25">
      <c r="A153">
        <v>6</v>
      </c>
      <c r="B153" t="s">
        <v>18</v>
      </c>
      <c r="C153" t="str">
        <f>HYPERLINK("http://www.ncbi.nlm.nih.gov/protein/XP_036891293.1","XP_036891293.1")</f>
        <v>XP_036891293.1</v>
      </c>
      <c r="D153">
        <v>43557</v>
      </c>
      <c r="E153" t="str">
        <f>HYPERLINK("http://www.ncbi.nlm.nih.gov/Taxonomy/Browser/wwwtax.cgi?mode=Info&amp;id=192404&amp;lvl=3&amp;lin=f&amp;keep=1&amp;srchmode=1&amp;unlock","192404")</f>
        <v>192404</v>
      </c>
      <c r="F153" t="s">
        <v>18</v>
      </c>
      <c r="G153" t="str">
        <f>HYPERLINK("http://www.ncbi.nlm.nih.gov/Taxonomy/Browser/wwwtax.cgi?mode=Info&amp;id=192404&amp;lvl=3&amp;lin=f&amp;keep=1&amp;srchmode=1&amp;unlock","Sturnira hondurensis")</f>
        <v>Sturnira hondurensis</v>
      </c>
      <c r="H153" t="s">
        <v>111</v>
      </c>
      <c r="I153" t="str">
        <f>HYPERLINK("http://www.ncbi.nlm.nih.gov/protein/XP_036891293.1","androgen receptor-like isoform X1")</f>
        <v>androgen receptor-like isoform X1</v>
      </c>
      <c r="J153" t="s">
        <v>1312</v>
      </c>
      <c r="K153" t="s">
        <v>25</v>
      </c>
      <c r="L153" t="s">
        <v>1317</v>
      </c>
      <c r="M153" t="s">
        <v>1317</v>
      </c>
      <c r="N153" t="s">
        <v>25</v>
      </c>
      <c r="O153" t="s">
        <v>1317</v>
      </c>
      <c r="P153" t="s">
        <v>1317</v>
      </c>
      <c r="Q153" t="s">
        <v>25</v>
      </c>
      <c r="R153" t="s">
        <v>1317</v>
      </c>
      <c r="S153" t="s">
        <v>1317</v>
      </c>
      <c r="T153" t="s">
        <v>25</v>
      </c>
      <c r="U153" t="s">
        <v>1317</v>
      </c>
      <c r="V153" t="s">
        <v>1317</v>
      </c>
      <c r="W153" t="s">
        <v>25</v>
      </c>
    </row>
    <row r="154" spans="1:23" x14ac:dyDescent="0.25">
      <c r="A154">
        <v>6</v>
      </c>
      <c r="B154" t="s">
        <v>18</v>
      </c>
      <c r="C154" t="str">
        <f>HYPERLINK("http://www.ncbi.nlm.nih.gov/protein/XP_036987592.1","XP_036987592.1")</f>
        <v>XP_036987592.1</v>
      </c>
      <c r="D154">
        <v>43356</v>
      </c>
      <c r="E154" t="str">
        <f>HYPERLINK("http://www.ncbi.nlm.nih.gov/Taxonomy/Browser/wwwtax.cgi?mode=Info&amp;id=9417&amp;lvl=3&amp;lin=f&amp;keep=1&amp;srchmode=1&amp;unlock","9417")</f>
        <v>9417</v>
      </c>
      <c r="F154" t="s">
        <v>18</v>
      </c>
      <c r="G154" t="str">
        <f>HYPERLINK("http://www.ncbi.nlm.nih.gov/Taxonomy/Browser/wwwtax.cgi?mode=Info&amp;id=9417&amp;lvl=3&amp;lin=f&amp;keep=1&amp;srchmode=1&amp;unlock","Artibeus jamaicensis")</f>
        <v>Artibeus jamaicensis</v>
      </c>
      <c r="H154" t="s">
        <v>109</v>
      </c>
      <c r="I154" t="str">
        <f>HYPERLINK("http://www.ncbi.nlm.nih.gov/protein/XP_036987592.1","androgen receptor-like isoform X2")</f>
        <v>androgen receptor-like isoform X2</v>
      </c>
      <c r="J154" t="s">
        <v>1312</v>
      </c>
      <c r="K154" t="s">
        <v>25</v>
      </c>
      <c r="L154" t="s">
        <v>1317</v>
      </c>
      <c r="M154" t="s">
        <v>1317</v>
      </c>
      <c r="N154" t="s">
        <v>25</v>
      </c>
      <c r="O154" t="s">
        <v>1317</v>
      </c>
      <c r="P154" t="s">
        <v>1317</v>
      </c>
      <c r="Q154" t="s">
        <v>25</v>
      </c>
      <c r="R154" t="s">
        <v>1317</v>
      </c>
      <c r="S154" t="s">
        <v>1317</v>
      </c>
      <c r="T154" t="s">
        <v>25</v>
      </c>
      <c r="U154" t="s">
        <v>1317</v>
      </c>
      <c r="V154" t="s">
        <v>1317</v>
      </c>
      <c r="W154" t="s">
        <v>25</v>
      </c>
    </row>
    <row r="155" spans="1:23" x14ac:dyDescent="0.25">
      <c r="A155">
        <v>6</v>
      </c>
      <c r="B155" t="s">
        <v>18</v>
      </c>
      <c r="C155" t="str">
        <f>HYPERLINK("http://www.ncbi.nlm.nih.gov/protein/XP_017728340.1","XP_017728340.1")</f>
        <v>XP_017728340.1</v>
      </c>
      <c r="D155">
        <v>49685</v>
      </c>
      <c r="E155" t="str">
        <f>HYPERLINK("http://www.ncbi.nlm.nih.gov/Taxonomy/Browser/wwwtax.cgi?mode=Info&amp;id=61621&amp;lvl=3&amp;lin=f&amp;keep=1&amp;srchmode=1&amp;unlock","61621")</f>
        <v>61621</v>
      </c>
      <c r="F155" t="s">
        <v>18</v>
      </c>
      <c r="G155" t="str">
        <f>HYPERLINK("http://www.ncbi.nlm.nih.gov/Taxonomy/Browser/wwwtax.cgi?mode=Info&amp;id=61621&amp;lvl=3&amp;lin=f&amp;keep=1&amp;srchmode=1&amp;unlock","Rhinopithecus bieti")</f>
        <v>Rhinopithecus bieti</v>
      </c>
      <c r="H155" t="s">
        <v>34</v>
      </c>
      <c r="I155" t="str">
        <f>HYPERLINK("http://www.ncbi.nlm.nih.gov/protein/XP_017728340.1","PREDICTED: androgen receptor")</f>
        <v>PREDICTED: androgen receptor</v>
      </c>
      <c r="J155" t="s">
        <v>1312</v>
      </c>
      <c r="K155" t="s">
        <v>25</v>
      </c>
      <c r="L155" t="s">
        <v>1317</v>
      </c>
      <c r="M155" t="s">
        <v>1317</v>
      </c>
      <c r="N155" t="s">
        <v>25</v>
      </c>
      <c r="O155" t="s">
        <v>1317</v>
      </c>
      <c r="P155" t="s">
        <v>1317</v>
      </c>
      <c r="Q155" t="s">
        <v>25</v>
      </c>
      <c r="R155" t="s">
        <v>1317</v>
      </c>
      <c r="S155" t="s">
        <v>1317</v>
      </c>
      <c r="T155" t="s">
        <v>25</v>
      </c>
      <c r="U155" t="s">
        <v>1317</v>
      </c>
      <c r="V155" t="s">
        <v>1317</v>
      </c>
      <c r="W155" t="s">
        <v>25</v>
      </c>
    </row>
    <row r="156" spans="1:23" x14ac:dyDescent="0.25">
      <c r="A156">
        <v>6</v>
      </c>
      <c r="B156" t="s">
        <v>18</v>
      </c>
      <c r="C156" t="str">
        <f>HYPERLINK("http://www.ncbi.nlm.nih.gov/protein/XP_037368210.1","XP_037368210.1")</f>
        <v>XP_037368210.1</v>
      </c>
      <c r="D156">
        <v>39570</v>
      </c>
      <c r="E156" t="str">
        <f>HYPERLINK("http://www.ncbi.nlm.nih.gov/Taxonomy/Browser/wwwtax.cgi?mode=Info&amp;id=50954&amp;lvl=3&amp;lin=f&amp;keep=1&amp;srchmode=1&amp;unlock","50954")</f>
        <v>50954</v>
      </c>
      <c r="F156" t="s">
        <v>18</v>
      </c>
      <c r="G156" t="str">
        <f>HYPERLINK("http://www.ncbi.nlm.nih.gov/Taxonomy/Browser/wwwtax.cgi?mode=Info&amp;id=50954&amp;lvl=3&amp;lin=f&amp;keep=1&amp;srchmode=1&amp;unlock","Talpa occidentalis")</f>
        <v>Talpa occidentalis</v>
      </c>
      <c r="H156" t="s">
        <v>143</v>
      </c>
      <c r="I156" t="str">
        <f>HYPERLINK("http://www.ncbi.nlm.nih.gov/protein/XP_037368210.1","androgen receptor-like")</f>
        <v>androgen receptor-like</v>
      </c>
      <c r="J156" t="s">
        <v>1312</v>
      </c>
      <c r="K156" t="s">
        <v>25</v>
      </c>
      <c r="L156" t="s">
        <v>1317</v>
      </c>
      <c r="M156" t="s">
        <v>1317</v>
      </c>
      <c r="N156" t="s">
        <v>25</v>
      </c>
      <c r="O156" t="s">
        <v>1317</v>
      </c>
      <c r="P156" t="s">
        <v>1317</v>
      </c>
      <c r="Q156" t="s">
        <v>25</v>
      </c>
      <c r="R156" t="s">
        <v>1317</v>
      </c>
      <c r="S156" t="s">
        <v>1317</v>
      </c>
      <c r="T156" t="s">
        <v>25</v>
      </c>
      <c r="U156" t="s">
        <v>1317</v>
      </c>
      <c r="V156" t="s">
        <v>1317</v>
      </c>
      <c r="W156" t="s">
        <v>25</v>
      </c>
    </row>
    <row r="157" spans="1:23" x14ac:dyDescent="0.25">
      <c r="A157">
        <v>6</v>
      </c>
      <c r="B157" t="s">
        <v>18</v>
      </c>
      <c r="C157" t="str">
        <f>HYPERLINK("http://www.ncbi.nlm.nih.gov/protein/XP_035960286.1","XP_035960286.1")</f>
        <v>XP_035960286.1</v>
      </c>
      <c r="D157">
        <v>60330</v>
      </c>
      <c r="E157" t="str">
        <f>HYPERLINK("http://www.ncbi.nlm.nih.gov/Taxonomy/Browser/wwwtax.cgi?mode=Info&amp;id=9711&amp;lvl=3&amp;lin=f&amp;keep=1&amp;srchmode=1&amp;unlock","9711")</f>
        <v>9711</v>
      </c>
      <c r="F157" t="s">
        <v>18</v>
      </c>
      <c r="G157" t="str">
        <f>HYPERLINK("http://www.ncbi.nlm.nih.gov/Taxonomy/Browser/wwwtax.cgi?mode=Info&amp;id=9711&amp;lvl=3&amp;lin=f&amp;keep=1&amp;srchmode=1&amp;unlock","Halichoerus grypus")</f>
        <v>Halichoerus grypus</v>
      </c>
      <c r="H157" t="s">
        <v>68</v>
      </c>
      <c r="I157" t="str">
        <f>HYPERLINK("http://www.ncbi.nlm.nih.gov/protein/XP_035960286.1","androgen receptor-like")</f>
        <v>androgen receptor-like</v>
      </c>
      <c r="J157" t="s">
        <v>1312</v>
      </c>
      <c r="K157" t="s">
        <v>25</v>
      </c>
      <c r="L157" t="s">
        <v>1317</v>
      </c>
      <c r="M157" t="s">
        <v>1317</v>
      </c>
      <c r="N157" t="s">
        <v>25</v>
      </c>
      <c r="O157" t="s">
        <v>1317</v>
      </c>
      <c r="P157" t="s">
        <v>1317</v>
      </c>
      <c r="Q157" t="s">
        <v>25</v>
      </c>
      <c r="R157" t="s">
        <v>1317</v>
      </c>
      <c r="S157" t="s">
        <v>1317</v>
      </c>
      <c r="T157" t="s">
        <v>25</v>
      </c>
      <c r="U157" t="s">
        <v>1317</v>
      </c>
      <c r="V157" t="s">
        <v>1317</v>
      </c>
      <c r="W157" t="s">
        <v>25</v>
      </c>
    </row>
    <row r="158" spans="1:23" x14ac:dyDescent="0.25">
      <c r="A158">
        <v>6</v>
      </c>
      <c r="B158" t="s">
        <v>18</v>
      </c>
      <c r="C158" t="str">
        <f>HYPERLINK("http://www.ncbi.nlm.nih.gov/protein/XP_008526172.1","XP_008526172.1")</f>
        <v>XP_008526172.1</v>
      </c>
      <c r="D158">
        <v>38543</v>
      </c>
      <c r="E158" t="str">
        <f>HYPERLINK("http://www.ncbi.nlm.nih.gov/Taxonomy/Browser/wwwtax.cgi?mode=Info&amp;id=9798&amp;lvl=3&amp;lin=f&amp;keep=1&amp;srchmode=1&amp;unlock","9798")</f>
        <v>9798</v>
      </c>
      <c r="F158" t="s">
        <v>18</v>
      </c>
      <c r="G158" t="str">
        <f>HYPERLINK("http://www.ncbi.nlm.nih.gov/Taxonomy/Browser/wwwtax.cgi?mode=Info&amp;id=9798&amp;lvl=3&amp;lin=f&amp;keep=1&amp;srchmode=1&amp;unlock","Equus przewalskii")</f>
        <v>Equus przewalskii</v>
      </c>
      <c r="H158" t="s">
        <v>382</v>
      </c>
      <c r="I158" t="str">
        <f>HYPERLINK("http://www.ncbi.nlm.nih.gov/protein/XP_008526172.1","PREDICTED: androgen receptor-like")</f>
        <v>PREDICTED: androgen receptor-like</v>
      </c>
      <c r="J158" t="s">
        <v>1312</v>
      </c>
      <c r="K158" t="s">
        <v>25</v>
      </c>
      <c r="L158" t="s">
        <v>1317</v>
      </c>
      <c r="M158" t="s">
        <v>1317</v>
      </c>
      <c r="N158" t="s">
        <v>25</v>
      </c>
      <c r="O158" t="s">
        <v>1317</v>
      </c>
      <c r="P158" t="s">
        <v>1317</v>
      </c>
      <c r="Q158" t="s">
        <v>25</v>
      </c>
      <c r="R158" t="s">
        <v>1317</v>
      </c>
      <c r="S158" t="s">
        <v>1317</v>
      </c>
      <c r="T158" t="s">
        <v>25</v>
      </c>
      <c r="U158" t="s">
        <v>1317</v>
      </c>
      <c r="V158" t="s">
        <v>1317</v>
      </c>
      <c r="W158" t="s">
        <v>25</v>
      </c>
    </row>
    <row r="159" spans="1:23" x14ac:dyDescent="0.25">
      <c r="A159">
        <v>6</v>
      </c>
      <c r="B159" t="s">
        <v>18</v>
      </c>
      <c r="C159" t="str">
        <f>HYPERLINK("http://www.ncbi.nlm.nih.gov/protein/OWJ99637.1","OWJ99637.1")</f>
        <v>OWJ99637.1</v>
      </c>
      <c r="D159">
        <v>19277</v>
      </c>
      <c r="E159" t="str">
        <f>HYPERLINK("http://www.ncbi.nlm.nih.gov/Taxonomy/Browser/wwwtax.cgi?mode=Info&amp;id=46360&amp;lvl=3&amp;lin=f&amp;keep=1&amp;srchmode=1&amp;unlock","46360")</f>
        <v>46360</v>
      </c>
      <c r="F159" t="s">
        <v>18</v>
      </c>
      <c r="G159" t="str">
        <f>HYPERLINK("http://www.ncbi.nlm.nih.gov/Taxonomy/Browser/wwwtax.cgi?mode=Info&amp;id=46360&amp;lvl=3&amp;lin=f&amp;keep=1&amp;srchmode=1&amp;unlock","Cervus elaphus hippelaphus")</f>
        <v>Cervus elaphus hippelaphus</v>
      </c>
      <c r="H159" t="s">
        <v>1122</v>
      </c>
      <c r="I159" t="str">
        <f>HYPERLINK("http://www.ncbi.nlm.nih.gov/protein/OWJ99637.1","AR")</f>
        <v>AR</v>
      </c>
      <c r="J159" t="s">
        <v>1312</v>
      </c>
      <c r="K159" t="s">
        <v>25</v>
      </c>
      <c r="L159" t="s">
        <v>1317</v>
      </c>
      <c r="M159" t="s">
        <v>1317</v>
      </c>
      <c r="N159" t="s">
        <v>25</v>
      </c>
      <c r="O159" t="s">
        <v>1317</v>
      </c>
      <c r="P159" t="s">
        <v>1317</v>
      </c>
      <c r="Q159" t="s">
        <v>25</v>
      </c>
      <c r="R159" t="s">
        <v>1317</v>
      </c>
      <c r="S159" t="s">
        <v>1317</v>
      </c>
      <c r="T159" t="s">
        <v>25</v>
      </c>
      <c r="U159" t="s">
        <v>1317</v>
      </c>
      <c r="V159" t="s">
        <v>1317</v>
      </c>
      <c r="W159" t="s">
        <v>25</v>
      </c>
    </row>
    <row r="160" spans="1:23" x14ac:dyDescent="0.25">
      <c r="A160">
        <v>6</v>
      </c>
      <c r="B160" t="s">
        <v>18</v>
      </c>
      <c r="C160" t="str">
        <f>HYPERLINK("http://www.ncbi.nlm.nih.gov/protein/NIG61673.1","NIG61673.1")</f>
        <v>NIG61673.1</v>
      </c>
      <c r="D160">
        <v>4395</v>
      </c>
      <c r="E160" t="str">
        <f>HYPERLINK("http://www.ncbi.nlm.nih.gov/Taxonomy/Browser/wwwtax.cgi?mode=Info&amp;id=48723&amp;lvl=3&amp;lin=f&amp;keep=1&amp;srchmode=1&amp;unlock","48723")</f>
        <v>48723</v>
      </c>
      <c r="F160" t="s">
        <v>18</v>
      </c>
      <c r="G160" t="str">
        <f>HYPERLINK("http://www.ncbi.nlm.nih.gov/Taxonomy/Browser/wwwtax.cgi?mode=Info&amp;id=48723&amp;lvl=3&amp;lin=f&amp;keep=1&amp;srchmode=1&amp;unlock","Pontoporia blainvillei")</f>
        <v>Pontoporia blainvillei</v>
      </c>
      <c r="H160" t="s">
        <v>1319</v>
      </c>
      <c r="I160" t="str">
        <f>HYPERLINK("http://www.ncbi.nlm.nih.gov/protein/NIG61673.1","androgen receptor-like")</f>
        <v>androgen receptor-like</v>
      </c>
      <c r="J160" t="s">
        <v>1312</v>
      </c>
      <c r="K160" t="s">
        <v>25</v>
      </c>
      <c r="L160" t="s">
        <v>1317</v>
      </c>
      <c r="M160" t="s">
        <v>1317</v>
      </c>
      <c r="N160" t="s">
        <v>25</v>
      </c>
      <c r="O160" t="s">
        <v>1317</v>
      </c>
      <c r="P160" t="s">
        <v>1317</v>
      </c>
      <c r="Q160" t="s">
        <v>25</v>
      </c>
      <c r="R160" t="s">
        <v>1317</v>
      </c>
      <c r="S160" t="s">
        <v>1317</v>
      </c>
      <c r="T160" t="s">
        <v>25</v>
      </c>
      <c r="U160" t="s">
        <v>1317</v>
      </c>
      <c r="V160" t="s">
        <v>1317</v>
      </c>
      <c r="W160" t="s">
        <v>25</v>
      </c>
    </row>
    <row r="161" spans="1:23" x14ac:dyDescent="0.25">
      <c r="A161">
        <v>6</v>
      </c>
      <c r="B161" t="s">
        <v>134</v>
      </c>
      <c r="C161" t="str">
        <f>HYPERLINK("http://www.ncbi.nlm.nih.gov/protein/XP_002941888.3","XP_002941888.3")</f>
        <v>XP_002941888.3</v>
      </c>
      <c r="D161">
        <v>122938</v>
      </c>
      <c r="E161" t="str">
        <f>HYPERLINK("http://www.ncbi.nlm.nih.gov/Taxonomy/Browser/wwwtax.cgi?mode=Info&amp;id=8364&amp;lvl=3&amp;lin=f&amp;keep=1&amp;srchmode=1&amp;unlock","8364")</f>
        <v>8364</v>
      </c>
      <c r="F161" t="s">
        <v>134</v>
      </c>
      <c r="G161" t="str">
        <f>HYPERLINK("http://www.ncbi.nlm.nih.gov/Taxonomy/Browser/wwwtax.cgi?mode=Info&amp;id=8364&amp;lvl=3&amp;lin=f&amp;keep=1&amp;srchmode=1&amp;unlock","Xenopus tropicalis")</f>
        <v>Xenopus tropicalis</v>
      </c>
      <c r="H161" t="s">
        <v>468</v>
      </c>
      <c r="I161" t="str">
        <f>HYPERLINK("http://www.ncbi.nlm.nih.gov/protein/XP_002941888.3","androgen receptor")</f>
        <v>androgen receptor</v>
      </c>
      <c r="J161" t="s">
        <v>1320</v>
      </c>
      <c r="K161" t="s">
        <v>20</v>
      </c>
      <c r="L161">
        <v>574</v>
      </c>
      <c r="M161" t="s">
        <v>25</v>
      </c>
      <c r="N161" t="s">
        <v>20</v>
      </c>
      <c r="O161">
        <v>580</v>
      </c>
      <c r="P161" t="s">
        <v>1313</v>
      </c>
      <c r="Q161" t="s">
        <v>20</v>
      </c>
      <c r="R161">
        <v>621</v>
      </c>
      <c r="S161" t="s">
        <v>1314</v>
      </c>
      <c r="T161" t="s">
        <v>20</v>
      </c>
      <c r="U161">
        <v>746</v>
      </c>
      <c r="V161" t="s">
        <v>1315</v>
      </c>
      <c r="W161" t="s">
        <v>20</v>
      </c>
    </row>
    <row r="162" spans="1:23" x14ac:dyDescent="0.25">
      <c r="A162">
        <v>6</v>
      </c>
      <c r="B162" t="s">
        <v>134</v>
      </c>
      <c r="C162" t="str">
        <f>HYPERLINK("http://www.ncbi.nlm.nih.gov/protein/AAC97386.1","AAC97386.1")</f>
        <v>AAC97386.1</v>
      </c>
      <c r="D162">
        <v>129058</v>
      </c>
      <c r="E162" t="str">
        <f>HYPERLINK("http://www.ncbi.nlm.nih.gov/Taxonomy/Browser/wwwtax.cgi?mode=Info&amp;id=8355&amp;lvl=3&amp;lin=f&amp;keep=1&amp;srchmode=1&amp;unlock","8355")</f>
        <v>8355</v>
      </c>
      <c r="F162" t="s">
        <v>134</v>
      </c>
      <c r="G162" t="str">
        <f>HYPERLINK("http://www.ncbi.nlm.nih.gov/Taxonomy/Browser/wwwtax.cgi?mode=Info&amp;id=8355&amp;lvl=3&amp;lin=f&amp;keep=1&amp;srchmode=1&amp;unlock","Xenopus laevis")</f>
        <v>Xenopus laevis</v>
      </c>
      <c r="H162" t="s">
        <v>473</v>
      </c>
      <c r="I162" t="str">
        <f>HYPERLINK("http://www.ncbi.nlm.nih.gov/protein/AAC97386.1","androgen receptor alpha isoform")</f>
        <v>androgen receptor alpha isoform</v>
      </c>
      <c r="J162" t="s">
        <v>1320</v>
      </c>
      <c r="K162" t="s">
        <v>20</v>
      </c>
      <c r="L162">
        <v>576</v>
      </c>
      <c r="M162" t="s">
        <v>25</v>
      </c>
      <c r="N162" t="s">
        <v>20</v>
      </c>
      <c r="O162">
        <v>582</v>
      </c>
      <c r="P162" t="s">
        <v>1313</v>
      </c>
      <c r="Q162" t="s">
        <v>20</v>
      </c>
      <c r="R162">
        <v>623</v>
      </c>
      <c r="S162" t="s">
        <v>1314</v>
      </c>
      <c r="T162" t="s">
        <v>20</v>
      </c>
      <c r="U162">
        <v>748</v>
      </c>
      <c r="V162" t="s">
        <v>1315</v>
      </c>
      <c r="W162" t="s">
        <v>20</v>
      </c>
    </row>
    <row r="163" spans="1:23" x14ac:dyDescent="0.25">
      <c r="A163">
        <v>6</v>
      </c>
      <c r="B163" t="s">
        <v>134</v>
      </c>
      <c r="C163" t="str">
        <f>HYPERLINK("http://www.ncbi.nlm.nih.gov/protein/BAI87835.1","BAI87835.1")</f>
        <v>BAI87835.1</v>
      </c>
      <c r="D163">
        <v>233</v>
      </c>
      <c r="E163" t="str">
        <f>HYPERLINK("http://www.ncbi.nlm.nih.gov/Taxonomy/Browser/wwwtax.cgi?mode=Info&amp;id=8410&amp;lvl=3&amp;lin=f&amp;keep=1&amp;srchmode=1&amp;unlock","8410")</f>
        <v>8410</v>
      </c>
      <c r="F163" t="s">
        <v>134</v>
      </c>
      <c r="G163" t="str">
        <f>HYPERLINK("http://www.ncbi.nlm.nih.gov/Taxonomy/Browser/wwwtax.cgi?mode=Info&amp;id=8410&amp;lvl=3&amp;lin=f&amp;keep=1&amp;srchmode=1&amp;unlock","Glandirana rugosa")</f>
        <v>Glandirana rugosa</v>
      </c>
      <c r="H163" t="s">
        <v>975</v>
      </c>
      <c r="I163" t="str">
        <f>HYPERLINK("http://www.ncbi.nlm.nih.gov/protein/BAI87835.1","androgen receptor")</f>
        <v>androgen receptor</v>
      </c>
      <c r="J163" t="s">
        <v>1320</v>
      </c>
      <c r="K163" t="s">
        <v>20</v>
      </c>
      <c r="L163">
        <v>560</v>
      </c>
      <c r="M163" t="s">
        <v>25</v>
      </c>
      <c r="N163" t="s">
        <v>20</v>
      </c>
      <c r="O163">
        <v>566</v>
      </c>
      <c r="P163" t="s">
        <v>1313</v>
      </c>
      <c r="Q163" t="s">
        <v>20</v>
      </c>
      <c r="R163">
        <v>607</v>
      </c>
      <c r="S163" t="s">
        <v>1314</v>
      </c>
      <c r="T163" t="s">
        <v>20</v>
      </c>
      <c r="U163">
        <v>732</v>
      </c>
      <c r="V163" t="s">
        <v>1315</v>
      </c>
      <c r="W163" t="s">
        <v>20</v>
      </c>
    </row>
    <row r="164" spans="1:23" x14ac:dyDescent="0.25">
      <c r="A164">
        <v>6</v>
      </c>
      <c r="B164" t="s">
        <v>134</v>
      </c>
      <c r="C164" t="str">
        <f>HYPERLINK("http://www.ncbi.nlm.nih.gov/protein/XP_018410253.1","XP_018410253.1")</f>
        <v>XP_018410253.1</v>
      </c>
      <c r="D164">
        <v>24944</v>
      </c>
      <c r="E164" t="str">
        <f>HYPERLINK("http://www.ncbi.nlm.nih.gov/Taxonomy/Browser/wwwtax.cgi?mode=Info&amp;id=125878&amp;lvl=3&amp;lin=f&amp;keep=1&amp;srchmode=1&amp;unlock","125878")</f>
        <v>125878</v>
      </c>
      <c r="F164" t="s">
        <v>134</v>
      </c>
      <c r="G164" t="str">
        <f>HYPERLINK("http://www.ncbi.nlm.nih.gov/Taxonomy/Browser/wwwtax.cgi?mode=Info&amp;id=125878&amp;lvl=3&amp;lin=f&amp;keep=1&amp;srchmode=1&amp;unlock","Nanorana parkeri")</f>
        <v>Nanorana parkeri</v>
      </c>
      <c r="H164" t="s">
        <v>642</v>
      </c>
      <c r="I164" t="str">
        <f>HYPERLINK("http://www.ncbi.nlm.nih.gov/protein/XP_018410253.1","PREDICTED: androgen receptor")</f>
        <v>PREDICTED: androgen receptor</v>
      </c>
      <c r="J164" t="s">
        <v>1320</v>
      </c>
      <c r="K164" t="s">
        <v>20</v>
      </c>
      <c r="L164">
        <v>563</v>
      </c>
      <c r="M164" t="s">
        <v>25</v>
      </c>
      <c r="N164" t="s">
        <v>20</v>
      </c>
      <c r="O164">
        <v>569</v>
      </c>
      <c r="P164" t="s">
        <v>1313</v>
      </c>
      <c r="Q164" t="s">
        <v>20</v>
      </c>
      <c r="R164">
        <v>610</v>
      </c>
      <c r="S164" t="s">
        <v>1314</v>
      </c>
      <c r="T164" t="s">
        <v>20</v>
      </c>
      <c r="U164">
        <v>735</v>
      </c>
      <c r="V164" t="s">
        <v>1315</v>
      </c>
      <c r="W164" t="s">
        <v>20</v>
      </c>
    </row>
    <row r="165" spans="1:23" x14ac:dyDescent="0.25">
      <c r="A165">
        <v>6</v>
      </c>
      <c r="B165" t="s">
        <v>134</v>
      </c>
      <c r="C165" t="str">
        <f>HYPERLINK("http://www.ncbi.nlm.nih.gov/protein/XP_040178839.1","XP_040178839.1")</f>
        <v>XP_040178839.1</v>
      </c>
      <c r="D165">
        <v>42547</v>
      </c>
      <c r="E165" t="str">
        <f>HYPERLINK("http://www.ncbi.nlm.nih.gov/Taxonomy/Browser/wwwtax.cgi?mode=Info&amp;id=8407&amp;lvl=3&amp;lin=f&amp;keep=1&amp;srchmode=1&amp;unlock","8407")</f>
        <v>8407</v>
      </c>
      <c r="F165" t="s">
        <v>134</v>
      </c>
      <c r="G165" t="str">
        <f>HYPERLINK("http://www.ncbi.nlm.nih.gov/Taxonomy/Browser/wwwtax.cgi?mode=Info&amp;id=8407&amp;lvl=3&amp;lin=f&amp;keep=1&amp;srchmode=1&amp;unlock","Rana temporaria")</f>
        <v>Rana temporaria</v>
      </c>
      <c r="H165" t="s">
        <v>607</v>
      </c>
      <c r="I165" t="str">
        <f>HYPERLINK("http://www.ncbi.nlm.nih.gov/protein/XP_040178839.1","androgen receptor")</f>
        <v>androgen receptor</v>
      </c>
      <c r="J165" t="s">
        <v>1320</v>
      </c>
      <c r="K165" t="s">
        <v>20</v>
      </c>
      <c r="L165">
        <v>562</v>
      </c>
      <c r="M165" t="s">
        <v>25</v>
      </c>
      <c r="N165" t="s">
        <v>20</v>
      </c>
      <c r="O165">
        <v>568</v>
      </c>
      <c r="P165" t="s">
        <v>1313</v>
      </c>
      <c r="Q165" t="s">
        <v>20</v>
      </c>
      <c r="R165">
        <v>609</v>
      </c>
      <c r="S165" t="s">
        <v>1314</v>
      </c>
      <c r="T165" t="s">
        <v>20</v>
      </c>
      <c r="U165">
        <v>734</v>
      </c>
      <c r="V165" t="s">
        <v>1315</v>
      </c>
      <c r="W165" t="s">
        <v>20</v>
      </c>
    </row>
    <row r="166" spans="1:23" x14ac:dyDescent="0.25">
      <c r="A166">
        <v>6</v>
      </c>
      <c r="B166" t="s">
        <v>134</v>
      </c>
      <c r="C166" t="str">
        <f>HYPERLINK("http://www.ncbi.nlm.nih.gov/protein/XP_040262119.1","XP_040262119.1")</f>
        <v>XP_040262119.1</v>
      </c>
      <c r="D166">
        <v>38439</v>
      </c>
      <c r="E166" t="str">
        <f>HYPERLINK("http://www.ncbi.nlm.nih.gov/Taxonomy/Browser/wwwtax.cgi?mode=Info&amp;id=8384&amp;lvl=3&amp;lin=f&amp;keep=1&amp;srchmode=1&amp;unlock","8384")</f>
        <v>8384</v>
      </c>
      <c r="F166" t="s">
        <v>134</v>
      </c>
      <c r="G166" t="str">
        <f>HYPERLINK("http://www.ncbi.nlm.nih.gov/Taxonomy/Browser/wwwtax.cgi?mode=Info&amp;id=8384&amp;lvl=3&amp;lin=f&amp;keep=1&amp;srchmode=1&amp;unlock","Bufo bufo")</f>
        <v>Bufo bufo</v>
      </c>
      <c r="H166" t="s">
        <v>579</v>
      </c>
      <c r="I166" t="str">
        <f>HYPERLINK("http://www.ncbi.nlm.nih.gov/protein/XP_040262119.1","androgen receptor")</f>
        <v>androgen receptor</v>
      </c>
      <c r="J166" t="s">
        <v>1320</v>
      </c>
      <c r="K166" t="s">
        <v>20</v>
      </c>
      <c r="L166">
        <v>553</v>
      </c>
      <c r="M166" t="s">
        <v>25</v>
      </c>
      <c r="N166" t="s">
        <v>20</v>
      </c>
      <c r="O166">
        <v>559</v>
      </c>
      <c r="P166" t="s">
        <v>1313</v>
      </c>
      <c r="Q166" t="s">
        <v>20</v>
      </c>
      <c r="R166">
        <v>600</v>
      </c>
      <c r="S166" t="s">
        <v>1314</v>
      </c>
      <c r="T166" t="s">
        <v>20</v>
      </c>
      <c r="U166">
        <v>725</v>
      </c>
      <c r="V166" t="s">
        <v>1315</v>
      </c>
      <c r="W166" t="s">
        <v>20</v>
      </c>
    </row>
    <row r="167" spans="1:23" x14ac:dyDescent="0.25">
      <c r="A167">
        <v>6</v>
      </c>
      <c r="B167" t="s">
        <v>134</v>
      </c>
      <c r="C167" t="str">
        <f>HYPERLINK("http://www.ncbi.nlm.nih.gov/protein/XP_029463146.1","XP_029463146.1")</f>
        <v>XP_029463146.1</v>
      </c>
      <c r="D167">
        <v>49320</v>
      </c>
      <c r="E167" t="str">
        <f>HYPERLINK("http://www.ncbi.nlm.nih.gov/Taxonomy/Browser/wwwtax.cgi?mode=Info&amp;id=194408&amp;lvl=3&amp;lin=f&amp;keep=1&amp;srchmode=1&amp;unlock","194408")</f>
        <v>194408</v>
      </c>
      <c r="F167" t="s">
        <v>134</v>
      </c>
      <c r="G167" t="str">
        <f>HYPERLINK("http://www.ncbi.nlm.nih.gov/Taxonomy/Browser/wwwtax.cgi?mode=Info&amp;id=194408&amp;lvl=3&amp;lin=f&amp;keep=1&amp;srchmode=1&amp;unlock","Rhinatrema bivittatum")</f>
        <v>Rhinatrema bivittatum</v>
      </c>
      <c r="H167" t="s">
        <v>393</v>
      </c>
      <c r="I167" t="str">
        <f>HYPERLINK("http://www.ncbi.nlm.nih.gov/protein/XP_029463146.1","androgen receptor")</f>
        <v>androgen receptor</v>
      </c>
      <c r="J167" t="s">
        <v>1320</v>
      </c>
      <c r="K167" t="s">
        <v>20</v>
      </c>
      <c r="L167">
        <v>533</v>
      </c>
      <c r="M167" t="s">
        <v>25</v>
      </c>
      <c r="N167" t="s">
        <v>20</v>
      </c>
      <c r="O167">
        <v>539</v>
      </c>
      <c r="P167" t="s">
        <v>1313</v>
      </c>
      <c r="Q167" t="s">
        <v>20</v>
      </c>
      <c r="R167">
        <v>580</v>
      </c>
      <c r="S167" t="s">
        <v>1314</v>
      </c>
      <c r="T167" t="s">
        <v>20</v>
      </c>
      <c r="U167">
        <v>705</v>
      </c>
      <c r="V167" t="s">
        <v>1315</v>
      </c>
      <c r="W167" t="s">
        <v>20</v>
      </c>
    </row>
    <row r="168" spans="1:23" x14ac:dyDescent="0.25">
      <c r="A168">
        <v>6</v>
      </c>
      <c r="B168" t="s">
        <v>134</v>
      </c>
      <c r="C168" t="str">
        <f>HYPERLINK("http://www.ncbi.nlm.nih.gov/protein/QIS93408.1","QIS93408.1")</f>
        <v>QIS93408.1</v>
      </c>
      <c r="D168">
        <v>162</v>
      </c>
      <c r="E168" t="str">
        <f>HYPERLINK("http://www.ncbi.nlm.nih.gov/Taxonomy/Browser/wwwtax.cgi?mode=Info&amp;id=137245&amp;lvl=3&amp;lin=f&amp;keep=1&amp;srchmode=1&amp;unlock","137245")</f>
        <v>137245</v>
      </c>
      <c r="F168" t="s">
        <v>134</v>
      </c>
      <c r="G168" t="str">
        <f>HYPERLINK("http://www.ncbi.nlm.nih.gov/Taxonomy/Browser/wwwtax.cgi?mode=Info&amp;id=137245&amp;lvl=3&amp;lin=f&amp;keep=1&amp;srchmode=1&amp;unlock","Cynops orientalis")</f>
        <v>Cynops orientalis</v>
      </c>
      <c r="H168" t="s">
        <v>979</v>
      </c>
      <c r="I168" t="str">
        <f>HYPERLINK("http://www.ncbi.nlm.nih.gov/protein/QIS93408.1","androgen receptor AR")</f>
        <v>androgen receptor AR</v>
      </c>
      <c r="J168" t="s">
        <v>1320</v>
      </c>
      <c r="K168" t="s">
        <v>20</v>
      </c>
      <c r="L168">
        <v>509</v>
      </c>
      <c r="M168" t="s">
        <v>25</v>
      </c>
      <c r="N168" t="s">
        <v>20</v>
      </c>
      <c r="O168">
        <v>515</v>
      </c>
      <c r="P168" t="s">
        <v>1313</v>
      </c>
      <c r="Q168" t="s">
        <v>20</v>
      </c>
      <c r="R168">
        <v>556</v>
      </c>
      <c r="S168" t="s">
        <v>1314</v>
      </c>
      <c r="T168" t="s">
        <v>20</v>
      </c>
      <c r="U168">
        <v>681</v>
      </c>
      <c r="V168" t="s">
        <v>1315</v>
      </c>
      <c r="W168" t="s">
        <v>20</v>
      </c>
    </row>
    <row r="169" spans="1:23" x14ac:dyDescent="0.25">
      <c r="A169">
        <v>6</v>
      </c>
      <c r="B169" t="s">
        <v>134</v>
      </c>
      <c r="C169" t="str">
        <f>HYPERLINK("http://www.ncbi.nlm.nih.gov/protein/XP_033801389.1","XP_033801389.1")</f>
        <v>XP_033801389.1</v>
      </c>
      <c r="D169">
        <v>50058</v>
      </c>
      <c r="E169" t="str">
        <f>HYPERLINK("http://www.ncbi.nlm.nih.gov/Taxonomy/Browser/wwwtax.cgi?mode=Info&amp;id=260995&amp;lvl=3&amp;lin=f&amp;keep=1&amp;srchmode=1&amp;unlock","260995")</f>
        <v>260995</v>
      </c>
      <c r="F169" t="s">
        <v>134</v>
      </c>
      <c r="G169" t="str">
        <f>HYPERLINK("http://www.ncbi.nlm.nih.gov/Taxonomy/Browser/wwwtax.cgi?mode=Info&amp;id=260995&amp;lvl=3&amp;lin=f&amp;keep=1&amp;srchmode=1&amp;unlock","Geotrypetes seraphini")</f>
        <v>Geotrypetes seraphini</v>
      </c>
      <c r="H169" t="s">
        <v>649</v>
      </c>
      <c r="I169" t="str">
        <f>HYPERLINK("http://www.ncbi.nlm.nih.gov/protein/XP_033801389.1","androgen receptor")</f>
        <v>androgen receptor</v>
      </c>
      <c r="J169" t="s">
        <v>1320</v>
      </c>
      <c r="K169" t="s">
        <v>20</v>
      </c>
      <c r="L169">
        <v>505</v>
      </c>
      <c r="M169" t="s">
        <v>25</v>
      </c>
      <c r="N169" t="s">
        <v>20</v>
      </c>
      <c r="O169">
        <v>511</v>
      </c>
      <c r="P169" t="s">
        <v>1313</v>
      </c>
      <c r="Q169" t="s">
        <v>20</v>
      </c>
      <c r="R169">
        <v>552</v>
      </c>
      <c r="S169" t="s">
        <v>1314</v>
      </c>
      <c r="T169" t="s">
        <v>20</v>
      </c>
      <c r="U169">
        <v>677</v>
      </c>
      <c r="V169" t="s">
        <v>1315</v>
      </c>
      <c r="W169" t="s">
        <v>20</v>
      </c>
    </row>
    <row r="170" spans="1:23" x14ac:dyDescent="0.25">
      <c r="A170">
        <v>6</v>
      </c>
      <c r="B170" t="s">
        <v>134</v>
      </c>
      <c r="C170" t="str">
        <f>HYPERLINK("http://www.ncbi.nlm.nih.gov/protein/Q7T1K4.1","Q7T1K4.1")</f>
        <v>Q7T1K4.1</v>
      </c>
      <c r="D170">
        <v>30167</v>
      </c>
      <c r="E170" t="str">
        <f>HYPERLINK("http://www.ncbi.nlm.nih.gov/Taxonomy/Browser/wwwtax.cgi?mode=Info&amp;id=8400&amp;lvl=3&amp;lin=f&amp;keep=1&amp;srchmode=1&amp;unlock","8400")</f>
        <v>8400</v>
      </c>
      <c r="F170" t="s">
        <v>134</v>
      </c>
      <c r="G170" t="str">
        <f>HYPERLINK("http://www.ncbi.nlm.nih.gov/Taxonomy/Browser/wwwtax.cgi?mode=Info&amp;id=8400&amp;lvl=3&amp;lin=f&amp;keep=1&amp;srchmode=1&amp;unlock","Lithobates catesbeianus")</f>
        <v>Lithobates catesbeianus</v>
      </c>
      <c r="H170" t="s">
        <v>578</v>
      </c>
      <c r="I170" t="str">
        <f>HYPERLINK("http://www.ncbi.nlm.nih.gov/protein/Q7T1K4.1","RecName: Full=Androgen receptor; Short=bfAR; AltName: Full=Dihydrotestosterone receptor; AltName: Full=Nuclear receptor subfamily 3 group C member 4")</f>
        <v>RecName: Full=Androgen receptor; Short=bfAR; AltName: Full=Dihydrotestosterone receptor; AltName: Full=Nuclear receptor subfamily 3 group C member 4</v>
      </c>
      <c r="J170" t="s">
        <v>1320</v>
      </c>
      <c r="K170" t="s">
        <v>20</v>
      </c>
      <c r="L170">
        <v>563</v>
      </c>
      <c r="M170" t="s">
        <v>25</v>
      </c>
      <c r="N170" t="s">
        <v>20</v>
      </c>
      <c r="O170">
        <v>569</v>
      </c>
      <c r="P170" t="s">
        <v>1313</v>
      </c>
      <c r="Q170" t="s">
        <v>20</v>
      </c>
      <c r="R170">
        <v>610</v>
      </c>
      <c r="S170" t="s">
        <v>1314</v>
      </c>
      <c r="T170" t="s">
        <v>20</v>
      </c>
      <c r="U170">
        <v>735</v>
      </c>
      <c r="V170" t="s">
        <v>1315</v>
      </c>
      <c r="W170" t="s">
        <v>20</v>
      </c>
    </row>
    <row r="171" spans="1:23" x14ac:dyDescent="0.25">
      <c r="A171">
        <v>6</v>
      </c>
      <c r="B171" t="s">
        <v>236</v>
      </c>
      <c r="C171" t="str">
        <f>HYPERLINK("http://www.ncbi.nlm.nih.gov/protein/XP_026558883.1","XP_026558883.1")</f>
        <v>XP_026558883.1</v>
      </c>
      <c r="D171">
        <v>31816</v>
      </c>
      <c r="E171" t="str">
        <f>HYPERLINK("http://www.ncbi.nlm.nih.gov/Taxonomy/Browser/wwwtax.cgi?mode=Info&amp;id=8673&amp;lvl=3&amp;lin=f&amp;keep=1&amp;srchmode=1&amp;unlock","8673")</f>
        <v>8673</v>
      </c>
      <c r="F171" t="s">
        <v>236</v>
      </c>
      <c r="G171" t="str">
        <f>HYPERLINK("http://www.ncbi.nlm.nih.gov/Taxonomy/Browser/wwwtax.cgi?mode=Info&amp;id=8673&amp;lvl=3&amp;lin=f&amp;keep=1&amp;srchmode=1&amp;unlock","Pseudonaja textilis")</f>
        <v>Pseudonaja textilis</v>
      </c>
      <c r="H171" t="s">
        <v>657</v>
      </c>
      <c r="I171" t="str">
        <f>HYPERLINK("http://www.ncbi.nlm.nih.gov/protein/XP_026558883.1","androgen receptor")</f>
        <v>androgen receptor</v>
      </c>
      <c r="J171" t="s">
        <v>1321</v>
      </c>
      <c r="K171" t="s">
        <v>20</v>
      </c>
      <c r="L171">
        <v>574</v>
      </c>
      <c r="M171" t="s">
        <v>25</v>
      </c>
      <c r="N171" t="s">
        <v>20</v>
      </c>
      <c r="O171">
        <v>580</v>
      </c>
      <c r="P171" t="s">
        <v>1316</v>
      </c>
      <c r="Q171" t="s">
        <v>20</v>
      </c>
      <c r="R171">
        <v>621</v>
      </c>
      <c r="S171" t="s">
        <v>1314</v>
      </c>
      <c r="T171" t="s">
        <v>20</v>
      </c>
      <c r="U171">
        <v>746</v>
      </c>
      <c r="V171" t="s">
        <v>1315</v>
      </c>
      <c r="W171" t="s">
        <v>20</v>
      </c>
    </row>
    <row r="172" spans="1:23" x14ac:dyDescent="0.25">
      <c r="A172">
        <v>6</v>
      </c>
      <c r="B172" t="s">
        <v>236</v>
      </c>
      <c r="C172" t="str">
        <f>HYPERLINK("http://www.ncbi.nlm.nih.gov/protein/XP_026540690.1","XP_026540690.1")</f>
        <v>XP_026540690.1</v>
      </c>
      <c r="D172">
        <v>31324</v>
      </c>
      <c r="E172" t="str">
        <f>HYPERLINK("http://www.ncbi.nlm.nih.gov/Taxonomy/Browser/wwwtax.cgi?mode=Info&amp;id=8663&amp;lvl=3&amp;lin=f&amp;keep=1&amp;srchmode=1&amp;unlock","8663")</f>
        <v>8663</v>
      </c>
      <c r="F172" t="s">
        <v>236</v>
      </c>
      <c r="G172" t="str">
        <f>HYPERLINK("http://www.ncbi.nlm.nih.gov/Taxonomy/Browser/wwwtax.cgi?mode=Info&amp;id=8663&amp;lvl=3&amp;lin=f&amp;keep=1&amp;srchmode=1&amp;unlock","Notechis scutatus")</f>
        <v>Notechis scutatus</v>
      </c>
      <c r="H172" t="s">
        <v>656</v>
      </c>
      <c r="I172" t="str">
        <f>HYPERLINK("http://www.ncbi.nlm.nih.gov/protein/XP_026540690.1","androgen receptor")</f>
        <v>androgen receptor</v>
      </c>
      <c r="J172" t="s">
        <v>1321</v>
      </c>
      <c r="K172" t="s">
        <v>20</v>
      </c>
      <c r="L172">
        <v>575</v>
      </c>
      <c r="M172" t="s">
        <v>25</v>
      </c>
      <c r="N172" t="s">
        <v>20</v>
      </c>
      <c r="O172">
        <v>581</v>
      </c>
      <c r="P172" t="s">
        <v>1316</v>
      </c>
      <c r="Q172" t="s">
        <v>20</v>
      </c>
      <c r="R172">
        <v>622</v>
      </c>
      <c r="S172" t="s">
        <v>1314</v>
      </c>
      <c r="T172" t="s">
        <v>20</v>
      </c>
      <c r="U172">
        <v>747</v>
      </c>
      <c r="V172" t="s">
        <v>1315</v>
      </c>
      <c r="W172" t="s">
        <v>20</v>
      </c>
    </row>
    <row r="173" spans="1:23" x14ac:dyDescent="0.25">
      <c r="A173">
        <v>6</v>
      </c>
      <c r="B173" t="s">
        <v>236</v>
      </c>
      <c r="C173" t="str">
        <f>HYPERLINK("http://www.ncbi.nlm.nih.gov/protein/XP_039221307.1","XP_039221307.1")</f>
        <v>XP_039221307.1</v>
      </c>
      <c r="D173">
        <v>51713</v>
      </c>
      <c r="E173" t="str">
        <f>HYPERLINK("http://www.ncbi.nlm.nih.gov/Taxonomy/Browser/wwwtax.cgi?mode=Info&amp;id=88082&amp;lvl=3&amp;lin=f&amp;keep=1&amp;srchmode=1&amp;unlock","88082")</f>
        <v>88082</v>
      </c>
      <c r="F173" t="s">
        <v>236</v>
      </c>
      <c r="G173" t="str">
        <f>HYPERLINK("http://www.ncbi.nlm.nih.gov/Taxonomy/Browser/wwwtax.cgi?mode=Info&amp;id=88082&amp;lvl=3&amp;lin=f&amp;keep=1&amp;srchmode=1&amp;unlock","Crotalus tigris")</f>
        <v>Crotalus tigris</v>
      </c>
      <c r="H173" t="s">
        <v>660</v>
      </c>
      <c r="I173" t="str">
        <f>HYPERLINK("http://www.ncbi.nlm.nih.gov/protein/XP_039221307.1","androgen receptor")</f>
        <v>androgen receptor</v>
      </c>
      <c r="J173" t="s">
        <v>1321</v>
      </c>
      <c r="K173" t="s">
        <v>20</v>
      </c>
      <c r="L173">
        <v>573</v>
      </c>
      <c r="M173" t="s">
        <v>25</v>
      </c>
      <c r="N173" t="s">
        <v>20</v>
      </c>
      <c r="O173">
        <v>579</v>
      </c>
      <c r="P173" t="s">
        <v>1316</v>
      </c>
      <c r="Q173" t="s">
        <v>20</v>
      </c>
      <c r="R173">
        <v>620</v>
      </c>
      <c r="S173" t="s">
        <v>1314</v>
      </c>
      <c r="T173" t="s">
        <v>20</v>
      </c>
      <c r="U173">
        <v>745</v>
      </c>
      <c r="V173" t="s">
        <v>1315</v>
      </c>
      <c r="W173" t="s">
        <v>20</v>
      </c>
    </row>
    <row r="174" spans="1:23" x14ac:dyDescent="0.25">
      <c r="A174">
        <v>6</v>
      </c>
      <c r="B174" t="s">
        <v>236</v>
      </c>
      <c r="C174" t="str">
        <f>HYPERLINK("http://www.ncbi.nlm.nih.gov/protein/XP_015668197.1","XP_015668197.1")</f>
        <v>XP_015668197.1</v>
      </c>
      <c r="D174">
        <v>23978</v>
      </c>
      <c r="E174" t="str">
        <f>HYPERLINK("http://www.ncbi.nlm.nih.gov/Taxonomy/Browser/wwwtax.cgi?mode=Info&amp;id=103944&amp;lvl=3&amp;lin=f&amp;keep=1&amp;srchmode=1&amp;unlock","103944")</f>
        <v>103944</v>
      </c>
      <c r="F174" t="s">
        <v>236</v>
      </c>
      <c r="G174" t="str">
        <f>HYPERLINK("http://www.ncbi.nlm.nih.gov/Taxonomy/Browser/wwwtax.cgi?mode=Info&amp;id=103944&amp;lvl=3&amp;lin=f&amp;keep=1&amp;srchmode=1&amp;unlock","Protobothrops mucrosquamatus")</f>
        <v>Protobothrops mucrosquamatus</v>
      </c>
      <c r="H174" t="s">
        <v>655</v>
      </c>
      <c r="I174" t="str">
        <f>HYPERLINK("http://www.ncbi.nlm.nih.gov/protein/XP_015668197.1","androgen receptor isoform X1")</f>
        <v>androgen receptor isoform X1</v>
      </c>
      <c r="J174" t="s">
        <v>1321</v>
      </c>
      <c r="K174" t="s">
        <v>20</v>
      </c>
      <c r="L174">
        <v>581</v>
      </c>
      <c r="M174" t="s">
        <v>25</v>
      </c>
      <c r="N174" t="s">
        <v>20</v>
      </c>
      <c r="O174">
        <v>587</v>
      </c>
      <c r="P174" t="s">
        <v>1316</v>
      </c>
      <c r="Q174" t="s">
        <v>20</v>
      </c>
      <c r="R174">
        <v>628</v>
      </c>
      <c r="S174" t="s">
        <v>1314</v>
      </c>
      <c r="T174" t="s">
        <v>20</v>
      </c>
      <c r="U174">
        <v>753</v>
      </c>
      <c r="V174" t="s">
        <v>1315</v>
      </c>
      <c r="W174" t="s">
        <v>20</v>
      </c>
    </row>
    <row r="175" spans="1:23" x14ac:dyDescent="0.25">
      <c r="A175">
        <v>6</v>
      </c>
      <c r="B175" t="s">
        <v>236</v>
      </c>
      <c r="C175" t="str">
        <f>HYPERLINK("http://www.ncbi.nlm.nih.gov/protein/XP_034969101.1","XP_034969101.1")</f>
        <v>XP_034969101.1</v>
      </c>
      <c r="D175">
        <v>44583</v>
      </c>
      <c r="E175" t="str">
        <f>HYPERLINK("http://www.ncbi.nlm.nih.gov/Taxonomy/Browser/wwwtax.cgi?mode=Info&amp;id=8524&amp;lvl=3&amp;lin=f&amp;keep=1&amp;srchmode=1&amp;unlock","8524")</f>
        <v>8524</v>
      </c>
      <c r="F175" t="s">
        <v>236</v>
      </c>
      <c r="G175" t="str">
        <f>HYPERLINK("http://www.ncbi.nlm.nih.gov/Taxonomy/Browser/wwwtax.cgi?mode=Info&amp;id=8524&amp;lvl=3&amp;lin=f&amp;keep=1&amp;srchmode=1&amp;unlock","Zootoca vivipara")</f>
        <v>Zootoca vivipara</v>
      </c>
      <c r="H175" t="s">
        <v>401</v>
      </c>
      <c r="I175" t="str">
        <f>HYPERLINK("http://www.ncbi.nlm.nih.gov/protein/XP_034969101.1","androgen receptor")</f>
        <v>androgen receptor</v>
      </c>
      <c r="J175" t="s">
        <v>1321</v>
      </c>
      <c r="K175" t="s">
        <v>20</v>
      </c>
      <c r="L175">
        <v>560</v>
      </c>
      <c r="M175" t="s">
        <v>25</v>
      </c>
      <c r="N175" t="s">
        <v>20</v>
      </c>
      <c r="O175">
        <v>566</v>
      </c>
      <c r="P175" t="s">
        <v>1316</v>
      </c>
      <c r="Q175" t="s">
        <v>20</v>
      </c>
      <c r="R175">
        <v>607</v>
      </c>
      <c r="S175" t="s">
        <v>1314</v>
      </c>
      <c r="T175" t="s">
        <v>20</v>
      </c>
      <c r="U175">
        <v>732</v>
      </c>
      <c r="V175" t="s">
        <v>1315</v>
      </c>
      <c r="W175" t="s">
        <v>20</v>
      </c>
    </row>
    <row r="176" spans="1:23" x14ac:dyDescent="0.25">
      <c r="A176">
        <v>6</v>
      </c>
      <c r="B176" t="s">
        <v>236</v>
      </c>
      <c r="C176" t="str">
        <f>HYPERLINK("http://www.ncbi.nlm.nih.gov/protein/XP_034291047.1","XP_034291047.1")</f>
        <v>XP_034291047.1</v>
      </c>
      <c r="D176">
        <v>41827</v>
      </c>
      <c r="E176" t="str">
        <f>HYPERLINK("http://www.ncbi.nlm.nih.gov/Taxonomy/Browser/wwwtax.cgi?mode=Info&amp;id=94885&amp;lvl=3&amp;lin=f&amp;keep=1&amp;srchmode=1&amp;unlock","94885")</f>
        <v>94885</v>
      </c>
      <c r="F176" t="s">
        <v>236</v>
      </c>
      <c r="G176" t="str">
        <f>HYPERLINK("http://www.ncbi.nlm.nih.gov/Taxonomy/Browser/wwwtax.cgi?mode=Info&amp;id=94885&amp;lvl=3&amp;lin=f&amp;keep=1&amp;srchmode=1&amp;unlock","Pantherophis guttatus")</f>
        <v>Pantherophis guttatus</v>
      </c>
      <c r="H176" t="s">
        <v>653</v>
      </c>
      <c r="I176" t="str">
        <f>HYPERLINK("http://www.ncbi.nlm.nih.gov/protein/XP_034291047.1","androgen receptor")</f>
        <v>androgen receptor</v>
      </c>
      <c r="J176" t="s">
        <v>1321</v>
      </c>
      <c r="K176" t="s">
        <v>20</v>
      </c>
      <c r="L176">
        <v>566</v>
      </c>
      <c r="M176" t="s">
        <v>25</v>
      </c>
      <c r="N176" t="s">
        <v>20</v>
      </c>
      <c r="O176">
        <v>572</v>
      </c>
      <c r="P176" t="s">
        <v>1316</v>
      </c>
      <c r="Q176" t="s">
        <v>20</v>
      </c>
      <c r="R176">
        <v>613</v>
      </c>
      <c r="S176" t="s">
        <v>1314</v>
      </c>
      <c r="T176" t="s">
        <v>20</v>
      </c>
      <c r="U176">
        <v>738</v>
      </c>
      <c r="V176" t="s">
        <v>1315</v>
      </c>
      <c r="W176" t="s">
        <v>20</v>
      </c>
    </row>
    <row r="177" spans="1:23" x14ac:dyDescent="0.25">
      <c r="A177">
        <v>6</v>
      </c>
      <c r="B177" t="s">
        <v>236</v>
      </c>
      <c r="C177" t="str">
        <f>HYPERLINK("http://www.ncbi.nlm.nih.gov/protein/XP_032993019.1","XP_032993019.1")</f>
        <v>XP_032993019.1</v>
      </c>
      <c r="D177">
        <v>39496</v>
      </c>
      <c r="E177" t="str">
        <f>HYPERLINK("http://www.ncbi.nlm.nih.gov/Taxonomy/Browser/wwwtax.cgi?mode=Info&amp;id=80427&amp;lvl=3&amp;lin=f&amp;keep=1&amp;srchmode=1&amp;unlock","80427")</f>
        <v>80427</v>
      </c>
      <c r="F177" t="s">
        <v>236</v>
      </c>
      <c r="G177" t="str">
        <f>HYPERLINK("http://www.ncbi.nlm.nih.gov/Taxonomy/Browser/wwwtax.cgi?mode=Info&amp;id=80427&amp;lvl=3&amp;lin=f&amp;keep=1&amp;srchmode=1&amp;unlock","Lacerta agilis")</f>
        <v>Lacerta agilis</v>
      </c>
      <c r="H177" t="s">
        <v>392</v>
      </c>
      <c r="I177" t="str">
        <f>HYPERLINK("http://www.ncbi.nlm.nih.gov/protein/XP_032993019.1","androgen receptor")</f>
        <v>androgen receptor</v>
      </c>
      <c r="J177" t="s">
        <v>1321</v>
      </c>
      <c r="K177" t="s">
        <v>20</v>
      </c>
      <c r="L177">
        <v>561</v>
      </c>
      <c r="M177" t="s">
        <v>25</v>
      </c>
      <c r="N177" t="s">
        <v>20</v>
      </c>
      <c r="O177">
        <v>567</v>
      </c>
      <c r="P177" t="s">
        <v>1313</v>
      </c>
      <c r="Q177" t="s">
        <v>20</v>
      </c>
      <c r="R177">
        <v>608</v>
      </c>
      <c r="S177" t="s">
        <v>1314</v>
      </c>
      <c r="T177" t="s">
        <v>20</v>
      </c>
      <c r="U177">
        <v>733</v>
      </c>
      <c r="V177" t="s">
        <v>1315</v>
      </c>
      <c r="W177" t="s">
        <v>20</v>
      </c>
    </row>
    <row r="178" spans="1:23" x14ac:dyDescent="0.25">
      <c r="A178">
        <v>6</v>
      </c>
      <c r="B178" t="s">
        <v>236</v>
      </c>
      <c r="C178" t="str">
        <f>HYPERLINK("http://www.ncbi.nlm.nih.gov/protein/XP_032083684.1","XP_032083684.1")</f>
        <v>XP_032083684.1</v>
      </c>
      <c r="D178">
        <v>30930</v>
      </c>
      <c r="E178" t="str">
        <f>HYPERLINK("http://www.ncbi.nlm.nih.gov/Taxonomy/Browser/wwwtax.cgi?mode=Info&amp;id=35005&amp;lvl=3&amp;lin=f&amp;keep=1&amp;srchmode=1&amp;unlock","35005")</f>
        <v>35005</v>
      </c>
      <c r="F178" t="s">
        <v>236</v>
      </c>
      <c r="G178" t="str">
        <f>HYPERLINK("http://www.ncbi.nlm.nih.gov/Taxonomy/Browser/wwwtax.cgi?mode=Info&amp;id=35005&amp;lvl=3&amp;lin=f&amp;keep=1&amp;srchmode=1&amp;unlock","Thamnophis elegans")</f>
        <v>Thamnophis elegans</v>
      </c>
      <c r="H178" t="s">
        <v>654</v>
      </c>
      <c r="I178" t="str">
        <f>HYPERLINK("http://www.ncbi.nlm.nih.gov/protein/XP_032083684.1","androgen receptor")</f>
        <v>androgen receptor</v>
      </c>
      <c r="J178" t="s">
        <v>1321</v>
      </c>
      <c r="K178" t="s">
        <v>20</v>
      </c>
      <c r="L178">
        <v>575</v>
      </c>
      <c r="M178" t="s">
        <v>25</v>
      </c>
      <c r="N178" t="s">
        <v>20</v>
      </c>
      <c r="O178">
        <v>581</v>
      </c>
      <c r="P178" t="s">
        <v>1316</v>
      </c>
      <c r="Q178" t="s">
        <v>20</v>
      </c>
      <c r="R178">
        <v>622</v>
      </c>
      <c r="S178" t="s">
        <v>1314</v>
      </c>
      <c r="T178" t="s">
        <v>20</v>
      </c>
      <c r="U178">
        <v>747</v>
      </c>
      <c r="V178" t="s">
        <v>1315</v>
      </c>
      <c r="W178" t="s">
        <v>20</v>
      </c>
    </row>
    <row r="179" spans="1:23" x14ac:dyDescent="0.25">
      <c r="A179">
        <v>6</v>
      </c>
      <c r="B179" t="s">
        <v>236</v>
      </c>
      <c r="C179" t="str">
        <f>HYPERLINK("http://www.ncbi.nlm.nih.gov/protein/XP_020640105.1","XP_020640105.1")</f>
        <v>XP_020640105.1</v>
      </c>
      <c r="D179">
        <v>38807</v>
      </c>
      <c r="E179" t="str">
        <f>HYPERLINK("http://www.ncbi.nlm.nih.gov/Taxonomy/Browser/wwwtax.cgi?mode=Info&amp;id=103695&amp;lvl=3&amp;lin=f&amp;keep=1&amp;srchmode=1&amp;unlock","103695")</f>
        <v>103695</v>
      </c>
      <c r="F179" t="s">
        <v>236</v>
      </c>
      <c r="G179" t="str">
        <f>HYPERLINK("http://www.ncbi.nlm.nih.gov/Taxonomy/Browser/wwwtax.cgi?mode=Info&amp;id=103695&amp;lvl=3&amp;lin=f&amp;keep=1&amp;srchmode=1&amp;unlock","Pogona vitticeps")</f>
        <v>Pogona vitticeps</v>
      </c>
      <c r="H179" t="s">
        <v>618</v>
      </c>
      <c r="I179" t="str">
        <f>HYPERLINK("http://www.ncbi.nlm.nih.gov/protein/XP_020640105.1","androgen receptor-like")</f>
        <v>androgen receptor-like</v>
      </c>
      <c r="J179" t="s">
        <v>1321</v>
      </c>
      <c r="K179" t="s">
        <v>20</v>
      </c>
      <c r="L179">
        <v>234</v>
      </c>
      <c r="M179" t="s">
        <v>25</v>
      </c>
      <c r="N179" t="s">
        <v>20</v>
      </c>
      <c r="O179">
        <v>240</v>
      </c>
      <c r="P179" t="s">
        <v>1313</v>
      </c>
      <c r="Q179" t="s">
        <v>20</v>
      </c>
      <c r="R179">
        <v>281</v>
      </c>
      <c r="S179" t="s">
        <v>1314</v>
      </c>
      <c r="T179" t="s">
        <v>20</v>
      </c>
      <c r="U179">
        <v>406</v>
      </c>
      <c r="V179" t="s">
        <v>1315</v>
      </c>
      <c r="W179" t="s">
        <v>20</v>
      </c>
    </row>
    <row r="180" spans="1:23" x14ac:dyDescent="0.25">
      <c r="A180">
        <v>6</v>
      </c>
      <c r="B180" t="s">
        <v>236</v>
      </c>
      <c r="C180" t="str">
        <f>HYPERLINK("http://www.ncbi.nlm.nih.gov/protein/XP_015275174.1","XP_015275174.1")</f>
        <v>XP_015275174.1</v>
      </c>
      <c r="D180">
        <v>24675</v>
      </c>
      <c r="E180" t="str">
        <f>HYPERLINK("http://www.ncbi.nlm.nih.gov/Taxonomy/Browser/wwwtax.cgi?mode=Info&amp;id=146911&amp;lvl=3&amp;lin=f&amp;keep=1&amp;srchmode=1&amp;unlock","146911")</f>
        <v>146911</v>
      </c>
      <c r="F180" t="s">
        <v>236</v>
      </c>
      <c r="G180" t="str">
        <f>HYPERLINK("http://www.ncbi.nlm.nih.gov/Taxonomy/Browser/wwwtax.cgi?mode=Info&amp;id=146911&amp;lvl=3&amp;lin=f&amp;keep=1&amp;srchmode=1&amp;unlock","Gekko japonicus")</f>
        <v>Gekko japonicus</v>
      </c>
      <c r="H180" t="s">
        <v>650</v>
      </c>
      <c r="I180" t="str">
        <f>HYPERLINK("http://www.ncbi.nlm.nih.gov/protein/XP_015275174.1","PREDICTED: androgen receptor")</f>
        <v>PREDICTED: androgen receptor</v>
      </c>
      <c r="J180" t="s">
        <v>1321</v>
      </c>
      <c r="K180" t="s">
        <v>20</v>
      </c>
      <c r="L180">
        <v>231</v>
      </c>
      <c r="M180" t="s">
        <v>25</v>
      </c>
      <c r="N180" t="s">
        <v>20</v>
      </c>
      <c r="O180">
        <v>237</v>
      </c>
      <c r="P180" t="s">
        <v>1313</v>
      </c>
      <c r="Q180" t="s">
        <v>20</v>
      </c>
      <c r="R180">
        <v>278</v>
      </c>
      <c r="S180" t="s">
        <v>1314</v>
      </c>
      <c r="T180" t="s">
        <v>20</v>
      </c>
      <c r="U180">
        <v>403</v>
      </c>
      <c r="V180" t="s">
        <v>1315</v>
      </c>
      <c r="W180" t="s">
        <v>20</v>
      </c>
    </row>
    <row r="181" spans="1:23" x14ac:dyDescent="0.25">
      <c r="A181">
        <v>6</v>
      </c>
      <c r="B181" t="s">
        <v>236</v>
      </c>
      <c r="C181" t="str">
        <f>HYPERLINK("http://www.ncbi.nlm.nih.gov/protein/XP_028571620.1","XP_028571620.1")</f>
        <v>XP_028571620.1</v>
      </c>
      <c r="D181">
        <v>51243</v>
      </c>
      <c r="E181" t="str">
        <f>HYPERLINK("http://www.ncbi.nlm.nih.gov/Taxonomy/Browser/wwwtax.cgi?mode=Info&amp;id=64176&amp;lvl=3&amp;lin=f&amp;keep=1&amp;srchmode=1&amp;unlock","64176")</f>
        <v>64176</v>
      </c>
      <c r="F181" t="s">
        <v>236</v>
      </c>
      <c r="G181" t="str">
        <f>HYPERLINK("http://www.ncbi.nlm.nih.gov/Taxonomy/Browser/wwwtax.cgi?mode=Info&amp;id=64176&amp;lvl=3&amp;lin=f&amp;keep=1&amp;srchmode=1&amp;unlock","Podarcis muralis")</f>
        <v>Podarcis muralis</v>
      </c>
      <c r="H181" t="s">
        <v>420</v>
      </c>
      <c r="I181" t="str">
        <f>HYPERLINK("http://www.ncbi.nlm.nih.gov/protein/XP_028571620.1","androgen receptor")</f>
        <v>androgen receptor</v>
      </c>
      <c r="J181" t="s">
        <v>1321</v>
      </c>
      <c r="K181" t="s">
        <v>20</v>
      </c>
      <c r="L181">
        <v>174</v>
      </c>
      <c r="M181" t="s">
        <v>25</v>
      </c>
      <c r="N181" t="s">
        <v>20</v>
      </c>
      <c r="O181">
        <v>180</v>
      </c>
      <c r="P181" t="s">
        <v>1316</v>
      </c>
      <c r="Q181" t="s">
        <v>20</v>
      </c>
      <c r="R181">
        <v>221</v>
      </c>
      <c r="S181" t="s">
        <v>1314</v>
      </c>
      <c r="T181" t="s">
        <v>20</v>
      </c>
      <c r="U181">
        <v>346</v>
      </c>
      <c r="V181" t="s">
        <v>1315</v>
      </c>
      <c r="W181" t="s">
        <v>20</v>
      </c>
    </row>
    <row r="182" spans="1:23" x14ac:dyDescent="0.25">
      <c r="A182">
        <v>6</v>
      </c>
      <c r="B182" t="s">
        <v>236</v>
      </c>
      <c r="C182" t="str">
        <f>HYPERLINK("http://www.ncbi.nlm.nih.gov/protein/BAJ15431.1","BAJ15431.1")</f>
        <v>BAJ15431.1</v>
      </c>
      <c r="D182">
        <v>688</v>
      </c>
      <c r="E182" t="str">
        <f>HYPERLINK("http://www.ncbi.nlm.nih.gov/Taxonomy/Browser/wwwtax.cgi?mode=Info&amp;id=88087&amp;lvl=3&amp;lin=f&amp;keep=1&amp;srchmode=1&amp;unlock","88087")</f>
        <v>88087</v>
      </c>
      <c r="F182" t="s">
        <v>236</v>
      </c>
      <c r="G182" t="str">
        <f>HYPERLINK("http://www.ncbi.nlm.nih.gov/Taxonomy/Browser/wwwtax.cgi?mode=Info&amp;id=88087&amp;lvl=3&amp;lin=f&amp;keep=1&amp;srchmode=1&amp;unlock","Protobothrops flavoviridis")</f>
        <v>Protobothrops flavoviridis</v>
      </c>
      <c r="H182" t="s">
        <v>983</v>
      </c>
      <c r="I182" t="str">
        <f>HYPERLINK("http://www.ncbi.nlm.nih.gov/protein/BAJ15431.1","androgen receptor")</f>
        <v>androgen receptor</v>
      </c>
      <c r="J182" t="s">
        <v>1321</v>
      </c>
      <c r="K182" t="s">
        <v>20</v>
      </c>
      <c r="L182">
        <v>169</v>
      </c>
      <c r="M182" t="s">
        <v>25</v>
      </c>
      <c r="N182" t="s">
        <v>20</v>
      </c>
      <c r="O182">
        <v>175</v>
      </c>
      <c r="P182" t="s">
        <v>1316</v>
      </c>
      <c r="Q182" t="s">
        <v>20</v>
      </c>
      <c r="R182">
        <v>216</v>
      </c>
      <c r="S182" t="s">
        <v>1314</v>
      </c>
      <c r="T182" t="s">
        <v>20</v>
      </c>
      <c r="U182">
        <v>341</v>
      </c>
      <c r="V182" t="s">
        <v>1315</v>
      </c>
      <c r="W182" t="s">
        <v>20</v>
      </c>
    </row>
    <row r="183" spans="1:23" x14ac:dyDescent="0.25">
      <c r="A183">
        <v>6</v>
      </c>
      <c r="B183" t="s">
        <v>236</v>
      </c>
      <c r="C183" t="str">
        <f>HYPERLINK("http://www.ncbi.nlm.nih.gov/protein/XP_008118585.1","XP_008118585.1")</f>
        <v>XP_008118585.1</v>
      </c>
      <c r="D183">
        <v>35704</v>
      </c>
      <c r="E183" t="str">
        <f>HYPERLINK("http://www.ncbi.nlm.nih.gov/Taxonomy/Browser/wwwtax.cgi?mode=Info&amp;id=28377&amp;lvl=3&amp;lin=f&amp;keep=1&amp;srchmode=1&amp;unlock","28377")</f>
        <v>28377</v>
      </c>
      <c r="F183" t="s">
        <v>236</v>
      </c>
      <c r="G183" t="str">
        <f>HYPERLINK("http://www.ncbi.nlm.nih.gov/Taxonomy/Browser/wwwtax.cgi?mode=Info&amp;id=28377&amp;lvl=3&amp;lin=f&amp;keep=1&amp;srchmode=1&amp;unlock","Anolis carolinensis")</f>
        <v>Anolis carolinensis</v>
      </c>
      <c r="H183" t="s">
        <v>474</v>
      </c>
      <c r="I183" t="str">
        <f>HYPERLINK("http://www.ncbi.nlm.nih.gov/protein/XP_008118585.1","PREDICTED: androgen receptor")</f>
        <v>PREDICTED: androgen receptor</v>
      </c>
      <c r="J183" t="s">
        <v>1321</v>
      </c>
      <c r="K183" t="s">
        <v>20</v>
      </c>
      <c r="L183">
        <v>229</v>
      </c>
      <c r="M183" t="s">
        <v>25</v>
      </c>
      <c r="N183" t="s">
        <v>20</v>
      </c>
      <c r="O183">
        <v>235</v>
      </c>
      <c r="P183" t="s">
        <v>1313</v>
      </c>
      <c r="Q183" t="s">
        <v>20</v>
      </c>
      <c r="R183">
        <v>276</v>
      </c>
      <c r="S183" t="s">
        <v>1314</v>
      </c>
      <c r="T183" t="s">
        <v>20</v>
      </c>
      <c r="U183">
        <v>401</v>
      </c>
      <c r="V183" t="s">
        <v>1315</v>
      </c>
      <c r="W183" t="s">
        <v>20</v>
      </c>
    </row>
    <row r="184" spans="1:23" x14ac:dyDescent="0.25">
      <c r="A184">
        <v>6</v>
      </c>
      <c r="B184" t="s">
        <v>236</v>
      </c>
      <c r="C184" t="str">
        <f>HYPERLINK("http://www.ncbi.nlm.nih.gov/protein/BAJ15432.1","BAJ15432.1")</f>
        <v>BAJ15432.1</v>
      </c>
      <c r="D184">
        <v>216</v>
      </c>
      <c r="E184" t="str">
        <f>HYPERLINK("http://www.ncbi.nlm.nih.gov/Taxonomy/Browser/wwwtax.cgi?mode=Info&amp;id=86195&amp;lvl=3&amp;lin=f&amp;keep=1&amp;srchmode=1&amp;unlock","86195")</f>
        <v>86195</v>
      </c>
      <c r="F184" t="s">
        <v>236</v>
      </c>
      <c r="G184" t="str">
        <f>HYPERLINK("http://www.ncbi.nlm.nih.gov/Taxonomy/Browser/wwwtax.cgi?mode=Info&amp;id=86195&amp;lvl=3&amp;lin=f&amp;keep=1&amp;srchmode=1&amp;unlock","Elaphe quadrivirgata")</f>
        <v>Elaphe quadrivirgata</v>
      </c>
      <c r="H184" t="s">
        <v>990</v>
      </c>
      <c r="I184" t="str">
        <f>HYPERLINK("http://www.ncbi.nlm.nih.gov/protein/BAJ15432.1","androgen receptor")</f>
        <v>androgen receptor</v>
      </c>
      <c r="J184" t="s">
        <v>1321</v>
      </c>
      <c r="K184" t="s">
        <v>20</v>
      </c>
      <c r="L184">
        <v>169</v>
      </c>
      <c r="M184" t="s">
        <v>25</v>
      </c>
      <c r="N184" t="s">
        <v>20</v>
      </c>
      <c r="O184">
        <v>175</v>
      </c>
      <c r="P184" t="s">
        <v>1316</v>
      </c>
      <c r="Q184" t="s">
        <v>20</v>
      </c>
      <c r="R184">
        <v>216</v>
      </c>
      <c r="S184" t="s">
        <v>1314</v>
      </c>
      <c r="T184" t="s">
        <v>20</v>
      </c>
      <c r="U184">
        <v>341</v>
      </c>
      <c r="V184" t="s">
        <v>1315</v>
      </c>
      <c r="W184" t="s">
        <v>20</v>
      </c>
    </row>
    <row r="185" spans="1:23" x14ac:dyDescent="0.25">
      <c r="A185">
        <v>6</v>
      </c>
      <c r="B185" t="s">
        <v>236</v>
      </c>
      <c r="C185" t="str">
        <f>HYPERLINK("http://www.ncbi.nlm.nih.gov/protein/XP_007435613.1","XP_007435613.1")</f>
        <v>XP_007435613.1</v>
      </c>
      <c r="D185">
        <v>32860</v>
      </c>
      <c r="E185" t="str">
        <f>HYPERLINK("http://www.ncbi.nlm.nih.gov/Taxonomy/Browser/wwwtax.cgi?mode=Info&amp;id=176946&amp;lvl=3&amp;lin=f&amp;keep=1&amp;srchmode=1&amp;unlock","176946")</f>
        <v>176946</v>
      </c>
      <c r="F185" t="s">
        <v>236</v>
      </c>
      <c r="G185" t="str">
        <f>HYPERLINK("http://www.ncbi.nlm.nih.gov/Taxonomy/Browser/wwwtax.cgi?mode=Info&amp;id=176946&amp;lvl=3&amp;lin=f&amp;keep=1&amp;srchmode=1&amp;unlock","Python bivittatus")</f>
        <v>Python bivittatus</v>
      </c>
      <c r="H185" t="s">
        <v>237</v>
      </c>
      <c r="I185" t="str">
        <f>HYPERLINK("http://www.ncbi.nlm.nih.gov/protein/XP_007435613.1","androgen receptor")</f>
        <v>androgen receptor</v>
      </c>
      <c r="J185" t="s">
        <v>1321</v>
      </c>
      <c r="K185" t="s">
        <v>20</v>
      </c>
      <c r="L185">
        <v>235</v>
      </c>
      <c r="M185" t="s">
        <v>25</v>
      </c>
      <c r="N185" t="s">
        <v>20</v>
      </c>
      <c r="O185">
        <v>241</v>
      </c>
      <c r="P185" t="s">
        <v>1316</v>
      </c>
      <c r="Q185" t="s">
        <v>20</v>
      </c>
      <c r="R185">
        <v>282</v>
      </c>
      <c r="S185" t="s">
        <v>1314</v>
      </c>
      <c r="T185" t="s">
        <v>20</v>
      </c>
      <c r="U185">
        <v>407</v>
      </c>
      <c r="V185" t="s">
        <v>1315</v>
      </c>
      <c r="W185" t="s">
        <v>20</v>
      </c>
    </row>
    <row r="186" spans="1:23" x14ac:dyDescent="0.25">
      <c r="A186">
        <v>6</v>
      </c>
      <c r="B186" t="s">
        <v>236</v>
      </c>
      <c r="C186" t="str">
        <f>HYPERLINK("http://www.ncbi.nlm.nih.gov/protein/XP_013927643.1","XP_013927643.1")</f>
        <v>XP_013927643.1</v>
      </c>
      <c r="D186">
        <v>25644</v>
      </c>
      <c r="E186" t="str">
        <f>HYPERLINK("http://www.ncbi.nlm.nih.gov/Taxonomy/Browser/wwwtax.cgi?mode=Info&amp;id=35019&amp;lvl=3&amp;lin=f&amp;keep=1&amp;srchmode=1&amp;unlock","35019")</f>
        <v>35019</v>
      </c>
      <c r="F186" t="s">
        <v>236</v>
      </c>
      <c r="G186" t="str">
        <f>HYPERLINK("http://www.ncbi.nlm.nih.gov/Taxonomy/Browser/wwwtax.cgi?mode=Info&amp;id=35019&amp;lvl=3&amp;lin=f&amp;keep=1&amp;srchmode=1&amp;unlock","Thamnophis sirtalis")</f>
        <v>Thamnophis sirtalis</v>
      </c>
      <c r="H186" t="s">
        <v>653</v>
      </c>
      <c r="I186" t="str">
        <f>HYPERLINK("http://www.ncbi.nlm.nih.gov/protein/XP_013927643.1","PREDICTED: androgen receptor")</f>
        <v>PREDICTED: androgen receptor</v>
      </c>
      <c r="J186" t="s">
        <v>1321</v>
      </c>
      <c r="K186" t="s">
        <v>25</v>
      </c>
      <c r="L186" t="s">
        <v>1317</v>
      </c>
      <c r="M186" t="s">
        <v>1317</v>
      </c>
      <c r="N186" t="s">
        <v>25</v>
      </c>
      <c r="O186" t="s">
        <v>1317</v>
      </c>
      <c r="P186" t="s">
        <v>1317</v>
      </c>
      <c r="Q186" t="s">
        <v>25</v>
      </c>
      <c r="R186">
        <v>19</v>
      </c>
      <c r="S186" t="s">
        <v>1314</v>
      </c>
      <c r="T186" t="s">
        <v>20</v>
      </c>
      <c r="U186">
        <v>144</v>
      </c>
      <c r="V186" t="s">
        <v>1315</v>
      </c>
      <c r="W186" t="s">
        <v>20</v>
      </c>
    </row>
    <row r="187" spans="1:23" x14ac:dyDescent="0.25">
      <c r="A187">
        <v>6</v>
      </c>
      <c r="B187" t="s">
        <v>236</v>
      </c>
      <c r="C187" t="str">
        <f>HYPERLINK("http://www.ncbi.nlm.nih.gov/protein/KAF7241998.1","KAF7241998.1")</f>
        <v>KAF7241998.1</v>
      </c>
      <c r="D187">
        <v>18342</v>
      </c>
      <c r="E187" t="str">
        <f>HYPERLINK("http://www.ncbi.nlm.nih.gov/Taxonomy/Browser/wwwtax.cgi?mode=Info&amp;id=61221&amp;lvl=3&amp;lin=f&amp;keep=1&amp;srchmode=1&amp;unlock","61221")</f>
        <v>61221</v>
      </c>
      <c r="F187" t="s">
        <v>236</v>
      </c>
      <c r="G187" t="str">
        <f>HYPERLINK("http://www.ncbi.nlm.nih.gov/Taxonomy/Browser/wwwtax.cgi?mode=Info&amp;id=61221&amp;lvl=3&amp;lin=f&amp;keep=1&amp;srchmode=1&amp;unlock","Varanus komodoensis")</f>
        <v>Varanus komodoensis</v>
      </c>
      <c r="H187" t="s">
        <v>333</v>
      </c>
      <c r="I187" t="str">
        <f>HYPERLINK("http://www.ncbi.nlm.nih.gov/protein/KAF7241998.1","Androgen receptor")</f>
        <v>Androgen receptor</v>
      </c>
      <c r="J187" t="s">
        <v>1321</v>
      </c>
      <c r="K187" t="s">
        <v>25</v>
      </c>
      <c r="L187" t="s">
        <v>1317</v>
      </c>
      <c r="M187" t="s">
        <v>1317</v>
      </c>
      <c r="N187" t="s">
        <v>25</v>
      </c>
      <c r="O187" t="s">
        <v>1317</v>
      </c>
      <c r="P187" t="s">
        <v>1317</v>
      </c>
      <c r="Q187" t="s">
        <v>25</v>
      </c>
      <c r="R187">
        <v>19</v>
      </c>
      <c r="S187" t="s">
        <v>1314</v>
      </c>
      <c r="T187" t="s">
        <v>20</v>
      </c>
      <c r="U187">
        <v>144</v>
      </c>
      <c r="V187" t="s">
        <v>1315</v>
      </c>
      <c r="W187" t="s">
        <v>20</v>
      </c>
    </row>
    <row r="188" spans="1:23" x14ac:dyDescent="0.25">
      <c r="A188">
        <v>6</v>
      </c>
      <c r="B188" t="s">
        <v>321</v>
      </c>
      <c r="C188" t="str">
        <f>HYPERLINK("http://www.ncbi.nlm.nih.gov/protein/XP_039344727.1","XP_039344727.1")</f>
        <v>XP_039344727.1</v>
      </c>
      <c r="D188">
        <v>67728</v>
      </c>
      <c r="E188" t="str">
        <f>HYPERLINK("http://www.ncbi.nlm.nih.gov/Taxonomy/Browser/wwwtax.cgi?mode=Info&amp;id=260615&amp;lvl=3&amp;lin=f&amp;keep=1&amp;srchmode=1&amp;unlock","260615")</f>
        <v>260615</v>
      </c>
      <c r="F188" t="s">
        <v>321</v>
      </c>
      <c r="G188" t="str">
        <f>HYPERLINK("http://www.ncbi.nlm.nih.gov/Taxonomy/Browser/wwwtax.cgi?mode=Info&amp;id=260615&amp;lvl=3&amp;lin=f&amp;keep=1&amp;srchmode=1&amp;unlock","Mauremys reevesii")</f>
        <v>Mauremys reevesii</v>
      </c>
      <c r="H188" t="s">
        <v>362</v>
      </c>
      <c r="I188" t="str">
        <f>HYPERLINK("http://www.ncbi.nlm.nih.gov/protein/XP_039344727.1","androgen receptor")</f>
        <v>androgen receptor</v>
      </c>
      <c r="J188" t="s">
        <v>1322</v>
      </c>
      <c r="K188" t="s">
        <v>20</v>
      </c>
      <c r="L188">
        <v>576</v>
      </c>
      <c r="M188" t="s">
        <v>25</v>
      </c>
      <c r="N188" t="s">
        <v>20</v>
      </c>
      <c r="O188">
        <v>582</v>
      </c>
      <c r="P188" t="s">
        <v>1313</v>
      </c>
      <c r="Q188" t="s">
        <v>20</v>
      </c>
      <c r="R188">
        <v>623</v>
      </c>
      <c r="S188" t="s">
        <v>1314</v>
      </c>
      <c r="T188" t="s">
        <v>20</v>
      </c>
      <c r="U188">
        <v>748</v>
      </c>
      <c r="V188" t="s">
        <v>1315</v>
      </c>
      <c r="W188" t="s">
        <v>20</v>
      </c>
    </row>
    <row r="189" spans="1:23" x14ac:dyDescent="0.25">
      <c r="A189">
        <v>6</v>
      </c>
      <c r="B189" t="s">
        <v>321</v>
      </c>
      <c r="C189" t="str">
        <f>HYPERLINK("http://www.ncbi.nlm.nih.gov/protein/XP_030431532.1","XP_030431532.1")</f>
        <v>XP_030431532.1</v>
      </c>
      <c r="D189">
        <v>50866</v>
      </c>
      <c r="E189" t="str">
        <f>HYPERLINK("http://www.ncbi.nlm.nih.gov/Taxonomy/Browser/wwwtax.cgi?mode=Info&amp;id=1825980&amp;lvl=3&amp;lin=f&amp;keep=1&amp;srchmode=1&amp;unlock","1825980")</f>
        <v>1825980</v>
      </c>
      <c r="F189" t="s">
        <v>321</v>
      </c>
      <c r="G189" t="str">
        <f>HYPERLINK("http://www.ncbi.nlm.nih.gov/Taxonomy/Browser/wwwtax.cgi?mode=Info&amp;id=1825980&amp;lvl=3&amp;lin=f&amp;keep=1&amp;srchmode=1&amp;unlock","Gopherus evgoodei")</f>
        <v>Gopherus evgoodei</v>
      </c>
      <c r="H189" t="s">
        <v>398</v>
      </c>
      <c r="I189" t="str">
        <f>HYPERLINK("http://www.ncbi.nlm.nih.gov/protein/XP_030431532.1","androgen receptor isoform X2")</f>
        <v>androgen receptor isoform X2</v>
      </c>
      <c r="J189" t="s">
        <v>1322</v>
      </c>
      <c r="K189" t="s">
        <v>20</v>
      </c>
      <c r="L189">
        <v>576</v>
      </c>
      <c r="M189" t="s">
        <v>25</v>
      </c>
      <c r="N189" t="s">
        <v>20</v>
      </c>
      <c r="O189">
        <v>582</v>
      </c>
      <c r="P189" t="s">
        <v>1313</v>
      </c>
      <c r="Q189" t="s">
        <v>20</v>
      </c>
      <c r="R189">
        <v>623</v>
      </c>
      <c r="S189" t="s">
        <v>1314</v>
      </c>
      <c r="T189" t="s">
        <v>20</v>
      </c>
      <c r="U189">
        <v>748</v>
      </c>
      <c r="V189" t="s">
        <v>1315</v>
      </c>
      <c r="W189" t="s">
        <v>20</v>
      </c>
    </row>
    <row r="190" spans="1:23" x14ac:dyDescent="0.25">
      <c r="A190">
        <v>6</v>
      </c>
      <c r="B190" t="s">
        <v>321</v>
      </c>
      <c r="C190" t="str">
        <f>HYPERLINK("http://www.ncbi.nlm.nih.gov/protein/XP_032619939.1","XP_032619939.1")</f>
        <v>XP_032619939.1</v>
      </c>
      <c r="D190">
        <v>44406</v>
      </c>
      <c r="E190" t="str">
        <f>HYPERLINK("http://www.ncbi.nlm.nih.gov/Taxonomy/Browser/wwwtax.cgi?mode=Info&amp;id=106734&amp;lvl=3&amp;lin=f&amp;keep=1&amp;srchmode=1&amp;unlock","106734")</f>
        <v>106734</v>
      </c>
      <c r="F190" t="s">
        <v>321</v>
      </c>
      <c r="G190" t="str">
        <f>HYPERLINK("http://www.ncbi.nlm.nih.gov/Taxonomy/Browser/wwwtax.cgi?mode=Info&amp;id=106734&amp;lvl=3&amp;lin=f&amp;keep=1&amp;srchmode=1&amp;unlock","Chelonoidis abingdonii")</f>
        <v>Chelonoidis abingdonii</v>
      </c>
      <c r="H190" t="s">
        <v>330</v>
      </c>
      <c r="I190" t="str">
        <f>HYPERLINK("http://www.ncbi.nlm.nih.gov/protein/XP_032619939.1","androgen receptor")</f>
        <v>androgen receptor</v>
      </c>
      <c r="J190" t="s">
        <v>1322</v>
      </c>
      <c r="K190" t="s">
        <v>20</v>
      </c>
      <c r="L190">
        <v>576</v>
      </c>
      <c r="M190" t="s">
        <v>25</v>
      </c>
      <c r="N190" t="s">
        <v>20</v>
      </c>
      <c r="O190">
        <v>582</v>
      </c>
      <c r="P190" t="s">
        <v>1313</v>
      </c>
      <c r="Q190" t="s">
        <v>20</v>
      </c>
      <c r="R190">
        <v>623</v>
      </c>
      <c r="S190" t="s">
        <v>1314</v>
      </c>
      <c r="T190" t="s">
        <v>20</v>
      </c>
      <c r="U190">
        <v>748</v>
      </c>
      <c r="V190" t="s">
        <v>1315</v>
      </c>
      <c r="W190" t="s">
        <v>20</v>
      </c>
    </row>
    <row r="191" spans="1:23" x14ac:dyDescent="0.25">
      <c r="A191">
        <v>6</v>
      </c>
      <c r="B191" t="s">
        <v>321</v>
      </c>
      <c r="C191" t="str">
        <f>HYPERLINK("http://www.ncbi.nlm.nih.gov/protein/XP_024053085.1","XP_024053085.1")</f>
        <v>XP_024053085.1</v>
      </c>
      <c r="D191">
        <v>34224</v>
      </c>
      <c r="E191" t="str">
        <f>HYPERLINK("http://www.ncbi.nlm.nih.gov/Taxonomy/Browser/wwwtax.cgi?mode=Info&amp;id=2587831&amp;lvl=3&amp;lin=f&amp;keep=1&amp;srchmode=1&amp;unlock","2587831")</f>
        <v>2587831</v>
      </c>
      <c r="F191" t="s">
        <v>321</v>
      </c>
      <c r="G191" t="str">
        <f>HYPERLINK("http://www.ncbi.nlm.nih.gov/Taxonomy/Browser/wwwtax.cgi?mode=Info&amp;id=2587831&amp;lvl=3&amp;lin=f&amp;keep=1&amp;srchmode=1&amp;unlock","Terrapene carolina triunguis")</f>
        <v>Terrapene carolina triunguis</v>
      </c>
      <c r="H191" t="s">
        <v>322</v>
      </c>
      <c r="I191" t="str">
        <f>HYPERLINK("http://www.ncbi.nlm.nih.gov/protein/XP_024053085.1","androgen receptor")</f>
        <v>androgen receptor</v>
      </c>
      <c r="J191" t="s">
        <v>1322</v>
      </c>
      <c r="K191" t="s">
        <v>20</v>
      </c>
      <c r="L191">
        <v>576</v>
      </c>
      <c r="M191" t="s">
        <v>25</v>
      </c>
      <c r="N191" t="s">
        <v>20</v>
      </c>
      <c r="O191">
        <v>582</v>
      </c>
      <c r="P191" t="s">
        <v>1313</v>
      </c>
      <c r="Q191" t="s">
        <v>20</v>
      </c>
      <c r="R191">
        <v>623</v>
      </c>
      <c r="S191" t="s">
        <v>1314</v>
      </c>
      <c r="T191" t="s">
        <v>20</v>
      </c>
      <c r="U191">
        <v>748</v>
      </c>
      <c r="V191" t="s">
        <v>1315</v>
      </c>
      <c r="W191" t="s">
        <v>20</v>
      </c>
    </row>
    <row r="192" spans="1:23" x14ac:dyDescent="0.25">
      <c r="A192">
        <v>6</v>
      </c>
      <c r="B192" t="s">
        <v>321</v>
      </c>
      <c r="C192" t="str">
        <f>HYPERLINK("http://www.ncbi.nlm.nih.gov/protein/BAF91192.1","BAF91192.1")</f>
        <v>BAF91192.1</v>
      </c>
      <c r="D192">
        <v>54</v>
      </c>
      <c r="E192" t="str">
        <f>HYPERLINK("http://www.ncbi.nlm.nih.gov/Taxonomy/Browser/wwwtax.cgi?mode=Info&amp;id=301539&amp;lvl=3&amp;lin=f&amp;keep=1&amp;srchmode=1&amp;unlock","301539")</f>
        <v>301539</v>
      </c>
      <c r="F192" t="s">
        <v>321</v>
      </c>
      <c r="G192" t="str">
        <f>HYPERLINK("http://www.ncbi.nlm.nih.gov/Taxonomy/Browser/wwwtax.cgi?mode=Info&amp;id=301539&amp;lvl=3&amp;lin=f&amp;keep=1&amp;srchmode=1&amp;unlock","Pseudemys nelsoni")</f>
        <v>Pseudemys nelsoni</v>
      </c>
      <c r="H192" t="s">
        <v>974</v>
      </c>
      <c r="I192" t="str">
        <f>HYPERLINK("http://www.ncbi.nlm.nih.gov/protein/BAF91192.1","androgen receptor")</f>
        <v>androgen receptor</v>
      </c>
      <c r="J192" t="s">
        <v>1322</v>
      </c>
      <c r="K192" t="s">
        <v>20</v>
      </c>
      <c r="L192">
        <v>576</v>
      </c>
      <c r="M192" t="s">
        <v>25</v>
      </c>
      <c r="N192" t="s">
        <v>20</v>
      </c>
      <c r="O192">
        <v>582</v>
      </c>
      <c r="P192" t="s">
        <v>1313</v>
      </c>
      <c r="Q192" t="s">
        <v>20</v>
      </c>
      <c r="R192">
        <v>623</v>
      </c>
      <c r="S192" t="s">
        <v>1314</v>
      </c>
      <c r="T192" t="s">
        <v>20</v>
      </c>
      <c r="U192">
        <v>748</v>
      </c>
      <c r="V192" t="s">
        <v>1315</v>
      </c>
      <c r="W192" t="s">
        <v>20</v>
      </c>
    </row>
    <row r="193" spans="1:23" x14ac:dyDescent="0.25">
      <c r="A193">
        <v>6</v>
      </c>
      <c r="B193" t="s">
        <v>321</v>
      </c>
      <c r="C193" t="str">
        <f>HYPERLINK("http://www.ncbi.nlm.nih.gov/protein/XP_005279584.1","XP_005279584.1")</f>
        <v>XP_005279584.1</v>
      </c>
      <c r="D193">
        <v>46669</v>
      </c>
      <c r="E193" t="str">
        <f>HYPERLINK("http://www.ncbi.nlm.nih.gov/Taxonomy/Browser/wwwtax.cgi?mode=Info&amp;id=8478&amp;lvl=3&amp;lin=f&amp;keep=1&amp;srchmode=1&amp;unlock","8478")</f>
        <v>8478</v>
      </c>
      <c r="F193" t="s">
        <v>321</v>
      </c>
      <c r="G193" t="str">
        <f>HYPERLINK("http://www.ncbi.nlm.nih.gov/Taxonomy/Browser/wwwtax.cgi?mode=Info&amp;id=8478&amp;lvl=3&amp;lin=f&amp;keep=1&amp;srchmode=1&amp;unlock","Chrysemys picta bellii")</f>
        <v>Chrysemys picta bellii</v>
      </c>
      <c r="H193" t="s">
        <v>342</v>
      </c>
      <c r="I193" t="str">
        <f>HYPERLINK("http://www.ncbi.nlm.nih.gov/protein/XP_005279584.1","androgen receptor")</f>
        <v>androgen receptor</v>
      </c>
      <c r="J193" t="s">
        <v>1322</v>
      </c>
      <c r="K193" t="s">
        <v>20</v>
      </c>
      <c r="L193">
        <v>576</v>
      </c>
      <c r="M193" t="s">
        <v>25</v>
      </c>
      <c r="N193" t="s">
        <v>20</v>
      </c>
      <c r="O193">
        <v>582</v>
      </c>
      <c r="P193" t="s">
        <v>1313</v>
      </c>
      <c r="Q193" t="s">
        <v>20</v>
      </c>
      <c r="R193">
        <v>623</v>
      </c>
      <c r="S193" t="s">
        <v>1314</v>
      </c>
      <c r="T193" t="s">
        <v>20</v>
      </c>
      <c r="U193">
        <v>748</v>
      </c>
      <c r="V193" t="s">
        <v>1315</v>
      </c>
      <c r="W193" t="s">
        <v>20</v>
      </c>
    </row>
    <row r="194" spans="1:23" x14ac:dyDescent="0.25">
      <c r="A194">
        <v>6</v>
      </c>
      <c r="B194" t="s">
        <v>321</v>
      </c>
      <c r="C194" t="str">
        <f>HYPERLINK("http://www.ncbi.nlm.nih.gov/protein/XP_034637801.1","XP_034637801.1")</f>
        <v>XP_034637801.1</v>
      </c>
      <c r="D194">
        <v>42365</v>
      </c>
      <c r="E194" t="str">
        <f>HYPERLINK("http://www.ncbi.nlm.nih.gov/Taxonomy/Browser/wwwtax.cgi?mode=Info&amp;id=31138&amp;lvl=3&amp;lin=f&amp;keep=1&amp;srchmode=1&amp;unlock","31138")</f>
        <v>31138</v>
      </c>
      <c r="F194" t="s">
        <v>321</v>
      </c>
      <c r="G194" t="str">
        <f>HYPERLINK("http://www.ncbi.nlm.nih.gov/Taxonomy/Browser/wwwtax.cgi?mode=Info&amp;id=31138&amp;lvl=3&amp;lin=f&amp;keep=1&amp;srchmode=1&amp;unlock","Trachemys scripta elegans")</f>
        <v>Trachemys scripta elegans</v>
      </c>
      <c r="H194" t="s">
        <v>343</v>
      </c>
      <c r="I194" t="str">
        <f>HYPERLINK("http://www.ncbi.nlm.nih.gov/protein/XP_034637801.1","androgen receptor")</f>
        <v>androgen receptor</v>
      </c>
      <c r="J194" t="s">
        <v>1322</v>
      </c>
      <c r="K194" t="s">
        <v>20</v>
      </c>
      <c r="L194">
        <v>576</v>
      </c>
      <c r="M194" t="s">
        <v>25</v>
      </c>
      <c r="N194" t="s">
        <v>20</v>
      </c>
      <c r="O194">
        <v>582</v>
      </c>
      <c r="P194" t="s">
        <v>1313</v>
      </c>
      <c r="Q194" t="s">
        <v>20</v>
      </c>
      <c r="R194">
        <v>623</v>
      </c>
      <c r="S194" t="s">
        <v>1314</v>
      </c>
      <c r="T194" t="s">
        <v>20</v>
      </c>
      <c r="U194">
        <v>748</v>
      </c>
      <c r="V194" t="s">
        <v>1315</v>
      </c>
      <c r="W194" t="s">
        <v>20</v>
      </c>
    </row>
    <row r="195" spans="1:23" x14ac:dyDescent="0.25">
      <c r="A195">
        <v>6</v>
      </c>
      <c r="B195" t="s">
        <v>321</v>
      </c>
      <c r="C195" t="str">
        <f>HYPERLINK("http://www.ncbi.nlm.nih.gov/protein/XP_027678463.2","XP_027678463.2")</f>
        <v>XP_027678463.2</v>
      </c>
      <c r="D195">
        <v>69371</v>
      </c>
      <c r="E195" t="str">
        <f>HYPERLINK("http://www.ncbi.nlm.nih.gov/Taxonomy/Browser/wwwtax.cgi?mode=Info&amp;id=8469&amp;lvl=3&amp;lin=f&amp;keep=1&amp;srchmode=1&amp;unlock","8469")</f>
        <v>8469</v>
      </c>
      <c r="F195" t="s">
        <v>321</v>
      </c>
      <c r="G195" t="str">
        <f>HYPERLINK("http://www.ncbi.nlm.nih.gov/Taxonomy/Browser/wwwtax.cgi?mode=Info&amp;id=8469&amp;lvl=3&amp;lin=f&amp;keep=1&amp;srchmode=1&amp;unlock","Chelonia mydas")</f>
        <v>Chelonia mydas</v>
      </c>
      <c r="H195" t="s">
        <v>349</v>
      </c>
      <c r="I195" t="str">
        <f>HYPERLINK("http://www.ncbi.nlm.nih.gov/protein/XP_027678463.2","androgen receptor")</f>
        <v>androgen receptor</v>
      </c>
      <c r="J195" t="s">
        <v>1322</v>
      </c>
      <c r="K195" t="s">
        <v>20</v>
      </c>
      <c r="L195">
        <v>576</v>
      </c>
      <c r="M195" t="s">
        <v>25</v>
      </c>
      <c r="N195" t="s">
        <v>20</v>
      </c>
      <c r="O195">
        <v>582</v>
      </c>
      <c r="P195" t="s">
        <v>1313</v>
      </c>
      <c r="Q195" t="s">
        <v>20</v>
      </c>
      <c r="R195">
        <v>623</v>
      </c>
      <c r="S195" t="s">
        <v>1314</v>
      </c>
      <c r="T195" t="s">
        <v>20</v>
      </c>
      <c r="U195">
        <v>748</v>
      </c>
      <c r="V195" t="s">
        <v>1315</v>
      </c>
      <c r="W195" t="s">
        <v>20</v>
      </c>
    </row>
    <row r="196" spans="1:23" x14ac:dyDescent="0.25">
      <c r="A196">
        <v>6</v>
      </c>
      <c r="B196" t="s">
        <v>321</v>
      </c>
      <c r="C196" t="str">
        <f>HYPERLINK("http://www.ncbi.nlm.nih.gov/protein/XP_038273484.1","XP_038273484.1")</f>
        <v>XP_038273484.1</v>
      </c>
      <c r="D196">
        <v>55267</v>
      </c>
      <c r="E196" t="str">
        <f>HYPERLINK("http://www.ncbi.nlm.nih.gov/Taxonomy/Browser/wwwtax.cgi?mode=Info&amp;id=27794&amp;lvl=3&amp;lin=f&amp;keep=1&amp;srchmode=1&amp;unlock","27794")</f>
        <v>27794</v>
      </c>
      <c r="F196" t="s">
        <v>321</v>
      </c>
      <c r="G196" t="str">
        <f>HYPERLINK("http://www.ncbi.nlm.nih.gov/Taxonomy/Browser/wwwtax.cgi?mode=Info&amp;id=27794&amp;lvl=3&amp;lin=f&amp;keep=1&amp;srchmode=1&amp;unlock","Dermochelys coriacea")</f>
        <v>Dermochelys coriacea</v>
      </c>
      <c r="H196" t="s">
        <v>361</v>
      </c>
      <c r="I196" t="str">
        <f>HYPERLINK("http://www.ncbi.nlm.nih.gov/protein/XP_038273484.1","androgen receptor isoform X1")</f>
        <v>androgen receptor isoform X1</v>
      </c>
      <c r="J196" t="s">
        <v>1322</v>
      </c>
      <c r="K196" t="s">
        <v>20</v>
      </c>
      <c r="L196">
        <v>576</v>
      </c>
      <c r="M196" t="s">
        <v>25</v>
      </c>
      <c r="N196" t="s">
        <v>20</v>
      </c>
      <c r="O196">
        <v>582</v>
      </c>
      <c r="P196" t="s">
        <v>1313</v>
      </c>
      <c r="Q196" t="s">
        <v>20</v>
      </c>
      <c r="R196">
        <v>623</v>
      </c>
      <c r="S196" t="s">
        <v>1314</v>
      </c>
      <c r="T196" t="s">
        <v>20</v>
      </c>
      <c r="U196">
        <v>748</v>
      </c>
      <c r="V196" t="s">
        <v>1315</v>
      </c>
      <c r="W196" t="s">
        <v>20</v>
      </c>
    </row>
    <row r="197" spans="1:23" x14ac:dyDescent="0.25">
      <c r="A197">
        <v>6</v>
      </c>
      <c r="B197" t="s">
        <v>167</v>
      </c>
      <c r="C197" t="str">
        <f>HYPERLINK("http://www.ncbi.nlm.nih.gov/protein/XP_021261575.1","XP_021261575.1")</f>
        <v>XP_021261575.1</v>
      </c>
      <c r="D197">
        <v>43424</v>
      </c>
      <c r="E197" t="str">
        <f>HYPERLINK("http://www.ncbi.nlm.nih.gov/Taxonomy/Browser/wwwtax.cgi?mode=Info&amp;id=8996&amp;lvl=3&amp;lin=f&amp;keep=1&amp;srchmode=1&amp;unlock","8996")</f>
        <v>8996</v>
      </c>
      <c r="F197" t="s">
        <v>167</v>
      </c>
      <c r="G197" t="str">
        <f>HYPERLINK("http://www.ncbi.nlm.nih.gov/Taxonomy/Browser/wwwtax.cgi?mode=Info&amp;id=8996&amp;lvl=3&amp;lin=f&amp;keep=1&amp;srchmode=1&amp;unlock","Numida meleagris")</f>
        <v>Numida meleagris</v>
      </c>
      <c r="H197" t="s">
        <v>454</v>
      </c>
      <c r="I197" t="str">
        <f>HYPERLINK("http://www.ncbi.nlm.nih.gov/protein/XP_021261575.1","androgen receptor")</f>
        <v>androgen receptor</v>
      </c>
      <c r="J197" t="s">
        <v>1323</v>
      </c>
      <c r="K197" t="s">
        <v>20</v>
      </c>
      <c r="L197">
        <v>493</v>
      </c>
      <c r="M197" t="s">
        <v>25</v>
      </c>
      <c r="N197" t="s">
        <v>20</v>
      </c>
      <c r="O197">
        <v>499</v>
      </c>
      <c r="P197" t="s">
        <v>1313</v>
      </c>
      <c r="Q197" t="s">
        <v>20</v>
      </c>
      <c r="R197">
        <v>540</v>
      </c>
      <c r="S197" t="s">
        <v>1314</v>
      </c>
      <c r="T197" t="s">
        <v>20</v>
      </c>
      <c r="U197">
        <v>665</v>
      </c>
      <c r="V197" t="s">
        <v>1315</v>
      </c>
      <c r="W197" t="s">
        <v>20</v>
      </c>
    </row>
    <row r="198" spans="1:23" x14ac:dyDescent="0.25">
      <c r="A198">
        <v>6</v>
      </c>
      <c r="B198" t="s">
        <v>167</v>
      </c>
      <c r="C198" t="str">
        <f>HYPERLINK("http://www.ncbi.nlm.nih.gov/protein/XP_035397716.1","XP_035397716.1")</f>
        <v>XP_035397716.1</v>
      </c>
      <c r="D198">
        <v>36022</v>
      </c>
      <c r="E198" t="str">
        <f>HYPERLINK("http://www.ncbi.nlm.nih.gov/Taxonomy/Browser/wwwtax.cgi?mode=Info&amp;id=8868&amp;lvl=3&amp;lin=f&amp;keep=1&amp;srchmode=1&amp;unlock","8868")</f>
        <v>8868</v>
      </c>
      <c r="F198" t="s">
        <v>167</v>
      </c>
      <c r="G198" t="str">
        <f>HYPERLINK("http://www.ncbi.nlm.nih.gov/Taxonomy/Browser/wwwtax.cgi?mode=Info&amp;id=8868&amp;lvl=3&amp;lin=f&amp;keep=1&amp;srchmode=1&amp;unlock","Cygnus atratus")</f>
        <v>Cygnus atratus</v>
      </c>
      <c r="H198" t="s">
        <v>356</v>
      </c>
      <c r="I198" t="str">
        <f>HYPERLINK("http://www.ncbi.nlm.nih.gov/protein/XP_035397716.1","LOW QUALITY PROTEIN: androgen receptor")</f>
        <v>LOW QUALITY PROTEIN: androgen receptor</v>
      </c>
      <c r="J198" t="s">
        <v>1323</v>
      </c>
      <c r="K198" t="s">
        <v>20</v>
      </c>
      <c r="L198">
        <v>519</v>
      </c>
      <c r="M198" t="s">
        <v>25</v>
      </c>
      <c r="N198" t="s">
        <v>20</v>
      </c>
      <c r="O198">
        <v>525</v>
      </c>
      <c r="P198" t="s">
        <v>1313</v>
      </c>
      <c r="Q198" t="s">
        <v>20</v>
      </c>
      <c r="R198">
        <v>566</v>
      </c>
      <c r="S198" t="s">
        <v>1314</v>
      </c>
      <c r="T198" t="s">
        <v>20</v>
      </c>
      <c r="U198">
        <v>691</v>
      </c>
      <c r="V198" t="s">
        <v>1315</v>
      </c>
      <c r="W198" t="s">
        <v>20</v>
      </c>
    </row>
    <row r="199" spans="1:23" x14ac:dyDescent="0.25">
      <c r="A199">
        <v>6</v>
      </c>
      <c r="B199" t="s">
        <v>167</v>
      </c>
      <c r="C199" t="str">
        <f>HYPERLINK("http://www.ncbi.nlm.nih.gov/protein/XP_038039951.1","XP_038039951.1")</f>
        <v>XP_038039951.1</v>
      </c>
      <c r="D199">
        <v>63920</v>
      </c>
      <c r="E199" t="str">
        <f>HYPERLINK("http://www.ncbi.nlm.nih.gov/Taxonomy/Browser/wwwtax.cgi?mode=Info&amp;id=8839&amp;lvl=3&amp;lin=f&amp;keep=1&amp;srchmode=1&amp;unlock","8839")</f>
        <v>8839</v>
      </c>
      <c r="F199" t="s">
        <v>167</v>
      </c>
      <c r="G199" t="str">
        <f>HYPERLINK("http://www.ncbi.nlm.nih.gov/Taxonomy/Browser/wwwtax.cgi?mode=Info&amp;id=8839&amp;lvl=3&amp;lin=f&amp;keep=1&amp;srchmode=1&amp;unlock","Anas platyrhynchos")</f>
        <v>Anas platyrhynchos</v>
      </c>
      <c r="H199" t="s">
        <v>358</v>
      </c>
      <c r="I199" t="str">
        <f>HYPERLINK("http://www.ncbi.nlm.nih.gov/protein/XP_038039951.1","androgen receptor")</f>
        <v>androgen receptor</v>
      </c>
      <c r="J199" t="s">
        <v>1323</v>
      </c>
      <c r="K199" t="s">
        <v>20</v>
      </c>
      <c r="L199">
        <v>520</v>
      </c>
      <c r="M199" t="s">
        <v>25</v>
      </c>
      <c r="N199" t="s">
        <v>20</v>
      </c>
      <c r="O199">
        <v>526</v>
      </c>
      <c r="P199" t="s">
        <v>1313</v>
      </c>
      <c r="Q199" t="s">
        <v>20</v>
      </c>
      <c r="R199">
        <v>567</v>
      </c>
      <c r="S199" t="s">
        <v>1314</v>
      </c>
      <c r="T199" t="s">
        <v>20</v>
      </c>
      <c r="U199">
        <v>692</v>
      </c>
      <c r="V199" t="s">
        <v>1315</v>
      </c>
      <c r="W199" t="s">
        <v>20</v>
      </c>
    </row>
    <row r="200" spans="1:23" x14ac:dyDescent="0.25">
      <c r="A200">
        <v>6</v>
      </c>
      <c r="B200" t="s">
        <v>167</v>
      </c>
      <c r="C200" t="str">
        <f>HYPERLINK("http://www.ncbi.nlm.nih.gov/protein/XP_040427846.1","XP_040427846.1")</f>
        <v>XP_040427846.1</v>
      </c>
      <c r="D200">
        <v>47842</v>
      </c>
      <c r="E200" t="str">
        <f>HYPERLINK("http://www.ncbi.nlm.nih.gov/Taxonomy/Browser/wwwtax.cgi?mode=Info&amp;id=8869&amp;lvl=3&amp;lin=f&amp;keep=1&amp;srchmode=1&amp;unlock","8869")</f>
        <v>8869</v>
      </c>
      <c r="F200" t="s">
        <v>167</v>
      </c>
      <c r="G200" t="str">
        <f>HYPERLINK("http://www.ncbi.nlm.nih.gov/Taxonomy/Browser/wwwtax.cgi?mode=Info&amp;id=8869&amp;lvl=3&amp;lin=f&amp;keep=1&amp;srchmode=1&amp;unlock","Cygnus olor")</f>
        <v>Cygnus olor</v>
      </c>
      <c r="H200" t="s">
        <v>328</v>
      </c>
      <c r="I200" t="str">
        <f>HYPERLINK("http://www.ncbi.nlm.nih.gov/protein/XP_040427846.1","androgen receptor")</f>
        <v>androgen receptor</v>
      </c>
      <c r="J200" t="s">
        <v>1323</v>
      </c>
      <c r="K200" t="s">
        <v>20</v>
      </c>
      <c r="L200">
        <v>519</v>
      </c>
      <c r="M200" t="s">
        <v>25</v>
      </c>
      <c r="N200" t="s">
        <v>20</v>
      </c>
      <c r="O200">
        <v>525</v>
      </c>
      <c r="P200" t="s">
        <v>1313</v>
      </c>
      <c r="Q200" t="s">
        <v>20</v>
      </c>
      <c r="R200">
        <v>566</v>
      </c>
      <c r="S200" t="s">
        <v>1314</v>
      </c>
      <c r="T200" t="s">
        <v>20</v>
      </c>
      <c r="U200">
        <v>691</v>
      </c>
      <c r="V200" t="s">
        <v>1315</v>
      </c>
      <c r="W200" t="s">
        <v>20</v>
      </c>
    </row>
    <row r="201" spans="1:23" x14ac:dyDescent="0.25">
      <c r="A201">
        <v>6</v>
      </c>
      <c r="B201" t="s">
        <v>167</v>
      </c>
      <c r="C201" t="str">
        <f>HYPERLINK("http://www.ncbi.nlm.nih.gov/protein/XP_032051997.1","XP_032051997.1")</f>
        <v>XP_032051997.1</v>
      </c>
      <c r="D201">
        <v>27813</v>
      </c>
      <c r="E201" t="str">
        <f>HYPERLINK("http://www.ncbi.nlm.nih.gov/Taxonomy/Browser/wwwtax.cgi?mode=Info&amp;id=219594&amp;lvl=3&amp;lin=f&amp;keep=1&amp;srchmode=1&amp;unlock","219594")</f>
        <v>219594</v>
      </c>
      <c r="F201" t="s">
        <v>167</v>
      </c>
      <c r="G201" t="str">
        <f>HYPERLINK("http://www.ncbi.nlm.nih.gov/Taxonomy/Browser/wwwtax.cgi?mode=Info&amp;id=219594&amp;lvl=3&amp;lin=f&amp;keep=1&amp;srchmode=1&amp;unlock","Aythya fuligula")</f>
        <v>Aythya fuligula</v>
      </c>
      <c r="H201" t="s">
        <v>319</v>
      </c>
      <c r="I201" t="str">
        <f>HYPERLINK("http://www.ncbi.nlm.nih.gov/protein/XP_032051997.1","androgen receptor isoform X1")</f>
        <v>androgen receptor isoform X1</v>
      </c>
      <c r="J201" t="s">
        <v>1323</v>
      </c>
      <c r="K201" t="s">
        <v>20</v>
      </c>
      <c r="L201">
        <v>519</v>
      </c>
      <c r="M201" t="s">
        <v>25</v>
      </c>
      <c r="N201" t="s">
        <v>20</v>
      </c>
      <c r="O201">
        <v>525</v>
      </c>
      <c r="P201" t="s">
        <v>1313</v>
      </c>
      <c r="Q201" t="s">
        <v>20</v>
      </c>
      <c r="R201">
        <v>566</v>
      </c>
      <c r="S201" t="s">
        <v>1314</v>
      </c>
      <c r="T201" t="s">
        <v>20</v>
      </c>
      <c r="U201">
        <v>691</v>
      </c>
      <c r="V201" t="s">
        <v>1315</v>
      </c>
      <c r="W201" t="s">
        <v>20</v>
      </c>
    </row>
    <row r="202" spans="1:23" x14ac:dyDescent="0.25">
      <c r="A202">
        <v>6</v>
      </c>
      <c r="B202" t="s">
        <v>167</v>
      </c>
      <c r="C202" t="str">
        <f>HYPERLINK("http://www.ncbi.nlm.nih.gov/protein/NWZ19633.1","NWZ19633.1")</f>
        <v>NWZ19633.1</v>
      </c>
      <c r="D202">
        <v>14748</v>
      </c>
      <c r="E202" t="str">
        <f>HYPERLINK("http://www.ncbi.nlm.nih.gov/Taxonomy/Browser/wwwtax.cgi?mode=Info&amp;id=75869&amp;lvl=3&amp;lin=f&amp;keep=1&amp;srchmode=1&amp;unlock","75869")</f>
        <v>75869</v>
      </c>
      <c r="F202" t="s">
        <v>167</v>
      </c>
      <c r="G202" t="str">
        <f>HYPERLINK("http://www.ncbi.nlm.nih.gov/Taxonomy/Browser/wwwtax.cgi?mode=Info&amp;id=75869&amp;lvl=3&amp;lin=f&amp;keep=1&amp;srchmode=1&amp;unlock","Asarcornis scutulata")</f>
        <v>Asarcornis scutulata</v>
      </c>
      <c r="H202" t="s">
        <v>317</v>
      </c>
      <c r="I202" t="str">
        <f>HYPERLINK("http://www.ncbi.nlm.nih.gov/protein/NWZ19633.1","ANDR protein")</f>
        <v>ANDR protein</v>
      </c>
      <c r="J202" t="s">
        <v>1323</v>
      </c>
      <c r="K202" t="s">
        <v>20</v>
      </c>
      <c r="L202">
        <v>434</v>
      </c>
      <c r="M202" t="s">
        <v>25</v>
      </c>
      <c r="N202" t="s">
        <v>20</v>
      </c>
      <c r="O202">
        <v>440</v>
      </c>
      <c r="P202" t="s">
        <v>1313</v>
      </c>
      <c r="Q202" t="s">
        <v>20</v>
      </c>
      <c r="R202">
        <v>481</v>
      </c>
      <c r="S202" t="s">
        <v>1314</v>
      </c>
      <c r="T202" t="s">
        <v>20</v>
      </c>
      <c r="U202">
        <v>606</v>
      </c>
      <c r="V202" t="s">
        <v>1315</v>
      </c>
      <c r="W202" t="s">
        <v>20</v>
      </c>
    </row>
    <row r="203" spans="1:23" x14ac:dyDescent="0.25">
      <c r="A203">
        <v>6</v>
      </c>
      <c r="B203" t="s">
        <v>167</v>
      </c>
      <c r="C203" t="str">
        <f>HYPERLINK("http://www.ncbi.nlm.nih.gov/protein/XP_015715505.1","XP_015715505.1")</f>
        <v>XP_015715505.1</v>
      </c>
      <c r="D203">
        <v>41813</v>
      </c>
      <c r="E203" t="str">
        <f>HYPERLINK("http://www.ncbi.nlm.nih.gov/Taxonomy/Browser/wwwtax.cgi?mode=Info&amp;id=93934&amp;lvl=3&amp;lin=f&amp;keep=1&amp;srchmode=1&amp;unlock","93934")</f>
        <v>93934</v>
      </c>
      <c r="F203" t="s">
        <v>167</v>
      </c>
      <c r="G203" t="str">
        <f>HYPERLINK("http://www.ncbi.nlm.nih.gov/Taxonomy/Browser/wwwtax.cgi?mode=Info&amp;id=93934&amp;lvl=3&amp;lin=f&amp;keep=1&amp;srchmode=1&amp;unlock","Coturnix japonica")</f>
        <v>Coturnix japonica</v>
      </c>
      <c r="H203" t="s">
        <v>367</v>
      </c>
      <c r="I203" t="str">
        <f>HYPERLINK("http://www.ncbi.nlm.nih.gov/protein/XP_015715505.1","androgen receptor")</f>
        <v>androgen receptor</v>
      </c>
      <c r="J203" t="s">
        <v>1323</v>
      </c>
      <c r="K203" t="s">
        <v>20</v>
      </c>
      <c r="L203">
        <v>489</v>
      </c>
      <c r="M203" t="s">
        <v>25</v>
      </c>
      <c r="N203" t="s">
        <v>20</v>
      </c>
      <c r="O203">
        <v>495</v>
      </c>
      <c r="P203" t="s">
        <v>1313</v>
      </c>
      <c r="Q203" t="s">
        <v>20</v>
      </c>
      <c r="R203">
        <v>536</v>
      </c>
      <c r="S203" t="s">
        <v>1314</v>
      </c>
      <c r="T203" t="s">
        <v>20</v>
      </c>
      <c r="U203">
        <v>661</v>
      </c>
      <c r="V203" t="s">
        <v>1315</v>
      </c>
      <c r="W203" t="s">
        <v>20</v>
      </c>
    </row>
    <row r="204" spans="1:23" x14ac:dyDescent="0.25">
      <c r="A204">
        <v>6</v>
      </c>
      <c r="B204" t="s">
        <v>167</v>
      </c>
      <c r="C204" t="str">
        <f>HYPERLINK("http://www.ncbi.nlm.nih.gov/protein/NP_001035179.1","NP_001035179.1")</f>
        <v>NP_001035179.1</v>
      </c>
      <c r="D204">
        <v>115665</v>
      </c>
      <c r="E204" t="str">
        <f>HYPERLINK("http://www.ncbi.nlm.nih.gov/Taxonomy/Browser/wwwtax.cgi?mode=Info&amp;id=9031&amp;lvl=3&amp;lin=f&amp;keep=1&amp;srchmode=1&amp;unlock","9031")</f>
        <v>9031</v>
      </c>
      <c r="F204" t="s">
        <v>167</v>
      </c>
      <c r="G204" t="str">
        <f>HYPERLINK("http://www.ncbi.nlm.nih.gov/Taxonomy/Browser/wwwtax.cgi?mode=Info&amp;id=9031&amp;lvl=3&amp;lin=f&amp;keep=1&amp;srchmode=1&amp;unlock","Gallus gallus")</f>
        <v>Gallus gallus</v>
      </c>
      <c r="H204" t="s">
        <v>387</v>
      </c>
      <c r="I204" t="str">
        <f>HYPERLINK("http://www.ncbi.nlm.nih.gov/protein/NP_001035179.1","androgen receptor")</f>
        <v>androgen receptor</v>
      </c>
      <c r="J204" t="s">
        <v>1323</v>
      </c>
      <c r="K204" t="s">
        <v>20</v>
      </c>
      <c r="L204">
        <v>489</v>
      </c>
      <c r="M204" t="s">
        <v>25</v>
      </c>
      <c r="N204" t="s">
        <v>20</v>
      </c>
      <c r="O204">
        <v>495</v>
      </c>
      <c r="P204" t="s">
        <v>1313</v>
      </c>
      <c r="Q204" t="s">
        <v>20</v>
      </c>
      <c r="R204">
        <v>536</v>
      </c>
      <c r="S204" t="s">
        <v>1314</v>
      </c>
      <c r="T204" t="s">
        <v>20</v>
      </c>
      <c r="U204">
        <v>661</v>
      </c>
      <c r="V204" t="s">
        <v>1315</v>
      </c>
      <c r="W204" t="s">
        <v>20</v>
      </c>
    </row>
    <row r="205" spans="1:23" x14ac:dyDescent="0.25">
      <c r="A205">
        <v>6</v>
      </c>
      <c r="B205" t="s">
        <v>167</v>
      </c>
      <c r="C205" t="str">
        <f>HYPERLINK("http://www.ncbi.nlm.nih.gov/protein/XP_031449825.1","XP_031449825.1")</f>
        <v>XP_031449825.1</v>
      </c>
      <c r="D205">
        <v>29368</v>
      </c>
      <c r="E205" t="str">
        <f>HYPERLINK("http://www.ncbi.nlm.nih.gov/Taxonomy/Browser/wwwtax.cgi?mode=Info&amp;id=9054&amp;lvl=3&amp;lin=f&amp;keep=1&amp;srchmode=1&amp;unlock","9054")</f>
        <v>9054</v>
      </c>
      <c r="F205" t="s">
        <v>167</v>
      </c>
      <c r="G205" t="str">
        <f>HYPERLINK("http://www.ncbi.nlm.nih.gov/Taxonomy/Browser/wwwtax.cgi?mode=Info&amp;id=9054&amp;lvl=3&amp;lin=f&amp;keep=1&amp;srchmode=1&amp;unlock","Phasianus colchicus")</f>
        <v>Phasianus colchicus</v>
      </c>
      <c r="H205" t="s">
        <v>397</v>
      </c>
      <c r="I205" t="str">
        <f>HYPERLINK("http://www.ncbi.nlm.nih.gov/protein/XP_031449825.1","androgen receptor")</f>
        <v>androgen receptor</v>
      </c>
      <c r="J205" t="s">
        <v>1323</v>
      </c>
      <c r="K205" t="s">
        <v>20</v>
      </c>
      <c r="L205">
        <v>491</v>
      </c>
      <c r="M205" t="s">
        <v>25</v>
      </c>
      <c r="N205" t="s">
        <v>20</v>
      </c>
      <c r="O205">
        <v>497</v>
      </c>
      <c r="P205" t="s">
        <v>1313</v>
      </c>
      <c r="Q205" t="s">
        <v>20</v>
      </c>
      <c r="R205">
        <v>538</v>
      </c>
      <c r="S205" t="s">
        <v>1314</v>
      </c>
      <c r="T205" t="s">
        <v>20</v>
      </c>
      <c r="U205">
        <v>663</v>
      </c>
      <c r="V205" t="s">
        <v>1315</v>
      </c>
      <c r="W205" t="s">
        <v>20</v>
      </c>
    </row>
    <row r="206" spans="1:23" x14ac:dyDescent="0.25">
      <c r="A206">
        <v>6</v>
      </c>
      <c r="B206" t="s">
        <v>167</v>
      </c>
      <c r="C206" t="str">
        <f>HYPERLINK("http://www.ncbi.nlm.nih.gov/protein/NWX03039.1","NWX03039.1")</f>
        <v>NWX03039.1</v>
      </c>
      <c r="D206">
        <v>14125</v>
      </c>
      <c r="E206" t="str">
        <f>HYPERLINK("http://www.ncbi.nlm.nih.gov/Taxonomy/Browser/wwwtax.cgi?mode=Info&amp;id=187106&amp;lvl=3&amp;lin=f&amp;keep=1&amp;srchmode=1&amp;unlock","187106")</f>
        <v>187106</v>
      </c>
      <c r="F206" t="s">
        <v>167</v>
      </c>
      <c r="G206" t="str">
        <f>HYPERLINK("http://www.ncbi.nlm.nih.gov/Taxonomy/Browser/wwwtax.cgi?mode=Info&amp;id=187106&amp;lvl=3&amp;lin=f&amp;keep=1&amp;srchmode=1&amp;unlock","Caloenas nicobarica")</f>
        <v>Caloenas nicobarica</v>
      </c>
      <c r="H206" t="s">
        <v>223</v>
      </c>
      <c r="I206" t="str">
        <f>HYPERLINK("http://www.ncbi.nlm.nih.gov/protein/NWX03039.1","ANDR protein")</f>
        <v>ANDR protein</v>
      </c>
      <c r="J206" t="s">
        <v>1323</v>
      </c>
      <c r="K206" t="s">
        <v>20</v>
      </c>
      <c r="L206">
        <v>494</v>
      </c>
      <c r="M206" t="s">
        <v>25</v>
      </c>
      <c r="N206" t="s">
        <v>20</v>
      </c>
      <c r="O206">
        <v>500</v>
      </c>
      <c r="P206" t="s">
        <v>1313</v>
      </c>
      <c r="Q206" t="s">
        <v>20</v>
      </c>
      <c r="R206">
        <v>541</v>
      </c>
      <c r="S206" t="s">
        <v>1314</v>
      </c>
      <c r="T206" t="s">
        <v>20</v>
      </c>
      <c r="U206">
        <v>666</v>
      </c>
      <c r="V206" t="s">
        <v>1315</v>
      </c>
      <c r="W206" t="s">
        <v>20</v>
      </c>
    </row>
    <row r="207" spans="1:23" x14ac:dyDescent="0.25">
      <c r="A207">
        <v>6</v>
      </c>
      <c r="B207" t="s">
        <v>167</v>
      </c>
      <c r="C207" t="str">
        <f>HYPERLINK("http://www.ncbi.nlm.nih.gov/protein/NWR66110.1","NWR66110.1")</f>
        <v>NWR66110.1</v>
      </c>
      <c r="D207">
        <v>14438</v>
      </c>
      <c r="E207" t="str">
        <f>HYPERLINK("http://www.ncbi.nlm.nih.gov/Taxonomy/Browser/wwwtax.cgi?mode=Info&amp;id=153643&amp;lvl=3&amp;lin=f&amp;keep=1&amp;srchmode=1&amp;unlock","153643")</f>
        <v>153643</v>
      </c>
      <c r="F207" t="s">
        <v>167</v>
      </c>
      <c r="G207" t="str">
        <f>HYPERLINK("http://www.ncbi.nlm.nih.gov/Taxonomy/Browser/wwwtax.cgi?mode=Info&amp;id=153643&amp;lvl=3&amp;lin=f&amp;keep=1&amp;srchmode=1&amp;unlock","Bucorvus abyssinicus")</f>
        <v>Bucorvus abyssinicus</v>
      </c>
      <c r="H207" t="s">
        <v>310</v>
      </c>
      <c r="I207" t="str">
        <f>HYPERLINK("http://www.ncbi.nlm.nih.gov/protein/NWR66110.1","ANDR protein")</f>
        <v>ANDR protein</v>
      </c>
      <c r="J207" t="s">
        <v>1323</v>
      </c>
      <c r="K207" t="s">
        <v>20</v>
      </c>
      <c r="L207">
        <v>280</v>
      </c>
      <c r="M207" t="s">
        <v>25</v>
      </c>
      <c r="N207" t="s">
        <v>20</v>
      </c>
      <c r="O207">
        <v>286</v>
      </c>
      <c r="P207" t="s">
        <v>1313</v>
      </c>
      <c r="Q207" t="s">
        <v>20</v>
      </c>
      <c r="R207">
        <v>327</v>
      </c>
      <c r="S207" t="s">
        <v>1314</v>
      </c>
      <c r="T207" t="s">
        <v>20</v>
      </c>
      <c r="U207">
        <v>452</v>
      </c>
      <c r="V207" t="s">
        <v>1315</v>
      </c>
      <c r="W207" t="s">
        <v>20</v>
      </c>
    </row>
    <row r="208" spans="1:23" x14ac:dyDescent="0.25">
      <c r="A208">
        <v>6</v>
      </c>
      <c r="B208" t="s">
        <v>167</v>
      </c>
      <c r="C208" t="str">
        <f>HYPERLINK("http://www.ncbi.nlm.nih.gov/protein/NWZ49946.1","NWZ49946.1")</f>
        <v>NWZ49946.1</v>
      </c>
      <c r="D208">
        <v>45028</v>
      </c>
      <c r="E208" t="str">
        <f>HYPERLINK("http://www.ncbi.nlm.nih.gov/Taxonomy/Browser/wwwtax.cgi?mode=Info&amp;id=8969&amp;lvl=3&amp;lin=f&amp;keep=1&amp;srchmode=1&amp;unlock","8969")</f>
        <v>8969</v>
      </c>
      <c r="F208" t="s">
        <v>167</v>
      </c>
      <c r="G208" t="str">
        <f>HYPERLINK("http://www.ncbi.nlm.nih.gov/Taxonomy/Browser/wwwtax.cgi?mode=Info&amp;id=8969&amp;lvl=3&amp;lin=f&amp;keep=1&amp;srchmode=1&amp;unlock","Haliaeetus albicilla")</f>
        <v>Haliaeetus albicilla</v>
      </c>
      <c r="H208" t="s">
        <v>337</v>
      </c>
      <c r="I208" t="str">
        <f>HYPERLINK("http://www.ncbi.nlm.nih.gov/protein/NWZ49946.1","ANDR protein")</f>
        <v>ANDR protein</v>
      </c>
      <c r="J208" t="s">
        <v>1323</v>
      </c>
      <c r="K208" t="s">
        <v>20</v>
      </c>
      <c r="L208">
        <v>501</v>
      </c>
      <c r="M208" t="s">
        <v>25</v>
      </c>
      <c r="N208" t="s">
        <v>20</v>
      </c>
      <c r="O208">
        <v>507</v>
      </c>
      <c r="P208" t="s">
        <v>1313</v>
      </c>
      <c r="Q208" t="s">
        <v>20</v>
      </c>
      <c r="R208">
        <v>548</v>
      </c>
      <c r="S208" t="s">
        <v>1314</v>
      </c>
      <c r="T208" t="s">
        <v>20</v>
      </c>
      <c r="U208">
        <v>673</v>
      </c>
      <c r="V208" t="s">
        <v>1315</v>
      </c>
      <c r="W208" t="s">
        <v>20</v>
      </c>
    </row>
    <row r="209" spans="1:23" x14ac:dyDescent="0.25">
      <c r="A209">
        <v>6</v>
      </c>
      <c r="B209" t="s">
        <v>167</v>
      </c>
      <c r="C209" t="str">
        <f>HYPERLINK("http://www.ncbi.nlm.nih.gov/protein/NXV33950.1","NXV33950.1")</f>
        <v>NXV33950.1</v>
      </c>
      <c r="D209">
        <v>14938</v>
      </c>
      <c r="E209" t="str">
        <f>HYPERLINK("http://www.ncbi.nlm.nih.gov/Taxonomy/Browser/wwwtax.cgi?mode=Info&amp;id=75485&amp;lvl=3&amp;lin=f&amp;keep=1&amp;srchmode=1&amp;unlock","75485")</f>
        <v>75485</v>
      </c>
      <c r="F209" t="s">
        <v>167</v>
      </c>
      <c r="G209" t="str">
        <f>HYPERLINK("http://www.ncbi.nlm.nih.gov/Taxonomy/Browser/wwwtax.cgi?mode=Info&amp;id=75485&amp;lvl=3&amp;lin=f&amp;keep=1&amp;srchmode=1&amp;unlock","Rissa tridactyla")</f>
        <v>Rissa tridactyla</v>
      </c>
      <c r="H209" t="s">
        <v>320</v>
      </c>
      <c r="I209" t="str">
        <f>HYPERLINK("http://www.ncbi.nlm.nih.gov/protein/NXV33950.1","ANDR protein")</f>
        <v>ANDR protein</v>
      </c>
      <c r="J209" t="s">
        <v>1323</v>
      </c>
      <c r="K209" t="s">
        <v>20</v>
      </c>
      <c r="L209">
        <v>500</v>
      </c>
      <c r="M209" t="s">
        <v>25</v>
      </c>
      <c r="N209" t="s">
        <v>20</v>
      </c>
      <c r="O209">
        <v>506</v>
      </c>
      <c r="P209" t="s">
        <v>1313</v>
      </c>
      <c r="Q209" t="s">
        <v>20</v>
      </c>
      <c r="R209">
        <v>547</v>
      </c>
      <c r="S209" t="s">
        <v>1314</v>
      </c>
      <c r="T209" t="s">
        <v>20</v>
      </c>
      <c r="U209">
        <v>672</v>
      </c>
      <c r="V209" t="s">
        <v>1315</v>
      </c>
      <c r="W209" t="s">
        <v>20</v>
      </c>
    </row>
    <row r="210" spans="1:23" x14ac:dyDescent="0.25">
      <c r="A210">
        <v>6</v>
      </c>
      <c r="B210" t="s">
        <v>167</v>
      </c>
      <c r="C210" t="str">
        <f>HYPERLINK("http://www.ncbi.nlm.nih.gov/protein/NXS52613.1","NXS52613.1")</f>
        <v>NXS52613.1</v>
      </c>
      <c r="D210">
        <v>13462</v>
      </c>
      <c r="E210" t="str">
        <f>HYPERLINK("http://www.ncbi.nlm.nih.gov/Taxonomy/Browser/wwwtax.cgi?mode=Info&amp;id=135165&amp;lvl=3&amp;lin=f&amp;keep=1&amp;srchmode=1&amp;unlock","135165")</f>
        <v>135165</v>
      </c>
      <c r="F210" t="s">
        <v>167</v>
      </c>
      <c r="G210" t="str">
        <f>HYPERLINK("http://www.ncbi.nlm.nih.gov/Taxonomy/Browser/wwwtax.cgi?mode=Info&amp;id=135165&amp;lvl=3&amp;lin=f&amp;keep=1&amp;srchmode=1&amp;unlock","Brachypteracias leptosomus")</f>
        <v>Brachypteracias leptosomus</v>
      </c>
      <c r="H210" t="s">
        <v>235</v>
      </c>
      <c r="I210" t="str">
        <f>HYPERLINK("http://www.ncbi.nlm.nih.gov/protein/NXS52613.1","ANDR protein")</f>
        <v>ANDR protein</v>
      </c>
      <c r="J210" t="s">
        <v>1323</v>
      </c>
      <c r="K210" t="s">
        <v>20</v>
      </c>
      <c r="L210">
        <v>279</v>
      </c>
      <c r="M210" t="s">
        <v>25</v>
      </c>
      <c r="N210" t="s">
        <v>20</v>
      </c>
      <c r="O210">
        <v>285</v>
      </c>
      <c r="P210" t="s">
        <v>1313</v>
      </c>
      <c r="Q210" t="s">
        <v>20</v>
      </c>
      <c r="R210">
        <v>326</v>
      </c>
      <c r="S210" t="s">
        <v>1314</v>
      </c>
      <c r="T210" t="s">
        <v>20</v>
      </c>
      <c r="U210">
        <v>451</v>
      </c>
      <c r="V210" t="s">
        <v>1315</v>
      </c>
      <c r="W210" t="s">
        <v>20</v>
      </c>
    </row>
    <row r="211" spans="1:23" x14ac:dyDescent="0.25">
      <c r="A211">
        <v>6</v>
      </c>
      <c r="B211" t="s">
        <v>167</v>
      </c>
      <c r="C211" t="str">
        <f>HYPERLINK("http://www.ncbi.nlm.nih.gov/protein/XP_014810446.1","XP_014810446.1")</f>
        <v>XP_014810446.1</v>
      </c>
      <c r="D211">
        <v>30960</v>
      </c>
      <c r="E211" t="str">
        <f>HYPERLINK("http://www.ncbi.nlm.nih.gov/Taxonomy/Browser/wwwtax.cgi?mode=Info&amp;id=198806&amp;lvl=3&amp;lin=f&amp;keep=1&amp;srchmode=1&amp;unlock","198806")</f>
        <v>198806</v>
      </c>
      <c r="F211" t="s">
        <v>167</v>
      </c>
      <c r="G211" t="str">
        <f>HYPERLINK("http://www.ncbi.nlm.nih.gov/Taxonomy/Browser/wwwtax.cgi?mode=Info&amp;id=198806&amp;lvl=3&amp;lin=f&amp;keep=1&amp;srchmode=1&amp;unlock","Calidris pugnax")</f>
        <v>Calidris pugnax</v>
      </c>
      <c r="H211" t="s">
        <v>201</v>
      </c>
      <c r="I211" t="str">
        <f>HYPERLINK("http://www.ncbi.nlm.nih.gov/protein/XP_014810446.1","PREDICTED: androgen receptor")</f>
        <v>PREDICTED: androgen receptor</v>
      </c>
      <c r="J211" t="s">
        <v>1323</v>
      </c>
      <c r="K211" t="s">
        <v>20</v>
      </c>
      <c r="L211">
        <v>498</v>
      </c>
      <c r="M211" t="s">
        <v>25</v>
      </c>
      <c r="N211" t="s">
        <v>20</v>
      </c>
      <c r="O211">
        <v>504</v>
      </c>
      <c r="P211" t="s">
        <v>1313</v>
      </c>
      <c r="Q211" t="s">
        <v>20</v>
      </c>
      <c r="R211">
        <v>545</v>
      </c>
      <c r="S211" t="s">
        <v>1314</v>
      </c>
      <c r="T211" t="s">
        <v>20</v>
      </c>
      <c r="U211">
        <v>670</v>
      </c>
      <c r="V211" t="s">
        <v>1315</v>
      </c>
      <c r="W211" t="s">
        <v>20</v>
      </c>
    </row>
    <row r="212" spans="1:23" x14ac:dyDescent="0.25">
      <c r="A212">
        <v>6</v>
      </c>
      <c r="B212" t="s">
        <v>167</v>
      </c>
      <c r="C212" t="str">
        <f>HYPERLINK("http://www.ncbi.nlm.nih.gov/protein/NXV96327.1","NXV96327.1")</f>
        <v>NXV96327.1</v>
      </c>
      <c r="D212">
        <v>14439</v>
      </c>
      <c r="E212" t="str">
        <f>HYPERLINK("http://www.ncbi.nlm.nih.gov/Taxonomy/Browser/wwwtax.cgi?mode=Info&amp;id=1323832&amp;lvl=3&amp;lin=f&amp;keep=1&amp;srchmode=1&amp;unlock","1323832")</f>
        <v>1323832</v>
      </c>
      <c r="F212" t="s">
        <v>167</v>
      </c>
      <c r="G212" t="str">
        <f>HYPERLINK("http://www.ncbi.nlm.nih.gov/Taxonomy/Browser/wwwtax.cgi?mode=Info&amp;id=1323832&amp;lvl=3&amp;lin=f&amp;keep=1&amp;srchmode=1&amp;unlock","Calonectris borealis")</f>
        <v>Calonectris borealis</v>
      </c>
      <c r="H212" t="s">
        <v>186</v>
      </c>
      <c r="I212" t="str">
        <f>HYPERLINK("http://www.ncbi.nlm.nih.gov/protein/NXV96327.1","ANDR protein")</f>
        <v>ANDR protein</v>
      </c>
      <c r="J212" t="s">
        <v>1323</v>
      </c>
      <c r="K212" t="s">
        <v>20</v>
      </c>
      <c r="L212">
        <v>504</v>
      </c>
      <c r="M212" t="s">
        <v>25</v>
      </c>
      <c r="N212" t="s">
        <v>20</v>
      </c>
      <c r="O212">
        <v>510</v>
      </c>
      <c r="P212" t="s">
        <v>1313</v>
      </c>
      <c r="Q212" t="s">
        <v>20</v>
      </c>
      <c r="R212">
        <v>551</v>
      </c>
      <c r="S212" t="s">
        <v>1314</v>
      </c>
      <c r="T212" t="s">
        <v>20</v>
      </c>
      <c r="U212">
        <v>676</v>
      </c>
      <c r="V212" t="s">
        <v>1315</v>
      </c>
      <c r="W212" t="s">
        <v>20</v>
      </c>
    </row>
    <row r="213" spans="1:23" x14ac:dyDescent="0.25">
      <c r="A213">
        <v>6</v>
      </c>
      <c r="B213" t="s">
        <v>167</v>
      </c>
      <c r="C213" t="str">
        <f>HYPERLINK("http://www.ncbi.nlm.nih.gov/protein/XP_030354066.1","XP_030354066.1")</f>
        <v>XP_030354066.1</v>
      </c>
      <c r="D213">
        <v>43730</v>
      </c>
      <c r="E213" t="str">
        <f>HYPERLINK("http://www.ncbi.nlm.nih.gov/Taxonomy/Browser/wwwtax.cgi?mode=Info&amp;id=2489341&amp;lvl=3&amp;lin=f&amp;keep=1&amp;srchmode=1&amp;unlock","2489341")</f>
        <v>2489341</v>
      </c>
      <c r="F213" t="s">
        <v>167</v>
      </c>
      <c r="G213" t="str">
        <f>HYPERLINK("http://www.ncbi.nlm.nih.gov/Taxonomy/Browser/wwwtax.cgi?mode=Info&amp;id=2489341&amp;lvl=3&amp;lin=f&amp;keep=1&amp;srchmode=1&amp;unlock","Strigops habroptila")</f>
        <v>Strigops habroptila</v>
      </c>
      <c r="H213" t="s">
        <v>396</v>
      </c>
      <c r="I213" t="str">
        <f>HYPERLINK("http://www.ncbi.nlm.nih.gov/protein/XP_030354066.1","androgen receptor")</f>
        <v>androgen receptor</v>
      </c>
      <c r="J213" t="s">
        <v>1323</v>
      </c>
      <c r="K213" t="s">
        <v>20</v>
      </c>
      <c r="L213">
        <v>495</v>
      </c>
      <c r="M213" t="s">
        <v>25</v>
      </c>
      <c r="N213" t="s">
        <v>20</v>
      </c>
      <c r="O213">
        <v>501</v>
      </c>
      <c r="P213" t="s">
        <v>1313</v>
      </c>
      <c r="Q213" t="s">
        <v>20</v>
      </c>
      <c r="R213">
        <v>542</v>
      </c>
      <c r="S213" t="s">
        <v>1314</v>
      </c>
      <c r="T213" t="s">
        <v>20</v>
      </c>
      <c r="U213">
        <v>667</v>
      </c>
      <c r="V213" t="s">
        <v>1315</v>
      </c>
      <c r="W213" t="s">
        <v>20</v>
      </c>
    </row>
    <row r="214" spans="1:23" x14ac:dyDescent="0.25">
      <c r="A214">
        <v>6</v>
      </c>
      <c r="B214" t="s">
        <v>167</v>
      </c>
      <c r="C214" t="str">
        <f>HYPERLINK("http://www.ncbi.nlm.nih.gov/protein/NXV15777.1","NXV15777.1")</f>
        <v>NXV15777.1</v>
      </c>
      <c r="D214">
        <v>14788</v>
      </c>
      <c r="E214" t="str">
        <f>HYPERLINK("http://www.ncbi.nlm.nih.gov/Taxonomy/Browser/wwwtax.cgi?mode=Info&amp;id=28697&amp;lvl=3&amp;lin=f&amp;keep=1&amp;srchmode=1&amp;unlock","28697")</f>
        <v>28697</v>
      </c>
      <c r="F214" t="s">
        <v>167</v>
      </c>
      <c r="G214" t="str">
        <f>HYPERLINK("http://www.ncbi.nlm.nih.gov/Taxonomy/Browser/wwwtax.cgi?mode=Info&amp;id=28697&amp;lvl=3&amp;lin=f&amp;keep=1&amp;srchmode=1&amp;unlock","Cepphus grylle")</f>
        <v>Cepphus grylle</v>
      </c>
      <c r="H214" t="s">
        <v>185</v>
      </c>
      <c r="I214" t="str">
        <f>HYPERLINK("http://www.ncbi.nlm.nih.gov/protein/NXV15777.1","ANDR protein")</f>
        <v>ANDR protein</v>
      </c>
      <c r="J214" t="s">
        <v>1323</v>
      </c>
      <c r="K214" t="s">
        <v>20</v>
      </c>
      <c r="L214">
        <v>501</v>
      </c>
      <c r="M214" t="s">
        <v>25</v>
      </c>
      <c r="N214" t="s">
        <v>20</v>
      </c>
      <c r="O214">
        <v>507</v>
      </c>
      <c r="P214" t="s">
        <v>1313</v>
      </c>
      <c r="Q214" t="s">
        <v>20</v>
      </c>
      <c r="R214">
        <v>548</v>
      </c>
      <c r="S214" t="s">
        <v>1314</v>
      </c>
      <c r="T214" t="s">
        <v>20</v>
      </c>
      <c r="U214">
        <v>673</v>
      </c>
      <c r="V214" t="s">
        <v>1315</v>
      </c>
      <c r="W214" t="s">
        <v>20</v>
      </c>
    </row>
    <row r="215" spans="1:23" x14ac:dyDescent="0.25">
      <c r="A215">
        <v>6</v>
      </c>
      <c r="B215" t="s">
        <v>167</v>
      </c>
      <c r="C215" t="str">
        <f>HYPERLINK("http://www.ncbi.nlm.nih.gov/protein/NXV50066.1","NXV50066.1")</f>
        <v>NXV50066.1</v>
      </c>
      <c r="D215">
        <v>14270</v>
      </c>
      <c r="E215" t="str">
        <f>HYPERLINK("http://www.ncbi.nlm.nih.gov/Taxonomy/Browser/wwwtax.cgi?mode=Info&amp;id=13746&amp;lvl=3&amp;lin=f&amp;keep=1&amp;srchmode=1&amp;unlock","13746")</f>
        <v>13746</v>
      </c>
      <c r="F215" t="s">
        <v>167</v>
      </c>
      <c r="G215" t="str">
        <f>HYPERLINK("http://www.ncbi.nlm.nih.gov/Taxonomy/Browser/wwwtax.cgi?mode=Info&amp;id=13746&amp;lvl=3&amp;lin=f&amp;keep=1&amp;srchmode=1&amp;unlock","Uria aalge")</f>
        <v>Uria aalge</v>
      </c>
      <c r="H215" t="s">
        <v>203</v>
      </c>
      <c r="I215" t="str">
        <f>HYPERLINK("http://www.ncbi.nlm.nih.gov/protein/NXV50066.1","ANDR protein")</f>
        <v>ANDR protein</v>
      </c>
      <c r="J215" t="s">
        <v>1323</v>
      </c>
      <c r="K215" t="s">
        <v>20</v>
      </c>
      <c r="L215">
        <v>502</v>
      </c>
      <c r="M215" t="s">
        <v>25</v>
      </c>
      <c r="N215" t="s">
        <v>20</v>
      </c>
      <c r="O215">
        <v>508</v>
      </c>
      <c r="P215" t="s">
        <v>1313</v>
      </c>
      <c r="Q215" t="s">
        <v>20</v>
      </c>
      <c r="R215">
        <v>549</v>
      </c>
      <c r="S215" t="s">
        <v>1314</v>
      </c>
      <c r="T215" t="s">
        <v>20</v>
      </c>
      <c r="U215">
        <v>674</v>
      </c>
      <c r="V215" t="s">
        <v>1315</v>
      </c>
      <c r="W215" t="s">
        <v>20</v>
      </c>
    </row>
    <row r="216" spans="1:23" x14ac:dyDescent="0.25">
      <c r="A216">
        <v>6</v>
      </c>
      <c r="B216" t="s">
        <v>167</v>
      </c>
      <c r="C216" t="str">
        <f>HYPERLINK("http://www.ncbi.nlm.nih.gov/protein/XP_029852782.1","XP_029852782.1")</f>
        <v>XP_029852782.1</v>
      </c>
      <c r="D216">
        <v>48151</v>
      </c>
      <c r="E216" t="str">
        <f>HYPERLINK("http://www.ncbi.nlm.nih.gov/Taxonomy/Browser/wwwtax.cgi?mode=Info&amp;id=223781&amp;lvl=3&amp;lin=f&amp;keep=1&amp;srchmode=1&amp;unlock","223781")</f>
        <v>223781</v>
      </c>
      <c r="F216" t="s">
        <v>167</v>
      </c>
      <c r="G216" t="str">
        <f>HYPERLINK("http://www.ncbi.nlm.nih.gov/Taxonomy/Browser/wwwtax.cgi?mode=Info&amp;id=223781&amp;lvl=3&amp;lin=f&amp;keep=1&amp;srchmode=1&amp;unlock","Aquila chrysaetos chrysaetos")</f>
        <v>Aquila chrysaetos chrysaetos</v>
      </c>
      <c r="H216" t="s">
        <v>291</v>
      </c>
      <c r="I216" t="str">
        <f>HYPERLINK("http://www.ncbi.nlm.nih.gov/protein/XP_029852782.1","androgen receptor")</f>
        <v>androgen receptor</v>
      </c>
      <c r="J216" t="s">
        <v>1323</v>
      </c>
      <c r="K216" t="s">
        <v>20</v>
      </c>
      <c r="L216">
        <v>499</v>
      </c>
      <c r="M216" t="s">
        <v>25</v>
      </c>
      <c r="N216" t="s">
        <v>20</v>
      </c>
      <c r="O216">
        <v>505</v>
      </c>
      <c r="P216" t="s">
        <v>1313</v>
      </c>
      <c r="Q216" t="s">
        <v>20</v>
      </c>
      <c r="R216">
        <v>546</v>
      </c>
      <c r="S216" t="s">
        <v>1314</v>
      </c>
      <c r="T216" t="s">
        <v>20</v>
      </c>
      <c r="U216">
        <v>671</v>
      </c>
      <c r="V216" t="s">
        <v>1315</v>
      </c>
      <c r="W216" t="s">
        <v>20</v>
      </c>
    </row>
    <row r="217" spans="1:23" x14ac:dyDescent="0.25">
      <c r="A217">
        <v>6</v>
      </c>
      <c r="B217" t="s">
        <v>167</v>
      </c>
      <c r="C217" t="str">
        <f>HYPERLINK("http://www.ncbi.nlm.nih.gov/protein/NWW87198.1","NWW87198.1")</f>
        <v>NWW87198.1</v>
      </c>
      <c r="D217">
        <v>13756</v>
      </c>
      <c r="E217" t="str">
        <f>HYPERLINK("http://www.ncbi.nlm.nih.gov/Taxonomy/Browser/wwwtax.cgi?mode=Info&amp;id=54386&amp;lvl=3&amp;lin=f&amp;keep=1&amp;srchmode=1&amp;unlock","54386")</f>
        <v>54386</v>
      </c>
      <c r="F217" t="s">
        <v>167</v>
      </c>
      <c r="G217" t="str">
        <f>HYPERLINK("http://www.ncbi.nlm.nih.gov/Taxonomy/Browser/wwwtax.cgi?mode=Info&amp;id=54386&amp;lvl=3&amp;lin=f&amp;keep=1&amp;srchmode=1&amp;unlock","Rhynochetos jubatus")</f>
        <v>Rhynochetos jubatus</v>
      </c>
      <c r="H217" t="s">
        <v>290</v>
      </c>
      <c r="I217" t="str">
        <f>HYPERLINK("http://www.ncbi.nlm.nih.gov/protein/NWW87198.1","ANDR protein")</f>
        <v>ANDR protein</v>
      </c>
      <c r="J217" t="s">
        <v>1323</v>
      </c>
      <c r="K217" t="s">
        <v>20</v>
      </c>
      <c r="L217">
        <v>246</v>
      </c>
      <c r="M217" t="s">
        <v>25</v>
      </c>
      <c r="N217" t="s">
        <v>20</v>
      </c>
      <c r="O217">
        <v>252</v>
      </c>
      <c r="P217" t="s">
        <v>1313</v>
      </c>
      <c r="Q217" t="s">
        <v>20</v>
      </c>
      <c r="R217">
        <v>293</v>
      </c>
      <c r="S217" t="s">
        <v>1314</v>
      </c>
      <c r="T217" t="s">
        <v>20</v>
      </c>
      <c r="U217">
        <v>418</v>
      </c>
      <c r="V217" t="s">
        <v>1315</v>
      </c>
      <c r="W217" t="s">
        <v>20</v>
      </c>
    </row>
    <row r="218" spans="1:23" x14ac:dyDescent="0.25">
      <c r="A218">
        <v>6</v>
      </c>
      <c r="B218" t="s">
        <v>167</v>
      </c>
      <c r="C218" t="str">
        <f>HYPERLINK("http://www.ncbi.nlm.nih.gov/protein/APQ40569.1","APQ40569.1")</f>
        <v>APQ40569.1</v>
      </c>
      <c r="D218">
        <v>11521</v>
      </c>
      <c r="E218" t="str">
        <f>HYPERLINK("http://www.ncbi.nlm.nih.gov/Taxonomy/Browser/wwwtax.cgi?mode=Info&amp;id=56313&amp;lvl=3&amp;lin=f&amp;keep=1&amp;srchmode=1&amp;unlock","56313")</f>
        <v>56313</v>
      </c>
      <c r="F218" t="s">
        <v>167</v>
      </c>
      <c r="G218" t="str">
        <f>HYPERLINK("http://www.ncbi.nlm.nih.gov/Taxonomy/Browser/wwwtax.cgi?mode=Info&amp;id=56313&amp;lvl=3&amp;lin=f&amp;keep=1&amp;srchmode=1&amp;unlock","Tyto alba")</f>
        <v>Tyto alba</v>
      </c>
      <c r="H218" t="s">
        <v>250</v>
      </c>
      <c r="I218" t="str">
        <f>HYPERLINK("http://www.ncbi.nlm.nih.gov/protein/APQ40569.1","androgen receptor")</f>
        <v>androgen receptor</v>
      </c>
      <c r="J218" t="s">
        <v>1323</v>
      </c>
      <c r="K218" t="s">
        <v>20</v>
      </c>
      <c r="L218">
        <v>502</v>
      </c>
      <c r="M218" t="s">
        <v>25</v>
      </c>
      <c r="N218" t="s">
        <v>20</v>
      </c>
      <c r="O218">
        <v>508</v>
      </c>
      <c r="P218" t="s">
        <v>1313</v>
      </c>
      <c r="Q218" t="s">
        <v>20</v>
      </c>
      <c r="R218">
        <v>549</v>
      </c>
      <c r="S218" t="s">
        <v>1314</v>
      </c>
      <c r="T218" t="s">
        <v>20</v>
      </c>
      <c r="U218">
        <v>674</v>
      </c>
      <c r="V218" t="s">
        <v>1315</v>
      </c>
      <c r="W218" t="s">
        <v>20</v>
      </c>
    </row>
    <row r="219" spans="1:23" x14ac:dyDescent="0.25">
      <c r="A219">
        <v>6</v>
      </c>
      <c r="B219" t="s">
        <v>167</v>
      </c>
      <c r="C219" t="str">
        <f>HYPERLINK("http://www.ncbi.nlm.nih.gov/protein/NWT41840.1","NWT41840.1")</f>
        <v>NWT41840.1</v>
      </c>
      <c r="D219">
        <v>13971</v>
      </c>
      <c r="E219" t="str">
        <f>HYPERLINK("http://www.ncbi.nlm.nih.gov/Taxonomy/Browser/wwwtax.cgi?mode=Info&amp;id=287016&amp;lvl=3&amp;lin=f&amp;keep=1&amp;srchmode=1&amp;unlock","287016")</f>
        <v>287016</v>
      </c>
      <c r="F219" t="s">
        <v>167</v>
      </c>
      <c r="G219" t="str">
        <f>HYPERLINK("http://www.ncbi.nlm.nih.gov/Taxonomy/Browser/wwwtax.cgi?mode=Info&amp;id=287016&amp;lvl=3&amp;lin=f&amp;keep=1&amp;srchmode=1&amp;unlock","Chroicocephalus maculipennis")</f>
        <v>Chroicocephalus maculipennis</v>
      </c>
      <c r="H219" t="s">
        <v>210</v>
      </c>
      <c r="I219" t="str">
        <f>HYPERLINK("http://www.ncbi.nlm.nih.gov/protein/NWT41840.1","ANDR protein")</f>
        <v>ANDR protein</v>
      </c>
      <c r="J219" t="s">
        <v>1323</v>
      </c>
      <c r="K219" t="s">
        <v>20</v>
      </c>
      <c r="L219">
        <v>502</v>
      </c>
      <c r="M219" t="s">
        <v>25</v>
      </c>
      <c r="N219" t="s">
        <v>20</v>
      </c>
      <c r="O219">
        <v>508</v>
      </c>
      <c r="P219" t="s">
        <v>1313</v>
      </c>
      <c r="Q219" t="s">
        <v>20</v>
      </c>
      <c r="R219">
        <v>549</v>
      </c>
      <c r="S219" t="s">
        <v>1314</v>
      </c>
      <c r="T219" t="s">
        <v>20</v>
      </c>
      <c r="U219">
        <v>674</v>
      </c>
      <c r="V219" t="s">
        <v>1315</v>
      </c>
      <c r="W219" t="s">
        <v>20</v>
      </c>
    </row>
    <row r="220" spans="1:23" x14ac:dyDescent="0.25">
      <c r="A220">
        <v>6</v>
      </c>
      <c r="B220" t="s">
        <v>167</v>
      </c>
      <c r="C220" t="str">
        <f>HYPERLINK("http://www.ncbi.nlm.nih.gov/protein/XP_030304719.1","XP_030304719.1")</f>
        <v>XP_030304719.1</v>
      </c>
      <c r="D220">
        <v>42941</v>
      </c>
      <c r="E220" t="str">
        <f>HYPERLINK("http://www.ncbi.nlm.nih.gov/Taxonomy/Browser/wwwtax.cgi?mode=Info&amp;id=9244&amp;lvl=3&amp;lin=f&amp;keep=1&amp;srchmode=1&amp;unlock","9244")</f>
        <v>9244</v>
      </c>
      <c r="F220" t="s">
        <v>167</v>
      </c>
      <c r="G220" t="str">
        <f>HYPERLINK("http://www.ncbi.nlm.nih.gov/Taxonomy/Browser/wwwtax.cgi?mode=Info&amp;id=9244&amp;lvl=3&amp;lin=f&amp;keep=1&amp;srchmode=1&amp;unlock","Calypte anna")</f>
        <v>Calypte anna</v>
      </c>
      <c r="H220" t="s">
        <v>219</v>
      </c>
      <c r="I220" t="str">
        <f>HYPERLINK("http://www.ncbi.nlm.nih.gov/protein/XP_030304719.1","androgen receptor")</f>
        <v>androgen receptor</v>
      </c>
      <c r="J220" t="s">
        <v>1323</v>
      </c>
      <c r="K220" t="s">
        <v>20</v>
      </c>
      <c r="L220">
        <v>490</v>
      </c>
      <c r="M220" t="s">
        <v>25</v>
      </c>
      <c r="N220" t="s">
        <v>20</v>
      </c>
      <c r="O220">
        <v>496</v>
      </c>
      <c r="P220" t="s">
        <v>1313</v>
      </c>
      <c r="Q220" t="s">
        <v>20</v>
      </c>
      <c r="R220">
        <v>537</v>
      </c>
      <c r="S220" t="s">
        <v>1314</v>
      </c>
      <c r="T220" t="s">
        <v>20</v>
      </c>
      <c r="U220">
        <v>662</v>
      </c>
      <c r="V220" t="s">
        <v>1315</v>
      </c>
      <c r="W220" t="s">
        <v>20</v>
      </c>
    </row>
    <row r="221" spans="1:23" x14ac:dyDescent="0.25">
      <c r="A221">
        <v>6</v>
      </c>
      <c r="B221" t="s">
        <v>167</v>
      </c>
      <c r="C221" t="str">
        <f>HYPERLINK("http://www.ncbi.nlm.nih.gov/protein/NXX03535.1","NXX03535.1")</f>
        <v>NXX03535.1</v>
      </c>
      <c r="D221">
        <v>14087</v>
      </c>
      <c r="E221" t="str">
        <f>HYPERLINK("http://www.ncbi.nlm.nih.gov/Taxonomy/Browser/wwwtax.cgi?mode=Info&amp;id=243888&amp;lvl=3&amp;lin=f&amp;keep=1&amp;srchmode=1&amp;unlock","243888")</f>
        <v>243888</v>
      </c>
      <c r="F221" t="s">
        <v>167</v>
      </c>
      <c r="G221" t="str">
        <f>HYPERLINK("http://www.ncbi.nlm.nih.gov/Taxonomy/Browser/wwwtax.cgi?mode=Info&amp;id=243888&amp;lvl=3&amp;lin=f&amp;keep=1&amp;srchmode=1&amp;unlock","Larus smithsonianus")</f>
        <v>Larus smithsonianus</v>
      </c>
      <c r="H221" t="s">
        <v>218</v>
      </c>
      <c r="I221" t="str">
        <f>HYPERLINK("http://www.ncbi.nlm.nih.gov/protein/NXX03535.1","ANDR protein")</f>
        <v>ANDR protein</v>
      </c>
      <c r="J221" t="s">
        <v>1323</v>
      </c>
      <c r="K221" t="s">
        <v>20</v>
      </c>
      <c r="L221">
        <v>502</v>
      </c>
      <c r="M221" t="s">
        <v>25</v>
      </c>
      <c r="N221" t="s">
        <v>20</v>
      </c>
      <c r="O221">
        <v>508</v>
      </c>
      <c r="P221" t="s">
        <v>1313</v>
      </c>
      <c r="Q221" t="s">
        <v>20</v>
      </c>
      <c r="R221">
        <v>549</v>
      </c>
      <c r="S221" t="s">
        <v>1314</v>
      </c>
      <c r="T221" t="s">
        <v>20</v>
      </c>
      <c r="U221">
        <v>674</v>
      </c>
      <c r="V221" t="s">
        <v>1315</v>
      </c>
      <c r="W221" t="s">
        <v>20</v>
      </c>
    </row>
    <row r="222" spans="1:23" x14ac:dyDescent="0.25">
      <c r="A222">
        <v>6</v>
      </c>
      <c r="B222" t="s">
        <v>167</v>
      </c>
      <c r="C222" t="str">
        <f>HYPERLINK("http://www.ncbi.nlm.nih.gov/protein/NXQ86415.1","NXQ86415.1")</f>
        <v>NXQ86415.1</v>
      </c>
      <c r="D222">
        <v>14112</v>
      </c>
      <c r="E222" t="str">
        <f>HYPERLINK("http://www.ncbi.nlm.nih.gov/Taxonomy/Browser/wwwtax.cgi?mode=Info&amp;id=48427&amp;lvl=3&amp;lin=f&amp;keep=1&amp;srchmode=1&amp;unlock","48427")</f>
        <v>48427</v>
      </c>
      <c r="F222" t="s">
        <v>167</v>
      </c>
      <c r="G222" t="str">
        <f>HYPERLINK("http://www.ncbi.nlm.nih.gov/Taxonomy/Browser/wwwtax.cgi?mode=Info&amp;id=48427&amp;lvl=3&amp;lin=f&amp;keep=1&amp;srchmode=1&amp;unlock","Nyctibius grandis")</f>
        <v>Nyctibius grandis</v>
      </c>
      <c r="H222" t="s">
        <v>233</v>
      </c>
      <c r="I222" t="str">
        <f>HYPERLINK("http://www.ncbi.nlm.nih.gov/protein/NXQ86415.1","ANDR protein")</f>
        <v>ANDR protein</v>
      </c>
      <c r="J222" t="s">
        <v>1323</v>
      </c>
      <c r="K222" t="s">
        <v>20</v>
      </c>
      <c r="L222">
        <v>236</v>
      </c>
      <c r="M222" t="s">
        <v>25</v>
      </c>
      <c r="N222" t="s">
        <v>20</v>
      </c>
      <c r="O222">
        <v>242</v>
      </c>
      <c r="P222" t="s">
        <v>1313</v>
      </c>
      <c r="Q222" t="s">
        <v>20</v>
      </c>
      <c r="R222">
        <v>283</v>
      </c>
      <c r="S222" t="s">
        <v>1314</v>
      </c>
      <c r="T222" t="s">
        <v>20</v>
      </c>
      <c r="U222">
        <v>408</v>
      </c>
      <c r="V222" t="s">
        <v>1315</v>
      </c>
      <c r="W222" t="s">
        <v>20</v>
      </c>
    </row>
    <row r="223" spans="1:23" x14ac:dyDescent="0.25">
      <c r="A223">
        <v>6</v>
      </c>
      <c r="B223" t="s">
        <v>167</v>
      </c>
      <c r="C223" t="str">
        <f>HYPERLINK("http://www.ncbi.nlm.nih.gov/protein/NXX82758.1","NXX82758.1")</f>
        <v>NXX82758.1</v>
      </c>
      <c r="D223">
        <v>14124</v>
      </c>
      <c r="E223" t="str">
        <f>HYPERLINK("http://www.ncbi.nlm.nih.gov/Taxonomy/Browser/wwwtax.cgi?mode=Info&amp;id=458196&amp;lvl=3&amp;lin=f&amp;keep=1&amp;srchmode=1&amp;unlock","458196")</f>
        <v>458196</v>
      </c>
      <c r="F223" t="s">
        <v>167</v>
      </c>
      <c r="G223" t="str">
        <f>HYPERLINK("http://www.ncbi.nlm.nih.gov/Taxonomy/Browser/wwwtax.cgi?mode=Info&amp;id=458196&amp;lvl=3&amp;lin=f&amp;keep=1&amp;srchmode=1&amp;unlock","Urocolius indicus")</f>
        <v>Urocolius indicus</v>
      </c>
      <c r="H223" t="s">
        <v>228</v>
      </c>
      <c r="I223" t="str">
        <f>HYPERLINK("http://www.ncbi.nlm.nih.gov/protein/NXX82758.1","ANDR protein")</f>
        <v>ANDR protein</v>
      </c>
      <c r="J223" t="s">
        <v>1323</v>
      </c>
      <c r="K223" t="s">
        <v>20</v>
      </c>
      <c r="L223">
        <v>305</v>
      </c>
      <c r="M223" t="s">
        <v>25</v>
      </c>
      <c r="N223" t="s">
        <v>20</v>
      </c>
      <c r="O223">
        <v>311</v>
      </c>
      <c r="P223" t="s">
        <v>1313</v>
      </c>
      <c r="Q223" t="s">
        <v>20</v>
      </c>
      <c r="R223">
        <v>352</v>
      </c>
      <c r="S223" t="s">
        <v>1314</v>
      </c>
      <c r="T223" t="s">
        <v>20</v>
      </c>
      <c r="U223">
        <v>477</v>
      </c>
      <c r="V223" t="s">
        <v>1315</v>
      </c>
      <c r="W223" t="s">
        <v>20</v>
      </c>
    </row>
    <row r="224" spans="1:23" x14ac:dyDescent="0.25">
      <c r="A224">
        <v>6</v>
      </c>
      <c r="B224" t="s">
        <v>167</v>
      </c>
      <c r="C224" t="str">
        <f>HYPERLINK("http://www.ncbi.nlm.nih.gov/protein/NXJ09376.1","NXJ09376.1")</f>
        <v>NXJ09376.1</v>
      </c>
      <c r="D224">
        <v>13852</v>
      </c>
      <c r="E224" t="str">
        <f>HYPERLINK("http://www.ncbi.nlm.nih.gov/Taxonomy/Browser/wwwtax.cgi?mode=Info&amp;id=886794&amp;lvl=3&amp;lin=f&amp;keep=1&amp;srchmode=1&amp;unlock","886794")</f>
        <v>886794</v>
      </c>
      <c r="F224" t="s">
        <v>167</v>
      </c>
      <c r="G224" t="str">
        <f>HYPERLINK("http://www.ncbi.nlm.nih.gov/Taxonomy/Browser/wwwtax.cgi?mode=Info&amp;id=886794&amp;lvl=3&amp;lin=f&amp;keep=1&amp;srchmode=1&amp;unlock","Odontophorus gujanensis")</f>
        <v>Odontophorus gujanensis</v>
      </c>
      <c r="H224" t="s">
        <v>407</v>
      </c>
      <c r="I224" t="str">
        <f>HYPERLINK("http://www.ncbi.nlm.nih.gov/protein/NXJ09376.1","ANDR protein")</f>
        <v>ANDR protein</v>
      </c>
      <c r="J224" t="s">
        <v>1323</v>
      </c>
      <c r="K224" t="s">
        <v>20</v>
      </c>
      <c r="L224">
        <v>321</v>
      </c>
      <c r="M224" t="s">
        <v>25</v>
      </c>
      <c r="N224" t="s">
        <v>20</v>
      </c>
      <c r="O224">
        <v>327</v>
      </c>
      <c r="P224" t="s">
        <v>1313</v>
      </c>
      <c r="Q224" t="s">
        <v>20</v>
      </c>
      <c r="R224">
        <v>368</v>
      </c>
      <c r="S224" t="s">
        <v>1314</v>
      </c>
      <c r="T224" t="s">
        <v>20</v>
      </c>
      <c r="U224">
        <v>493</v>
      </c>
      <c r="V224" t="s">
        <v>1315</v>
      </c>
      <c r="W224" t="s">
        <v>20</v>
      </c>
    </row>
    <row r="225" spans="1:23" x14ac:dyDescent="0.25">
      <c r="A225">
        <v>6</v>
      </c>
      <c r="B225" t="s">
        <v>167</v>
      </c>
      <c r="C225" t="str">
        <f>HYPERLINK("http://www.ncbi.nlm.nih.gov/protein/NXW34714.1","NXW34714.1")</f>
        <v>NXW34714.1</v>
      </c>
      <c r="D225">
        <v>13259</v>
      </c>
      <c r="E225" t="str">
        <f>HYPERLINK("http://www.ncbi.nlm.nih.gov/Taxonomy/Browser/wwwtax.cgi?mode=Info&amp;id=297813&amp;lvl=3&amp;lin=f&amp;keep=1&amp;srchmode=1&amp;unlock","297813")</f>
        <v>297813</v>
      </c>
      <c r="F225" t="s">
        <v>167</v>
      </c>
      <c r="G225" t="str">
        <f>HYPERLINK("http://www.ncbi.nlm.nih.gov/Taxonomy/Browser/wwwtax.cgi?mode=Info&amp;id=297813&amp;lvl=3&amp;lin=f&amp;keep=1&amp;srchmode=1&amp;unlock","Phaetusa simplex")</f>
        <v>Phaetusa simplex</v>
      </c>
      <c r="H225" t="s">
        <v>270</v>
      </c>
      <c r="I225" t="str">
        <f>HYPERLINK("http://www.ncbi.nlm.nih.gov/protein/NXW34714.1","ANDR protein")</f>
        <v>ANDR protein</v>
      </c>
      <c r="J225" t="s">
        <v>1323</v>
      </c>
      <c r="K225" t="s">
        <v>20</v>
      </c>
      <c r="L225">
        <v>248</v>
      </c>
      <c r="M225" t="s">
        <v>25</v>
      </c>
      <c r="N225" t="s">
        <v>20</v>
      </c>
      <c r="O225">
        <v>254</v>
      </c>
      <c r="P225" t="s">
        <v>1313</v>
      </c>
      <c r="Q225" t="s">
        <v>20</v>
      </c>
      <c r="R225">
        <v>295</v>
      </c>
      <c r="S225" t="s">
        <v>1314</v>
      </c>
      <c r="T225" t="s">
        <v>20</v>
      </c>
      <c r="U225">
        <v>420</v>
      </c>
      <c r="V225" t="s">
        <v>1315</v>
      </c>
      <c r="W225" t="s">
        <v>20</v>
      </c>
    </row>
    <row r="226" spans="1:23" x14ac:dyDescent="0.25">
      <c r="A226">
        <v>6</v>
      </c>
      <c r="B226" t="s">
        <v>167</v>
      </c>
      <c r="C226" t="str">
        <f>HYPERLINK("http://www.ncbi.nlm.nih.gov/protein/NXW86351.1","NXW86351.1")</f>
        <v>NXW86351.1</v>
      </c>
      <c r="D226">
        <v>14612</v>
      </c>
      <c r="E226" t="str">
        <f>HYPERLINK("http://www.ncbi.nlm.nih.gov/Taxonomy/Browser/wwwtax.cgi?mode=Info&amp;id=262131&amp;lvl=3&amp;lin=f&amp;keep=1&amp;srchmode=1&amp;unlock","262131")</f>
        <v>262131</v>
      </c>
      <c r="F226" t="s">
        <v>167</v>
      </c>
      <c r="G226" t="str">
        <f>HYPERLINK("http://www.ncbi.nlm.nih.gov/Taxonomy/Browser/wwwtax.cgi?mode=Info&amp;id=262131&amp;lvl=3&amp;lin=f&amp;keep=1&amp;srchmode=1&amp;unlock","Alopecoenas beccarii")</f>
        <v>Alopecoenas beccarii</v>
      </c>
      <c r="H226" t="s">
        <v>314</v>
      </c>
      <c r="I226" t="str">
        <f>HYPERLINK("http://www.ncbi.nlm.nih.gov/protein/NXW86351.1","ANDR protein")</f>
        <v>ANDR protein</v>
      </c>
      <c r="J226" t="s">
        <v>1323</v>
      </c>
      <c r="K226" t="s">
        <v>20</v>
      </c>
      <c r="L226">
        <v>222</v>
      </c>
      <c r="M226" t="s">
        <v>25</v>
      </c>
      <c r="N226" t="s">
        <v>20</v>
      </c>
      <c r="O226">
        <v>228</v>
      </c>
      <c r="P226" t="s">
        <v>1313</v>
      </c>
      <c r="Q226" t="s">
        <v>20</v>
      </c>
      <c r="R226">
        <v>269</v>
      </c>
      <c r="S226" t="s">
        <v>1314</v>
      </c>
      <c r="T226" t="s">
        <v>20</v>
      </c>
      <c r="U226">
        <v>394</v>
      </c>
      <c r="V226" t="s">
        <v>1315</v>
      </c>
      <c r="W226" t="s">
        <v>20</v>
      </c>
    </row>
    <row r="227" spans="1:23" x14ac:dyDescent="0.25">
      <c r="A227">
        <v>6</v>
      </c>
      <c r="B227" t="s">
        <v>167</v>
      </c>
      <c r="C227" t="str">
        <f>HYPERLINK("http://www.ncbi.nlm.nih.gov/protein/NWY60891.1","NWY60891.1")</f>
        <v>NWY60891.1</v>
      </c>
      <c r="D227">
        <v>14315</v>
      </c>
      <c r="E227" t="str">
        <f>HYPERLINK("http://www.ncbi.nlm.nih.gov/Taxonomy/Browser/wwwtax.cgi?mode=Info&amp;id=227182&amp;lvl=3&amp;lin=f&amp;keep=1&amp;srchmode=1&amp;unlock","227182")</f>
        <v>227182</v>
      </c>
      <c r="F227" t="s">
        <v>167</v>
      </c>
      <c r="G227" t="str">
        <f>HYPERLINK("http://www.ncbi.nlm.nih.gov/Taxonomy/Browser/wwwtax.cgi?mode=Info&amp;id=227182&amp;lvl=3&amp;lin=f&amp;keep=1&amp;srchmode=1&amp;unlock","Chionis minor")</f>
        <v>Chionis minor</v>
      </c>
      <c r="H227" t="s">
        <v>977</v>
      </c>
      <c r="I227" t="str">
        <f>HYPERLINK("http://www.ncbi.nlm.nih.gov/protein/NWY60891.1","ANDR protein")</f>
        <v>ANDR protein</v>
      </c>
      <c r="J227" t="s">
        <v>1323</v>
      </c>
      <c r="K227" t="s">
        <v>20</v>
      </c>
      <c r="L227">
        <v>248</v>
      </c>
      <c r="M227" t="s">
        <v>25</v>
      </c>
      <c r="N227" t="s">
        <v>20</v>
      </c>
      <c r="O227">
        <v>254</v>
      </c>
      <c r="P227" t="s">
        <v>1313</v>
      </c>
      <c r="Q227" t="s">
        <v>20</v>
      </c>
      <c r="R227">
        <v>295</v>
      </c>
      <c r="S227" t="s">
        <v>1314</v>
      </c>
      <c r="T227" t="s">
        <v>20</v>
      </c>
      <c r="U227">
        <v>420</v>
      </c>
      <c r="V227" t="s">
        <v>1315</v>
      </c>
      <c r="W227" t="s">
        <v>20</v>
      </c>
    </row>
    <row r="228" spans="1:23" x14ac:dyDescent="0.25">
      <c r="A228">
        <v>6</v>
      </c>
      <c r="B228" t="s">
        <v>167</v>
      </c>
      <c r="C228" t="str">
        <f>HYPERLINK("http://www.ncbi.nlm.nih.gov/protein/NXW17840.1","NXW17840.1")</f>
        <v>NXW17840.1</v>
      </c>
      <c r="D228">
        <v>14176</v>
      </c>
      <c r="E228" t="str">
        <f>HYPERLINK("http://www.ncbi.nlm.nih.gov/Taxonomy/Browser/wwwtax.cgi?mode=Info&amp;id=321084&amp;lvl=3&amp;lin=f&amp;keep=1&amp;srchmode=1&amp;unlock","321084")</f>
        <v>321084</v>
      </c>
      <c r="F228" t="s">
        <v>167</v>
      </c>
      <c r="G228" t="str">
        <f>HYPERLINK("http://www.ncbi.nlm.nih.gov/Taxonomy/Browser/wwwtax.cgi?mode=Info&amp;id=321084&amp;lvl=3&amp;lin=f&amp;keep=1&amp;srchmode=1&amp;unlock","Circaetus pectoralis")</f>
        <v>Circaetus pectoralis</v>
      </c>
      <c r="H228" t="s">
        <v>304</v>
      </c>
      <c r="I228" t="str">
        <f>HYPERLINK("http://www.ncbi.nlm.nih.gov/protein/NXW17840.1","ANDR protein")</f>
        <v>ANDR protein</v>
      </c>
      <c r="J228" t="s">
        <v>1323</v>
      </c>
      <c r="K228" t="s">
        <v>20</v>
      </c>
      <c r="L228">
        <v>248</v>
      </c>
      <c r="M228" t="s">
        <v>25</v>
      </c>
      <c r="N228" t="s">
        <v>20</v>
      </c>
      <c r="O228">
        <v>254</v>
      </c>
      <c r="P228" t="s">
        <v>1313</v>
      </c>
      <c r="Q228" t="s">
        <v>20</v>
      </c>
      <c r="R228">
        <v>295</v>
      </c>
      <c r="S228" t="s">
        <v>1314</v>
      </c>
      <c r="T228" t="s">
        <v>20</v>
      </c>
      <c r="U228">
        <v>420</v>
      </c>
      <c r="V228" t="s">
        <v>1315</v>
      </c>
      <c r="W228" t="s">
        <v>20</v>
      </c>
    </row>
    <row r="229" spans="1:23" x14ac:dyDescent="0.25">
      <c r="A229">
        <v>6</v>
      </c>
      <c r="B229" t="s">
        <v>167</v>
      </c>
      <c r="C229" t="str">
        <f>HYPERLINK("http://www.ncbi.nlm.nih.gov/protein/NXE95941.1","NXE95941.1")</f>
        <v>NXE95941.1</v>
      </c>
      <c r="D229">
        <v>14528</v>
      </c>
      <c r="E229" t="str">
        <f>HYPERLINK("http://www.ncbi.nlm.nih.gov/Taxonomy/Browser/wwwtax.cgi?mode=Info&amp;id=47692&amp;lvl=3&amp;lin=f&amp;keep=1&amp;srchmode=1&amp;unlock","47692")</f>
        <v>47692</v>
      </c>
      <c r="F229" t="s">
        <v>167</v>
      </c>
      <c r="G229" t="str">
        <f>HYPERLINK("http://www.ncbi.nlm.nih.gov/Taxonomy/Browser/wwwtax.cgi?mode=Info&amp;id=47692&amp;lvl=3&amp;lin=f&amp;keep=1&amp;srchmode=1&amp;unlock","Menura novaehollandiae")</f>
        <v>Menura novaehollandiae</v>
      </c>
      <c r="H229" t="s">
        <v>329</v>
      </c>
      <c r="I229" t="str">
        <f>HYPERLINK("http://www.ncbi.nlm.nih.gov/protein/NXE95941.1","ANDR protein")</f>
        <v>ANDR protein</v>
      </c>
      <c r="J229" t="s">
        <v>1323</v>
      </c>
      <c r="K229" t="s">
        <v>20</v>
      </c>
      <c r="L229">
        <v>237</v>
      </c>
      <c r="M229" t="s">
        <v>25</v>
      </c>
      <c r="N229" t="s">
        <v>20</v>
      </c>
      <c r="O229">
        <v>243</v>
      </c>
      <c r="P229" t="s">
        <v>1313</v>
      </c>
      <c r="Q229" t="s">
        <v>20</v>
      </c>
      <c r="R229">
        <v>284</v>
      </c>
      <c r="S229" t="s">
        <v>1314</v>
      </c>
      <c r="T229" t="s">
        <v>20</v>
      </c>
      <c r="U229">
        <v>409</v>
      </c>
      <c r="V229" t="s">
        <v>1315</v>
      </c>
      <c r="W229" t="s">
        <v>20</v>
      </c>
    </row>
    <row r="230" spans="1:23" x14ac:dyDescent="0.25">
      <c r="A230">
        <v>6</v>
      </c>
      <c r="B230" t="s">
        <v>167</v>
      </c>
      <c r="C230" t="str">
        <f>HYPERLINK("http://www.ncbi.nlm.nih.gov/protein/NXN72835.1","NXN72835.1")</f>
        <v>NXN72835.1</v>
      </c>
      <c r="D230">
        <v>14348</v>
      </c>
      <c r="E230" t="str">
        <f>HYPERLINK("http://www.ncbi.nlm.nih.gov/Taxonomy/Browser/wwwtax.cgi?mode=Info&amp;id=225398&amp;lvl=3&amp;lin=f&amp;keep=1&amp;srchmode=1&amp;unlock","225398")</f>
        <v>225398</v>
      </c>
      <c r="F230" t="s">
        <v>167</v>
      </c>
      <c r="G230" t="str">
        <f>HYPERLINK("http://www.ncbi.nlm.nih.gov/Taxonomy/Browser/wwwtax.cgi?mode=Info&amp;id=225398&amp;lvl=3&amp;lin=f&amp;keep=1&amp;srchmode=1&amp;unlock","Himantopus himantopus")</f>
        <v>Himantopus himantopus</v>
      </c>
      <c r="H230" t="s">
        <v>589</v>
      </c>
      <c r="I230" t="str">
        <f>HYPERLINK("http://www.ncbi.nlm.nih.gov/protein/NXN72835.1","ANDR protein")</f>
        <v>ANDR protein</v>
      </c>
      <c r="J230" t="s">
        <v>1323</v>
      </c>
      <c r="K230" t="s">
        <v>20</v>
      </c>
      <c r="L230">
        <v>218</v>
      </c>
      <c r="M230" t="s">
        <v>25</v>
      </c>
      <c r="N230" t="s">
        <v>20</v>
      </c>
      <c r="O230">
        <v>224</v>
      </c>
      <c r="P230" t="s">
        <v>1313</v>
      </c>
      <c r="Q230" t="s">
        <v>20</v>
      </c>
      <c r="R230">
        <v>265</v>
      </c>
      <c r="S230" t="s">
        <v>1314</v>
      </c>
      <c r="T230" t="s">
        <v>20</v>
      </c>
      <c r="U230">
        <v>390</v>
      </c>
      <c r="V230" t="s">
        <v>1315</v>
      </c>
      <c r="W230" t="s">
        <v>20</v>
      </c>
    </row>
    <row r="231" spans="1:23" x14ac:dyDescent="0.25">
      <c r="A231">
        <v>6</v>
      </c>
      <c r="B231" t="s">
        <v>167</v>
      </c>
      <c r="C231" t="str">
        <f>HYPERLINK("http://www.ncbi.nlm.nih.gov/protein/XP_035180057.1","XP_035180057.1")</f>
        <v>XP_035180057.1</v>
      </c>
      <c r="D231">
        <v>39822</v>
      </c>
      <c r="E231" t="str">
        <f>HYPERLINK("http://www.ncbi.nlm.nih.gov/Taxonomy/Browser/wwwtax.cgi?mode=Info&amp;id=8884&amp;lvl=3&amp;lin=f&amp;keep=1&amp;srchmode=1&amp;unlock","8884")</f>
        <v>8884</v>
      </c>
      <c r="F231" t="s">
        <v>167</v>
      </c>
      <c r="G231" t="str">
        <f>HYPERLINK("http://www.ncbi.nlm.nih.gov/Taxonomy/Browser/wwwtax.cgi?mode=Info&amp;id=8884&amp;lvl=3&amp;lin=f&amp;keep=1&amp;srchmode=1&amp;unlock","Oxyura jamaicensis")</f>
        <v>Oxyura jamaicensis</v>
      </c>
      <c r="H231" t="s">
        <v>273</v>
      </c>
      <c r="I231" t="str">
        <f>HYPERLINK("http://www.ncbi.nlm.nih.gov/protein/XP_035180057.1","androgen receptor")</f>
        <v>androgen receptor</v>
      </c>
      <c r="J231" t="s">
        <v>1323</v>
      </c>
      <c r="K231" t="s">
        <v>20</v>
      </c>
      <c r="L231">
        <v>258</v>
      </c>
      <c r="M231" t="s">
        <v>25</v>
      </c>
      <c r="N231" t="s">
        <v>20</v>
      </c>
      <c r="O231">
        <v>264</v>
      </c>
      <c r="P231" t="s">
        <v>1313</v>
      </c>
      <c r="Q231" t="s">
        <v>20</v>
      </c>
      <c r="R231">
        <v>305</v>
      </c>
      <c r="S231" t="s">
        <v>1314</v>
      </c>
      <c r="T231" t="s">
        <v>20</v>
      </c>
      <c r="U231">
        <v>430</v>
      </c>
      <c r="V231" t="s">
        <v>1315</v>
      </c>
      <c r="W231" t="s">
        <v>20</v>
      </c>
    </row>
    <row r="232" spans="1:23" x14ac:dyDescent="0.25">
      <c r="A232">
        <v>6</v>
      </c>
      <c r="B232" t="s">
        <v>167</v>
      </c>
      <c r="C232" t="str">
        <f>HYPERLINK("http://www.ncbi.nlm.nih.gov/protein/NXE39462.1","NXE39462.1")</f>
        <v>NXE39462.1</v>
      </c>
      <c r="D232">
        <v>13533</v>
      </c>
      <c r="E232" t="str">
        <f>HYPERLINK("http://www.ncbi.nlm.nih.gov/Taxonomy/Browser/wwwtax.cgi?mode=Info&amp;id=449384&amp;lvl=3&amp;lin=f&amp;keep=1&amp;srchmode=1&amp;unlock","449384")</f>
        <v>449384</v>
      </c>
      <c r="F232" t="s">
        <v>167</v>
      </c>
      <c r="G232" t="str">
        <f>HYPERLINK("http://www.ncbi.nlm.nih.gov/Taxonomy/Browser/wwwtax.cgi?mode=Info&amp;id=449384&amp;lvl=3&amp;lin=f&amp;keep=1&amp;srchmode=1&amp;unlock","Ptilorrhoa leucosticta")</f>
        <v>Ptilorrhoa leucosticta</v>
      </c>
      <c r="H232" t="s">
        <v>206</v>
      </c>
      <c r="I232" t="str">
        <f>HYPERLINK("http://www.ncbi.nlm.nih.gov/protein/NXE39462.1","ANDR protein")</f>
        <v>ANDR protein</v>
      </c>
      <c r="J232" t="s">
        <v>1323</v>
      </c>
      <c r="K232" t="s">
        <v>20</v>
      </c>
      <c r="L232">
        <v>470</v>
      </c>
      <c r="M232" t="s">
        <v>25</v>
      </c>
      <c r="N232" t="s">
        <v>20</v>
      </c>
      <c r="O232">
        <v>476</v>
      </c>
      <c r="P232" t="s">
        <v>1313</v>
      </c>
      <c r="Q232" t="s">
        <v>20</v>
      </c>
      <c r="R232">
        <v>517</v>
      </c>
      <c r="S232" t="s">
        <v>1314</v>
      </c>
      <c r="T232" t="s">
        <v>20</v>
      </c>
      <c r="U232">
        <v>642</v>
      </c>
      <c r="V232" t="s">
        <v>1315</v>
      </c>
      <c r="W232" t="s">
        <v>20</v>
      </c>
    </row>
    <row r="233" spans="1:23" x14ac:dyDescent="0.25">
      <c r="A233">
        <v>6</v>
      </c>
      <c r="B233" t="s">
        <v>167</v>
      </c>
      <c r="C233" t="str">
        <f>HYPERLINK("http://www.ncbi.nlm.nih.gov/protein/NXG00117.1","NXG00117.1")</f>
        <v>NXG00117.1</v>
      </c>
      <c r="D233">
        <v>14155</v>
      </c>
      <c r="E233" t="str">
        <f>HYPERLINK("http://www.ncbi.nlm.nih.gov/Taxonomy/Browser/wwwtax.cgi?mode=Info&amp;id=419690&amp;lvl=3&amp;lin=f&amp;keep=1&amp;srchmode=1&amp;unlock","419690")</f>
        <v>419690</v>
      </c>
      <c r="F233" t="s">
        <v>167</v>
      </c>
      <c r="G233" t="str">
        <f>HYPERLINK("http://www.ncbi.nlm.nih.gov/Taxonomy/Browser/wwwtax.cgi?mode=Info&amp;id=419690&amp;lvl=3&amp;lin=f&amp;keep=1&amp;srchmode=1&amp;unlock","Sakesphorus luctuosus")</f>
        <v>Sakesphorus luctuosus</v>
      </c>
      <c r="H233" t="s">
        <v>206</v>
      </c>
      <c r="I233" t="str">
        <f>HYPERLINK("http://www.ncbi.nlm.nih.gov/protein/NXG00117.1","ANDR protein")</f>
        <v>ANDR protein</v>
      </c>
      <c r="J233" t="s">
        <v>1323</v>
      </c>
      <c r="K233" t="s">
        <v>20</v>
      </c>
      <c r="L233">
        <v>237</v>
      </c>
      <c r="M233" t="s">
        <v>25</v>
      </c>
      <c r="N233" t="s">
        <v>20</v>
      </c>
      <c r="O233">
        <v>243</v>
      </c>
      <c r="P233" t="s">
        <v>1313</v>
      </c>
      <c r="Q233" t="s">
        <v>20</v>
      </c>
      <c r="R233">
        <v>284</v>
      </c>
      <c r="S233" t="s">
        <v>1314</v>
      </c>
      <c r="T233" t="s">
        <v>20</v>
      </c>
      <c r="U233">
        <v>409</v>
      </c>
      <c r="V233" t="s">
        <v>1315</v>
      </c>
      <c r="W233" t="s">
        <v>20</v>
      </c>
    </row>
    <row r="234" spans="1:23" x14ac:dyDescent="0.25">
      <c r="A234">
        <v>6</v>
      </c>
      <c r="B234" t="s">
        <v>167</v>
      </c>
      <c r="C234" t="str">
        <f>HYPERLINK("http://www.ncbi.nlm.nih.gov/protein/NXF32167.1","NXF32167.1")</f>
        <v>NXF32167.1</v>
      </c>
      <c r="D234">
        <v>13974</v>
      </c>
      <c r="E234" t="str">
        <f>HYPERLINK("http://www.ncbi.nlm.nih.gov/Taxonomy/Browser/wwwtax.cgi?mode=Info&amp;id=48426&amp;lvl=3&amp;lin=f&amp;keep=1&amp;srchmode=1&amp;unlock","48426")</f>
        <v>48426</v>
      </c>
      <c r="F234" t="s">
        <v>167</v>
      </c>
      <c r="G234" t="str">
        <f>HYPERLINK("http://www.ncbi.nlm.nih.gov/Taxonomy/Browser/wwwtax.cgi?mode=Info&amp;id=48426&amp;lvl=3&amp;lin=f&amp;keep=1&amp;srchmode=1&amp;unlock","Nyctibius bracteatus")</f>
        <v>Nyctibius bracteatus</v>
      </c>
      <c r="H234" t="s">
        <v>232</v>
      </c>
      <c r="I234" t="str">
        <f>HYPERLINK("http://www.ncbi.nlm.nih.gov/protein/NXF32167.1","ANDR protein")</f>
        <v>ANDR protein</v>
      </c>
      <c r="J234" t="s">
        <v>1323</v>
      </c>
      <c r="K234" t="s">
        <v>20</v>
      </c>
      <c r="L234">
        <v>211</v>
      </c>
      <c r="M234" t="s">
        <v>25</v>
      </c>
      <c r="N234" t="s">
        <v>20</v>
      </c>
      <c r="O234">
        <v>217</v>
      </c>
      <c r="P234" t="s">
        <v>1313</v>
      </c>
      <c r="Q234" t="s">
        <v>20</v>
      </c>
      <c r="R234">
        <v>258</v>
      </c>
      <c r="S234" t="s">
        <v>1314</v>
      </c>
      <c r="T234" t="s">
        <v>20</v>
      </c>
      <c r="U234">
        <v>383</v>
      </c>
      <c r="V234" t="s">
        <v>1315</v>
      </c>
      <c r="W234" t="s">
        <v>20</v>
      </c>
    </row>
    <row r="235" spans="1:23" x14ac:dyDescent="0.25">
      <c r="A235">
        <v>6</v>
      </c>
      <c r="B235" t="s">
        <v>167</v>
      </c>
      <c r="C235" t="str">
        <f>HYPERLINK("http://www.ncbi.nlm.nih.gov/protein/NWV83023.1","NWV83023.1")</f>
        <v>NWV83023.1</v>
      </c>
      <c r="D235">
        <v>14411</v>
      </c>
      <c r="E235" t="str">
        <f>HYPERLINK("http://www.ncbi.nlm.nih.gov/Taxonomy/Browser/wwwtax.cgi?mode=Info&amp;id=243059&amp;lvl=3&amp;lin=f&amp;keep=1&amp;srchmode=1&amp;unlock","243059")</f>
        <v>243059</v>
      </c>
      <c r="F235" t="s">
        <v>167</v>
      </c>
      <c r="G235" t="str">
        <f>HYPERLINK("http://www.ncbi.nlm.nih.gov/Taxonomy/Browser/wwwtax.cgi?mode=Info&amp;id=243059&amp;lvl=3&amp;lin=f&amp;keep=1&amp;srchmode=1&amp;unlock","Dasyornis broadbenti")</f>
        <v>Dasyornis broadbenti</v>
      </c>
      <c r="H235" t="s">
        <v>505</v>
      </c>
      <c r="I235" t="str">
        <f>HYPERLINK("http://www.ncbi.nlm.nih.gov/protein/NWV83023.1","ANDR protein")</f>
        <v>ANDR protein</v>
      </c>
      <c r="J235" t="s">
        <v>1323</v>
      </c>
      <c r="K235" t="s">
        <v>20</v>
      </c>
      <c r="L235">
        <v>264</v>
      </c>
      <c r="M235" t="s">
        <v>25</v>
      </c>
      <c r="N235" t="s">
        <v>20</v>
      </c>
      <c r="O235">
        <v>270</v>
      </c>
      <c r="P235" t="s">
        <v>1313</v>
      </c>
      <c r="Q235" t="s">
        <v>20</v>
      </c>
      <c r="R235">
        <v>311</v>
      </c>
      <c r="S235" t="s">
        <v>1314</v>
      </c>
      <c r="T235" t="s">
        <v>20</v>
      </c>
      <c r="U235">
        <v>436</v>
      </c>
      <c r="V235" t="s">
        <v>1315</v>
      </c>
      <c r="W235" t="s">
        <v>20</v>
      </c>
    </row>
    <row r="236" spans="1:23" x14ac:dyDescent="0.25">
      <c r="A236">
        <v>6</v>
      </c>
      <c r="B236" t="s">
        <v>167</v>
      </c>
      <c r="C236" t="str">
        <f>HYPERLINK("http://www.ncbi.nlm.nih.gov/protein/NXL59281.1","NXL59281.1")</f>
        <v>NXL59281.1</v>
      </c>
      <c r="D236">
        <v>14052</v>
      </c>
      <c r="E236" t="str">
        <f>HYPERLINK("http://www.ncbi.nlm.nih.gov/Taxonomy/Browser/wwwtax.cgi?mode=Info&amp;id=118183&amp;lvl=3&amp;lin=f&amp;keep=1&amp;srchmode=1&amp;unlock","118183")</f>
        <v>118183</v>
      </c>
      <c r="F236" t="s">
        <v>167</v>
      </c>
      <c r="G236" t="str">
        <f>HYPERLINK("http://www.ncbi.nlm.nih.gov/Taxonomy/Browser/wwwtax.cgi?mode=Info&amp;id=118183&amp;lvl=3&amp;lin=f&amp;keep=1&amp;srchmode=1&amp;unlock","Chordeiles acutipennis")</f>
        <v>Chordeiles acutipennis</v>
      </c>
      <c r="H236" t="s">
        <v>610</v>
      </c>
      <c r="I236" t="str">
        <f>HYPERLINK("http://www.ncbi.nlm.nih.gov/protein/NXL59281.1","ANDR protein")</f>
        <v>ANDR protein</v>
      </c>
      <c r="J236" t="s">
        <v>1323</v>
      </c>
      <c r="K236" t="s">
        <v>20</v>
      </c>
      <c r="L236">
        <v>245</v>
      </c>
      <c r="M236" t="s">
        <v>25</v>
      </c>
      <c r="N236" t="s">
        <v>20</v>
      </c>
      <c r="O236">
        <v>251</v>
      </c>
      <c r="P236" t="s">
        <v>1313</v>
      </c>
      <c r="Q236" t="s">
        <v>20</v>
      </c>
      <c r="R236">
        <v>292</v>
      </c>
      <c r="S236" t="s">
        <v>1314</v>
      </c>
      <c r="T236" t="s">
        <v>20</v>
      </c>
      <c r="U236">
        <v>417</v>
      </c>
      <c r="V236" t="s">
        <v>1315</v>
      </c>
      <c r="W236" t="s">
        <v>20</v>
      </c>
    </row>
    <row r="237" spans="1:23" x14ac:dyDescent="0.25">
      <c r="A237">
        <v>6</v>
      </c>
      <c r="B237" t="s">
        <v>167</v>
      </c>
      <c r="C237" t="str">
        <f>HYPERLINK("http://www.ncbi.nlm.nih.gov/protein/NP_001070156.1","NP_001070156.1")</f>
        <v>NP_001070156.1</v>
      </c>
      <c r="D237">
        <v>45119</v>
      </c>
      <c r="E237" t="str">
        <f>HYPERLINK("http://www.ncbi.nlm.nih.gov/Taxonomy/Browser/wwwtax.cgi?mode=Info&amp;id=59729&amp;lvl=3&amp;lin=f&amp;keep=1&amp;srchmode=1&amp;unlock","59729")</f>
        <v>59729</v>
      </c>
      <c r="F237" t="s">
        <v>167</v>
      </c>
      <c r="G237" t="str">
        <f>HYPERLINK("http://www.ncbi.nlm.nih.gov/Taxonomy/Browser/wwwtax.cgi?mode=Info&amp;id=59729&amp;lvl=3&amp;lin=f&amp;keep=1&amp;srchmode=1&amp;unlock","Taeniopygia guttata")</f>
        <v>Taeniopygia guttata</v>
      </c>
      <c r="H237" t="s">
        <v>446</v>
      </c>
      <c r="I237" t="str">
        <f>HYPERLINK("http://www.ncbi.nlm.nih.gov/protein/NP_001070156.1","androgen receptor")</f>
        <v>androgen receptor</v>
      </c>
      <c r="J237" t="s">
        <v>1323</v>
      </c>
      <c r="K237" t="s">
        <v>20</v>
      </c>
      <c r="L237">
        <v>470</v>
      </c>
      <c r="M237" t="s">
        <v>25</v>
      </c>
      <c r="N237" t="s">
        <v>20</v>
      </c>
      <c r="O237">
        <v>476</v>
      </c>
      <c r="P237" t="s">
        <v>1313</v>
      </c>
      <c r="Q237" t="s">
        <v>20</v>
      </c>
      <c r="R237">
        <v>517</v>
      </c>
      <c r="S237" t="s">
        <v>1314</v>
      </c>
      <c r="T237" t="s">
        <v>20</v>
      </c>
      <c r="U237">
        <v>642</v>
      </c>
      <c r="V237" t="s">
        <v>1315</v>
      </c>
      <c r="W237" t="s">
        <v>20</v>
      </c>
    </row>
    <row r="238" spans="1:23" x14ac:dyDescent="0.25">
      <c r="A238">
        <v>6</v>
      </c>
      <c r="B238" t="s">
        <v>167</v>
      </c>
      <c r="C238" t="str">
        <f>HYPERLINK("http://www.ncbi.nlm.nih.gov/protein/NWV26475.1","NWV26475.1")</f>
        <v>NWV26475.1</v>
      </c>
      <c r="D238">
        <v>14487</v>
      </c>
      <c r="E238" t="str">
        <f>HYPERLINK("http://www.ncbi.nlm.nih.gov/Taxonomy/Browser/wwwtax.cgi?mode=Info&amp;id=720586&amp;lvl=3&amp;lin=f&amp;keep=1&amp;srchmode=1&amp;unlock","720586")</f>
        <v>720586</v>
      </c>
      <c r="F238" t="s">
        <v>167</v>
      </c>
      <c r="G238" t="str">
        <f>HYPERLINK("http://www.ncbi.nlm.nih.gov/Taxonomy/Browser/wwwtax.cgi?mode=Info&amp;id=720586&amp;lvl=3&amp;lin=f&amp;keep=1&amp;srchmode=1&amp;unlock","Origma solitaria")</f>
        <v>Origma solitaria</v>
      </c>
      <c r="H238" t="s">
        <v>206</v>
      </c>
      <c r="I238" t="str">
        <f>HYPERLINK("http://www.ncbi.nlm.nih.gov/protein/NWV26475.1","ANDR protein")</f>
        <v>ANDR protein</v>
      </c>
      <c r="J238" t="s">
        <v>1323</v>
      </c>
      <c r="K238" t="s">
        <v>20</v>
      </c>
      <c r="L238">
        <v>264</v>
      </c>
      <c r="M238" t="s">
        <v>25</v>
      </c>
      <c r="N238" t="s">
        <v>20</v>
      </c>
      <c r="O238">
        <v>270</v>
      </c>
      <c r="P238" t="s">
        <v>1313</v>
      </c>
      <c r="Q238" t="s">
        <v>20</v>
      </c>
      <c r="R238">
        <v>311</v>
      </c>
      <c r="S238" t="s">
        <v>1314</v>
      </c>
      <c r="T238" t="s">
        <v>20</v>
      </c>
      <c r="U238">
        <v>436</v>
      </c>
      <c r="V238" t="s">
        <v>1315</v>
      </c>
      <c r="W238" t="s">
        <v>20</v>
      </c>
    </row>
    <row r="239" spans="1:23" x14ac:dyDescent="0.25">
      <c r="A239">
        <v>6</v>
      </c>
      <c r="B239" t="s">
        <v>167</v>
      </c>
      <c r="C239" t="str">
        <f>HYPERLINK("http://www.ncbi.nlm.nih.gov/protein/NWI38923.1","NWI38923.1")</f>
        <v>NWI38923.1</v>
      </c>
      <c r="D239">
        <v>13590</v>
      </c>
      <c r="E239" t="str">
        <f>HYPERLINK("http://www.ncbi.nlm.nih.gov/Taxonomy/Browser/wwwtax.cgi?mode=Info&amp;id=175131&amp;lvl=3&amp;lin=f&amp;keep=1&amp;srchmode=1&amp;unlock","175131")</f>
        <v>175131</v>
      </c>
      <c r="F239" t="s">
        <v>167</v>
      </c>
      <c r="G239" t="str">
        <f>HYPERLINK("http://www.ncbi.nlm.nih.gov/Taxonomy/Browser/wwwtax.cgi?mode=Info&amp;id=175131&amp;lvl=3&amp;lin=f&amp;keep=1&amp;srchmode=1&amp;unlock","Picathartes gymnocephalus")</f>
        <v>Picathartes gymnocephalus</v>
      </c>
      <c r="H239" t="s">
        <v>206</v>
      </c>
      <c r="I239" t="str">
        <f>HYPERLINK("http://www.ncbi.nlm.nih.gov/protein/NWI38923.1","ANDR protein")</f>
        <v>ANDR protein</v>
      </c>
      <c r="J239" t="s">
        <v>1323</v>
      </c>
      <c r="K239" t="s">
        <v>20</v>
      </c>
      <c r="L239">
        <v>263</v>
      </c>
      <c r="M239" t="s">
        <v>25</v>
      </c>
      <c r="N239" t="s">
        <v>20</v>
      </c>
      <c r="O239">
        <v>269</v>
      </c>
      <c r="P239" t="s">
        <v>1313</v>
      </c>
      <c r="Q239" t="s">
        <v>20</v>
      </c>
      <c r="R239">
        <v>310</v>
      </c>
      <c r="S239" t="s">
        <v>1314</v>
      </c>
      <c r="T239" t="s">
        <v>20</v>
      </c>
      <c r="U239">
        <v>435</v>
      </c>
      <c r="V239" t="s">
        <v>1315</v>
      </c>
      <c r="W239" t="s">
        <v>20</v>
      </c>
    </row>
    <row r="240" spans="1:23" x14ac:dyDescent="0.25">
      <c r="A240">
        <v>6</v>
      </c>
      <c r="B240" t="s">
        <v>167</v>
      </c>
      <c r="C240" t="str">
        <f>HYPERLINK("http://www.ncbi.nlm.nih.gov/protein/NXW44450.1","NXW44450.1")</f>
        <v>NXW44450.1</v>
      </c>
      <c r="D240">
        <v>13396</v>
      </c>
      <c r="E240" t="str">
        <f>HYPERLINK("http://www.ncbi.nlm.nih.gov/Taxonomy/Browser/wwwtax.cgi?mode=Info&amp;id=382315&amp;lvl=3&amp;lin=f&amp;keep=1&amp;srchmode=1&amp;unlock","382315")</f>
        <v>382315</v>
      </c>
      <c r="F240" t="s">
        <v>167</v>
      </c>
      <c r="G240" t="str">
        <f>HYPERLINK("http://www.ncbi.nlm.nih.gov/Taxonomy/Browser/wwwtax.cgi?mode=Info&amp;id=382315&amp;lvl=3&amp;lin=f&amp;keep=1&amp;srchmode=1&amp;unlock","Nyctiprogne leucopyga")</f>
        <v>Nyctiprogne leucopyga</v>
      </c>
      <c r="H240" t="s">
        <v>233</v>
      </c>
      <c r="I240" t="str">
        <f>HYPERLINK("http://www.ncbi.nlm.nih.gov/protein/NXW44450.1","ANDR protein")</f>
        <v>ANDR protein</v>
      </c>
      <c r="J240" t="s">
        <v>1323</v>
      </c>
      <c r="K240" t="s">
        <v>20</v>
      </c>
      <c r="L240">
        <v>388</v>
      </c>
      <c r="M240" t="s">
        <v>25</v>
      </c>
      <c r="N240" t="s">
        <v>20</v>
      </c>
      <c r="O240">
        <v>394</v>
      </c>
      <c r="P240" t="s">
        <v>1313</v>
      </c>
      <c r="Q240" t="s">
        <v>20</v>
      </c>
      <c r="R240">
        <v>435</v>
      </c>
      <c r="S240" t="s">
        <v>1314</v>
      </c>
      <c r="T240" t="s">
        <v>20</v>
      </c>
      <c r="U240">
        <v>560</v>
      </c>
      <c r="V240" t="s">
        <v>1315</v>
      </c>
      <c r="W240" t="s">
        <v>20</v>
      </c>
    </row>
    <row r="241" spans="1:23" x14ac:dyDescent="0.25">
      <c r="A241">
        <v>6</v>
      </c>
      <c r="B241" t="s">
        <v>167</v>
      </c>
      <c r="C241" t="str">
        <f>HYPERLINK("http://www.ncbi.nlm.nih.gov/protein/NWQ62781.1","NWQ62781.1")</f>
        <v>NWQ62781.1</v>
      </c>
      <c r="D241">
        <v>14028</v>
      </c>
      <c r="E241" t="str">
        <f>HYPERLINK("http://www.ncbi.nlm.nih.gov/Taxonomy/Browser/wwwtax.cgi?mode=Info&amp;id=456388&amp;lvl=3&amp;lin=f&amp;keep=1&amp;srchmode=1&amp;unlock","456388")</f>
        <v>456388</v>
      </c>
      <c r="F241" t="s">
        <v>167</v>
      </c>
      <c r="G241" t="str">
        <f>HYPERLINK("http://www.ncbi.nlm.nih.gov/Taxonomy/Browser/wwwtax.cgi?mode=Info&amp;id=456388&amp;lvl=3&amp;lin=f&amp;keep=1&amp;srchmode=1&amp;unlock","Neopipo cinnamomea")</f>
        <v>Neopipo cinnamomea</v>
      </c>
      <c r="H241" t="s">
        <v>206</v>
      </c>
      <c r="I241" t="str">
        <f>HYPERLINK("http://www.ncbi.nlm.nih.gov/protein/NWQ62781.1","ANDR protein")</f>
        <v>ANDR protein</v>
      </c>
      <c r="J241" t="s">
        <v>1323</v>
      </c>
      <c r="K241" t="s">
        <v>20</v>
      </c>
      <c r="L241">
        <v>235</v>
      </c>
      <c r="M241" t="s">
        <v>25</v>
      </c>
      <c r="N241" t="s">
        <v>20</v>
      </c>
      <c r="O241">
        <v>241</v>
      </c>
      <c r="P241" t="s">
        <v>1313</v>
      </c>
      <c r="Q241" t="s">
        <v>20</v>
      </c>
      <c r="R241">
        <v>282</v>
      </c>
      <c r="S241" t="s">
        <v>1314</v>
      </c>
      <c r="T241" t="s">
        <v>20</v>
      </c>
      <c r="U241">
        <v>407</v>
      </c>
      <c r="V241" t="s">
        <v>1315</v>
      </c>
      <c r="W241" t="s">
        <v>20</v>
      </c>
    </row>
    <row r="242" spans="1:23" x14ac:dyDescent="0.25">
      <c r="A242">
        <v>6</v>
      </c>
      <c r="B242" t="s">
        <v>167</v>
      </c>
      <c r="C242" t="str">
        <f>HYPERLINK("http://www.ncbi.nlm.nih.gov/protein/NXL01257.1","NXL01257.1")</f>
        <v>NXL01257.1</v>
      </c>
      <c r="D242">
        <v>13893</v>
      </c>
      <c r="E242" t="str">
        <f>HYPERLINK("http://www.ncbi.nlm.nih.gov/Taxonomy/Browser/wwwtax.cgi?mode=Info&amp;id=1118748&amp;lvl=3&amp;lin=f&amp;keep=1&amp;srchmode=1&amp;unlock","1118748")</f>
        <v>1118748</v>
      </c>
      <c r="F242" t="s">
        <v>167</v>
      </c>
      <c r="G242" t="str">
        <f>HYPERLINK("http://www.ncbi.nlm.nih.gov/Taxonomy/Browser/wwwtax.cgi?mode=Info&amp;id=1118748&amp;lvl=3&amp;lin=f&amp;keep=1&amp;srchmode=1&amp;unlock","Mesembrinibis cayennensis")</f>
        <v>Mesembrinibis cayennensis</v>
      </c>
      <c r="H242" t="s">
        <v>980</v>
      </c>
      <c r="I242" t="str">
        <f>HYPERLINK("http://www.ncbi.nlm.nih.gov/protein/NXL01257.1","ANDR protein")</f>
        <v>ANDR protein</v>
      </c>
      <c r="J242" t="s">
        <v>1323</v>
      </c>
      <c r="K242" t="s">
        <v>20</v>
      </c>
      <c r="L242">
        <v>220</v>
      </c>
      <c r="M242" t="s">
        <v>25</v>
      </c>
      <c r="N242" t="s">
        <v>20</v>
      </c>
      <c r="O242">
        <v>226</v>
      </c>
      <c r="P242" t="s">
        <v>1313</v>
      </c>
      <c r="Q242" t="s">
        <v>20</v>
      </c>
      <c r="R242">
        <v>267</v>
      </c>
      <c r="S242" t="s">
        <v>1314</v>
      </c>
      <c r="T242" t="s">
        <v>20</v>
      </c>
      <c r="U242">
        <v>392</v>
      </c>
      <c r="V242" t="s">
        <v>1315</v>
      </c>
      <c r="W242" t="s">
        <v>20</v>
      </c>
    </row>
    <row r="243" spans="1:23" x14ac:dyDescent="0.25">
      <c r="A243">
        <v>6</v>
      </c>
      <c r="B243" t="s">
        <v>167</v>
      </c>
      <c r="C243" t="str">
        <f>HYPERLINK("http://www.ncbi.nlm.nih.gov/protein/XP_030901415.2","XP_030901415.2")</f>
        <v>XP_030901415.2</v>
      </c>
      <c r="D243">
        <v>29316</v>
      </c>
      <c r="E243" t="str">
        <f>HYPERLINK("http://www.ncbi.nlm.nih.gov/Taxonomy/Browser/wwwtax.cgi?mode=Info&amp;id=13146&amp;lvl=3&amp;lin=f&amp;keep=1&amp;srchmode=1&amp;unlock","13146")</f>
        <v>13146</v>
      </c>
      <c r="F243" t="s">
        <v>167</v>
      </c>
      <c r="G243" t="str">
        <f>HYPERLINK("http://www.ncbi.nlm.nih.gov/Taxonomy/Browser/wwwtax.cgi?mode=Info&amp;id=13146&amp;lvl=3&amp;lin=f&amp;keep=1&amp;srchmode=1&amp;unlock","Melopsittacus undulatus")</f>
        <v>Melopsittacus undulatus</v>
      </c>
      <c r="H243" t="s">
        <v>415</v>
      </c>
      <c r="I243" t="str">
        <f>HYPERLINK("http://www.ncbi.nlm.nih.gov/protein/XP_030901415.2","androgen receptor isoform X1")</f>
        <v>androgen receptor isoform X1</v>
      </c>
      <c r="J243" t="s">
        <v>1323</v>
      </c>
      <c r="K243" t="s">
        <v>20</v>
      </c>
      <c r="L243">
        <v>491</v>
      </c>
      <c r="M243" t="s">
        <v>25</v>
      </c>
      <c r="N243" t="s">
        <v>20</v>
      </c>
      <c r="O243">
        <v>497</v>
      </c>
      <c r="P243" t="s">
        <v>1313</v>
      </c>
      <c r="Q243" t="s">
        <v>20</v>
      </c>
      <c r="R243">
        <v>538</v>
      </c>
      <c r="S243" t="s">
        <v>1314</v>
      </c>
      <c r="T243" t="s">
        <v>20</v>
      </c>
      <c r="U243">
        <v>663</v>
      </c>
      <c r="V243" t="s">
        <v>1315</v>
      </c>
      <c r="W243" t="s">
        <v>20</v>
      </c>
    </row>
    <row r="244" spans="1:23" x14ac:dyDescent="0.25">
      <c r="A244">
        <v>6</v>
      </c>
      <c r="B244" t="s">
        <v>167</v>
      </c>
      <c r="C244" t="str">
        <f>HYPERLINK("http://www.ncbi.nlm.nih.gov/protein/NXT82985.1","NXT82985.1")</f>
        <v>NXT82985.1</v>
      </c>
      <c r="D244">
        <v>13359</v>
      </c>
      <c r="E244" t="str">
        <f>HYPERLINK("http://www.ncbi.nlm.nih.gov/Taxonomy/Browser/wwwtax.cgi?mode=Info&amp;id=2585822&amp;lvl=3&amp;lin=f&amp;keep=1&amp;srchmode=1&amp;unlock","2585822")</f>
        <v>2585822</v>
      </c>
      <c r="F244" t="s">
        <v>167</v>
      </c>
      <c r="G244" t="str">
        <f>HYPERLINK("http://www.ncbi.nlm.nih.gov/Taxonomy/Browser/wwwtax.cgi?mode=Info&amp;id=2585822&amp;lvl=3&amp;lin=f&amp;keep=1&amp;srchmode=1&amp;unlock","Zapornia atra")</f>
        <v>Zapornia atra</v>
      </c>
      <c r="H244" t="s">
        <v>208</v>
      </c>
      <c r="I244" t="str">
        <f>HYPERLINK("http://www.ncbi.nlm.nih.gov/protein/NXT82985.1","ANDR protein")</f>
        <v>ANDR protein</v>
      </c>
      <c r="J244" t="s">
        <v>1323</v>
      </c>
      <c r="K244" t="s">
        <v>20</v>
      </c>
      <c r="L244">
        <v>220</v>
      </c>
      <c r="M244" t="s">
        <v>25</v>
      </c>
      <c r="N244" t="s">
        <v>20</v>
      </c>
      <c r="O244">
        <v>226</v>
      </c>
      <c r="P244" t="s">
        <v>1313</v>
      </c>
      <c r="Q244" t="s">
        <v>20</v>
      </c>
      <c r="R244">
        <v>267</v>
      </c>
      <c r="S244" t="s">
        <v>1314</v>
      </c>
      <c r="T244" t="s">
        <v>20</v>
      </c>
      <c r="U244">
        <v>392</v>
      </c>
      <c r="V244" t="s">
        <v>1315</v>
      </c>
      <c r="W244" t="s">
        <v>20</v>
      </c>
    </row>
    <row r="245" spans="1:23" x14ac:dyDescent="0.25">
      <c r="A245">
        <v>6</v>
      </c>
      <c r="B245" t="s">
        <v>167</v>
      </c>
      <c r="C245" t="str">
        <f>HYPERLINK("http://www.ncbi.nlm.nih.gov/protein/NXA64517.1","NXA64517.1")</f>
        <v>NXA64517.1</v>
      </c>
      <c r="D245">
        <v>13619</v>
      </c>
      <c r="E245" t="str">
        <f>HYPERLINK("http://www.ncbi.nlm.nih.gov/Taxonomy/Browser/wwwtax.cgi?mode=Info&amp;id=874463&amp;lvl=3&amp;lin=f&amp;keep=1&amp;srchmode=1&amp;unlock","874463")</f>
        <v>874463</v>
      </c>
      <c r="F245" t="s">
        <v>167</v>
      </c>
      <c r="G245" t="str">
        <f>HYPERLINK("http://www.ncbi.nlm.nih.gov/Taxonomy/Browser/wwwtax.cgi?mode=Info&amp;id=874463&amp;lvl=3&amp;lin=f&amp;keep=1&amp;srchmode=1&amp;unlock","Mohoua ochrocephala")</f>
        <v>Mohoua ochrocephala</v>
      </c>
      <c r="H245" t="s">
        <v>206</v>
      </c>
      <c r="I245" t="str">
        <f>HYPERLINK("http://www.ncbi.nlm.nih.gov/protein/NXA64517.1","ANDR protein")</f>
        <v>ANDR protein</v>
      </c>
      <c r="J245" t="s">
        <v>1323</v>
      </c>
      <c r="K245" t="s">
        <v>20</v>
      </c>
      <c r="L245">
        <v>237</v>
      </c>
      <c r="M245" t="s">
        <v>25</v>
      </c>
      <c r="N245" t="s">
        <v>20</v>
      </c>
      <c r="O245">
        <v>243</v>
      </c>
      <c r="P245" t="s">
        <v>1313</v>
      </c>
      <c r="Q245" t="s">
        <v>20</v>
      </c>
      <c r="R245">
        <v>284</v>
      </c>
      <c r="S245" t="s">
        <v>1314</v>
      </c>
      <c r="T245" t="s">
        <v>20</v>
      </c>
      <c r="U245">
        <v>409</v>
      </c>
      <c r="V245" t="s">
        <v>1315</v>
      </c>
      <c r="W245" t="s">
        <v>20</v>
      </c>
    </row>
    <row r="246" spans="1:23" x14ac:dyDescent="0.25">
      <c r="A246">
        <v>6</v>
      </c>
      <c r="B246" t="s">
        <v>167</v>
      </c>
      <c r="C246" t="str">
        <f>HYPERLINK("http://www.ncbi.nlm.nih.gov/protein/NWT00953.1","NWT00953.1")</f>
        <v>NWT00953.1</v>
      </c>
      <c r="D246">
        <v>14226</v>
      </c>
      <c r="E246" t="str">
        <f>HYPERLINK("http://www.ncbi.nlm.nih.gov/Taxonomy/Browser/wwwtax.cgi?mode=Info&amp;id=254557&amp;lvl=3&amp;lin=f&amp;keep=1&amp;srchmode=1&amp;unlock","254557")</f>
        <v>254557</v>
      </c>
      <c r="F246" t="s">
        <v>167</v>
      </c>
      <c r="G246" t="str">
        <f>HYPERLINK("http://www.ncbi.nlm.nih.gov/Taxonomy/Browser/wwwtax.cgi?mode=Info&amp;id=254557&amp;lvl=3&amp;lin=f&amp;keep=1&amp;srchmode=1&amp;unlock","Mionectes macconnelli")</f>
        <v>Mionectes macconnelli</v>
      </c>
      <c r="H246" t="s">
        <v>323</v>
      </c>
      <c r="I246" t="str">
        <f>HYPERLINK("http://www.ncbi.nlm.nih.gov/protein/NWT00953.1","ANDR protein")</f>
        <v>ANDR protein</v>
      </c>
      <c r="J246" t="s">
        <v>1323</v>
      </c>
      <c r="K246" t="s">
        <v>20</v>
      </c>
      <c r="L246">
        <v>467</v>
      </c>
      <c r="M246" t="s">
        <v>25</v>
      </c>
      <c r="N246" t="s">
        <v>20</v>
      </c>
      <c r="O246">
        <v>473</v>
      </c>
      <c r="P246" t="s">
        <v>1313</v>
      </c>
      <c r="Q246" t="s">
        <v>20</v>
      </c>
      <c r="R246">
        <v>514</v>
      </c>
      <c r="S246" t="s">
        <v>1314</v>
      </c>
      <c r="T246" t="s">
        <v>20</v>
      </c>
      <c r="U246">
        <v>639</v>
      </c>
      <c r="V246" t="s">
        <v>1315</v>
      </c>
      <c r="W246" t="s">
        <v>20</v>
      </c>
    </row>
    <row r="247" spans="1:23" x14ac:dyDescent="0.25">
      <c r="A247">
        <v>6</v>
      </c>
      <c r="B247" t="s">
        <v>167</v>
      </c>
      <c r="C247" t="str">
        <f>HYPERLINK("http://www.ncbi.nlm.nih.gov/protein/XP_027761078.1","XP_027761078.1")</f>
        <v>XP_027761078.1</v>
      </c>
      <c r="D247">
        <v>34050</v>
      </c>
      <c r="E247" t="str">
        <f>HYPERLINK("http://www.ncbi.nlm.nih.gov/Taxonomy/Browser/wwwtax.cgi?mode=Info&amp;id=164674&amp;lvl=3&amp;lin=f&amp;keep=1&amp;srchmode=1&amp;unlock","164674")</f>
        <v>164674</v>
      </c>
      <c r="F247" t="s">
        <v>167</v>
      </c>
      <c r="G247" t="str">
        <f>HYPERLINK("http://www.ncbi.nlm.nih.gov/Taxonomy/Browser/wwwtax.cgi?mode=Info&amp;id=164674&amp;lvl=3&amp;lin=f&amp;keep=1&amp;srchmode=1&amp;unlock","Empidonax traillii")</f>
        <v>Empidonax traillii</v>
      </c>
      <c r="H247" t="s">
        <v>403</v>
      </c>
      <c r="I247" t="str">
        <f>HYPERLINK("http://www.ncbi.nlm.nih.gov/protein/XP_027761078.1","androgen receptor")</f>
        <v>androgen receptor</v>
      </c>
      <c r="J247" t="s">
        <v>1323</v>
      </c>
      <c r="K247" t="s">
        <v>20</v>
      </c>
      <c r="L247">
        <v>465</v>
      </c>
      <c r="M247" t="s">
        <v>25</v>
      </c>
      <c r="N247" t="s">
        <v>20</v>
      </c>
      <c r="O247">
        <v>471</v>
      </c>
      <c r="P247" t="s">
        <v>1313</v>
      </c>
      <c r="Q247" t="s">
        <v>20</v>
      </c>
      <c r="R247">
        <v>512</v>
      </c>
      <c r="S247" t="s">
        <v>1314</v>
      </c>
      <c r="T247" t="s">
        <v>20</v>
      </c>
      <c r="U247">
        <v>637</v>
      </c>
      <c r="V247" t="s">
        <v>1315</v>
      </c>
      <c r="W247" t="s">
        <v>20</v>
      </c>
    </row>
    <row r="248" spans="1:23" x14ac:dyDescent="0.25">
      <c r="A248">
        <v>6</v>
      </c>
      <c r="B248" t="s">
        <v>167</v>
      </c>
      <c r="C248" t="str">
        <f>HYPERLINK("http://www.ncbi.nlm.nih.gov/protein/NXM34828.1","NXM34828.1")</f>
        <v>NXM34828.1</v>
      </c>
      <c r="D248">
        <v>14068</v>
      </c>
      <c r="E248" t="str">
        <f>HYPERLINK("http://www.ncbi.nlm.nih.gov/Taxonomy/Browser/wwwtax.cgi?mode=Info&amp;id=114331&amp;lvl=3&amp;lin=f&amp;keep=1&amp;srchmode=1&amp;unlock","114331")</f>
        <v>114331</v>
      </c>
      <c r="F248" t="s">
        <v>167</v>
      </c>
      <c r="G248" t="str">
        <f>HYPERLINK("http://www.ncbi.nlm.nih.gov/Taxonomy/Browser/wwwtax.cgi?mode=Info&amp;id=114331&amp;lvl=3&amp;lin=f&amp;keep=1&amp;srchmode=1&amp;unlock","Oxyruncus cristatus")</f>
        <v>Oxyruncus cristatus</v>
      </c>
      <c r="H248" t="s">
        <v>466</v>
      </c>
      <c r="I248" t="str">
        <f>HYPERLINK("http://www.ncbi.nlm.nih.gov/protein/NXM34828.1","ANDR protein")</f>
        <v>ANDR protein</v>
      </c>
      <c r="J248" t="s">
        <v>1323</v>
      </c>
      <c r="K248" t="s">
        <v>20</v>
      </c>
      <c r="L248">
        <v>237</v>
      </c>
      <c r="M248" t="s">
        <v>25</v>
      </c>
      <c r="N248" t="s">
        <v>20</v>
      </c>
      <c r="O248">
        <v>243</v>
      </c>
      <c r="P248" t="s">
        <v>1313</v>
      </c>
      <c r="Q248" t="s">
        <v>20</v>
      </c>
      <c r="R248">
        <v>284</v>
      </c>
      <c r="S248" t="s">
        <v>1314</v>
      </c>
      <c r="T248" t="s">
        <v>20</v>
      </c>
      <c r="U248">
        <v>409</v>
      </c>
      <c r="V248" t="s">
        <v>1315</v>
      </c>
      <c r="W248" t="s">
        <v>20</v>
      </c>
    </row>
    <row r="249" spans="1:23" x14ac:dyDescent="0.25">
      <c r="A249">
        <v>6</v>
      </c>
      <c r="B249" t="s">
        <v>167</v>
      </c>
      <c r="C249" t="str">
        <f>HYPERLINK("http://www.ncbi.nlm.nih.gov/protein/XP_027586750.1","XP_027586750.1")</f>
        <v>XP_027586750.1</v>
      </c>
      <c r="D249">
        <v>35867</v>
      </c>
      <c r="E249" t="str">
        <f>HYPERLINK("http://www.ncbi.nlm.nih.gov/Taxonomy/Browser/wwwtax.cgi?mode=Info&amp;id=649802&amp;lvl=3&amp;lin=f&amp;keep=1&amp;srchmode=1&amp;unlock","649802")</f>
        <v>649802</v>
      </c>
      <c r="F249" t="s">
        <v>167</v>
      </c>
      <c r="G249" t="str">
        <f>HYPERLINK("http://www.ncbi.nlm.nih.gov/Taxonomy/Browser/wwwtax.cgi?mode=Info&amp;id=649802&amp;lvl=3&amp;lin=f&amp;keep=1&amp;srchmode=1&amp;unlock","Pipra filicauda")</f>
        <v>Pipra filicauda</v>
      </c>
      <c r="H249" t="s">
        <v>478</v>
      </c>
      <c r="I249" t="str">
        <f>HYPERLINK("http://www.ncbi.nlm.nih.gov/protein/XP_027586750.1","androgen receptor isoform X1")</f>
        <v>androgen receptor isoform X1</v>
      </c>
      <c r="J249" t="s">
        <v>1323</v>
      </c>
      <c r="K249" t="s">
        <v>20</v>
      </c>
      <c r="L249">
        <v>462</v>
      </c>
      <c r="M249" t="s">
        <v>25</v>
      </c>
      <c r="N249" t="s">
        <v>20</v>
      </c>
      <c r="O249">
        <v>468</v>
      </c>
      <c r="P249" t="s">
        <v>1313</v>
      </c>
      <c r="Q249" t="s">
        <v>20</v>
      </c>
      <c r="R249">
        <v>509</v>
      </c>
      <c r="S249" t="s">
        <v>1314</v>
      </c>
      <c r="T249" t="s">
        <v>20</v>
      </c>
      <c r="U249">
        <v>634</v>
      </c>
      <c r="V249" t="s">
        <v>1315</v>
      </c>
      <c r="W249" t="s">
        <v>20</v>
      </c>
    </row>
    <row r="250" spans="1:23" x14ac:dyDescent="0.25">
      <c r="A250">
        <v>6</v>
      </c>
      <c r="B250" t="s">
        <v>167</v>
      </c>
      <c r="C250" t="str">
        <f>HYPERLINK("http://www.ncbi.nlm.nih.gov/protein/NWU83853.1","NWU83853.1")</f>
        <v>NWU83853.1</v>
      </c>
      <c r="D250">
        <v>14404</v>
      </c>
      <c r="E250" t="str">
        <f>HYPERLINK("http://www.ncbi.nlm.nih.gov/Taxonomy/Browser/wwwtax.cgi?mode=Info&amp;id=360224&amp;lvl=3&amp;lin=f&amp;keep=1&amp;srchmode=1&amp;unlock","360224")</f>
        <v>360224</v>
      </c>
      <c r="F250" t="s">
        <v>167</v>
      </c>
      <c r="G250" t="str">
        <f>HYPERLINK("http://www.ncbi.nlm.nih.gov/Taxonomy/Browser/wwwtax.cgi?mode=Info&amp;id=360224&amp;lvl=3&amp;lin=f&amp;keep=1&amp;srchmode=1&amp;unlock","Onychorhynchus coronatus")</f>
        <v>Onychorhynchus coronatus</v>
      </c>
      <c r="H250" t="s">
        <v>206</v>
      </c>
      <c r="I250" t="str">
        <f>HYPERLINK("http://www.ncbi.nlm.nih.gov/protein/NWU83853.1","ANDR protein")</f>
        <v>ANDR protein</v>
      </c>
      <c r="J250" t="s">
        <v>1323</v>
      </c>
      <c r="K250" t="s">
        <v>20</v>
      </c>
      <c r="L250">
        <v>237</v>
      </c>
      <c r="M250" t="s">
        <v>25</v>
      </c>
      <c r="N250" t="s">
        <v>20</v>
      </c>
      <c r="O250">
        <v>243</v>
      </c>
      <c r="P250" t="s">
        <v>1313</v>
      </c>
      <c r="Q250" t="s">
        <v>20</v>
      </c>
      <c r="R250">
        <v>284</v>
      </c>
      <c r="S250" t="s">
        <v>1314</v>
      </c>
      <c r="T250" t="s">
        <v>20</v>
      </c>
      <c r="U250">
        <v>409</v>
      </c>
      <c r="V250" t="s">
        <v>1315</v>
      </c>
      <c r="W250" t="s">
        <v>20</v>
      </c>
    </row>
    <row r="251" spans="1:23" x14ac:dyDescent="0.25">
      <c r="A251">
        <v>6</v>
      </c>
      <c r="B251" t="s">
        <v>167</v>
      </c>
      <c r="C251" t="str">
        <f>HYPERLINK("http://www.ncbi.nlm.nih.gov/protein/XP_032928056.1","XP_032928056.1")</f>
        <v>XP_032928056.1</v>
      </c>
      <c r="D251">
        <v>36100</v>
      </c>
      <c r="E251" t="str">
        <f>HYPERLINK("http://www.ncbi.nlm.nih.gov/Taxonomy/Browser/wwwtax.cgi?mode=Info&amp;id=91951&amp;lvl=3&amp;lin=f&amp;keep=1&amp;srchmode=1&amp;unlock","91951")</f>
        <v>91951</v>
      </c>
      <c r="F251" t="s">
        <v>167</v>
      </c>
      <c r="G251" t="str">
        <f>HYPERLINK("http://www.ncbi.nlm.nih.gov/Taxonomy/Browser/wwwtax.cgi?mode=Info&amp;id=91951&amp;lvl=3&amp;lin=f&amp;keep=1&amp;srchmode=1&amp;unlock","Catharus ustulatus")</f>
        <v>Catharus ustulatus</v>
      </c>
      <c r="H251" t="s">
        <v>306</v>
      </c>
      <c r="I251" t="str">
        <f>HYPERLINK("http://www.ncbi.nlm.nih.gov/protein/XP_032928056.1","androgen receptor")</f>
        <v>androgen receptor</v>
      </c>
      <c r="J251" t="s">
        <v>1323</v>
      </c>
      <c r="K251" t="s">
        <v>20</v>
      </c>
      <c r="L251">
        <v>474</v>
      </c>
      <c r="M251" t="s">
        <v>25</v>
      </c>
      <c r="N251" t="s">
        <v>20</v>
      </c>
      <c r="O251">
        <v>480</v>
      </c>
      <c r="P251" t="s">
        <v>1313</v>
      </c>
      <c r="Q251" t="s">
        <v>20</v>
      </c>
      <c r="R251">
        <v>521</v>
      </c>
      <c r="S251" t="s">
        <v>1314</v>
      </c>
      <c r="T251" t="s">
        <v>20</v>
      </c>
      <c r="U251">
        <v>646</v>
      </c>
      <c r="V251" t="s">
        <v>1315</v>
      </c>
      <c r="W251" t="s">
        <v>20</v>
      </c>
    </row>
    <row r="252" spans="1:23" x14ac:dyDescent="0.25">
      <c r="A252">
        <v>6</v>
      </c>
      <c r="B252" t="s">
        <v>167</v>
      </c>
      <c r="C252" t="str">
        <f>HYPERLINK("http://www.ncbi.nlm.nih.gov/protein/NXB85914.1","NXB85914.1")</f>
        <v>NXB85914.1</v>
      </c>
      <c r="D252">
        <v>14691</v>
      </c>
      <c r="E252" t="str">
        <f>HYPERLINK("http://www.ncbi.nlm.nih.gov/Taxonomy/Browser/wwwtax.cgi?mode=Info&amp;id=81927&amp;lvl=3&amp;lin=f&amp;keep=1&amp;srchmode=1&amp;unlock","81927")</f>
        <v>81927</v>
      </c>
      <c r="F252" t="s">
        <v>167</v>
      </c>
      <c r="G252" t="str">
        <f>HYPERLINK("http://www.ncbi.nlm.nih.gov/Taxonomy/Browser/wwwtax.cgi?mode=Info&amp;id=81927&amp;lvl=3&amp;lin=f&amp;keep=1&amp;srchmode=1&amp;unlock","Vidua chalybeata")</f>
        <v>Vidua chalybeata</v>
      </c>
      <c r="H252" t="s">
        <v>206</v>
      </c>
      <c r="I252" t="str">
        <f>HYPERLINK("http://www.ncbi.nlm.nih.gov/protein/NXB85914.1","ANDR protein")</f>
        <v>ANDR protein</v>
      </c>
      <c r="J252" t="s">
        <v>1323</v>
      </c>
      <c r="K252" t="s">
        <v>20</v>
      </c>
      <c r="L252">
        <v>470</v>
      </c>
      <c r="M252" t="s">
        <v>25</v>
      </c>
      <c r="N252" t="s">
        <v>20</v>
      </c>
      <c r="O252">
        <v>476</v>
      </c>
      <c r="P252" t="s">
        <v>1313</v>
      </c>
      <c r="Q252" t="s">
        <v>20</v>
      </c>
      <c r="R252">
        <v>517</v>
      </c>
      <c r="S252" t="s">
        <v>1314</v>
      </c>
      <c r="T252" t="s">
        <v>20</v>
      </c>
      <c r="U252">
        <v>642</v>
      </c>
      <c r="V252" t="s">
        <v>1315</v>
      </c>
      <c r="W252" t="s">
        <v>20</v>
      </c>
    </row>
    <row r="253" spans="1:23" x14ac:dyDescent="0.25">
      <c r="A253">
        <v>6</v>
      </c>
      <c r="B253" t="s">
        <v>167</v>
      </c>
      <c r="C253" t="str">
        <f>HYPERLINK("http://www.ncbi.nlm.nih.gov/protein/NXT61193.1","NXT61193.1")</f>
        <v>NXT61193.1</v>
      </c>
      <c r="D253">
        <v>13266</v>
      </c>
      <c r="E253" t="str">
        <f>HYPERLINK("http://www.ncbi.nlm.nih.gov/Taxonomy/Browser/wwwtax.cgi?mode=Info&amp;id=221966&amp;lvl=3&amp;lin=f&amp;keep=1&amp;srchmode=1&amp;unlock","221966")</f>
        <v>221966</v>
      </c>
      <c r="F253" t="s">
        <v>167</v>
      </c>
      <c r="G253" t="str">
        <f>HYPERLINK("http://www.ncbi.nlm.nih.gov/Taxonomy/Browser/wwwtax.cgi?mode=Info&amp;id=221966&amp;lvl=3&amp;lin=f&amp;keep=1&amp;srchmode=1&amp;unlock","Chaetops frenatus")</f>
        <v>Chaetops frenatus</v>
      </c>
      <c r="H253" t="s">
        <v>438</v>
      </c>
      <c r="I253" t="str">
        <f>HYPERLINK("http://www.ncbi.nlm.nih.gov/protein/NXT61193.1","ANDR protein")</f>
        <v>ANDR protein</v>
      </c>
      <c r="J253" t="s">
        <v>1323</v>
      </c>
      <c r="K253" t="s">
        <v>20</v>
      </c>
      <c r="L253">
        <v>235</v>
      </c>
      <c r="M253" t="s">
        <v>25</v>
      </c>
      <c r="N253" t="s">
        <v>20</v>
      </c>
      <c r="O253">
        <v>241</v>
      </c>
      <c r="P253" t="s">
        <v>1313</v>
      </c>
      <c r="Q253" t="s">
        <v>20</v>
      </c>
      <c r="R253">
        <v>282</v>
      </c>
      <c r="S253" t="s">
        <v>1314</v>
      </c>
      <c r="T253" t="s">
        <v>20</v>
      </c>
      <c r="U253">
        <v>407</v>
      </c>
      <c r="V253" t="s">
        <v>1315</v>
      </c>
      <c r="W253" t="s">
        <v>20</v>
      </c>
    </row>
    <row r="254" spans="1:23" x14ac:dyDescent="0.25">
      <c r="A254">
        <v>6</v>
      </c>
      <c r="B254" t="s">
        <v>167</v>
      </c>
      <c r="C254" t="str">
        <f>HYPERLINK("http://www.ncbi.nlm.nih.gov/protein/NXB67985.1","NXB67985.1")</f>
        <v>NXB67985.1</v>
      </c>
      <c r="D254">
        <v>14168</v>
      </c>
      <c r="E254" t="str">
        <f>HYPERLINK("http://www.ncbi.nlm.nih.gov/Taxonomy/Browser/wwwtax.cgi?mode=Info&amp;id=181839&amp;lvl=3&amp;lin=f&amp;keep=1&amp;srchmode=1&amp;unlock","181839")</f>
        <v>181839</v>
      </c>
      <c r="F254" t="s">
        <v>167</v>
      </c>
      <c r="G254" t="str">
        <f>HYPERLINK("http://www.ncbi.nlm.nih.gov/Taxonomy/Browser/wwwtax.cgi?mode=Info&amp;id=181839&amp;lvl=3&amp;lin=f&amp;keep=1&amp;srchmode=1&amp;unlock","Struthidea cinerea")</f>
        <v>Struthidea cinerea</v>
      </c>
      <c r="H254" t="s">
        <v>318</v>
      </c>
      <c r="I254" t="str">
        <f>HYPERLINK("http://www.ncbi.nlm.nih.gov/protein/NXB67985.1","ANDR protein")</f>
        <v>ANDR protein</v>
      </c>
      <c r="J254" t="s">
        <v>1323</v>
      </c>
      <c r="K254" t="s">
        <v>20</v>
      </c>
      <c r="L254">
        <v>237</v>
      </c>
      <c r="M254" t="s">
        <v>25</v>
      </c>
      <c r="N254" t="s">
        <v>20</v>
      </c>
      <c r="O254">
        <v>243</v>
      </c>
      <c r="P254" t="s">
        <v>1313</v>
      </c>
      <c r="Q254" t="s">
        <v>20</v>
      </c>
      <c r="R254">
        <v>284</v>
      </c>
      <c r="S254" t="s">
        <v>1314</v>
      </c>
      <c r="T254" t="s">
        <v>20</v>
      </c>
      <c r="U254">
        <v>409</v>
      </c>
      <c r="V254" t="s">
        <v>1315</v>
      </c>
      <c r="W254" t="s">
        <v>20</v>
      </c>
    </row>
    <row r="255" spans="1:23" x14ac:dyDescent="0.25">
      <c r="A255">
        <v>6</v>
      </c>
      <c r="B255" t="s">
        <v>167</v>
      </c>
      <c r="C255" t="str">
        <f>HYPERLINK("http://www.ncbi.nlm.nih.gov/protein/NXB31053.1","NXB31053.1")</f>
        <v>NXB31053.1</v>
      </c>
      <c r="D255">
        <v>14343</v>
      </c>
      <c r="E255" t="str">
        <f>HYPERLINK("http://www.ncbi.nlm.nih.gov/Taxonomy/Browser/wwwtax.cgi?mode=Info&amp;id=461239&amp;lvl=3&amp;lin=f&amp;keep=1&amp;srchmode=1&amp;unlock","461239")</f>
        <v>461239</v>
      </c>
      <c r="F255" t="s">
        <v>167</v>
      </c>
      <c r="G255" t="str">
        <f>HYPERLINK("http://www.ncbi.nlm.nih.gov/Taxonomy/Browser/wwwtax.cgi?mode=Info&amp;id=461239&amp;lvl=3&amp;lin=f&amp;keep=1&amp;srchmode=1&amp;unlock","Eulacestoma nigropectus")</f>
        <v>Eulacestoma nigropectus</v>
      </c>
      <c r="H255" t="s">
        <v>366</v>
      </c>
      <c r="I255" t="str">
        <f>HYPERLINK("http://www.ncbi.nlm.nih.gov/protein/NXB31053.1","ANDR protein")</f>
        <v>ANDR protein</v>
      </c>
      <c r="J255" t="s">
        <v>1323</v>
      </c>
      <c r="K255" t="s">
        <v>20</v>
      </c>
      <c r="L255">
        <v>237</v>
      </c>
      <c r="M255" t="s">
        <v>25</v>
      </c>
      <c r="N255" t="s">
        <v>20</v>
      </c>
      <c r="O255">
        <v>243</v>
      </c>
      <c r="P255" t="s">
        <v>1313</v>
      </c>
      <c r="Q255" t="s">
        <v>20</v>
      </c>
      <c r="R255">
        <v>284</v>
      </c>
      <c r="S255" t="s">
        <v>1314</v>
      </c>
      <c r="T255" t="s">
        <v>20</v>
      </c>
      <c r="U255">
        <v>409</v>
      </c>
      <c r="V255" t="s">
        <v>1315</v>
      </c>
      <c r="W255" t="s">
        <v>20</v>
      </c>
    </row>
    <row r="256" spans="1:23" x14ac:dyDescent="0.25">
      <c r="A256">
        <v>6</v>
      </c>
      <c r="B256" t="s">
        <v>167</v>
      </c>
      <c r="C256" t="str">
        <f>HYPERLINK("http://www.ncbi.nlm.nih.gov/protein/NWV62349.1","NWV62349.1")</f>
        <v>NWV62349.1</v>
      </c>
      <c r="D256">
        <v>14078</v>
      </c>
      <c r="E256" t="str">
        <f>HYPERLINK("http://www.ncbi.nlm.nih.gov/Taxonomy/Browser/wwwtax.cgi?mode=Info&amp;id=720584&amp;lvl=3&amp;lin=f&amp;keep=1&amp;srchmode=1&amp;unlock","720584")</f>
        <v>720584</v>
      </c>
      <c r="F256" t="s">
        <v>167</v>
      </c>
      <c r="G256" t="str">
        <f>HYPERLINK("http://www.ncbi.nlm.nih.gov/Taxonomy/Browser/wwwtax.cgi?mode=Info&amp;id=720584&amp;lvl=3&amp;lin=f&amp;keep=1&amp;srchmode=1&amp;unlock","Malurus elegans")</f>
        <v>Malurus elegans</v>
      </c>
      <c r="H256" t="s">
        <v>548</v>
      </c>
      <c r="I256" t="str">
        <f>HYPERLINK("http://www.ncbi.nlm.nih.gov/protein/NWV62349.1","ANDR protein")</f>
        <v>ANDR protein</v>
      </c>
      <c r="J256" t="s">
        <v>1323</v>
      </c>
      <c r="K256" t="s">
        <v>20</v>
      </c>
      <c r="L256">
        <v>252</v>
      </c>
      <c r="M256" t="s">
        <v>25</v>
      </c>
      <c r="N256" t="s">
        <v>20</v>
      </c>
      <c r="O256">
        <v>258</v>
      </c>
      <c r="P256" t="s">
        <v>1313</v>
      </c>
      <c r="Q256" t="s">
        <v>20</v>
      </c>
      <c r="R256">
        <v>299</v>
      </c>
      <c r="S256" t="s">
        <v>1314</v>
      </c>
      <c r="T256" t="s">
        <v>20</v>
      </c>
      <c r="U256">
        <v>424</v>
      </c>
      <c r="V256" t="s">
        <v>1315</v>
      </c>
      <c r="W256" t="s">
        <v>20</v>
      </c>
    </row>
    <row r="257" spans="1:23" x14ac:dyDescent="0.25">
      <c r="A257">
        <v>6</v>
      </c>
      <c r="B257" t="s">
        <v>167</v>
      </c>
      <c r="C257" t="str">
        <f>HYPERLINK("http://www.ncbi.nlm.nih.gov/protein/NXY24002.1","NXY24002.1")</f>
        <v>NXY24002.1</v>
      </c>
      <c r="D257">
        <v>14622</v>
      </c>
      <c r="E257" t="str">
        <f>HYPERLINK("http://www.ncbi.nlm.nih.gov/Taxonomy/Browser/wwwtax.cgi?mode=Info&amp;id=449594&amp;lvl=3&amp;lin=f&amp;keep=1&amp;srchmode=1&amp;unlock","449594")</f>
        <v>449594</v>
      </c>
      <c r="F257" t="s">
        <v>167</v>
      </c>
      <c r="G257" t="str">
        <f>HYPERLINK("http://www.ncbi.nlm.nih.gov/Taxonomy/Browser/wwwtax.cgi?mode=Info&amp;id=449594&amp;lvl=3&amp;lin=f&amp;keep=1&amp;srchmode=1&amp;unlock","Atrichornis clamosus")</f>
        <v>Atrichornis clamosus</v>
      </c>
      <c r="H257" t="s">
        <v>206</v>
      </c>
      <c r="I257" t="str">
        <f>HYPERLINK("http://www.ncbi.nlm.nih.gov/protein/NXY24002.1","ANDR protein")</f>
        <v>ANDR protein</v>
      </c>
      <c r="J257" t="s">
        <v>1323</v>
      </c>
      <c r="K257" t="s">
        <v>20</v>
      </c>
      <c r="L257">
        <v>237</v>
      </c>
      <c r="M257" t="s">
        <v>25</v>
      </c>
      <c r="N257" t="s">
        <v>20</v>
      </c>
      <c r="O257">
        <v>243</v>
      </c>
      <c r="P257" t="s">
        <v>1313</v>
      </c>
      <c r="Q257" t="s">
        <v>20</v>
      </c>
      <c r="R257">
        <v>284</v>
      </c>
      <c r="S257" t="s">
        <v>1314</v>
      </c>
      <c r="T257" t="s">
        <v>20</v>
      </c>
      <c r="U257">
        <v>409</v>
      </c>
      <c r="V257" t="s">
        <v>1315</v>
      </c>
      <c r="W257" t="s">
        <v>20</v>
      </c>
    </row>
    <row r="258" spans="1:23" x14ac:dyDescent="0.25">
      <c r="A258">
        <v>6</v>
      </c>
      <c r="B258" t="s">
        <v>167</v>
      </c>
      <c r="C258" t="str">
        <f>HYPERLINK("http://www.ncbi.nlm.nih.gov/protein/NXJ22781.1","NXJ22781.1")</f>
        <v>NXJ22781.1</v>
      </c>
      <c r="D258">
        <v>14261</v>
      </c>
      <c r="E258" t="str">
        <f>HYPERLINK("http://www.ncbi.nlm.nih.gov/Taxonomy/Browser/wwwtax.cgi?mode=Info&amp;id=450177&amp;lvl=3&amp;lin=f&amp;keep=1&amp;srchmode=1&amp;unlock","450177")</f>
        <v>450177</v>
      </c>
      <c r="F258" t="s">
        <v>167</v>
      </c>
      <c r="G258" t="str">
        <f>HYPERLINK("http://www.ncbi.nlm.nih.gov/Taxonomy/Browser/wwwtax.cgi?mode=Info&amp;id=450177&amp;lvl=3&amp;lin=f&amp;keep=1&amp;srchmode=1&amp;unlock","Dicrurus megarhynchus")</f>
        <v>Dicrurus megarhynchus</v>
      </c>
      <c r="H258" t="s">
        <v>206</v>
      </c>
      <c r="I258" t="str">
        <f>HYPERLINK("http://www.ncbi.nlm.nih.gov/protein/NXJ22781.1","ANDR protein")</f>
        <v>ANDR protein</v>
      </c>
      <c r="J258" t="s">
        <v>1323</v>
      </c>
      <c r="K258" t="s">
        <v>20</v>
      </c>
      <c r="L258">
        <v>237</v>
      </c>
      <c r="M258" t="s">
        <v>25</v>
      </c>
      <c r="N258" t="s">
        <v>20</v>
      </c>
      <c r="O258">
        <v>243</v>
      </c>
      <c r="P258" t="s">
        <v>1313</v>
      </c>
      <c r="Q258" t="s">
        <v>20</v>
      </c>
      <c r="R258">
        <v>284</v>
      </c>
      <c r="S258" t="s">
        <v>1314</v>
      </c>
      <c r="T258" t="s">
        <v>20</v>
      </c>
      <c r="U258">
        <v>409</v>
      </c>
      <c r="V258" t="s">
        <v>1315</v>
      </c>
      <c r="W258" t="s">
        <v>20</v>
      </c>
    </row>
    <row r="259" spans="1:23" x14ac:dyDescent="0.25">
      <c r="A259">
        <v>6</v>
      </c>
      <c r="B259" t="s">
        <v>167</v>
      </c>
      <c r="C259" t="str">
        <f>HYPERLINK("http://www.ncbi.nlm.nih.gov/protein/NWW26771.1","NWW26771.1")</f>
        <v>NWW26771.1</v>
      </c>
      <c r="D259">
        <v>14502</v>
      </c>
      <c r="E259" t="str">
        <f>HYPERLINK("http://www.ncbi.nlm.nih.gov/Taxonomy/Browser/wwwtax.cgi?mode=Info&amp;id=254539&amp;lvl=3&amp;lin=f&amp;keep=1&amp;srchmode=1&amp;unlock","254539")</f>
        <v>254539</v>
      </c>
      <c r="F259" t="s">
        <v>167</v>
      </c>
      <c r="G259" t="str">
        <f>HYPERLINK("http://www.ncbi.nlm.nih.gov/Taxonomy/Browser/wwwtax.cgi?mode=Info&amp;id=254539&amp;lvl=3&amp;lin=f&amp;keep=1&amp;srchmode=1&amp;unlock","Falcunculus frontatus")</f>
        <v>Falcunculus frontatus</v>
      </c>
      <c r="H259" t="s">
        <v>312</v>
      </c>
      <c r="I259" t="str">
        <f>HYPERLINK("http://www.ncbi.nlm.nih.gov/protein/NWW26771.1","ANDR protein")</f>
        <v>ANDR protein</v>
      </c>
      <c r="J259" t="s">
        <v>1323</v>
      </c>
      <c r="K259" t="s">
        <v>20</v>
      </c>
      <c r="L259">
        <v>237</v>
      </c>
      <c r="M259" t="s">
        <v>25</v>
      </c>
      <c r="N259" t="s">
        <v>20</v>
      </c>
      <c r="O259">
        <v>243</v>
      </c>
      <c r="P259" t="s">
        <v>1313</v>
      </c>
      <c r="Q259" t="s">
        <v>20</v>
      </c>
      <c r="R259">
        <v>284</v>
      </c>
      <c r="S259" t="s">
        <v>1314</v>
      </c>
      <c r="T259" t="s">
        <v>20</v>
      </c>
      <c r="U259">
        <v>409</v>
      </c>
      <c r="V259" t="s">
        <v>1315</v>
      </c>
      <c r="W259" t="s">
        <v>20</v>
      </c>
    </row>
    <row r="260" spans="1:23" x14ac:dyDescent="0.25">
      <c r="A260">
        <v>6</v>
      </c>
      <c r="B260" t="s">
        <v>167</v>
      </c>
      <c r="C260" t="str">
        <f>HYPERLINK("http://www.ncbi.nlm.nih.gov/protein/XP_017674811.1","XP_017674811.1")</f>
        <v>XP_017674811.1</v>
      </c>
      <c r="D260">
        <v>36957</v>
      </c>
      <c r="E260" t="str">
        <f>HYPERLINK("http://www.ncbi.nlm.nih.gov/Taxonomy/Browser/wwwtax.cgi?mode=Info&amp;id=321398&amp;lvl=3&amp;lin=f&amp;keep=1&amp;srchmode=1&amp;unlock","321398")</f>
        <v>321398</v>
      </c>
      <c r="F260" t="s">
        <v>167</v>
      </c>
      <c r="G260" t="str">
        <f>HYPERLINK("http://www.ncbi.nlm.nih.gov/Taxonomy/Browser/wwwtax.cgi?mode=Info&amp;id=321398&amp;lvl=3&amp;lin=f&amp;keep=1&amp;srchmode=1&amp;unlock","Lepidothrix coronata")</f>
        <v>Lepidothrix coronata</v>
      </c>
      <c r="H260" t="s">
        <v>462</v>
      </c>
      <c r="I260" t="str">
        <f>HYPERLINK("http://www.ncbi.nlm.nih.gov/protein/XP_017674811.1","PREDICTED: androgen receptor")</f>
        <v>PREDICTED: androgen receptor</v>
      </c>
      <c r="J260" t="s">
        <v>1323</v>
      </c>
      <c r="K260" t="s">
        <v>20</v>
      </c>
      <c r="L260">
        <v>462</v>
      </c>
      <c r="M260" t="s">
        <v>25</v>
      </c>
      <c r="N260" t="s">
        <v>20</v>
      </c>
      <c r="O260">
        <v>468</v>
      </c>
      <c r="P260" t="s">
        <v>1313</v>
      </c>
      <c r="Q260" t="s">
        <v>20</v>
      </c>
      <c r="R260">
        <v>509</v>
      </c>
      <c r="S260" t="s">
        <v>1314</v>
      </c>
      <c r="T260" t="s">
        <v>20</v>
      </c>
      <c r="U260">
        <v>634</v>
      </c>
      <c r="V260" t="s">
        <v>1315</v>
      </c>
      <c r="W260" t="s">
        <v>20</v>
      </c>
    </row>
    <row r="261" spans="1:23" x14ac:dyDescent="0.25">
      <c r="A261">
        <v>6</v>
      </c>
      <c r="B261" t="s">
        <v>167</v>
      </c>
      <c r="C261" t="str">
        <f>HYPERLINK("http://www.ncbi.nlm.nih.gov/protein/NXM46696.1","NXM46696.1")</f>
        <v>NXM46696.1</v>
      </c>
      <c r="D261">
        <v>14416</v>
      </c>
      <c r="E261" t="str">
        <f>HYPERLINK("http://www.ncbi.nlm.nih.gov/Taxonomy/Browser/wwwtax.cgi?mode=Info&amp;id=9132&amp;lvl=3&amp;lin=f&amp;keep=1&amp;srchmode=1&amp;unlock","9132")</f>
        <v>9132</v>
      </c>
      <c r="F261" t="s">
        <v>167</v>
      </c>
      <c r="G261" t="str">
        <f>HYPERLINK("http://www.ncbi.nlm.nih.gov/Taxonomy/Browser/wwwtax.cgi?mode=Info&amp;id=9132&amp;lvl=3&amp;lin=f&amp;keep=1&amp;srchmode=1&amp;unlock","Gymnorhina tibicen")</f>
        <v>Gymnorhina tibicen</v>
      </c>
      <c r="H261" t="s">
        <v>326</v>
      </c>
      <c r="I261" t="str">
        <f>HYPERLINK("http://www.ncbi.nlm.nih.gov/protein/NXM46696.1","ANDR protein")</f>
        <v>ANDR protein</v>
      </c>
      <c r="J261" t="s">
        <v>1323</v>
      </c>
      <c r="K261" t="s">
        <v>20</v>
      </c>
      <c r="L261">
        <v>237</v>
      </c>
      <c r="M261" t="s">
        <v>25</v>
      </c>
      <c r="N261" t="s">
        <v>20</v>
      </c>
      <c r="O261">
        <v>243</v>
      </c>
      <c r="P261" t="s">
        <v>1313</v>
      </c>
      <c r="Q261" t="s">
        <v>20</v>
      </c>
      <c r="R261">
        <v>284</v>
      </c>
      <c r="S261" t="s">
        <v>1314</v>
      </c>
      <c r="T261" t="s">
        <v>20</v>
      </c>
      <c r="U261">
        <v>409</v>
      </c>
      <c r="V261" t="s">
        <v>1315</v>
      </c>
      <c r="W261" t="s">
        <v>20</v>
      </c>
    </row>
    <row r="262" spans="1:23" x14ac:dyDescent="0.25">
      <c r="A262">
        <v>6</v>
      </c>
      <c r="B262" t="s">
        <v>167</v>
      </c>
      <c r="C262" t="str">
        <f>HYPERLINK("http://www.ncbi.nlm.nih.gov/protein/NXC80958.1","NXC80958.1")</f>
        <v>NXC80958.1</v>
      </c>
      <c r="D262">
        <v>13604</v>
      </c>
      <c r="E262" t="str">
        <f>HYPERLINK("http://www.ncbi.nlm.nih.gov/Taxonomy/Browser/wwwtax.cgi?mode=Info&amp;id=614051&amp;lvl=3&amp;lin=f&amp;keep=1&amp;srchmode=1&amp;unlock","614051")</f>
        <v>614051</v>
      </c>
      <c r="F262" t="s">
        <v>167</v>
      </c>
      <c r="G262" t="str">
        <f>HYPERLINK("http://www.ncbi.nlm.nih.gov/Taxonomy/Browser/wwwtax.cgi?mode=Info&amp;id=614051&amp;lvl=3&amp;lin=f&amp;keep=1&amp;srchmode=1&amp;unlock","Cercotrichas coryphoeus")</f>
        <v>Cercotrichas coryphoeus</v>
      </c>
      <c r="H262" t="s">
        <v>373</v>
      </c>
      <c r="I262" t="str">
        <f>HYPERLINK("http://www.ncbi.nlm.nih.gov/protein/NXC80958.1","ANDR protein")</f>
        <v>ANDR protein</v>
      </c>
      <c r="J262" t="s">
        <v>1323</v>
      </c>
      <c r="K262" t="s">
        <v>20</v>
      </c>
      <c r="L262">
        <v>468</v>
      </c>
      <c r="M262" t="s">
        <v>25</v>
      </c>
      <c r="N262" t="s">
        <v>20</v>
      </c>
      <c r="O262">
        <v>474</v>
      </c>
      <c r="P262" t="s">
        <v>1313</v>
      </c>
      <c r="Q262" t="s">
        <v>20</v>
      </c>
      <c r="R262">
        <v>515</v>
      </c>
      <c r="S262" t="s">
        <v>1314</v>
      </c>
      <c r="T262" t="s">
        <v>20</v>
      </c>
      <c r="U262">
        <v>640</v>
      </c>
      <c r="V262" t="s">
        <v>1315</v>
      </c>
      <c r="W262" t="s">
        <v>20</v>
      </c>
    </row>
    <row r="263" spans="1:23" x14ac:dyDescent="0.25">
      <c r="A263">
        <v>6</v>
      </c>
      <c r="B263" t="s">
        <v>167</v>
      </c>
      <c r="C263" t="str">
        <f>HYPERLINK("http://www.ncbi.nlm.nih.gov/protein/NWT18796.1","NWT18796.1")</f>
        <v>NWT18796.1</v>
      </c>
      <c r="D263">
        <v>14153</v>
      </c>
      <c r="E263" t="str">
        <f>HYPERLINK("http://www.ncbi.nlm.nih.gov/Taxonomy/Browser/wwwtax.cgi?mode=Info&amp;id=34956&amp;lvl=3&amp;lin=f&amp;keep=1&amp;srchmode=1&amp;unlock","34956")</f>
        <v>34956</v>
      </c>
      <c r="F263" t="s">
        <v>167</v>
      </c>
      <c r="G263" t="str">
        <f>HYPERLINK("http://www.ncbi.nlm.nih.gov/Taxonomy/Browser/wwwtax.cgi?mode=Info&amp;id=34956&amp;lvl=3&amp;lin=f&amp;keep=1&amp;srchmode=1&amp;unlock","Vireo altiloquus")</f>
        <v>Vireo altiloquus</v>
      </c>
      <c r="H263" t="s">
        <v>302</v>
      </c>
      <c r="I263" t="str">
        <f>HYPERLINK("http://www.ncbi.nlm.nih.gov/protein/NWT18796.1","ANDR protein")</f>
        <v>ANDR protein</v>
      </c>
      <c r="J263" t="s">
        <v>1323</v>
      </c>
      <c r="K263" t="s">
        <v>20</v>
      </c>
      <c r="L263">
        <v>237</v>
      </c>
      <c r="M263" t="s">
        <v>25</v>
      </c>
      <c r="N263" t="s">
        <v>20</v>
      </c>
      <c r="O263">
        <v>243</v>
      </c>
      <c r="P263" t="s">
        <v>1313</v>
      </c>
      <c r="Q263" t="s">
        <v>20</v>
      </c>
      <c r="R263">
        <v>284</v>
      </c>
      <c r="S263" t="s">
        <v>1314</v>
      </c>
      <c r="T263" t="s">
        <v>20</v>
      </c>
      <c r="U263">
        <v>409</v>
      </c>
      <c r="V263" t="s">
        <v>1315</v>
      </c>
      <c r="W263" t="s">
        <v>20</v>
      </c>
    </row>
    <row r="264" spans="1:23" x14ac:dyDescent="0.25">
      <c r="A264">
        <v>6</v>
      </c>
      <c r="B264" t="s">
        <v>167</v>
      </c>
      <c r="C264" t="str">
        <f>HYPERLINK("http://www.ncbi.nlm.nih.gov/protein/NXS72487.1","NXS72487.1")</f>
        <v>NXS72487.1</v>
      </c>
      <c r="D264">
        <v>12873</v>
      </c>
      <c r="E264" t="str">
        <f>HYPERLINK("http://www.ncbi.nlm.nih.gov/Taxonomy/Browser/wwwtax.cgi?mode=Info&amp;id=56262&amp;lvl=3&amp;lin=f&amp;keep=1&amp;srchmode=1&amp;unlock","56262")</f>
        <v>56262</v>
      </c>
      <c r="F264" t="s">
        <v>167</v>
      </c>
      <c r="G264" t="str">
        <f>HYPERLINK("http://www.ncbi.nlm.nih.gov/Taxonomy/Browser/wwwtax.cgi?mode=Info&amp;id=56262&amp;lvl=3&amp;lin=f&amp;keep=1&amp;srchmode=1&amp;unlock","Pandion haliaetus")</f>
        <v>Pandion haliaetus</v>
      </c>
      <c r="H264" t="s">
        <v>324</v>
      </c>
      <c r="I264" t="str">
        <f>HYPERLINK("http://www.ncbi.nlm.nih.gov/protein/NXS72487.1","ANDR protein")</f>
        <v>ANDR protein</v>
      </c>
      <c r="J264" t="s">
        <v>1323</v>
      </c>
      <c r="K264" t="s">
        <v>20</v>
      </c>
      <c r="L264">
        <v>211</v>
      </c>
      <c r="M264" t="s">
        <v>25</v>
      </c>
      <c r="N264" t="s">
        <v>20</v>
      </c>
      <c r="O264">
        <v>217</v>
      </c>
      <c r="P264" t="s">
        <v>1313</v>
      </c>
      <c r="Q264" t="s">
        <v>20</v>
      </c>
      <c r="R264">
        <v>258</v>
      </c>
      <c r="S264" t="s">
        <v>1314</v>
      </c>
      <c r="T264" t="s">
        <v>20</v>
      </c>
      <c r="U264">
        <v>383</v>
      </c>
      <c r="V264" t="s">
        <v>1315</v>
      </c>
      <c r="W264" t="s">
        <v>20</v>
      </c>
    </row>
    <row r="265" spans="1:23" x14ac:dyDescent="0.25">
      <c r="A265">
        <v>6</v>
      </c>
      <c r="B265" t="s">
        <v>167</v>
      </c>
      <c r="C265" t="str">
        <f>HYPERLINK("http://www.ncbi.nlm.nih.gov/protein/NXG80896.1","NXG80896.1")</f>
        <v>NXG80896.1</v>
      </c>
      <c r="D265">
        <v>13417</v>
      </c>
      <c r="E265" t="str">
        <f>HYPERLINK("http://www.ncbi.nlm.nih.gov/Taxonomy/Browser/wwwtax.cgi?mode=Info&amp;id=176943&amp;lvl=3&amp;lin=f&amp;keep=1&amp;srchmode=1&amp;unlock","176943")</f>
        <v>176943</v>
      </c>
      <c r="F265" t="s">
        <v>167</v>
      </c>
      <c r="G265" t="str">
        <f>HYPERLINK("http://www.ncbi.nlm.nih.gov/Taxonomy/Browser/wwwtax.cgi?mode=Info&amp;id=176943&amp;lvl=3&amp;lin=f&amp;keep=1&amp;srchmode=1&amp;unlock","Baryphthengus martii")</f>
        <v>Baryphthengus martii</v>
      </c>
      <c r="H265" t="s">
        <v>238</v>
      </c>
      <c r="I265" t="str">
        <f>HYPERLINK("http://www.ncbi.nlm.nih.gov/protein/NXG80896.1","ANDR protein")</f>
        <v>ANDR protein</v>
      </c>
      <c r="J265" t="s">
        <v>1323</v>
      </c>
      <c r="K265" t="s">
        <v>20</v>
      </c>
      <c r="L265">
        <v>209</v>
      </c>
      <c r="M265" t="s">
        <v>25</v>
      </c>
      <c r="N265" t="s">
        <v>20</v>
      </c>
      <c r="O265">
        <v>215</v>
      </c>
      <c r="P265" t="s">
        <v>1313</v>
      </c>
      <c r="Q265" t="s">
        <v>20</v>
      </c>
      <c r="R265">
        <v>256</v>
      </c>
      <c r="S265" t="s">
        <v>1314</v>
      </c>
      <c r="T265" t="s">
        <v>20</v>
      </c>
      <c r="U265">
        <v>381</v>
      </c>
      <c r="V265" t="s">
        <v>1315</v>
      </c>
      <c r="W265" t="s">
        <v>20</v>
      </c>
    </row>
    <row r="266" spans="1:23" x14ac:dyDescent="0.25">
      <c r="A266">
        <v>6</v>
      </c>
      <c r="B266" t="s">
        <v>167</v>
      </c>
      <c r="C266" t="str">
        <f>HYPERLINK("http://www.ncbi.nlm.nih.gov/protein/NWR35662.1","NWR35662.1")</f>
        <v>NWR35662.1</v>
      </c>
      <c r="D266">
        <v>14362</v>
      </c>
      <c r="E266" t="str">
        <f>HYPERLINK("http://www.ncbi.nlm.nih.gov/Taxonomy/Browser/wwwtax.cgi?mode=Info&amp;id=495162&amp;lvl=3&amp;lin=f&amp;keep=1&amp;srchmode=1&amp;unlock","495162")</f>
        <v>495162</v>
      </c>
      <c r="F266" t="s">
        <v>167</v>
      </c>
      <c r="G266" t="str">
        <f>HYPERLINK("http://www.ncbi.nlm.nih.gov/Taxonomy/Browser/wwwtax.cgi?mode=Info&amp;id=495162&amp;lvl=3&amp;lin=f&amp;keep=1&amp;srchmode=1&amp;unlock","Tachuris rubrigastra")</f>
        <v>Tachuris rubrigastra</v>
      </c>
      <c r="H266" t="s">
        <v>206</v>
      </c>
      <c r="I266" t="str">
        <f>HYPERLINK("http://www.ncbi.nlm.nih.gov/protein/NWR35662.1","ANDR protein")</f>
        <v>ANDR protein</v>
      </c>
      <c r="J266" t="s">
        <v>1323</v>
      </c>
      <c r="K266" t="s">
        <v>20</v>
      </c>
      <c r="L266">
        <v>238</v>
      </c>
      <c r="M266" t="s">
        <v>25</v>
      </c>
      <c r="N266" t="s">
        <v>20</v>
      </c>
      <c r="O266">
        <v>244</v>
      </c>
      <c r="P266" t="s">
        <v>1313</v>
      </c>
      <c r="Q266" t="s">
        <v>20</v>
      </c>
      <c r="R266">
        <v>285</v>
      </c>
      <c r="S266" t="s">
        <v>1314</v>
      </c>
      <c r="T266" t="s">
        <v>20</v>
      </c>
      <c r="U266">
        <v>410</v>
      </c>
      <c r="V266" t="s">
        <v>1315</v>
      </c>
      <c r="W266" t="s">
        <v>20</v>
      </c>
    </row>
    <row r="267" spans="1:23" x14ac:dyDescent="0.25">
      <c r="A267">
        <v>6</v>
      </c>
      <c r="B267" t="s">
        <v>167</v>
      </c>
      <c r="C267" t="str">
        <f>HYPERLINK("http://www.ncbi.nlm.nih.gov/protein/NXD90970.1","NXD90970.1")</f>
        <v>NXD90970.1</v>
      </c>
      <c r="D267">
        <v>14358</v>
      </c>
      <c r="E267" t="str">
        <f>HYPERLINK("http://www.ncbi.nlm.nih.gov/Taxonomy/Browser/wwwtax.cgi?mode=Info&amp;id=254446&amp;lvl=3&amp;lin=f&amp;keep=1&amp;srchmode=1&amp;unlock","254446")</f>
        <v>254446</v>
      </c>
      <c r="F267" t="s">
        <v>167</v>
      </c>
      <c r="G267" t="str">
        <f>HYPERLINK("http://www.ncbi.nlm.nih.gov/Taxonomy/Browser/wwwtax.cgi?mode=Info&amp;id=254446&amp;lvl=3&amp;lin=f&amp;keep=1&amp;srchmode=1&amp;unlock","Chaetorhynchus papuensis")</f>
        <v>Chaetorhynchus papuensis</v>
      </c>
      <c r="H267" t="s">
        <v>264</v>
      </c>
      <c r="I267" t="str">
        <f>HYPERLINK("http://www.ncbi.nlm.nih.gov/protein/NXD90970.1","ANDR protein")</f>
        <v>ANDR protein</v>
      </c>
      <c r="J267" t="s">
        <v>1323</v>
      </c>
      <c r="K267" t="s">
        <v>20</v>
      </c>
      <c r="L267">
        <v>470</v>
      </c>
      <c r="M267" t="s">
        <v>25</v>
      </c>
      <c r="N267" t="s">
        <v>20</v>
      </c>
      <c r="O267">
        <v>476</v>
      </c>
      <c r="P267" t="s">
        <v>1313</v>
      </c>
      <c r="Q267" t="s">
        <v>20</v>
      </c>
      <c r="R267">
        <v>517</v>
      </c>
      <c r="S267" t="s">
        <v>1314</v>
      </c>
      <c r="T267" t="s">
        <v>20</v>
      </c>
      <c r="U267">
        <v>642</v>
      </c>
      <c r="V267" t="s">
        <v>1315</v>
      </c>
      <c r="W267" t="s">
        <v>20</v>
      </c>
    </row>
    <row r="268" spans="1:23" x14ac:dyDescent="0.25">
      <c r="A268">
        <v>6</v>
      </c>
      <c r="B268" t="s">
        <v>167</v>
      </c>
      <c r="C268" t="str">
        <f>HYPERLINK("http://www.ncbi.nlm.nih.gov/protein/NWX35055.1","NWX35055.1")</f>
        <v>NWX35055.1</v>
      </c>
      <c r="D268">
        <v>13735</v>
      </c>
      <c r="E268" t="str">
        <f>HYPERLINK("http://www.ncbi.nlm.nih.gov/Taxonomy/Browser/wwwtax.cgi?mode=Info&amp;id=366454&amp;lvl=3&amp;lin=f&amp;keep=1&amp;srchmode=1&amp;unlock","366454")</f>
        <v>366454</v>
      </c>
      <c r="F268" t="s">
        <v>167</v>
      </c>
      <c r="G268" t="str">
        <f>HYPERLINK("http://www.ncbi.nlm.nih.gov/Taxonomy/Browser/wwwtax.cgi?mode=Info&amp;id=366454&amp;lvl=3&amp;lin=f&amp;keep=1&amp;srchmode=1&amp;unlock","Notiomystis cincta")</f>
        <v>Notiomystis cincta</v>
      </c>
      <c r="H268" t="s">
        <v>369</v>
      </c>
      <c r="I268" t="str">
        <f>HYPERLINK("http://www.ncbi.nlm.nih.gov/protein/NWX35055.1","ANDR protein")</f>
        <v>ANDR protein</v>
      </c>
      <c r="J268" t="s">
        <v>1323</v>
      </c>
      <c r="K268" t="s">
        <v>20</v>
      </c>
      <c r="L268">
        <v>235</v>
      </c>
      <c r="M268" t="s">
        <v>25</v>
      </c>
      <c r="N268" t="s">
        <v>20</v>
      </c>
      <c r="O268">
        <v>241</v>
      </c>
      <c r="P268" t="s">
        <v>1313</v>
      </c>
      <c r="Q268" t="s">
        <v>20</v>
      </c>
      <c r="R268">
        <v>282</v>
      </c>
      <c r="S268" t="s">
        <v>1314</v>
      </c>
      <c r="T268" t="s">
        <v>20</v>
      </c>
      <c r="U268">
        <v>407</v>
      </c>
      <c r="V268" t="s">
        <v>1315</v>
      </c>
      <c r="W268" t="s">
        <v>20</v>
      </c>
    </row>
    <row r="269" spans="1:23" x14ac:dyDescent="0.25">
      <c r="A269">
        <v>6</v>
      </c>
      <c r="B269" t="s">
        <v>167</v>
      </c>
      <c r="C269" t="str">
        <f>HYPERLINK("http://www.ncbi.nlm.nih.gov/protein/NWV93261.1","NWV93261.1")</f>
        <v>NWV93261.1</v>
      </c>
      <c r="D269">
        <v>13983</v>
      </c>
      <c r="E269" t="str">
        <f>HYPERLINK("http://www.ncbi.nlm.nih.gov/Taxonomy/Browser/wwwtax.cgi?mode=Info&amp;id=1160894&amp;lvl=3&amp;lin=f&amp;keep=1&amp;srchmode=1&amp;unlock","1160894")</f>
        <v>1160894</v>
      </c>
      <c r="F269" t="s">
        <v>167</v>
      </c>
      <c r="G269" t="str">
        <f>HYPERLINK("http://www.ncbi.nlm.nih.gov/Taxonomy/Browser/wwwtax.cgi?mode=Info&amp;id=1160894&amp;lvl=3&amp;lin=f&amp;keep=1&amp;srchmode=1&amp;unlock","Machaerirhynchus nigripectus")</f>
        <v>Machaerirhynchus nigripectus</v>
      </c>
      <c r="H269" t="s">
        <v>206</v>
      </c>
      <c r="I269" t="str">
        <f>HYPERLINK("http://www.ncbi.nlm.nih.gov/protein/NWV93261.1","ANDR protein")</f>
        <v>ANDR protein</v>
      </c>
      <c r="J269" t="s">
        <v>1323</v>
      </c>
      <c r="K269" t="s">
        <v>20</v>
      </c>
      <c r="L269">
        <v>237</v>
      </c>
      <c r="M269" t="s">
        <v>25</v>
      </c>
      <c r="N269" t="s">
        <v>20</v>
      </c>
      <c r="O269">
        <v>243</v>
      </c>
      <c r="P269" t="s">
        <v>1313</v>
      </c>
      <c r="Q269" t="s">
        <v>20</v>
      </c>
      <c r="R269">
        <v>284</v>
      </c>
      <c r="S269" t="s">
        <v>1314</v>
      </c>
      <c r="T269" t="s">
        <v>20</v>
      </c>
      <c r="U269">
        <v>409</v>
      </c>
      <c r="V269" t="s">
        <v>1315</v>
      </c>
      <c r="W269" t="s">
        <v>20</v>
      </c>
    </row>
    <row r="270" spans="1:23" x14ac:dyDescent="0.25">
      <c r="A270">
        <v>6</v>
      </c>
      <c r="B270" t="s">
        <v>167</v>
      </c>
      <c r="C270" t="str">
        <f>HYPERLINK("http://www.ncbi.nlm.nih.gov/protein/NXI81581.1","NXI81581.1")</f>
        <v>NXI81581.1</v>
      </c>
      <c r="D270">
        <v>14200</v>
      </c>
      <c r="E270" t="str">
        <f>HYPERLINK("http://www.ncbi.nlm.nih.gov/Taxonomy/Browser/wwwtax.cgi?mode=Info&amp;id=667186&amp;lvl=3&amp;lin=f&amp;keep=1&amp;srchmode=1&amp;unlock","667186")</f>
        <v>667186</v>
      </c>
      <c r="F270" t="s">
        <v>167</v>
      </c>
      <c r="G270" t="str">
        <f>HYPERLINK("http://www.ncbi.nlm.nih.gov/Taxonomy/Browser/wwwtax.cgi?mode=Info&amp;id=667186&amp;lvl=3&amp;lin=f&amp;keep=1&amp;srchmode=1&amp;unlock","Rhipidura dahli")</f>
        <v>Rhipidura dahli</v>
      </c>
      <c r="H270" t="s">
        <v>206</v>
      </c>
      <c r="I270" t="str">
        <f>HYPERLINK("http://www.ncbi.nlm.nih.gov/protein/NXI81581.1","ANDR protein")</f>
        <v>ANDR protein</v>
      </c>
      <c r="J270" t="s">
        <v>1323</v>
      </c>
      <c r="K270" t="s">
        <v>20</v>
      </c>
      <c r="L270">
        <v>237</v>
      </c>
      <c r="M270" t="s">
        <v>25</v>
      </c>
      <c r="N270" t="s">
        <v>20</v>
      </c>
      <c r="O270">
        <v>243</v>
      </c>
      <c r="P270" t="s">
        <v>1313</v>
      </c>
      <c r="Q270" t="s">
        <v>20</v>
      </c>
      <c r="R270">
        <v>284</v>
      </c>
      <c r="S270" t="s">
        <v>1314</v>
      </c>
      <c r="T270" t="s">
        <v>20</v>
      </c>
      <c r="U270">
        <v>409</v>
      </c>
      <c r="V270" t="s">
        <v>1315</v>
      </c>
      <c r="W270" t="s">
        <v>20</v>
      </c>
    </row>
    <row r="271" spans="1:23" x14ac:dyDescent="0.25">
      <c r="A271">
        <v>6</v>
      </c>
      <c r="B271" t="s">
        <v>167</v>
      </c>
      <c r="C271" t="str">
        <f>HYPERLINK("http://www.ncbi.nlm.nih.gov/protein/NWY14237.1","NWY14237.1")</f>
        <v>NWY14237.1</v>
      </c>
      <c r="D271">
        <v>14632</v>
      </c>
      <c r="E271" t="str">
        <f>HYPERLINK("http://www.ncbi.nlm.nih.gov/Taxonomy/Browser/wwwtax.cgi?mode=Info&amp;id=39617&amp;lvl=3&amp;lin=f&amp;keep=1&amp;srchmode=1&amp;unlock","39617")</f>
        <v>39617</v>
      </c>
      <c r="F271" t="s">
        <v>167</v>
      </c>
      <c r="G271" t="str">
        <f>HYPERLINK("http://www.ncbi.nlm.nih.gov/Taxonomy/Browser/wwwtax.cgi?mode=Info&amp;id=39617&amp;lvl=3&amp;lin=f&amp;keep=1&amp;srchmode=1&amp;unlock","Aphelocoma coerulescens")</f>
        <v>Aphelocoma coerulescens</v>
      </c>
      <c r="H271" t="s">
        <v>224</v>
      </c>
      <c r="I271" t="str">
        <f>HYPERLINK("http://www.ncbi.nlm.nih.gov/protein/NWY14237.1","ANDR protein")</f>
        <v>ANDR protein</v>
      </c>
      <c r="J271" t="s">
        <v>1323</v>
      </c>
      <c r="K271" t="s">
        <v>20</v>
      </c>
      <c r="L271">
        <v>379</v>
      </c>
      <c r="M271" t="s">
        <v>25</v>
      </c>
      <c r="N271" t="s">
        <v>20</v>
      </c>
      <c r="O271">
        <v>385</v>
      </c>
      <c r="P271" t="s">
        <v>1313</v>
      </c>
      <c r="Q271" t="s">
        <v>20</v>
      </c>
      <c r="R271">
        <v>426</v>
      </c>
      <c r="S271" t="s">
        <v>1314</v>
      </c>
      <c r="T271" t="s">
        <v>20</v>
      </c>
      <c r="U271">
        <v>551</v>
      </c>
      <c r="V271" t="s">
        <v>1315</v>
      </c>
      <c r="W271" t="s">
        <v>20</v>
      </c>
    </row>
    <row r="272" spans="1:23" x14ac:dyDescent="0.25">
      <c r="A272">
        <v>6</v>
      </c>
      <c r="B272" t="s">
        <v>167</v>
      </c>
      <c r="C272" t="str">
        <f>HYPERLINK("http://www.ncbi.nlm.nih.gov/protein/NXL20952.1","NXL20952.1")</f>
        <v>NXL20952.1</v>
      </c>
      <c r="D272">
        <v>13919</v>
      </c>
      <c r="E272" t="str">
        <f>HYPERLINK("http://www.ncbi.nlm.nih.gov/Taxonomy/Browser/wwwtax.cgi?mode=Info&amp;id=298831&amp;lvl=3&amp;lin=f&amp;keep=1&amp;srchmode=1&amp;unlock","298831")</f>
        <v>298831</v>
      </c>
      <c r="F272" t="s">
        <v>167</v>
      </c>
      <c r="G272" t="str">
        <f>HYPERLINK("http://www.ncbi.nlm.nih.gov/Taxonomy/Browser/wwwtax.cgi?mode=Info&amp;id=298831&amp;lvl=3&amp;lin=f&amp;keep=1&amp;srchmode=1&amp;unlock","Setophaga kirtlandii")</f>
        <v>Setophaga kirtlandii</v>
      </c>
      <c r="H272" t="s">
        <v>463</v>
      </c>
      <c r="I272" t="str">
        <f>HYPERLINK("http://www.ncbi.nlm.nih.gov/protein/NXL20952.1","ANDR protein")</f>
        <v>ANDR protein</v>
      </c>
      <c r="J272" t="s">
        <v>1323</v>
      </c>
      <c r="K272" t="s">
        <v>20</v>
      </c>
      <c r="L272">
        <v>237</v>
      </c>
      <c r="M272" t="s">
        <v>25</v>
      </c>
      <c r="N272" t="s">
        <v>20</v>
      </c>
      <c r="O272">
        <v>243</v>
      </c>
      <c r="P272" t="s">
        <v>1313</v>
      </c>
      <c r="Q272" t="s">
        <v>20</v>
      </c>
      <c r="R272">
        <v>284</v>
      </c>
      <c r="S272" t="s">
        <v>1314</v>
      </c>
      <c r="T272" t="s">
        <v>20</v>
      </c>
      <c r="U272">
        <v>409</v>
      </c>
      <c r="V272" t="s">
        <v>1315</v>
      </c>
      <c r="W272" t="s">
        <v>20</v>
      </c>
    </row>
    <row r="273" spans="1:23" x14ac:dyDescent="0.25">
      <c r="A273">
        <v>6</v>
      </c>
      <c r="B273" t="s">
        <v>167</v>
      </c>
      <c r="C273" t="str">
        <f>HYPERLINK("http://www.ncbi.nlm.nih.gov/protein/NXK46303.1","NXK46303.1")</f>
        <v>NXK46303.1</v>
      </c>
      <c r="D273">
        <v>13560</v>
      </c>
      <c r="E273" t="str">
        <f>HYPERLINK("http://www.ncbi.nlm.nih.gov/Taxonomy/Browser/wwwtax.cgi?mode=Info&amp;id=30388&amp;lvl=3&amp;lin=f&amp;keep=1&amp;srchmode=1&amp;unlock","30388")</f>
        <v>30388</v>
      </c>
      <c r="F273" t="s">
        <v>167</v>
      </c>
      <c r="G273" t="str">
        <f>HYPERLINK("http://www.ncbi.nlm.nih.gov/Taxonomy/Browser/wwwtax.cgi?mode=Info&amp;id=30388&amp;lvl=3&amp;lin=f&amp;keep=1&amp;srchmode=1&amp;unlock","Chauna torquata")</f>
        <v>Chauna torquata</v>
      </c>
      <c r="H273" t="s">
        <v>981</v>
      </c>
      <c r="I273" t="str">
        <f>HYPERLINK("http://www.ncbi.nlm.nih.gov/protein/NXK46303.1","ANDR protein")</f>
        <v>ANDR protein</v>
      </c>
      <c r="J273" t="s">
        <v>1323</v>
      </c>
      <c r="K273" t="s">
        <v>20</v>
      </c>
      <c r="L273">
        <v>200</v>
      </c>
      <c r="M273" t="s">
        <v>25</v>
      </c>
      <c r="N273" t="s">
        <v>20</v>
      </c>
      <c r="O273">
        <v>206</v>
      </c>
      <c r="P273" t="s">
        <v>1313</v>
      </c>
      <c r="Q273" t="s">
        <v>20</v>
      </c>
      <c r="R273">
        <v>247</v>
      </c>
      <c r="S273" t="s">
        <v>1314</v>
      </c>
      <c r="T273" t="s">
        <v>20</v>
      </c>
      <c r="U273">
        <v>372</v>
      </c>
      <c r="V273" t="s">
        <v>1315</v>
      </c>
      <c r="W273" t="s">
        <v>20</v>
      </c>
    </row>
    <row r="274" spans="1:23" x14ac:dyDescent="0.25">
      <c r="A274">
        <v>6</v>
      </c>
      <c r="B274" t="s">
        <v>167</v>
      </c>
      <c r="C274" t="str">
        <f>HYPERLINK("http://www.ncbi.nlm.nih.gov/protein/NWX53363.1","NWX53363.1")</f>
        <v>NWX53363.1</v>
      </c>
      <c r="D274">
        <v>14100</v>
      </c>
      <c r="E274" t="str">
        <f>HYPERLINK("http://www.ncbi.nlm.nih.gov/Taxonomy/Browser/wwwtax.cgi?mode=Info&amp;id=254652&amp;lvl=3&amp;lin=f&amp;keep=1&amp;srchmode=1&amp;unlock","254652")</f>
        <v>254652</v>
      </c>
      <c r="F274" t="s">
        <v>167</v>
      </c>
      <c r="G274" t="str">
        <f>HYPERLINK("http://www.ncbi.nlm.nih.gov/Taxonomy/Browser/wwwtax.cgi?mode=Info&amp;id=254652&amp;lvl=3&amp;lin=f&amp;keep=1&amp;srchmode=1&amp;unlock","Promerops cafer")</f>
        <v>Promerops cafer</v>
      </c>
      <c r="H274" t="s">
        <v>431</v>
      </c>
      <c r="I274" t="str">
        <f>HYPERLINK("http://www.ncbi.nlm.nih.gov/protein/NWX53363.1","ANDR protein")</f>
        <v>ANDR protein</v>
      </c>
      <c r="J274" t="s">
        <v>1323</v>
      </c>
      <c r="K274" t="s">
        <v>20</v>
      </c>
      <c r="L274">
        <v>237</v>
      </c>
      <c r="M274" t="s">
        <v>25</v>
      </c>
      <c r="N274" t="s">
        <v>20</v>
      </c>
      <c r="O274">
        <v>243</v>
      </c>
      <c r="P274" t="s">
        <v>1313</v>
      </c>
      <c r="Q274" t="s">
        <v>20</v>
      </c>
      <c r="R274">
        <v>284</v>
      </c>
      <c r="S274" t="s">
        <v>1314</v>
      </c>
      <c r="T274" t="s">
        <v>20</v>
      </c>
      <c r="U274">
        <v>409</v>
      </c>
      <c r="V274" t="s">
        <v>1315</v>
      </c>
      <c r="W274" t="s">
        <v>20</v>
      </c>
    </row>
    <row r="275" spans="1:23" x14ac:dyDescent="0.25">
      <c r="A275">
        <v>6</v>
      </c>
      <c r="B275" t="s">
        <v>167</v>
      </c>
      <c r="C275" t="str">
        <f>HYPERLINK("http://www.ncbi.nlm.nih.gov/protein/NXS28167.1","NXS28167.1")</f>
        <v>NXS28167.1</v>
      </c>
      <c r="D275">
        <v>13329</v>
      </c>
      <c r="E275" t="str">
        <f>HYPERLINK("http://www.ncbi.nlm.nih.gov/Taxonomy/Browser/wwwtax.cgi?mode=Info&amp;id=9176&amp;lvl=3&amp;lin=f&amp;keep=1&amp;srchmode=1&amp;unlock","9176")</f>
        <v>9176</v>
      </c>
      <c r="F275" t="s">
        <v>167</v>
      </c>
      <c r="G275" t="str">
        <f>HYPERLINK("http://www.ncbi.nlm.nih.gov/Taxonomy/Browser/wwwtax.cgi?mode=Info&amp;id=9176&amp;lvl=3&amp;lin=f&amp;keep=1&amp;srchmode=1&amp;unlock","Pomatostomus ruficeps")</f>
        <v>Pomatostomus ruficeps</v>
      </c>
      <c r="H275" t="s">
        <v>200</v>
      </c>
      <c r="I275" t="str">
        <f>HYPERLINK("http://www.ncbi.nlm.nih.gov/protein/NXS28167.1","ANDR protein")</f>
        <v>ANDR protein</v>
      </c>
      <c r="J275" t="s">
        <v>1323</v>
      </c>
      <c r="K275" t="s">
        <v>20</v>
      </c>
      <c r="L275">
        <v>237</v>
      </c>
      <c r="M275" t="s">
        <v>25</v>
      </c>
      <c r="N275" t="s">
        <v>20</v>
      </c>
      <c r="O275">
        <v>243</v>
      </c>
      <c r="P275" t="s">
        <v>1313</v>
      </c>
      <c r="Q275" t="s">
        <v>20</v>
      </c>
      <c r="R275">
        <v>284</v>
      </c>
      <c r="S275" t="s">
        <v>1314</v>
      </c>
      <c r="T275" t="s">
        <v>20</v>
      </c>
      <c r="U275">
        <v>409</v>
      </c>
      <c r="V275" t="s">
        <v>1315</v>
      </c>
      <c r="W275" t="s">
        <v>20</v>
      </c>
    </row>
    <row r="276" spans="1:23" x14ac:dyDescent="0.25">
      <c r="A276">
        <v>6</v>
      </c>
      <c r="B276" t="s">
        <v>167</v>
      </c>
      <c r="C276" t="str">
        <f>HYPERLINK("http://www.ncbi.nlm.nih.gov/protein/KAF4792979.1","KAF4792979.1")</f>
        <v>KAF4792979.1</v>
      </c>
      <c r="D276">
        <v>18372</v>
      </c>
      <c r="E276" t="str">
        <f>HYPERLINK("http://www.ncbi.nlm.nih.gov/Taxonomy/Browser/wwwtax.cgi?mode=Info&amp;id=311356&amp;lvl=3&amp;lin=f&amp;keep=1&amp;srchmode=1&amp;unlock","311356")</f>
        <v>311356</v>
      </c>
      <c r="F276" t="s">
        <v>167</v>
      </c>
      <c r="G276" t="str">
        <f>HYPERLINK("http://www.ncbi.nlm.nih.gov/Taxonomy/Browser/wwwtax.cgi?mode=Info&amp;id=311356&amp;lvl=3&amp;lin=f&amp;keep=1&amp;srchmode=1&amp;unlock","Turdus rufiventris")</f>
        <v>Turdus rufiventris</v>
      </c>
      <c r="H276" t="s">
        <v>668</v>
      </c>
      <c r="I276" t="str">
        <f>HYPERLINK("http://www.ncbi.nlm.nih.gov/protein/KAF4792979.1","androgen receptor")</f>
        <v>androgen receptor</v>
      </c>
      <c r="J276" t="s">
        <v>1323</v>
      </c>
      <c r="K276" t="s">
        <v>20</v>
      </c>
      <c r="L276">
        <v>362</v>
      </c>
      <c r="M276" t="s">
        <v>25</v>
      </c>
      <c r="N276" t="s">
        <v>20</v>
      </c>
      <c r="O276">
        <v>368</v>
      </c>
      <c r="P276" t="s">
        <v>1313</v>
      </c>
      <c r="Q276" t="s">
        <v>20</v>
      </c>
      <c r="R276">
        <v>409</v>
      </c>
      <c r="S276" t="s">
        <v>1314</v>
      </c>
      <c r="T276" t="s">
        <v>20</v>
      </c>
      <c r="U276">
        <v>534</v>
      </c>
      <c r="V276" t="s">
        <v>1315</v>
      </c>
      <c r="W276" t="s">
        <v>20</v>
      </c>
    </row>
    <row r="277" spans="1:23" x14ac:dyDescent="0.25">
      <c r="A277">
        <v>6</v>
      </c>
      <c r="B277" t="s">
        <v>167</v>
      </c>
      <c r="C277" t="str">
        <f>HYPERLINK("http://www.ncbi.nlm.nih.gov/protein/XP_021404098.1","XP_021404098.1")</f>
        <v>XP_021404098.1</v>
      </c>
      <c r="D277">
        <v>43851</v>
      </c>
      <c r="E277" t="str">
        <f>HYPERLINK("http://www.ncbi.nlm.nih.gov/Taxonomy/Browser/wwwtax.cgi?mode=Info&amp;id=299123&amp;lvl=3&amp;lin=f&amp;keep=1&amp;srchmode=1&amp;unlock","299123")</f>
        <v>299123</v>
      </c>
      <c r="F277" t="s">
        <v>167</v>
      </c>
      <c r="G277" t="str">
        <f>HYPERLINK("http://www.ncbi.nlm.nih.gov/Taxonomy/Browser/wwwtax.cgi?mode=Info&amp;id=299123&amp;lvl=3&amp;lin=f&amp;keep=1&amp;srchmode=1&amp;unlock","Lonchura striata domestica")</f>
        <v>Lonchura striata domestica</v>
      </c>
      <c r="H277" t="s">
        <v>447</v>
      </c>
      <c r="I277" t="str">
        <f>HYPERLINK("http://www.ncbi.nlm.nih.gov/protein/XP_021404098.1","androgen receptor")</f>
        <v>androgen receptor</v>
      </c>
      <c r="J277" t="s">
        <v>1323</v>
      </c>
      <c r="K277" t="s">
        <v>20</v>
      </c>
      <c r="L277">
        <v>470</v>
      </c>
      <c r="M277" t="s">
        <v>25</v>
      </c>
      <c r="N277" t="s">
        <v>20</v>
      </c>
      <c r="O277">
        <v>476</v>
      </c>
      <c r="P277" t="s">
        <v>1313</v>
      </c>
      <c r="Q277" t="s">
        <v>20</v>
      </c>
      <c r="R277">
        <v>517</v>
      </c>
      <c r="S277" t="s">
        <v>1314</v>
      </c>
      <c r="T277" t="s">
        <v>20</v>
      </c>
      <c r="U277">
        <v>642</v>
      </c>
      <c r="V277" t="s">
        <v>1315</v>
      </c>
      <c r="W277" t="s">
        <v>20</v>
      </c>
    </row>
    <row r="278" spans="1:23" x14ac:dyDescent="0.25">
      <c r="A278">
        <v>6</v>
      </c>
      <c r="B278" t="s">
        <v>167</v>
      </c>
      <c r="C278" t="str">
        <f>HYPERLINK("http://www.ncbi.nlm.nih.gov/protein/NXL81394.1","NXL81394.1")</f>
        <v>NXL81394.1</v>
      </c>
      <c r="D278">
        <v>13740</v>
      </c>
      <c r="E278" t="str">
        <f>HYPERLINK("http://www.ncbi.nlm.nih.gov/Taxonomy/Browser/wwwtax.cgi?mode=Info&amp;id=2585812&amp;lvl=3&amp;lin=f&amp;keep=1&amp;srchmode=1&amp;unlock","2585812")</f>
        <v>2585812</v>
      </c>
      <c r="F278" t="s">
        <v>167</v>
      </c>
      <c r="G278" t="str">
        <f>HYPERLINK("http://www.ncbi.nlm.nih.gov/Taxonomy/Browser/wwwtax.cgi?mode=Info&amp;id=2585812&amp;lvl=3&amp;lin=f&amp;keep=1&amp;srchmode=1&amp;unlock","Leptocoma aspasia")</f>
        <v>Leptocoma aspasia</v>
      </c>
      <c r="H278" t="s">
        <v>206</v>
      </c>
      <c r="I278" t="str">
        <f>HYPERLINK("http://www.ncbi.nlm.nih.gov/protein/NXL81394.1","ANDR protein")</f>
        <v>ANDR protein</v>
      </c>
      <c r="J278" t="s">
        <v>1323</v>
      </c>
      <c r="K278" t="s">
        <v>20</v>
      </c>
      <c r="L278">
        <v>237</v>
      </c>
      <c r="M278" t="s">
        <v>25</v>
      </c>
      <c r="N278" t="s">
        <v>20</v>
      </c>
      <c r="O278">
        <v>243</v>
      </c>
      <c r="P278" t="s">
        <v>1313</v>
      </c>
      <c r="Q278" t="s">
        <v>20</v>
      </c>
      <c r="R278">
        <v>284</v>
      </c>
      <c r="S278" t="s">
        <v>1314</v>
      </c>
      <c r="T278" t="s">
        <v>20</v>
      </c>
      <c r="U278">
        <v>409</v>
      </c>
      <c r="V278" t="s">
        <v>1315</v>
      </c>
      <c r="W278" t="s">
        <v>20</v>
      </c>
    </row>
    <row r="279" spans="1:23" x14ac:dyDescent="0.25">
      <c r="A279">
        <v>6</v>
      </c>
      <c r="B279" t="s">
        <v>167</v>
      </c>
      <c r="C279" t="str">
        <f>HYPERLINK("http://www.ncbi.nlm.nih.gov/protein/NXO37548.1","NXO37548.1")</f>
        <v>NXO37548.1</v>
      </c>
      <c r="D279">
        <v>13974</v>
      </c>
      <c r="E279" t="str">
        <f>HYPERLINK("http://www.ncbi.nlm.nih.gov/Taxonomy/Browser/wwwtax.cgi?mode=Info&amp;id=187437&amp;lvl=3&amp;lin=f&amp;keep=1&amp;srchmode=1&amp;unlock","187437")</f>
        <v>187437</v>
      </c>
      <c r="F279" t="s">
        <v>167</v>
      </c>
      <c r="G279" t="str">
        <f>HYPERLINK("http://www.ncbi.nlm.nih.gov/Taxonomy/Browser/wwwtax.cgi?mode=Info&amp;id=187437&amp;lvl=3&amp;lin=f&amp;keep=1&amp;srchmode=1&amp;unlock","Locustella ochotensis")</f>
        <v>Locustella ochotensis</v>
      </c>
      <c r="H279" t="s">
        <v>402</v>
      </c>
      <c r="I279" t="str">
        <f>HYPERLINK("http://www.ncbi.nlm.nih.gov/protein/NXO37548.1","ANDR protein")</f>
        <v>ANDR protein</v>
      </c>
      <c r="J279" t="s">
        <v>1323</v>
      </c>
      <c r="K279" t="s">
        <v>20</v>
      </c>
      <c r="L279">
        <v>234</v>
      </c>
      <c r="M279" t="s">
        <v>25</v>
      </c>
      <c r="N279" t="s">
        <v>20</v>
      </c>
      <c r="O279">
        <v>240</v>
      </c>
      <c r="P279" t="s">
        <v>1313</v>
      </c>
      <c r="Q279" t="s">
        <v>20</v>
      </c>
      <c r="R279">
        <v>281</v>
      </c>
      <c r="S279" t="s">
        <v>1314</v>
      </c>
      <c r="T279" t="s">
        <v>20</v>
      </c>
      <c r="U279">
        <v>406</v>
      </c>
      <c r="V279" t="s">
        <v>1315</v>
      </c>
      <c r="W279" t="s">
        <v>20</v>
      </c>
    </row>
    <row r="280" spans="1:23" x14ac:dyDescent="0.25">
      <c r="A280">
        <v>6</v>
      </c>
      <c r="B280" t="s">
        <v>167</v>
      </c>
      <c r="C280" t="str">
        <f>HYPERLINK("http://www.ncbi.nlm.nih.gov/protein/NXO76010.1","NXO76010.1")</f>
        <v>NXO76010.1</v>
      </c>
      <c r="D280">
        <v>13766</v>
      </c>
      <c r="E280" t="str">
        <f>HYPERLINK("http://www.ncbi.nlm.nih.gov/Taxonomy/Browser/wwwtax.cgi?mode=Info&amp;id=50251&amp;lvl=3&amp;lin=f&amp;keep=1&amp;srchmode=1&amp;unlock","50251")</f>
        <v>50251</v>
      </c>
      <c r="F280" t="s">
        <v>167</v>
      </c>
      <c r="G280" t="str">
        <f>HYPERLINK("http://www.ncbi.nlm.nih.gov/Taxonomy/Browser/wwwtax.cgi?mode=Info&amp;id=50251&amp;lvl=3&amp;lin=f&amp;keep=1&amp;srchmode=1&amp;unlock","Sitta europaea")</f>
        <v>Sitta europaea</v>
      </c>
      <c r="H280" t="s">
        <v>379</v>
      </c>
      <c r="I280" t="str">
        <f>HYPERLINK("http://www.ncbi.nlm.nih.gov/protein/NXO76010.1","ANDR protein")</f>
        <v>ANDR protein</v>
      </c>
      <c r="J280" t="s">
        <v>1323</v>
      </c>
      <c r="K280" t="s">
        <v>20</v>
      </c>
      <c r="L280">
        <v>235</v>
      </c>
      <c r="M280" t="s">
        <v>25</v>
      </c>
      <c r="N280" t="s">
        <v>20</v>
      </c>
      <c r="O280">
        <v>241</v>
      </c>
      <c r="P280" t="s">
        <v>1313</v>
      </c>
      <c r="Q280" t="s">
        <v>20</v>
      </c>
      <c r="R280">
        <v>282</v>
      </c>
      <c r="S280" t="s">
        <v>1314</v>
      </c>
      <c r="T280" t="s">
        <v>20</v>
      </c>
      <c r="U280">
        <v>407</v>
      </c>
      <c r="V280" t="s">
        <v>1315</v>
      </c>
      <c r="W280" t="s">
        <v>20</v>
      </c>
    </row>
    <row r="281" spans="1:23" x14ac:dyDescent="0.25">
      <c r="A281">
        <v>6</v>
      </c>
      <c r="B281" t="s">
        <v>167</v>
      </c>
      <c r="C281" t="str">
        <f>HYPERLINK("http://www.ncbi.nlm.nih.gov/protein/NWU01087.1","NWU01087.1")</f>
        <v>NWU01087.1</v>
      </c>
      <c r="D281">
        <v>13723</v>
      </c>
      <c r="E281" t="str">
        <f>HYPERLINK("http://www.ncbi.nlm.nih.gov/Taxonomy/Browser/wwwtax.cgi?mode=Info&amp;id=571890&amp;lvl=3&amp;lin=f&amp;keep=1&amp;srchmode=1&amp;unlock","571890")</f>
        <v>571890</v>
      </c>
      <c r="F281" t="s">
        <v>167</v>
      </c>
      <c r="G281" t="str">
        <f>HYPERLINK("http://www.ncbi.nlm.nih.gov/Taxonomy/Browser/wwwtax.cgi?mode=Info&amp;id=571890&amp;lvl=3&amp;lin=f&amp;keep=1&amp;srchmode=1&amp;unlock","Urocynchramus pylzowi")</f>
        <v>Urocynchramus pylzowi</v>
      </c>
      <c r="H281" t="s">
        <v>206</v>
      </c>
      <c r="I281" t="str">
        <f>HYPERLINK("http://www.ncbi.nlm.nih.gov/protein/NWU01087.1","ANDR protein")</f>
        <v>ANDR protein</v>
      </c>
      <c r="J281" t="s">
        <v>1323</v>
      </c>
      <c r="K281" t="s">
        <v>20</v>
      </c>
      <c r="L281">
        <v>237</v>
      </c>
      <c r="M281" t="s">
        <v>25</v>
      </c>
      <c r="N281" t="s">
        <v>20</v>
      </c>
      <c r="O281">
        <v>243</v>
      </c>
      <c r="P281" t="s">
        <v>1313</v>
      </c>
      <c r="Q281" t="s">
        <v>20</v>
      </c>
      <c r="R281">
        <v>284</v>
      </c>
      <c r="S281" t="s">
        <v>1314</v>
      </c>
      <c r="T281" t="s">
        <v>20</v>
      </c>
      <c r="U281">
        <v>409</v>
      </c>
      <c r="V281" t="s">
        <v>1315</v>
      </c>
      <c r="W281" t="s">
        <v>20</v>
      </c>
    </row>
    <row r="282" spans="1:23" x14ac:dyDescent="0.25">
      <c r="A282">
        <v>6</v>
      </c>
      <c r="B282" t="s">
        <v>167</v>
      </c>
      <c r="C282" t="str">
        <f>HYPERLINK("http://www.ncbi.nlm.nih.gov/protein/NXM82885.1","NXM82885.1")</f>
        <v>NXM82885.1</v>
      </c>
      <c r="D282">
        <v>13842</v>
      </c>
      <c r="E282" t="str">
        <f>HYPERLINK("http://www.ncbi.nlm.nih.gov/Taxonomy/Browser/wwwtax.cgi?mode=Info&amp;id=279966&amp;lvl=3&amp;lin=f&amp;keep=1&amp;srchmode=1&amp;unlock","279966")</f>
        <v>279966</v>
      </c>
      <c r="F282" t="s">
        <v>167</v>
      </c>
      <c r="G282" t="str">
        <f>HYPERLINK("http://www.ncbi.nlm.nih.gov/Taxonomy/Browser/wwwtax.cgi?mode=Info&amp;id=279966&amp;lvl=3&amp;lin=f&amp;keep=1&amp;srchmode=1&amp;unlock","Oenanthe oenanthe")</f>
        <v>Oenanthe oenanthe</v>
      </c>
      <c r="H282" t="s">
        <v>413</v>
      </c>
      <c r="I282" t="str">
        <f>HYPERLINK("http://www.ncbi.nlm.nih.gov/protein/NXM82885.1","ANDR protein")</f>
        <v>ANDR protein</v>
      </c>
      <c r="J282" t="s">
        <v>1323</v>
      </c>
      <c r="K282" t="s">
        <v>20</v>
      </c>
      <c r="L282">
        <v>237</v>
      </c>
      <c r="M282" t="s">
        <v>25</v>
      </c>
      <c r="N282" t="s">
        <v>20</v>
      </c>
      <c r="O282">
        <v>243</v>
      </c>
      <c r="P282" t="s">
        <v>1313</v>
      </c>
      <c r="Q282" t="s">
        <v>20</v>
      </c>
      <c r="R282">
        <v>284</v>
      </c>
      <c r="S282" t="s">
        <v>1314</v>
      </c>
      <c r="T282" t="s">
        <v>20</v>
      </c>
      <c r="U282">
        <v>409</v>
      </c>
      <c r="V282" t="s">
        <v>1315</v>
      </c>
      <c r="W282" t="s">
        <v>20</v>
      </c>
    </row>
    <row r="283" spans="1:23" x14ac:dyDescent="0.25">
      <c r="A283">
        <v>6</v>
      </c>
      <c r="B283" t="s">
        <v>167</v>
      </c>
      <c r="C283" t="str">
        <f>HYPERLINK("http://www.ncbi.nlm.nih.gov/protein/NXA79335.1","NXA79335.1")</f>
        <v>NXA79335.1</v>
      </c>
      <c r="D283">
        <v>13718</v>
      </c>
      <c r="E283" t="str">
        <f>HYPERLINK("http://www.ncbi.nlm.nih.gov/Taxonomy/Browser/wwwtax.cgi?mode=Info&amp;id=74200&amp;lvl=3&amp;lin=f&amp;keep=1&amp;srchmode=1&amp;unlock","74200")</f>
        <v>74200</v>
      </c>
      <c r="F283" t="s">
        <v>167</v>
      </c>
      <c r="G283" t="str">
        <f>HYPERLINK("http://www.ncbi.nlm.nih.gov/Taxonomy/Browser/wwwtax.cgi?mode=Info&amp;id=74200&amp;lvl=3&amp;lin=f&amp;keep=1&amp;srchmode=1&amp;unlock","Thryothorus ludovicianus")</f>
        <v>Thryothorus ludovicianus</v>
      </c>
      <c r="H283" t="s">
        <v>487</v>
      </c>
      <c r="I283" t="str">
        <f>HYPERLINK("http://www.ncbi.nlm.nih.gov/protein/NXA79335.1","ANDR protein")</f>
        <v>ANDR protein</v>
      </c>
      <c r="J283" t="s">
        <v>1323</v>
      </c>
      <c r="K283" t="s">
        <v>20</v>
      </c>
      <c r="L283">
        <v>232</v>
      </c>
      <c r="M283" t="s">
        <v>25</v>
      </c>
      <c r="N283" t="s">
        <v>20</v>
      </c>
      <c r="O283">
        <v>238</v>
      </c>
      <c r="P283" t="s">
        <v>1313</v>
      </c>
      <c r="Q283" t="s">
        <v>20</v>
      </c>
      <c r="R283">
        <v>279</v>
      </c>
      <c r="S283" t="s">
        <v>1314</v>
      </c>
      <c r="T283" t="s">
        <v>20</v>
      </c>
      <c r="U283">
        <v>404</v>
      </c>
      <c r="V283" t="s">
        <v>1315</v>
      </c>
      <c r="W283" t="s">
        <v>20</v>
      </c>
    </row>
    <row r="284" spans="1:23" x14ac:dyDescent="0.25">
      <c r="A284">
        <v>6</v>
      </c>
      <c r="B284" t="s">
        <v>167</v>
      </c>
      <c r="C284" t="str">
        <f>HYPERLINK("http://www.ncbi.nlm.nih.gov/protein/NXO94999.1","NXO94999.1")</f>
        <v>NXO94999.1</v>
      </c>
      <c r="D284">
        <v>13923</v>
      </c>
      <c r="E284" t="str">
        <f>HYPERLINK("http://www.ncbi.nlm.nih.gov/Taxonomy/Browser/wwwtax.cgi?mode=Info&amp;id=73330&amp;lvl=3&amp;lin=f&amp;keep=1&amp;srchmode=1&amp;unlock","73330")</f>
        <v>73330</v>
      </c>
      <c r="F284" t="s">
        <v>167</v>
      </c>
      <c r="G284" t="str">
        <f>HYPERLINK("http://www.ncbi.nlm.nih.gov/Taxonomy/Browser/wwwtax.cgi?mode=Info&amp;id=73330&amp;lvl=3&amp;lin=f&amp;keep=1&amp;srchmode=1&amp;unlock","Certhia brachydactyla")</f>
        <v>Certhia brachydactyla</v>
      </c>
      <c r="H284" t="s">
        <v>471</v>
      </c>
      <c r="I284" t="str">
        <f>HYPERLINK("http://www.ncbi.nlm.nih.gov/protein/NXO94999.1","ANDR protein")</f>
        <v>ANDR protein</v>
      </c>
      <c r="J284" t="s">
        <v>1323</v>
      </c>
      <c r="K284" t="s">
        <v>20</v>
      </c>
      <c r="L284">
        <v>237</v>
      </c>
      <c r="M284" t="s">
        <v>25</v>
      </c>
      <c r="N284" t="s">
        <v>20</v>
      </c>
      <c r="O284">
        <v>243</v>
      </c>
      <c r="P284" t="s">
        <v>1313</v>
      </c>
      <c r="Q284" t="s">
        <v>20</v>
      </c>
      <c r="R284">
        <v>284</v>
      </c>
      <c r="S284" t="s">
        <v>1314</v>
      </c>
      <c r="T284" t="s">
        <v>20</v>
      </c>
      <c r="U284">
        <v>409</v>
      </c>
      <c r="V284" t="s">
        <v>1315</v>
      </c>
      <c r="W284" t="s">
        <v>20</v>
      </c>
    </row>
    <row r="285" spans="1:23" x14ac:dyDescent="0.25">
      <c r="A285">
        <v>6</v>
      </c>
      <c r="B285" t="s">
        <v>167</v>
      </c>
      <c r="C285" t="str">
        <f>HYPERLINK("http://www.ncbi.nlm.nih.gov/protein/NWU10266.1","NWU10266.1")</f>
        <v>NWU10266.1</v>
      </c>
      <c r="D285">
        <v>13939</v>
      </c>
      <c r="E285" t="str">
        <f>HYPERLINK("http://www.ncbi.nlm.nih.gov/Taxonomy/Browser/wwwtax.cgi?mode=Info&amp;id=114276&amp;lvl=3&amp;lin=f&amp;keep=1&amp;srchmode=1&amp;unlock","114276")</f>
        <v>114276</v>
      </c>
      <c r="F285" t="s">
        <v>167</v>
      </c>
      <c r="G285" t="str">
        <f>HYPERLINK("http://www.ncbi.nlm.nih.gov/Taxonomy/Browser/wwwtax.cgi?mode=Info&amp;id=114276&amp;lvl=3&amp;lin=f&amp;keep=1&amp;srchmode=1&amp;unlock","Cephalopterus ornatus")</f>
        <v>Cephalopterus ornatus</v>
      </c>
      <c r="H285" t="s">
        <v>346</v>
      </c>
      <c r="I285" t="str">
        <f>HYPERLINK("http://www.ncbi.nlm.nih.gov/protein/NWU10266.1","ANDR protein")</f>
        <v>ANDR protein</v>
      </c>
      <c r="J285" t="s">
        <v>1323</v>
      </c>
      <c r="K285" t="s">
        <v>20</v>
      </c>
      <c r="L285">
        <v>231</v>
      </c>
      <c r="M285" t="s">
        <v>25</v>
      </c>
      <c r="N285" t="s">
        <v>20</v>
      </c>
      <c r="O285">
        <v>237</v>
      </c>
      <c r="P285" t="s">
        <v>1313</v>
      </c>
      <c r="Q285" t="s">
        <v>20</v>
      </c>
      <c r="R285">
        <v>278</v>
      </c>
      <c r="S285" t="s">
        <v>1314</v>
      </c>
      <c r="T285" t="s">
        <v>20</v>
      </c>
      <c r="U285">
        <v>403</v>
      </c>
      <c r="V285" t="s">
        <v>1315</v>
      </c>
      <c r="W285" t="s">
        <v>20</v>
      </c>
    </row>
    <row r="286" spans="1:23" x14ac:dyDescent="0.25">
      <c r="A286">
        <v>6</v>
      </c>
      <c r="B286" t="s">
        <v>167</v>
      </c>
      <c r="C286" t="str">
        <f>HYPERLINK("http://www.ncbi.nlm.nih.gov/protein/NXO72063.1","NXO72063.1")</f>
        <v>NXO72063.1</v>
      </c>
      <c r="D286">
        <v>13570</v>
      </c>
      <c r="E286" t="str">
        <f>HYPERLINK("http://www.ncbi.nlm.nih.gov/Taxonomy/Browser/wwwtax.cgi?mode=Info&amp;id=161653&amp;lvl=3&amp;lin=f&amp;keep=1&amp;srchmode=1&amp;unlock","161653")</f>
        <v>161653</v>
      </c>
      <c r="F286" t="s">
        <v>167</v>
      </c>
      <c r="G286" t="str">
        <f>HYPERLINK("http://www.ncbi.nlm.nih.gov/Taxonomy/Browser/wwwtax.cgi?mode=Info&amp;id=161653&amp;lvl=3&amp;lin=f&amp;keep=1&amp;srchmode=1&amp;unlock","Phainopepla nitens")</f>
        <v>Phainopepla nitens</v>
      </c>
      <c r="H286" t="s">
        <v>206</v>
      </c>
      <c r="I286" t="str">
        <f>HYPERLINK("http://www.ncbi.nlm.nih.gov/protein/NXO72063.1","ANDR protein")</f>
        <v>ANDR protein</v>
      </c>
      <c r="J286" t="s">
        <v>1323</v>
      </c>
      <c r="K286" t="s">
        <v>20</v>
      </c>
      <c r="L286">
        <v>233</v>
      </c>
      <c r="M286" t="s">
        <v>25</v>
      </c>
      <c r="N286" t="s">
        <v>20</v>
      </c>
      <c r="O286">
        <v>239</v>
      </c>
      <c r="P286" t="s">
        <v>1313</v>
      </c>
      <c r="Q286" t="s">
        <v>20</v>
      </c>
      <c r="R286">
        <v>280</v>
      </c>
      <c r="S286" t="s">
        <v>1314</v>
      </c>
      <c r="T286" t="s">
        <v>20</v>
      </c>
      <c r="U286">
        <v>405</v>
      </c>
      <c r="V286" t="s">
        <v>1315</v>
      </c>
      <c r="W286" t="s">
        <v>20</v>
      </c>
    </row>
    <row r="287" spans="1:23" x14ac:dyDescent="0.25">
      <c r="A287">
        <v>6</v>
      </c>
      <c r="B287" t="s">
        <v>167</v>
      </c>
      <c r="C287" t="str">
        <f>HYPERLINK("http://www.ncbi.nlm.nih.gov/protein/XP_031980337.1","XP_031980337.1")</f>
        <v>XP_031980337.1</v>
      </c>
      <c r="D287">
        <v>56759</v>
      </c>
      <c r="E287" t="str">
        <f>HYPERLINK("http://www.ncbi.nlm.nih.gov/Taxonomy/Browser/wwwtax.cgi?mode=Info&amp;id=1196302&amp;lvl=3&amp;lin=f&amp;keep=1&amp;srchmode=1&amp;unlock","1196302")</f>
        <v>1196302</v>
      </c>
      <c r="F287" t="s">
        <v>167</v>
      </c>
      <c r="G287" t="str">
        <f>HYPERLINK("http://www.ncbi.nlm.nih.gov/Taxonomy/Browser/wwwtax.cgi?mode=Info&amp;id=1196302&amp;lvl=3&amp;lin=f&amp;keep=1&amp;srchmode=1&amp;unlock","Corvus moneduloides")</f>
        <v>Corvus moneduloides</v>
      </c>
      <c r="H287" t="s">
        <v>268</v>
      </c>
      <c r="I287" t="str">
        <f>HYPERLINK("http://www.ncbi.nlm.nih.gov/protein/XP_031980337.1","androgen receptor")</f>
        <v>androgen receptor</v>
      </c>
      <c r="J287" t="s">
        <v>1323</v>
      </c>
      <c r="K287" t="s">
        <v>20</v>
      </c>
      <c r="L287">
        <v>471</v>
      </c>
      <c r="M287" t="s">
        <v>25</v>
      </c>
      <c r="N287" t="s">
        <v>20</v>
      </c>
      <c r="O287">
        <v>477</v>
      </c>
      <c r="P287" t="s">
        <v>1313</v>
      </c>
      <c r="Q287" t="s">
        <v>20</v>
      </c>
      <c r="R287">
        <v>518</v>
      </c>
      <c r="S287" t="s">
        <v>1314</v>
      </c>
      <c r="T287" t="s">
        <v>20</v>
      </c>
      <c r="U287">
        <v>643</v>
      </c>
      <c r="V287" t="s">
        <v>1315</v>
      </c>
      <c r="W287" t="s">
        <v>20</v>
      </c>
    </row>
    <row r="288" spans="1:23" x14ac:dyDescent="0.25">
      <c r="A288">
        <v>6</v>
      </c>
      <c r="B288" t="s">
        <v>167</v>
      </c>
      <c r="C288" t="str">
        <f>HYPERLINK("http://www.ncbi.nlm.nih.gov/protein/NXY35009.1","NXY35009.1")</f>
        <v>NXY35009.1</v>
      </c>
      <c r="D288">
        <v>13354</v>
      </c>
      <c r="E288" t="str">
        <f>HYPERLINK("http://www.ncbi.nlm.nih.gov/Taxonomy/Browser/wwwtax.cgi?mode=Info&amp;id=932028&amp;lvl=3&amp;lin=f&amp;keep=1&amp;srchmode=1&amp;unlock","932028")</f>
        <v>932028</v>
      </c>
      <c r="F288" t="s">
        <v>167</v>
      </c>
      <c r="G288" t="str">
        <f>HYPERLINK("http://www.ncbi.nlm.nih.gov/Taxonomy/Browser/wwwtax.cgi?mode=Info&amp;id=932028&amp;lvl=3&amp;lin=f&amp;keep=1&amp;srchmode=1&amp;unlock","Pomatorhinus ruficollis")</f>
        <v>Pomatorhinus ruficollis</v>
      </c>
      <c r="H288" t="s">
        <v>666</v>
      </c>
      <c r="I288" t="str">
        <f>HYPERLINK("http://www.ncbi.nlm.nih.gov/protein/NXY35009.1","ANDR protein")</f>
        <v>ANDR protein</v>
      </c>
      <c r="J288" t="s">
        <v>1323</v>
      </c>
      <c r="K288" t="s">
        <v>20</v>
      </c>
      <c r="L288">
        <v>443</v>
      </c>
      <c r="M288" t="s">
        <v>25</v>
      </c>
      <c r="N288" t="s">
        <v>20</v>
      </c>
      <c r="O288">
        <v>449</v>
      </c>
      <c r="P288" t="s">
        <v>1313</v>
      </c>
      <c r="Q288" t="s">
        <v>20</v>
      </c>
      <c r="R288">
        <v>490</v>
      </c>
      <c r="S288" t="s">
        <v>1314</v>
      </c>
      <c r="T288" t="s">
        <v>20</v>
      </c>
      <c r="U288">
        <v>615</v>
      </c>
      <c r="V288" t="s">
        <v>1315</v>
      </c>
      <c r="W288" t="s">
        <v>20</v>
      </c>
    </row>
    <row r="289" spans="1:23" x14ac:dyDescent="0.25">
      <c r="A289">
        <v>6</v>
      </c>
      <c r="B289" t="s">
        <v>167</v>
      </c>
      <c r="C289" t="str">
        <f>HYPERLINK("http://www.ncbi.nlm.nih.gov/protein/NXD37465.1","NXD37465.1")</f>
        <v>NXD37465.1</v>
      </c>
      <c r="D289">
        <v>14417</v>
      </c>
      <c r="E289" t="str">
        <f>HYPERLINK("http://www.ncbi.nlm.nih.gov/Taxonomy/Browser/wwwtax.cgi?mode=Info&amp;id=797021&amp;lvl=3&amp;lin=f&amp;keep=1&amp;srchmode=1&amp;unlock","797021")</f>
        <v>797021</v>
      </c>
      <c r="F289" t="s">
        <v>167</v>
      </c>
      <c r="G289" t="str">
        <f>HYPERLINK("http://www.ncbi.nlm.nih.gov/Taxonomy/Browser/wwwtax.cgi?mode=Info&amp;id=797021&amp;lvl=3&amp;lin=f&amp;keep=1&amp;srchmode=1&amp;unlock","Copsychus sechellarum")</f>
        <v>Copsychus sechellarum</v>
      </c>
      <c r="H289" t="s">
        <v>378</v>
      </c>
      <c r="I289" t="str">
        <f>HYPERLINK("http://www.ncbi.nlm.nih.gov/protein/NXD37465.1","ANDR protein")</f>
        <v>ANDR protein</v>
      </c>
      <c r="J289" t="s">
        <v>1323</v>
      </c>
      <c r="K289" t="s">
        <v>20</v>
      </c>
      <c r="L289">
        <v>469</v>
      </c>
      <c r="M289" t="s">
        <v>25</v>
      </c>
      <c r="N289" t="s">
        <v>20</v>
      </c>
      <c r="O289">
        <v>475</v>
      </c>
      <c r="P289" t="s">
        <v>1313</v>
      </c>
      <c r="Q289" t="s">
        <v>20</v>
      </c>
      <c r="R289">
        <v>516</v>
      </c>
      <c r="S289" t="s">
        <v>1314</v>
      </c>
      <c r="T289" t="s">
        <v>20</v>
      </c>
      <c r="U289">
        <v>641</v>
      </c>
      <c r="V289" t="s">
        <v>1315</v>
      </c>
      <c r="W289" t="s">
        <v>20</v>
      </c>
    </row>
    <row r="290" spans="1:23" x14ac:dyDescent="0.25">
      <c r="A290">
        <v>6</v>
      </c>
      <c r="B290" t="s">
        <v>167</v>
      </c>
      <c r="C290" t="str">
        <f>HYPERLINK("http://www.ncbi.nlm.nih.gov/protein/NXH30905.1","NXH30905.1")</f>
        <v>NXH30905.1</v>
      </c>
      <c r="D290">
        <v>13940</v>
      </c>
      <c r="E290" t="str">
        <f>HYPERLINK("http://www.ncbi.nlm.nih.gov/Taxonomy/Browser/wwwtax.cgi?mode=Info&amp;id=381031&amp;lvl=3&amp;lin=f&amp;keep=1&amp;srchmode=1&amp;unlock","381031")</f>
        <v>381031</v>
      </c>
      <c r="F290" t="s">
        <v>167</v>
      </c>
      <c r="G290" t="str">
        <f>HYPERLINK("http://www.ncbi.nlm.nih.gov/Taxonomy/Browser/wwwtax.cgi?mode=Info&amp;id=381031&amp;lvl=3&amp;lin=f&amp;keep=1&amp;srchmode=1&amp;unlock","Myiagra hebetior")</f>
        <v>Myiagra hebetior</v>
      </c>
      <c r="H290" t="s">
        <v>206</v>
      </c>
      <c r="I290" t="str">
        <f>HYPERLINK("http://www.ncbi.nlm.nih.gov/protein/NXH30905.1","ANDR protein")</f>
        <v>ANDR protein</v>
      </c>
      <c r="J290" t="s">
        <v>1323</v>
      </c>
      <c r="K290" t="s">
        <v>20</v>
      </c>
      <c r="L290">
        <v>209</v>
      </c>
      <c r="M290" t="s">
        <v>25</v>
      </c>
      <c r="N290" t="s">
        <v>20</v>
      </c>
      <c r="O290">
        <v>215</v>
      </c>
      <c r="P290" t="s">
        <v>1313</v>
      </c>
      <c r="Q290" t="s">
        <v>20</v>
      </c>
      <c r="R290">
        <v>256</v>
      </c>
      <c r="S290" t="s">
        <v>1314</v>
      </c>
      <c r="T290" t="s">
        <v>20</v>
      </c>
      <c r="U290">
        <v>381</v>
      </c>
      <c r="V290" t="s">
        <v>1315</v>
      </c>
      <c r="W290" t="s">
        <v>20</v>
      </c>
    </row>
    <row r="291" spans="1:23" x14ac:dyDescent="0.25">
      <c r="A291">
        <v>6</v>
      </c>
      <c r="B291" t="s">
        <v>167</v>
      </c>
      <c r="C291" t="str">
        <f>HYPERLINK("http://www.ncbi.nlm.nih.gov/protein/NWT58836.1","NWT58836.1")</f>
        <v>NWT58836.1</v>
      </c>
      <c r="D291">
        <v>14073</v>
      </c>
      <c r="E291" t="str">
        <f>HYPERLINK("http://www.ncbi.nlm.nih.gov/Taxonomy/Browser/wwwtax.cgi?mode=Info&amp;id=107208&amp;lvl=3&amp;lin=f&amp;keep=1&amp;srchmode=1&amp;unlock","107208")</f>
        <v>107208</v>
      </c>
      <c r="F291" t="s">
        <v>167</v>
      </c>
      <c r="G291" t="str">
        <f>HYPERLINK("http://www.ncbi.nlm.nih.gov/Taxonomy/Browser/wwwtax.cgi?mode=Info&amp;id=107208&amp;lvl=3&amp;lin=f&amp;keep=1&amp;srchmode=1&amp;unlock","Erythrocercus mccallii")</f>
        <v>Erythrocercus mccallii</v>
      </c>
      <c r="H291" t="s">
        <v>206</v>
      </c>
      <c r="I291" t="str">
        <f>HYPERLINK("http://www.ncbi.nlm.nih.gov/protein/NWT58836.1","ANDR protein")</f>
        <v>ANDR protein</v>
      </c>
      <c r="J291" t="s">
        <v>1323</v>
      </c>
      <c r="K291" t="s">
        <v>20</v>
      </c>
      <c r="L291">
        <v>433</v>
      </c>
      <c r="M291" t="s">
        <v>25</v>
      </c>
      <c r="N291" t="s">
        <v>20</v>
      </c>
      <c r="O291">
        <v>439</v>
      </c>
      <c r="P291" t="s">
        <v>1313</v>
      </c>
      <c r="Q291" t="s">
        <v>20</v>
      </c>
      <c r="R291">
        <v>480</v>
      </c>
      <c r="S291" t="s">
        <v>1314</v>
      </c>
      <c r="T291" t="s">
        <v>20</v>
      </c>
      <c r="U291">
        <v>605</v>
      </c>
      <c r="V291" t="s">
        <v>1315</v>
      </c>
      <c r="W291" t="s">
        <v>20</v>
      </c>
    </row>
    <row r="292" spans="1:23" x14ac:dyDescent="0.25">
      <c r="A292">
        <v>6</v>
      </c>
      <c r="B292" t="s">
        <v>167</v>
      </c>
      <c r="C292" t="str">
        <f>HYPERLINK("http://www.ncbi.nlm.nih.gov/protein/NXY05797.1","NXY05797.1")</f>
        <v>NXY05797.1</v>
      </c>
      <c r="D292">
        <v>11998</v>
      </c>
      <c r="E292" t="str">
        <f>HYPERLINK("http://www.ncbi.nlm.nih.gov/Taxonomy/Browser/wwwtax.cgi?mode=Info&amp;id=357074&amp;lvl=3&amp;lin=f&amp;keep=1&amp;srchmode=1&amp;unlock","357074")</f>
        <v>357074</v>
      </c>
      <c r="F292" t="s">
        <v>167</v>
      </c>
      <c r="G292" t="str">
        <f>HYPERLINK("http://www.ncbi.nlm.nih.gov/Taxonomy/Browser/wwwtax.cgi?mode=Info&amp;id=357074&amp;lvl=3&amp;lin=f&amp;keep=1&amp;srchmode=1&amp;unlock","Pteruthius melanotis")</f>
        <v>Pteruthius melanotis</v>
      </c>
      <c r="H292" t="s">
        <v>244</v>
      </c>
      <c r="I292" t="str">
        <f>HYPERLINK("http://www.ncbi.nlm.nih.gov/protein/NXY05797.1","ANDR protein")</f>
        <v>ANDR protein</v>
      </c>
      <c r="J292" t="s">
        <v>1323</v>
      </c>
      <c r="K292" t="s">
        <v>20</v>
      </c>
      <c r="L292">
        <v>237</v>
      </c>
      <c r="M292" t="s">
        <v>25</v>
      </c>
      <c r="N292" t="s">
        <v>20</v>
      </c>
      <c r="O292">
        <v>243</v>
      </c>
      <c r="P292" t="s">
        <v>1313</v>
      </c>
      <c r="Q292" t="s">
        <v>20</v>
      </c>
      <c r="R292">
        <v>284</v>
      </c>
      <c r="S292" t="s">
        <v>1314</v>
      </c>
      <c r="T292" t="s">
        <v>20</v>
      </c>
      <c r="U292">
        <v>409</v>
      </c>
      <c r="V292" t="s">
        <v>1315</v>
      </c>
      <c r="W292" t="s">
        <v>20</v>
      </c>
    </row>
    <row r="293" spans="1:23" x14ac:dyDescent="0.25">
      <c r="A293">
        <v>6</v>
      </c>
      <c r="B293" t="s">
        <v>167</v>
      </c>
      <c r="C293" t="str">
        <f>HYPERLINK("http://www.ncbi.nlm.nih.gov/protein/NXN85644.1","NXN85644.1")</f>
        <v>NXN85644.1</v>
      </c>
      <c r="D293">
        <v>13865</v>
      </c>
      <c r="E293" t="str">
        <f>HYPERLINK("http://www.ncbi.nlm.nih.gov/Taxonomy/Browser/wwwtax.cgi?mode=Info&amp;id=125297&amp;lvl=3&amp;lin=f&amp;keep=1&amp;srchmode=1&amp;unlock","125297")</f>
        <v>125297</v>
      </c>
      <c r="F293" t="s">
        <v>167</v>
      </c>
      <c r="G293" t="str">
        <f>HYPERLINK("http://www.ncbi.nlm.nih.gov/Taxonomy/Browser/wwwtax.cgi?mode=Info&amp;id=125297&amp;lvl=3&amp;lin=f&amp;keep=1&amp;srchmode=1&amp;unlock","Bombycilla garrulus")</f>
        <v>Bombycilla garrulus</v>
      </c>
      <c r="H293" t="s">
        <v>419</v>
      </c>
      <c r="I293" t="str">
        <f>HYPERLINK("http://www.ncbi.nlm.nih.gov/protein/NXN85644.1","ANDR protein")</f>
        <v>ANDR protein</v>
      </c>
      <c r="J293" t="s">
        <v>1323</v>
      </c>
      <c r="K293" t="s">
        <v>20</v>
      </c>
      <c r="L293">
        <v>235</v>
      </c>
      <c r="M293" t="s">
        <v>25</v>
      </c>
      <c r="N293" t="s">
        <v>20</v>
      </c>
      <c r="O293">
        <v>241</v>
      </c>
      <c r="P293" t="s">
        <v>1313</v>
      </c>
      <c r="Q293" t="s">
        <v>20</v>
      </c>
      <c r="R293">
        <v>282</v>
      </c>
      <c r="S293" t="s">
        <v>1314</v>
      </c>
      <c r="T293" t="s">
        <v>20</v>
      </c>
      <c r="U293">
        <v>407</v>
      </c>
      <c r="V293" t="s">
        <v>1315</v>
      </c>
      <c r="W293" t="s">
        <v>20</v>
      </c>
    </row>
    <row r="294" spans="1:23" x14ac:dyDescent="0.25">
      <c r="A294">
        <v>6</v>
      </c>
      <c r="B294" t="s">
        <v>167</v>
      </c>
      <c r="C294" t="str">
        <f>HYPERLINK("http://www.ncbi.nlm.nih.gov/protein/NXH60516.1","NXH60516.1")</f>
        <v>NXH60516.1</v>
      </c>
      <c r="D294">
        <v>14389</v>
      </c>
      <c r="E294" t="str">
        <f>HYPERLINK("http://www.ncbi.nlm.nih.gov/Taxonomy/Browser/wwwtax.cgi?mode=Info&amp;id=237438&amp;lvl=3&amp;lin=f&amp;keep=1&amp;srchmode=1&amp;unlock","237438")</f>
        <v>237438</v>
      </c>
      <c r="F294" t="s">
        <v>167</v>
      </c>
      <c r="G294" t="str">
        <f>HYPERLINK("http://www.ncbi.nlm.nih.gov/Taxonomy/Browser/wwwtax.cgi?mode=Info&amp;id=237438&amp;lvl=3&amp;lin=f&amp;keep=1&amp;srchmode=1&amp;unlock","Rhabdornis inornatus")</f>
        <v>Rhabdornis inornatus</v>
      </c>
      <c r="H294" t="s">
        <v>206</v>
      </c>
      <c r="I294" t="str">
        <f>HYPERLINK("http://www.ncbi.nlm.nih.gov/protein/NXH60516.1","ANDR protein")</f>
        <v>ANDR protein</v>
      </c>
      <c r="J294" t="s">
        <v>1323</v>
      </c>
      <c r="K294" t="s">
        <v>20</v>
      </c>
      <c r="L294">
        <v>339</v>
      </c>
      <c r="M294" t="s">
        <v>25</v>
      </c>
      <c r="N294" t="s">
        <v>20</v>
      </c>
      <c r="O294">
        <v>345</v>
      </c>
      <c r="P294" t="s">
        <v>1313</v>
      </c>
      <c r="Q294" t="s">
        <v>20</v>
      </c>
      <c r="R294">
        <v>386</v>
      </c>
      <c r="S294" t="s">
        <v>1314</v>
      </c>
      <c r="T294" t="s">
        <v>20</v>
      </c>
      <c r="U294">
        <v>511</v>
      </c>
      <c r="V294" t="s">
        <v>1315</v>
      </c>
      <c r="W294" t="s">
        <v>20</v>
      </c>
    </row>
    <row r="295" spans="1:23" x14ac:dyDescent="0.25">
      <c r="A295">
        <v>6</v>
      </c>
      <c r="B295" t="s">
        <v>167</v>
      </c>
      <c r="C295" t="str">
        <f>HYPERLINK("http://www.ncbi.nlm.nih.gov/protein/NXK94210.1","NXK94210.1")</f>
        <v>NXK94210.1</v>
      </c>
      <c r="D295">
        <v>13619</v>
      </c>
      <c r="E295" t="str">
        <f>HYPERLINK("http://www.ncbi.nlm.nih.gov/Taxonomy/Browser/wwwtax.cgi?mode=Info&amp;id=1118560&amp;lvl=3&amp;lin=f&amp;keep=1&amp;srchmode=1&amp;unlock","1118560")</f>
        <v>1118560</v>
      </c>
      <c r="F295" t="s">
        <v>167</v>
      </c>
      <c r="G295" t="str">
        <f>HYPERLINK("http://www.ncbi.nlm.nih.gov/Taxonomy/Browser/wwwtax.cgi?mode=Info&amp;id=1118560&amp;lvl=3&amp;lin=f&amp;keep=1&amp;srchmode=1&amp;unlock","Formicarius rufipectus")</f>
        <v>Formicarius rufipectus</v>
      </c>
      <c r="H295" t="s">
        <v>206</v>
      </c>
      <c r="I295" t="str">
        <f>HYPERLINK("http://www.ncbi.nlm.nih.gov/protein/NXK94210.1","ANDR protein")</f>
        <v>ANDR protein</v>
      </c>
      <c r="J295" t="s">
        <v>1323</v>
      </c>
      <c r="K295" t="s">
        <v>20</v>
      </c>
      <c r="L295">
        <v>237</v>
      </c>
      <c r="M295" t="s">
        <v>25</v>
      </c>
      <c r="N295" t="s">
        <v>20</v>
      </c>
      <c r="O295">
        <v>243</v>
      </c>
      <c r="P295" t="s">
        <v>1313</v>
      </c>
      <c r="Q295" t="s">
        <v>20</v>
      </c>
      <c r="R295">
        <v>284</v>
      </c>
      <c r="S295" t="s">
        <v>1314</v>
      </c>
      <c r="T295" t="s">
        <v>20</v>
      </c>
      <c r="U295">
        <v>409</v>
      </c>
      <c r="V295" t="s">
        <v>1315</v>
      </c>
      <c r="W295" t="s">
        <v>20</v>
      </c>
    </row>
    <row r="296" spans="1:23" x14ac:dyDescent="0.25">
      <c r="A296">
        <v>6</v>
      </c>
      <c r="B296" t="s">
        <v>167</v>
      </c>
      <c r="C296" t="str">
        <f>HYPERLINK("http://www.ncbi.nlm.nih.gov/protein/NWR43887.1","NWR43887.1")</f>
        <v>NWR43887.1</v>
      </c>
      <c r="D296">
        <v>13036</v>
      </c>
      <c r="E296" t="str">
        <f>HYPERLINK("http://www.ncbi.nlm.nih.gov/Taxonomy/Browser/wwwtax.cgi?mode=Info&amp;id=13245&amp;lvl=3&amp;lin=f&amp;keep=1&amp;srchmode=1&amp;unlock","13245")</f>
        <v>13245</v>
      </c>
      <c r="F296" t="s">
        <v>167</v>
      </c>
      <c r="G296" t="str">
        <f>HYPERLINK("http://www.ncbi.nlm.nih.gov/Taxonomy/Browser/wwwtax.cgi?mode=Info&amp;id=13245&amp;lvl=3&amp;lin=f&amp;keep=1&amp;srchmode=1&amp;unlock","Regulus satrapa")</f>
        <v>Regulus satrapa</v>
      </c>
      <c r="H296" t="s">
        <v>669</v>
      </c>
      <c r="I296" t="str">
        <f>HYPERLINK("http://www.ncbi.nlm.nih.gov/protein/NWR43887.1","ANDR protein")</f>
        <v>ANDR protein</v>
      </c>
      <c r="J296" t="s">
        <v>1323</v>
      </c>
      <c r="K296" t="s">
        <v>20</v>
      </c>
      <c r="L296">
        <v>237</v>
      </c>
      <c r="M296" t="s">
        <v>25</v>
      </c>
      <c r="N296" t="s">
        <v>20</v>
      </c>
      <c r="O296">
        <v>243</v>
      </c>
      <c r="P296" t="s">
        <v>1313</v>
      </c>
      <c r="Q296" t="s">
        <v>20</v>
      </c>
      <c r="R296">
        <v>284</v>
      </c>
      <c r="S296" t="s">
        <v>1314</v>
      </c>
      <c r="T296" t="s">
        <v>20</v>
      </c>
      <c r="U296">
        <v>409</v>
      </c>
      <c r="V296" t="s">
        <v>1315</v>
      </c>
      <c r="W296" t="s">
        <v>20</v>
      </c>
    </row>
    <row r="297" spans="1:23" x14ac:dyDescent="0.25">
      <c r="A297">
        <v>6</v>
      </c>
      <c r="B297" t="s">
        <v>167</v>
      </c>
      <c r="C297" t="str">
        <f>HYPERLINK("http://www.ncbi.nlm.nih.gov/protein/NXO21663.1","NXO21663.1")</f>
        <v>NXO21663.1</v>
      </c>
      <c r="D297">
        <v>13483</v>
      </c>
      <c r="E297" t="str">
        <f>HYPERLINK("http://www.ncbi.nlm.nih.gov/Taxonomy/Browser/wwwtax.cgi?mode=Info&amp;id=52622&amp;lvl=3&amp;lin=f&amp;keep=1&amp;srchmode=1&amp;unlock","52622")</f>
        <v>52622</v>
      </c>
      <c r="F297" t="s">
        <v>167</v>
      </c>
      <c r="G297" t="str">
        <f>HYPERLINK("http://www.ncbi.nlm.nih.gov/Taxonomy/Browser/wwwtax.cgi?mode=Info&amp;id=52622&amp;lvl=3&amp;lin=f&amp;keep=1&amp;srchmode=1&amp;unlock","Cisticola juncidis")</f>
        <v>Cisticola juncidis</v>
      </c>
      <c r="H297" t="s">
        <v>206</v>
      </c>
      <c r="I297" t="str">
        <f>HYPERLINK("http://www.ncbi.nlm.nih.gov/protein/NXO21663.1","ANDR protein")</f>
        <v>ANDR protein</v>
      </c>
      <c r="J297" t="s">
        <v>1323</v>
      </c>
      <c r="K297" t="s">
        <v>20</v>
      </c>
      <c r="L297">
        <v>237</v>
      </c>
      <c r="M297" t="s">
        <v>25</v>
      </c>
      <c r="N297" t="s">
        <v>20</v>
      </c>
      <c r="O297">
        <v>243</v>
      </c>
      <c r="P297" t="s">
        <v>1313</v>
      </c>
      <c r="Q297" t="s">
        <v>20</v>
      </c>
      <c r="R297">
        <v>284</v>
      </c>
      <c r="S297" t="s">
        <v>1314</v>
      </c>
      <c r="T297" t="s">
        <v>20</v>
      </c>
      <c r="U297">
        <v>409</v>
      </c>
      <c r="V297" t="s">
        <v>1315</v>
      </c>
      <c r="W297" t="s">
        <v>20</v>
      </c>
    </row>
    <row r="298" spans="1:23" x14ac:dyDescent="0.25">
      <c r="A298">
        <v>6</v>
      </c>
      <c r="B298" t="s">
        <v>167</v>
      </c>
      <c r="C298" t="str">
        <f>HYPERLINK("http://www.ncbi.nlm.nih.gov/protein/NWT72211.1","NWT72211.1")</f>
        <v>NWT72211.1</v>
      </c>
      <c r="D298">
        <v>13939</v>
      </c>
      <c r="E298" t="str">
        <f>HYPERLINK("http://www.ncbi.nlm.nih.gov/Taxonomy/Browser/wwwtax.cgi?mode=Info&amp;id=670356&amp;lvl=3&amp;lin=f&amp;keep=1&amp;srchmode=1&amp;unlock","670356")</f>
        <v>670356</v>
      </c>
      <c r="F298" t="s">
        <v>167</v>
      </c>
      <c r="G298" t="str">
        <f>HYPERLINK("http://www.ncbi.nlm.nih.gov/Taxonomy/Browser/wwwtax.cgi?mode=Info&amp;id=670356&amp;lvl=3&amp;lin=f&amp;keep=1&amp;srchmode=1&amp;unlock","Prunella himalayana")</f>
        <v>Prunella himalayana</v>
      </c>
      <c r="H298" t="s">
        <v>467</v>
      </c>
      <c r="I298" t="str">
        <f>HYPERLINK("http://www.ncbi.nlm.nih.gov/protein/NWT72211.1","ANDR protein")</f>
        <v>ANDR protein</v>
      </c>
      <c r="J298" t="s">
        <v>1323</v>
      </c>
      <c r="K298" t="s">
        <v>20</v>
      </c>
      <c r="L298">
        <v>237</v>
      </c>
      <c r="M298" t="s">
        <v>25</v>
      </c>
      <c r="N298" t="s">
        <v>20</v>
      </c>
      <c r="O298">
        <v>243</v>
      </c>
      <c r="P298" t="s">
        <v>1313</v>
      </c>
      <c r="Q298" t="s">
        <v>20</v>
      </c>
      <c r="R298">
        <v>284</v>
      </c>
      <c r="S298" t="s">
        <v>1314</v>
      </c>
      <c r="T298" t="s">
        <v>20</v>
      </c>
      <c r="U298">
        <v>409</v>
      </c>
      <c r="V298" t="s">
        <v>1315</v>
      </c>
      <c r="W298" t="s">
        <v>20</v>
      </c>
    </row>
    <row r="299" spans="1:23" x14ac:dyDescent="0.25">
      <c r="A299">
        <v>6</v>
      </c>
      <c r="B299" t="s">
        <v>167</v>
      </c>
      <c r="C299" t="str">
        <f>HYPERLINK("http://www.ncbi.nlm.nih.gov/protein/NXT04703.1","NXT04703.1")</f>
        <v>NXT04703.1</v>
      </c>
      <c r="D299">
        <v>13423</v>
      </c>
      <c r="E299" t="str">
        <f>HYPERLINK("http://www.ncbi.nlm.nih.gov/Taxonomy/Browser/wwwtax.cgi?mode=Info&amp;id=670355&amp;lvl=3&amp;lin=f&amp;keep=1&amp;srchmode=1&amp;unlock","670355")</f>
        <v>670355</v>
      </c>
      <c r="F299" t="s">
        <v>167</v>
      </c>
      <c r="G299" t="str">
        <f>HYPERLINK("http://www.ncbi.nlm.nih.gov/Taxonomy/Browser/wwwtax.cgi?mode=Info&amp;id=670355&amp;lvl=3&amp;lin=f&amp;keep=1&amp;srchmode=1&amp;unlock","Prunella fulvescens")</f>
        <v>Prunella fulvescens</v>
      </c>
      <c r="H299" t="s">
        <v>469</v>
      </c>
      <c r="I299" t="str">
        <f>HYPERLINK("http://www.ncbi.nlm.nih.gov/protein/NXT04703.1","ANDR protein")</f>
        <v>ANDR protein</v>
      </c>
      <c r="J299" t="s">
        <v>1323</v>
      </c>
      <c r="K299" t="s">
        <v>20</v>
      </c>
      <c r="L299">
        <v>237</v>
      </c>
      <c r="M299" t="s">
        <v>25</v>
      </c>
      <c r="N299" t="s">
        <v>20</v>
      </c>
      <c r="O299">
        <v>243</v>
      </c>
      <c r="P299" t="s">
        <v>1313</v>
      </c>
      <c r="Q299" t="s">
        <v>20</v>
      </c>
      <c r="R299">
        <v>284</v>
      </c>
      <c r="S299" t="s">
        <v>1314</v>
      </c>
      <c r="T299" t="s">
        <v>20</v>
      </c>
      <c r="U299">
        <v>409</v>
      </c>
      <c r="V299" t="s">
        <v>1315</v>
      </c>
      <c r="W299" t="s">
        <v>20</v>
      </c>
    </row>
    <row r="300" spans="1:23" x14ac:dyDescent="0.25">
      <c r="A300">
        <v>6</v>
      </c>
      <c r="B300" t="s">
        <v>167</v>
      </c>
      <c r="C300" t="str">
        <f>HYPERLINK("http://www.ncbi.nlm.nih.gov/protein/NXD22087.1","NXD22087.1")</f>
        <v>NXD22087.1</v>
      </c>
      <c r="D300">
        <v>14027</v>
      </c>
      <c r="E300" t="str">
        <f>HYPERLINK("http://www.ncbi.nlm.nih.gov/Taxonomy/Browser/wwwtax.cgi?mode=Info&amp;id=1463973&amp;lvl=3&amp;lin=f&amp;keep=1&amp;srchmode=1&amp;unlock","1463973")</f>
        <v>1463973</v>
      </c>
      <c r="F300" t="s">
        <v>167</v>
      </c>
      <c r="G300" t="str">
        <f>HYPERLINK("http://www.ncbi.nlm.nih.gov/Taxonomy/Browser/wwwtax.cgi?mode=Info&amp;id=1463973&amp;lvl=3&amp;lin=f&amp;keep=1&amp;srchmode=1&amp;unlock","Elachura formosa")</f>
        <v>Elachura formosa</v>
      </c>
      <c r="H300" t="s">
        <v>390</v>
      </c>
      <c r="I300" t="str">
        <f>HYPERLINK("http://www.ncbi.nlm.nih.gov/protein/NXD22087.1","ANDR protein")</f>
        <v>ANDR protein</v>
      </c>
      <c r="J300" t="s">
        <v>1323</v>
      </c>
      <c r="K300" t="s">
        <v>20</v>
      </c>
      <c r="L300">
        <v>470</v>
      </c>
      <c r="M300" t="s">
        <v>25</v>
      </c>
      <c r="N300" t="s">
        <v>20</v>
      </c>
      <c r="O300">
        <v>476</v>
      </c>
      <c r="P300" t="s">
        <v>1313</v>
      </c>
      <c r="Q300" t="s">
        <v>20</v>
      </c>
      <c r="R300">
        <v>517</v>
      </c>
      <c r="S300" t="s">
        <v>1314</v>
      </c>
      <c r="T300" t="s">
        <v>20</v>
      </c>
      <c r="U300">
        <v>642</v>
      </c>
      <c r="V300" t="s">
        <v>1315</v>
      </c>
      <c r="W300" t="s">
        <v>20</v>
      </c>
    </row>
    <row r="301" spans="1:23" x14ac:dyDescent="0.25">
      <c r="A301">
        <v>6</v>
      </c>
      <c r="B301" t="s">
        <v>167</v>
      </c>
      <c r="C301" t="str">
        <f>HYPERLINK("http://www.ncbi.nlm.nih.gov/protein/XP_014743316.1","XP_014743316.1")</f>
        <v>XP_014743316.1</v>
      </c>
      <c r="D301">
        <v>26793</v>
      </c>
      <c r="E301" t="str">
        <f>HYPERLINK("http://www.ncbi.nlm.nih.gov/Taxonomy/Browser/wwwtax.cgi?mode=Info&amp;id=9172&amp;lvl=3&amp;lin=f&amp;keep=1&amp;srchmode=1&amp;unlock","9172")</f>
        <v>9172</v>
      </c>
      <c r="F301" t="s">
        <v>167</v>
      </c>
      <c r="G301" t="str">
        <f>HYPERLINK("http://www.ncbi.nlm.nih.gov/Taxonomy/Browser/wwwtax.cgi?mode=Info&amp;id=9172&amp;lvl=3&amp;lin=f&amp;keep=1&amp;srchmode=1&amp;unlock","Sturnus vulgaris")</f>
        <v>Sturnus vulgaris</v>
      </c>
      <c r="H301" t="s">
        <v>341</v>
      </c>
      <c r="I301" t="str">
        <f>HYPERLINK("http://www.ncbi.nlm.nih.gov/protein/XP_014743316.1","PREDICTED: androgen receptor")</f>
        <v>PREDICTED: androgen receptor</v>
      </c>
      <c r="J301" t="s">
        <v>1323</v>
      </c>
      <c r="K301" t="s">
        <v>20</v>
      </c>
      <c r="L301">
        <v>468</v>
      </c>
      <c r="M301" t="s">
        <v>25</v>
      </c>
      <c r="N301" t="s">
        <v>20</v>
      </c>
      <c r="O301">
        <v>474</v>
      </c>
      <c r="P301" t="s">
        <v>1313</v>
      </c>
      <c r="Q301" t="s">
        <v>20</v>
      </c>
      <c r="R301">
        <v>515</v>
      </c>
      <c r="S301" t="s">
        <v>1314</v>
      </c>
      <c r="T301" t="s">
        <v>20</v>
      </c>
      <c r="U301">
        <v>640</v>
      </c>
      <c r="V301" t="s">
        <v>1315</v>
      </c>
      <c r="W301" t="s">
        <v>20</v>
      </c>
    </row>
    <row r="302" spans="1:23" x14ac:dyDescent="0.25">
      <c r="A302">
        <v>6</v>
      </c>
      <c r="B302" t="s">
        <v>167</v>
      </c>
      <c r="C302" t="str">
        <f>HYPERLINK("http://www.ncbi.nlm.nih.gov/protein/XP_030823606.1","XP_030823606.1")</f>
        <v>XP_030823606.1</v>
      </c>
      <c r="D302">
        <v>28938</v>
      </c>
      <c r="E302" t="str">
        <f>HYPERLINK("http://www.ncbi.nlm.nih.gov/Taxonomy/Browser/wwwtax.cgi?mode=Info&amp;id=87175&amp;lvl=3&amp;lin=f&amp;keep=1&amp;srchmode=1&amp;unlock","87175")</f>
        <v>87175</v>
      </c>
      <c r="F302" t="s">
        <v>167</v>
      </c>
      <c r="G302" t="str">
        <f>HYPERLINK("http://www.ncbi.nlm.nih.gov/Taxonomy/Browser/wwwtax.cgi?mode=Info&amp;id=87175&amp;lvl=3&amp;lin=f&amp;keep=1&amp;srchmode=1&amp;unlock","Camarhynchus parvulus")</f>
        <v>Camarhynchus parvulus</v>
      </c>
      <c r="H302" t="s">
        <v>414</v>
      </c>
      <c r="I302" t="str">
        <f>HYPERLINK("http://www.ncbi.nlm.nih.gov/protein/XP_030823606.1","androgen receptor")</f>
        <v>androgen receptor</v>
      </c>
      <c r="J302" t="s">
        <v>1323</v>
      </c>
      <c r="K302" t="s">
        <v>20</v>
      </c>
      <c r="L302">
        <v>471</v>
      </c>
      <c r="M302" t="s">
        <v>25</v>
      </c>
      <c r="N302" t="s">
        <v>20</v>
      </c>
      <c r="O302">
        <v>477</v>
      </c>
      <c r="P302" t="s">
        <v>1313</v>
      </c>
      <c r="Q302" t="s">
        <v>20</v>
      </c>
      <c r="R302">
        <v>518</v>
      </c>
      <c r="S302" t="s">
        <v>1314</v>
      </c>
      <c r="T302" t="s">
        <v>20</v>
      </c>
      <c r="U302">
        <v>643</v>
      </c>
      <c r="V302" t="s">
        <v>1315</v>
      </c>
      <c r="W302" t="s">
        <v>20</v>
      </c>
    </row>
    <row r="303" spans="1:23" x14ac:dyDescent="0.25">
      <c r="A303">
        <v>6</v>
      </c>
      <c r="B303" t="s">
        <v>167</v>
      </c>
      <c r="C303" t="str">
        <f>HYPERLINK("http://www.ncbi.nlm.nih.gov/protein/NWZ06784.1","NWZ06784.1")</f>
        <v>NWZ06784.1</v>
      </c>
      <c r="D303">
        <v>14309</v>
      </c>
      <c r="E303" t="str">
        <f>HYPERLINK("http://www.ncbi.nlm.nih.gov/Taxonomy/Browser/wwwtax.cgi?mode=Info&amp;id=39638&amp;lvl=3&amp;lin=f&amp;keep=1&amp;srchmode=1&amp;unlock","39638")</f>
        <v>39638</v>
      </c>
      <c r="F303" t="s">
        <v>167</v>
      </c>
      <c r="G303" t="str">
        <f>HYPERLINK("http://www.ncbi.nlm.nih.gov/Taxonomy/Browser/wwwtax.cgi?mode=Info&amp;id=39638&amp;lvl=3&amp;lin=f&amp;keep=1&amp;srchmode=1&amp;unlock","Agelaius phoeniceus")</f>
        <v>Agelaius phoeniceus</v>
      </c>
      <c r="H303" t="s">
        <v>426</v>
      </c>
      <c r="I303" t="str">
        <f>HYPERLINK("http://www.ncbi.nlm.nih.gov/protein/NWZ06784.1","ANDR protein")</f>
        <v>ANDR protein</v>
      </c>
      <c r="J303" t="s">
        <v>1323</v>
      </c>
      <c r="K303" t="s">
        <v>20</v>
      </c>
      <c r="L303">
        <v>471</v>
      </c>
      <c r="M303" t="s">
        <v>25</v>
      </c>
      <c r="N303" t="s">
        <v>20</v>
      </c>
      <c r="O303">
        <v>477</v>
      </c>
      <c r="P303" t="s">
        <v>1313</v>
      </c>
      <c r="Q303" t="s">
        <v>20</v>
      </c>
      <c r="R303">
        <v>518</v>
      </c>
      <c r="S303" t="s">
        <v>1314</v>
      </c>
      <c r="T303" t="s">
        <v>20</v>
      </c>
      <c r="U303">
        <v>643</v>
      </c>
      <c r="V303" t="s">
        <v>1315</v>
      </c>
      <c r="W303" t="s">
        <v>20</v>
      </c>
    </row>
    <row r="304" spans="1:23" x14ac:dyDescent="0.25">
      <c r="A304">
        <v>6</v>
      </c>
      <c r="B304" t="s">
        <v>167</v>
      </c>
      <c r="C304" t="str">
        <f>HYPERLINK("http://www.ncbi.nlm.nih.gov/protein/NWH37034.1","NWH37034.1")</f>
        <v>NWH37034.1</v>
      </c>
      <c r="D304">
        <v>13554</v>
      </c>
      <c r="E304" t="str">
        <f>HYPERLINK("http://www.ncbi.nlm.nih.gov/Taxonomy/Browser/wwwtax.cgi?mode=Info&amp;id=667144&amp;lvl=3&amp;lin=f&amp;keep=1&amp;srchmode=1&amp;unlock","667144")</f>
        <v>667144</v>
      </c>
      <c r="F304" t="s">
        <v>167</v>
      </c>
      <c r="G304" t="str">
        <f>HYPERLINK("http://www.ncbi.nlm.nih.gov/Taxonomy/Browser/wwwtax.cgi?mode=Info&amp;id=667144&amp;lvl=3&amp;lin=f&amp;keep=1&amp;srchmode=1&amp;unlock","Chloropsis hardwickii")</f>
        <v>Chloropsis hardwickii</v>
      </c>
      <c r="H304" t="s">
        <v>206</v>
      </c>
      <c r="I304" t="str">
        <f>HYPERLINK("http://www.ncbi.nlm.nih.gov/protein/NWH37034.1","ANDR protein")</f>
        <v>ANDR protein</v>
      </c>
      <c r="J304" t="s">
        <v>1323</v>
      </c>
      <c r="K304" t="s">
        <v>20</v>
      </c>
      <c r="L304">
        <v>237</v>
      </c>
      <c r="M304" t="s">
        <v>25</v>
      </c>
      <c r="N304" t="s">
        <v>20</v>
      </c>
      <c r="O304">
        <v>243</v>
      </c>
      <c r="P304" t="s">
        <v>1313</v>
      </c>
      <c r="Q304" t="s">
        <v>20</v>
      </c>
      <c r="R304">
        <v>284</v>
      </c>
      <c r="S304" t="s">
        <v>1314</v>
      </c>
      <c r="T304" t="s">
        <v>20</v>
      </c>
      <c r="U304">
        <v>409</v>
      </c>
      <c r="V304" t="s">
        <v>1315</v>
      </c>
      <c r="W304" t="s">
        <v>20</v>
      </c>
    </row>
    <row r="305" spans="1:23" x14ac:dyDescent="0.25">
      <c r="A305">
        <v>6</v>
      </c>
      <c r="B305" t="s">
        <v>167</v>
      </c>
      <c r="C305" t="str">
        <f>HYPERLINK("http://www.ncbi.nlm.nih.gov/protein/NXV62008.1","NXV62008.1")</f>
        <v>NXV62008.1</v>
      </c>
      <c r="D305">
        <v>44051</v>
      </c>
      <c r="E305" t="str">
        <f>HYPERLINK("http://www.ncbi.nlm.nih.gov/Taxonomy/Browser/wwwtax.cgi?mode=Info&amp;id=84834&amp;lvl=3&amp;lin=f&amp;keep=1&amp;srchmode=1&amp;unlock","84834")</f>
        <v>84834</v>
      </c>
      <c r="F305" t="s">
        <v>167</v>
      </c>
      <c r="G305" t="str">
        <f>HYPERLINK("http://www.ncbi.nlm.nih.gov/Taxonomy/Browser/wwwtax.cgi?mode=Info&amp;id=84834&amp;lvl=3&amp;lin=f&amp;keep=1&amp;srchmode=1&amp;unlock","Molothrus ater")</f>
        <v>Molothrus ater</v>
      </c>
      <c r="H305" t="s">
        <v>430</v>
      </c>
      <c r="I305" t="str">
        <f>HYPERLINK("http://www.ncbi.nlm.nih.gov/protein/NXV62008.1","ANDR protein")</f>
        <v>ANDR protein</v>
      </c>
      <c r="J305" t="s">
        <v>1323</v>
      </c>
      <c r="K305" t="s">
        <v>20</v>
      </c>
      <c r="L305">
        <v>471</v>
      </c>
      <c r="M305" t="s">
        <v>25</v>
      </c>
      <c r="N305" t="s">
        <v>20</v>
      </c>
      <c r="O305">
        <v>477</v>
      </c>
      <c r="P305" t="s">
        <v>1313</v>
      </c>
      <c r="Q305" t="s">
        <v>20</v>
      </c>
      <c r="R305">
        <v>518</v>
      </c>
      <c r="S305" t="s">
        <v>1314</v>
      </c>
      <c r="T305" t="s">
        <v>20</v>
      </c>
      <c r="U305">
        <v>643</v>
      </c>
      <c r="V305" t="s">
        <v>1315</v>
      </c>
      <c r="W305" t="s">
        <v>20</v>
      </c>
    </row>
    <row r="306" spans="1:23" x14ac:dyDescent="0.25">
      <c r="A306">
        <v>6</v>
      </c>
      <c r="B306" t="s">
        <v>167</v>
      </c>
      <c r="C306" t="str">
        <f>HYPERLINK("http://www.ncbi.nlm.nih.gov/protein/NWY75297.1","NWY75297.1")</f>
        <v>NWY75297.1</v>
      </c>
      <c r="D306">
        <v>13909</v>
      </c>
      <c r="E306" t="str">
        <f>HYPERLINK("http://www.ncbi.nlm.nih.gov/Taxonomy/Browser/wwwtax.cgi?mode=Info&amp;id=37610&amp;lvl=3&amp;lin=f&amp;keep=1&amp;srchmode=1&amp;unlock","37610")</f>
        <v>37610</v>
      </c>
      <c r="F306" t="s">
        <v>167</v>
      </c>
      <c r="G306" t="str">
        <f>HYPERLINK("http://www.ncbi.nlm.nih.gov/Taxonomy/Browser/wwwtax.cgi?mode=Info&amp;id=37610&amp;lvl=3&amp;lin=f&amp;keep=1&amp;srchmode=1&amp;unlock","Erithacus rubecula")</f>
        <v>Erithacus rubecula</v>
      </c>
      <c r="H306" t="s">
        <v>442</v>
      </c>
      <c r="I306" t="str">
        <f>HYPERLINK("http://www.ncbi.nlm.nih.gov/protein/NWY75297.1","ANDR protein")</f>
        <v>ANDR protein</v>
      </c>
      <c r="J306" t="s">
        <v>1323</v>
      </c>
      <c r="K306" t="s">
        <v>20</v>
      </c>
      <c r="L306">
        <v>237</v>
      </c>
      <c r="M306" t="s">
        <v>25</v>
      </c>
      <c r="N306" t="s">
        <v>20</v>
      </c>
      <c r="O306">
        <v>243</v>
      </c>
      <c r="P306" t="s">
        <v>1313</v>
      </c>
      <c r="Q306" t="s">
        <v>20</v>
      </c>
      <c r="R306">
        <v>284</v>
      </c>
      <c r="S306" t="s">
        <v>1314</v>
      </c>
      <c r="T306" t="s">
        <v>20</v>
      </c>
      <c r="U306">
        <v>409</v>
      </c>
      <c r="V306" t="s">
        <v>1315</v>
      </c>
      <c r="W306" t="s">
        <v>20</v>
      </c>
    </row>
    <row r="307" spans="1:23" x14ac:dyDescent="0.25">
      <c r="A307">
        <v>6</v>
      </c>
      <c r="B307" t="s">
        <v>167</v>
      </c>
      <c r="C307" t="str">
        <f>HYPERLINK("http://www.ncbi.nlm.nih.gov/protein/NXB98894.1","NXB98894.1")</f>
        <v>NXB98894.1</v>
      </c>
      <c r="D307">
        <v>14308</v>
      </c>
      <c r="E307" t="str">
        <f>HYPERLINK("http://www.ncbi.nlm.nih.gov/Taxonomy/Browser/wwwtax.cgi?mode=Info&amp;id=38397&amp;lvl=3&amp;lin=f&amp;keep=1&amp;srchmode=1&amp;unlock","38397")</f>
        <v>38397</v>
      </c>
      <c r="F307" t="s">
        <v>167</v>
      </c>
      <c r="G307" t="str">
        <f>HYPERLINK("http://www.ncbi.nlm.nih.gov/Taxonomy/Browser/wwwtax.cgi?mode=Info&amp;id=38397&amp;lvl=3&amp;lin=f&amp;keep=1&amp;srchmode=1&amp;unlock","Orthonyx spaldingii")</f>
        <v>Orthonyx spaldingii</v>
      </c>
      <c r="H307" t="s">
        <v>215</v>
      </c>
      <c r="I307" t="str">
        <f>HYPERLINK("http://www.ncbi.nlm.nih.gov/protein/NXB98894.1","ANDR protein")</f>
        <v>ANDR protein</v>
      </c>
      <c r="J307" t="s">
        <v>1323</v>
      </c>
      <c r="K307" t="s">
        <v>20</v>
      </c>
      <c r="L307">
        <v>237</v>
      </c>
      <c r="M307" t="s">
        <v>25</v>
      </c>
      <c r="N307" t="s">
        <v>20</v>
      </c>
      <c r="O307">
        <v>243</v>
      </c>
      <c r="P307" t="s">
        <v>1313</v>
      </c>
      <c r="Q307" t="s">
        <v>20</v>
      </c>
      <c r="R307">
        <v>284</v>
      </c>
      <c r="S307" t="s">
        <v>1314</v>
      </c>
      <c r="T307" t="s">
        <v>20</v>
      </c>
      <c r="U307">
        <v>409</v>
      </c>
      <c r="V307" t="s">
        <v>1315</v>
      </c>
      <c r="W307" t="s">
        <v>20</v>
      </c>
    </row>
    <row r="308" spans="1:23" x14ac:dyDescent="0.25">
      <c r="A308">
        <v>6</v>
      </c>
      <c r="B308" t="s">
        <v>167</v>
      </c>
      <c r="C308" t="str">
        <f>HYPERLINK("http://www.ncbi.nlm.nih.gov/protein/NXS86641.1","NXS86641.1")</f>
        <v>NXS86641.1</v>
      </c>
      <c r="D308">
        <v>13355</v>
      </c>
      <c r="E308" t="str">
        <f>HYPERLINK("http://www.ncbi.nlm.nih.gov/Taxonomy/Browser/wwwtax.cgi?mode=Info&amp;id=1112836&amp;lvl=3&amp;lin=f&amp;keep=1&amp;srchmode=1&amp;unlock","1112836")</f>
        <v>1112836</v>
      </c>
      <c r="F308" t="s">
        <v>167</v>
      </c>
      <c r="G308" t="str">
        <f>HYPERLINK("http://www.ncbi.nlm.nih.gov/Taxonomy/Browser/wwwtax.cgi?mode=Info&amp;id=1112836&amp;lvl=3&amp;lin=f&amp;keep=1&amp;srchmode=1&amp;unlock","Erpornis zantholeuca")</f>
        <v>Erpornis zantholeuca</v>
      </c>
      <c r="H308" t="s">
        <v>244</v>
      </c>
      <c r="I308" t="str">
        <f>HYPERLINK("http://www.ncbi.nlm.nih.gov/protein/NXS86641.1","ANDR protein")</f>
        <v>ANDR protein</v>
      </c>
      <c r="J308" t="s">
        <v>1323</v>
      </c>
      <c r="K308" t="s">
        <v>20</v>
      </c>
      <c r="L308">
        <v>223</v>
      </c>
      <c r="M308" t="s">
        <v>25</v>
      </c>
      <c r="N308" t="s">
        <v>20</v>
      </c>
      <c r="O308">
        <v>229</v>
      </c>
      <c r="P308" t="s">
        <v>1313</v>
      </c>
      <c r="Q308" t="s">
        <v>20</v>
      </c>
      <c r="R308">
        <v>270</v>
      </c>
      <c r="S308" t="s">
        <v>1314</v>
      </c>
      <c r="T308" t="s">
        <v>20</v>
      </c>
      <c r="U308">
        <v>395</v>
      </c>
      <c r="V308" t="s">
        <v>1315</v>
      </c>
      <c r="W308" t="s">
        <v>20</v>
      </c>
    </row>
    <row r="309" spans="1:23" x14ac:dyDescent="0.25">
      <c r="A309">
        <v>6</v>
      </c>
      <c r="B309" t="s">
        <v>167</v>
      </c>
      <c r="C309" t="str">
        <f>HYPERLINK("http://www.ncbi.nlm.nih.gov/protein/NWY98553.1","NWY98553.1")</f>
        <v>NWY98553.1</v>
      </c>
      <c r="D309">
        <v>14648</v>
      </c>
      <c r="E309" t="str">
        <f>HYPERLINK("http://www.ncbi.nlm.nih.gov/Taxonomy/Browser/wwwtax.cgi?mode=Info&amp;id=64802&amp;lvl=3&amp;lin=f&amp;keep=1&amp;srchmode=1&amp;unlock","64802")</f>
        <v>64802</v>
      </c>
      <c r="F309" t="s">
        <v>167</v>
      </c>
      <c r="G309" t="str">
        <f>HYPERLINK("http://www.ncbi.nlm.nih.gov/Taxonomy/Browser/wwwtax.cgi?mode=Info&amp;id=64802&amp;lvl=3&amp;lin=f&amp;keep=1&amp;srchmode=1&amp;unlock","Loxia curvirostra")</f>
        <v>Loxia curvirostra</v>
      </c>
      <c r="H309" t="s">
        <v>457</v>
      </c>
      <c r="I309" t="str">
        <f>HYPERLINK("http://www.ncbi.nlm.nih.gov/protein/NWY98553.1","ANDR protein")</f>
        <v>ANDR protein</v>
      </c>
      <c r="J309" t="s">
        <v>1323</v>
      </c>
      <c r="K309" t="s">
        <v>20</v>
      </c>
      <c r="L309">
        <v>256</v>
      </c>
      <c r="M309" t="s">
        <v>25</v>
      </c>
      <c r="N309" t="s">
        <v>20</v>
      </c>
      <c r="O309">
        <v>262</v>
      </c>
      <c r="P309" t="s">
        <v>1313</v>
      </c>
      <c r="Q309" t="s">
        <v>20</v>
      </c>
      <c r="R309">
        <v>303</v>
      </c>
      <c r="S309" t="s">
        <v>1314</v>
      </c>
      <c r="T309" t="s">
        <v>20</v>
      </c>
      <c r="U309">
        <v>428</v>
      </c>
      <c r="V309" t="s">
        <v>1315</v>
      </c>
      <c r="W309" t="s">
        <v>20</v>
      </c>
    </row>
    <row r="310" spans="1:23" x14ac:dyDescent="0.25">
      <c r="A310">
        <v>6</v>
      </c>
      <c r="B310" t="s">
        <v>167</v>
      </c>
      <c r="C310" t="str">
        <f>HYPERLINK("http://www.ncbi.nlm.nih.gov/protein/NWX13164.1","NWX13164.1")</f>
        <v>NWX13164.1</v>
      </c>
      <c r="D310">
        <v>13717</v>
      </c>
      <c r="E310" t="str">
        <f>HYPERLINK("http://www.ncbi.nlm.nih.gov/Taxonomy/Browser/wwwtax.cgi?mode=Info&amp;id=48278&amp;lvl=3&amp;lin=f&amp;keep=1&amp;srchmode=1&amp;unlock","48278")</f>
        <v>48278</v>
      </c>
      <c r="F310" t="s">
        <v>167</v>
      </c>
      <c r="G310" t="str">
        <f>HYPERLINK("http://www.ncbi.nlm.nih.gov/Taxonomy/Browser/wwwtax.cgi?mode=Info&amp;id=48278&amp;lvl=3&amp;lin=f&amp;keep=1&amp;srchmode=1&amp;unlock","Aegotheles bennettii")</f>
        <v>Aegotheles bennettii</v>
      </c>
      <c r="H310" t="s">
        <v>233</v>
      </c>
      <c r="I310" t="str">
        <f>HYPERLINK("http://www.ncbi.nlm.nih.gov/protein/NWX13164.1","ANDR protein")</f>
        <v>ANDR protein</v>
      </c>
      <c r="J310" t="s">
        <v>1323</v>
      </c>
      <c r="K310" t="s">
        <v>20</v>
      </c>
      <c r="L310">
        <v>211</v>
      </c>
      <c r="M310" t="s">
        <v>25</v>
      </c>
      <c r="N310" t="s">
        <v>20</v>
      </c>
      <c r="O310">
        <v>217</v>
      </c>
      <c r="P310" t="s">
        <v>1313</v>
      </c>
      <c r="Q310" t="s">
        <v>20</v>
      </c>
      <c r="R310">
        <v>258</v>
      </c>
      <c r="S310" t="s">
        <v>1314</v>
      </c>
      <c r="T310" t="s">
        <v>20</v>
      </c>
      <c r="U310">
        <v>383</v>
      </c>
      <c r="V310" t="s">
        <v>1315</v>
      </c>
      <c r="W310" t="s">
        <v>20</v>
      </c>
    </row>
    <row r="311" spans="1:23" x14ac:dyDescent="0.25">
      <c r="A311">
        <v>6</v>
      </c>
      <c r="B311" t="s">
        <v>167</v>
      </c>
      <c r="C311" t="str">
        <f>HYPERLINK("http://www.ncbi.nlm.nih.gov/protein/NWY28386.1","NWY28386.1")</f>
        <v>NWY28386.1</v>
      </c>
      <c r="D311">
        <v>12918</v>
      </c>
      <c r="E311" t="str">
        <f>HYPERLINK("http://www.ncbi.nlm.nih.gov/Taxonomy/Browser/wwwtax.cgi?mode=Info&amp;id=371919&amp;lvl=3&amp;lin=f&amp;keep=1&amp;srchmode=1&amp;unlock","371919")</f>
        <v>371919</v>
      </c>
      <c r="F311" t="s">
        <v>167</v>
      </c>
      <c r="G311" t="str">
        <f>HYPERLINK("http://www.ncbi.nlm.nih.gov/Taxonomy/Browser/wwwtax.cgi?mode=Info&amp;id=371919&amp;lvl=3&amp;lin=f&amp;keep=1&amp;srchmode=1&amp;unlock","Pheucticus melanocephalus")</f>
        <v>Pheucticus melanocephalus</v>
      </c>
      <c r="H311" t="s">
        <v>206</v>
      </c>
      <c r="I311" t="str">
        <f>HYPERLINK("http://www.ncbi.nlm.nih.gov/protein/NWY28386.1","ANDR protein")</f>
        <v>ANDR protein</v>
      </c>
      <c r="J311" t="s">
        <v>1323</v>
      </c>
      <c r="K311" t="s">
        <v>20</v>
      </c>
      <c r="L311">
        <v>237</v>
      </c>
      <c r="M311" t="s">
        <v>25</v>
      </c>
      <c r="N311" t="s">
        <v>20</v>
      </c>
      <c r="O311">
        <v>243</v>
      </c>
      <c r="P311" t="s">
        <v>1313</v>
      </c>
      <c r="Q311" t="s">
        <v>20</v>
      </c>
      <c r="R311">
        <v>284</v>
      </c>
      <c r="S311" t="s">
        <v>1314</v>
      </c>
      <c r="T311" t="s">
        <v>20</v>
      </c>
      <c r="U311">
        <v>409</v>
      </c>
      <c r="V311" t="s">
        <v>1315</v>
      </c>
      <c r="W311" t="s">
        <v>20</v>
      </c>
    </row>
    <row r="312" spans="1:23" x14ac:dyDescent="0.25">
      <c r="A312">
        <v>6</v>
      </c>
      <c r="B312" t="s">
        <v>167</v>
      </c>
      <c r="C312" t="str">
        <f>HYPERLINK("http://www.ncbi.nlm.nih.gov/protein/NXS97465.1","NXS97465.1")</f>
        <v>NXS97465.1</v>
      </c>
      <c r="D312">
        <v>13322</v>
      </c>
      <c r="E312" t="str">
        <f>HYPERLINK("http://www.ncbi.nlm.nih.gov/Taxonomy/Browser/wwwtax.cgi?mode=Info&amp;id=54508&amp;lvl=3&amp;lin=f&amp;keep=1&amp;srchmode=1&amp;unlock","54508")</f>
        <v>54508</v>
      </c>
      <c r="F312" t="s">
        <v>167</v>
      </c>
      <c r="G312" t="str">
        <f>HYPERLINK("http://www.ncbi.nlm.nih.gov/Taxonomy/Browser/wwwtax.cgi?mode=Info&amp;id=54508&amp;lvl=3&amp;lin=f&amp;keep=1&amp;srchmode=1&amp;unlock","Jacana jacana")</f>
        <v>Jacana jacana</v>
      </c>
      <c r="H312" t="s">
        <v>339</v>
      </c>
      <c r="I312" t="str">
        <f>HYPERLINK("http://www.ncbi.nlm.nih.gov/protein/NXS97465.1","ANDR protein")</f>
        <v>ANDR protein</v>
      </c>
      <c r="J312" t="s">
        <v>1323</v>
      </c>
      <c r="K312" t="s">
        <v>20</v>
      </c>
      <c r="L312">
        <v>204</v>
      </c>
      <c r="M312" t="s">
        <v>25</v>
      </c>
      <c r="N312" t="s">
        <v>20</v>
      </c>
      <c r="O312">
        <v>210</v>
      </c>
      <c r="P312" t="s">
        <v>1313</v>
      </c>
      <c r="Q312" t="s">
        <v>20</v>
      </c>
      <c r="R312">
        <v>251</v>
      </c>
      <c r="S312" t="s">
        <v>1314</v>
      </c>
      <c r="T312" t="s">
        <v>20</v>
      </c>
      <c r="U312">
        <v>376</v>
      </c>
      <c r="V312" t="s">
        <v>1315</v>
      </c>
      <c r="W312" t="s">
        <v>20</v>
      </c>
    </row>
    <row r="313" spans="1:23" x14ac:dyDescent="0.25">
      <c r="A313">
        <v>6</v>
      </c>
      <c r="B313" t="s">
        <v>167</v>
      </c>
      <c r="C313" t="str">
        <f>HYPERLINK("http://www.ncbi.nlm.nih.gov/protein/NWZ80032.1","NWZ80032.1")</f>
        <v>NWZ80032.1</v>
      </c>
      <c r="D313">
        <v>14278</v>
      </c>
      <c r="E313" t="str">
        <f>HYPERLINK("http://www.ncbi.nlm.nih.gov/Taxonomy/Browser/wwwtax.cgi?mode=Info&amp;id=48891&amp;lvl=3&amp;lin=f&amp;keep=1&amp;srchmode=1&amp;unlock","48891")</f>
        <v>48891</v>
      </c>
      <c r="F313" t="s">
        <v>167</v>
      </c>
      <c r="G313" t="str">
        <f>HYPERLINK("http://www.ncbi.nlm.nih.gov/Taxonomy/Browser/wwwtax.cgi?mode=Info&amp;id=48891&amp;lvl=3&amp;lin=f&amp;keep=1&amp;srchmode=1&amp;unlock","Poecile atricapillus")</f>
        <v>Poecile atricapillus</v>
      </c>
      <c r="H313" t="s">
        <v>423</v>
      </c>
      <c r="I313" t="str">
        <f>HYPERLINK("http://www.ncbi.nlm.nih.gov/protein/NWZ80032.1","ANDR protein")</f>
        <v>ANDR protein</v>
      </c>
      <c r="J313" t="s">
        <v>1323</v>
      </c>
      <c r="K313" t="s">
        <v>20</v>
      </c>
      <c r="L313">
        <v>467</v>
      </c>
      <c r="M313" t="s">
        <v>25</v>
      </c>
      <c r="N313" t="s">
        <v>20</v>
      </c>
      <c r="O313">
        <v>473</v>
      </c>
      <c r="P313" t="s">
        <v>1313</v>
      </c>
      <c r="Q313" t="s">
        <v>20</v>
      </c>
      <c r="R313">
        <v>514</v>
      </c>
      <c r="S313" t="s">
        <v>1314</v>
      </c>
      <c r="T313" t="s">
        <v>20</v>
      </c>
      <c r="U313">
        <v>639</v>
      </c>
      <c r="V313" t="s">
        <v>1315</v>
      </c>
      <c r="W313" t="s">
        <v>20</v>
      </c>
    </row>
    <row r="314" spans="1:23" x14ac:dyDescent="0.25">
      <c r="A314">
        <v>6</v>
      </c>
      <c r="B314" t="s">
        <v>167</v>
      </c>
      <c r="C314" t="str">
        <f>HYPERLINK("http://www.ncbi.nlm.nih.gov/protein/NXK64764.1","NXK64764.1")</f>
        <v>NXK64764.1</v>
      </c>
      <c r="D314">
        <v>13823</v>
      </c>
      <c r="E314" t="str">
        <f>HYPERLINK("http://www.ncbi.nlm.nih.gov/Taxonomy/Browser/wwwtax.cgi?mode=Info&amp;id=208069&amp;lvl=3&amp;lin=f&amp;keep=1&amp;srchmode=1&amp;unlock","208069")</f>
        <v>208069</v>
      </c>
      <c r="F314" t="s">
        <v>167</v>
      </c>
      <c r="G314" t="str">
        <f>HYPERLINK("http://www.ncbi.nlm.nih.gov/Taxonomy/Browser/wwwtax.cgi?mode=Info&amp;id=208069&amp;lvl=3&amp;lin=f&amp;keep=1&amp;srchmode=1&amp;unlock","Sylvietta virens")</f>
        <v>Sylvietta virens</v>
      </c>
      <c r="H314" t="s">
        <v>434</v>
      </c>
      <c r="I314" t="str">
        <f>HYPERLINK("http://www.ncbi.nlm.nih.gov/protein/NXK64764.1","ANDR protein")</f>
        <v>ANDR protein</v>
      </c>
      <c r="J314" t="s">
        <v>1323</v>
      </c>
      <c r="K314" t="s">
        <v>20</v>
      </c>
      <c r="L314">
        <v>237</v>
      </c>
      <c r="M314" t="s">
        <v>25</v>
      </c>
      <c r="N314" t="s">
        <v>20</v>
      </c>
      <c r="O314">
        <v>243</v>
      </c>
      <c r="P314" t="s">
        <v>1313</v>
      </c>
      <c r="Q314" t="s">
        <v>20</v>
      </c>
      <c r="R314">
        <v>284</v>
      </c>
      <c r="S314" t="s">
        <v>1314</v>
      </c>
      <c r="T314" t="s">
        <v>20</v>
      </c>
      <c r="U314">
        <v>409</v>
      </c>
      <c r="V314" t="s">
        <v>1315</v>
      </c>
      <c r="W314" t="s">
        <v>20</v>
      </c>
    </row>
    <row r="315" spans="1:23" x14ac:dyDescent="0.25">
      <c r="A315">
        <v>6</v>
      </c>
      <c r="B315" t="s">
        <v>167</v>
      </c>
      <c r="C315" t="str">
        <f>HYPERLINK("http://www.ncbi.nlm.nih.gov/protein/NWR87654.1","NWR87654.1")</f>
        <v>NWR87654.1</v>
      </c>
      <c r="D315">
        <v>13898</v>
      </c>
      <c r="E315" t="str">
        <f>HYPERLINK("http://www.ncbi.nlm.nih.gov/Taxonomy/Browser/wwwtax.cgi?mode=Info&amp;id=463165&amp;lvl=3&amp;lin=f&amp;keep=1&amp;srchmode=1&amp;unlock","463165")</f>
        <v>463165</v>
      </c>
      <c r="F315" t="s">
        <v>167</v>
      </c>
      <c r="G315" t="str">
        <f>HYPERLINK("http://www.ncbi.nlm.nih.gov/Taxonomy/Browser/wwwtax.cgi?mode=Info&amp;id=463165&amp;lvl=3&amp;lin=f&amp;keep=1&amp;srchmode=1&amp;unlock","Furnarius figulus")</f>
        <v>Furnarius figulus</v>
      </c>
      <c r="H315" t="s">
        <v>206</v>
      </c>
      <c r="I315" t="str">
        <f>HYPERLINK("http://www.ncbi.nlm.nih.gov/protein/NWR87654.1","ANDR protein")</f>
        <v>ANDR protein</v>
      </c>
      <c r="J315" t="s">
        <v>1323</v>
      </c>
      <c r="K315" t="s">
        <v>20</v>
      </c>
      <c r="L315">
        <v>237</v>
      </c>
      <c r="M315" t="s">
        <v>25</v>
      </c>
      <c r="N315" t="s">
        <v>20</v>
      </c>
      <c r="O315">
        <v>243</v>
      </c>
      <c r="P315" t="s">
        <v>1313</v>
      </c>
      <c r="Q315" t="s">
        <v>20</v>
      </c>
      <c r="R315">
        <v>284</v>
      </c>
      <c r="S315" t="s">
        <v>1314</v>
      </c>
      <c r="T315" t="s">
        <v>20</v>
      </c>
      <c r="U315">
        <v>409</v>
      </c>
      <c r="V315" t="s">
        <v>1315</v>
      </c>
      <c r="W315" t="s">
        <v>20</v>
      </c>
    </row>
    <row r="316" spans="1:23" x14ac:dyDescent="0.25">
      <c r="A316">
        <v>6</v>
      </c>
      <c r="B316" t="s">
        <v>167</v>
      </c>
      <c r="C316" t="str">
        <f>HYPERLINK("http://www.ncbi.nlm.nih.gov/protein/NXF15410.1","NXF15410.1")</f>
        <v>NXF15410.1</v>
      </c>
      <c r="D316">
        <v>14142</v>
      </c>
      <c r="E316" t="str">
        <f>HYPERLINK("http://www.ncbi.nlm.nih.gov/Taxonomy/Browser/wwwtax.cgi?mode=Info&amp;id=58203&amp;lvl=3&amp;lin=f&amp;keep=1&amp;srchmode=1&amp;unlock","58203")</f>
        <v>58203</v>
      </c>
      <c r="F316" t="s">
        <v>167</v>
      </c>
      <c r="G316" t="str">
        <f>HYPERLINK("http://www.ncbi.nlm.nih.gov/Taxonomy/Browser/wwwtax.cgi?mode=Info&amp;id=58203&amp;lvl=3&amp;lin=f&amp;keep=1&amp;srchmode=1&amp;unlock","Rhodinocichla rosea")</f>
        <v>Rhodinocichla rosea</v>
      </c>
      <c r="H316" t="s">
        <v>414</v>
      </c>
      <c r="I316" t="str">
        <f>HYPERLINK("http://www.ncbi.nlm.nih.gov/protein/NXF15410.1","ANDR protein")</f>
        <v>ANDR protein</v>
      </c>
      <c r="J316" t="s">
        <v>1323</v>
      </c>
      <c r="K316" t="s">
        <v>20</v>
      </c>
      <c r="L316">
        <v>237</v>
      </c>
      <c r="M316" t="s">
        <v>25</v>
      </c>
      <c r="N316" t="s">
        <v>20</v>
      </c>
      <c r="O316">
        <v>243</v>
      </c>
      <c r="P316" t="s">
        <v>1313</v>
      </c>
      <c r="Q316" t="s">
        <v>20</v>
      </c>
      <c r="R316">
        <v>284</v>
      </c>
      <c r="S316" t="s">
        <v>1314</v>
      </c>
      <c r="T316" t="s">
        <v>20</v>
      </c>
      <c r="U316">
        <v>409</v>
      </c>
      <c r="V316" t="s">
        <v>1315</v>
      </c>
      <c r="W316" t="s">
        <v>20</v>
      </c>
    </row>
    <row r="317" spans="1:23" x14ac:dyDescent="0.25">
      <c r="A317">
        <v>6</v>
      </c>
      <c r="B317" t="s">
        <v>167</v>
      </c>
      <c r="C317" t="str">
        <f>HYPERLINK("http://www.ncbi.nlm.nih.gov/protein/NXR27516.1","NXR27516.1")</f>
        <v>NXR27516.1</v>
      </c>
      <c r="D317">
        <v>13525</v>
      </c>
      <c r="E317" t="str">
        <f>HYPERLINK("http://www.ncbi.nlm.nih.gov/Taxonomy/Browser/wwwtax.cgi?mode=Info&amp;id=161649&amp;lvl=3&amp;lin=f&amp;keep=1&amp;srchmode=1&amp;unlock","161649")</f>
        <v>161649</v>
      </c>
      <c r="F317" t="s">
        <v>167</v>
      </c>
      <c r="G317" t="str">
        <f>HYPERLINK("http://www.ncbi.nlm.nih.gov/Taxonomy/Browser/wwwtax.cgi?mode=Info&amp;id=161649&amp;lvl=3&amp;lin=f&amp;keep=1&amp;srchmode=1&amp;unlock","Cinclus mexicanus")</f>
        <v>Cinclus mexicanus</v>
      </c>
      <c r="H317" t="s">
        <v>206</v>
      </c>
      <c r="I317" t="str">
        <f>HYPERLINK("http://www.ncbi.nlm.nih.gov/protein/NXR27516.1","ANDR protein")</f>
        <v>ANDR protein</v>
      </c>
      <c r="J317" t="s">
        <v>1323</v>
      </c>
      <c r="K317" t="s">
        <v>20</v>
      </c>
      <c r="L317">
        <v>232</v>
      </c>
      <c r="M317" t="s">
        <v>25</v>
      </c>
      <c r="N317" t="s">
        <v>20</v>
      </c>
      <c r="O317">
        <v>238</v>
      </c>
      <c r="P317" t="s">
        <v>1313</v>
      </c>
      <c r="Q317" t="s">
        <v>20</v>
      </c>
      <c r="R317">
        <v>279</v>
      </c>
      <c r="S317" t="s">
        <v>1314</v>
      </c>
      <c r="T317" t="s">
        <v>20</v>
      </c>
      <c r="U317">
        <v>404</v>
      </c>
      <c r="V317" t="s">
        <v>1315</v>
      </c>
      <c r="W317" t="s">
        <v>20</v>
      </c>
    </row>
    <row r="318" spans="1:23" x14ac:dyDescent="0.25">
      <c r="A318">
        <v>6</v>
      </c>
      <c r="B318" t="s">
        <v>167</v>
      </c>
      <c r="C318" t="str">
        <f>HYPERLINK("http://www.ncbi.nlm.nih.gov/protein/NWZ67800.1","NWZ67800.1")</f>
        <v>NWZ67800.1</v>
      </c>
      <c r="D318">
        <v>14269</v>
      </c>
      <c r="E318" t="str">
        <f>HYPERLINK("http://www.ncbi.nlm.nih.gov/Taxonomy/Browser/wwwtax.cgi?mode=Info&amp;id=39621&amp;lvl=3&amp;lin=f&amp;keep=1&amp;srchmode=1&amp;unlock","39621")</f>
        <v>39621</v>
      </c>
      <c r="F318" t="s">
        <v>167</v>
      </c>
      <c r="G318" t="str">
        <f>HYPERLINK("http://www.ncbi.nlm.nih.gov/Taxonomy/Browser/wwwtax.cgi?mode=Info&amp;id=39621&amp;lvl=3&amp;lin=f&amp;keep=1&amp;srchmode=1&amp;unlock","Acrocephalus arundinaceus")</f>
        <v>Acrocephalus arundinaceus</v>
      </c>
      <c r="H318" t="s">
        <v>439</v>
      </c>
      <c r="I318" t="str">
        <f>HYPERLINK("http://www.ncbi.nlm.nih.gov/protein/NWZ67800.1","ANDR protein")</f>
        <v>ANDR protein</v>
      </c>
      <c r="J318" t="s">
        <v>1323</v>
      </c>
      <c r="K318" t="s">
        <v>20</v>
      </c>
      <c r="L318">
        <v>265</v>
      </c>
      <c r="M318" t="s">
        <v>25</v>
      </c>
      <c r="N318" t="s">
        <v>20</v>
      </c>
      <c r="O318">
        <v>271</v>
      </c>
      <c r="P318" t="s">
        <v>1313</v>
      </c>
      <c r="Q318" t="s">
        <v>20</v>
      </c>
      <c r="R318">
        <v>312</v>
      </c>
      <c r="S318" t="s">
        <v>1314</v>
      </c>
      <c r="T318" t="s">
        <v>20</v>
      </c>
      <c r="U318">
        <v>437</v>
      </c>
      <c r="V318" t="s">
        <v>1315</v>
      </c>
      <c r="W318" t="s">
        <v>20</v>
      </c>
    </row>
    <row r="319" spans="1:23" x14ac:dyDescent="0.25">
      <c r="A319">
        <v>6</v>
      </c>
      <c r="B319" t="s">
        <v>167</v>
      </c>
      <c r="C319" t="str">
        <f>HYPERLINK("http://www.ncbi.nlm.nih.gov/protein/NWV14670.1","NWV14670.1")</f>
        <v>NWV14670.1</v>
      </c>
      <c r="D319">
        <v>14013</v>
      </c>
      <c r="E319" t="str">
        <f>HYPERLINK("http://www.ncbi.nlm.nih.gov/Taxonomy/Browser/wwwtax.cgi?mode=Info&amp;id=28724&amp;lvl=3&amp;lin=f&amp;keep=1&amp;srchmode=1&amp;unlock","28724")</f>
        <v>28724</v>
      </c>
      <c r="F319" t="s">
        <v>167</v>
      </c>
      <c r="G319" t="str">
        <f>HYPERLINK("http://www.ncbi.nlm.nih.gov/Taxonomy/Browser/wwwtax.cgi?mode=Info&amp;id=28724&amp;lvl=3&amp;lin=f&amp;keep=1&amp;srchmode=1&amp;unlock","Ptilonorhynchus violaceus")</f>
        <v>Ptilonorhynchus violaceus</v>
      </c>
      <c r="H319" t="s">
        <v>293</v>
      </c>
      <c r="I319" t="str">
        <f>HYPERLINK("http://www.ncbi.nlm.nih.gov/protein/NWV14670.1","ANDR protein")</f>
        <v>ANDR protein</v>
      </c>
      <c r="J319" t="s">
        <v>1323</v>
      </c>
      <c r="K319" t="s">
        <v>20</v>
      </c>
      <c r="L319">
        <v>222</v>
      </c>
      <c r="M319" t="s">
        <v>25</v>
      </c>
      <c r="N319" t="s">
        <v>20</v>
      </c>
      <c r="O319">
        <v>228</v>
      </c>
      <c r="P319" t="s">
        <v>1313</v>
      </c>
      <c r="Q319" t="s">
        <v>20</v>
      </c>
      <c r="R319">
        <v>269</v>
      </c>
      <c r="S319" t="s">
        <v>1314</v>
      </c>
      <c r="T319" t="s">
        <v>20</v>
      </c>
      <c r="U319">
        <v>394</v>
      </c>
      <c r="V319" t="s">
        <v>1315</v>
      </c>
      <c r="W319" t="s">
        <v>20</v>
      </c>
    </row>
    <row r="320" spans="1:23" x14ac:dyDescent="0.25">
      <c r="A320">
        <v>6</v>
      </c>
      <c r="B320" t="s">
        <v>167</v>
      </c>
      <c r="C320" t="str">
        <f>HYPERLINK("http://www.ncbi.nlm.nih.gov/protein/NXU36076.1","NXU36076.1")</f>
        <v>NXU36076.1</v>
      </c>
      <c r="D320">
        <v>13604</v>
      </c>
      <c r="E320" t="str">
        <f>HYPERLINK("http://www.ncbi.nlm.nih.gov/Taxonomy/Browser/wwwtax.cgi?mode=Info&amp;id=626378&amp;lvl=3&amp;lin=f&amp;keep=1&amp;srchmode=1&amp;unlock","626378")</f>
        <v>626378</v>
      </c>
      <c r="F320" t="s">
        <v>167</v>
      </c>
      <c r="G320" t="str">
        <f>HYPERLINK("http://www.ncbi.nlm.nih.gov/Taxonomy/Browser/wwwtax.cgi?mode=Info&amp;id=626378&amp;lvl=3&amp;lin=f&amp;keep=1&amp;srchmode=1&amp;unlock","Drymodes brunneopygia")</f>
        <v>Drymodes brunneopygia</v>
      </c>
      <c r="H320" t="s">
        <v>351</v>
      </c>
      <c r="I320" t="str">
        <f>HYPERLINK("http://www.ncbi.nlm.nih.gov/protein/NXU36076.1","ANDR protein")</f>
        <v>ANDR protein</v>
      </c>
      <c r="J320" t="s">
        <v>1323</v>
      </c>
      <c r="K320" t="s">
        <v>20</v>
      </c>
      <c r="L320">
        <v>237</v>
      </c>
      <c r="M320" t="s">
        <v>25</v>
      </c>
      <c r="N320" t="s">
        <v>20</v>
      </c>
      <c r="O320">
        <v>243</v>
      </c>
      <c r="P320" t="s">
        <v>1313</v>
      </c>
      <c r="Q320" t="s">
        <v>20</v>
      </c>
      <c r="R320">
        <v>284</v>
      </c>
      <c r="S320" t="s">
        <v>1314</v>
      </c>
      <c r="T320" t="s">
        <v>20</v>
      </c>
      <c r="U320">
        <v>409</v>
      </c>
      <c r="V320" t="s">
        <v>1315</v>
      </c>
      <c r="W320" t="s">
        <v>20</v>
      </c>
    </row>
    <row r="321" spans="1:23" x14ac:dyDescent="0.25">
      <c r="A321">
        <v>6</v>
      </c>
      <c r="B321" t="s">
        <v>167</v>
      </c>
      <c r="C321" t="str">
        <f>HYPERLINK("http://www.ncbi.nlm.nih.gov/protein/NXF79956.1","NXF79956.1")</f>
        <v>NXF79956.1</v>
      </c>
      <c r="D321">
        <v>14134</v>
      </c>
      <c r="E321" t="str">
        <f>HYPERLINK("http://www.ncbi.nlm.nih.gov/Taxonomy/Browser/wwwtax.cgi?mode=Info&amp;id=265632&amp;lvl=3&amp;lin=f&amp;keep=1&amp;srchmode=1&amp;unlock","265632")</f>
        <v>265632</v>
      </c>
      <c r="F321" t="s">
        <v>167</v>
      </c>
      <c r="G321" t="str">
        <f>HYPERLINK("http://www.ncbi.nlm.nih.gov/Taxonomy/Browser/wwwtax.cgi?mode=Info&amp;id=265632&amp;lvl=3&amp;lin=f&amp;keep=1&amp;srchmode=1&amp;unlock","Sclerurus mexicanus")</f>
        <v>Sclerurus mexicanus</v>
      </c>
      <c r="H321" t="s">
        <v>436</v>
      </c>
      <c r="I321" t="str">
        <f>HYPERLINK("http://www.ncbi.nlm.nih.gov/protein/NXF79956.1","ANDR protein")</f>
        <v>ANDR protein</v>
      </c>
      <c r="J321" t="s">
        <v>1323</v>
      </c>
      <c r="K321" t="s">
        <v>20</v>
      </c>
      <c r="L321">
        <v>217</v>
      </c>
      <c r="M321" t="s">
        <v>25</v>
      </c>
      <c r="N321" t="s">
        <v>20</v>
      </c>
      <c r="O321">
        <v>223</v>
      </c>
      <c r="P321" t="s">
        <v>1313</v>
      </c>
      <c r="Q321" t="s">
        <v>20</v>
      </c>
      <c r="R321">
        <v>264</v>
      </c>
      <c r="S321" t="s">
        <v>1314</v>
      </c>
      <c r="T321" t="s">
        <v>20</v>
      </c>
      <c r="U321">
        <v>389</v>
      </c>
      <c r="V321" t="s">
        <v>1315</v>
      </c>
      <c r="W321" t="s">
        <v>20</v>
      </c>
    </row>
    <row r="322" spans="1:23" x14ac:dyDescent="0.25">
      <c r="A322">
        <v>6</v>
      </c>
      <c r="B322" t="s">
        <v>167</v>
      </c>
      <c r="C322" t="str">
        <f>HYPERLINK("http://www.ncbi.nlm.nih.gov/protein/NXJ84563.1","NXJ84563.1")</f>
        <v>NXJ84563.1</v>
      </c>
      <c r="D322">
        <v>14194</v>
      </c>
      <c r="E322" t="str">
        <f>HYPERLINK("http://www.ncbi.nlm.nih.gov/Taxonomy/Browser/wwwtax.cgi?mode=Info&amp;id=56311&amp;lvl=3&amp;lin=f&amp;keep=1&amp;srchmode=1&amp;unlock","56311")</f>
        <v>56311</v>
      </c>
      <c r="F322" t="s">
        <v>167</v>
      </c>
      <c r="G322" t="str">
        <f>HYPERLINK("http://www.ncbi.nlm.nih.gov/Taxonomy/Browser/wwwtax.cgi?mode=Info&amp;id=56311&amp;lvl=3&amp;lin=f&amp;keep=1&amp;srchmode=1&amp;unlock","Trogon melanurus")</f>
        <v>Trogon melanurus</v>
      </c>
      <c r="H322" t="s">
        <v>355</v>
      </c>
      <c r="I322" t="str">
        <f>HYPERLINK("http://www.ncbi.nlm.nih.gov/protein/NXJ84563.1","ANDR protein")</f>
        <v>ANDR protein</v>
      </c>
      <c r="J322" t="s">
        <v>1323</v>
      </c>
      <c r="K322" t="s">
        <v>20</v>
      </c>
      <c r="L322">
        <v>200</v>
      </c>
      <c r="M322" t="s">
        <v>25</v>
      </c>
      <c r="N322" t="s">
        <v>20</v>
      </c>
      <c r="O322">
        <v>206</v>
      </c>
      <c r="P322" t="s">
        <v>1313</v>
      </c>
      <c r="Q322" t="s">
        <v>20</v>
      </c>
      <c r="R322">
        <v>247</v>
      </c>
      <c r="S322" t="s">
        <v>1314</v>
      </c>
      <c r="T322" t="s">
        <v>20</v>
      </c>
      <c r="U322">
        <v>372</v>
      </c>
      <c r="V322" t="s">
        <v>1315</v>
      </c>
      <c r="W322" t="s">
        <v>20</v>
      </c>
    </row>
    <row r="323" spans="1:23" x14ac:dyDescent="0.25">
      <c r="A323">
        <v>6</v>
      </c>
      <c r="B323" t="s">
        <v>167</v>
      </c>
      <c r="C323" t="str">
        <f>HYPERLINK("http://www.ncbi.nlm.nih.gov/protein/NWY37490.1","NWY37490.1")</f>
        <v>NWY37490.1</v>
      </c>
      <c r="D323">
        <v>13444</v>
      </c>
      <c r="E323" t="str">
        <f>HYPERLINK("http://www.ncbi.nlm.nih.gov/Taxonomy/Browser/wwwtax.cgi?mode=Info&amp;id=48155&amp;lvl=3&amp;lin=f&amp;keep=1&amp;srchmode=1&amp;unlock","48155")</f>
        <v>48155</v>
      </c>
      <c r="F323" t="s">
        <v>167</v>
      </c>
      <c r="G323" t="str">
        <f>HYPERLINK("http://www.ncbi.nlm.nih.gov/Taxonomy/Browser/wwwtax.cgi?mode=Info&amp;id=48155&amp;lvl=3&amp;lin=f&amp;keep=1&amp;srchmode=1&amp;unlock","Sylvia atricapilla")</f>
        <v>Sylvia atricapilla</v>
      </c>
      <c r="H323" t="s">
        <v>459</v>
      </c>
      <c r="I323" t="str">
        <f>HYPERLINK("http://www.ncbi.nlm.nih.gov/protein/NWY37490.1","ANDR protein")</f>
        <v>ANDR protein</v>
      </c>
      <c r="J323" t="s">
        <v>1323</v>
      </c>
      <c r="K323" t="s">
        <v>20</v>
      </c>
      <c r="L323">
        <v>233</v>
      </c>
      <c r="M323" t="s">
        <v>25</v>
      </c>
      <c r="N323" t="s">
        <v>20</v>
      </c>
      <c r="O323">
        <v>239</v>
      </c>
      <c r="P323" t="s">
        <v>1313</v>
      </c>
      <c r="Q323" t="s">
        <v>20</v>
      </c>
      <c r="R323">
        <v>280</v>
      </c>
      <c r="S323" t="s">
        <v>1314</v>
      </c>
      <c r="T323" t="s">
        <v>20</v>
      </c>
      <c r="U323">
        <v>405</v>
      </c>
      <c r="V323" t="s">
        <v>1315</v>
      </c>
      <c r="W323" t="s">
        <v>20</v>
      </c>
    </row>
    <row r="324" spans="1:23" x14ac:dyDescent="0.25">
      <c r="A324">
        <v>6</v>
      </c>
      <c r="B324" t="s">
        <v>167</v>
      </c>
      <c r="C324" t="str">
        <f>HYPERLINK("http://www.ncbi.nlm.nih.gov/protein/NXI18472.1","NXI18472.1")</f>
        <v>NXI18472.1</v>
      </c>
      <c r="D324">
        <v>14281</v>
      </c>
      <c r="E324" t="str">
        <f>HYPERLINK("http://www.ncbi.nlm.nih.gov/Taxonomy/Browser/wwwtax.cgi?mode=Info&amp;id=175120&amp;lvl=3&amp;lin=f&amp;keep=1&amp;srchmode=1&amp;unlock","175120")</f>
        <v>175120</v>
      </c>
      <c r="F324" t="s">
        <v>167</v>
      </c>
      <c r="G324" t="str">
        <f>HYPERLINK("http://www.ncbi.nlm.nih.gov/Taxonomy/Browser/wwwtax.cgi?mode=Info&amp;id=175120&amp;lvl=3&amp;lin=f&amp;keep=1&amp;srchmode=1&amp;unlock","Irena cyanogastra")</f>
        <v>Irena cyanogastra</v>
      </c>
      <c r="H324" t="s">
        <v>451</v>
      </c>
      <c r="I324" t="str">
        <f>HYPERLINK("http://www.ncbi.nlm.nih.gov/protein/NXI18472.1","ANDR protein")</f>
        <v>ANDR protein</v>
      </c>
      <c r="J324" t="s">
        <v>1323</v>
      </c>
      <c r="K324" t="s">
        <v>20</v>
      </c>
      <c r="L324">
        <v>265</v>
      </c>
      <c r="M324" t="s">
        <v>25</v>
      </c>
      <c r="N324" t="s">
        <v>20</v>
      </c>
      <c r="O324">
        <v>271</v>
      </c>
      <c r="P324" t="s">
        <v>1313</v>
      </c>
      <c r="Q324" t="s">
        <v>20</v>
      </c>
      <c r="R324">
        <v>312</v>
      </c>
      <c r="S324" t="s">
        <v>1314</v>
      </c>
      <c r="T324" t="s">
        <v>20</v>
      </c>
      <c r="U324">
        <v>437</v>
      </c>
      <c r="V324" t="s">
        <v>1315</v>
      </c>
      <c r="W324" t="s">
        <v>20</v>
      </c>
    </row>
    <row r="325" spans="1:23" x14ac:dyDescent="0.25">
      <c r="A325">
        <v>6</v>
      </c>
      <c r="B325" t="s">
        <v>167</v>
      </c>
      <c r="C325" t="str">
        <f>HYPERLINK("http://www.ncbi.nlm.nih.gov/protein/NXB24753.1","NXB24753.1")</f>
        <v>NXB24753.1</v>
      </c>
      <c r="D325">
        <v>14272</v>
      </c>
      <c r="E325" t="str">
        <f>HYPERLINK("http://www.ncbi.nlm.nih.gov/Taxonomy/Browser/wwwtax.cgi?mode=Info&amp;id=156170&amp;lvl=3&amp;lin=f&amp;keep=1&amp;srchmode=1&amp;unlock","156170")</f>
        <v>156170</v>
      </c>
      <c r="F325" t="s">
        <v>167</v>
      </c>
      <c r="G325" t="str">
        <f>HYPERLINK("http://www.ncbi.nlm.nih.gov/Taxonomy/Browser/wwwtax.cgi?mode=Info&amp;id=156170&amp;lvl=3&amp;lin=f&amp;keep=1&amp;srchmode=1&amp;unlock","Rhagologus leucostigma")</f>
        <v>Rhagologus leucostigma</v>
      </c>
      <c r="H325" t="s">
        <v>502</v>
      </c>
      <c r="I325" t="str">
        <f>HYPERLINK("http://www.ncbi.nlm.nih.gov/protein/NXB24753.1","ANDR protein")</f>
        <v>ANDR protein</v>
      </c>
      <c r="J325" t="s">
        <v>1323</v>
      </c>
      <c r="K325" t="s">
        <v>20</v>
      </c>
      <c r="L325">
        <v>237</v>
      </c>
      <c r="M325" t="s">
        <v>25</v>
      </c>
      <c r="N325" t="s">
        <v>20</v>
      </c>
      <c r="O325">
        <v>243</v>
      </c>
      <c r="P325" t="s">
        <v>1313</v>
      </c>
      <c r="Q325" t="s">
        <v>20</v>
      </c>
      <c r="R325">
        <v>284</v>
      </c>
      <c r="S325" t="s">
        <v>1314</v>
      </c>
      <c r="T325" t="s">
        <v>20</v>
      </c>
      <c r="U325">
        <v>409</v>
      </c>
      <c r="V325" t="s">
        <v>1315</v>
      </c>
      <c r="W325" t="s">
        <v>20</v>
      </c>
    </row>
    <row r="326" spans="1:23" x14ac:dyDescent="0.25">
      <c r="A326">
        <v>6</v>
      </c>
      <c r="B326" t="s">
        <v>167</v>
      </c>
      <c r="C326" t="str">
        <f>HYPERLINK("http://www.ncbi.nlm.nih.gov/protein/XP_005526207.1","XP_005526207.1")</f>
        <v>XP_005526207.1</v>
      </c>
      <c r="D326">
        <v>27658</v>
      </c>
      <c r="E326" t="str">
        <f>HYPERLINK("http://www.ncbi.nlm.nih.gov/Taxonomy/Browser/wwwtax.cgi?mode=Info&amp;id=181119&amp;lvl=3&amp;lin=f&amp;keep=1&amp;srchmode=1&amp;unlock","181119")</f>
        <v>181119</v>
      </c>
      <c r="F326" t="s">
        <v>167</v>
      </c>
      <c r="G326" t="str">
        <f>HYPERLINK("http://www.ncbi.nlm.nih.gov/Taxonomy/Browser/wwwtax.cgi?mode=Info&amp;id=181119&amp;lvl=3&amp;lin=f&amp;keep=1&amp;srchmode=1&amp;unlock","Pseudopodoces humilis")</f>
        <v>Pseudopodoces humilis</v>
      </c>
      <c r="H326" t="s">
        <v>409</v>
      </c>
      <c r="I326" t="str">
        <f>HYPERLINK("http://www.ncbi.nlm.nih.gov/protein/XP_005526207.1","PREDICTED: androgen receptor")</f>
        <v>PREDICTED: androgen receptor</v>
      </c>
      <c r="J326" t="s">
        <v>1323</v>
      </c>
      <c r="K326" t="s">
        <v>20</v>
      </c>
      <c r="L326">
        <v>470</v>
      </c>
      <c r="M326" t="s">
        <v>25</v>
      </c>
      <c r="N326" t="s">
        <v>20</v>
      </c>
      <c r="O326">
        <v>476</v>
      </c>
      <c r="P326" t="s">
        <v>1313</v>
      </c>
      <c r="Q326" t="s">
        <v>20</v>
      </c>
      <c r="R326">
        <v>517</v>
      </c>
      <c r="S326" t="s">
        <v>1314</v>
      </c>
      <c r="T326" t="s">
        <v>20</v>
      </c>
      <c r="U326">
        <v>642</v>
      </c>
      <c r="V326" t="s">
        <v>1315</v>
      </c>
      <c r="W326" t="s">
        <v>20</v>
      </c>
    </row>
    <row r="327" spans="1:23" x14ac:dyDescent="0.25">
      <c r="A327">
        <v>6</v>
      </c>
      <c r="B327" t="s">
        <v>167</v>
      </c>
      <c r="C327" t="str">
        <f>HYPERLINK("http://www.ncbi.nlm.nih.gov/protein/XP_015482175.1","XP_015482175.1")</f>
        <v>XP_015482175.1</v>
      </c>
      <c r="D327">
        <v>39858</v>
      </c>
      <c r="E327" t="str">
        <f>HYPERLINK("http://www.ncbi.nlm.nih.gov/Taxonomy/Browser/wwwtax.cgi?mode=Info&amp;id=9157&amp;lvl=3&amp;lin=f&amp;keep=1&amp;srchmode=1&amp;unlock","9157")</f>
        <v>9157</v>
      </c>
      <c r="F327" t="s">
        <v>167</v>
      </c>
      <c r="G327" t="str">
        <f>HYPERLINK("http://www.ncbi.nlm.nih.gov/Taxonomy/Browser/wwwtax.cgi?mode=Info&amp;id=9157&amp;lvl=3&amp;lin=f&amp;keep=1&amp;srchmode=1&amp;unlock","Parus major")</f>
        <v>Parus major</v>
      </c>
      <c r="H327" t="s">
        <v>448</v>
      </c>
      <c r="I327" t="str">
        <f>HYPERLINK("http://www.ncbi.nlm.nih.gov/protein/XP_015482175.1","androgen receptor")</f>
        <v>androgen receptor</v>
      </c>
      <c r="J327" t="s">
        <v>1323</v>
      </c>
      <c r="K327" t="s">
        <v>20</v>
      </c>
      <c r="L327">
        <v>470</v>
      </c>
      <c r="M327" t="s">
        <v>25</v>
      </c>
      <c r="N327" t="s">
        <v>20</v>
      </c>
      <c r="O327">
        <v>476</v>
      </c>
      <c r="P327" t="s">
        <v>1313</v>
      </c>
      <c r="Q327" t="s">
        <v>20</v>
      </c>
      <c r="R327">
        <v>517</v>
      </c>
      <c r="S327" t="s">
        <v>1314</v>
      </c>
      <c r="T327" t="s">
        <v>20</v>
      </c>
      <c r="U327">
        <v>642</v>
      </c>
      <c r="V327" t="s">
        <v>1315</v>
      </c>
      <c r="W327" t="s">
        <v>20</v>
      </c>
    </row>
    <row r="328" spans="1:23" x14ac:dyDescent="0.25">
      <c r="A328">
        <v>6</v>
      </c>
      <c r="B328" t="s">
        <v>167</v>
      </c>
      <c r="C328" t="str">
        <f>HYPERLINK("http://www.ncbi.nlm.nih.gov/protein/NXP25120.1","NXP25120.1")</f>
        <v>NXP25120.1</v>
      </c>
      <c r="D328">
        <v>13881</v>
      </c>
      <c r="E328" t="str">
        <f>HYPERLINK("http://www.ncbi.nlm.nih.gov/Taxonomy/Browser/wwwtax.cgi?mode=Info&amp;id=312124&amp;lvl=3&amp;lin=f&amp;keep=1&amp;srchmode=1&amp;unlock","312124")</f>
        <v>312124</v>
      </c>
      <c r="F328" t="s">
        <v>167</v>
      </c>
      <c r="G328" t="str">
        <f>HYPERLINK("http://www.ncbi.nlm.nih.gov/Taxonomy/Browser/wwwtax.cgi?mode=Info&amp;id=312124&amp;lvl=3&amp;lin=f&amp;keep=1&amp;srchmode=1&amp;unlock","Scytalopus superciliaris")</f>
        <v>Scytalopus superciliaris</v>
      </c>
      <c r="H328" t="s">
        <v>418</v>
      </c>
      <c r="I328" t="str">
        <f>HYPERLINK("http://www.ncbi.nlm.nih.gov/protein/NXP25120.1","ANDR protein")</f>
        <v>ANDR protein</v>
      </c>
      <c r="J328" t="s">
        <v>1323</v>
      </c>
      <c r="K328" t="s">
        <v>20</v>
      </c>
      <c r="L328">
        <v>237</v>
      </c>
      <c r="M328" t="s">
        <v>25</v>
      </c>
      <c r="N328" t="s">
        <v>20</v>
      </c>
      <c r="O328">
        <v>243</v>
      </c>
      <c r="P328" t="s">
        <v>1313</v>
      </c>
      <c r="Q328" t="s">
        <v>20</v>
      </c>
      <c r="R328">
        <v>284</v>
      </c>
      <c r="S328" t="s">
        <v>1314</v>
      </c>
      <c r="T328" t="s">
        <v>20</v>
      </c>
      <c r="U328">
        <v>409</v>
      </c>
      <c r="V328" t="s">
        <v>1315</v>
      </c>
      <c r="W328" t="s">
        <v>20</v>
      </c>
    </row>
    <row r="329" spans="1:23" x14ac:dyDescent="0.25">
      <c r="A329">
        <v>6</v>
      </c>
      <c r="B329" t="s">
        <v>167</v>
      </c>
      <c r="C329" t="str">
        <f>HYPERLINK("http://www.ncbi.nlm.nih.gov/protein/NXF10540.1","NXF10540.1")</f>
        <v>NXF10540.1</v>
      </c>
      <c r="D329">
        <v>13858</v>
      </c>
      <c r="E329" t="str">
        <f>HYPERLINK("http://www.ncbi.nlm.nih.gov/Taxonomy/Browser/wwwtax.cgi?mode=Info&amp;id=363769&amp;lvl=3&amp;lin=f&amp;keep=1&amp;srchmode=1&amp;unlock","363769")</f>
        <v>363769</v>
      </c>
      <c r="F329" t="s">
        <v>167</v>
      </c>
      <c r="G329" t="str">
        <f>HYPERLINK("http://www.ncbi.nlm.nih.gov/Taxonomy/Browser/wwwtax.cgi?mode=Info&amp;id=363769&amp;lvl=3&amp;lin=f&amp;keep=1&amp;srchmode=1&amp;unlock","Smithornis capensis")</f>
        <v>Smithornis capensis</v>
      </c>
      <c r="H329" t="s">
        <v>206</v>
      </c>
      <c r="I329" t="str">
        <f>HYPERLINK("http://www.ncbi.nlm.nih.gov/protein/NXF10540.1","ANDR protein")</f>
        <v>ANDR protein</v>
      </c>
      <c r="J329" t="s">
        <v>1323</v>
      </c>
      <c r="K329" t="s">
        <v>20</v>
      </c>
      <c r="L329">
        <v>268</v>
      </c>
      <c r="M329" t="s">
        <v>25</v>
      </c>
      <c r="N329" t="s">
        <v>20</v>
      </c>
      <c r="O329">
        <v>274</v>
      </c>
      <c r="P329" t="s">
        <v>1313</v>
      </c>
      <c r="Q329" t="s">
        <v>20</v>
      </c>
      <c r="R329">
        <v>315</v>
      </c>
      <c r="S329" t="s">
        <v>1314</v>
      </c>
      <c r="T329" t="s">
        <v>20</v>
      </c>
      <c r="U329">
        <v>440</v>
      </c>
      <c r="V329" t="s">
        <v>1315</v>
      </c>
      <c r="W329" t="s">
        <v>20</v>
      </c>
    </row>
    <row r="330" spans="1:23" x14ac:dyDescent="0.25">
      <c r="A330">
        <v>6</v>
      </c>
      <c r="B330" t="s">
        <v>167</v>
      </c>
      <c r="C330" t="str">
        <f>HYPERLINK("http://www.ncbi.nlm.nih.gov/protein/NWH98271.1","NWH98271.1")</f>
        <v>NWH98271.1</v>
      </c>
      <c r="D330">
        <v>11529</v>
      </c>
      <c r="E330" t="str">
        <f>HYPERLINK("http://www.ncbi.nlm.nih.gov/Taxonomy/Browser/wwwtax.cgi?mode=Info&amp;id=237442&amp;lvl=3&amp;lin=f&amp;keep=1&amp;srchmode=1&amp;unlock","237442")</f>
        <v>237442</v>
      </c>
      <c r="F330" t="s">
        <v>167</v>
      </c>
      <c r="G330" t="str">
        <f>HYPERLINK("http://www.ncbi.nlm.nih.gov/Taxonomy/Browser/wwwtax.cgi?mode=Info&amp;id=237442&amp;lvl=3&amp;lin=f&amp;keep=1&amp;srchmode=1&amp;unlock","Tichodroma muraria")</f>
        <v>Tichodroma muraria</v>
      </c>
      <c r="H330" t="s">
        <v>206</v>
      </c>
      <c r="I330" t="str">
        <f>HYPERLINK("http://www.ncbi.nlm.nih.gov/protein/NWH98271.1","ANDR protein")</f>
        <v>ANDR protein</v>
      </c>
      <c r="J330" t="s">
        <v>1323</v>
      </c>
      <c r="K330" t="s">
        <v>20</v>
      </c>
      <c r="L330">
        <v>237</v>
      </c>
      <c r="M330" t="s">
        <v>25</v>
      </c>
      <c r="N330" t="s">
        <v>20</v>
      </c>
      <c r="O330">
        <v>243</v>
      </c>
      <c r="P330" t="s">
        <v>1313</v>
      </c>
      <c r="Q330" t="s">
        <v>20</v>
      </c>
      <c r="R330">
        <v>284</v>
      </c>
      <c r="S330" t="s">
        <v>1314</v>
      </c>
      <c r="T330" t="s">
        <v>20</v>
      </c>
      <c r="U330">
        <v>409</v>
      </c>
      <c r="V330" t="s">
        <v>1315</v>
      </c>
      <c r="W330" t="s">
        <v>20</v>
      </c>
    </row>
    <row r="331" spans="1:23" x14ac:dyDescent="0.25">
      <c r="A331">
        <v>6</v>
      </c>
      <c r="B331" t="s">
        <v>167</v>
      </c>
      <c r="C331" t="str">
        <f>HYPERLINK("http://www.ncbi.nlm.nih.gov/protein/XP_030084849.1","XP_030084849.1")</f>
        <v>XP_030084849.1</v>
      </c>
      <c r="D331">
        <v>30512</v>
      </c>
      <c r="E331" t="str">
        <f>HYPERLINK("http://www.ncbi.nlm.nih.gov/Taxonomy/Browser/wwwtax.cgi?mode=Info&amp;id=9135&amp;lvl=3&amp;lin=f&amp;keep=1&amp;srchmode=1&amp;unlock","9135")</f>
        <v>9135</v>
      </c>
      <c r="F331" t="s">
        <v>167</v>
      </c>
      <c r="G331" t="str">
        <f>HYPERLINK("http://www.ncbi.nlm.nih.gov/Taxonomy/Browser/wwwtax.cgi?mode=Info&amp;id=9135&amp;lvl=3&amp;lin=f&amp;keep=1&amp;srchmode=1&amp;unlock","Serinus canaria")</f>
        <v>Serinus canaria</v>
      </c>
      <c r="H331" t="s">
        <v>477</v>
      </c>
      <c r="I331" t="str">
        <f>HYPERLINK("http://www.ncbi.nlm.nih.gov/protein/XP_030084849.1","androgen receptor")</f>
        <v>androgen receptor</v>
      </c>
      <c r="J331" t="s">
        <v>1323</v>
      </c>
      <c r="K331" t="s">
        <v>20</v>
      </c>
      <c r="L331">
        <v>507</v>
      </c>
      <c r="M331" t="s">
        <v>25</v>
      </c>
      <c r="N331" t="s">
        <v>20</v>
      </c>
      <c r="O331">
        <v>513</v>
      </c>
      <c r="P331" t="s">
        <v>1313</v>
      </c>
      <c r="Q331" t="s">
        <v>20</v>
      </c>
      <c r="R331">
        <v>554</v>
      </c>
      <c r="S331" t="s">
        <v>1314</v>
      </c>
      <c r="T331" t="s">
        <v>20</v>
      </c>
      <c r="U331">
        <v>679</v>
      </c>
      <c r="V331" t="s">
        <v>1315</v>
      </c>
      <c r="W331" t="s">
        <v>20</v>
      </c>
    </row>
    <row r="332" spans="1:23" x14ac:dyDescent="0.25">
      <c r="A332">
        <v>6</v>
      </c>
      <c r="B332" t="s">
        <v>167</v>
      </c>
      <c r="C332" t="str">
        <f>HYPERLINK("http://www.ncbi.nlm.nih.gov/protein/XP_039946290.1","XP_039946290.1")</f>
        <v>XP_039946290.1</v>
      </c>
      <c r="D332">
        <v>52023</v>
      </c>
      <c r="E332" t="str">
        <f>HYPERLINK("http://www.ncbi.nlm.nih.gov/Taxonomy/Browser/wwwtax.cgi?mode=Info&amp;id=43150&amp;lvl=3&amp;lin=f&amp;keep=1&amp;srchmode=1&amp;unlock","43150")</f>
        <v>43150</v>
      </c>
      <c r="F332" t="s">
        <v>167</v>
      </c>
      <c r="G332" t="str">
        <f>HYPERLINK("http://www.ncbi.nlm.nih.gov/Taxonomy/Browser/wwwtax.cgi?mode=Info&amp;id=43150&amp;lvl=3&amp;lin=f&amp;keep=1&amp;srchmode=1&amp;unlock","Hirundo rustica")</f>
        <v>Hirundo rustica</v>
      </c>
      <c r="H332" t="s">
        <v>421</v>
      </c>
      <c r="I332" t="str">
        <f>HYPERLINK("http://www.ncbi.nlm.nih.gov/protein/XP_039946290.1","androgen receptor-like")</f>
        <v>androgen receptor-like</v>
      </c>
      <c r="J332" t="s">
        <v>1323</v>
      </c>
      <c r="K332" t="s">
        <v>20</v>
      </c>
      <c r="L332">
        <v>470</v>
      </c>
      <c r="M332" t="s">
        <v>25</v>
      </c>
      <c r="N332" t="s">
        <v>20</v>
      </c>
      <c r="O332">
        <v>476</v>
      </c>
      <c r="P332" t="s">
        <v>1313</v>
      </c>
      <c r="Q332" t="s">
        <v>20</v>
      </c>
      <c r="R332">
        <v>517</v>
      </c>
      <c r="S332" t="s">
        <v>1314</v>
      </c>
      <c r="T332" t="s">
        <v>20</v>
      </c>
      <c r="U332">
        <v>642</v>
      </c>
      <c r="V332" t="s">
        <v>1315</v>
      </c>
      <c r="W332" t="s">
        <v>20</v>
      </c>
    </row>
    <row r="333" spans="1:23" x14ac:dyDescent="0.25">
      <c r="A333">
        <v>6</v>
      </c>
      <c r="B333" t="s">
        <v>167</v>
      </c>
      <c r="C333" t="str">
        <f>HYPERLINK("http://www.ncbi.nlm.nih.gov/protein/NXJ93699.1","NXJ93699.1")</f>
        <v>NXJ93699.1</v>
      </c>
      <c r="D333">
        <v>14263</v>
      </c>
      <c r="E333" t="str">
        <f>HYPERLINK("http://www.ncbi.nlm.nih.gov/Taxonomy/Browser/wwwtax.cgi?mode=Info&amp;id=103956&amp;lvl=3&amp;lin=f&amp;keep=1&amp;srchmode=1&amp;unlock","103956")</f>
        <v>103956</v>
      </c>
      <c r="F333" t="s">
        <v>167</v>
      </c>
      <c r="G333" t="str">
        <f>HYPERLINK("http://www.ncbi.nlm.nih.gov/Taxonomy/Browser/wwwtax.cgi?mode=Info&amp;id=103956&amp;lvl=3&amp;lin=f&amp;keep=1&amp;srchmode=1&amp;unlock","Corythaixoides concolor")</f>
        <v>Corythaixoides concolor</v>
      </c>
      <c r="H333" t="s">
        <v>422</v>
      </c>
      <c r="I333" t="str">
        <f>HYPERLINK("http://www.ncbi.nlm.nih.gov/protein/NXJ93699.1","ANDR protein")</f>
        <v>ANDR protein</v>
      </c>
      <c r="J333" t="s">
        <v>1323</v>
      </c>
      <c r="K333" t="s">
        <v>20</v>
      </c>
      <c r="L333">
        <v>219</v>
      </c>
      <c r="M333" t="s">
        <v>25</v>
      </c>
      <c r="N333" t="s">
        <v>20</v>
      </c>
      <c r="O333">
        <v>225</v>
      </c>
      <c r="P333" t="s">
        <v>1313</v>
      </c>
      <c r="Q333" t="s">
        <v>20</v>
      </c>
      <c r="R333">
        <v>266</v>
      </c>
      <c r="S333" t="s">
        <v>1314</v>
      </c>
      <c r="T333" t="s">
        <v>20</v>
      </c>
      <c r="U333">
        <v>391</v>
      </c>
      <c r="V333" t="s">
        <v>1315</v>
      </c>
      <c r="W333" t="s">
        <v>20</v>
      </c>
    </row>
    <row r="334" spans="1:23" x14ac:dyDescent="0.25">
      <c r="A334">
        <v>6</v>
      </c>
      <c r="B334" t="s">
        <v>167</v>
      </c>
      <c r="C334" t="str">
        <f>HYPERLINK("http://www.ncbi.nlm.nih.gov/protein/NXA05249.1","NXA05249.1")</f>
        <v>NXA05249.1</v>
      </c>
      <c r="D334">
        <v>13903</v>
      </c>
      <c r="E334" t="str">
        <f>HYPERLINK("http://www.ncbi.nlm.nih.gov/Taxonomy/Browser/wwwtax.cgi?mode=Info&amp;id=239371&amp;lvl=3&amp;lin=f&amp;keep=1&amp;srchmode=1&amp;unlock","239371")</f>
        <v>239371</v>
      </c>
      <c r="F334" t="s">
        <v>167</v>
      </c>
      <c r="G334" t="str">
        <f>HYPERLINK("http://www.ncbi.nlm.nih.gov/Taxonomy/Browser/wwwtax.cgi?mode=Info&amp;id=239371&amp;lvl=3&amp;lin=f&amp;keep=1&amp;srchmode=1&amp;unlock","Sapayoa aenigma")</f>
        <v>Sapayoa aenigma</v>
      </c>
      <c r="H334" t="s">
        <v>360</v>
      </c>
      <c r="I334" t="str">
        <f>HYPERLINK("http://www.ncbi.nlm.nih.gov/protein/NXA05249.1","ANDR protein")</f>
        <v>ANDR protein</v>
      </c>
      <c r="J334" t="s">
        <v>1323</v>
      </c>
      <c r="K334" t="s">
        <v>20</v>
      </c>
      <c r="L334">
        <v>209</v>
      </c>
      <c r="M334" t="s">
        <v>25</v>
      </c>
      <c r="N334" t="s">
        <v>20</v>
      </c>
      <c r="O334">
        <v>215</v>
      </c>
      <c r="P334" t="s">
        <v>1313</v>
      </c>
      <c r="Q334" t="s">
        <v>20</v>
      </c>
      <c r="R334">
        <v>256</v>
      </c>
      <c r="S334" t="s">
        <v>1314</v>
      </c>
      <c r="T334" t="s">
        <v>20</v>
      </c>
      <c r="U334">
        <v>381</v>
      </c>
      <c r="V334" t="s">
        <v>1315</v>
      </c>
      <c r="W334" t="s">
        <v>20</v>
      </c>
    </row>
    <row r="335" spans="1:23" x14ac:dyDescent="0.25">
      <c r="A335">
        <v>6</v>
      </c>
      <c r="B335" t="s">
        <v>167</v>
      </c>
      <c r="C335" t="str">
        <f>HYPERLINK("http://www.ncbi.nlm.nih.gov/protein/NXQ07008.1","NXQ07008.1")</f>
        <v>NXQ07008.1</v>
      </c>
      <c r="D335">
        <v>13115</v>
      </c>
      <c r="E335" t="str">
        <f>HYPERLINK("http://www.ncbi.nlm.nih.gov/Taxonomy/Browser/wwwtax.cgi?mode=Info&amp;id=187451&amp;lvl=3&amp;lin=f&amp;keep=1&amp;srchmode=1&amp;unlock","187451")</f>
        <v>187451</v>
      </c>
      <c r="F335" t="s">
        <v>167</v>
      </c>
      <c r="G335" t="str">
        <f>HYPERLINK("http://www.ncbi.nlm.nih.gov/Taxonomy/Browser/wwwtax.cgi?mode=Info&amp;id=187451&amp;lvl=3&amp;lin=f&amp;keep=1&amp;srchmode=1&amp;unlock","Vidua macroura")</f>
        <v>Vidua macroura</v>
      </c>
      <c r="H335" t="s">
        <v>206</v>
      </c>
      <c r="I335" t="str">
        <f>HYPERLINK("http://www.ncbi.nlm.nih.gov/protein/NXQ07008.1","ANDR protein")</f>
        <v>ANDR protein</v>
      </c>
      <c r="J335" t="s">
        <v>1323</v>
      </c>
      <c r="K335" t="s">
        <v>20</v>
      </c>
      <c r="L335">
        <v>217</v>
      </c>
      <c r="M335" t="s">
        <v>25</v>
      </c>
      <c r="N335" t="s">
        <v>20</v>
      </c>
      <c r="O335">
        <v>223</v>
      </c>
      <c r="P335" t="s">
        <v>1313</v>
      </c>
      <c r="Q335" t="s">
        <v>20</v>
      </c>
      <c r="R335">
        <v>264</v>
      </c>
      <c r="S335" t="s">
        <v>1314</v>
      </c>
      <c r="T335" t="s">
        <v>20</v>
      </c>
      <c r="U335">
        <v>389</v>
      </c>
      <c r="V335" t="s">
        <v>1315</v>
      </c>
      <c r="W335" t="s">
        <v>20</v>
      </c>
    </row>
    <row r="336" spans="1:23" x14ac:dyDescent="0.25">
      <c r="A336">
        <v>6</v>
      </c>
      <c r="B336" t="s">
        <v>167</v>
      </c>
      <c r="C336" t="str">
        <f>HYPERLINK("http://www.ncbi.nlm.nih.gov/protein/PKK20063.1","PKK20063.1")</f>
        <v>PKK20063.1</v>
      </c>
      <c r="D336">
        <v>50935</v>
      </c>
      <c r="E336" t="str">
        <f>HYPERLINK("http://www.ncbi.nlm.nih.gov/Taxonomy/Browser/wwwtax.cgi?mode=Info&amp;id=8932&amp;lvl=3&amp;lin=f&amp;keep=1&amp;srchmode=1&amp;unlock","8932")</f>
        <v>8932</v>
      </c>
      <c r="F336" t="s">
        <v>167</v>
      </c>
      <c r="G336" t="str">
        <f>HYPERLINK("http://www.ncbi.nlm.nih.gov/Taxonomy/Browser/wwwtax.cgi?mode=Info&amp;id=8932&amp;lvl=3&amp;lin=f&amp;keep=1&amp;srchmode=1&amp;unlock","Columba livia")</f>
        <v>Columba livia</v>
      </c>
      <c r="H336" t="s">
        <v>313</v>
      </c>
      <c r="I336" t="str">
        <f>HYPERLINK("http://www.ncbi.nlm.nih.gov/protein/PKK20063.1","androgen receptor")</f>
        <v>androgen receptor</v>
      </c>
      <c r="J336" t="s">
        <v>1323</v>
      </c>
      <c r="K336" t="s">
        <v>20</v>
      </c>
      <c r="L336">
        <v>244</v>
      </c>
      <c r="M336" t="s">
        <v>25</v>
      </c>
      <c r="N336" t="s">
        <v>20</v>
      </c>
      <c r="O336">
        <v>250</v>
      </c>
      <c r="P336" t="s">
        <v>1313</v>
      </c>
      <c r="Q336" t="s">
        <v>20</v>
      </c>
      <c r="R336">
        <v>291</v>
      </c>
      <c r="S336" t="s">
        <v>1314</v>
      </c>
      <c r="T336" t="s">
        <v>20</v>
      </c>
      <c r="U336">
        <v>416</v>
      </c>
      <c r="V336" t="s">
        <v>1315</v>
      </c>
      <c r="W336" t="s">
        <v>20</v>
      </c>
    </row>
    <row r="337" spans="1:23" x14ac:dyDescent="0.25">
      <c r="A337">
        <v>6</v>
      </c>
      <c r="B337" t="s">
        <v>167</v>
      </c>
      <c r="C337" t="str">
        <f>HYPERLINK("http://www.ncbi.nlm.nih.gov/protein/NXQ65688.1","NXQ65688.1")</f>
        <v>NXQ65688.1</v>
      </c>
      <c r="D337">
        <v>13681</v>
      </c>
      <c r="E337" t="str">
        <f>HYPERLINK("http://www.ncbi.nlm.nih.gov/Taxonomy/Browser/wwwtax.cgi?mode=Info&amp;id=64278&amp;lvl=3&amp;lin=f&amp;keep=1&amp;srchmode=1&amp;unlock","64278")</f>
        <v>64278</v>
      </c>
      <c r="F337" t="s">
        <v>167</v>
      </c>
      <c r="G337" t="str">
        <f>HYPERLINK("http://www.ncbi.nlm.nih.gov/Taxonomy/Browser/wwwtax.cgi?mode=Info&amp;id=64278&amp;lvl=3&amp;lin=f&amp;keep=1&amp;srchmode=1&amp;unlock","Quiscalus mexicanus")</f>
        <v>Quiscalus mexicanus</v>
      </c>
      <c r="H337" t="s">
        <v>428</v>
      </c>
      <c r="I337" t="str">
        <f>HYPERLINK("http://www.ncbi.nlm.nih.gov/protein/NXQ65688.1","ANDR protein")</f>
        <v>ANDR protein</v>
      </c>
      <c r="J337" t="s">
        <v>1323</v>
      </c>
      <c r="K337" t="s">
        <v>20</v>
      </c>
      <c r="L337">
        <v>205</v>
      </c>
      <c r="M337" t="s">
        <v>25</v>
      </c>
      <c r="N337" t="s">
        <v>20</v>
      </c>
      <c r="O337">
        <v>211</v>
      </c>
      <c r="P337" t="s">
        <v>1313</v>
      </c>
      <c r="Q337" t="s">
        <v>20</v>
      </c>
      <c r="R337">
        <v>252</v>
      </c>
      <c r="S337" t="s">
        <v>1314</v>
      </c>
      <c r="T337" t="s">
        <v>20</v>
      </c>
      <c r="U337">
        <v>377</v>
      </c>
      <c r="V337" t="s">
        <v>1315</v>
      </c>
      <c r="W337" t="s">
        <v>20</v>
      </c>
    </row>
    <row r="338" spans="1:23" x14ac:dyDescent="0.25">
      <c r="A338">
        <v>6</v>
      </c>
      <c r="B338" t="s">
        <v>167</v>
      </c>
      <c r="C338" t="str">
        <f>HYPERLINK("http://www.ncbi.nlm.nih.gov/protein/NXC43881.1","NXC43881.1")</f>
        <v>NXC43881.1</v>
      </c>
      <c r="D338">
        <v>13966</v>
      </c>
      <c r="E338" t="str">
        <f>HYPERLINK("http://www.ncbi.nlm.nih.gov/Taxonomy/Browser/wwwtax.cgi?mode=Info&amp;id=1118817&amp;lvl=3&amp;lin=f&amp;keep=1&amp;srchmode=1&amp;unlock","1118817")</f>
        <v>1118817</v>
      </c>
      <c r="F338" t="s">
        <v>167</v>
      </c>
      <c r="G338" t="str">
        <f>HYPERLINK("http://www.ncbi.nlm.nih.gov/Taxonomy/Browser/wwwtax.cgi?mode=Info&amp;id=1118817&amp;lvl=3&amp;lin=f&amp;keep=1&amp;srchmode=1&amp;unlock","Penelope pileata")</f>
        <v>Penelope pileata</v>
      </c>
      <c r="H338" t="s">
        <v>267</v>
      </c>
      <c r="I338" t="str">
        <f>HYPERLINK("http://www.ncbi.nlm.nih.gov/protein/NXC43881.1","ANDR protein")</f>
        <v>ANDR protein</v>
      </c>
      <c r="J338" t="s">
        <v>1323</v>
      </c>
      <c r="K338" t="s">
        <v>20</v>
      </c>
      <c r="L338">
        <v>246</v>
      </c>
      <c r="M338" t="s">
        <v>25</v>
      </c>
      <c r="N338" t="s">
        <v>20</v>
      </c>
      <c r="O338">
        <v>252</v>
      </c>
      <c r="P338" t="s">
        <v>1313</v>
      </c>
      <c r="Q338" t="s">
        <v>20</v>
      </c>
      <c r="R338">
        <v>293</v>
      </c>
      <c r="S338" t="s">
        <v>1314</v>
      </c>
      <c r="T338" t="s">
        <v>20</v>
      </c>
      <c r="U338">
        <v>418</v>
      </c>
      <c r="V338" t="s">
        <v>1315</v>
      </c>
      <c r="W338" t="s">
        <v>20</v>
      </c>
    </row>
    <row r="339" spans="1:23" x14ac:dyDescent="0.25">
      <c r="A339">
        <v>6</v>
      </c>
      <c r="B339" t="s">
        <v>167</v>
      </c>
      <c r="C339" t="str">
        <f>HYPERLINK("http://www.ncbi.nlm.nih.gov/protein/NXL35044.1","NXL35044.1")</f>
        <v>NXL35044.1</v>
      </c>
      <c r="D339">
        <v>14261</v>
      </c>
      <c r="E339" t="str">
        <f>HYPERLINK("http://www.ncbi.nlm.nih.gov/Taxonomy/Browser/wwwtax.cgi?mode=Info&amp;id=78217&amp;lvl=3&amp;lin=f&amp;keep=1&amp;srchmode=1&amp;unlock","78217")</f>
        <v>78217</v>
      </c>
      <c r="F339" t="s">
        <v>167</v>
      </c>
      <c r="G339" t="str">
        <f>HYPERLINK("http://www.ncbi.nlm.nih.gov/Taxonomy/Browser/wwwtax.cgi?mode=Info&amp;id=78217&amp;lvl=3&amp;lin=f&amp;keep=1&amp;srchmode=1&amp;unlock","Glaucidium brasilianum")</f>
        <v>Glaucidium brasilianum</v>
      </c>
      <c r="H339" t="s">
        <v>253</v>
      </c>
      <c r="I339" t="str">
        <f>HYPERLINK("http://www.ncbi.nlm.nih.gov/protein/NXL35044.1","ANDR protein")</f>
        <v>ANDR protein</v>
      </c>
      <c r="J339" t="s">
        <v>1323</v>
      </c>
      <c r="K339" t="s">
        <v>20</v>
      </c>
      <c r="L339">
        <v>456</v>
      </c>
      <c r="M339" t="s">
        <v>25</v>
      </c>
      <c r="N339" t="s">
        <v>20</v>
      </c>
      <c r="O339">
        <v>462</v>
      </c>
      <c r="P339" t="s">
        <v>1313</v>
      </c>
      <c r="Q339" t="s">
        <v>20</v>
      </c>
      <c r="R339">
        <v>503</v>
      </c>
      <c r="S339" t="s">
        <v>1314</v>
      </c>
      <c r="T339" t="s">
        <v>20</v>
      </c>
      <c r="U339">
        <v>628</v>
      </c>
      <c r="V339" t="s">
        <v>1315</v>
      </c>
      <c r="W339" t="s">
        <v>20</v>
      </c>
    </row>
    <row r="340" spans="1:23" x14ac:dyDescent="0.25">
      <c r="A340">
        <v>6</v>
      </c>
      <c r="B340" t="s">
        <v>167</v>
      </c>
      <c r="C340" t="str">
        <f>HYPERLINK("http://www.ncbi.nlm.nih.gov/protein/NXD70106.1","NXD70106.1")</f>
        <v>NXD70106.1</v>
      </c>
      <c r="D340">
        <v>13476</v>
      </c>
      <c r="E340" t="str">
        <f>HYPERLINK("http://www.ncbi.nlm.nih.gov/Taxonomy/Browser/wwwtax.cgi?mode=Info&amp;id=176039&amp;lvl=3&amp;lin=f&amp;keep=1&amp;srchmode=1&amp;unlock","176039")</f>
        <v>176039</v>
      </c>
      <c r="F340" t="s">
        <v>167</v>
      </c>
      <c r="G340" t="str">
        <f>HYPERLINK("http://www.ncbi.nlm.nih.gov/Taxonomy/Browser/wwwtax.cgi?mode=Info&amp;id=176039&amp;lvl=3&amp;lin=f&amp;keep=1&amp;srchmode=1&amp;unlock","Eolophus roseicapilla")</f>
        <v>Eolophus roseicapilla</v>
      </c>
      <c r="H340" t="s">
        <v>585</v>
      </c>
      <c r="I340" t="str">
        <f>HYPERLINK("http://www.ncbi.nlm.nih.gov/protein/NXD70106.1","ANDR protein")</f>
        <v>ANDR protein</v>
      </c>
      <c r="J340" t="s">
        <v>1323</v>
      </c>
      <c r="K340" t="s">
        <v>20</v>
      </c>
      <c r="L340">
        <v>426</v>
      </c>
      <c r="M340" t="s">
        <v>25</v>
      </c>
      <c r="N340" t="s">
        <v>20</v>
      </c>
      <c r="O340">
        <v>432</v>
      </c>
      <c r="P340" t="s">
        <v>1313</v>
      </c>
      <c r="Q340" t="s">
        <v>20</v>
      </c>
      <c r="R340">
        <v>473</v>
      </c>
      <c r="S340" t="s">
        <v>1314</v>
      </c>
      <c r="T340" t="s">
        <v>20</v>
      </c>
      <c r="U340">
        <v>598</v>
      </c>
      <c r="V340" t="s">
        <v>1315</v>
      </c>
      <c r="W340" t="s">
        <v>20</v>
      </c>
    </row>
    <row r="341" spans="1:23" x14ac:dyDescent="0.25">
      <c r="A341">
        <v>6</v>
      </c>
      <c r="B341" t="s">
        <v>167</v>
      </c>
      <c r="C341" t="str">
        <f>HYPERLINK("http://www.ncbi.nlm.nih.gov/protein/NWR19752.1","NWR19752.1")</f>
        <v>NWR19752.1</v>
      </c>
      <c r="D341">
        <v>13259</v>
      </c>
      <c r="E341" t="str">
        <f>HYPERLINK("http://www.ncbi.nlm.nih.gov/Taxonomy/Browser/wwwtax.cgi?mode=Info&amp;id=337179&amp;lvl=3&amp;lin=f&amp;keep=1&amp;srchmode=1&amp;unlock","337179")</f>
        <v>337179</v>
      </c>
      <c r="F341" t="s">
        <v>167</v>
      </c>
      <c r="G341" t="str">
        <f>HYPERLINK("http://www.ncbi.nlm.nih.gov/Taxonomy/Browser/wwwtax.cgi?mode=Info&amp;id=337179&amp;lvl=3&amp;lin=f&amp;keep=1&amp;srchmode=1&amp;unlock","Emberiza fucata")</f>
        <v>Emberiza fucata</v>
      </c>
      <c r="H341" t="s">
        <v>429</v>
      </c>
      <c r="I341" t="str">
        <f>HYPERLINK("http://www.ncbi.nlm.nih.gov/protein/NWR19752.1","ANDR protein")</f>
        <v>ANDR protein</v>
      </c>
      <c r="J341" t="s">
        <v>1323</v>
      </c>
      <c r="K341" t="s">
        <v>20</v>
      </c>
      <c r="L341">
        <v>218</v>
      </c>
      <c r="M341" t="s">
        <v>25</v>
      </c>
      <c r="N341" t="s">
        <v>20</v>
      </c>
      <c r="O341">
        <v>224</v>
      </c>
      <c r="P341" t="s">
        <v>1313</v>
      </c>
      <c r="Q341" t="s">
        <v>20</v>
      </c>
      <c r="R341">
        <v>265</v>
      </c>
      <c r="S341" t="s">
        <v>1314</v>
      </c>
      <c r="T341" t="s">
        <v>20</v>
      </c>
      <c r="U341">
        <v>390</v>
      </c>
      <c r="V341" t="s">
        <v>1315</v>
      </c>
      <c r="W341" t="s">
        <v>20</v>
      </c>
    </row>
    <row r="342" spans="1:23" x14ac:dyDescent="0.25">
      <c r="A342">
        <v>6</v>
      </c>
      <c r="B342" t="s">
        <v>167</v>
      </c>
      <c r="C342" t="str">
        <f>HYPERLINK("http://www.ncbi.nlm.nih.gov/protein/NXH04935.1","NXH04935.1")</f>
        <v>NXH04935.1</v>
      </c>
      <c r="D342">
        <v>14012</v>
      </c>
      <c r="E342" t="str">
        <f>HYPERLINK("http://www.ncbi.nlm.nih.gov/Taxonomy/Browser/wwwtax.cgi?mode=Info&amp;id=96539&amp;lvl=3&amp;lin=f&amp;keep=1&amp;srchmode=1&amp;unlock","96539")</f>
        <v>96539</v>
      </c>
      <c r="F342" t="s">
        <v>167</v>
      </c>
      <c r="G342" t="str">
        <f>HYPERLINK("http://www.ncbi.nlm.nih.gov/Taxonomy/Browser/wwwtax.cgi?mode=Info&amp;id=96539&amp;lvl=3&amp;lin=f&amp;keep=1&amp;srchmode=1&amp;unlock","Loxia leucoptera")</f>
        <v>Loxia leucoptera</v>
      </c>
      <c r="H342" t="s">
        <v>456</v>
      </c>
      <c r="I342" t="str">
        <f>HYPERLINK("http://www.ncbi.nlm.nih.gov/protein/NXH04935.1","ANDR protein")</f>
        <v>ANDR protein</v>
      </c>
      <c r="J342" t="s">
        <v>1323</v>
      </c>
      <c r="K342" t="s">
        <v>20</v>
      </c>
      <c r="L342">
        <v>237</v>
      </c>
      <c r="M342" t="s">
        <v>25</v>
      </c>
      <c r="N342" t="s">
        <v>20</v>
      </c>
      <c r="O342">
        <v>243</v>
      </c>
      <c r="P342" t="s">
        <v>1313</v>
      </c>
      <c r="Q342" t="s">
        <v>20</v>
      </c>
      <c r="R342">
        <v>284</v>
      </c>
      <c r="S342" t="s">
        <v>1314</v>
      </c>
      <c r="T342" t="s">
        <v>20</v>
      </c>
      <c r="U342">
        <v>409</v>
      </c>
      <c r="V342" t="s">
        <v>1315</v>
      </c>
      <c r="W342" t="s">
        <v>20</v>
      </c>
    </row>
    <row r="343" spans="1:23" x14ac:dyDescent="0.25">
      <c r="A343">
        <v>6</v>
      </c>
      <c r="B343" t="s">
        <v>167</v>
      </c>
      <c r="C343" t="str">
        <f>HYPERLINK("http://www.ncbi.nlm.nih.gov/protein/NXL45107.1","NXL45107.1")</f>
        <v>NXL45107.1</v>
      </c>
      <c r="D343">
        <v>14232</v>
      </c>
      <c r="E343" t="str">
        <f>HYPERLINK("http://www.ncbi.nlm.nih.gov/Taxonomy/Browser/wwwtax.cgi?mode=Info&amp;id=9252&amp;lvl=3&amp;lin=f&amp;keep=1&amp;srchmode=1&amp;unlock","9252")</f>
        <v>9252</v>
      </c>
      <c r="F343" t="s">
        <v>167</v>
      </c>
      <c r="G343" t="str">
        <f>HYPERLINK("http://www.ncbi.nlm.nih.gov/Taxonomy/Browser/wwwtax.cgi?mode=Info&amp;id=9252&amp;lvl=3&amp;lin=f&amp;keep=1&amp;srchmode=1&amp;unlock","Podilymbus podiceps")</f>
        <v>Podilymbus podiceps</v>
      </c>
      <c r="H343" t="s">
        <v>604</v>
      </c>
      <c r="I343" t="str">
        <f>HYPERLINK("http://www.ncbi.nlm.nih.gov/protein/NXL45107.1","ANDR protein")</f>
        <v>ANDR protein</v>
      </c>
      <c r="J343" t="s">
        <v>1323</v>
      </c>
      <c r="K343" t="s">
        <v>20</v>
      </c>
      <c r="L343">
        <v>242</v>
      </c>
      <c r="M343" t="s">
        <v>25</v>
      </c>
      <c r="N343" t="s">
        <v>20</v>
      </c>
      <c r="O343">
        <v>248</v>
      </c>
      <c r="P343" t="s">
        <v>1313</v>
      </c>
      <c r="Q343" t="s">
        <v>20</v>
      </c>
      <c r="R343">
        <v>289</v>
      </c>
      <c r="S343" t="s">
        <v>1314</v>
      </c>
      <c r="T343" t="s">
        <v>20</v>
      </c>
      <c r="U343">
        <v>414</v>
      </c>
      <c r="V343" t="s">
        <v>1315</v>
      </c>
      <c r="W343" t="s">
        <v>20</v>
      </c>
    </row>
    <row r="344" spans="1:23" x14ac:dyDescent="0.25">
      <c r="A344">
        <v>6</v>
      </c>
      <c r="B344" t="s">
        <v>167</v>
      </c>
      <c r="C344" t="str">
        <f>HYPERLINK("http://www.ncbi.nlm.nih.gov/protein/XP_025910449.1","XP_025910449.1")</f>
        <v>XP_025910449.1</v>
      </c>
      <c r="D344">
        <v>21562</v>
      </c>
      <c r="E344" t="str">
        <f>HYPERLINK("http://www.ncbi.nlm.nih.gov/Taxonomy/Browser/wwwtax.cgi?mode=Info&amp;id=30464&amp;lvl=3&amp;lin=f&amp;keep=1&amp;srchmode=1&amp;unlock","30464")</f>
        <v>30464</v>
      </c>
      <c r="F344" t="s">
        <v>167</v>
      </c>
      <c r="G344" t="str">
        <f>HYPERLINK("http://www.ncbi.nlm.nih.gov/Taxonomy/Browser/wwwtax.cgi?mode=Info&amp;id=30464&amp;lvl=3&amp;lin=f&amp;keep=1&amp;srchmode=1&amp;unlock","Nothoprocta perdicaria")</f>
        <v>Nothoprocta perdicaria</v>
      </c>
      <c r="H344" t="s">
        <v>196</v>
      </c>
      <c r="I344" t="str">
        <f>HYPERLINK("http://www.ncbi.nlm.nih.gov/protein/XP_025910449.1","androgen receptor isoform X2")</f>
        <v>androgen receptor isoform X2</v>
      </c>
      <c r="J344" t="s">
        <v>1323</v>
      </c>
      <c r="K344" t="s">
        <v>20</v>
      </c>
      <c r="L344">
        <v>437</v>
      </c>
      <c r="M344" t="s">
        <v>25</v>
      </c>
      <c r="N344" t="s">
        <v>20</v>
      </c>
      <c r="O344">
        <v>443</v>
      </c>
      <c r="P344" t="s">
        <v>1313</v>
      </c>
      <c r="Q344" t="s">
        <v>20</v>
      </c>
      <c r="R344">
        <v>484</v>
      </c>
      <c r="S344" t="s">
        <v>1314</v>
      </c>
      <c r="T344" t="s">
        <v>20</v>
      </c>
      <c r="U344">
        <v>609</v>
      </c>
      <c r="V344" t="s">
        <v>1315</v>
      </c>
      <c r="W344" t="s">
        <v>20</v>
      </c>
    </row>
    <row r="345" spans="1:23" x14ac:dyDescent="0.25">
      <c r="A345">
        <v>6</v>
      </c>
      <c r="B345" t="s">
        <v>167</v>
      </c>
      <c r="C345" t="str">
        <f>HYPERLINK("http://www.ncbi.nlm.nih.gov/protein/NWI87165.1","NWI87165.1")</f>
        <v>NWI87165.1</v>
      </c>
      <c r="D345">
        <v>13920</v>
      </c>
      <c r="E345" t="str">
        <f>HYPERLINK("http://www.ncbi.nlm.nih.gov/Taxonomy/Browser/wwwtax.cgi?mode=Info&amp;id=9163&amp;lvl=3&amp;lin=f&amp;keep=1&amp;srchmode=1&amp;unlock","9163")</f>
        <v>9163</v>
      </c>
      <c r="F345" t="s">
        <v>167</v>
      </c>
      <c r="G345" t="str">
        <f>HYPERLINK("http://www.ncbi.nlm.nih.gov/Taxonomy/Browser/wwwtax.cgi?mode=Info&amp;id=9163&amp;lvl=3&amp;lin=f&amp;keep=1&amp;srchmode=1&amp;unlock","Pitta sordida")</f>
        <v>Pitta sordida</v>
      </c>
      <c r="H345" t="s">
        <v>452</v>
      </c>
      <c r="I345" t="str">
        <f>HYPERLINK("http://www.ncbi.nlm.nih.gov/protein/NWI87165.1","ANDR protein")</f>
        <v>ANDR protein</v>
      </c>
      <c r="J345" t="s">
        <v>1323</v>
      </c>
      <c r="K345" t="s">
        <v>20</v>
      </c>
      <c r="L345">
        <v>234</v>
      </c>
      <c r="M345" t="s">
        <v>25</v>
      </c>
      <c r="N345" t="s">
        <v>20</v>
      </c>
      <c r="O345">
        <v>240</v>
      </c>
      <c r="P345" t="s">
        <v>1313</v>
      </c>
      <c r="Q345" t="s">
        <v>20</v>
      </c>
      <c r="R345">
        <v>281</v>
      </c>
      <c r="S345" t="s">
        <v>1314</v>
      </c>
      <c r="T345" t="s">
        <v>20</v>
      </c>
      <c r="U345">
        <v>406</v>
      </c>
      <c r="V345" t="s">
        <v>1315</v>
      </c>
      <c r="W345" t="s">
        <v>20</v>
      </c>
    </row>
    <row r="346" spans="1:23" x14ac:dyDescent="0.25">
      <c r="A346">
        <v>6</v>
      </c>
      <c r="B346" t="s">
        <v>167</v>
      </c>
      <c r="C346" t="str">
        <f>HYPERLINK("http://www.ncbi.nlm.nih.gov/protein/NWT34258.1","NWT34258.1")</f>
        <v>NWT34258.1</v>
      </c>
      <c r="D346">
        <v>14099</v>
      </c>
      <c r="E346" t="str">
        <f>HYPERLINK("http://www.ncbi.nlm.nih.gov/Taxonomy/Browser/wwwtax.cgi?mode=Info&amp;id=98964&amp;lvl=3&amp;lin=f&amp;keep=1&amp;srchmode=1&amp;unlock","98964")</f>
        <v>98964</v>
      </c>
      <c r="F346" t="s">
        <v>167</v>
      </c>
      <c r="G346" t="str">
        <f>HYPERLINK("http://www.ncbi.nlm.nih.gov/Taxonomy/Browser/wwwtax.cgi?mode=Info&amp;id=98964&amp;lvl=3&amp;lin=f&amp;keep=1&amp;srchmode=1&amp;unlock","Cardinalis cardinalis")</f>
        <v>Cardinalis cardinalis</v>
      </c>
      <c r="H346" t="s">
        <v>425</v>
      </c>
      <c r="I346" t="str">
        <f>HYPERLINK("http://www.ncbi.nlm.nih.gov/protein/NWT34258.1","ANDR protein")</f>
        <v>ANDR protein</v>
      </c>
      <c r="J346" t="s">
        <v>1323</v>
      </c>
      <c r="K346" t="s">
        <v>20</v>
      </c>
      <c r="L346">
        <v>237</v>
      </c>
      <c r="M346" t="s">
        <v>25</v>
      </c>
      <c r="N346" t="s">
        <v>20</v>
      </c>
      <c r="O346">
        <v>243</v>
      </c>
      <c r="P346" t="s">
        <v>1313</v>
      </c>
      <c r="Q346" t="s">
        <v>20</v>
      </c>
      <c r="R346">
        <v>284</v>
      </c>
      <c r="S346" t="s">
        <v>1314</v>
      </c>
      <c r="T346" t="s">
        <v>20</v>
      </c>
      <c r="U346">
        <v>409</v>
      </c>
      <c r="V346" t="s">
        <v>1315</v>
      </c>
      <c r="W346" t="s">
        <v>20</v>
      </c>
    </row>
    <row r="347" spans="1:23" x14ac:dyDescent="0.25">
      <c r="A347">
        <v>6</v>
      </c>
      <c r="B347" t="s">
        <v>167</v>
      </c>
      <c r="C347" t="str">
        <f>HYPERLINK("http://www.ncbi.nlm.nih.gov/protein/NWH18235.1","NWH18235.1")</f>
        <v>NWH18235.1</v>
      </c>
      <c r="D347">
        <v>13830</v>
      </c>
      <c r="E347" t="str">
        <f>HYPERLINK("http://www.ncbi.nlm.nih.gov/Taxonomy/Browser/wwwtax.cgi?mode=Info&amp;id=9117&amp;lvl=3&amp;lin=f&amp;keep=1&amp;srchmode=1&amp;unlock","9117")</f>
        <v>9117</v>
      </c>
      <c r="F347" t="s">
        <v>167</v>
      </c>
      <c r="G347" t="str">
        <f>HYPERLINK("http://www.ncbi.nlm.nih.gov/Taxonomy/Browser/wwwtax.cgi?mode=Info&amp;id=9117&amp;lvl=3&amp;lin=f&amp;keep=1&amp;srchmode=1&amp;unlock","Grus americana")</f>
        <v>Grus americana</v>
      </c>
      <c r="H347" t="s">
        <v>581</v>
      </c>
      <c r="I347" t="str">
        <f>HYPERLINK("http://www.ncbi.nlm.nih.gov/protein/NWH18235.1","ANDR protein")</f>
        <v>ANDR protein</v>
      </c>
      <c r="J347" t="s">
        <v>1323</v>
      </c>
      <c r="K347" t="s">
        <v>20</v>
      </c>
      <c r="L347">
        <v>193</v>
      </c>
      <c r="M347" t="s">
        <v>25</v>
      </c>
      <c r="N347" t="s">
        <v>20</v>
      </c>
      <c r="O347">
        <v>199</v>
      </c>
      <c r="P347" t="s">
        <v>1313</v>
      </c>
      <c r="Q347" t="s">
        <v>20</v>
      </c>
      <c r="R347">
        <v>240</v>
      </c>
      <c r="S347" t="s">
        <v>1314</v>
      </c>
      <c r="T347" t="s">
        <v>20</v>
      </c>
      <c r="U347">
        <v>365</v>
      </c>
      <c r="V347" t="s">
        <v>1315</v>
      </c>
      <c r="W347" t="s">
        <v>20</v>
      </c>
    </row>
    <row r="348" spans="1:23" x14ac:dyDescent="0.25">
      <c r="A348">
        <v>6</v>
      </c>
      <c r="B348" t="s">
        <v>167</v>
      </c>
      <c r="C348" t="str">
        <f>HYPERLINK("http://www.ncbi.nlm.nih.gov/protein/XP_037264418.1","XP_037264418.1")</f>
        <v>XP_037264418.1</v>
      </c>
      <c r="D348">
        <v>41450</v>
      </c>
      <c r="E348" t="str">
        <f>HYPERLINK("http://www.ncbi.nlm.nih.gov/Taxonomy/Browser/wwwtax.cgi?mode=Info&amp;id=120794&amp;lvl=3&amp;lin=f&amp;keep=1&amp;srchmode=1&amp;unlock","120794")</f>
        <v>120794</v>
      </c>
      <c r="F348" t="s">
        <v>167</v>
      </c>
      <c r="G348" t="str">
        <f>HYPERLINK("http://www.ncbi.nlm.nih.gov/Taxonomy/Browser/wwwtax.cgi?mode=Info&amp;id=120794&amp;lvl=3&amp;lin=f&amp;keep=1&amp;srchmode=1&amp;unlock","Falco rusticolus")</f>
        <v>Falco rusticolus</v>
      </c>
      <c r="H348" t="s">
        <v>437</v>
      </c>
      <c r="I348" t="str">
        <f>HYPERLINK("http://www.ncbi.nlm.nih.gov/protein/XP_037264418.1","androgen receptor")</f>
        <v>androgen receptor</v>
      </c>
      <c r="J348" t="s">
        <v>1323</v>
      </c>
      <c r="K348" t="s">
        <v>20</v>
      </c>
      <c r="L348">
        <v>479</v>
      </c>
      <c r="M348" t="s">
        <v>25</v>
      </c>
      <c r="N348" t="s">
        <v>20</v>
      </c>
      <c r="O348">
        <v>485</v>
      </c>
      <c r="P348" t="s">
        <v>1313</v>
      </c>
      <c r="Q348" t="s">
        <v>20</v>
      </c>
      <c r="R348">
        <v>526</v>
      </c>
      <c r="S348" t="s">
        <v>1314</v>
      </c>
      <c r="T348" t="s">
        <v>20</v>
      </c>
      <c r="U348">
        <v>651</v>
      </c>
      <c r="V348" t="s">
        <v>1315</v>
      </c>
      <c r="W348" t="s">
        <v>20</v>
      </c>
    </row>
    <row r="349" spans="1:23" x14ac:dyDescent="0.25">
      <c r="A349">
        <v>6</v>
      </c>
      <c r="B349" t="s">
        <v>167</v>
      </c>
      <c r="C349" t="str">
        <f>HYPERLINK("http://www.ncbi.nlm.nih.gov/protein/XP_040470686.1","XP_040470686.1")</f>
        <v>XP_040470686.1</v>
      </c>
      <c r="D349">
        <v>41476</v>
      </c>
      <c r="E349" t="str">
        <f>HYPERLINK("http://www.ncbi.nlm.nih.gov/Taxonomy/Browser/wwwtax.cgi?mode=Info&amp;id=148594&amp;lvl=3&amp;lin=f&amp;keep=1&amp;srchmode=1&amp;unlock","148594")</f>
        <v>148594</v>
      </c>
      <c r="F349" t="s">
        <v>167</v>
      </c>
      <c r="G349" t="str">
        <f>HYPERLINK("http://www.ncbi.nlm.nih.gov/Taxonomy/Browser/wwwtax.cgi?mode=Info&amp;id=148594&amp;lvl=3&amp;lin=f&amp;keep=1&amp;srchmode=1&amp;unlock","Falco naumanni")</f>
        <v>Falco naumanni</v>
      </c>
      <c r="H349" t="s">
        <v>433</v>
      </c>
      <c r="I349" t="str">
        <f>HYPERLINK("http://www.ncbi.nlm.nih.gov/protein/XP_040470686.1","androgen receptor")</f>
        <v>androgen receptor</v>
      </c>
      <c r="J349" t="s">
        <v>1323</v>
      </c>
      <c r="K349" t="s">
        <v>20</v>
      </c>
      <c r="L349">
        <v>479</v>
      </c>
      <c r="M349" t="s">
        <v>25</v>
      </c>
      <c r="N349" t="s">
        <v>20</v>
      </c>
      <c r="O349">
        <v>485</v>
      </c>
      <c r="P349" t="s">
        <v>1313</v>
      </c>
      <c r="Q349" t="s">
        <v>20</v>
      </c>
      <c r="R349">
        <v>526</v>
      </c>
      <c r="S349" t="s">
        <v>1314</v>
      </c>
      <c r="T349" t="s">
        <v>20</v>
      </c>
      <c r="U349">
        <v>651</v>
      </c>
      <c r="V349" t="s">
        <v>1315</v>
      </c>
      <c r="W349" t="s">
        <v>20</v>
      </c>
    </row>
    <row r="350" spans="1:23" x14ac:dyDescent="0.25">
      <c r="A350">
        <v>6</v>
      </c>
      <c r="B350" t="s">
        <v>167</v>
      </c>
      <c r="C350" t="str">
        <f>HYPERLINK("http://www.ncbi.nlm.nih.gov/protein/NWH57317.1","NWH57317.1")</f>
        <v>NWH57317.1</v>
      </c>
      <c r="D350">
        <v>13556</v>
      </c>
      <c r="E350" t="str">
        <f>HYPERLINK("http://www.ncbi.nlm.nih.gov/Taxonomy/Browser/wwwtax.cgi?mode=Info&amp;id=8947&amp;lvl=3&amp;lin=f&amp;keep=1&amp;srchmode=1&amp;unlock","8947")</f>
        <v>8947</v>
      </c>
      <c r="F350" t="s">
        <v>167</v>
      </c>
      <c r="G350" t="str">
        <f>HYPERLINK("http://www.ncbi.nlm.nih.gov/Taxonomy/Browser/wwwtax.cgi?mode=Info&amp;id=8947&amp;lvl=3&amp;lin=f&amp;keep=1&amp;srchmode=1&amp;unlock","Geococcyx californianus")</f>
        <v>Geococcyx californianus</v>
      </c>
      <c r="H350" t="s">
        <v>552</v>
      </c>
      <c r="I350" t="str">
        <f>HYPERLINK("http://www.ncbi.nlm.nih.gov/protein/NWH57317.1","ANDR protein")</f>
        <v>ANDR protein</v>
      </c>
      <c r="J350" t="s">
        <v>1323</v>
      </c>
      <c r="K350" t="s">
        <v>20</v>
      </c>
      <c r="L350">
        <v>426</v>
      </c>
      <c r="M350" t="s">
        <v>25</v>
      </c>
      <c r="N350" t="s">
        <v>20</v>
      </c>
      <c r="O350">
        <v>432</v>
      </c>
      <c r="P350" t="s">
        <v>1313</v>
      </c>
      <c r="Q350" t="s">
        <v>20</v>
      </c>
      <c r="R350">
        <v>473</v>
      </c>
      <c r="S350" t="s">
        <v>1314</v>
      </c>
      <c r="T350" t="s">
        <v>20</v>
      </c>
      <c r="U350">
        <v>598</v>
      </c>
      <c r="V350" t="s">
        <v>1315</v>
      </c>
      <c r="W350" t="s">
        <v>20</v>
      </c>
    </row>
    <row r="351" spans="1:23" x14ac:dyDescent="0.25">
      <c r="A351">
        <v>6</v>
      </c>
      <c r="B351" t="s">
        <v>167</v>
      </c>
      <c r="C351" t="str">
        <f>HYPERLINK("http://www.ncbi.nlm.nih.gov/protein/NWR78491.1","NWR78491.1")</f>
        <v>NWR78491.1</v>
      </c>
      <c r="D351">
        <v>14035</v>
      </c>
      <c r="E351" t="str">
        <f>HYPERLINK("http://www.ncbi.nlm.nih.gov/Taxonomy/Browser/wwwtax.cgi?mode=Info&amp;id=1118519&amp;lvl=3&amp;lin=f&amp;keep=1&amp;srchmode=1&amp;unlock","1118519")</f>
        <v>1118519</v>
      </c>
      <c r="F351" t="s">
        <v>167</v>
      </c>
      <c r="G351" t="str">
        <f>HYPERLINK("http://www.ncbi.nlm.nih.gov/Taxonomy/Browser/wwwtax.cgi?mode=Info&amp;id=1118519&amp;lvl=3&amp;lin=f&amp;keep=1&amp;srchmode=1&amp;unlock","Centropus unirufus")</f>
        <v>Centropus unirufus</v>
      </c>
      <c r="H351" t="s">
        <v>303</v>
      </c>
      <c r="I351" t="str">
        <f>HYPERLINK("http://www.ncbi.nlm.nih.gov/protein/NWR78491.1","ANDR protein")</f>
        <v>ANDR protein</v>
      </c>
      <c r="J351" t="s">
        <v>1323</v>
      </c>
      <c r="K351" t="s">
        <v>20</v>
      </c>
      <c r="L351">
        <v>350</v>
      </c>
      <c r="M351" t="s">
        <v>25</v>
      </c>
      <c r="N351" t="s">
        <v>20</v>
      </c>
      <c r="O351">
        <v>356</v>
      </c>
      <c r="P351" t="s">
        <v>1313</v>
      </c>
      <c r="Q351" t="s">
        <v>20</v>
      </c>
      <c r="R351">
        <v>397</v>
      </c>
      <c r="S351" t="s">
        <v>1314</v>
      </c>
      <c r="T351" t="s">
        <v>20</v>
      </c>
      <c r="U351">
        <v>522</v>
      </c>
      <c r="V351" t="s">
        <v>1315</v>
      </c>
      <c r="W351" t="s">
        <v>20</v>
      </c>
    </row>
    <row r="352" spans="1:23" x14ac:dyDescent="0.25">
      <c r="A352">
        <v>6</v>
      </c>
      <c r="B352" t="s">
        <v>167</v>
      </c>
      <c r="C352" t="str">
        <f>HYPERLINK("http://www.ncbi.nlm.nih.gov/protein/NWS32365.1","NWS32365.1")</f>
        <v>NWS32365.1</v>
      </c>
      <c r="D352">
        <v>13635</v>
      </c>
      <c r="E352" t="str">
        <f>HYPERLINK("http://www.ncbi.nlm.nih.gov/Taxonomy/Browser/wwwtax.cgi?mode=Info&amp;id=66707&amp;lvl=3&amp;lin=f&amp;keep=1&amp;srchmode=1&amp;unlock","66707")</f>
        <v>66707</v>
      </c>
      <c r="F352" t="s">
        <v>167</v>
      </c>
      <c r="G352" t="str">
        <f>HYPERLINK("http://www.ncbi.nlm.nih.gov/Taxonomy/Browser/wwwtax.cgi?mode=Info&amp;id=66707&amp;lvl=3&amp;lin=f&amp;keep=1&amp;srchmode=1&amp;unlock","Polioptila caerulea")</f>
        <v>Polioptila caerulea</v>
      </c>
      <c r="H352" t="s">
        <v>206</v>
      </c>
      <c r="I352" t="str">
        <f>HYPERLINK("http://www.ncbi.nlm.nih.gov/protein/NWS32365.1","ANDR protein")</f>
        <v>ANDR protein</v>
      </c>
      <c r="J352" t="s">
        <v>1323</v>
      </c>
      <c r="K352" t="s">
        <v>20</v>
      </c>
      <c r="L352">
        <v>181</v>
      </c>
      <c r="M352" t="s">
        <v>25</v>
      </c>
      <c r="N352" t="s">
        <v>20</v>
      </c>
      <c r="O352">
        <v>187</v>
      </c>
      <c r="P352" t="s">
        <v>1313</v>
      </c>
      <c r="Q352" t="s">
        <v>20</v>
      </c>
      <c r="R352">
        <v>228</v>
      </c>
      <c r="S352" t="s">
        <v>1314</v>
      </c>
      <c r="T352" t="s">
        <v>20</v>
      </c>
      <c r="U352">
        <v>353</v>
      </c>
      <c r="V352" t="s">
        <v>1315</v>
      </c>
      <c r="W352" t="s">
        <v>20</v>
      </c>
    </row>
    <row r="353" spans="1:23" x14ac:dyDescent="0.25">
      <c r="A353">
        <v>6</v>
      </c>
      <c r="B353" t="s">
        <v>167</v>
      </c>
      <c r="C353" t="str">
        <f>HYPERLINK("http://www.ncbi.nlm.nih.gov/protein/NXD80889.1","NXD80889.1")</f>
        <v>NXD80889.1</v>
      </c>
      <c r="D353">
        <v>14290</v>
      </c>
      <c r="E353" t="str">
        <f>HYPERLINK("http://www.ncbi.nlm.nih.gov/Taxonomy/Browser/wwwtax.cgi?mode=Info&amp;id=342381&amp;lvl=3&amp;lin=f&amp;keep=1&amp;srchmode=1&amp;unlock","342381")</f>
        <v>342381</v>
      </c>
      <c r="F353" t="s">
        <v>167</v>
      </c>
      <c r="G353" t="str">
        <f>HYPERLINK("http://www.ncbi.nlm.nih.gov/Taxonomy/Browser/wwwtax.cgi?mode=Info&amp;id=342381&amp;lvl=3&amp;lin=f&amp;keep=1&amp;srchmode=1&amp;unlock","Halcyon senegalensis")</f>
        <v>Halcyon senegalensis</v>
      </c>
      <c r="H353" t="s">
        <v>229</v>
      </c>
      <c r="I353" t="str">
        <f>HYPERLINK("http://www.ncbi.nlm.nih.gov/protein/NXD80889.1","ANDR protein")</f>
        <v>ANDR protein</v>
      </c>
      <c r="J353" t="s">
        <v>1323</v>
      </c>
      <c r="K353" t="s">
        <v>20</v>
      </c>
      <c r="L353">
        <v>168</v>
      </c>
      <c r="M353" t="s">
        <v>25</v>
      </c>
      <c r="N353" t="s">
        <v>20</v>
      </c>
      <c r="O353">
        <v>174</v>
      </c>
      <c r="P353" t="s">
        <v>1313</v>
      </c>
      <c r="Q353" t="s">
        <v>20</v>
      </c>
      <c r="R353">
        <v>215</v>
      </c>
      <c r="S353" t="s">
        <v>1314</v>
      </c>
      <c r="T353" t="s">
        <v>20</v>
      </c>
      <c r="U353">
        <v>340</v>
      </c>
      <c r="V353" t="s">
        <v>1315</v>
      </c>
      <c r="W353" t="s">
        <v>20</v>
      </c>
    </row>
    <row r="354" spans="1:23" x14ac:dyDescent="0.25">
      <c r="A354">
        <v>6</v>
      </c>
      <c r="B354" t="s">
        <v>167</v>
      </c>
      <c r="C354" t="str">
        <f>HYPERLINK("http://www.ncbi.nlm.nih.gov/protein/NWY79368.1","NWY79368.1")</f>
        <v>NWY79368.1</v>
      </c>
      <c r="D354">
        <v>12391</v>
      </c>
      <c r="E354" t="str">
        <f>HYPERLINK("http://www.ncbi.nlm.nih.gov/Taxonomy/Browser/wwwtax.cgi?mode=Info&amp;id=468512&amp;lvl=3&amp;lin=f&amp;keep=1&amp;srchmode=1&amp;unlock","468512")</f>
        <v>468512</v>
      </c>
      <c r="F354" t="s">
        <v>167</v>
      </c>
      <c r="G354" t="str">
        <f>HYPERLINK("http://www.ncbi.nlm.nih.gov/Taxonomy/Browser/wwwtax.cgi?mode=Info&amp;id=468512&amp;lvl=3&amp;lin=f&amp;keep=1&amp;srchmode=1&amp;unlock","Rhegmatorhina hoffmannsi")</f>
        <v>Rhegmatorhina hoffmannsi</v>
      </c>
      <c r="H354" t="s">
        <v>444</v>
      </c>
      <c r="I354" t="str">
        <f>HYPERLINK("http://www.ncbi.nlm.nih.gov/protein/NWY79368.1","ANDR protein")</f>
        <v>ANDR protein</v>
      </c>
      <c r="J354" t="s">
        <v>1323</v>
      </c>
      <c r="K354" t="s">
        <v>20</v>
      </c>
      <c r="L354">
        <v>168</v>
      </c>
      <c r="M354" t="s">
        <v>25</v>
      </c>
      <c r="N354" t="s">
        <v>20</v>
      </c>
      <c r="O354">
        <v>174</v>
      </c>
      <c r="P354" t="s">
        <v>1313</v>
      </c>
      <c r="Q354" t="s">
        <v>20</v>
      </c>
      <c r="R354">
        <v>215</v>
      </c>
      <c r="S354" t="s">
        <v>1314</v>
      </c>
      <c r="T354" t="s">
        <v>20</v>
      </c>
      <c r="U354">
        <v>340</v>
      </c>
      <c r="V354" t="s">
        <v>1315</v>
      </c>
      <c r="W354" t="s">
        <v>20</v>
      </c>
    </row>
    <row r="355" spans="1:23" x14ac:dyDescent="0.25">
      <c r="A355">
        <v>6</v>
      </c>
      <c r="B355" t="s">
        <v>167</v>
      </c>
      <c r="C355" t="str">
        <f>HYPERLINK("http://www.ncbi.nlm.nih.gov/protein/NXH89347.1","NXH89347.1")</f>
        <v>NXH89347.1</v>
      </c>
      <c r="D355">
        <v>13686</v>
      </c>
      <c r="E355" t="str">
        <f>HYPERLINK("http://www.ncbi.nlm.nih.gov/Taxonomy/Browser/wwwtax.cgi?mode=Info&amp;id=2585810&amp;lvl=3&amp;lin=f&amp;keep=1&amp;srchmode=1&amp;unlock","2585810")</f>
        <v>2585810</v>
      </c>
      <c r="F355" t="s">
        <v>167</v>
      </c>
      <c r="G355" t="str">
        <f>HYPERLINK("http://www.ncbi.nlm.nih.gov/Taxonomy/Browser/wwwtax.cgi?mode=Info&amp;id=2585810&amp;lvl=3&amp;lin=f&amp;keep=1&amp;srchmode=1&amp;unlock","Edolisoma coerulescens")</f>
        <v>Edolisoma coerulescens</v>
      </c>
      <c r="H355" t="s">
        <v>987</v>
      </c>
      <c r="I355" t="str">
        <f>HYPERLINK("http://www.ncbi.nlm.nih.gov/protein/NXH89347.1","ANDR protein")</f>
        <v>ANDR protein</v>
      </c>
      <c r="J355" t="s">
        <v>1323</v>
      </c>
      <c r="K355" t="s">
        <v>20</v>
      </c>
      <c r="L355">
        <v>168</v>
      </c>
      <c r="M355" t="s">
        <v>25</v>
      </c>
      <c r="N355" t="s">
        <v>20</v>
      </c>
      <c r="O355">
        <v>174</v>
      </c>
      <c r="P355" t="s">
        <v>1313</v>
      </c>
      <c r="Q355" t="s">
        <v>20</v>
      </c>
      <c r="R355">
        <v>215</v>
      </c>
      <c r="S355" t="s">
        <v>1314</v>
      </c>
      <c r="T355" t="s">
        <v>20</v>
      </c>
      <c r="U355">
        <v>340</v>
      </c>
      <c r="V355" t="s">
        <v>1315</v>
      </c>
      <c r="W355" t="s">
        <v>20</v>
      </c>
    </row>
    <row r="356" spans="1:23" x14ac:dyDescent="0.25">
      <c r="A356">
        <v>6</v>
      </c>
      <c r="B356" t="s">
        <v>167</v>
      </c>
      <c r="C356" t="str">
        <f>HYPERLINK("http://www.ncbi.nlm.nih.gov/protein/NWI75478.1","NWI75478.1")</f>
        <v>NWI75478.1</v>
      </c>
      <c r="D356">
        <v>12349</v>
      </c>
      <c r="E356" t="str">
        <f>HYPERLINK("http://www.ncbi.nlm.nih.gov/Taxonomy/Browser/wwwtax.cgi?mode=Info&amp;id=85069&amp;lvl=3&amp;lin=f&amp;keep=1&amp;srchmode=1&amp;unlock","85069")</f>
        <v>85069</v>
      </c>
      <c r="F356" t="s">
        <v>167</v>
      </c>
      <c r="G356" t="str">
        <f>HYPERLINK("http://www.ncbi.nlm.nih.gov/Taxonomy/Browser/wwwtax.cgi?mode=Info&amp;id=85069&amp;lvl=3&amp;lin=f&amp;keep=1&amp;srchmode=1&amp;unlock","Dryoscopus gambensis")</f>
        <v>Dryoscopus gambensis</v>
      </c>
      <c r="H356" t="s">
        <v>206</v>
      </c>
      <c r="I356" t="str">
        <f>HYPERLINK("http://www.ncbi.nlm.nih.gov/protein/NWI75478.1","ANDR protein")</f>
        <v>ANDR protein</v>
      </c>
      <c r="J356" t="s">
        <v>1323</v>
      </c>
      <c r="K356" t="s">
        <v>20</v>
      </c>
      <c r="L356">
        <v>168</v>
      </c>
      <c r="M356" t="s">
        <v>25</v>
      </c>
      <c r="N356" t="s">
        <v>20</v>
      </c>
      <c r="O356">
        <v>174</v>
      </c>
      <c r="P356" t="s">
        <v>1313</v>
      </c>
      <c r="Q356" t="s">
        <v>20</v>
      </c>
      <c r="R356">
        <v>215</v>
      </c>
      <c r="S356" t="s">
        <v>1314</v>
      </c>
      <c r="T356" t="s">
        <v>20</v>
      </c>
      <c r="U356">
        <v>340</v>
      </c>
      <c r="V356" t="s">
        <v>1315</v>
      </c>
      <c r="W356" t="s">
        <v>20</v>
      </c>
    </row>
    <row r="357" spans="1:23" x14ac:dyDescent="0.25">
      <c r="A357">
        <v>6</v>
      </c>
      <c r="B357" t="s">
        <v>167</v>
      </c>
      <c r="C357" t="str">
        <f>HYPERLINK("http://www.ncbi.nlm.nih.gov/protein/NWH43024.1","NWH43024.1")</f>
        <v>NWH43024.1</v>
      </c>
      <c r="D357">
        <v>13301</v>
      </c>
      <c r="E357" t="str">
        <f>HYPERLINK("http://www.ncbi.nlm.nih.gov/Taxonomy/Browser/wwwtax.cgi?mode=Info&amp;id=37042&amp;lvl=3&amp;lin=f&amp;keep=1&amp;srchmode=1&amp;unlock","37042")</f>
        <v>37042</v>
      </c>
      <c r="F357" t="s">
        <v>167</v>
      </c>
      <c r="G357" t="str">
        <f>HYPERLINK("http://www.ncbi.nlm.nih.gov/Taxonomy/Browser/wwwtax.cgi?mode=Info&amp;id=37042&amp;lvl=3&amp;lin=f&amp;keep=1&amp;srchmode=1&amp;unlock","Fregata magnificens")</f>
        <v>Fregata magnificens</v>
      </c>
      <c r="H357" t="s">
        <v>213</v>
      </c>
      <c r="I357" t="str">
        <f>HYPERLINK("http://www.ncbi.nlm.nih.gov/protein/NWH43024.1","ANDR protein")</f>
        <v>ANDR protein</v>
      </c>
      <c r="J357" t="s">
        <v>1323</v>
      </c>
      <c r="K357" t="s">
        <v>20</v>
      </c>
      <c r="L357">
        <v>168</v>
      </c>
      <c r="M357" t="s">
        <v>25</v>
      </c>
      <c r="N357" t="s">
        <v>20</v>
      </c>
      <c r="O357">
        <v>174</v>
      </c>
      <c r="P357" t="s">
        <v>1313</v>
      </c>
      <c r="Q357" t="s">
        <v>20</v>
      </c>
      <c r="R357">
        <v>215</v>
      </c>
      <c r="S357" t="s">
        <v>1314</v>
      </c>
      <c r="T357" t="s">
        <v>20</v>
      </c>
      <c r="U357">
        <v>340</v>
      </c>
      <c r="V357" t="s">
        <v>1315</v>
      </c>
      <c r="W357" t="s">
        <v>20</v>
      </c>
    </row>
    <row r="358" spans="1:23" x14ac:dyDescent="0.25">
      <c r="A358">
        <v>6</v>
      </c>
      <c r="B358" t="s">
        <v>167</v>
      </c>
      <c r="C358" t="str">
        <f>HYPERLINK("http://www.ncbi.nlm.nih.gov/protein/NWT86496.1","NWT86496.1")</f>
        <v>NWT86496.1</v>
      </c>
      <c r="D358">
        <v>13729</v>
      </c>
      <c r="E358" t="str">
        <f>HYPERLINK("http://www.ncbi.nlm.nih.gov/Taxonomy/Browser/wwwtax.cgi?mode=Info&amp;id=28713&amp;lvl=3&amp;lin=f&amp;keep=1&amp;srchmode=1&amp;unlock","28713")</f>
        <v>28713</v>
      </c>
      <c r="F358" t="s">
        <v>167</v>
      </c>
      <c r="G358" t="str">
        <f>HYPERLINK("http://www.ncbi.nlm.nih.gov/Taxonomy/Browser/wwwtax.cgi?mode=Info&amp;id=28713&amp;lvl=3&amp;lin=f&amp;keep=1&amp;srchmode=1&amp;unlock","Lanius ludovicianus")</f>
        <v>Lanius ludovicianus</v>
      </c>
      <c r="H358" t="s">
        <v>327</v>
      </c>
      <c r="I358" t="str">
        <f>HYPERLINK("http://www.ncbi.nlm.nih.gov/protein/NWT86496.1","ANDR protein")</f>
        <v>ANDR protein</v>
      </c>
      <c r="J358" t="s">
        <v>1323</v>
      </c>
      <c r="K358" t="s">
        <v>20</v>
      </c>
      <c r="L358">
        <v>168</v>
      </c>
      <c r="M358" t="s">
        <v>25</v>
      </c>
      <c r="N358" t="s">
        <v>20</v>
      </c>
      <c r="O358">
        <v>174</v>
      </c>
      <c r="P358" t="s">
        <v>1313</v>
      </c>
      <c r="Q358" t="s">
        <v>20</v>
      </c>
      <c r="R358">
        <v>215</v>
      </c>
      <c r="S358" t="s">
        <v>1314</v>
      </c>
      <c r="T358" t="s">
        <v>20</v>
      </c>
      <c r="U358">
        <v>340</v>
      </c>
      <c r="V358" t="s">
        <v>1315</v>
      </c>
      <c r="W358" t="s">
        <v>20</v>
      </c>
    </row>
    <row r="359" spans="1:23" x14ac:dyDescent="0.25">
      <c r="A359">
        <v>6</v>
      </c>
      <c r="B359" t="s">
        <v>167</v>
      </c>
      <c r="C359" t="str">
        <f>HYPERLINK("http://www.ncbi.nlm.nih.gov/protein/NXI90338.1","NXI90338.1")</f>
        <v>NXI90338.1</v>
      </c>
      <c r="D359">
        <v>13920</v>
      </c>
      <c r="E359" t="str">
        <f>HYPERLINK("http://www.ncbi.nlm.nih.gov/Taxonomy/Browser/wwwtax.cgi?mode=Info&amp;id=54359&amp;lvl=3&amp;lin=f&amp;keep=1&amp;srchmode=1&amp;unlock","54359")</f>
        <v>54359</v>
      </c>
      <c r="F359" t="s">
        <v>167</v>
      </c>
      <c r="G359" t="str">
        <f>HYPERLINK("http://www.ncbi.nlm.nih.gov/Taxonomy/Browser/wwwtax.cgi?mode=Info&amp;id=54359&amp;lvl=3&amp;lin=f&amp;keep=1&amp;srchmode=1&amp;unlock","Psophia crepitans")</f>
        <v>Psophia crepitans</v>
      </c>
      <c r="H359" t="s">
        <v>226</v>
      </c>
      <c r="I359" t="str">
        <f>HYPERLINK("http://www.ncbi.nlm.nih.gov/protein/NXI90338.1","ANDR protein")</f>
        <v>ANDR protein</v>
      </c>
      <c r="J359" t="s">
        <v>1323</v>
      </c>
      <c r="K359" t="s">
        <v>20</v>
      </c>
      <c r="L359">
        <v>168</v>
      </c>
      <c r="M359" t="s">
        <v>25</v>
      </c>
      <c r="N359" t="s">
        <v>20</v>
      </c>
      <c r="O359">
        <v>174</v>
      </c>
      <c r="P359" t="s">
        <v>1313</v>
      </c>
      <c r="Q359" t="s">
        <v>20</v>
      </c>
      <c r="R359">
        <v>215</v>
      </c>
      <c r="S359" t="s">
        <v>1314</v>
      </c>
      <c r="T359" t="s">
        <v>20</v>
      </c>
      <c r="U359">
        <v>340</v>
      </c>
      <c r="V359" t="s">
        <v>1315</v>
      </c>
      <c r="W359" t="s">
        <v>20</v>
      </c>
    </row>
    <row r="360" spans="1:23" x14ac:dyDescent="0.25">
      <c r="A360">
        <v>6</v>
      </c>
      <c r="B360" t="s">
        <v>167</v>
      </c>
      <c r="C360" t="str">
        <f>HYPERLINK("http://www.ncbi.nlm.nih.gov/protein/NXL92296.1","NXL92296.1")</f>
        <v>NXL92296.1</v>
      </c>
      <c r="D360">
        <v>13493</v>
      </c>
      <c r="E360" t="str">
        <f>HYPERLINK("http://www.ncbi.nlm.nih.gov/Taxonomy/Browser/wwwtax.cgi?mode=Info&amp;id=81907&amp;lvl=3&amp;lin=f&amp;keep=1&amp;srchmode=1&amp;unlock","81907")</f>
        <v>81907</v>
      </c>
      <c r="F360" t="s">
        <v>167</v>
      </c>
      <c r="G360" t="str">
        <f>HYPERLINK("http://www.ncbi.nlm.nih.gov/Taxonomy/Browser/wwwtax.cgi?mode=Info&amp;id=81907&amp;lvl=3&amp;lin=f&amp;keep=1&amp;srchmode=1&amp;unlock","Alectura lathami")</f>
        <v>Alectura lathami</v>
      </c>
      <c r="H360" t="s">
        <v>988</v>
      </c>
      <c r="I360" t="str">
        <f>HYPERLINK("http://www.ncbi.nlm.nih.gov/protein/NXL92296.1","ANDR protein")</f>
        <v>ANDR protein</v>
      </c>
      <c r="J360" t="s">
        <v>1323</v>
      </c>
      <c r="K360" t="s">
        <v>20</v>
      </c>
      <c r="L360">
        <v>168</v>
      </c>
      <c r="M360" t="s">
        <v>25</v>
      </c>
      <c r="N360" t="s">
        <v>20</v>
      </c>
      <c r="O360">
        <v>174</v>
      </c>
      <c r="P360" t="s">
        <v>1313</v>
      </c>
      <c r="Q360" t="s">
        <v>20</v>
      </c>
      <c r="R360">
        <v>215</v>
      </c>
      <c r="S360" t="s">
        <v>1314</v>
      </c>
      <c r="T360" t="s">
        <v>20</v>
      </c>
      <c r="U360">
        <v>340</v>
      </c>
      <c r="V360" t="s">
        <v>1315</v>
      </c>
      <c r="W360" t="s">
        <v>20</v>
      </c>
    </row>
    <row r="361" spans="1:23" x14ac:dyDescent="0.25">
      <c r="A361">
        <v>6</v>
      </c>
      <c r="B361" t="s">
        <v>167</v>
      </c>
      <c r="C361" t="str">
        <f>HYPERLINK("http://www.ncbi.nlm.nih.gov/protein/NXR03292.1","NXR03292.1")</f>
        <v>NXR03292.1</v>
      </c>
      <c r="D361">
        <v>12894</v>
      </c>
      <c r="E361" t="str">
        <f>HYPERLINK("http://www.ncbi.nlm.nih.gov/Taxonomy/Browser/wwwtax.cgi?mode=Info&amp;id=56258&amp;lvl=3&amp;lin=f&amp;keep=1&amp;srchmode=1&amp;unlock","56258")</f>
        <v>56258</v>
      </c>
      <c r="F361" t="s">
        <v>167</v>
      </c>
      <c r="G361" t="str">
        <f>HYPERLINK("http://www.ncbi.nlm.nih.gov/Taxonomy/Browser/wwwtax.cgi?mode=Info&amp;id=56258&amp;lvl=3&amp;lin=f&amp;keep=1&amp;srchmode=1&amp;unlock","Sagittarius serpentarius")</f>
        <v>Sagittarius serpentarius</v>
      </c>
      <c r="H361" t="s">
        <v>227</v>
      </c>
      <c r="I361" t="str">
        <f>HYPERLINK("http://www.ncbi.nlm.nih.gov/protein/NXR03292.1","ANDR protein")</f>
        <v>ANDR protein</v>
      </c>
      <c r="J361" t="s">
        <v>1323</v>
      </c>
      <c r="K361" t="s">
        <v>20</v>
      </c>
      <c r="L361">
        <v>168</v>
      </c>
      <c r="M361" t="s">
        <v>25</v>
      </c>
      <c r="N361" t="s">
        <v>20</v>
      </c>
      <c r="O361">
        <v>174</v>
      </c>
      <c r="P361" t="s">
        <v>1313</v>
      </c>
      <c r="Q361" t="s">
        <v>20</v>
      </c>
      <c r="R361">
        <v>215</v>
      </c>
      <c r="S361" t="s">
        <v>1314</v>
      </c>
      <c r="T361" t="s">
        <v>20</v>
      </c>
      <c r="U361">
        <v>340</v>
      </c>
      <c r="V361" t="s">
        <v>1315</v>
      </c>
      <c r="W361" t="s">
        <v>20</v>
      </c>
    </row>
    <row r="362" spans="1:23" x14ac:dyDescent="0.25">
      <c r="A362">
        <v>6</v>
      </c>
      <c r="B362" t="s">
        <v>167</v>
      </c>
      <c r="C362" t="str">
        <f>HYPERLINK("http://www.ncbi.nlm.nih.gov/protein/NWV41644.1","NWV41644.1")</f>
        <v>NWV41644.1</v>
      </c>
      <c r="D362">
        <v>14091</v>
      </c>
      <c r="E362" t="str">
        <f>HYPERLINK("http://www.ncbi.nlm.nih.gov/Taxonomy/Browser/wwwtax.cgi?mode=Info&amp;id=266360&amp;lvl=3&amp;lin=f&amp;keep=1&amp;srchmode=1&amp;unlock","266360")</f>
        <v>266360</v>
      </c>
      <c r="F362" t="s">
        <v>167</v>
      </c>
      <c r="G362" t="str">
        <f>HYPERLINK("http://www.ncbi.nlm.nih.gov/Taxonomy/Browser/wwwtax.cgi?mode=Info&amp;id=266360&amp;lvl=3&amp;lin=f&amp;keep=1&amp;srchmode=1&amp;unlock","Grantiella picta")</f>
        <v>Grantiella picta</v>
      </c>
      <c r="H362" t="s">
        <v>369</v>
      </c>
      <c r="I362" t="str">
        <f>HYPERLINK("http://www.ncbi.nlm.nih.gov/protein/NWV41644.1","ANDR protein")</f>
        <v>ANDR protein</v>
      </c>
      <c r="J362" t="s">
        <v>1323</v>
      </c>
      <c r="K362" t="s">
        <v>20</v>
      </c>
      <c r="L362">
        <v>168</v>
      </c>
      <c r="M362" t="s">
        <v>25</v>
      </c>
      <c r="N362" t="s">
        <v>20</v>
      </c>
      <c r="O362">
        <v>174</v>
      </c>
      <c r="P362" t="s">
        <v>1313</v>
      </c>
      <c r="Q362" t="s">
        <v>20</v>
      </c>
      <c r="R362">
        <v>215</v>
      </c>
      <c r="S362" t="s">
        <v>1314</v>
      </c>
      <c r="T362" t="s">
        <v>20</v>
      </c>
      <c r="U362">
        <v>340</v>
      </c>
      <c r="V362" t="s">
        <v>1315</v>
      </c>
      <c r="W362" t="s">
        <v>20</v>
      </c>
    </row>
    <row r="363" spans="1:23" x14ac:dyDescent="0.25">
      <c r="A363">
        <v>6</v>
      </c>
      <c r="B363" t="s">
        <v>167</v>
      </c>
      <c r="C363" t="str">
        <f>HYPERLINK("http://www.ncbi.nlm.nih.gov/protein/NXF44689.1","NXF44689.1")</f>
        <v>NXF44689.1</v>
      </c>
      <c r="D363">
        <v>14303</v>
      </c>
      <c r="E363" t="str">
        <f>HYPERLINK("http://www.ncbi.nlm.nih.gov/Taxonomy/Browser/wwwtax.cgi?mode=Info&amp;id=79653&amp;lvl=3&amp;lin=f&amp;keep=1&amp;srchmode=1&amp;unlock","79653")</f>
        <v>79653</v>
      </c>
      <c r="F363" t="s">
        <v>167</v>
      </c>
      <c r="G363" t="str">
        <f>HYPERLINK("http://www.ncbi.nlm.nih.gov/Taxonomy/Browser/wwwtax.cgi?mode=Info&amp;id=79653&amp;lvl=3&amp;lin=f&amp;keep=1&amp;srchmode=1&amp;unlock","Oceanites oceanicus")</f>
        <v>Oceanites oceanicus</v>
      </c>
      <c r="H363" t="s">
        <v>222</v>
      </c>
      <c r="I363" t="str">
        <f>HYPERLINK("http://www.ncbi.nlm.nih.gov/protein/NXF44689.1","ANDR protein")</f>
        <v>ANDR protein</v>
      </c>
      <c r="J363" t="s">
        <v>1323</v>
      </c>
      <c r="K363" t="s">
        <v>20</v>
      </c>
      <c r="L363">
        <v>168</v>
      </c>
      <c r="M363" t="s">
        <v>25</v>
      </c>
      <c r="N363" t="s">
        <v>20</v>
      </c>
      <c r="O363">
        <v>174</v>
      </c>
      <c r="P363" t="s">
        <v>1313</v>
      </c>
      <c r="Q363" t="s">
        <v>20</v>
      </c>
      <c r="R363">
        <v>215</v>
      </c>
      <c r="S363" t="s">
        <v>1314</v>
      </c>
      <c r="T363" t="s">
        <v>20</v>
      </c>
      <c r="U363">
        <v>340</v>
      </c>
      <c r="V363" t="s">
        <v>1315</v>
      </c>
      <c r="W363" t="s">
        <v>20</v>
      </c>
    </row>
    <row r="364" spans="1:23" x14ac:dyDescent="0.25">
      <c r="A364">
        <v>6</v>
      </c>
      <c r="B364" t="s">
        <v>167</v>
      </c>
      <c r="C364" t="str">
        <f>HYPERLINK("http://www.ncbi.nlm.nih.gov/protein/NWS20324.1","NWS20324.1")</f>
        <v>NWS20324.1</v>
      </c>
      <c r="D364">
        <v>13757</v>
      </c>
      <c r="E364" t="str">
        <f>HYPERLINK("http://www.ncbi.nlm.nih.gov/Taxonomy/Browser/wwwtax.cgi?mode=Info&amp;id=369605&amp;lvl=3&amp;lin=f&amp;keep=1&amp;srchmode=1&amp;unlock","369605")</f>
        <v>369605</v>
      </c>
      <c r="F364" t="s">
        <v>167</v>
      </c>
      <c r="G364" t="str">
        <f>HYPERLINK("http://www.ncbi.nlm.nih.gov/Taxonomy/Browser/wwwtax.cgi?mode=Info&amp;id=369605&amp;lvl=3&amp;lin=f&amp;keep=1&amp;srchmode=1&amp;unlock","Pachyramphus minor")</f>
        <v>Pachyramphus minor</v>
      </c>
      <c r="H364" t="s">
        <v>206</v>
      </c>
      <c r="I364" t="str">
        <f>HYPERLINK("http://www.ncbi.nlm.nih.gov/protein/NWS20324.1","ANDR protein")</f>
        <v>ANDR protein</v>
      </c>
      <c r="J364" t="s">
        <v>1323</v>
      </c>
      <c r="K364" t="s">
        <v>20</v>
      </c>
      <c r="L364">
        <v>465</v>
      </c>
      <c r="M364" t="s">
        <v>25</v>
      </c>
      <c r="N364" t="s">
        <v>20</v>
      </c>
      <c r="O364">
        <v>471</v>
      </c>
      <c r="P364" t="s">
        <v>1313</v>
      </c>
      <c r="Q364" t="s">
        <v>20</v>
      </c>
      <c r="R364">
        <v>512</v>
      </c>
      <c r="S364" t="s">
        <v>1314</v>
      </c>
      <c r="T364" t="s">
        <v>20</v>
      </c>
      <c r="U364">
        <v>637</v>
      </c>
      <c r="V364" t="s">
        <v>1315</v>
      </c>
      <c r="W364" t="s">
        <v>20</v>
      </c>
    </row>
    <row r="365" spans="1:23" x14ac:dyDescent="0.25">
      <c r="A365">
        <v>6</v>
      </c>
      <c r="B365" t="s">
        <v>167</v>
      </c>
      <c r="C365" t="str">
        <f>HYPERLINK("http://www.ncbi.nlm.nih.gov/protein/NXG18636.1","NXG18636.1")</f>
        <v>NXG18636.1</v>
      </c>
      <c r="D365">
        <v>13957</v>
      </c>
      <c r="E365" t="str">
        <f>HYPERLINK("http://www.ncbi.nlm.nih.gov/Taxonomy/Browser/wwwtax.cgi?mode=Info&amp;id=117165&amp;lvl=3&amp;lin=f&amp;keep=1&amp;srchmode=1&amp;unlock","117165")</f>
        <v>117165</v>
      </c>
      <c r="F365" t="s">
        <v>167</v>
      </c>
      <c r="G365" t="str">
        <f>HYPERLINK("http://www.ncbi.nlm.nih.gov/Taxonomy/Browser/wwwtax.cgi?mode=Info&amp;id=117165&amp;lvl=3&amp;lin=f&amp;keep=1&amp;srchmode=1&amp;unlock","Grallaria varia")</f>
        <v>Grallaria varia</v>
      </c>
      <c r="H365" t="s">
        <v>400</v>
      </c>
      <c r="I365" t="str">
        <f>HYPERLINK("http://www.ncbi.nlm.nih.gov/protein/NXG18636.1","ANDR protein")</f>
        <v>ANDR protein</v>
      </c>
      <c r="J365" t="s">
        <v>1323</v>
      </c>
      <c r="K365" t="s">
        <v>20</v>
      </c>
      <c r="L365">
        <v>168</v>
      </c>
      <c r="M365" t="s">
        <v>25</v>
      </c>
      <c r="N365" t="s">
        <v>20</v>
      </c>
      <c r="O365">
        <v>174</v>
      </c>
      <c r="P365" t="s">
        <v>1313</v>
      </c>
      <c r="Q365" t="s">
        <v>20</v>
      </c>
      <c r="R365">
        <v>215</v>
      </c>
      <c r="S365" t="s">
        <v>1314</v>
      </c>
      <c r="T365" t="s">
        <v>20</v>
      </c>
      <c r="U365">
        <v>340</v>
      </c>
      <c r="V365" t="s">
        <v>1315</v>
      </c>
      <c r="W365" t="s">
        <v>20</v>
      </c>
    </row>
    <row r="366" spans="1:23" x14ac:dyDescent="0.25">
      <c r="A366">
        <v>6</v>
      </c>
      <c r="B366" t="s">
        <v>167</v>
      </c>
      <c r="C366" t="str">
        <f>HYPERLINK("http://www.ncbi.nlm.nih.gov/protein/NWQ82911.1","NWQ82911.1")</f>
        <v>NWQ82911.1</v>
      </c>
      <c r="D366">
        <v>12327</v>
      </c>
      <c r="E366" t="str">
        <f>HYPERLINK("http://www.ncbi.nlm.nih.gov/Taxonomy/Browser/wwwtax.cgi?mode=Info&amp;id=115618&amp;lvl=3&amp;lin=f&amp;keep=1&amp;srchmode=1&amp;unlock","115618")</f>
        <v>115618</v>
      </c>
      <c r="F366" t="s">
        <v>167</v>
      </c>
      <c r="G366" t="str">
        <f>HYPERLINK("http://www.ncbi.nlm.nih.gov/Taxonomy/Browser/wwwtax.cgi?mode=Info&amp;id=115618&amp;lvl=3&amp;lin=f&amp;keep=1&amp;srchmode=1&amp;unlock","Columbina picui")</f>
        <v>Columbina picui</v>
      </c>
      <c r="H366" t="s">
        <v>406</v>
      </c>
      <c r="I366" t="str">
        <f>HYPERLINK("http://www.ncbi.nlm.nih.gov/protein/NWQ82911.1","ANDR protein")</f>
        <v>ANDR protein</v>
      </c>
      <c r="J366" t="s">
        <v>1323</v>
      </c>
      <c r="K366" t="s">
        <v>20</v>
      </c>
      <c r="L366">
        <v>168</v>
      </c>
      <c r="M366" t="s">
        <v>25</v>
      </c>
      <c r="N366" t="s">
        <v>20</v>
      </c>
      <c r="O366">
        <v>174</v>
      </c>
      <c r="P366" t="s">
        <v>1313</v>
      </c>
      <c r="Q366" t="s">
        <v>20</v>
      </c>
      <c r="R366">
        <v>215</v>
      </c>
      <c r="S366" t="s">
        <v>1314</v>
      </c>
      <c r="T366" t="s">
        <v>20</v>
      </c>
      <c r="U366">
        <v>340</v>
      </c>
      <c r="V366" t="s">
        <v>1315</v>
      </c>
      <c r="W366" t="s">
        <v>20</v>
      </c>
    </row>
    <row r="367" spans="1:23" x14ac:dyDescent="0.25">
      <c r="A367">
        <v>6</v>
      </c>
      <c r="B367" t="s">
        <v>167</v>
      </c>
      <c r="C367" t="str">
        <f>HYPERLINK("http://www.ncbi.nlm.nih.gov/protein/NWR08977.1","NWR08977.1")</f>
        <v>NWR08977.1</v>
      </c>
      <c r="D367">
        <v>14772</v>
      </c>
      <c r="E367" t="str">
        <f>HYPERLINK("http://www.ncbi.nlm.nih.gov/Taxonomy/Browser/wwwtax.cgi?mode=Info&amp;id=337173&amp;lvl=3&amp;lin=f&amp;keep=1&amp;srchmode=1&amp;unlock","337173")</f>
        <v>337173</v>
      </c>
      <c r="F367" t="s">
        <v>167</v>
      </c>
      <c r="G367" t="str">
        <f>HYPERLINK("http://www.ncbi.nlm.nih.gov/Taxonomy/Browser/wwwtax.cgi?mode=Info&amp;id=337173&amp;lvl=3&amp;lin=f&amp;keep=1&amp;srchmode=1&amp;unlock","Sinosuthora webbiana")</f>
        <v>Sinosuthora webbiana</v>
      </c>
      <c r="H367" t="s">
        <v>503</v>
      </c>
      <c r="I367" t="str">
        <f>HYPERLINK("http://www.ncbi.nlm.nih.gov/protein/NWR08977.1","ANDR protein")</f>
        <v>ANDR protein</v>
      </c>
      <c r="J367" t="s">
        <v>1323</v>
      </c>
      <c r="K367" t="s">
        <v>20</v>
      </c>
      <c r="L367">
        <v>168</v>
      </c>
      <c r="M367" t="s">
        <v>25</v>
      </c>
      <c r="N367" t="s">
        <v>20</v>
      </c>
      <c r="O367">
        <v>174</v>
      </c>
      <c r="P367" t="s">
        <v>1313</v>
      </c>
      <c r="Q367" t="s">
        <v>20</v>
      </c>
      <c r="R367">
        <v>215</v>
      </c>
      <c r="S367" t="s">
        <v>1314</v>
      </c>
      <c r="T367" t="s">
        <v>20</v>
      </c>
      <c r="U367">
        <v>340</v>
      </c>
      <c r="V367" t="s">
        <v>1315</v>
      </c>
      <c r="W367" t="s">
        <v>20</v>
      </c>
    </row>
    <row r="368" spans="1:23" x14ac:dyDescent="0.25">
      <c r="A368">
        <v>6</v>
      </c>
      <c r="B368" t="s">
        <v>167</v>
      </c>
      <c r="C368" t="str">
        <f>HYPERLINK("http://www.ncbi.nlm.nih.gov/protein/NXV05165.1","NXV05165.1")</f>
        <v>NXV05165.1</v>
      </c>
      <c r="D368">
        <v>14925</v>
      </c>
      <c r="E368" t="str">
        <f>HYPERLINK("http://www.ncbi.nlm.nih.gov/Taxonomy/Browser/wwwtax.cgi?mode=Info&amp;id=68486&amp;lvl=3&amp;lin=f&amp;keep=1&amp;srchmode=1&amp;unlock","68486")</f>
        <v>68486</v>
      </c>
      <c r="F368" t="s">
        <v>167</v>
      </c>
      <c r="G368" t="str">
        <f>HYPERLINK("http://www.ncbi.nlm.nih.gov/Taxonomy/Browser/wwwtax.cgi?mode=Info&amp;id=68486&amp;lvl=3&amp;lin=f&amp;keep=1&amp;srchmode=1&amp;unlock","Cettia cetti")</f>
        <v>Cettia cetti</v>
      </c>
      <c r="H368" t="s">
        <v>395</v>
      </c>
      <c r="I368" t="str">
        <f>HYPERLINK("http://www.ncbi.nlm.nih.gov/protein/NXV05165.1","ANDR protein")</f>
        <v>ANDR protein</v>
      </c>
      <c r="J368" t="s">
        <v>1323</v>
      </c>
      <c r="K368" t="s">
        <v>20</v>
      </c>
      <c r="L368">
        <v>168</v>
      </c>
      <c r="M368" t="s">
        <v>25</v>
      </c>
      <c r="N368" t="s">
        <v>20</v>
      </c>
      <c r="O368">
        <v>174</v>
      </c>
      <c r="P368" t="s">
        <v>1313</v>
      </c>
      <c r="Q368" t="s">
        <v>20</v>
      </c>
      <c r="R368">
        <v>215</v>
      </c>
      <c r="S368" t="s">
        <v>1314</v>
      </c>
      <c r="T368" t="s">
        <v>20</v>
      </c>
      <c r="U368">
        <v>340</v>
      </c>
      <c r="V368" t="s">
        <v>1315</v>
      </c>
      <c r="W368" t="s">
        <v>20</v>
      </c>
    </row>
    <row r="369" spans="1:23" x14ac:dyDescent="0.25">
      <c r="A369">
        <v>6</v>
      </c>
      <c r="B369" t="s">
        <v>167</v>
      </c>
      <c r="C369" t="str">
        <f>HYPERLINK("http://www.ncbi.nlm.nih.gov/protein/NXM14711.1","NXM14711.1")</f>
        <v>NXM14711.1</v>
      </c>
      <c r="D369">
        <v>13548</v>
      </c>
      <c r="E369" t="str">
        <f>HYPERLINK("http://www.ncbi.nlm.nih.gov/Taxonomy/Browser/wwwtax.cgi?mode=Info&amp;id=441696&amp;lvl=3&amp;lin=f&amp;keep=1&amp;srchmode=1&amp;unlock","441696")</f>
        <v>441696</v>
      </c>
      <c r="F369" t="s">
        <v>167</v>
      </c>
      <c r="G369" t="str">
        <f>HYPERLINK("http://www.ncbi.nlm.nih.gov/Taxonomy/Browser/wwwtax.cgi?mode=Info&amp;id=441696&amp;lvl=3&amp;lin=f&amp;keep=1&amp;srchmode=1&amp;unlock","Ploceus nigricollis")</f>
        <v>Ploceus nigricollis</v>
      </c>
      <c r="H369" t="s">
        <v>206</v>
      </c>
      <c r="I369" t="str">
        <f>HYPERLINK("http://www.ncbi.nlm.nih.gov/protein/NXM14711.1","ANDR protein")</f>
        <v>ANDR protein</v>
      </c>
      <c r="J369" t="s">
        <v>1323</v>
      </c>
      <c r="K369" t="s">
        <v>20</v>
      </c>
      <c r="L369">
        <v>168</v>
      </c>
      <c r="M369" t="s">
        <v>25</v>
      </c>
      <c r="N369" t="s">
        <v>20</v>
      </c>
      <c r="O369">
        <v>174</v>
      </c>
      <c r="P369" t="s">
        <v>1313</v>
      </c>
      <c r="Q369" t="s">
        <v>20</v>
      </c>
      <c r="R369">
        <v>215</v>
      </c>
      <c r="S369" t="s">
        <v>1314</v>
      </c>
      <c r="T369" t="s">
        <v>20</v>
      </c>
      <c r="U369">
        <v>340</v>
      </c>
      <c r="V369" t="s">
        <v>1315</v>
      </c>
      <c r="W369" t="s">
        <v>20</v>
      </c>
    </row>
    <row r="370" spans="1:23" x14ac:dyDescent="0.25">
      <c r="A370">
        <v>6</v>
      </c>
      <c r="B370" t="s">
        <v>167</v>
      </c>
      <c r="C370" t="str">
        <f>HYPERLINK("http://www.ncbi.nlm.nih.gov/protein/NXT34331.1","NXT34331.1")</f>
        <v>NXT34331.1</v>
      </c>
      <c r="D370">
        <v>14805</v>
      </c>
      <c r="E370" t="str">
        <f>HYPERLINK("http://www.ncbi.nlm.nih.gov/Taxonomy/Browser/wwwtax.cgi?mode=Info&amp;id=37079&amp;lvl=3&amp;lin=f&amp;keep=1&amp;srchmode=1&amp;unlock","37079")</f>
        <v>37079</v>
      </c>
      <c r="F370" t="s">
        <v>167</v>
      </c>
      <c r="G370" t="str">
        <f>HYPERLINK("http://www.ncbi.nlm.nih.gov/Taxonomy/Browser/wwwtax.cgi?mode=Info&amp;id=37079&amp;lvl=3&amp;lin=f&amp;keep=1&amp;srchmode=1&amp;unlock","Pelecanoides urinatrix")</f>
        <v>Pelecanoides urinatrix</v>
      </c>
      <c r="H370" t="s">
        <v>179</v>
      </c>
      <c r="I370" t="str">
        <f>HYPERLINK("http://www.ncbi.nlm.nih.gov/protein/NXT34331.1","ANDR protein")</f>
        <v>ANDR protein</v>
      </c>
      <c r="J370" t="s">
        <v>1323</v>
      </c>
      <c r="K370" t="s">
        <v>20</v>
      </c>
      <c r="L370">
        <v>168</v>
      </c>
      <c r="M370" t="s">
        <v>25</v>
      </c>
      <c r="N370" t="s">
        <v>20</v>
      </c>
      <c r="O370">
        <v>174</v>
      </c>
      <c r="P370" t="s">
        <v>1313</v>
      </c>
      <c r="Q370" t="s">
        <v>20</v>
      </c>
      <c r="R370">
        <v>215</v>
      </c>
      <c r="S370" t="s">
        <v>1314</v>
      </c>
      <c r="T370" t="s">
        <v>20</v>
      </c>
      <c r="U370">
        <v>340</v>
      </c>
      <c r="V370" t="s">
        <v>1315</v>
      </c>
      <c r="W370" t="s">
        <v>20</v>
      </c>
    </row>
    <row r="371" spans="1:23" x14ac:dyDescent="0.25">
      <c r="A371">
        <v>6</v>
      </c>
      <c r="B371" t="s">
        <v>167</v>
      </c>
      <c r="C371" t="str">
        <f>HYPERLINK("http://www.ncbi.nlm.nih.gov/protein/NWS71072.1","NWS71072.1")</f>
        <v>NWS71072.1</v>
      </c>
      <c r="D371">
        <v>13919</v>
      </c>
      <c r="E371" t="str">
        <f>HYPERLINK("http://www.ncbi.nlm.nih.gov/Taxonomy/Browser/wwwtax.cgi?mode=Info&amp;id=33598&amp;lvl=3&amp;lin=f&amp;keep=1&amp;srchmode=1&amp;unlock","33598")</f>
        <v>33598</v>
      </c>
      <c r="F371" t="s">
        <v>167</v>
      </c>
      <c r="G371" t="str">
        <f>HYPERLINK("http://www.ncbi.nlm.nih.gov/Taxonomy/Browser/wwwtax.cgi?mode=Info&amp;id=33598&amp;lvl=3&amp;lin=f&amp;keep=1&amp;srchmode=1&amp;unlock","Crotophaga sulcirostris")</f>
        <v>Crotophaga sulcirostris</v>
      </c>
      <c r="H371" t="s">
        <v>559</v>
      </c>
      <c r="I371" t="str">
        <f>HYPERLINK("http://www.ncbi.nlm.nih.gov/protein/NWS71072.1","ANDR protein")</f>
        <v>ANDR protein</v>
      </c>
      <c r="J371" t="s">
        <v>1323</v>
      </c>
      <c r="K371" t="s">
        <v>20</v>
      </c>
      <c r="L371">
        <v>168</v>
      </c>
      <c r="M371" t="s">
        <v>25</v>
      </c>
      <c r="N371" t="s">
        <v>20</v>
      </c>
      <c r="O371">
        <v>174</v>
      </c>
      <c r="P371" t="s">
        <v>1313</v>
      </c>
      <c r="Q371" t="s">
        <v>20</v>
      </c>
      <c r="R371">
        <v>215</v>
      </c>
      <c r="S371" t="s">
        <v>1314</v>
      </c>
      <c r="T371" t="s">
        <v>20</v>
      </c>
      <c r="U371">
        <v>340</v>
      </c>
      <c r="V371" t="s">
        <v>1315</v>
      </c>
      <c r="W371" t="s">
        <v>20</v>
      </c>
    </row>
    <row r="372" spans="1:23" x14ac:dyDescent="0.25">
      <c r="A372">
        <v>6</v>
      </c>
      <c r="B372" t="s">
        <v>167</v>
      </c>
      <c r="C372" t="str">
        <f>HYPERLINK("http://www.ncbi.nlm.nih.gov/protein/NXU90185.1","NXU90185.1")</f>
        <v>NXU90185.1</v>
      </c>
      <c r="D372">
        <v>13565</v>
      </c>
      <c r="E372" t="str">
        <f>HYPERLINK("http://www.ncbi.nlm.nih.gov/Taxonomy/Browser/wwwtax.cgi?mode=Info&amp;id=269412&amp;lvl=3&amp;lin=f&amp;keep=1&amp;srchmode=1&amp;unlock","269412")</f>
        <v>269412</v>
      </c>
      <c r="F372" t="s">
        <v>167</v>
      </c>
      <c r="G372" t="str">
        <f>HYPERLINK("http://www.ncbi.nlm.nih.gov/Taxonomy/Browser/wwwtax.cgi?mode=Info&amp;id=269412&amp;lvl=3&amp;lin=f&amp;keep=1&amp;srchmode=1&amp;unlock","Xiphorhynchus elegans")</f>
        <v>Xiphorhynchus elegans</v>
      </c>
      <c r="H372" t="s">
        <v>404</v>
      </c>
      <c r="I372" t="str">
        <f>HYPERLINK("http://www.ncbi.nlm.nih.gov/protein/NXU90185.1","ANDR protein")</f>
        <v>ANDR protein</v>
      </c>
      <c r="J372" t="s">
        <v>1323</v>
      </c>
      <c r="K372" t="s">
        <v>20</v>
      </c>
      <c r="L372">
        <v>168</v>
      </c>
      <c r="M372" t="s">
        <v>25</v>
      </c>
      <c r="N372" t="s">
        <v>20</v>
      </c>
      <c r="O372">
        <v>174</v>
      </c>
      <c r="P372" t="s">
        <v>1313</v>
      </c>
      <c r="Q372" t="s">
        <v>20</v>
      </c>
      <c r="R372">
        <v>215</v>
      </c>
      <c r="S372" t="s">
        <v>1314</v>
      </c>
      <c r="T372" t="s">
        <v>20</v>
      </c>
      <c r="U372">
        <v>340</v>
      </c>
      <c r="V372" t="s">
        <v>1315</v>
      </c>
      <c r="W372" t="s">
        <v>20</v>
      </c>
    </row>
    <row r="373" spans="1:23" x14ac:dyDescent="0.25">
      <c r="A373">
        <v>6</v>
      </c>
      <c r="B373" t="s">
        <v>167</v>
      </c>
      <c r="C373" t="str">
        <f>HYPERLINK("http://www.ncbi.nlm.nih.gov/protein/NXI52087.1","NXI52087.1")</f>
        <v>NXI52087.1</v>
      </c>
      <c r="D373">
        <v>12275</v>
      </c>
      <c r="E373" t="str">
        <f>HYPERLINK("http://www.ncbi.nlm.nih.gov/Taxonomy/Browser/wwwtax.cgi?mode=Info&amp;id=176938&amp;lvl=3&amp;lin=f&amp;keep=1&amp;srchmode=1&amp;unlock","176938")</f>
        <v>176938</v>
      </c>
      <c r="F373" t="s">
        <v>167</v>
      </c>
      <c r="G373" t="str">
        <f>HYPERLINK("http://www.ncbi.nlm.nih.gov/Taxonomy/Browser/wwwtax.cgi?mode=Info&amp;id=176938&amp;lvl=3&amp;lin=f&amp;keep=1&amp;srchmode=1&amp;unlock","Chloroceryle aenea")</f>
        <v>Chloroceryle aenea</v>
      </c>
      <c r="H373" t="s">
        <v>225</v>
      </c>
      <c r="I373" t="str">
        <f>HYPERLINK("http://www.ncbi.nlm.nih.gov/protein/NXI52087.1","ANDR protein")</f>
        <v>ANDR protein</v>
      </c>
      <c r="J373" t="s">
        <v>1323</v>
      </c>
      <c r="K373" t="s">
        <v>20</v>
      </c>
      <c r="L373">
        <v>168</v>
      </c>
      <c r="M373" t="s">
        <v>25</v>
      </c>
      <c r="N373" t="s">
        <v>20</v>
      </c>
      <c r="O373">
        <v>174</v>
      </c>
      <c r="P373" t="s">
        <v>1313</v>
      </c>
      <c r="Q373" t="s">
        <v>20</v>
      </c>
      <c r="R373">
        <v>215</v>
      </c>
      <c r="S373" t="s">
        <v>1314</v>
      </c>
      <c r="T373" t="s">
        <v>20</v>
      </c>
      <c r="U373">
        <v>340</v>
      </c>
      <c r="V373" t="s">
        <v>1315</v>
      </c>
      <c r="W373" t="s">
        <v>20</v>
      </c>
    </row>
    <row r="374" spans="1:23" x14ac:dyDescent="0.25">
      <c r="A374">
        <v>6</v>
      </c>
      <c r="B374" t="s">
        <v>167</v>
      </c>
      <c r="C374" t="str">
        <f>HYPERLINK("http://www.ncbi.nlm.nih.gov/protein/XP_009878987.1","XP_009878987.1")</f>
        <v>XP_009878987.1</v>
      </c>
      <c r="D374">
        <v>30700</v>
      </c>
      <c r="E374" t="str">
        <f>HYPERLINK("http://www.ncbi.nlm.nih.gov/Taxonomy/Browser/wwwtax.cgi?mode=Info&amp;id=50402&amp;lvl=3&amp;lin=f&amp;keep=1&amp;srchmode=1&amp;unlock","50402")</f>
        <v>50402</v>
      </c>
      <c r="F374" t="s">
        <v>167</v>
      </c>
      <c r="G374" t="str">
        <f>HYPERLINK("http://www.ncbi.nlm.nih.gov/Taxonomy/Browser/wwwtax.cgi?mode=Info&amp;id=50402&amp;lvl=3&amp;lin=f&amp;keep=1&amp;srchmode=1&amp;unlock","Charadrius vociferus")</f>
        <v>Charadrius vociferus</v>
      </c>
      <c r="H374" t="s">
        <v>258</v>
      </c>
      <c r="I374" t="str">
        <f>HYPERLINK("http://www.ncbi.nlm.nih.gov/protein/XP_009878987.1","PREDICTED: androgen receptor")</f>
        <v>PREDICTED: androgen receptor</v>
      </c>
      <c r="J374" t="s">
        <v>1323</v>
      </c>
      <c r="K374" t="s">
        <v>20</v>
      </c>
      <c r="L374">
        <v>203</v>
      </c>
      <c r="M374" t="s">
        <v>25</v>
      </c>
      <c r="N374" t="s">
        <v>20</v>
      </c>
      <c r="O374">
        <v>209</v>
      </c>
      <c r="P374" t="s">
        <v>1313</v>
      </c>
      <c r="Q374" t="s">
        <v>20</v>
      </c>
      <c r="R374">
        <v>250</v>
      </c>
      <c r="S374" t="s">
        <v>1314</v>
      </c>
      <c r="T374" t="s">
        <v>20</v>
      </c>
      <c r="U374">
        <v>375</v>
      </c>
      <c r="V374" t="s">
        <v>1315</v>
      </c>
      <c r="W374" t="s">
        <v>20</v>
      </c>
    </row>
    <row r="375" spans="1:23" x14ac:dyDescent="0.25">
      <c r="A375">
        <v>6</v>
      </c>
      <c r="B375" t="s">
        <v>167</v>
      </c>
      <c r="C375" t="str">
        <f>HYPERLINK("http://www.ncbi.nlm.nih.gov/protein/NXP75223.1","NXP75223.1")</f>
        <v>NXP75223.1</v>
      </c>
      <c r="D375">
        <v>14056</v>
      </c>
      <c r="E375" t="str">
        <f>HYPERLINK("http://www.ncbi.nlm.nih.gov/Taxonomy/Browser/wwwtax.cgi?mode=Info&amp;id=322582&amp;lvl=3&amp;lin=f&amp;keep=1&amp;srchmode=1&amp;unlock","322582")</f>
        <v>322582</v>
      </c>
      <c r="F375" t="s">
        <v>167</v>
      </c>
      <c r="G375" t="str">
        <f>HYPERLINK("http://www.ncbi.nlm.nih.gov/Taxonomy/Browser/wwwtax.cgi?mode=Info&amp;id=322582&amp;lvl=3&amp;lin=f&amp;keep=1&amp;srchmode=1&amp;unlock","Ramphastos sulfuratus")</f>
        <v>Ramphastos sulfuratus</v>
      </c>
      <c r="H375" t="s">
        <v>262</v>
      </c>
      <c r="I375" t="str">
        <f>HYPERLINK("http://www.ncbi.nlm.nih.gov/protein/NXP75223.1","ANDR protein")</f>
        <v>ANDR protein</v>
      </c>
      <c r="J375" t="s">
        <v>1323</v>
      </c>
      <c r="K375" t="s">
        <v>20</v>
      </c>
      <c r="L375">
        <v>168</v>
      </c>
      <c r="M375" t="s">
        <v>25</v>
      </c>
      <c r="N375" t="s">
        <v>20</v>
      </c>
      <c r="O375">
        <v>174</v>
      </c>
      <c r="P375" t="s">
        <v>1313</v>
      </c>
      <c r="Q375" t="s">
        <v>20</v>
      </c>
      <c r="R375">
        <v>215</v>
      </c>
      <c r="S375" t="s">
        <v>1314</v>
      </c>
      <c r="T375" t="s">
        <v>20</v>
      </c>
      <c r="U375">
        <v>340</v>
      </c>
      <c r="V375" t="s">
        <v>1315</v>
      </c>
      <c r="W375" t="s">
        <v>20</v>
      </c>
    </row>
    <row r="376" spans="1:23" x14ac:dyDescent="0.25">
      <c r="A376">
        <v>6</v>
      </c>
      <c r="B376" t="s">
        <v>167</v>
      </c>
      <c r="C376" t="str">
        <f>HYPERLINK("http://www.ncbi.nlm.nih.gov/protein/NXC25413.1","NXC25413.1")</f>
        <v>NXC25413.1</v>
      </c>
      <c r="D376">
        <v>14152</v>
      </c>
      <c r="E376" t="str">
        <f>HYPERLINK("http://www.ncbi.nlm.nih.gov/Taxonomy/Browser/wwwtax.cgi?mode=Info&amp;id=190295&amp;lvl=3&amp;lin=f&amp;keep=1&amp;srchmode=1&amp;unlock","190295")</f>
        <v>190295</v>
      </c>
      <c r="F376" t="s">
        <v>167</v>
      </c>
      <c r="G376" t="str">
        <f>HYPERLINK("http://www.ncbi.nlm.nih.gov/Taxonomy/Browser/wwwtax.cgi?mode=Info&amp;id=190295&amp;lvl=3&amp;lin=f&amp;keep=1&amp;srchmode=1&amp;unlock","Campylorhamphus procurvoides")</f>
        <v>Campylorhamphus procurvoides</v>
      </c>
      <c r="H376" t="s">
        <v>206</v>
      </c>
      <c r="I376" t="str">
        <f>HYPERLINK("http://www.ncbi.nlm.nih.gov/protein/NXC25413.1","ANDR protein")</f>
        <v>ANDR protein</v>
      </c>
      <c r="J376" t="s">
        <v>1323</v>
      </c>
      <c r="K376" t="s">
        <v>20</v>
      </c>
      <c r="L376">
        <v>168</v>
      </c>
      <c r="M376" t="s">
        <v>25</v>
      </c>
      <c r="N376" t="s">
        <v>20</v>
      </c>
      <c r="O376">
        <v>174</v>
      </c>
      <c r="P376" t="s">
        <v>1313</v>
      </c>
      <c r="Q376" t="s">
        <v>20</v>
      </c>
      <c r="R376">
        <v>215</v>
      </c>
      <c r="S376" t="s">
        <v>1314</v>
      </c>
      <c r="T376" t="s">
        <v>20</v>
      </c>
      <c r="U376">
        <v>340</v>
      </c>
      <c r="V376" t="s">
        <v>1315</v>
      </c>
      <c r="W376" t="s">
        <v>20</v>
      </c>
    </row>
    <row r="377" spans="1:23" x14ac:dyDescent="0.25">
      <c r="A377">
        <v>6</v>
      </c>
      <c r="B377" t="s">
        <v>167</v>
      </c>
      <c r="C377" t="str">
        <f>HYPERLINK("http://www.ncbi.nlm.nih.gov/protein/NWS59470.1","NWS59470.1")</f>
        <v>NWS59470.1</v>
      </c>
      <c r="D377">
        <v>14433</v>
      </c>
      <c r="E377" t="str">
        <f>HYPERLINK("http://www.ncbi.nlm.nih.gov/Taxonomy/Browser/wwwtax.cgi?mode=Info&amp;id=1352770&amp;lvl=3&amp;lin=f&amp;keep=1&amp;srchmode=1&amp;unlock","1352770")</f>
        <v>1352770</v>
      </c>
      <c r="F377" t="s">
        <v>167</v>
      </c>
      <c r="G377" t="str">
        <f>HYPERLINK("http://www.ncbi.nlm.nih.gov/Taxonomy/Browser/wwwtax.cgi?mode=Info&amp;id=1352770&amp;lvl=3&amp;lin=f&amp;keep=1&amp;srchmode=1&amp;unlock","Chunga burmeisteri")</f>
        <v>Chunga burmeisteri</v>
      </c>
      <c r="H377" t="s">
        <v>279</v>
      </c>
      <c r="I377" t="str">
        <f>HYPERLINK("http://www.ncbi.nlm.nih.gov/protein/NWS59470.1","ANDR protein")</f>
        <v>ANDR protein</v>
      </c>
      <c r="J377" t="s">
        <v>1323</v>
      </c>
      <c r="K377" t="s">
        <v>20</v>
      </c>
      <c r="L377">
        <v>168</v>
      </c>
      <c r="M377" t="s">
        <v>25</v>
      </c>
      <c r="N377" t="s">
        <v>20</v>
      </c>
      <c r="O377">
        <v>174</v>
      </c>
      <c r="P377" t="s">
        <v>1313</v>
      </c>
      <c r="Q377" t="s">
        <v>20</v>
      </c>
      <c r="R377">
        <v>215</v>
      </c>
      <c r="S377" t="s">
        <v>1314</v>
      </c>
      <c r="T377" t="s">
        <v>20</v>
      </c>
      <c r="U377">
        <v>340</v>
      </c>
      <c r="V377" t="s">
        <v>1315</v>
      </c>
      <c r="W377" t="s">
        <v>20</v>
      </c>
    </row>
    <row r="378" spans="1:23" x14ac:dyDescent="0.25">
      <c r="A378">
        <v>6</v>
      </c>
      <c r="B378" t="s">
        <v>167</v>
      </c>
      <c r="C378" t="str">
        <f>HYPERLINK("http://www.ncbi.nlm.nih.gov/protein/NXX93605.1","NXX93605.1")</f>
        <v>NXX93605.1</v>
      </c>
      <c r="D378">
        <v>13206</v>
      </c>
      <c r="E378" t="str">
        <f>HYPERLINK("http://www.ncbi.nlm.nih.gov/Taxonomy/Browser/wwwtax.cgi?mode=Info&amp;id=1463675&amp;lvl=3&amp;lin=f&amp;keep=1&amp;srchmode=1&amp;unlock","1463675")</f>
        <v>1463675</v>
      </c>
      <c r="F378" t="s">
        <v>167</v>
      </c>
      <c r="G378" t="str">
        <f>HYPERLINK("http://www.ncbi.nlm.nih.gov/Taxonomy/Browser/wwwtax.cgi?mode=Info&amp;id=1463675&amp;lvl=3&amp;lin=f&amp;keep=1&amp;srchmode=1&amp;unlock","Centropus bengalensis")</f>
        <v>Centropus bengalensis</v>
      </c>
      <c r="H378" t="s">
        <v>254</v>
      </c>
      <c r="I378" t="str">
        <f>HYPERLINK("http://www.ncbi.nlm.nih.gov/protein/NXX93605.1","ANDR protein")</f>
        <v>ANDR protein</v>
      </c>
      <c r="J378" t="s">
        <v>1323</v>
      </c>
      <c r="K378" t="s">
        <v>20</v>
      </c>
      <c r="L378">
        <v>168</v>
      </c>
      <c r="M378" t="s">
        <v>25</v>
      </c>
      <c r="N378" t="s">
        <v>20</v>
      </c>
      <c r="O378">
        <v>174</v>
      </c>
      <c r="P378" t="s">
        <v>1313</v>
      </c>
      <c r="Q378" t="s">
        <v>20</v>
      </c>
      <c r="R378">
        <v>215</v>
      </c>
      <c r="S378" t="s">
        <v>1314</v>
      </c>
      <c r="T378" t="s">
        <v>20</v>
      </c>
      <c r="U378">
        <v>340</v>
      </c>
      <c r="V378" t="s">
        <v>1315</v>
      </c>
      <c r="W378" t="s">
        <v>20</v>
      </c>
    </row>
    <row r="379" spans="1:23" x14ac:dyDescent="0.25">
      <c r="A379">
        <v>6</v>
      </c>
      <c r="B379" t="s">
        <v>167</v>
      </c>
      <c r="C379" t="str">
        <f>HYPERLINK("http://www.ncbi.nlm.nih.gov/protein/NXF57059.1","NXF57059.1")</f>
        <v>NXF57059.1</v>
      </c>
      <c r="D379">
        <v>13848</v>
      </c>
      <c r="E379" t="str">
        <f>HYPERLINK("http://www.ncbi.nlm.nih.gov/Taxonomy/Browser/wwwtax.cgi?mode=Info&amp;id=1118524&amp;lvl=3&amp;lin=f&amp;keep=1&amp;srchmode=1&amp;unlock","1118524")</f>
        <v>1118524</v>
      </c>
      <c r="F379" t="s">
        <v>167</v>
      </c>
      <c r="G379" t="str">
        <f>HYPERLINK("http://www.ncbi.nlm.nih.gov/Taxonomy/Browser/wwwtax.cgi?mode=Info&amp;id=1118524&amp;lvl=3&amp;lin=f&amp;keep=1&amp;srchmode=1&amp;unlock","Ciccaba nigrolineata")</f>
        <v>Ciccaba nigrolineata</v>
      </c>
      <c r="H379" t="s">
        <v>240</v>
      </c>
      <c r="I379" t="str">
        <f>HYPERLINK("http://www.ncbi.nlm.nih.gov/protein/NXF57059.1","ANDR protein")</f>
        <v>ANDR protein</v>
      </c>
      <c r="J379" t="s">
        <v>1323</v>
      </c>
      <c r="K379" t="s">
        <v>20</v>
      </c>
      <c r="L379">
        <v>168</v>
      </c>
      <c r="M379" t="s">
        <v>25</v>
      </c>
      <c r="N379" t="s">
        <v>20</v>
      </c>
      <c r="O379">
        <v>174</v>
      </c>
      <c r="P379" t="s">
        <v>1313</v>
      </c>
      <c r="Q379" t="s">
        <v>20</v>
      </c>
      <c r="R379">
        <v>215</v>
      </c>
      <c r="S379" t="s">
        <v>1314</v>
      </c>
      <c r="T379" t="s">
        <v>20</v>
      </c>
      <c r="U379">
        <v>340</v>
      </c>
      <c r="V379" t="s">
        <v>1315</v>
      </c>
      <c r="W379" t="s">
        <v>20</v>
      </c>
    </row>
    <row r="380" spans="1:23" x14ac:dyDescent="0.25">
      <c r="A380">
        <v>6</v>
      </c>
      <c r="B380" t="s">
        <v>167</v>
      </c>
      <c r="C380" t="str">
        <f>HYPERLINK("http://www.ncbi.nlm.nih.gov/protein/NXB49906.1","NXB49906.1")</f>
        <v>NXB49906.1</v>
      </c>
      <c r="D380">
        <v>13491</v>
      </c>
      <c r="E380" t="str">
        <f>HYPERLINK("http://www.ncbi.nlm.nih.gov/Taxonomy/Browser/wwwtax.cgi?mode=Info&amp;id=127929&amp;lvl=3&amp;lin=f&amp;keep=1&amp;srchmode=1&amp;unlock","127929")</f>
        <v>127929</v>
      </c>
      <c r="F380" t="s">
        <v>167</v>
      </c>
      <c r="G380" t="str">
        <f>HYPERLINK("http://www.ncbi.nlm.nih.gov/Taxonomy/Browser/wwwtax.cgi?mode=Info&amp;id=127929&amp;lvl=3&amp;lin=f&amp;keep=1&amp;srchmode=1&amp;unlock","Leucopsar rothschildi")</f>
        <v>Leucopsar rothschildi</v>
      </c>
      <c r="H380" t="s">
        <v>354</v>
      </c>
      <c r="I380" t="str">
        <f>HYPERLINK("http://www.ncbi.nlm.nih.gov/protein/NXB49906.1","ANDR protein")</f>
        <v>ANDR protein</v>
      </c>
      <c r="J380" t="s">
        <v>1323</v>
      </c>
      <c r="K380" t="s">
        <v>20</v>
      </c>
      <c r="L380">
        <v>168</v>
      </c>
      <c r="M380" t="s">
        <v>25</v>
      </c>
      <c r="N380" t="s">
        <v>20</v>
      </c>
      <c r="O380">
        <v>174</v>
      </c>
      <c r="P380" t="s">
        <v>1313</v>
      </c>
      <c r="Q380" t="s">
        <v>20</v>
      </c>
      <c r="R380">
        <v>215</v>
      </c>
      <c r="S380" t="s">
        <v>1314</v>
      </c>
      <c r="T380" t="s">
        <v>20</v>
      </c>
      <c r="U380">
        <v>340</v>
      </c>
      <c r="V380" t="s">
        <v>1315</v>
      </c>
      <c r="W380" t="s">
        <v>20</v>
      </c>
    </row>
    <row r="381" spans="1:23" x14ac:dyDescent="0.25">
      <c r="A381">
        <v>6</v>
      </c>
      <c r="B381" t="s">
        <v>167</v>
      </c>
      <c r="C381" t="str">
        <f>HYPERLINK("http://www.ncbi.nlm.nih.gov/protein/XP_005441058.1","XP_005441058.1")</f>
        <v>XP_005441058.1</v>
      </c>
      <c r="D381">
        <v>30432</v>
      </c>
      <c r="E381" t="str">
        <f>HYPERLINK("http://www.ncbi.nlm.nih.gov/Taxonomy/Browser/wwwtax.cgi?mode=Info&amp;id=345164&amp;lvl=3&amp;lin=f&amp;keep=1&amp;srchmode=1&amp;unlock","345164")</f>
        <v>345164</v>
      </c>
      <c r="F381" t="s">
        <v>167</v>
      </c>
      <c r="G381" t="str">
        <f>HYPERLINK("http://www.ncbi.nlm.nih.gov/Taxonomy/Browser/wwwtax.cgi?mode=Info&amp;id=345164&amp;lvl=3&amp;lin=f&amp;keep=1&amp;srchmode=1&amp;unlock","Falco cherrug")</f>
        <v>Falco cherrug</v>
      </c>
      <c r="H381" t="s">
        <v>432</v>
      </c>
      <c r="I381" t="str">
        <f>HYPERLINK("http://www.ncbi.nlm.nih.gov/protein/XP_005441058.1","androgen receptor")</f>
        <v>androgen receptor</v>
      </c>
      <c r="J381" t="s">
        <v>1323</v>
      </c>
      <c r="K381" t="s">
        <v>20</v>
      </c>
      <c r="L381">
        <v>195</v>
      </c>
      <c r="M381" t="s">
        <v>25</v>
      </c>
      <c r="N381" t="s">
        <v>20</v>
      </c>
      <c r="O381">
        <v>201</v>
      </c>
      <c r="P381" t="s">
        <v>1313</v>
      </c>
      <c r="Q381" t="s">
        <v>20</v>
      </c>
      <c r="R381">
        <v>242</v>
      </c>
      <c r="S381" t="s">
        <v>1314</v>
      </c>
      <c r="T381" t="s">
        <v>20</v>
      </c>
      <c r="U381">
        <v>367</v>
      </c>
      <c r="V381" t="s">
        <v>1315</v>
      </c>
      <c r="W381" t="s">
        <v>20</v>
      </c>
    </row>
    <row r="382" spans="1:23" x14ac:dyDescent="0.25">
      <c r="A382">
        <v>6</v>
      </c>
      <c r="B382" t="s">
        <v>167</v>
      </c>
      <c r="C382" t="str">
        <f>HYPERLINK("http://www.ncbi.nlm.nih.gov/protein/NXP57137.1","NXP57137.1")</f>
        <v>NXP57137.1</v>
      </c>
      <c r="D382">
        <v>12587</v>
      </c>
      <c r="E382" t="str">
        <f>HYPERLINK("http://www.ncbi.nlm.nih.gov/Taxonomy/Browser/wwwtax.cgi?mode=Info&amp;id=1218682&amp;lvl=3&amp;lin=f&amp;keep=1&amp;srchmode=1&amp;unlock","1218682")</f>
        <v>1218682</v>
      </c>
      <c r="F382" t="s">
        <v>167</v>
      </c>
      <c r="G382" t="str">
        <f>HYPERLINK("http://www.ncbi.nlm.nih.gov/Taxonomy/Browser/wwwtax.cgi?mode=Info&amp;id=1218682&amp;lvl=3&amp;lin=f&amp;keep=1&amp;srchmode=1&amp;unlock","Chloropsis cyanopogon")</f>
        <v>Chloropsis cyanopogon</v>
      </c>
      <c r="H382" t="s">
        <v>206</v>
      </c>
      <c r="I382" t="str">
        <f>HYPERLINK("http://www.ncbi.nlm.nih.gov/protein/NXP57137.1","ANDR protein")</f>
        <v>ANDR protein</v>
      </c>
      <c r="J382" t="s">
        <v>1323</v>
      </c>
      <c r="K382" t="s">
        <v>20</v>
      </c>
      <c r="L382">
        <v>168</v>
      </c>
      <c r="M382" t="s">
        <v>25</v>
      </c>
      <c r="N382" t="s">
        <v>20</v>
      </c>
      <c r="O382">
        <v>174</v>
      </c>
      <c r="P382" t="s">
        <v>1313</v>
      </c>
      <c r="Q382" t="s">
        <v>20</v>
      </c>
      <c r="R382">
        <v>215</v>
      </c>
      <c r="S382" t="s">
        <v>1314</v>
      </c>
      <c r="T382" t="s">
        <v>20</v>
      </c>
      <c r="U382">
        <v>340</v>
      </c>
      <c r="V382" t="s">
        <v>1315</v>
      </c>
      <c r="W382" t="s">
        <v>20</v>
      </c>
    </row>
    <row r="383" spans="1:23" x14ac:dyDescent="0.25">
      <c r="A383">
        <v>6</v>
      </c>
      <c r="B383" t="s">
        <v>167</v>
      </c>
      <c r="C383" t="str">
        <f>HYPERLINK("http://www.ncbi.nlm.nih.gov/protein/XP_013151847.2","XP_013151847.2")</f>
        <v>XP_013151847.2</v>
      </c>
      <c r="D383">
        <v>31321</v>
      </c>
      <c r="E383" t="str">
        <f>HYPERLINK("http://www.ncbi.nlm.nih.gov/Taxonomy/Browser/wwwtax.cgi?mode=Info&amp;id=8954&amp;lvl=3&amp;lin=f&amp;keep=1&amp;srchmode=1&amp;unlock","8954")</f>
        <v>8954</v>
      </c>
      <c r="F383" t="s">
        <v>167</v>
      </c>
      <c r="G383" t="str">
        <f>HYPERLINK("http://www.ncbi.nlm.nih.gov/Taxonomy/Browser/wwwtax.cgi?mode=Info&amp;id=8954&amp;lvl=3&amp;lin=f&amp;keep=1&amp;srchmode=1&amp;unlock","Falco peregrinus")</f>
        <v>Falco peregrinus</v>
      </c>
      <c r="H383" t="s">
        <v>435</v>
      </c>
      <c r="I383" t="str">
        <f>HYPERLINK("http://www.ncbi.nlm.nih.gov/protein/XP_013151847.2","androgen receptor")</f>
        <v>androgen receptor</v>
      </c>
      <c r="J383" t="s">
        <v>1323</v>
      </c>
      <c r="K383" t="s">
        <v>20</v>
      </c>
      <c r="L383">
        <v>195</v>
      </c>
      <c r="M383" t="s">
        <v>25</v>
      </c>
      <c r="N383" t="s">
        <v>20</v>
      </c>
      <c r="O383">
        <v>201</v>
      </c>
      <c r="P383" t="s">
        <v>1313</v>
      </c>
      <c r="Q383" t="s">
        <v>20</v>
      </c>
      <c r="R383">
        <v>242</v>
      </c>
      <c r="S383" t="s">
        <v>1314</v>
      </c>
      <c r="T383" t="s">
        <v>20</v>
      </c>
      <c r="U383">
        <v>367</v>
      </c>
      <c r="V383" t="s">
        <v>1315</v>
      </c>
      <c r="W383" t="s">
        <v>20</v>
      </c>
    </row>
    <row r="384" spans="1:23" x14ac:dyDescent="0.25">
      <c r="A384">
        <v>6</v>
      </c>
      <c r="B384" t="s">
        <v>167</v>
      </c>
      <c r="C384" t="str">
        <f>HYPERLINK("http://www.ncbi.nlm.nih.gov/protein/NXQ40065.1","NXQ40065.1")</f>
        <v>NXQ40065.1</v>
      </c>
      <c r="D384">
        <v>13978</v>
      </c>
      <c r="E384" t="str">
        <f>HYPERLINK("http://www.ncbi.nlm.nih.gov/Taxonomy/Browser/wwwtax.cgi?mode=Info&amp;id=159581&amp;lvl=3&amp;lin=f&amp;keep=1&amp;srchmode=1&amp;unlock","159581")</f>
        <v>159581</v>
      </c>
      <c r="F384" t="s">
        <v>167</v>
      </c>
      <c r="G384" t="str">
        <f>HYPERLINK("http://www.ncbi.nlm.nih.gov/Taxonomy/Browser/wwwtax.cgi?mode=Info&amp;id=159581&amp;lvl=3&amp;lin=f&amp;keep=1&amp;srchmode=1&amp;unlock","Catharus fuscescens")</f>
        <v>Catharus fuscescens</v>
      </c>
      <c r="H384" t="s">
        <v>661</v>
      </c>
      <c r="I384" t="str">
        <f>HYPERLINK("http://www.ncbi.nlm.nih.gov/protein/NXQ40065.1","ANDR protein")</f>
        <v>ANDR protein</v>
      </c>
      <c r="J384" t="s">
        <v>1323</v>
      </c>
      <c r="K384" t="s">
        <v>20</v>
      </c>
      <c r="L384">
        <v>168</v>
      </c>
      <c r="M384" t="s">
        <v>25</v>
      </c>
      <c r="N384" t="s">
        <v>20</v>
      </c>
      <c r="O384">
        <v>174</v>
      </c>
      <c r="P384" t="s">
        <v>1313</v>
      </c>
      <c r="Q384" t="s">
        <v>20</v>
      </c>
      <c r="R384">
        <v>215</v>
      </c>
      <c r="S384" t="s">
        <v>1314</v>
      </c>
      <c r="T384" t="s">
        <v>20</v>
      </c>
      <c r="U384">
        <v>340</v>
      </c>
      <c r="V384" t="s">
        <v>1315</v>
      </c>
      <c r="W384" t="s">
        <v>20</v>
      </c>
    </row>
    <row r="385" spans="1:23" x14ac:dyDescent="0.25">
      <c r="A385">
        <v>6</v>
      </c>
      <c r="B385" t="s">
        <v>167</v>
      </c>
      <c r="C385" t="str">
        <f>HYPERLINK("http://www.ncbi.nlm.nih.gov/protein/XP_009994935.1","XP_009994935.1")</f>
        <v>XP_009994935.1</v>
      </c>
      <c r="D385">
        <v>29258</v>
      </c>
      <c r="E385" t="str">
        <f>HYPERLINK("http://www.ncbi.nlm.nih.gov/Taxonomy/Browser/wwwtax.cgi?mode=Info&amp;id=8897&amp;lvl=3&amp;lin=f&amp;keep=1&amp;srchmode=1&amp;unlock","8897")</f>
        <v>8897</v>
      </c>
      <c r="F385" t="s">
        <v>167</v>
      </c>
      <c r="G385" t="str">
        <f>HYPERLINK("http://www.ncbi.nlm.nih.gov/Taxonomy/Browser/wwwtax.cgi?mode=Info&amp;id=8897&amp;lvl=3&amp;lin=f&amp;keep=1&amp;srchmode=1&amp;unlock","Chaetura pelagica")</f>
        <v>Chaetura pelagica</v>
      </c>
      <c r="H385" t="s">
        <v>299</v>
      </c>
      <c r="I385" t="str">
        <f>HYPERLINK("http://www.ncbi.nlm.nih.gov/protein/XP_009994935.1","PREDICTED: androgen receptor")</f>
        <v>PREDICTED: androgen receptor</v>
      </c>
      <c r="J385" t="s">
        <v>1323</v>
      </c>
      <c r="K385" t="s">
        <v>20</v>
      </c>
      <c r="L385">
        <v>171</v>
      </c>
      <c r="M385" t="s">
        <v>25</v>
      </c>
      <c r="N385" t="s">
        <v>20</v>
      </c>
      <c r="O385">
        <v>177</v>
      </c>
      <c r="P385" t="s">
        <v>1313</v>
      </c>
      <c r="Q385" t="s">
        <v>20</v>
      </c>
      <c r="R385">
        <v>218</v>
      </c>
      <c r="S385" t="s">
        <v>1314</v>
      </c>
      <c r="T385" t="s">
        <v>20</v>
      </c>
      <c r="U385">
        <v>343</v>
      </c>
      <c r="V385" t="s">
        <v>1315</v>
      </c>
      <c r="W385" t="s">
        <v>20</v>
      </c>
    </row>
    <row r="386" spans="1:23" x14ac:dyDescent="0.25">
      <c r="A386">
        <v>6</v>
      </c>
      <c r="B386" t="s">
        <v>167</v>
      </c>
      <c r="C386" t="str">
        <f>HYPERLINK("http://www.ncbi.nlm.nih.gov/protein/NXE26420.1","NXE26420.1")</f>
        <v>NXE26420.1</v>
      </c>
      <c r="D386">
        <v>13745</v>
      </c>
      <c r="E386" t="str">
        <f>HYPERLINK("http://www.ncbi.nlm.nih.gov/Taxonomy/Browser/wwwtax.cgi?mode=Info&amp;id=89386&amp;lvl=3&amp;lin=f&amp;keep=1&amp;srchmode=1&amp;unlock","89386")</f>
        <v>89386</v>
      </c>
      <c r="F386" t="s">
        <v>167</v>
      </c>
      <c r="G386" t="str">
        <f>HYPERLINK("http://www.ncbi.nlm.nih.gov/Taxonomy/Browser/wwwtax.cgi?mode=Info&amp;id=89386&amp;lvl=3&amp;lin=f&amp;keep=1&amp;srchmode=1&amp;unlock","Ardeotis kori")</f>
        <v>Ardeotis kori</v>
      </c>
      <c r="H386" t="s">
        <v>182</v>
      </c>
      <c r="I386" t="str">
        <f>HYPERLINK("http://www.ncbi.nlm.nih.gov/protein/NXE26420.1","ANDR protein")</f>
        <v>ANDR protein</v>
      </c>
      <c r="J386" t="s">
        <v>1323</v>
      </c>
      <c r="K386" t="s">
        <v>20</v>
      </c>
      <c r="L386">
        <v>168</v>
      </c>
      <c r="M386" t="s">
        <v>25</v>
      </c>
      <c r="N386" t="s">
        <v>20</v>
      </c>
      <c r="O386">
        <v>174</v>
      </c>
      <c r="P386" t="s">
        <v>1313</v>
      </c>
      <c r="Q386" t="s">
        <v>20</v>
      </c>
      <c r="R386">
        <v>215</v>
      </c>
      <c r="S386" t="s">
        <v>1314</v>
      </c>
      <c r="T386" t="s">
        <v>20</v>
      </c>
      <c r="U386">
        <v>340</v>
      </c>
      <c r="V386" t="s">
        <v>1315</v>
      </c>
      <c r="W386" t="s">
        <v>20</v>
      </c>
    </row>
    <row r="387" spans="1:23" x14ac:dyDescent="0.25">
      <c r="A387">
        <v>6</v>
      </c>
      <c r="B387" t="s">
        <v>167</v>
      </c>
      <c r="C387" t="str">
        <f>HYPERLINK("http://www.ncbi.nlm.nih.gov/protein/NXU22430.1","NXU22430.1")</f>
        <v>NXU22430.1</v>
      </c>
      <c r="D387">
        <v>11831</v>
      </c>
      <c r="E387" t="str">
        <f>HYPERLINK("http://www.ncbi.nlm.nih.gov/Taxonomy/Browser/wwwtax.cgi?mode=Info&amp;id=54017&amp;lvl=3&amp;lin=f&amp;keep=1&amp;srchmode=1&amp;unlock","54017")</f>
        <v>54017</v>
      </c>
      <c r="F387" t="s">
        <v>167</v>
      </c>
      <c r="G387" t="str">
        <f>HYPERLINK("http://www.ncbi.nlm.nih.gov/Taxonomy/Browser/wwwtax.cgi?mode=Info&amp;id=54017&amp;lvl=3&amp;lin=f&amp;keep=1&amp;srchmode=1&amp;unlock","Thalassarche chlororhynchos")</f>
        <v>Thalassarche chlororhynchos</v>
      </c>
      <c r="H387" t="s">
        <v>287</v>
      </c>
      <c r="I387" t="str">
        <f>HYPERLINK("http://www.ncbi.nlm.nih.gov/protein/NXU22430.1","ANDR protein")</f>
        <v>ANDR protein</v>
      </c>
      <c r="J387" t="s">
        <v>1323</v>
      </c>
      <c r="K387" t="s">
        <v>20</v>
      </c>
      <c r="L387">
        <v>168</v>
      </c>
      <c r="M387" t="s">
        <v>25</v>
      </c>
      <c r="N387" t="s">
        <v>20</v>
      </c>
      <c r="O387">
        <v>174</v>
      </c>
      <c r="P387" t="s">
        <v>1313</v>
      </c>
      <c r="Q387" t="s">
        <v>20</v>
      </c>
      <c r="R387">
        <v>215</v>
      </c>
      <c r="S387" t="s">
        <v>1314</v>
      </c>
      <c r="T387" t="s">
        <v>20</v>
      </c>
      <c r="U387">
        <v>340</v>
      </c>
      <c r="V387" t="s">
        <v>1315</v>
      </c>
      <c r="W387" t="s">
        <v>20</v>
      </c>
    </row>
    <row r="388" spans="1:23" x14ac:dyDescent="0.25">
      <c r="A388">
        <v>6</v>
      </c>
      <c r="B388" t="s">
        <v>167</v>
      </c>
      <c r="C388" t="str">
        <f>HYPERLINK("http://www.ncbi.nlm.nih.gov/protein/NWV56669.1","NWV56669.1")</f>
        <v>NWV56669.1</v>
      </c>
      <c r="D388">
        <v>13977</v>
      </c>
      <c r="E388" t="str">
        <f>HYPERLINK("http://www.ncbi.nlm.nih.gov/Taxonomy/Browser/wwwtax.cgi?mode=Info&amp;id=254528&amp;lvl=3&amp;lin=f&amp;keep=1&amp;srchmode=1&amp;unlock","254528")</f>
        <v>254528</v>
      </c>
      <c r="F388" t="s">
        <v>167</v>
      </c>
      <c r="G388" t="str">
        <f>HYPERLINK("http://www.ncbi.nlm.nih.gov/Taxonomy/Browser/wwwtax.cgi?mode=Info&amp;id=254528&amp;lvl=3&amp;lin=f&amp;keep=1&amp;srchmode=1&amp;unlock","Daphoenositta chrysoptera")</f>
        <v>Daphoenositta chrysoptera</v>
      </c>
      <c r="H388" t="s">
        <v>280</v>
      </c>
      <c r="I388" t="str">
        <f>HYPERLINK("http://www.ncbi.nlm.nih.gov/protein/NWV56669.1","ANDR protein")</f>
        <v>ANDR protein</v>
      </c>
      <c r="J388" t="s">
        <v>1323</v>
      </c>
      <c r="K388" t="s">
        <v>20</v>
      </c>
      <c r="L388">
        <v>168</v>
      </c>
      <c r="M388" t="s">
        <v>25</v>
      </c>
      <c r="N388" t="s">
        <v>20</v>
      </c>
      <c r="O388">
        <v>174</v>
      </c>
      <c r="P388" t="s">
        <v>1313</v>
      </c>
      <c r="Q388" t="s">
        <v>20</v>
      </c>
      <c r="R388">
        <v>215</v>
      </c>
      <c r="S388" t="s">
        <v>1314</v>
      </c>
      <c r="T388" t="s">
        <v>20</v>
      </c>
      <c r="U388">
        <v>340</v>
      </c>
      <c r="V388" t="s">
        <v>1315</v>
      </c>
      <c r="W388" t="s">
        <v>20</v>
      </c>
    </row>
    <row r="389" spans="1:23" x14ac:dyDescent="0.25">
      <c r="A389">
        <v>6</v>
      </c>
      <c r="B389" t="s">
        <v>167</v>
      </c>
      <c r="C389" t="str">
        <f>HYPERLINK("http://www.ncbi.nlm.nih.gov/protein/NWI54587.1","NWI54587.1")</f>
        <v>NWI54587.1</v>
      </c>
      <c r="D389">
        <v>13255</v>
      </c>
      <c r="E389" t="str">
        <f>HYPERLINK("http://www.ncbi.nlm.nih.gov/Taxonomy/Browser/wwwtax.cgi?mode=Info&amp;id=135972&amp;lvl=3&amp;lin=f&amp;keep=1&amp;srchmode=1&amp;unlock","135972")</f>
        <v>135972</v>
      </c>
      <c r="F389" t="s">
        <v>167</v>
      </c>
      <c r="G389" t="str">
        <f>HYPERLINK("http://www.ncbi.nlm.nih.gov/Taxonomy/Browser/wwwtax.cgi?mode=Info&amp;id=135972&amp;lvl=3&amp;lin=f&amp;keep=1&amp;srchmode=1&amp;unlock","Calyptomena viridis")</f>
        <v>Calyptomena viridis</v>
      </c>
      <c r="H389" t="s">
        <v>441</v>
      </c>
      <c r="I389" t="str">
        <f>HYPERLINK("http://www.ncbi.nlm.nih.gov/protein/NWI54587.1","ANDR protein")</f>
        <v>ANDR protein</v>
      </c>
      <c r="J389" t="s">
        <v>1323</v>
      </c>
      <c r="K389" t="s">
        <v>20</v>
      </c>
      <c r="L389">
        <v>168</v>
      </c>
      <c r="M389" t="s">
        <v>25</v>
      </c>
      <c r="N389" t="s">
        <v>20</v>
      </c>
      <c r="O389">
        <v>174</v>
      </c>
      <c r="P389" t="s">
        <v>1313</v>
      </c>
      <c r="Q389" t="s">
        <v>20</v>
      </c>
      <c r="R389">
        <v>215</v>
      </c>
      <c r="S389" t="s">
        <v>1314</v>
      </c>
      <c r="T389" t="s">
        <v>20</v>
      </c>
      <c r="U389">
        <v>340</v>
      </c>
      <c r="V389" t="s">
        <v>1315</v>
      </c>
      <c r="W389" t="s">
        <v>20</v>
      </c>
    </row>
    <row r="390" spans="1:23" x14ac:dyDescent="0.25">
      <c r="A390">
        <v>6</v>
      </c>
      <c r="B390" t="s">
        <v>167</v>
      </c>
      <c r="C390" t="str">
        <f>HYPERLINK("http://www.ncbi.nlm.nih.gov/protein/XP_013051573.1","XP_013051573.1")</f>
        <v>XP_013051573.1</v>
      </c>
      <c r="D390">
        <v>31837</v>
      </c>
      <c r="E390" t="str">
        <f>HYPERLINK("http://www.ncbi.nlm.nih.gov/Taxonomy/Browser/wwwtax.cgi?mode=Info&amp;id=381198&amp;lvl=3&amp;lin=f&amp;keep=1&amp;srchmode=1&amp;unlock","381198")</f>
        <v>381198</v>
      </c>
      <c r="F390" t="s">
        <v>167</v>
      </c>
      <c r="G390" t="str">
        <f>HYPERLINK("http://www.ncbi.nlm.nih.gov/Taxonomy/Browser/wwwtax.cgi?mode=Info&amp;id=381198&amp;lvl=3&amp;lin=f&amp;keep=1&amp;srchmode=1&amp;unlock","Anser cygnoides domesticus")</f>
        <v>Anser cygnoides domesticus</v>
      </c>
      <c r="H390" t="s">
        <v>276</v>
      </c>
      <c r="I390" t="str">
        <f>HYPERLINK("http://www.ncbi.nlm.nih.gov/protein/XP_013051573.1","PREDICTED: androgen receptor")</f>
        <v>PREDICTED: androgen receptor</v>
      </c>
      <c r="J390" t="s">
        <v>1323</v>
      </c>
      <c r="K390" t="s">
        <v>20</v>
      </c>
      <c r="L390">
        <v>198</v>
      </c>
      <c r="M390" t="s">
        <v>25</v>
      </c>
      <c r="N390" t="s">
        <v>20</v>
      </c>
      <c r="O390">
        <v>204</v>
      </c>
      <c r="P390" t="s">
        <v>1313</v>
      </c>
      <c r="Q390" t="s">
        <v>20</v>
      </c>
      <c r="R390">
        <v>245</v>
      </c>
      <c r="S390" t="s">
        <v>1314</v>
      </c>
      <c r="T390" t="s">
        <v>20</v>
      </c>
      <c r="U390">
        <v>370</v>
      </c>
      <c r="V390" t="s">
        <v>1315</v>
      </c>
      <c r="W390" t="s">
        <v>20</v>
      </c>
    </row>
    <row r="391" spans="1:23" x14ac:dyDescent="0.25">
      <c r="A391">
        <v>6</v>
      </c>
      <c r="B391" t="s">
        <v>167</v>
      </c>
      <c r="C391" t="str">
        <f>HYPERLINK("http://www.ncbi.nlm.nih.gov/protein/NXN04548.1","NXN04548.1")</f>
        <v>NXN04548.1</v>
      </c>
      <c r="D391">
        <v>13617</v>
      </c>
      <c r="E391" t="str">
        <f>HYPERLINK("http://www.ncbi.nlm.nih.gov/Taxonomy/Browser/wwwtax.cgi?mode=Info&amp;id=73324&amp;lvl=3&amp;lin=f&amp;keep=1&amp;srchmode=1&amp;unlock","73324")</f>
        <v>73324</v>
      </c>
      <c r="F391" t="s">
        <v>167</v>
      </c>
      <c r="G391" t="str">
        <f>HYPERLINK("http://www.ncbi.nlm.nih.gov/Taxonomy/Browser/wwwtax.cgi?mode=Info&amp;id=73324&amp;lvl=3&amp;lin=f&amp;keep=1&amp;srchmode=1&amp;unlock","Sylvia borin")</f>
        <v>Sylvia borin</v>
      </c>
      <c r="H391" t="s">
        <v>989</v>
      </c>
      <c r="I391" t="str">
        <f>HYPERLINK("http://www.ncbi.nlm.nih.gov/protein/NXN04548.1","ANDR protein")</f>
        <v>ANDR protein</v>
      </c>
      <c r="J391" t="s">
        <v>1323</v>
      </c>
      <c r="K391" t="s">
        <v>20</v>
      </c>
      <c r="L391">
        <v>168</v>
      </c>
      <c r="M391" t="s">
        <v>25</v>
      </c>
      <c r="N391" t="s">
        <v>20</v>
      </c>
      <c r="O391">
        <v>174</v>
      </c>
      <c r="P391" t="s">
        <v>1313</v>
      </c>
      <c r="Q391" t="s">
        <v>20</v>
      </c>
      <c r="R391">
        <v>215</v>
      </c>
      <c r="S391" t="s">
        <v>1314</v>
      </c>
      <c r="T391" t="s">
        <v>20</v>
      </c>
      <c r="U391">
        <v>340</v>
      </c>
      <c r="V391" t="s">
        <v>1315</v>
      </c>
      <c r="W391" t="s">
        <v>20</v>
      </c>
    </row>
    <row r="392" spans="1:23" x14ac:dyDescent="0.25">
      <c r="A392">
        <v>6</v>
      </c>
      <c r="B392" t="s">
        <v>167</v>
      </c>
      <c r="C392" t="str">
        <f>HYPERLINK("http://www.ncbi.nlm.nih.gov/protein/XP_023781741.1","XP_023781741.1")</f>
        <v>XP_023781741.1</v>
      </c>
      <c r="D392">
        <v>31627</v>
      </c>
      <c r="E392" t="str">
        <f>HYPERLINK("http://www.ncbi.nlm.nih.gov/Taxonomy/Browser/wwwtax.cgi?mode=Info&amp;id=156563&amp;lvl=3&amp;lin=f&amp;keep=1&amp;srchmode=1&amp;unlock","156563")</f>
        <v>156563</v>
      </c>
      <c r="F392" t="s">
        <v>167</v>
      </c>
      <c r="G392" t="str">
        <f>HYPERLINK("http://www.ncbi.nlm.nih.gov/Taxonomy/Browser/wwwtax.cgi?mode=Info&amp;id=156563&amp;lvl=3&amp;lin=f&amp;keep=1&amp;srchmode=1&amp;unlock","Cyanistes caeruleus")</f>
        <v>Cyanistes caeruleus</v>
      </c>
      <c r="H392" t="s">
        <v>455</v>
      </c>
      <c r="I392" t="str">
        <f>HYPERLINK("http://www.ncbi.nlm.nih.gov/protein/XP_023781741.1","androgen receptor")</f>
        <v>androgen receptor</v>
      </c>
      <c r="J392" t="s">
        <v>1323</v>
      </c>
      <c r="K392" t="s">
        <v>20</v>
      </c>
      <c r="L392">
        <v>187</v>
      </c>
      <c r="M392" t="s">
        <v>25</v>
      </c>
      <c r="N392" t="s">
        <v>20</v>
      </c>
      <c r="O392">
        <v>193</v>
      </c>
      <c r="P392" t="s">
        <v>1313</v>
      </c>
      <c r="Q392" t="s">
        <v>20</v>
      </c>
      <c r="R392">
        <v>234</v>
      </c>
      <c r="S392" t="s">
        <v>1314</v>
      </c>
      <c r="T392" t="s">
        <v>20</v>
      </c>
      <c r="U392">
        <v>359</v>
      </c>
      <c r="V392" t="s">
        <v>1315</v>
      </c>
      <c r="W392" t="s">
        <v>20</v>
      </c>
    </row>
    <row r="393" spans="1:23" x14ac:dyDescent="0.25">
      <c r="A393">
        <v>6</v>
      </c>
      <c r="B393" t="s">
        <v>167</v>
      </c>
      <c r="C393" t="str">
        <f>HYPERLINK("http://www.ncbi.nlm.nih.gov/protein/NXJ51229.1","NXJ51229.1")</f>
        <v>NXJ51229.1</v>
      </c>
      <c r="D393">
        <v>14391</v>
      </c>
      <c r="E393" t="str">
        <f>HYPERLINK("http://www.ncbi.nlm.nih.gov/Taxonomy/Browser/wwwtax.cgi?mode=Info&amp;id=252798&amp;lvl=3&amp;lin=f&amp;keep=1&amp;srchmode=1&amp;unlock","252798")</f>
        <v>252798</v>
      </c>
      <c r="F393" t="s">
        <v>167</v>
      </c>
      <c r="G393" t="str">
        <f>HYPERLINK("http://www.ncbi.nlm.nih.gov/Taxonomy/Browser/wwwtax.cgi?mode=Info&amp;id=252798&amp;lvl=3&amp;lin=f&amp;keep=1&amp;srchmode=1&amp;unlock","Spizaetus tyrannus")</f>
        <v>Spizaetus tyrannus</v>
      </c>
      <c r="H393" t="s">
        <v>292</v>
      </c>
      <c r="I393" t="str">
        <f>HYPERLINK("http://www.ncbi.nlm.nih.gov/protein/NXJ51229.1","ANDR protein")</f>
        <v>ANDR protein</v>
      </c>
      <c r="J393" t="s">
        <v>1323</v>
      </c>
      <c r="K393" t="s">
        <v>20</v>
      </c>
      <c r="L393">
        <v>168</v>
      </c>
      <c r="M393" t="s">
        <v>25</v>
      </c>
      <c r="N393" t="s">
        <v>20</v>
      </c>
      <c r="O393">
        <v>174</v>
      </c>
      <c r="P393" t="s">
        <v>1313</v>
      </c>
      <c r="Q393" t="s">
        <v>20</v>
      </c>
      <c r="R393">
        <v>215</v>
      </c>
      <c r="S393" t="s">
        <v>1314</v>
      </c>
      <c r="T393" t="s">
        <v>20</v>
      </c>
      <c r="U393">
        <v>340</v>
      </c>
      <c r="V393" t="s">
        <v>1315</v>
      </c>
      <c r="W393" t="s">
        <v>20</v>
      </c>
    </row>
    <row r="394" spans="1:23" x14ac:dyDescent="0.25">
      <c r="A394">
        <v>6</v>
      </c>
      <c r="B394" t="s">
        <v>167</v>
      </c>
      <c r="C394" t="str">
        <f>HYPERLINK("http://www.ncbi.nlm.nih.gov/protein/NWU71276.1","NWU71276.1")</f>
        <v>NWU71276.1</v>
      </c>
      <c r="D394">
        <v>13883</v>
      </c>
      <c r="E394" t="str">
        <f>HYPERLINK("http://www.ncbi.nlm.nih.gov/Taxonomy/Browser/wwwtax.cgi?mode=Info&amp;id=2585816&amp;lvl=3&amp;lin=f&amp;keep=1&amp;srchmode=1&amp;unlock","2585816")</f>
        <v>2585816</v>
      </c>
      <c r="F394" t="s">
        <v>167</v>
      </c>
      <c r="G394" t="str">
        <f>HYPERLINK("http://www.ncbi.nlm.nih.gov/Taxonomy/Browser/wwwtax.cgi?mode=Info&amp;id=2585816&amp;lvl=3&amp;lin=f&amp;keep=1&amp;srchmode=1&amp;unlock","Pterocles burchelli")</f>
        <v>Pterocles burchelli</v>
      </c>
      <c r="H394" t="s">
        <v>217</v>
      </c>
      <c r="I394" t="str">
        <f>HYPERLINK("http://www.ncbi.nlm.nih.gov/protein/NWU71276.1","ANDR protein")</f>
        <v>ANDR protein</v>
      </c>
      <c r="J394" t="s">
        <v>1323</v>
      </c>
      <c r="K394" t="s">
        <v>20</v>
      </c>
      <c r="L394">
        <v>168</v>
      </c>
      <c r="M394" t="s">
        <v>25</v>
      </c>
      <c r="N394" t="s">
        <v>20</v>
      </c>
      <c r="O394">
        <v>174</v>
      </c>
      <c r="P394" t="s">
        <v>1313</v>
      </c>
      <c r="Q394" t="s">
        <v>20</v>
      </c>
      <c r="R394">
        <v>215</v>
      </c>
      <c r="S394" t="s">
        <v>1314</v>
      </c>
      <c r="T394" t="s">
        <v>20</v>
      </c>
      <c r="U394">
        <v>340</v>
      </c>
      <c r="V394" t="s">
        <v>1315</v>
      </c>
      <c r="W394" t="s">
        <v>20</v>
      </c>
    </row>
    <row r="395" spans="1:23" x14ac:dyDescent="0.25">
      <c r="A395">
        <v>6</v>
      </c>
      <c r="B395" t="s">
        <v>167</v>
      </c>
      <c r="C395" t="str">
        <f>HYPERLINK("http://www.ncbi.nlm.nih.gov/protein/NXM03331.1","NXM03331.1")</f>
        <v>NXM03331.1</v>
      </c>
      <c r="D395">
        <v>13608</v>
      </c>
      <c r="E395" t="str">
        <f>HYPERLINK("http://www.ncbi.nlm.nih.gov/Taxonomy/Browser/wwwtax.cgi?mode=Info&amp;id=137541&amp;lvl=3&amp;lin=f&amp;keep=1&amp;srchmode=1&amp;unlock","137541")</f>
        <v>137541</v>
      </c>
      <c r="F395" t="s">
        <v>167</v>
      </c>
      <c r="G395" t="str">
        <f>HYPERLINK("http://www.ncbi.nlm.nih.gov/Taxonomy/Browser/wwwtax.cgi?mode=Info&amp;id=137541&amp;lvl=3&amp;lin=f&amp;keep=1&amp;srchmode=1&amp;unlock","Tyrannus savana")</f>
        <v>Tyrannus savana</v>
      </c>
      <c r="H395" t="s">
        <v>364</v>
      </c>
      <c r="I395" t="str">
        <f>HYPERLINK("http://www.ncbi.nlm.nih.gov/protein/NXM03331.1","ANDR protein")</f>
        <v>ANDR protein</v>
      </c>
      <c r="J395" t="s">
        <v>1323</v>
      </c>
      <c r="K395" t="s">
        <v>20</v>
      </c>
      <c r="L395">
        <v>473</v>
      </c>
      <c r="M395" t="s">
        <v>25</v>
      </c>
      <c r="N395" t="s">
        <v>20</v>
      </c>
      <c r="O395">
        <v>479</v>
      </c>
      <c r="P395" t="s">
        <v>1313</v>
      </c>
      <c r="Q395" t="s">
        <v>20</v>
      </c>
      <c r="R395">
        <v>520</v>
      </c>
      <c r="S395" t="s">
        <v>1314</v>
      </c>
      <c r="T395" t="s">
        <v>20</v>
      </c>
      <c r="U395">
        <v>645</v>
      </c>
      <c r="V395" t="s">
        <v>1315</v>
      </c>
      <c r="W395" t="s">
        <v>20</v>
      </c>
    </row>
    <row r="396" spans="1:23" x14ac:dyDescent="0.25">
      <c r="A396">
        <v>6</v>
      </c>
      <c r="B396" t="s">
        <v>167</v>
      </c>
      <c r="C396" t="str">
        <f>HYPERLINK("http://www.ncbi.nlm.nih.gov/protein/NXA26693.1","NXA26693.1")</f>
        <v>NXA26693.1</v>
      </c>
      <c r="D396">
        <v>13860</v>
      </c>
      <c r="E396" t="str">
        <f>HYPERLINK("http://www.ncbi.nlm.nih.gov/Taxonomy/Browser/wwwtax.cgi?mode=Info&amp;id=425643&amp;lvl=3&amp;lin=f&amp;keep=1&amp;srchmode=1&amp;unlock","425643")</f>
        <v>425643</v>
      </c>
      <c r="F396" t="s">
        <v>167</v>
      </c>
      <c r="G396" t="str">
        <f>HYPERLINK("http://www.ncbi.nlm.nih.gov/Taxonomy/Browser/wwwtax.cgi?mode=Info&amp;id=425643&amp;lvl=3&amp;lin=f&amp;keep=1&amp;srchmode=1&amp;unlock","Ibidorhyncha struthersii")</f>
        <v>Ibidorhyncha struthersii</v>
      </c>
      <c r="H396" t="s">
        <v>185</v>
      </c>
      <c r="I396" t="str">
        <f>HYPERLINK("http://www.ncbi.nlm.nih.gov/protein/NXA26693.1","ANDR protein")</f>
        <v>ANDR protein</v>
      </c>
      <c r="J396" t="s">
        <v>1323</v>
      </c>
      <c r="K396" t="s">
        <v>20</v>
      </c>
      <c r="L396">
        <v>168</v>
      </c>
      <c r="M396" t="s">
        <v>25</v>
      </c>
      <c r="N396" t="s">
        <v>20</v>
      </c>
      <c r="O396">
        <v>174</v>
      </c>
      <c r="P396" t="s">
        <v>1313</v>
      </c>
      <c r="Q396" t="s">
        <v>20</v>
      </c>
      <c r="R396">
        <v>215</v>
      </c>
      <c r="S396" t="s">
        <v>1314</v>
      </c>
      <c r="T396" t="s">
        <v>20</v>
      </c>
      <c r="U396">
        <v>340</v>
      </c>
      <c r="V396" t="s">
        <v>1315</v>
      </c>
      <c r="W396" t="s">
        <v>20</v>
      </c>
    </row>
    <row r="397" spans="1:23" x14ac:dyDescent="0.25">
      <c r="A397">
        <v>6</v>
      </c>
      <c r="B397" t="s">
        <v>167</v>
      </c>
      <c r="C397" t="str">
        <f>HYPERLINK("http://www.ncbi.nlm.nih.gov/protein/NWU59399.1","NWU59399.1")</f>
        <v>NWU59399.1</v>
      </c>
      <c r="D397">
        <v>13926</v>
      </c>
      <c r="E397" t="str">
        <f>HYPERLINK("http://www.ncbi.nlm.nih.gov/Taxonomy/Browser/wwwtax.cgi?mode=Info&amp;id=458190&amp;lvl=3&amp;lin=f&amp;keep=1&amp;srchmode=1&amp;unlock","458190")</f>
        <v>458190</v>
      </c>
      <c r="F397" t="s">
        <v>167</v>
      </c>
      <c r="G397" t="str">
        <f>HYPERLINK("http://www.ncbi.nlm.nih.gov/Taxonomy/Browser/wwwtax.cgi?mode=Info&amp;id=458190&amp;lvl=3&amp;lin=f&amp;keep=1&amp;srchmode=1&amp;unlock","Dromas ardeola")</f>
        <v>Dromas ardeola</v>
      </c>
      <c r="H397" t="s">
        <v>185</v>
      </c>
      <c r="I397" t="str">
        <f>HYPERLINK("http://www.ncbi.nlm.nih.gov/protein/NWU59399.1","ANDR protein")</f>
        <v>ANDR protein</v>
      </c>
      <c r="J397" t="s">
        <v>1323</v>
      </c>
      <c r="K397" t="s">
        <v>20</v>
      </c>
      <c r="L397">
        <v>168</v>
      </c>
      <c r="M397" t="s">
        <v>25</v>
      </c>
      <c r="N397" t="s">
        <v>20</v>
      </c>
      <c r="O397">
        <v>174</v>
      </c>
      <c r="P397" t="s">
        <v>1313</v>
      </c>
      <c r="Q397" t="s">
        <v>20</v>
      </c>
      <c r="R397">
        <v>215</v>
      </c>
      <c r="S397" t="s">
        <v>1314</v>
      </c>
      <c r="T397" t="s">
        <v>20</v>
      </c>
      <c r="U397">
        <v>340</v>
      </c>
      <c r="V397" t="s">
        <v>1315</v>
      </c>
      <c r="W397" t="s">
        <v>20</v>
      </c>
    </row>
    <row r="398" spans="1:23" x14ac:dyDescent="0.25">
      <c r="A398">
        <v>6</v>
      </c>
      <c r="B398" t="s">
        <v>167</v>
      </c>
      <c r="C398" t="str">
        <f>HYPERLINK("http://www.ncbi.nlm.nih.gov/protein/NWQ91554.1","NWQ91554.1")</f>
        <v>NWQ91554.1</v>
      </c>
      <c r="D398">
        <v>14023</v>
      </c>
      <c r="E398" t="str">
        <f>HYPERLINK("http://www.ncbi.nlm.nih.gov/Taxonomy/Browser/wwwtax.cgi?mode=Info&amp;id=240201&amp;lvl=3&amp;lin=f&amp;keep=1&amp;srchmode=1&amp;unlock","240201")</f>
        <v>240201</v>
      </c>
      <c r="F398" t="s">
        <v>167</v>
      </c>
      <c r="G398" t="str">
        <f>HYPERLINK("http://www.ncbi.nlm.nih.gov/Taxonomy/Browser/wwwtax.cgi?mode=Info&amp;id=240201&amp;lvl=3&amp;lin=f&amp;keep=1&amp;srchmode=1&amp;unlock","Burhinus bistriatus")</f>
        <v>Burhinus bistriatus</v>
      </c>
      <c r="H398" t="s">
        <v>185</v>
      </c>
      <c r="I398" t="str">
        <f>HYPERLINK("http://www.ncbi.nlm.nih.gov/protein/NWQ91554.1","ANDR protein")</f>
        <v>ANDR protein</v>
      </c>
      <c r="J398" t="s">
        <v>1323</v>
      </c>
      <c r="K398" t="s">
        <v>20</v>
      </c>
      <c r="L398">
        <v>168</v>
      </c>
      <c r="M398" t="s">
        <v>25</v>
      </c>
      <c r="N398" t="s">
        <v>20</v>
      </c>
      <c r="O398">
        <v>174</v>
      </c>
      <c r="P398" t="s">
        <v>1313</v>
      </c>
      <c r="Q398" t="s">
        <v>20</v>
      </c>
      <c r="R398">
        <v>215</v>
      </c>
      <c r="S398" t="s">
        <v>1314</v>
      </c>
      <c r="T398" t="s">
        <v>20</v>
      </c>
      <c r="U398">
        <v>340</v>
      </c>
      <c r="V398" t="s">
        <v>1315</v>
      </c>
      <c r="W398" t="s">
        <v>20</v>
      </c>
    </row>
    <row r="399" spans="1:23" x14ac:dyDescent="0.25">
      <c r="A399">
        <v>6</v>
      </c>
      <c r="B399" t="s">
        <v>167</v>
      </c>
      <c r="C399" t="str">
        <f>HYPERLINK("http://www.ncbi.nlm.nih.gov/protein/NWW41366.1","NWW41366.1")</f>
        <v>NWW41366.1</v>
      </c>
      <c r="D399">
        <v>12841</v>
      </c>
      <c r="E399" t="str">
        <f>HYPERLINK("http://www.ncbi.nlm.nih.gov/Taxonomy/Browser/wwwtax.cgi?mode=Info&amp;id=181101&amp;lvl=3&amp;lin=f&amp;keep=1&amp;srchmode=1&amp;unlock","181101")</f>
        <v>181101</v>
      </c>
      <c r="F399" t="s">
        <v>167</v>
      </c>
      <c r="G399" t="str">
        <f>HYPERLINK("http://www.ncbi.nlm.nih.gov/Taxonomy/Browser/wwwtax.cgi?mode=Info&amp;id=181101&amp;lvl=3&amp;lin=f&amp;keep=1&amp;srchmode=1&amp;unlock","Panurus biarmicus")</f>
        <v>Panurus biarmicus</v>
      </c>
      <c r="H399" t="s">
        <v>395</v>
      </c>
      <c r="I399" t="str">
        <f>HYPERLINK("http://www.ncbi.nlm.nih.gov/protein/NWW41366.1","ANDR protein")</f>
        <v>ANDR protein</v>
      </c>
      <c r="J399" t="s">
        <v>1323</v>
      </c>
      <c r="K399" t="s">
        <v>20</v>
      </c>
      <c r="L399">
        <v>168</v>
      </c>
      <c r="M399" t="s">
        <v>25</v>
      </c>
      <c r="N399" t="s">
        <v>20</v>
      </c>
      <c r="O399">
        <v>174</v>
      </c>
      <c r="P399" t="s">
        <v>1313</v>
      </c>
      <c r="Q399" t="s">
        <v>20</v>
      </c>
      <c r="R399">
        <v>215</v>
      </c>
      <c r="S399" t="s">
        <v>1314</v>
      </c>
      <c r="T399" t="s">
        <v>20</v>
      </c>
      <c r="U399">
        <v>340</v>
      </c>
      <c r="V399" t="s">
        <v>1315</v>
      </c>
      <c r="W399" t="s">
        <v>20</v>
      </c>
    </row>
    <row r="400" spans="1:23" x14ac:dyDescent="0.25">
      <c r="A400">
        <v>6</v>
      </c>
      <c r="B400" t="s">
        <v>167</v>
      </c>
      <c r="C400" t="str">
        <f>HYPERLINK("http://www.ncbi.nlm.nih.gov/protein/XP_026650071.1","XP_026650071.1")</f>
        <v>XP_026650071.1</v>
      </c>
      <c r="D400">
        <v>26699</v>
      </c>
      <c r="E400" t="str">
        <f>HYPERLINK("http://www.ncbi.nlm.nih.gov/Taxonomy/Browser/wwwtax.cgi?mode=Info&amp;id=44394&amp;lvl=3&amp;lin=f&amp;keep=1&amp;srchmode=1&amp;unlock","44394")</f>
        <v>44394</v>
      </c>
      <c r="F400" t="s">
        <v>167</v>
      </c>
      <c r="G400" t="str">
        <f>HYPERLINK("http://www.ncbi.nlm.nih.gov/Taxonomy/Browser/wwwtax.cgi?mode=Info&amp;id=44394&amp;lvl=3&amp;lin=f&amp;keep=1&amp;srchmode=1&amp;unlock","Zonotrichia albicollis")</f>
        <v>Zonotrichia albicollis</v>
      </c>
      <c r="H400" t="s">
        <v>465</v>
      </c>
      <c r="I400" t="str">
        <f>HYPERLINK("http://www.ncbi.nlm.nih.gov/protein/XP_026650071.1","androgen receptor")</f>
        <v>androgen receptor</v>
      </c>
      <c r="J400" t="s">
        <v>1323</v>
      </c>
      <c r="K400" t="s">
        <v>20</v>
      </c>
      <c r="L400">
        <v>192</v>
      </c>
      <c r="M400" t="s">
        <v>25</v>
      </c>
      <c r="N400" t="s">
        <v>20</v>
      </c>
      <c r="O400">
        <v>198</v>
      </c>
      <c r="P400" t="s">
        <v>1313</v>
      </c>
      <c r="Q400" t="s">
        <v>20</v>
      </c>
      <c r="R400">
        <v>239</v>
      </c>
      <c r="S400" t="s">
        <v>1314</v>
      </c>
      <c r="T400" t="s">
        <v>20</v>
      </c>
      <c r="U400">
        <v>364</v>
      </c>
      <c r="V400" t="s">
        <v>1315</v>
      </c>
      <c r="W400" t="s">
        <v>20</v>
      </c>
    </row>
    <row r="401" spans="1:23" x14ac:dyDescent="0.25">
      <c r="A401">
        <v>6</v>
      </c>
      <c r="B401" t="s">
        <v>167</v>
      </c>
      <c r="C401" t="str">
        <f>HYPERLINK("http://www.ncbi.nlm.nih.gov/protein/NXE09334.1","NXE09334.1")</f>
        <v>NXE09334.1</v>
      </c>
      <c r="D401">
        <v>13942</v>
      </c>
      <c r="E401" t="str">
        <f>HYPERLINK("http://www.ncbi.nlm.nih.gov/Taxonomy/Browser/wwwtax.cgi?mode=Info&amp;id=172689&amp;lvl=3&amp;lin=f&amp;keep=1&amp;srchmode=1&amp;unlock","172689")</f>
        <v>172689</v>
      </c>
      <c r="F401" t="s">
        <v>167</v>
      </c>
      <c r="G401" t="str">
        <f>HYPERLINK("http://www.ncbi.nlm.nih.gov/Taxonomy/Browser/wwwtax.cgi?mode=Info&amp;id=172689&amp;lvl=3&amp;lin=f&amp;keep=1&amp;srchmode=1&amp;unlock","Lophotis ruficrista")</f>
        <v>Lophotis ruficrista</v>
      </c>
      <c r="H401" t="s">
        <v>182</v>
      </c>
      <c r="I401" t="str">
        <f>HYPERLINK("http://www.ncbi.nlm.nih.gov/protein/NXE09334.1","ANDR protein")</f>
        <v>ANDR protein</v>
      </c>
      <c r="J401" t="s">
        <v>1323</v>
      </c>
      <c r="K401" t="s">
        <v>20</v>
      </c>
      <c r="L401">
        <v>168</v>
      </c>
      <c r="M401" t="s">
        <v>25</v>
      </c>
      <c r="N401" t="s">
        <v>20</v>
      </c>
      <c r="O401">
        <v>174</v>
      </c>
      <c r="P401" t="s">
        <v>1313</v>
      </c>
      <c r="Q401" t="s">
        <v>20</v>
      </c>
      <c r="R401">
        <v>215</v>
      </c>
      <c r="S401" t="s">
        <v>1314</v>
      </c>
      <c r="T401" t="s">
        <v>20</v>
      </c>
      <c r="U401">
        <v>340</v>
      </c>
      <c r="V401" t="s">
        <v>1315</v>
      </c>
      <c r="W401" t="s">
        <v>20</v>
      </c>
    </row>
    <row r="402" spans="1:23" x14ac:dyDescent="0.25">
      <c r="A402">
        <v>6</v>
      </c>
      <c r="B402" t="s">
        <v>167</v>
      </c>
      <c r="C402" t="str">
        <f>HYPERLINK("http://www.ncbi.nlm.nih.gov/protein/NXY61431.1","NXY61431.1")</f>
        <v>NXY61431.1</v>
      </c>
      <c r="D402">
        <v>14612</v>
      </c>
      <c r="E402" t="str">
        <f>HYPERLINK("http://www.ncbi.nlm.nih.gov/Taxonomy/Browser/wwwtax.cgi?mode=Info&amp;id=1347786&amp;lvl=3&amp;lin=f&amp;keep=1&amp;srchmode=1&amp;unlock","1347786")</f>
        <v>1347786</v>
      </c>
      <c r="F402" t="s">
        <v>167</v>
      </c>
      <c r="G402" t="str">
        <f>HYPERLINK("http://www.ncbi.nlm.nih.gov/Taxonomy/Browser/wwwtax.cgi?mode=Info&amp;id=1347786&amp;lvl=3&amp;lin=f&amp;keep=1&amp;srchmode=1&amp;unlock","Callaeas wilsoni")</f>
        <v>Callaeas wilsoni</v>
      </c>
      <c r="H402" t="s">
        <v>335</v>
      </c>
      <c r="I402" t="str">
        <f>HYPERLINK("http://www.ncbi.nlm.nih.gov/protein/NXY61431.1","ANDR protein")</f>
        <v>ANDR protein</v>
      </c>
      <c r="J402" t="s">
        <v>1323</v>
      </c>
      <c r="K402" t="s">
        <v>20</v>
      </c>
      <c r="L402">
        <v>473</v>
      </c>
      <c r="M402" t="s">
        <v>25</v>
      </c>
      <c r="N402" t="s">
        <v>20</v>
      </c>
      <c r="O402">
        <v>479</v>
      </c>
      <c r="P402" t="s">
        <v>1313</v>
      </c>
      <c r="Q402" t="s">
        <v>20</v>
      </c>
      <c r="R402">
        <v>520</v>
      </c>
      <c r="S402" t="s">
        <v>1314</v>
      </c>
      <c r="T402" t="s">
        <v>20</v>
      </c>
      <c r="U402">
        <v>645</v>
      </c>
      <c r="V402" t="s">
        <v>1315</v>
      </c>
      <c r="W402" t="s">
        <v>20</v>
      </c>
    </row>
    <row r="403" spans="1:23" x14ac:dyDescent="0.25">
      <c r="A403">
        <v>6</v>
      </c>
      <c r="B403" t="s">
        <v>167</v>
      </c>
      <c r="C403" t="str">
        <f>HYPERLINK("http://www.ncbi.nlm.nih.gov/protein/NXK08670.1","NXK08670.1")</f>
        <v>NXK08670.1</v>
      </c>
      <c r="D403">
        <v>14398</v>
      </c>
      <c r="E403" t="str">
        <f>HYPERLINK("http://www.ncbi.nlm.nih.gov/Taxonomy/Browser/wwwtax.cgi?mode=Info&amp;id=56343&amp;lvl=3&amp;lin=f&amp;keep=1&amp;srchmode=1&amp;unlock","56343")</f>
        <v>56343</v>
      </c>
      <c r="F403" t="s">
        <v>167</v>
      </c>
      <c r="G403" t="str">
        <f>HYPERLINK("http://www.ncbi.nlm.nih.gov/Taxonomy/Browser/wwwtax.cgi?mode=Info&amp;id=56343&amp;lvl=3&amp;lin=f&amp;keep=1&amp;srchmode=1&amp;unlock","Herpetotheres cachinnans")</f>
        <v>Herpetotheres cachinnans</v>
      </c>
      <c r="H403" t="s">
        <v>239</v>
      </c>
      <c r="I403" t="str">
        <f>HYPERLINK("http://www.ncbi.nlm.nih.gov/protein/NXK08670.1","ANDR protein")</f>
        <v>ANDR protein</v>
      </c>
      <c r="J403" t="s">
        <v>1323</v>
      </c>
      <c r="K403" t="s">
        <v>20</v>
      </c>
      <c r="L403">
        <v>168</v>
      </c>
      <c r="M403" t="s">
        <v>25</v>
      </c>
      <c r="N403" t="s">
        <v>20</v>
      </c>
      <c r="O403">
        <v>174</v>
      </c>
      <c r="P403" t="s">
        <v>1313</v>
      </c>
      <c r="Q403" t="s">
        <v>20</v>
      </c>
      <c r="R403">
        <v>215</v>
      </c>
      <c r="S403" t="s">
        <v>1314</v>
      </c>
      <c r="T403" t="s">
        <v>20</v>
      </c>
      <c r="U403">
        <v>340</v>
      </c>
      <c r="V403" t="s">
        <v>1315</v>
      </c>
      <c r="W403" t="s">
        <v>20</v>
      </c>
    </row>
    <row r="404" spans="1:23" x14ac:dyDescent="0.25">
      <c r="A404">
        <v>6</v>
      </c>
      <c r="B404" t="s">
        <v>167</v>
      </c>
      <c r="C404" t="str">
        <f>HYPERLINK("http://www.ncbi.nlm.nih.gov/protein/NXH77487.1","NXH77487.1")</f>
        <v>NXH77487.1</v>
      </c>
      <c r="D404">
        <v>14052</v>
      </c>
      <c r="E404" t="str">
        <f>HYPERLINK("http://www.ncbi.nlm.nih.gov/Taxonomy/Browser/wwwtax.cgi?mode=Info&amp;id=79633&amp;lvl=3&amp;lin=f&amp;keep=1&amp;srchmode=1&amp;unlock","79633")</f>
        <v>79633</v>
      </c>
      <c r="F404" t="s">
        <v>167</v>
      </c>
      <c r="G404" t="str">
        <f>HYPERLINK("http://www.ncbi.nlm.nih.gov/Taxonomy/Browser/wwwtax.cgi?mode=Info&amp;id=79633&amp;lvl=3&amp;lin=f&amp;keep=1&amp;srchmode=1&amp;unlock","Oceanodroma tethys")</f>
        <v>Oceanodroma tethys</v>
      </c>
      <c r="H404" t="s">
        <v>173</v>
      </c>
      <c r="I404" t="str">
        <f>HYPERLINK("http://www.ncbi.nlm.nih.gov/protein/NXH77487.1","ANDR protein")</f>
        <v>ANDR protein</v>
      </c>
      <c r="J404" t="s">
        <v>1323</v>
      </c>
      <c r="K404" t="s">
        <v>20</v>
      </c>
      <c r="L404">
        <v>168</v>
      </c>
      <c r="M404" t="s">
        <v>25</v>
      </c>
      <c r="N404" t="s">
        <v>20</v>
      </c>
      <c r="O404">
        <v>174</v>
      </c>
      <c r="P404" t="s">
        <v>1313</v>
      </c>
      <c r="Q404" t="s">
        <v>20</v>
      </c>
      <c r="R404">
        <v>215</v>
      </c>
      <c r="S404" t="s">
        <v>1314</v>
      </c>
      <c r="T404" t="s">
        <v>20</v>
      </c>
      <c r="U404">
        <v>340</v>
      </c>
      <c r="V404" t="s">
        <v>1315</v>
      </c>
      <c r="W404" t="s">
        <v>20</v>
      </c>
    </row>
    <row r="405" spans="1:23" x14ac:dyDescent="0.25">
      <c r="A405">
        <v>6</v>
      </c>
      <c r="B405" t="s">
        <v>167</v>
      </c>
      <c r="C405" t="str">
        <f>HYPERLINK("http://www.ncbi.nlm.nih.gov/protein/NWX79862.1","NWX79862.1")</f>
        <v>NWX79862.1</v>
      </c>
      <c r="D405">
        <v>14034</v>
      </c>
      <c r="E405" t="str">
        <f>HYPERLINK("http://www.ncbi.nlm.nih.gov/Taxonomy/Browser/wwwtax.cgi?mode=Info&amp;id=28689&amp;lvl=3&amp;lin=f&amp;keep=1&amp;srchmode=1&amp;unlock","28689")</f>
        <v>28689</v>
      </c>
      <c r="F405" t="s">
        <v>167</v>
      </c>
      <c r="G405" t="str">
        <f>HYPERLINK("http://www.ncbi.nlm.nih.gov/Taxonomy/Browser/wwwtax.cgi?mode=Info&amp;id=28689&amp;lvl=3&amp;lin=f&amp;keep=1&amp;srchmode=1&amp;unlock","Alca torda")</f>
        <v>Alca torda</v>
      </c>
      <c r="H405" t="s">
        <v>202</v>
      </c>
      <c r="I405" t="str">
        <f>HYPERLINK("http://www.ncbi.nlm.nih.gov/protein/NWX79862.1","ANDR protein")</f>
        <v>ANDR protein</v>
      </c>
      <c r="J405" t="s">
        <v>1323</v>
      </c>
      <c r="K405" t="s">
        <v>20</v>
      </c>
      <c r="L405">
        <v>168</v>
      </c>
      <c r="M405" t="s">
        <v>25</v>
      </c>
      <c r="N405" t="s">
        <v>20</v>
      </c>
      <c r="O405">
        <v>174</v>
      </c>
      <c r="P405" t="s">
        <v>1313</v>
      </c>
      <c r="Q405" t="s">
        <v>20</v>
      </c>
      <c r="R405">
        <v>215</v>
      </c>
      <c r="S405" t="s">
        <v>1314</v>
      </c>
      <c r="T405" t="s">
        <v>20</v>
      </c>
      <c r="U405">
        <v>340</v>
      </c>
      <c r="V405" t="s">
        <v>1315</v>
      </c>
      <c r="W405" t="s">
        <v>20</v>
      </c>
    </row>
    <row r="406" spans="1:23" x14ac:dyDescent="0.25">
      <c r="A406">
        <v>6</v>
      </c>
      <c r="B406" t="s">
        <v>167</v>
      </c>
      <c r="C406" t="str">
        <f>HYPERLINK("http://www.ncbi.nlm.nih.gov/protein/NXI74886.1","NXI74886.1")</f>
        <v>NXI74886.1</v>
      </c>
      <c r="D406">
        <v>14308</v>
      </c>
      <c r="E406" t="str">
        <f>HYPERLINK("http://www.ncbi.nlm.nih.gov/Taxonomy/Browser/wwwtax.cgi?mode=Info&amp;id=8851&amp;lvl=3&amp;lin=f&amp;keep=1&amp;srchmode=1&amp;unlock","8851")</f>
        <v>8851</v>
      </c>
      <c r="F406" t="s">
        <v>167</v>
      </c>
      <c r="G406" t="str">
        <f>HYPERLINK("http://www.ncbi.nlm.nih.gov/Taxonomy/Browser/wwwtax.cgi?mode=Info&amp;id=8851&amp;lvl=3&amp;lin=f&amp;keep=1&amp;srchmode=1&amp;unlock","Anseranas semipalmata")</f>
        <v>Anseranas semipalmata</v>
      </c>
      <c r="H406" t="s">
        <v>345</v>
      </c>
      <c r="I406" t="str">
        <f>HYPERLINK("http://www.ncbi.nlm.nih.gov/protein/NXI74886.1","ANDR protein")</f>
        <v>ANDR protein</v>
      </c>
      <c r="J406" t="s">
        <v>1323</v>
      </c>
      <c r="K406" t="s">
        <v>20</v>
      </c>
      <c r="L406">
        <v>168</v>
      </c>
      <c r="M406" t="s">
        <v>25</v>
      </c>
      <c r="N406" t="s">
        <v>20</v>
      </c>
      <c r="O406">
        <v>174</v>
      </c>
      <c r="P406" t="s">
        <v>1313</v>
      </c>
      <c r="Q406" t="s">
        <v>20</v>
      </c>
      <c r="R406">
        <v>215</v>
      </c>
      <c r="S406" t="s">
        <v>1314</v>
      </c>
      <c r="T406" t="s">
        <v>20</v>
      </c>
      <c r="U406">
        <v>340</v>
      </c>
      <c r="V406" t="s">
        <v>1315</v>
      </c>
      <c r="W406" t="s">
        <v>20</v>
      </c>
    </row>
    <row r="407" spans="1:23" x14ac:dyDescent="0.25">
      <c r="A407">
        <v>6</v>
      </c>
      <c r="B407" t="s">
        <v>167</v>
      </c>
      <c r="C407" t="str">
        <f>HYPERLINK("http://www.ncbi.nlm.nih.gov/protein/NXT22234.1","NXT22234.1")</f>
        <v>NXT22234.1</v>
      </c>
      <c r="D407">
        <v>13562</v>
      </c>
      <c r="E407" t="str">
        <f>HYPERLINK("http://www.ncbi.nlm.nih.gov/Taxonomy/Browser/wwwtax.cgi?mode=Info&amp;id=302527&amp;lvl=3&amp;lin=f&amp;keep=1&amp;srchmode=1&amp;unlock","302527")</f>
        <v>302527</v>
      </c>
      <c r="F407" t="s">
        <v>167</v>
      </c>
      <c r="G407" t="str">
        <f>HYPERLINK("http://www.ncbi.nlm.nih.gov/Taxonomy/Browser/wwwtax.cgi?mode=Info&amp;id=302527&amp;lvl=3&amp;lin=f&amp;keep=1&amp;srchmode=1&amp;unlock","Syrrhaptes paradoxus")</f>
        <v>Syrrhaptes paradoxus</v>
      </c>
      <c r="H407" t="s">
        <v>509</v>
      </c>
      <c r="I407" t="str">
        <f>HYPERLINK("http://www.ncbi.nlm.nih.gov/protein/NXT22234.1","ANDR protein")</f>
        <v>ANDR protein</v>
      </c>
      <c r="J407" t="s">
        <v>1323</v>
      </c>
      <c r="K407" t="s">
        <v>20</v>
      </c>
      <c r="L407">
        <v>168</v>
      </c>
      <c r="M407" t="s">
        <v>25</v>
      </c>
      <c r="N407" t="s">
        <v>20</v>
      </c>
      <c r="O407">
        <v>174</v>
      </c>
      <c r="P407" t="s">
        <v>1313</v>
      </c>
      <c r="Q407" t="s">
        <v>20</v>
      </c>
      <c r="R407">
        <v>215</v>
      </c>
      <c r="S407" t="s">
        <v>1314</v>
      </c>
      <c r="T407" t="s">
        <v>20</v>
      </c>
      <c r="U407">
        <v>340</v>
      </c>
      <c r="V407" t="s">
        <v>1315</v>
      </c>
      <c r="W407" t="s">
        <v>20</v>
      </c>
    </row>
    <row r="408" spans="1:23" x14ac:dyDescent="0.25">
      <c r="A408">
        <v>6</v>
      </c>
      <c r="B408" t="s">
        <v>167</v>
      </c>
      <c r="C408" t="str">
        <f>HYPERLINK("http://www.ncbi.nlm.nih.gov/protein/NXY76413.1","NXY76413.1")</f>
        <v>NXY76413.1</v>
      </c>
      <c r="D408">
        <v>13804</v>
      </c>
      <c r="E408" t="str">
        <f>HYPERLINK("http://www.ncbi.nlm.nih.gov/Taxonomy/Browser/wwwtax.cgi?mode=Info&amp;id=43316&amp;lvl=3&amp;lin=f&amp;keep=1&amp;srchmode=1&amp;unlock","43316")</f>
        <v>43316</v>
      </c>
      <c r="F408" t="s">
        <v>167</v>
      </c>
      <c r="G408" t="str">
        <f>HYPERLINK("http://www.ncbi.nlm.nih.gov/Taxonomy/Browser/wwwtax.cgi?mode=Info&amp;id=43316&amp;lvl=3&amp;lin=f&amp;keep=1&amp;srchmode=1&amp;unlock","Glareola pratincola")</f>
        <v>Glareola pratincola</v>
      </c>
      <c r="H408" t="s">
        <v>185</v>
      </c>
      <c r="I408" t="str">
        <f>HYPERLINK("http://www.ncbi.nlm.nih.gov/protein/NXY76413.1","ANDR protein")</f>
        <v>ANDR protein</v>
      </c>
      <c r="J408" t="s">
        <v>1323</v>
      </c>
      <c r="K408" t="s">
        <v>20</v>
      </c>
      <c r="L408">
        <v>168</v>
      </c>
      <c r="M408" t="s">
        <v>25</v>
      </c>
      <c r="N408" t="s">
        <v>20</v>
      </c>
      <c r="O408">
        <v>174</v>
      </c>
      <c r="P408" t="s">
        <v>1313</v>
      </c>
      <c r="Q408" t="s">
        <v>20</v>
      </c>
      <c r="R408">
        <v>215</v>
      </c>
      <c r="S408" t="s">
        <v>1314</v>
      </c>
      <c r="T408" t="s">
        <v>20</v>
      </c>
      <c r="U408">
        <v>340</v>
      </c>
      <c r="V408" t="s">
        <v>1315</v>
      </c>
      <c r="W408" t="s">
        <v>20</v>
      </c>
    </row>
    <row r="409" spans="1:23" x14ac:dyDescent="0.25">
      <c r="A409">
        <v>6</v>
      </c>
      <c r="B409" t="s">
        <v>167</v>
      </c>
      <c r="C409" t="str">
        <f>HYPERLINK("http://www.ncbi.nlm.nih.gov/protein/NXU71634.1","NXU71634.1")</f>
        <v>NXU71634.1</v>
      </c>
      <c r="D409">
        <v>12185</v>
      </c>
      <c r="E409" t="str">
        <f>HYPERLINK("http://www.ncbi.nlm.nih.gov/Taxonomy/Browser/wwwtax.cgi?mode=Info&amp;id=689266&amp;lvl=3&amp;lin=f&amp;keep=1&amp;srchmode=1&amp;unlock","689266")</f>
        <v>689266</v>
      </c>
      <c r="F409" t="s">
        <v>167</v>
      </c>
      <c r="G409" t="str">
        <f>HYPERLINK("http://www.ncbi.nlm.nih.gov/Taxonomy/Browser/wwwtax.cgi?mode=Info&amp;id=689266&amp;lvl=3&amp;lin=f&amp;keep=1&amp;srchmode=1&amp;unlock","Oreotrochilus melanogaster")</f>
        <v>Oreotrochilus melanogaster</v>
      </c>
      <c r="H409" t="s">
        <v>242</v>
      </c>
      <c r="I409" t="str">
        <f>HYPERLINK("http://www.ncbi.nlm.nih.gov/protein/NXU71634.1","ANDR protein")</f>
        <v>ANDR protein</v>
      </c>
      <c r="J409" t="s">
        <v>1323</v>
      </c>
      <c r="K409" t="s">
        <v>20</v>
      </c>
      <c r="L409">
        <v>168</v>
      </c>
      <c r="M409" t="s">
        <v>25</v>
      </c>
      <c r="N409" t="s">
        <v>20</v>
      </c>
      <c r="O409">
        <v>174</v>
      </c>
      <c r="P409" t="s">
        <v>1313</v>
      </c>
      <c r="Q409" t="s">
        <v>20</v>
      </c>
      <c r="R409">
        <v>215</v>
      </c>
      <c r="S409" t="s">
        <v>1314</v>
      </c>
      <c r="T409" t="s">
        <v>20</v>
      </c>
      <c r="U409">
        <v>340</v>
      </c>
      <c r="V409" t="s">
        <v>1315</v>
      </c>
      <c r="W409" t="s">
        <v>20</v>
      </c>
    </row>
    <row r="410" spans="1:23" x14ac:dyDescent="0.25">
      <c r="A410">
        <v>6</v>
      </c>
      <c r="B410" t="s">
        <v>167</v>
      </c>
      <c r="C410" t="str">
        <f>HYPERLINK("http://www.ncbi.nlm.nih.gov/protein/NXH42391.1","NXH42391.1")</f>
        <v>NXH42391.1</v>
      </c>
      <c r="D410">
        <v>13663</v>
      </c>
      <c r="E410" t="str">
        <f>HYPERLINK("http://www.ncbi.nlm.nih.gov/Taxonomy/Browser/wwwtax.cgi?mode=Info&amp;id=667154&amp;lvl=3&amp;lin=f&amp;keep=1&amp;srchmode=1&amp;unlock","667154")</f>
        <v>667154</v>
      </c>
      <c r="F410" t="s">
        <v>167</v>
      </c>
      <c r="G410" t="str">
        <f>HYPERLINK("http://www.ncbi.nlm.nih.gov/Taxonomy/Browser/wwwtax.cgi?mode=Info&amp;id=667154&amp;lvl=3&amp;lin=f&amp;keep=1&amp;srchmode=1&amp;unlock","Dicaeum eximium")</f>
        <v>Dicaeum eximium</v>
      </c>
      <c r="H410" t="s">
        <v>206</v>
      </c>
      <c r="I410" t="str">
        <f>HYPERLINK("http://www.ncbi.nlm.nih.gov/protein/NXH42391.1","ANDR protein")</f>
        <v>ANDR protein</v>
      </c>
      <c r="J410" t="s">
        <v>1323</v>
      </c>
      <c r="K410" t="s">
        <v>20</v>
      </c>
      <c r="L410">
        <v>388</v>
      </c>
      <c r="M410" t="s">
        <v>25</v>
      </c>
      <c r="N410" t="s">
        <v>20</v>
      </c>
      <c r="O410">
        <v>394</v>
      </c>
      <c r="P410" t="s">
        <v>1313</v>
      </c>
      <c r="Q410" t="s">
        <v>20</v>
      </c>
      <c r="R410">
        <v>435</v>
      </c>
      <c r="S410" t="s">
        <v>1314</v>
      </c>
      <c r="T410" t="s">
        <v>20</v>
      </c>
      <c r="U410">
        <v>560</v>
      </c>
      <c r="V410" t="s">
        <v>1315</v>
      </c>
      <c r="W410" t="s">
        <v>20</v>
      </c>
    </row>
    <row r="411" spans="1:23" x14ac:dyDescent="0.25">
      <c r="A411">
        <v>6</v>
      </c>
      <c r="B411" t="s">
        <v>167</v>
      </c>
      <c r="C411" t="str">
        <f>HYPERLINK("http://www.ncbi.nlm.nih.gov/protein/NXK18727.1","NXK18727.1")</f>
        <v>NXK18727.1</v>
      </c>
      <c r="D411">
        <v>13971</v>
      </c>
      <c r="E411" t="str">
        <f>HYPERLINK("http://www.ncbi.nlm.nih.gov/Taxonomy/Browser/wwwtax.cgi?mode=Info&amp;id=54971&amp;lvl=3&amp;lin=f&amp;keep=1&amp;srchmode=1&amp;unlock","54971")</f>
        <v>54971</v>
      </c>
      <c r="F411" t="s">
        <v>167</v>
      </c>
      <c r="G411" t="str">
        <f>HYPERLINK("http://www.ncbi.nlm.nih.gov/Taxonomy/Browser/wwwtax.cgi?mode=Info&amp;id=54971&amp;lvl=3&amp;lin=f&amp;keep=1&amp;srchmode=1&amp;unlock","Arenaria interpres")</f>
        <v>Arenaria interpres</v>
      </c>
      <c r="H411" t="s">
        <v>187</v>
      </c>
      <c r="I411" t="str">
        <f>HYPERLINK("http://www.ncbi.nlm.nih.gov/protein/NXK18727.1","ANDR protein")</f>
        <v>ANDR protein</v>
      </c>
      <c r="J411" t="s">
        <v>1323</v>
      </c>
      <c r="K411" t="s">
        <v>20</v>
      </c>
      <c r="L411">
        <v>168</v>
      </c>
      <c r="M411" t="s">
        <v>25</v>
      </c>
      <c r="N411" t="s">
        <v>20</v>
      </c>
      <c r="O411">
        <v>174</v>
      </c>
      <c r="P411" t="s">
        <v>1313</v>
      </c>
      <c r="Q411" t="s">
        <v>20</v>
      </c>
      <c r="R411">
        <v>215</v>
      </c>
      <c r="S411" t="s">
        <v>1314</v>
      </c>
      <c r="T411" t="s">
        <v>20</v>
      </c>
      <c r="U411">
        <v>340</v>
      </c>
      <c r="V411" t="s">
        <v>1315</v>
      </c>
      <c r="W411" t="s">
        <v>20</v>
      </c>
    </row>
    <row r="412" spans="1:23" x14ac:dyDescent="0.25">
      <c r="A412">
        <v>6</v>
      </c>
      <c r="B412" t="s">
        <v>167</v>
      </c>
      <c r="C412" t="str">
        <f>HYPERLINK("http://www.ncbi.nlm.nih.gov/protein/XP_010217956.1","XP_010217956.1")</f>
        <v>XP_010217956.1</v>
      </c>
      <c r="D412">
        <v>31346</v>
      </c>
      <c r="E412" t="str">
        <f>HYPERLINK("http://www.ncbi.nlm.nih.gov/Taxonomy/Browser/wwwtax.cgi?mode=Info&amp;id=94827&amp;lvl=3&amp;lin=f&amp;keep=1&amp;srchmode=1&amp;unlock","94827")</f>
        <v>94827</v>
      </c>
      <c r="F412" t="s">
        <v>167</v>
      </c>
      <c r="G412" t="str">
        <f>HYPERLINK("http://www.ncbi.nlm.nih.gov/Taxonomy/Browser/wwwtax.cgi?mode=Info&amp;id=94827&amp;lvl=3&amp;lin=f&amp;keep=1&amp;srchmode=1&amp;unlock","Tinamus guttatus")</f>
        <v>Tinamus guttatus</v>
      </c>
      <c r="H412" t="s">
        <v>412</v>
      </c>
      <c r="I412" t="str">
        <f>HYPERLINK("http://www.ncbi.nlm.nih.gov/protein/XP_010217956.1","PREDICTED: androgen receptor")</f>
        <v>PREDICTED: androgen receptor</v>
      </c>
      <c r="J412" t="s">
        <v>1323</v>
      </c>
      <c r="K412" t="s">
        <v>20</v>
      </c>
      <c r="L412">
        <v>169</v>
      </c>
      <c r="M412" t="s">
        <v>25</v>
      </c>
      <c r="N412" t="s">
        <v>20</v>
      </c>
      <c r="O412">
        <v>175</v>
      </c>
      <c r="P412" t="s">
        <v>1313</v>
      </c>
      <c r="Q412" t="s">
        <v>20</v>
      </c>
      <c r="R412">
        <v>216</v>
      </c>
      <c r="S412" t="s">
        <v>1314</v>
      </c>
      <c r="T412" t="s">
        <v>20</v>
      </c>
      <c r="U412">
        <v>341</v>
      </c>
      <c r="V412" t="s">
        <v>1315</v>
      </c>
      <c r="W412" t="s">
        <v>20</v>
      </c>
    </row>
    <row r="413" spans="1:23" x14ac:dyDescent="0.25">
      <c r="A413">
        <v>6</v>
      </c>
      <c r="B413" t="s">
        <v>167</v>
      </c>
      <c r="C413" t="str">
        <f>HYPERLINK("http://www.ncbi.nlm.nih.gov/protein/NWU88844.1","NWU88844.1")</f>
        <v>NWU88844.1</v>
      </c>
      <c r="D413">
        <v>13878</v>
      </c>
      <c r="E413" t="str">
        <f>HYPERLINK("http://www.ncbi.nlm.nih.gov/Taxonomy/Browser/wwwtax.cgi?mode=Info&amp;id=57439&amp;lvl=3&amp;lin=f&amp;keep=1&amp;srchmode=1&amp;unlock","57439")</f>
        <v>57439</v>
      </c>
      <c r="F413" t="s">
        <v>167</v>
      </c>
      <c r="G413" t="str">
        <f>HYPERLINK("http://www.ncbi.nlm.nih.gov/Taxonomy/Browser/wwwtax.cgi?mode=Info&amp;id=57439&amp;lvl=3&amp;lin=f&amp;keep=1&amp;srchmode=1&amp;unlock","Upupa epops")</f>
        <v>Upupa epops</v>
      </c>
      <c r="H413" t="s">
        <v>234</v>
      </c>
      <c r="I413" t="str">
        <f>HYPERLINK("http://www.ncbi.nlm.nih.gov/protein/NWU88844.1","ANDR protein")</f>
        <v>ANDR protein</v>
      </c>
      <c r="J413" t="s">
        <v>1323</v>
      </c>
      <c r="K413" t="s">
        <v>20</v>
      </c>
      <c r="L413">
        <v>168</v>
      </c>
      <c r="M413" t="s">
        <v>25</v>
      </c>
      <c r="N413" t="s">
        <v>20</v>
      </c>
      <c r="O413">
        <v>174</v>
      </c>
      <c r="P413" t="s">
        <v>1313</v>
      </c>
      <c r="Q413" t="s">
        <v>20</v>
      </c>
      <c r="R413">
        <v>215</v>
      </c>
      <c r="S413" t="s">
        <v>1314</v>
      </c>
      <c r="T413" t="s">
        <v>20</v>
      </c>
      <c r="U413">
        <v>340</v>
      </c>
      <c r="V413" t="s">
        <v>1315</v>
      </c>
      <c r="W413" t="s">
        <v>20</v>
      </c>
    </row>
    <row r="414" spans="1:23" x14ac:dyDescent="0.25">
      <c r="A414">
        <v>6</v>
      </c>
      <c r="B414" t="s">
        <v>167</v>
      </c>
      <c r="C414" t="str">
        <f>HYPERLINK("http://www.ncbi.nlm.nih.gov/protein/XP_010570824.1","XP_010570824.1")</f>
        <v>XP_010570824.1</v>
      </c>
      <c r="D414">
        <v>25384</v>
      </c>
      <c r="E414" t="str">
        <f>HYPERLINK("http://www.ncbi.nlm.nih.gov/Taxonomy/Browser/wwwtax.cgi?mode=Info&amp;id=52644&amp;lvl=3&amp;lin=f&amp;keep=1&amp;srchmode=1&amp;unlock","52644")</f>
        <v>52644</v>
      </c>
      <c r="F414" t="s">
        <v>167</v>
      </c>
      <c r="G414" t="str">
        <f>HYPERLINK("http://www.ncbi.nlm.nih.gov/Taxonomy/Browser/wwwtax.cgi?mode=Info&amp;id=52644&amp;lvl=3&amp;lin=f&amp;keep=1&amp;srchmode=1&amp;unlock","Haliaeetus leucocephalus")</f>
        <v>Haliaeetus leucocephalus</v>
      </c>
      <c r="H414" t="s">
        <v>334</v>
      </c>
      <c r="I414" t="str">
        <f>HYPERLINK("http://www.ncbi.nlm.nih.gov/protein/XP_010570824.1","PREDICTED: androgen receptor")</f>
        <v>PREDICTED: androgen receptor</v>
      </c>
      <c r="J414" t="s">
        <v>1323</v>
      </c>
      <c r="K414" t="s">
        <v>20</v>
      </c>
      <c r="L414">
        <v>419</v>
      </c>
      <c r="M414" t="s">
        <v>25</v>
      </c>
      <c r="N414" t="s">
        <v>20</v>
      </c>
      <c r="O414">
        <v>425</v>
      </c>
      <c r="P414" t="s">
        <v>1313</v>
      </c>
      <c r="Q414" t="s">
        <v>20</v>
      </c>
      <c r="R414">
        <v>466</v>
      </c>
      <c r="S414" t="s">
        <v>1314</v>
      </c>
      <c r="T414" t="s">
        <v>20</v>
      </c>
      <c r="U414">
        <v>591</v>
      </c>
      <c r="V414" t="s">
        <v>1315</v>
      </c>
      <c r="W414" t="s">
        <v>20</v>
      </c>
    </row>
    <row r="415" spans="1:23" x14ac:dyDescent="0.25">
      <c r="A415">
        <v>6</v>
      </c>
      <c r="B415" t="s">
        <v>167</v>
      </c>
      <c r="C415" t="str">
        <f>HYPERLINK("http://www.ncbi.nlm.nih.gov/protein/NXG35170.1","NXG35170.1")</f>
        <v>NXG35170.1</v>
      </c>
      <c r="D415">
        <v>45135</v>
      </c>
      <c r="E415" t="str">
        <f>HYPERLINK("http://www.ncbi.nlm.nih.gov/Taxonomy/Browser/wwwtax.cgi?mode=Info&amp;id=8790&amp;lvl=3&amp;lin=f&amp;keep=1&amp;srchmode=1&amp;unlock","8790")</f>
        <v>8790</v>
      </c>
      <c r="F415" t="s">
        <v>167</v>
      </c>
      <c r="G415" t="str">
        <f>HYPERLINK("http://www.ncbi.nlm.nih.gov/Taxonomy/Browser/wwwtax.cgi?mode=Info&amp;id=8790&amp;lvl=3&amp;lin=f&amp;keep=1&amp;srchmode=1&amp;unlock","Dromaius novaehollandiae")</f>
        <v>Dromaius novaehollandiae</v>
      </c>
      <c r="H415" t="s">
        <v>336</v>
      </c>
      <c r="I415" t="str">
        <f>HYPERLINK("http://www.ncbi.nlm.nih.gov/protein/NXG35170.1","ANDR protein")</f>
        <v>ANDR protein</v>
      </c>
      <c r="J415" t="s">
        <v>1323</v>
      </c>
      <c r="K415" t="s">
        <v>20</v>
      </c>
      <c r="L415">
        <v>168</v>
      </c>
      <c r="M415" t="s">
        <v>25</v>
      </c>
      <c r="N415" t="s">
        <v>20</v>
      </c>
      <c r="O415">
        <v>174</v>
      </c>
      <c r="P415" t="s">
        <v>1313</v>
      </c>
      <c r="Q415" t="s">
        <v>20</v>
      </c>
      <c r="R415">
        <v>215</v>
      </c>
      <c r="S415" t="s">
        <v>1314</v>
      </c>
      <c r="T415" t="s">
        <v>20</v>
      </c>
      <c r="U415">
        <v>340</v>
      </c>
      <c r="V415" t="s">
        <v>1315</v>
      </c>
      <c r="W415" t="s">
        <v>20</v>
      </c>
    </row>
    <row r="416" spans="1:23" x14ac:dyDescent="0.25">
      <c r="A416">
        <v>6</v>
      </c>
      <c r="B416" t="s">
        <v>167</v>
      </c>
      <c r="C416" t="str">
        <f>HYPERLINK("http://www.ncbi.nlm.nih.gov/protein/NXE52890.1","NXE52890.1")</f>
        <v>NXE52890.1</v>
      </c>
      <c r="D416">
        <v>13811</v>
      </c>
      <c r="E416" t="str">
        <f>HYPERLINK("http://www.ncbi.nlm.nih.gov/Taxonomy/Browser/wwwtax.cgi?mode=Info&amp;id=8787&amp;lvl=3&amp;lin=f&amp;keep=1&amp;srchmode=1&amp;unlock","8787")</f>
        <v>8787</v>
      </c>
      <c r="F416" t="s">
        <v>167</v>
      </c>
      <c r="G416" t="str">
        <f>HYPERLINK("http://www.ncbi.nlm.nih.gov/Taxonomy/Browser/wwwtax.cgi?mode=Info&amp;id=8787&amp;lvl=3&amp;lin=f&amp;keep=1&amp;srchmode=1&amp;unlock","Casuarius casuarius")</f>
        <v>Casuarius casuarius</v>
      </c>
      <c r="H416" t="s">
        <v>574</v>
      </c>
      <c r="I416" t="str">
        <f>HYPERLINK("http://www.ncbi.nlm.nih.gov/protein/NXE52890.1","ANDR protein")</f>
        <v>ANDR protein</v>
      </c>
      <c r="J416" t="s">
        <v>1323</v>
      </c>
      <c r="K416" t="s">
        <v>20</v>
      </c>
      <c r="L416">
        <v>168</v>
      </c>
      <c r="M416" t="s">
        <v>25</v>
      </c>
      <c r="N416" t="s">
        <v>20</v>
      </c>
      <c r="O416">
        <v>174</v>
      </c>
      <c r="P416" t="s">
        <v>1313</v>
      </c>
      <c r="Q416" t="s">
        <v>20</v>
      </c>
      <c r="R416">
        <v>215</v>
      </c>
      <c r="S416" t="s">
        <v>1314</v>
      </c>
      <c r="T416" t="s">
        <v>20</v>
      </c>
      <c r="U416">
        <v>340</v>
      </c>
      <c r="V416" t="s">
        <v>1315</v>
      </c>
      <c r="W416" t="s">
        <v>20</v>
      </c>
    </row>
    <row r="417" spans="1:23" x14ac:dyDescent="0.25">
      <c r="A417">
        <v>6</v>
      </c>
      <c r="B417" t="s">
        <v>167</v>
      </c>
      <c r="C417" t="str">
        <f>HYPERLINK("http://www.ncbi.nlm.nih.gov/protein/NWI28193.1","NWI28193.1")</f>
        <v>NWI28193.1</v>
      </c>
      <c r="D417">
        <v>12998</v>
      </c>
      <c r="E417" t="str">
        <f>HYPERLINK("http://www.ncbi.nlm.nih.gov/Taxonomy/Browser/wwwtax.cgi?mode=Info&amp;id=56068&amp;lvl=3&amp;lin=f&amp;keep=1&amp;srchmode=1&amp;unlock","56068")</f>
        <v>56068</v>
      </c>
      <c r="F417" t="s">
        <v>167</v>
      </c>
      <c r="G417" t="str">
        <f>HYPERLINK("http://www.ncbi.nlm.nih.gov/Taxonomy/Browser/wwwtax.cgi?mode=Info&amp;id=56068&amp;lvl=3&amp;lin=f&amp;keep=1&amp;srchmode=1&amp;unlock","Sula dactylatra")</f>
        <v>Sula dactylatra</v>
      </c>
      <c r="H417" t="s">
        <v>266</v>
      </c>
      <c r="I417" t="str">
        <f>HYPERLINK("http://www.ncbi.nlm.nih.gov/protein/NWI28193.1","ANDR protein")</f>
        <v>ANDR protein</v>
      </c>
      <c r="J417" t="s">
        <v>1323</v>
      </c>
      <c r="K417" t="s">
        <v>20</v>
      </c>
      <c r="L417">
        <v>168</v>
      </c>
      <c r="M417" t="s">
        <v>25</v>
      </c>
      <c r="N417" t="s">
        <v>20</v>
      </c>
      <c r="O417">
        <v>174</v>
      </c>
      <c r="P417" t="s">
        <v>1313</v>
      </c>
      <c r="Q417" t="s">
        <v>20</v>
      </c>
      <c r="R417">
        <v>215</v>
      </c>
      <c r="S417" t="s">
        <v>1314</v>
      </c>
      <c r="T417" t="s">
        <v>20</v>
      </c>
      <c r="U417">
        <v>340</v>
      </c>
      <c r="V417" t="s">
        <v>1315</v>
      </c>
      <c r="W417" t="s">
        <v>20</v>
      </c>
    </row>
    <row r="418" spans="1:23" x14ac:dyDescent="0.25">
      <c r="A418">
        <v>6</v>
      </c>
      <c r="B418" t="s">
        <v>167</v>
      </c>
      <c r="C418" t="str">
        <f>HYPERLINK("http://www.ncbi.nlm.nih.gov/protein/NXJ37054.1","NXJ37054.1")</f>
        <v>NXJ37054.1</v>
      </c>
      <c r="D418">
        <v>13317</v>
      </c>
      <c r="E418" t="str">
        <f>HYPERLINK("http://www.ncbi.nlm.nih.gov/Taxonomy/Browser/wwwtax.cgi?mode=Info&amp;id=52777&amp;lvl=3&amp;lin=f&amp;keep=1&amp;srchmode=1&amp;unlock","52777")</f>
        <v>52777</v>
      </c>
      <c r="F418" t="s">
        <v>167</v>
      </c>
      <c r="G418" t="str">
        <f>HYPERLINK("http://www.ncbi.nlm.nih.gov/Taxonomy/Browser/wwwtax.cgi?mode=Info&amp;id=52777&amp;lvl=3&amp;lin=f&amp;keep=1&amp;srchmode=1&amp;unlock","Ciconia maguari")</f>
        <v>Ciconia maguari</v>
      </c>
      <c r="H418" t="s">
        <v>514</v>
      </c>
      <c r="I418" t="str">
        <f>HYPERLINK("http://www.ncbi.nlm.nih.gov/protein/NXJ37054.1","ANDR protein")</f>
        <v>ANDR protein</v>
      </c>
      <c r="J418" t="s">
        <v>1323</v>
      </c>
      <c r="K418" t="s">
        <v>20</v>
      </c>
      <c r="L418">
        <v>168</v>
      </c>
      <c r="M418" t="s">
        <v>25</v>
      </c>
      <c r="N418" t="s">
        <v>20</v>
      </c>
      <c r="O418">
        <v>174</v>
      </c>
      <c r="P418" t="s">
        <v>1313</v>
      </c>
      <c r="Q418" t="s">
        <v>20</v>
      </c>
      <c r="R418">
        <v>215</v>
      </c>
      <c r="S418" t="s">
        <v>1314</v>
      </c>
      <c r="T418" t="s">
        <v>20</v>
      </c>
      <c r="U418">
        <v>340</v>
      </c>
      <c r="V418" t="s">
        <v>1315</v>
      </c>
      <c r="W418" t="s">
        <v>20</v>
      </c>
    </row>
    <row r="419" spans="1:23" x14ac:dyDescent="0.25">
      <c r="A419">
        <v>6</v>
      </c>
      <c r="B419" t="s">
        <v>167</v>
      </c>
      <c r="C419" t="str">
        <f>HYPERLINK("http://www.ncbi.nlm.nih.gov/protein/NWW47350.1","NWW47350.1")</f>
        <v>NWW47350.1</v>
      </c>
      <c r="D419">
        <v>13358</v>
      </c>
      <c r="E419" t="str">
        <f>HYPERLINK("http://www.ncbi.nlm.nih.gov/Taxonomy/Browser/wwwtax.cgi?mode=Info&amp;id=227192&amp;lvl=3&amp;lin=f&amp;keep=1&amp;srchmode=1&amp;unlock","227192")</f>
        <v>227192</v>
      </c>
      <c r="F419" t="s">
        <v>167</v>
      </c>
      <c r="G419" t="str">
        <f>HYPERLINK("http://www.ncbi.nlm.nih.gov/Taxonomy/Browser/wwwtax.cgi?mode=Info&amp;id=227192&amp;lvl=3&amp;lin=f&amp;keep=1&amp;srchmode=1&amp;unlock","Pedionomus torquatus")</f>
        <v>Pedionomus torquatus</v>
      </c>
      <c r="H419" t="s">
        <v>286</v>
      </c>
      <c r="I419" t="str">
        <f>HYPERLINK("http://www.ncbi.nlm.nih.gov/protein/NWW47350.1","ANDR protein")</f>
        <v>ANDR protein</v>
      </c>
      <c r="J419" t="s">
        <v>1323</v>
      </c>
      <c r="K419" t="s">
        <v>20</v>
      </c>
      <c r="L419">
        <v>168</v>
      </c>
      <c r="M419" t="s">
        <v>25</v>
      </c>
      <c r="N419" t="s">
        <v>20</v>
      </c>
      <c r="O419">
        <v>174</v>
      </c>
      <c r="P419" t="s">
        <v>1313</v>
      </c>
      <c r="Q419" t="s">
        <v>20</v>
      </c>
      <c r="R419">
        <v>215</v>
      </c>
      <c r="S419" t="s">
        <v>1314</v>
      </c>
      <c r="T419" t="s">
        <v>20</v>
      </c>
      <c r="U419">
        <v>340</v>
      </c>
      <c r="V419" t="s">
        <v>1315</v>
      </c>
      <c r="W419" t="s">
        <v>20</v>
      </c>
    </row>
    <row r="420" spans="1:23" x14ac:dyDescent="0.25">
      <c r="A420">
        <v>6</v>
      </c>
      <c r="B420" t="s">
        <v>167</v>
      </c>
      <c r="C420" t="str">
        <f>HYPERLINK("http://www.ncbi.nlm.nih.gov/protein/NXD11944.1","NXD11944.1")</f>
        <v>NXD11944.1</v>
      </c>
      <c r="D420">
        <v>13147</v>
      </c>
      <c r="E420" t="str">
        <f>HYPERLINK("http://www.ncbi.nlm.nih.gov/Taxonomy/Browser/wwwtax.cgi?mode=Info&amp;id=1977171&amp;lvl=3&amp;lin=f&amp;keep=1&amp;srchmode=1&amp;unlock","1977171")</f>
        <v>1977171</v>
      </c>
      <c r="F420" t="s">
        <v>167</v>
      </c>
      <c r="G420" t="str">
        <f>HYPERLINK("http://www.ncbi.nlm.nih.gov/Taxonomy/Browser/wwwtax.cgi?mode=Info&amp;id=1977171&amp;lvl=3&amp;lin=f&amp;keep=1&amp;srchmode=1&amp;unlock","Nothocercus nigrocapillus")</f>
        <v>Nothocercus nigrocapillus</v>
      </c>
      <c r="H420" t="s">
        <v>196</v>
      </c>
      <c r="I420" t="str">
        <f>HYPERLINK("http://www.ncbi.nlm.nih.gov/protein/NXD11944.1","ANDR protein")</f>
        <v>ANDR protein</v>
      </c>
      <c r="J420" t="s">
        <v>1323</v>
      </c>
      <c r="K420" t="s">
        <v>20</v>
      </c>
      <c r="L420">
        <v>168</v>
      </c>
      <c r="M420" t="s">
        <v>25</v>
      </c>
      <c r="N420" t="s">
        <v>20</v>
      </c>
      <c r="O420">
        <v>174</v>
      </c>
      <c r="P420" t="s">
        <v>1313</v>
      </c>
      <c r="Q420" t="s">
        <v>20</v>
      </c>
      <c r="R420">
        <v>215</v>
      </c>
      <c r="S420" t="s">
        <v>1314</v>
      </c>
      <c r="T420" t="s">
        <v>20</v>
      </c>
      <c r="U420">
        <v>340</v>
      </c>
      <c r="V420" t="s">
        <v>1315</v>
      </c>
      <c r="W420" t="s">
        <v>20</v>
      </c>
    </row>
    <row r="421" spans="1:23" x14ac:dyDescent="0.25">
      <c r="A421">
        <v>6</v>
      </c>
      <c r="B421" t="s">
        <v>167</v>
      </c>
      <c r="C421" t="str">
        <f>HYPERLINK("http://www.ncbi.nlm.nih.gov/protein/XP_025922078.1","XP_025922078.1")</f>
        <v>XP_025922078.1</v>
      </c>
      <c r="D421">
        <v>37692</v>
      </c>
      <c r="E421" t="str">
        <f>HYPERLINK("http://www.ncbi.nlm.nih.gov/Taxonomy/Browser/wwwtax.cgi?mode=Info&amp;id=308060&amp;lvl=3&amp;lin=f&amp;keep=1&amp;srchmode=1&amp;unlock","308060")</f>
        <v>308060</v>
      </c>
      <c r="F421" t="s">
        <v>167</v>
      </c>
      <c r="G421" t="str">
        <f>HYPERLINK("http://www.ncbi.nlm.nih.gov/Taxonomy/Browser/wwwtax.cgi?mode=Info&amp;id=308060&amp;lvl=3&amp;lin=f&amp;keep=1&amp;srchmode=1&amp;unlock","Apteryx rowi")</f>
        <v>Apteryx rowi</v>
      </c>
      <c r="H421" t="s">
        <v>214</v>
      </c>
      <c r="I421" t="str">
        <f>HYPERLINK("http://www.ncbi.nlm.nih.gov/protein/XP_025922078.1","androgen receptor")</f>
        <v>androgen receptor</v>
      </c>
      <c r="J421" t="s">
        <v>1323</v>
      </c>
      <c r="K421" t="s">
        <v>20</v>
      </c>
      <c r="L421">
        <v>216</v>
      </c>
      <c r="M421" t="s">
        <v>25</v>
      </c>
      <c r="N421" t="s">
        <v>20</v>
      </c>
      <c r="O421">
        <v>222</v>
      </c>
      <c r="P421" t="s">
        <v>1313</v>
      </c>
      <c r="Q421" t="s">
        <v>20</v>
      </c>
      <c r="R421">
        <v>263</v>
      </c>
      <c r="S421" t="s">
        <v>1314</v>
      </c>
      <c r="T421" t="s">
        <v>20</v>
      </c>
      <c r="U421">
        <v>388</v>
      </c>
      <c r="V421" t="s">
        <v>1315</v>
      </c>
      <c r="W421" t="s">
        <v>20</v>
      </c>
    </row>
    <row r="422" spans="1:23" x14ac:dyDescent="0.25">
      <c r="A422">
        <v>6</v>
      </c>
      <c r="B422" t="s">
        <v>167</v>
      </c>
      <c r="C422" t="str">
        <f>HYPERLINK("http://www.ncbi.nlm.nih.gov/protein/XP_030918538.1","XP_030918538.1")</f>
        <v>XP_030918538.1</v>
      </c>
      <c r="D422">
        <v>20687</v>
      </c>
      <c r="E422" t="str">
        <f>HYPERLINK("http://www.ncbi.nlm.nih.gov/Taxonomy/Browser/wwwtax.cgi?mode=Info&amp;id=48883&amp;lvl=3&amp;lin=f&amp;keep=1&amp;srchmode=1&amp;unlock","48883")</f>
        <v>48883</v>
      </c>
      <c r="F422" t="s">
        <v>167</v>
      </c>
      <c r="G422" t="str">
        <f>HYPERLINK("http://www.ncbi.nlm.nih.gov/Taxonomy/Browser/wwwtax.cgi?mode=Info&amp;id=48883&amp;lvl=3&amp;lin=f&amp;keep=1&amp;srchmode=1&amp;unlock","Geospiza fortis")</f>
        <v>Geospiza fortis</v>
      </c>
      <c r="H422" t="s">
        <v>411</v>
      </c>
      <c r="I422" t="str">
        <f>HYPERLINK("http://www.ncbi.nlm.nih.gov/protein/XP_030918538.1","androgen receptor")</f>
        <v>androgen receptor</v>
      </c>
      <c r="J422" t="s">
        <v>1323</v>
      </c>
      <c r="K422" t="s">
        <v>20</v>
      </c>
      <c r="L422">
        <v>207</v>
      </c>
      <c r="M422" t="s">
        <v>25</v>
      </c>
      <c r="N422" t="s">
        <v>20</v>
      </c>
      <c r="O422">
        <v>213</v>
      </c>
      <c r="P422" t="s">
        <v>1313</v>
      </c>
      <c r="Q422" t="s">
        <v>20</v>
      </c>
      <c r="R422">
        <v>254</v>
      </c>
      <c r="S422" t="s">
        <v>1314</v>
      </c>
      <c r="T422" t="s">
        <v>20</v>
      </c>
      <c r="U422">
        <v>379</v>
      </c>
      <c r="V422" t="s">
        <v>1315</v>
      </c>
      <c r="W422" t="s">
        <v>20</v>
      </c>
    </row>
    <row r="423" spans="1:23" x14ac:dyDescent="0.25">
      <c r="A423">
        <v>6</v>
      </c>
      <c r="B423" t="s">
        <v>167</v>
      </c>
      <c r="C423" t="str">
        <f>HYPERLINK("http://www.ncbi.nlm.nih.gov/protein/NWX86836.1","NWX86836.1")</f>
        <v>NWX86836.1</v>
      </c>
      <c r="D423">
        <v>13431</v>
      </c>
      <c r="E423" t="str">
        <f>HYPERLINK("http://www.ncbi.nlm.nih.gov/Taxonomy/Browser/wwwtax.cgi?mode=Info&amp;id=2585814&amp;lvl=3&amp;lin=f&amp;keep=1&amp;srchmode=1&amp;unlock","2585814")</f>
        <v>2585814</v>
      </c>
      <c r="F423" t="s">
        <v>167</v>
      </c>
      <c r="G423" t="str">
        <f>HYPERLINK("http://www.ncbi.nlm.nih.gov/Taxonomy/Browser/wwwtax.cgi?mode=Info&amp;id=2585814&amp;lvl=3&amp;lin=f&amp;keep=1&amp;srchmode=1&amp;unlock","Nothoprocta pentlandii")</f>
        <v>Nothoprocta pentlandii</v>
      </c>
      <c r="H423" t="s">
        <v>196</v>
      </c>
      <c r="I423" t="str">
        <f>HYPERLINK("http://www.ncbi.nlm.nih.gov/protein/NWX86836.1","ANDR protein")</f>
        <v>ANDR protein</v>
      </c>
      <c r="J423" t="s">
        <v>1323</v>
      </c>
      <c r="K423" t="s">
        <v>20</v>
      </c>
      <c r="L423">
        <v>168</v>
      </c>
      <c r="M423" t="s">
        <v>25</v>
      </c>
      <c r="N423" t="s">
        <v>20</v>
      </c>
      <c r="O423">
        <v>174</v>
      </c>
      <c r="P423" t="s">
        <v>1313</v>
      </c>
      <c r="Q423" t="s">
        <v>20</v>
      </c>
      <c r="R423">
        <v>215</v>
      </c>
      <c r="S423" t="s">
        <v>1314</v>
      </c>
      <c r="T423" t="s">
        <v>20</v>
      </c>
      <c r="U423">
        <v>340</v>
      </c>
      <c r="V423" t="s">
        <v>1315</v>
      </c>
      <c r="W423" t="s">
        <v>20</v>
      </c>
    </row>
    <row r="424" spans="1:23" x14ac:dyDescent="0.25">
      <c r="A424">
        <v>6</v>
      </c>
      <c r="B424" t="s">
        <v>167</v>
      </c>
      <c r="C424" t="str">
        <f>HYPERLINK("http://www.ncbi.nlm.nih.gov/protein/NXA45752.1","NXA45752.1")</f>
        <v>NXA45752.1</v>
      </c>
      <c r="D424">
        <v>13387</v>
      </c>
      <c r="E424" t="str">
        <f>HYPERLINK("http://www.ncbi.nlm.nih.gov/Taxonomy/Browser/wwwtax.cgi?mode=Info&amp;id=2585813&amp;lvl=3&amp;lin=f&amp;keep=1&amp;srchmode=1&amp;unlock","2585813")</f>
        <v>2585813</v>
      </c>
      <c r="F424" t="s">
        <v>167</v>
      </c>
      <c r="G424" t="str">
        <f>HYPERLINK("http://www.ncbi.nlm.nih.gov/Taxonomy/Browser/wwwtax.cgi?mode=Info&amp;id=2585813&amp;lvl=3&amp;lin=f&amp;keep=1&amp;srchmode=1&amp;unlock","Nothocercus julius")</f>
        <v>Nothocercus julius</v>
      </c>
      <c r="H424" t="s">
        <v>196</v>
      </c>
      <c r="I424" t="str">
        <f>HYPERLINK("http://www.ncbi.nlm.nih.gov/protein/NXA45752.1","ANDR protein")</f>
        <v>ANDR protein</v>
      </c>
      <c r="J424" t="s">
        <v>1323</v>
      </c>
      <c r="K424" t="s">
        <v>20</v>
      </c>
      <c r="L424">
        <v>168</v>
      </c>
      <c r="M424" t="s">
        <v>25</v>
      </c>
      <c r="N424" t="s">
        <v>20</v>
      </c>
      <c r="O424">
        <v>174</v>
      </c>
      <c r="P424" t="s">
        <v>1313</v>
      </c>
      <c r="Q424" t="s">
        <v>20</v>
      </c>
      <c r="R424">
        <v>215</v>
      </c>
      <c r="S424" t="s">
        <v>1314</v>
      </c>
      <c r="T424" t="s">
        <v>20</v>
      </c>
      <c r="U424">
        <v>340</v>
      </c>
      <c r="V424" t="s">
        <v>1315</v>
      </c>
      <c r="W424" t="s">
        <v>20</v>
      </c>
    </row>
    <row r="425" spans="1:23" x14ac:dyDescent="0.25">
      <c r="A425">
        <v>6</v>
      </c>
      <c r="B425" t="s">
        <v>167</v>
      </c>
      <c r="C425" t="str">
        <f>HYPERLINK("http://www.ncbi.nlm.nih.gov/protein/NWX97377.1","NWX97377.1")</f>
        <v>NWX97377.1</v>
      </c>
      <c r="D425">
        <v>13754</v>
      </c>
      <c r="E425" t="str">
        <f>HYPERLINK("http://www.ncbi.nlm.nih.gov/Taxonomy/Browser/wwwtax.cgi?mode=Info&amp;id=83376&amp;lvl=3&amp;lin=f&amp;keep=1&amp;srchmode=1&amp;unlock","83376")</f>
        <v>83376</v>
      </c>
      <c r="F425" t="s">
        <v>167</v>
      </c>
      <c r="G425" t="str">
        <f>HYPERLINK("http://www.ncbi.nlm.nih.gov/Taxonomy/Browser/wwwtax.cgi?mode=Info&amp;id=83376&amp;lvl=3&amp;lin=f&amp;keep=1&amp;srchmode=1&amp;unlock","Nothoprocta ornata")</f>
        <v>Nothoprocta ornata</v>
      </c>
      <c r="H425" t="s">
        <v>196</v>
      </c>
      <c r="I425" t="str">
        <f>HYPERLINK("http://www.ncbi.nlm.nih.gov/protein/NWX97377.1","ANDR protein")</f>
        <v>ANDR protein</v>
      </c>
      <c r="J425" t="s">
        <v>1323</v>
      </c>
      <c r="K425" t="s">
        <v>20</v>
      </c>
      <c r="L425">
        <v>168</v>
      </c>
      <c r="M425" t="s">
        <v>25</v>
      </c>
      <c r="N425" t="s">
        <v>20</v>
      </c>
      <c r="O425">
        <v>174</v>
      </c>
      <c r="P425" t="s">
        <v>1313</v>
      </c>
      <c r="Q425" t="s">
        <v>20</v>
      </c>
      <c r="R425">
        <v>215</v>
      </c>
      <c r="S425" t="s">
        <v>1314</v>
      </c>
      <c r="T425" t="s">
        <v>20</v>
      </c>
      <c r="U425">
        <v>340</v>
      </c>
      <c r="V425" t="s">
        <v>1315</v>
      </c>
      <c r="W425" t="s">
        <v>20</v>
      </c>
    </row>
    <row r="426" spans="1:23" x14ac:dyDescent="0.25">
      <c r="A426">
        <v>6</v>
      </c>
      <c r="B426" t="s">
        <v>167</v>
      </c>
      <c r="C426" t="str">
        <f>HYPERLINK("http://www.ncbi.nlm.nih.gov/protein/NWW76724.1","NWW76724.1")</f>
        <v>NWW76724.1</v>
      </c>
      <c r="D426">
        <v>14135</v>
      </c>
      <c r="E426" t="str">
        <f>HYPERLINK("http://www.ncbi.nlm.nih.gov/Taxonomy/Browser/wwwtax.cgi?mode=Info&amp;id=47695&amp;lvl=3&amp;lin=f&amp;keep=1&amp;srchmode=1&amp;unlock","47695")</f>
        <v>47695</v>
      </c>
      <c r="F426" t="s">
        <v>167</v>
      </c>
      <c r="G426" t="str">
        <f>HYPERLINK("http://www.ncbi.nlm.nih.gov/Taxonomy/Browser/wwwtax.cgi?mode=Info&amp;id=47695&amp;lvl=3&amp;lin=f&amp;keep=1&amp;srchmode=1&amp;unlock","Climacteris rufus")</f>
        <v>Climacteris rufus</v>
      </c>
      <c r="H426" t="s">
        <v>495</v>
      </c>
      <c r="I426" t="str">
        <f>HYPERLINK("http://www.ncbi.nlm.nih.gov/protein/NWW76724.1","ANDR protein")</f>
        <v>ANDR protein</v>
      </c>
      <c r="J426" t="s">
        <v>1323</v>
      </c>
      <c r="K426" t="s">
        <v>20</v>
      </c>
      <c r="L426">
        <v>168</v>
      </c>
      <c r="M426" t="s">
        <v>25</v>
      </c>
      <c r="N426" t="s">
        <v>20</v>
      </c>
      <c r="O426">
        <v>174</v>
      </c>
      <c r="P426" t="s">
        <v>1313</v>
      </c>
      <c r="Q426" t="s">
        <v>20</v>
      </c>
      <c r="R426">
        <v>215</v>
      </c>
      <c r="S426" t="s">
        <v>1314</v>
      </c>
      <c r="T426" t="s">
        <v>20</v>
      </c>
      <c r="U426">
        <v>340</v>
      </c>
      <c r="V426" t="s">
        <v>1315</v>
      </c>
      <c r="W426" t="s">
        <v>20</v>
      </c>
    </row>
    <row r="427" spans="1:23" x14ac:dyDescent="0.25">
      <c r="A427">
        <v>6</v>
      </c>
      <c r="B427" t="s">
        <v>167</v>
      </c>
      <c r="C427" t="str">
        <f>HYPERLINK("http://www.ncbi.nlm.nih.gov/protein/NXJ67296.1","NXJ67296.1")</f>
        <v>NXJ67296.1</v>
      </c>
      <c r="D427">
        <v>14258</v>
      </c>
      <c r="E427" t="str">
        <f>HYPERLINK("http://www.ncbi.nlm.nih.gov/Taxonomy/Browser/wwwtax.cgi?mode=Info&amp;id=118793&amp;lvl=3&amp;lin=f&amp;keep=1&amp;srchmode=1&amp;unlock","118793")</f>
        <v>118793</v>
      </c>
      <c r="F427" t="s">
        <v>167</v>
      </c>
      <c r="G427" t="str">
        <f>HYPERLINK("http://www.ncbi.nlm.nih.gov/Taxonomy/Browser/wwwtax.cgi?mode=Info&amp;id=118793&amp;lvl=3&amp;lin=f&amp;keep=1&amp;srchmode=1&amp;unlock","Rostratula benghalensis")</f>
        <v>Rostratula benghalensis</v>
      </c>
      <c r="H427" t="s">
        <v>316</v>
      </c>
      <c r="I427" t="str">
        <f>HYPERLINK("http://www.ncbi.nlm.nih.gov/protein/NXJ67296.1","ANDR protein")</f>
        <v>ANDR protein</v>
      </c>
      <c r="J427" t="s">
        <v>1323</v>
      </c>
      <c r="K427" t="s">
        <v>20</v>
      </c>
      <c r="L427">
        <v>168</v>
      </c>
      <c r="M427" t="s">
        <v>25</v>
      </c>
      <c r="N427" t="s">
        <v>20</v>
      </c>
      <c r="O427">
        <v>174</v>
      </c>
      <c r="P427" t="s">
        <v>1313</v>
      </c>
      <c r="Q427" t="s">
        <v>20</v>
      </c>
      <c r="R427">
        <v>215</v>
      </c>
      <c r="S427" t="s">
        <v>1314</v>
      </c>
      <c r="T427" t="s">
        <v>20</v>
      </c>
      <c r="U427">
        <v>340</v>
      </c>
      <c r="V427" t="s">
        <v>1315</v>
      </c>
      <c r="W427" t="s">
        <v>20</v>
      </c>
    </row>
    <row r="428" spans="1:23" x14ac:dyDescent="0.25">
      <c r="A428">
        <v>6</v>
      </c>
      <c r="B428" t="s">
        <v>167</v>
      </c>
      <c r="C428" t="str">
        <f>HYPERLINK("http://www.ncbi.nlm.nih.gov/protein/NXO49100.1","NXO49100.1")</f>
        <v>NXO49100.1</v>
      </c>
      <c r="D428">
        <v>14352</v>
      </c>
      <c r="E428" t="str">
        <f>HYPERLINK("http://www.ncbi.nlm.nih.gov/Taxonomy/Browser/wwwtax.cgi?mode=Info&amp;id=54356&amp;lvl=3&amp;lin=f&amp;keep=1&amp;srchmode=1&amp;unlock","54356")</f>
        <v>54356</v>
      </c>
      <c r="F428" t="s">
        <v>167</v>
      </c>
      <c r="G428" t="str">
        <f>HYPERLINK("http://www.ncbi.nlm.nih.gov/Taxonomy/Browser/wwwtax.cgi?mode=Info&amp;id=54356&amp;lvl=3&amp;lin=f&amp;keep=1&amp;srchmode=1&amp;unlock","Aramus guarauna")</f>
        <v>Aramus guarauna</v>
      </c>
      <c r="H428" t="s">
        <v>344</v>
      </c>
      <c r="I428" t="str">
        <f>HYPERLINK("http://www.ncbi.nlm.nih.gov/protein/NXO49100.1","ANDR protein")</f>
        <v>ANDR protein</v>
      </c>
      <c r="J428" t="s">
        <v>1323</v>
      </c>
      <c r="K428" t="s">
        <v>20</v>
      </c>
      <c r="L428">
        <v>168</v>
      </c>
      <c r="M428" t="s">
        <v>25</v>
      </c>
      <c r="N428" t="s">
        <v>20</v>
      </c>
      <c r="O428">
        <v>174</v>
      </c>
      <c r="P428" t="s">
        <v>1313</v>
      </c>
      <c r="Q428" t="s">
        <v>20</v>
      </c>
      <c r="R428">
        <v>215</v>
      </c>
      <c r="S428" t="s">
        <v>1314</v>
      </c>
      <c r="T428" t="s">
        <v>20</v>
      </c>
      <c r="U428">
        <v>340</v>
      </c>
      <c r="V428" t="s">
        <v>1315</v>
      </c>
      <c r="W428" t="s">
        <v>20</v>
      </c>
    </row>
    <row r="429" spans="1:23" x14ac:dyDescent="0.25">
      <c r="A429">
        <v>6</v>
      </c>
      <c r="B429" t="s">
        <v>167</v>
      </c>
      <c r="C429" t="str">
        <f>HYPERLINK("http://www.ncbi.nlm.nih.gov/protein/NXA36954.1","NXA36954.1")</f>
        <v>NXA36954.1</v>
      </c>
      <c r="D429">
        <v>13771</v>
      </c>
      <c r="E429" t="str">
        <f>HYPERLINK("http://www.ncbi.nlm.nih.gov/Taxonomy/Browser/wwwtax.cgi?mode=Info&amp;id=8805&amp;lvl=3&amp;lin=f&amp;keep=1&amp;srchmode=1&amp;unlock","8805")</f>
        <v>8805</v>
      </c>
      <c r="F429" t="s">
        <v>167</v>
      </c>
      <c r="G429" t="str">
        <f>HYPERLINK("http://www.ncbi.nlm.nih.gov/Taxonomy/Browser/wwwtax.cgi?mode=Info&amp;id=8805&amp;lvl=3&amp;lin=f&amp;keep=1&amp;srchmode=1&amp;unlock","Eudromia elegans")</f>
        <v>Eudromia elegans</v>
      </c>
      <c r="H429" t="s">
        <v>485</v>
      </c>
      <c r="I429" t="str">
        <f>HYPERLINK("http://www.ncbi.nlm.nih.gov/protein/NXA36954.1","ANDR protein")</f>
        <v>ANDR protein</v>
      </c>
      <c r="J429" t="s">
        <v>1323</v>
      </c>
      <c r="K429" t="s">
        <v>20</v>
      </c>
      <c r="L429">
        <v>168</v>
      </c>
      <c r="M429" t="s">
        <v>25</v>
      </c>
      <c r="N429" t="s">
        <v>20</v>
      </c>
      <c r="O429">
        <v>174</v>
      </c>
      <c r="P429" t="s">
        <v>1313</v>
      </c>
      <c r="Q429" t="s">
        <v>20</v>
      </c>
      <c r="R429">
        <v>215</v>
      </c>
      <c r="S429" t="s">
        <v>1314</v>
      </c>
      <c r="T429" t="s">
        <v>20</v>
      </c>
      <c r="U429">
        <v>340</v>
      </c>
      <c r="V429" t="s">
        <v>1315</v>
      </c>
      <c r="W429" t="s">
        <v>20</v>
      </c>
    </row>
    <row r="430" spans="1:23" x14ac:dyDescent="0.25">
      <c r="A430">
        <v>6</v>
      </c>
      <c r="B430" t="s">
        <v>167</v>
      </c>
      <c r="C430" t="str">
        <f>HYPERLINK("http://www.ncbi.nlm.nih.gov/protein/XP_013809075.1","XP_013809075.1")</f>
        <v>XP_013809075.1</v>
      </c>
      <c r="D430">
        <v>22840</v>
      </c>
      <c r="E430" t="str">
        <f>HYPERLINK("http://www.ncbi.nlm.nih.gov/Taxonomy/Browser/wwwtax.cgi?mode=Info&amp;id=202946&amp;lvl=3&amp;lin=f&amp;keep=1&amp;srchmode=1&amp;unlock","202946")</f>
        <v>202946</v>
      </c>
      <c r="F430" t="s">
        <v>167</v>
      </c>
      <c r="G430" t="str">
        <f>HYPERLINK("http://www.ncbi.nlm.nih.gov/Taxonomy/Browser/wwwtax.cgi?mode=Info&amp;id=202946&amp;lvl=3&amp;lin=f&amp;keep=1&amp;srchmode=1&amp;unlock","Apteryx mantelli mantelli")</f>
        <v>Apteryx mantelli mantelli</v>
      </c>
      <c r="H430" t="s">
        <v>209</v>
      </c>
      <c r="I430" t="str">
        <f>HYPERLINK("http://www.ncbi.nlm.nih.gov/protein/XP_013809075.1","PREDICTED: androgen receptor")</f>
        <v>PREDICTED: androgen receptor</v>
      </c>
      <c r="J430" t="s">
        <v>1323</v>
      </c>
      <c r="K430" t="s">
        <v>20</v>
      </c>
      <c r="L430">
        <v>183</v>
      </c>
      <c r="M430" t="s">
        <v>25</v>
      </c>
      <c r="N430" t="s">
        <v>20</v>
      </c>
      <c r="O430">
        <v>189</v>
      </c>
      <c r="P430" t="s">
        <v>1313</v>
      </c>
      <c r="Q430" t="s">
        <v>20</v>
      </c>
      <c r="R430">
        <v>230</v>
      </c>
      <c r="S430" t="s">
        <v>1314</v>
      </c>
      <c r="T430" t="s">
        <v>20</v>
      </c>
      <c r="U430">
        <v>355</v>
      </c>
      <c r="V430" t="s">
        <v>1315</v>
      </c>
      <c r="W430" t="s">
        <v>20</v>
      </c>
    </row>
    <row r="431" spans="1:23" x14ac:dyDescent="0.25">
      <c r="A431">
        <v>6</v>
      </c>
      <c r="B431" t="s">
        <v>167</v>
      </c>
      <c r="C431" t="str">
        <f>HYPERLINK("http://www.ncbi.nlm.nih.gov/protein/NWX53097.1","NWX53097.1")</f>
        <v>NWX53097.1</v>
      </c>
      <c r="D431">
        <v>14617</v>
      </c>
      <c r="E431" t="str">
        <f>HYPERLINK("http://www.ncbi.nlm.nih.gov/Taxonomy/Browser/wwwtax.cgi?mode=Info&amp;id=48435&amp;lvl=3&amp;lin=f&amp;keep=1&amp;srchmode=1&amp;unlock","48435")</f>
        <v>48435</v>
      </c>
      <c r="F431" t="s">
        <v>167</v>
      </c>
      <c r="G431" t="str">
        <f>HYPERLINK("http://www.ncbi.nlm.nih.gov/Taxonomy/Browser/wwwtax.cgi?mode=Info&amp;id=48435&amp;lvl=3&amp;lin=f&amp;keep=1&amp;srchmode=1&amp;unlock","Steatornis caripensis")</f>
        <v>Steatornis caripensis</v>
      </c>
      <c r="H431" t="s">
        <v>263</v>
      </c>
      <c r="I431" t="str">
        <f>HYPERLINK("http://www.ncbi.nlm.nih.gov/protein/NWX53097.1","ANDR protein")</f>
        <v>ANDR protein</v>
      </c>
      <c r="J431" t="s">
        <v>1323</v>
      </c>
      <c r="K431" t="s">
        <v>20</v>
      </c>
      <c r="L431">
        <v>168</v>
      </c>
      <c r="M431" t="s">
        <v>25</v>
      </c>
      <c r="N431" t="s">
        <v>20</v>
      </c>
      <c r="O431">
        <v>174</v>
      </c>
      <c r="P431" t="s">
        <v>1313</v>
      </c>
      <c r="Q431" t="s">
        <v>20</v>
      </c>
      <c r="R431">
        <v>215</v>
      </c>
      <c r="S431" t="s">
        <v>1314</v>
      </c>
      <c r="T431" t="s">
        <v>20</v>
      </c>
      <c r="U431">
        <v>340</v>
      </c>
      <c r="V431" t="s">
        <v>1315</v>
      </c>
      <c r="W431" t="s">
        <v>20</v>
      </c>
    </row>
    <row r="432" spans="1:23" x14ac:dyDescent="0.25">
      <c r="A432">
        <v>6</v>
      </c>
      <c r="B432" t="s">
        <v>167</v>
      </c>
      <c r="C432" t="str">
        <f>HYPERLINK("http://www.ncbi.nlm.nih.gov/protein/NXT94797.1","NXT94797.1")</f>
        <v>NXT94797.1</v>
      </c>
      <c r="D432">
        <v>10510</v>
      </c>
      <c r="E432" t="str">
        <f>HYPERLINK("http://www.ncbi.nlm.nih.gov/Taxonomy/Browser/wwwtax.cgi?mode=Info&amp;id=317792&amp;lvl=3&amp;lin=f&amp;keep=1&amp;srchmode=1&amp;unlock","317792")</f>
        <v>317792</v>
      </c>
      <c r="F432" t="s">
        <v>167</v>
      </c>
      <c r="G432" t="str">
        <f>HYPERLINK("http://www.ncbi.nlm.nih.gov/Taxonomy/Browser/wwwtax.cgi?mode=Info&amp;id=317792&amp;lvl=3&amp;lin=f&amp;keep=1&amp;srchmode=1&amp;unlock","Anhinga rufa")</f>
        <v>Anhinga rufa</v>
      </c>
      <c r="H432" t="s">
        <v>347</v>
      </c>
      <c r="I432" t="str">
        <f>HYPERLINK("http://www.ncbi.nlm.nih.gov/protein/NXT94797.1","ANDR protein")</f>
        <v>ANDR protein</v>
      </c>
      <c r="J432" t="s">
        <v>1323</v>
      </c>
      <c r="K432" t="s">
        <v>20</v>
      </c>
      <c r="L432">
        <v>168</v>
      </c>
      <c r="M432" t="s">
        <v>25</v>
      </c>
      <c r="N432" t="s">
        <v>20</v>
      </c>
      <c r="O432">
        <v>174</v>
      </c>
      <c r="P432" t="s">
        <v>1313</v>
      </c>
      <c r="Q432" t="s">
        <v>20</v>
      </c>
      <c r="R432">
        <v>215</v>
      </c>
      <c r="S432" t="s">
        <v>1314</v>
      </c>
      <c r="T432" t="s">
        <v>20</v>
      </c>
      <c r="U432">
        <v>340</v>
      </c>
      <c r="V432" t="s">
        <v>1315</v>
      </c>
      <c r="W432" t="s">
        <v>20</v>
      </c>
    </row>
    <row r="433" spans="1:23" x14ac:dyDescent="0.25">
      <c r="A433">
        <v>6</v>
      </c>
      <c r="B433" t="s">
        <v>167</v>
      </c>
      <c r="C433" t="str">
        <f>HYPERLINK("http://www.ncbi.nlm.nih.gov/protein/NXC68749.1","NXC68749.1")</f>
        <v>NXC68749.1</v>
      </c>
      <c r="D433">
        <v>13634</v>
      </c>
      <c r="E433" t="str">
        <f>HYPERLINK("http://www.ncbi.nlm.nih.gov/Taxonomy/Browser/wwwtax.cgi?mode=Info&amp;id=56067&amp;lvl=3&amp;lin=f&amp;keep=1&amp;srchmode=1&amp;unlock","56067")</f>
        <v>56067</v>
      </c>
      <c r="F433" t="s">
        <v>167</v>
      </c>
      <c r="G433" t="str">
        <f>HYPERLINK("http://www.ncbi.nlm.nih.gov/Taxonomy/Browser/wwwtax.cgi?mode=Info&amp;id=56067&amp;lvl=3&amp;lin=f&amp;keep=1&amp;srchmode=1&amp;unlock","Anhinga anhinga")</f>
        <v>Anhinga anhinga</v>
      </c>
      <c r="H433" t="s">
        <v>297</v>
      </c>
      <c r="I433" t="str">
        <f>HYPERLINK("http://www.ncbi.nlm.nih.gov/protein/NXC68749.1","ANDR protein")</f>
        <v>ANDR protein</v>
      </c>
      <c r="J433" t="s">
        <v>1323</v>
      </c>
      <c r="K433" t="s">
        <v>20</v>
      </c>
      <c r="L433">
        <v>168</v>
      </c>
      <c r="M433" t="s">
        <v>25</v>
      </c>
      <c r="N433" t="s">
        <v>20</v>
      </c>
      <c r="O433">
        <v>174</v>
      </c>
      <c r="P433" t="s">
        <v>1313</v>
      </c>
      <c r="Q433" t="s">
        <v>20</v>
      </c>
      <c r="R433">
        <v>215</v>
      </c>
      <c r="S433" t="s">
        <v>1314</v>
      </c>
      <c r="T433" t="s">
        <v>20</v>
      </c>
      <c r="U433">
        <v>340</v>
      </c>
      <c r="V433" t="s">
        <v>1315</v>
      </c>
      <c r="W433" t="s">
        <v>20</v>
      </c>
    </row>
    <row r="434" spans="1:23" x14ac:dyDescent="0.25">
      <c r="A434">
        <v>6</v>
      </c>
      <c r="B434" t="s">
        <v>167</v>
      </c>
      <c r="C434" t="str">
        <f>HYPERLINK("http://www.ncbi.nlm.nih.gov/protein/NXM75698.1","NXM75698.1")</f>
        <v>NXM75698.1</v>
      </c>
      <c r="D434">
        <v>14138</v>
      </c>
      <c r="E434" t="str">
        <f>HYPERLINK("http://www.ncbi.nlm.nih.gov/Taxonomy/Browser/wwwtax.cgi?mode=Info&amp;id=239386&amp;lvl=3&amp;lin=f&amp;keep=1&amp;srchmode=1&amp;unlock","239386")</f>
        <v>239386</v>
      </c>
      <c r="F434" t="s">
        <v>167</v>
      </c>
      <c r="G434" t="str">
        <f>HYPERLINK("http://www.ncbi.nlm.nih.gov/Taxonomy/Browser/wwwtax.cgi?mode=Info&amp;id=239386&amp;lvl=3&amp;lin=f&amp;keep=1&amp;srchmode=1&amp;unlock","Serilophus lunatus")</f>
        <v>Serilophus lunatus</v>
      </c>
      <c r="H434" t="s">
        <v>443</v>
      </c>
      <c r="I434" t="str">
        <f>HYPERLINK("http://www.ncbi.nlm.nih.gov/protein/NXM75698.1","ANDR protein")</f>
        <v>ANDR protein</v>
      </c>
      <c r="J434" t="s">
        <v>1323</v>
      </c>
      <c r="K434" t="s">
        <v>20</v>
      </c>
      <c r="L434">
        <v>168</v>
      </c>
      <c r="M434" t="s">
        <v>25</v>
      </c>
      <c r="N434" t="s">
        <v>20</v>
      </c>
      <c r="O434">
        <v>174</v>
      </c>
      <c r="P434" t="s">
        <v>1313</v>
      </c>
      <c r="Q434" t="s">
        <v>20</v>
      </c>
      <c r="R434">
        <v>215</v>
      </c>
      <c r="S434" t="s">
        <v>1314</v>
      </c>
      <c r="T434" t="s">
        <v>20</v>
      </c>
      <c r="U434">
        <v>340</v>
      </c>
      <c r="V434" t="s">
        <v>1315</v>
      </c>
      <c r="W434" t="s">
        <v>20</v>
      </c>
    </row>
    <row r="435" spans="1:23" x14ac:dyDescent="0.25">
      <c r="A435">
        <v>6</v>
      </c>
      <c r="B435" t="s">
        <v>167</v>
      </c>
      <c r="C435" t="str">
        <f>HYPERLINK("http://www.ncbi.nlm.nih.gov/protein/XP_009675620.1","XP_009675620.1")</f>
        <v>XP_009675620.1</v>
      </c>
      <c r="D435">
        <v>39498</v>
      </c>
      <c r="E435" t="str">
        <f>HYPERLINK("http://www.ncbi.nlm.nih.gov/Taxonomy/Browser/wwwtax.cgi?mode=Info&amp;id=441894&amp;lvl=3&amp;lin=f&amp;keep=1&amp;srchmode=1&amp;unlock","441894")</f>
        <v>441894</v>
      </c>
      <c r="F435" t="s">
        <v>167</v>
      </c>
      <c r="G435" t="str">
        <f>HYPERLINK("http://www.ncbi.nlm.nih.gov/Taxonomy/Browser/wwwtax.cgi?mode=Info&amp;id=441894&amp;lvl=3&amp;lin=f&amp;keep=1&amp;srchmode=1&amp;unlock","Struthio camelus australis")</f>
        <v>Struthio camelus australis</v>
      </c>
      <c r="H435" t="s">
        <v>370</v>
      </c>
      <c r="I435" t="str">
        <f>HYPERLINK("http://www.ncbi.nlm.nih.gov/protein/XP_009675620.1","PREDICTED: androgen receptor")</f>
        <v>PREDICTED: androgen receptor</v>
      </c>
      <c r="J435" t="s">
        <v>1323</v>
      </c>
      <c r="K435" t="s">
        <v>20</v>
      </c>
      <c r="L435">
        <v>353</v>
      </c>
      <c r="M435" t="s">
        <v>25</v>
      </c>
      <c r="N435" t="s">
        <v>20</v>
      </c>
      <c r="O435">
        <v>359</v>
      </c>
      <c r="P435" t="s">
        <v>1313</v>
      </c>
      <c r="Q435" t="s">
        <v>20</v>
      </c>
      <c r="R435">
        <v>400</v>
      </c>
      <c r="S435" t="s">
        <v>1314</v>
      </c>
      <c r="T435" t="s">
        <v>20</v>
      </c>
      <c r="U435">
        <v>525</v>
      </c>
      <c r="V435" t="s">
        <v>1315</v>
      </c>
      <c r="W435" t="s">
        <v>20</v>
      </c>
    </row>
    <row r="436" spans="1:23" x14ac:dyDescent="0.25">
      <c r="A436">
        <v>6</v>
      </c>
      <c r="B436" t="s">
        <v>167</v>
      </c>
      <c r="C436" t="str">
        <f>HYPERLINK("http://www.ncbi.nlm.nih.gov/protein/XP_031410502.1","XP_031410502.1")</f>
        <v>XP_031410502.1</v>
      </c>
      <c r="D436">
        <v>30542</v>
      </c>
      <c r="E436" t="str">
        <f>HYPERLINK("http://www.ncbi.nlm.nih.gov/Taxonomy/Browser/wwwtax.cgi?mode=Info&amp;id=9103&amp;lvl=3&amp;lin=f&amp;keep=1&amp;srchmode=1&amp;unlock","9103")</f>
        <v>9103</v>
      </c>
      <c r="F436" t="s">
        <v>167</v>
      </c>
      <c r="G436" t="str">
        <f>HYPERLINK("http://www.ncbi.nlm.nih.gov/Taxonomy/Browser/wwwtax.cgi?mode=Info&amp;id=9103&amp;lvl=3&amp;lin=f&amp;keep=1&amp;srchmode=1&amp;unlock","Meleagris gallopavo")</f>
        <v>Meleagris gallopavo</v>
      </c>
      <c r="H436" t="s">
        <v>590</v>
      </c>
      <c r="I436" t="str">
        <f>HYPERLINK("http://www.ncbi.nlm.nih.gov/protein/XP_031410502.1","androgen receptor")</f>
        <v>androgen receptor</v>
      </c>
      <c r="J436" t="s">
        <v>1323</v>
      </c>
      <c r="K436" t="s">
        <v>20</v>
      </c>
      <c r="L436">
        <v>160</v>
      </c>
      <c r="M436" t="s">
        <v>25</v>
      </c>
      <c r="N436" t="s">
        <v>20</v>
      </c>
      <c r="O436">
        <v>166</v>
      </c>
      <c r="P436" t="s">
        <v>1313</v>
      </c>
      <c r="Q436" t="s">
        <v>20</v>
      </c>
      <c r="R436">
        <v>207</v>
      </c>
      <c r="S436" t="s">
        <v>1314</v>
      </c>
      <c r="T436" t="s">
        <v>20</v>
      </c>
      <c r="U436">
        <v>332</v>
      </c>
      <c r="V436" t="s">
        <v>1315</v>
      </c>
      <c r="W436" t="s">
        <v>20</v>
      </c>
    </row>
    <row r="437" spans="1:23" x14ac:dyDescent="0.25">
      <c r="A437">
        <v>6</v>
      </c>
      <c r="B437" t="s">
        <v>167</v>
      </c>
      <c r="C437" t="str">
        <f>HYPERLINK("http://www.ncbi.nlm.nih.gov/protein/NXW56789.1","NXW56789.1")</f>
        <v>NXW56789.1</v>
      </c>
      <c r="D437">
        <v>13972</v>
      </c>
      <c r="E437" t="str">
        <f>HYPERLINK("http://www.ncbi.nlm.nih.gov/Taxonomy/Browser/wwwtax.cgi?mode=Info&amp;id=325343&amp;lvl=3&amp;lin=f&amp;keep=1&amp;srchmode=1&amp;unlock","325343")</f>
        <v>325343</v>
      </c>
      <c r="F437" t="s">
        <v>167</v>
      </c>
      <c r="G437" t="str">
        <f>HYPERLINK("http://www.ncbi.nlm.nih.gov/Taxonomy/Browser/wwwtax.cgi?mode=Info&amp;id=325343&amp;lvl=3&amp;lin=f&amp;keep=1&amp;srchmode=1&amp;unlock","Eurystomus gularis")</f>
        <v>Eurystomus gularis</v>
      </c>
      <c r="H437" t="s">
        <v>238</v>
      </c>
      <c r="I437" t="str">
        <f>HYPERLINK("http://www.ncbi.nlm.nih.gov/protein/NXW56789.1","ANDR protein")</f>
        <v>ANDR protein</v>
      </c>
      <c r="J437" t="s">
        <v>1323</v>
      </c>
      <c r="K437" t="s">
        <v>20</v>
      </c>
      <c r="L437">
        <v>169</v>
      </c>
      <c r="M437" t="s">
        <v>25</v>
      </c>
      <c r="N437" t="s">
        <v>20</v>
      </c>
      <c r="O437">
        <v>175</v>
      </c>
      <c r="P437" t="s">
        <v>1313</v>
      </c>
      <c r="Q437" t="s">
        <v>20</v>
      </c>
      <c r="R437">
        <v>216</v>
      </c>
      <c r="S437" t="s">
        <v>1314</v>
      </c>
      <c r="T437" t="s">
        <v>20</v>
      </c>
      <c r="U437">
        <v>341</v>
      </c>
      <c r="V437" t="s">
        <v>1315</v>
      </c>
      <c r="W437" t="s">
        <v>20</v>
      </c>
    </row>
    <row r="438" spans="1:23" x14ac:dyDescent="0.25">
      <c r="A438">
        <v>6</v>
      </c>
      <c r="B438" t="s">
        <v>167</v>
      </c>
      <c r="C438" t="str">
        <f>HYPERLINK("http://www.ncbi.nlm.nih.gov/protein/NXI03838.1","NXI03838.1")</f>
        <v>NXI03838.1</v>
      </c>
      <c r="D438">
        <v>13430</v>
      </c>
      <c r="E438" t="str">
        <f>HYPERLINK("http://www.ncbi.nlm.nih.gov/Taxonomy/Browser/wwwtax.cgi?mode=Info&amp;id=449367&amp;lvl=3&amp;lin=f&amp;keep=1&amp;srchmode=1&amp;unlock","449367")</f>
        <v>449367</v>
      </c>
      <c r="F438" t="s">
        <v>167</v>
      </c>
      <c r="G438" t="str">
        <f>HYPERLINK("http://www.ncbi.nlm.nih.gov/Taxonomy/Browser/wwwtax.cgi?mode=Info&amp;id=449367&amp;lvl=3&amp;lin=f&amp;keep=1&amp;srchmode=1&amp;unlock","Pachycephala philippinensis")</f>
        <v>Pachycephala philippinensis</v>
      </c>
      <c r="H438" t="s">
        <v>309</v>
      </c>
      <c r="I438" t="str">
        <f>HYPERLINK("http://www.ncbi.nlm.nih.gov/protein/NXI03838.1","ANDR protein")</f>
        <v>ANDR protein</v>
      </c>
      <c r="J438" t="s">
        <v>1323</v>
      </c>
      <c r="K438" t="s">
        <v>20</v>
      </c>
      <c r="L438">
        <v>167</v>
      </c>
      <c r="M438" t="s">
        <v>25</v>
      </c>
      <c r="N438" t="s">
        <v>20</v>
      </c>
      <c r="O438">
        <v>173</v>
      </c>
      <c r="P438" t="s">
        <v>1313</v>
      </c>
      <c r="Q438" t="s">
        <v>20</v>
      </c>
      <c r="R438">
        <v>214</v>
      </c>
      <c r="S438" t="s">
        <v>1314</v>
      </c>
      <c r="T438" t="s">
        <v>20</v>
      </c>
      <c r="U438">
        <v>339</v>
      </c>
      <c r="V438" t="s">
        <v>1315</v>
      </c>
      <c r="W438" t="s">
        <v>20</v>
      </c>
    </row>
    <row r="439" spans="1:23" x14ac:dyDescent="0.25">
      <c r="A439">
        <v>6</v>
      </c>
      <c r="B439" t="s">
        <v>167</v>
      </c>
      <c r="C439" t="str">
        <f>HYPERLINK("http://www.ncbi.nlm.nih.gov/protein/NXP93640.1","NXP93640.1")</f>
        <v>NXP93640.1</v>
      </c>
      <c r="D439">
        <v>13042</v>
      </c>
      <c r="E439" t="str">
        <f>HYPERLINK("http://www.ncbi.nlm.nih.gov/Taxonomy/Browser/wwwtax.cgi?mode=Info&amp;id=142471&amp;lvl=3&amp;lin=f&amp;keep=1&amp;srchmode=1&amp;unlock","142471")</f>
        <v>142471</v>
      </c>
      <c r="F439" t="s">
        <v>167</v>
      </c>
      <c r="G439" t="str">
        <f>HYPERLINK("http://www.ncbi.nlm.nih.gov/Taxonomy/Browser/wwwtax.cgi?mode=Info&amp;id=142471&amp;lvl=3&amp;lin=f&amp;keep=1&amp;srchmode=1&amp;unlock","Passerina amoena")</f>
        <v>Passerina amoena</v>
      </c>
      <c r="H439" t="s">
        <v>206</v>
      </c>
      <c r="I439" t="str">
        <f>HYPERLINK("http://www.ncbi.nlm.nih.gov/protein/NXP93640.1","ANDR protein")</f>
        <v>ANDR protein</v>
      </c>
      <c r="J439" t="s">
        <v>1323</v>
      </c>
      <c r="K439" t="s">
        <v>20</v>
      </c>
      <c r="L439">
        <v>220</v>
      </c>
      <c r="M439" t="s">
        <v>25</v>
      </c>
      <c r="N439" t="s">
        <v>20</v>
      </c>
      <c r="O439">
        <v>226</v>
      </c>
      <c r="P439" t="s">
        <v>1313</v>
      </c>
      <c r="Q439" t="s">
        <v>20</v>
      </c>
      <c r="R439">
        <v>267</v>
      </c>
      <c r="S439" t="s">
        <v>1314</v>
      </c>
      <c r="T439" t="s">
        <v>20</v>
      </c>
      <c r="U439">
        <v>392</v>
      </c>
      <c r="V439" t="s">
        <v>1315</v>
      </c>
      <c r="W439" t="s">
        <v>20</v>
      </c>
    </row>
    <row r="440" spans="1:23" x14ac:dyDescent="0.25">
      <c r="A440">
        <v>6</v>
      </c>
      <c r="B440" t="s">
        <v>167</v>
      </c>
      <c r="C440" t="str">
        <f>HYPERLINK("http://www.ncbi.nlm.nih.gov/protein/NXC18930.1","NXC18930.1")</f>
        <v>NXC18930.1</v>
      </c>
      <c r="D440">
        <v>11553</v>
      </c>
      <c r="E440" t="str">
        <f>HYPERLINK("http://www.ncbi.nlm.nih.gov/Taxonomy/Browser/wwwtax.cgi?mode=Info&amp;id=103954&amp;lvl=3&amp;lin=f&amp;keep=1&amp;srchmode=1&amp;unlock","103954")</f>
        <v>103954</v>
      </c>
      <c r="F440" t="s">
        <v>167</v>
      </c>
      <c r="G440" t="str">
        <f>HYPERLINK("http://www.ncbi.nlm.nih.gov/Taxonomy/Browser/wwwtax.cgi?mode=Info&amp;id=103954&amp;lvl=3&amp;lin=f&amp;keep=1&amp;srchmode=1&amp;unlock","Corythaeola cristata")</f>
        <v>Corythaeola cristata</v>
      </c>
      <c r="H440" t="s">
        <v>996</v>
      </c>
      <c r="I440" t="str">
        <f>HYPERLINK("http://www.ncbi.nlm.nih.gov/protein/NXC18930.1","ANDR protein")</f>
        <v>ANDR protein</v>
      </c>
      <c r="J440" t="s">
        <v>1323</v>
      </c>
      <c r="K440" t="s">
        <v>25</v>
      </c>
      <c r="L440">
        <v>202</v>
      </c>
      <c r="M440" t="s">
        <v>25</v>
      </c>
      <c r="N440" t="s">
        <v>20</v>
      </c>
      <c r="O440">
        <v>208</v>
      </c>
      <c r="P440" t="s">
        <v>1313</v>
      </c>
      <c r="Q440" t="s">
        <v>20</v>
      </c>
      <c r="R440">
        <v>234</v>
      </c>
      <c r="S440" t="s">
        <v>1324</v>
      </c>
      <c r="T440" t="s">
        <v>25</v>
      </c>
      <c r="U440">
        <v>371</v>
      </c>
      <c r="V440" t="s">
        <v>1315</v>
      </c>
      <c r="W440" t="s">
        <v>20</v>
      </c>
    </row>
    <row r="441" spans="1:23" x14ac:dyDescent="0.25">
      <c r="A441">
        <v>6</v>
      </c>
      <c r="B441" t="s">
        <v>167</v>
      </c>
      <c r="C441" t="str">
        <f>HYPERLINK("http://www.ncbi.nlm.nih.gov/protein/XP_026704635.1","XP_026704635.1")</f>
        <v>XP_026704635.1</v>
      </c>
      <c r="D441">
        <v>27794</v>
      </c>
      <c r="E441" t="str">
        <f>HYPERLINK("http://www.ncbi.nlm.nih.gov/Taxonomy/Browser/wwwtax.cgi?mode=Info&amp;id=194338&amp;lvl=3&amp;lin=f&amp;keep=1&amp;srchmode=1&amp;unlock","194338")</f>
        <v>194338</v>
      </c>
      <c r="F441" t="s">
        <v>167</v>
      </c>
      <c r="G441" t="str">
        <f>HYPERLINK("http://www.ncbi.nlm.nih.gov/Taxonomy/Browser/wwwtax.cgi?mode=Info&amp;id=194338&amp;lvl=3&amp;lin=f&amp;keep=1&amp;srchmode=1&amp;unlock","Athene cunicularia")</f>
        <v>Athene cunicularia</v>
      </c>
      <c r="H441" t="s">
        <v>275</v>
      </c>
      <c r="I441" t="str">
        <f>HYPERLINK("http://www.ncbi.nlm.nih.gov/protein/XP_026704635.1","androgen receptor")</f>
        <v>androgen receptor</v>
      </c>
      <c r="J441" t="s">
        <v>1323</v>
      </c>
      <c r="K441" t="s">
        <v>20</v>
      </c>
      <c r="L441">
        <v>458</v>
      </c>
      <c r="M441" t="s">
        <v>25</v>
      </c>
      <c r="N441" t="s">
        <v>20</v>
      </c>
      <c r="O441">
        <v>464</v>
      </c>
      <c r="P441" t="s">
        <v>1313</v>
      </c>
      <c r="Q441" t="s">
        <v>20</v>
      </c>
      <c r="R441">
        <v>505</v>
      </c>
      <c r="S441" t="s">
        <v>1314</v>
      </c>
      <c r="T441" t="s">
        <v>20</v>
      </c>
      <c r="U441">
        <v>585</v>
      </c>
      <c r="V441" t="s">
        <v>1315</v>
      </c>
      <c r="W441" t="s">
        <v>20</v>
      </c>
    </row>
    <row r="442" spans="1:23" x14ac:dyDescent="0.25">
      <c r="A442">
        <v>6</v>
      </c>
      <c r="B442" t="s">
        <v>167</v>
      </c>
      <c r="C442" t="str">
        <f>HYPERLINK("http://www.ncbi.nlm.nih.gov/protein/XP_028451343.1","XP_028451343.1")</f>
        <v>XP_028451343.1</v>
      </c>
      <c r="D442">
        <v>65039</v>
      </c>
      <c r="E442" t="str">
        <f>HYPERLINK("http://www.ncbi.nlm.nih.gov/Taxonomy/Browser/wwwtax.cgi?mode=Info&amp;id=8167&amp;lvl=3&amp;lin=f&amp;keep=1&amp;srchmode=1&amp;unlock","8167")</f>
        <v>8167</v>
      </c>
      <c r="F442" t="s">
        <v>384</v>
      </c>
      <c r="G442" t="str">
        <f>HYPERLINK("http://www.ncbi.nlm.nih.gov/Taxonomy/Browser/wwwtax.cgi?mode=Info&amp;id=8167&amp;lvl=3&amp;lin=f&amp;keep=1&amp;srchmode=1&amp;unlock","Perca flavescens")</f>
        <v>Perca flavescens</v>
      </c>
      <c r="H442" t="s">
        <v>545</v>
      </c>
      <c r="I442" t="str">
        <f>HYPERLINK("http://www.ncbi.nlm.nih.gov/protein/XP_028451343.1","androgen receptor-like isoform X2")</f>
        <v>androgen receptor-like isoform X2</v>
      </c>
      <c r="J442" t="s">
        <v>1323</v>
      </c>
      <c r="K442" t="s">
        <v>20</v>
      </c>
      <c r="L442">
        <v>544</v>
      </c>
      <c r="M442" t="s">
        <v>25</v>
      </c>
      <c r="N442" t="s">
        <v>20</v>
      </c>
      <c r="O442">
        <v>550</v>
      </c>
      <c r="P442" t="s">
        <v>1313</v>
      </c>
      <c r="Q442" t="s">
        <v>20</v>
      </c>
      <c r="R442">
        <v>591</v>
      </c>
      <c r="S442" t="s">
        <v>1314</v>
      </c>
      <c r="T442" t="s">
        <v>20</v>
      </c>
      <c r="U442">
        <v>714</v>
      </c>
      <c r="V442" t="s">
        <v>1315</v>
      </c>
      <c r="W442" t="s">
        <v>20</v>
      </c>
    </row>
    <row r="443" spans="1:23" x14ac:dyDescent="0.25">
      <c r="A443">
        <v>6</v>
      </c>
      <c r="B443" t="s">
        <v>167</v>
      </c>
      <c r="C443" t="str">
        <f>HYPERLINK("http://www.ncbi.nlm.nih.gov/protein/XP_009073792.1","XP_009073792.1")</f>
        <v>XP_009073792.1</v>
      </c>
      <c r="D443">
        <v>28094</v>
      </c>
      <c r="E443" t="str">
        <f>HYPERLINK("http://www.ncbi.nlm.nih.gov/Taxonomy/Browser/wwwtax.cgi?mode=Info&amp;id=57068&amp;lvl=3&amp;lin=f&amp;keep=1&amp;srchmode=1&amp;unlock","57068")</f>
        <v>57068</v>
      </c>
      <c r="F443" t="s">
        <v>167</v>
      </c>
      <c r="G443" t="str">
        <f>HYPERLINK("http://www.ncbi.nlm.nih.gov/Taxonomy/Browser/wwwtax.cgi?mode=Info&amp;id=57068&amp;lvl=3&amp;lin=f&amp;keep=1&amp;srchmode=1&amp;unlock","Acanthisitta chloris")</f>
        <v>Acanthisitta chloris</v>
      </c>
      <c r="H443" t="s">
        <v>180</v>
      </c>
      <c r="I443" t="str">
        <f>HYPERLINK("http://www.ncbi.nlm.nih.gov/protein/XP_009073792.1","PREDICTED: androgen receptor")</f>
        <v>PREDICTED: androgen receptor</v>
      </c>
      <c r="J443" t="s">
        <v>1323</v>
      </c>
      <c r="K443" t="s">
        <v>20</v>
      </c>
      <c r="L443">
        <v>82</v>
      </c>
      <c r="M443" t="s">
        <v>25</v>
      </c>
      <c r="N443" t="s">
        <v>20</v>
      </c>
      <c r="O443">
        <v>88</v>
      </c>
      <c r="P443" t="s">
        <v>1313</v>
      </c>
      <c r="Q443" t="s">
        <v>20</v>
      </c>
      <c r="R443">
        <v>129</v>
      </c>
      <c r="S443" t="s">
        <v>1314</v>
      </c>
      <c r="T443" t="s">
        <v>20</v>
      </c>
      <c r="U443">
        <v>254</v>
      </c>
      <c r="V443" t="s">
        <v>1315</v>
      </c>
      <c r="W443" t="s">
        <v>20</v>
      </c>
    </row>
    <row r="444" spans="1:23" x14ac:dyDescent="0.25">
      <c r="A444">
        <v>6</v>
      </c>
      <c r="B444" t="s">
        <v>167</v>
      </c>
      <c r="C444" t="str">
        <f>HYPERLINK("http://www.ncbi.nlm.nih.gov/protein/XP_010125721.1","XP_010125721.1")</f>
        <v>XP_010125721.1</v>
      </c>
      <c r="D444">
        <v>26949</v>
      </c>
      <c r="E444" t="str">
        <f>HYPERLINK("http://www.ncbi.nlm.nih.gov/Taxonomy/Browser/wwwtax.cgi?mode=Info&amp;id=187382&amp;lvl=3&amp;lin=f&amp;keep=1&amp;srchmode=1&amp;unlock","187382")</f>
        <v>187382</v>
      </c>
      <c r="F444" t="s">
        <v>167</v>
      </c>
      <c r="G444" t="str">
        <f>HYPERLINK("http://www.ncbi.nlm.nih.gov/Taxonomy/Browser/wwwtax.cgi?mode=Info&amp;id=187382&amp;lvl=3&amp;lin=f&amp;keep=1&amp;srchmode=1&amp;unlock","Chlamydotis macqueenii")</f>
        <v>Chlamydotis macqueenii</v>
      </c>
      <c r="H444" t="s">
        <v>176</v>
      </c>
      <c r="I444" t="str">
        <f>HYPERLINK("http://www.ncbi.nlm.nih.gov/protein/XP_010125721.1","PREDICTED: androgen receptor-like")</f>
        <v>PREDICTED: androgen receptor-like</v>
      </c>
      <c r="J444" t="s">
        <v>1323</v>
      </c>
      <c r="K444" t="s">
        <v>25</v>
      </c>
      <c r="L444" t="s">
        <v>1317</v>
      </c>
      <c r="M444" t="s">
        <v>1317</v>
      </c>
      <c r="N444" t="s">
        <v>25</v>
      </c>
      <c r="O444" t="s">
        <v>1317</v>
      </c>
      <c r="P444" t="s">
        <v>1317</v>
      </c>
      <c r="Q444" t="s">
        <v>25</v>
      </c>
      <c r="R444">
        <v>19</v>
      </c>
      <c r="S444" t="s">
        <v>1314</v>
      </c>
      <c r="T444" t="s">
        <v>20</v>
      </c>
      <c r="U444">
        <v>144</v>
      </c>
      <c r="V444" t="s">
        <v>1315</v>
      </c>
      <c r="W444" t="s">
        <v>20</v>
      </c>
    </row>
    <row r="445" spans="1:23" x14ac:dyDescent="0.25">
      <c r="A445">
        <v>6</v>
      </c>
      <c r="B445" t="s">
        <v>167</v>
      </c>
      <c r="C445" t="str">
        <f>HYPERLINK("http://www.ncbi.nlm.nih.gov/protein/XP_009570858.1","XP_009570858.1")</f>
        <v>XP_009570858.1</v>
      </c>
      <c r="D445">
        <v>28139</v>
      </c>
      <c r="E445" t="str">
        <f>HYPERLINK("http://www.ncbi.nlm.nih.gov/Taxonomy/Browser/wwwtax.cgi?mode=Info&amp;id=30455&amp;lvl=3&amp;lin=f&amp;keep=1&amp;srchmode=1&amp;unlock","30455")</f>
        <v>30455</v>
      </c>
      <c r="F445" t="s">
        <v>167</v>
      </c>
      <c r="G445" t="str">
        <f>HYPERLINK("http://www.ncbi.nlm.nih.gov/Taxonomy/Browser/wwwtax.cgi?mode=Info&amp;id=30455&amp;lvl=3&amp;lin=f&amp;keep=1&amp;srchmode=1&amp;unlock","Fulmarus glacialis")</f>
        <v>Fulmarus glacialis</v>
      </c>
      <c r="H445" t="s">
        <v>171</v>
      </c>
      <c r="I445" t="str">
        <f>HYPERLINK("http://www.ncbi.nlm.nih.gov/protein/XP_009570858.1","PREDICTED: androgen receptor-like")</f>
        <v>PREDICTED: androgen receptor-like</v>
      </c>
      <c r="J445" t="s">
        <v>1323</v>
      </c>
      <c r="K445" t="s">
        <v>25</v>
      </c>
      <c r="L445" t="s">
        <v>1317</v>
      </c>
      <c r="M445" t="s">
        <v>1317</v>
      </c>
      <c r="N445" t="s">
        <v>25</v>
      </c>
      <c r="O445" t="s">
        <v>1317</v>
      </c>
      <c r="P445" t="s">
        <v>1317</v>
      </c>
      <c r="Q445" t="s">
        <v>25</v>
      </c>
      <c r="R445">
        <v>19</v>
      </c>
      <c r="S445" t="s">
        <v>1314</v>
      </c>
      <c r="T445" t="s">
        <v>20</v>
      </c>
      <c r="U445">
        <v>144</v>
      </c>
      <c r="V445" t="s">
        <v>1315</v>
      </c>
      <c r="W445" t="s">
        <v>20</v>
      </c>
    </row>
    <row r="446" spans="1:23" x14ac:dyDescent="0.25">
      <c r="A446">
        <v>6</v>
      </c>
      <c r="B446" t="s">
        <v>167</v>
      </c>
      <c r="C446" t="str">
        <f>HYPERLINK("http://www.ncbi.nlm.nih.gov/protein/XP_009703239.1","XP_009703239.1")</f>
        <v>XP_009703239.1</v>
      </c>
      <c r="D446">
        <v>27818</v>
      </c>
      <c r="E446" t="str">
        <f>HYPERLINK("http://www.ncbi.nlm.nih.gov/Taxonomy/Browser/wwwtax.cgi?mode=Info&amp;id=54380&amp;lvl=3&amp;lin=f&amp;keep=1&amp;srchmode=1&amp;unlock","54380")</f>
        <v>54380</v>
      </c>
      <c r="F446" t="s">
        <v>167</v>
      </c>
      <c r="G446" t="str">
        <f>HYPERLINK("http://www.ncbi.nlm.nih.gov/Taxonomy/Browser/wwwtax.cgi?mode=Info&amp;id=54380&amp;lvl=3&amp;lin=f&amp;keep=1&amp;srchmode=1&amp;unlock","Cariama cristata")</f>
        <v>Cariama cristata</v>
      </c>
      <c r="H446" t="s">
        <v>282</v>
      </c>
      <c r="I446" t="str">
        <f>HYPERLINK("http://www.ncbi.nlm.nih.gov/protein/XP_009703239.1","PREDICTED: androgen receptor-like")</f>
        <v>PREDICTED: androgen receptor-like</v>
      </c>
      <c r="J446" t="s">
        <v>1323</v>
      </c>
      <c r="K446" t="s">
        <v>25</v>
      </c>
      <c r="L446" t="s">
        <v>1317</v>
      </c>
      <c r="M446" t="s">
        <v>1317</v>
      </c>
      <c r="N446" t="s">
        <v>25</v>
      </c>
      <c r="O446" t="s">
        <v>1317</v>
      </c>
      <c r="P446" t="s">
        <v>1317</v>
      </c>
      <c r="Q446" t="s">
        <v>25</v>
      </c>
      <c r="R446">
        <v>19</v>
      </c>
      <c r="S446" t="s">
        <v>1314</v>
      </c>
      <c r="T446" t="s">
        <v>20</v>
      </c>
      <c r="U446">
        <v>144</v>
      </c>
      <c r="V446" t="s">
        <v>1315</v>
      </c>
      <c r="W446" t="s">
        <v>20</v>
      </c>
    </row>
    <row r="447" spans="1:23" x14ac:dyDescent="0.25">
      <c r="A447">
        <v>6</v>
      </c>
      <c r="B447" t="s">
        <v>167</v>
      </c>
      <c r="C447" t="str">
        <f>HYPERLINK("http://www.ncbi.nlm.nih.gov/protein/NXX63889.1","NXX63889.1")</f>
        <v>NXX63889.1</v>
      </c>
      <c r="D447">
        <v>12329</v>
      </c>
      <c r="E447" t="str">
        <f>HYPERLINK("http://www.ncbi.nlm.nih.gov/Taxonomy/Browser/wwwtax.cgi?mode=Info&amp;id=33581&amp;lvl=3&amp;lin=f&amp;keep=1&amp;srchmode=1&amp;unlock","33581")</f>
        <v>33581</v>
      </c>
      <c r="F447" t="s">
        <v>167</v>
      </c>
      <c r="G447" t="str">
        <f>HYPERLINK("http://www.ncbi.nlm.nih.gov/Taxonomy/Browser/wwwtax.cgi?mode=Info&amp;id=33581&amp;lvl=3&amp;lin=f&amp;keep=1&amp;srchmode=1&amp;unlock","Scopus umbretta")</f>
        <v>Scopus umbretta</v>
      </c>
      <c r="H447" t="s">
        <v>271</v>
      </c>
      <c r="I447" t="str">
        <f>HYPERLINK("http://www.ncbi.nlm.nih.gov/protein/NXX63889.1","ANDR protein")</f>
        <v>ANDR protein</v>
      </c>
      <c r="J447" t="s">
        <v>1323</v>
      </c>
      <c r="K447" t="s">
        <v>25</v>
      </c>
      <c r="L447" t="s">
        <v>1317</v>
      </c>
      <c r="M447" t="s">
        <v>1317</v>
      </c>
      <c r="N447" t="s">
        <v>25</v>
      </c>
      <c r="O447" t="s">
        <v>1317</v>
      </c>
      <c r="P447" t="s">
        <v>1317</v>
      </c>
      <c r="Q447" t="s">
        <v>25</v>
      </c>
      <c r="R447" t="s">
        <v>1317</v>
      </c>
      <c r="S447" t="s">
        <v>1317</v>
      </c>
      <c r="T447" t="s">
        <v>25</v>
      </c>
      <c r="U447" t="s">
        <v>1317</v>
      </c>
      <c r="V447" t="s">
        <v>1317</v>
      </c>
      <c r="W447" t="s">
        <v>25</v>
      </c>
    </row>
    <row r="448" spans="1:23" x14ac:dyDescent="0.25">
      <c r="A448">
        <v>6</v>
      </c>
      <c r="B448" t="s">
        <v>167</v>
      </c>
      <c r="C448" t="str">
        <f>HYPERLINK("http://www.ncbi.nlm.nih.gov/protein/NWI71998.1","NWI71998.1")</f>
        <v>NWI71998.1</v>
      </c>
      <c r="D448">
        <v>10103</v>
      </c>
      <c r="E448" t="str">
        <f>HYPERLINK("http://www.ncbi.nlm.nih.gov/Taxonomy/Browser/wwwtax.cgi?mode=Info&amp;id=135184&amp;lvl=3&amp;lin=f&amp;keep=1&amp;srchmode=1&amp;unlock","135184")</f>
        <v>135184</v>
      </c>
      <c r="F448" t="s">
        <v>167</v>
      </c>
      <c r="G448" t="str">
        <f>HYPERLINK("http://www.ncbi.nlm.nih.gov/Taxonomy/Browser/wwwtax.cgi?mode=Info&amp;id=135184&amp;lvl=3&amp;lin=f&amp;keep=1&amp;srchmode=1&amp;unlock","Todus mexicanus")</f>
        <v>Todus mexicanus</v>
      </c>
      <c r="H448" t="s">
        <v>305</v>
      </c>
      <c r="I448" t="str">
        <f>HYPERLINK("http://www.ncbi.nlm.nih.gov/protein/NWI71998.1","ANDR protein")</f>
        <v>ANDR protein</v>
      </c>
      <c r="J448" t="s">
        <v>1323</v>
      </c>
      <c r="K448" t="s">
        <v>25</v>
      </c>
      <c r="L448" t="s">
        <v>1317</v>
      </c>
      <c r="M448" t="s">
        <v>1317</v>
      </c>
      <c r="N448" t="s">
        <v>25</v>
      </c>
      <c r="O448" t="s">
        <v>1317</v>
      </c>
      <c r="P448" t="s">
        <v>1317</v>
      </c>
      <c r="Q448" t="s">
        <v>25</v>
      </c>
      <c r="R448" t="s">
        <v>1317</v>
      </c>
      <c r="S448" t="s">
        <v>1317</v>
      </c>
      <c r="T448" t="s">
        <v>25</v>
      </c>
      <c r="U448" t="s">
        <v>1317</v>
      </c>
      <c r="V448" t="s">
        <v>1317</v>
      </c>
      <c r="W448" t="s">
        <v>25</v>
      </c>
    </row>
    <row r="449" spans="1:23" x14ac:dyDescent="0.25">
      <c r="A449">
        <v>6</v>
      </c>
      <c r="B449" t="s">
        <v>167</v>
      </c>
      <c r="C449" t="str">
        <f>HYPERLINK("http://www.ncbi.nlm.nih.gov/protein/NXR97164.1","NXR97164.1")</f>
        <v>NXR97164.1</v>
      </c>
      <c r="D449">
        <v>12418</v>
      </c>
      <c r="E449" t="str">
        <f>HYPERLINK("http://www.ncbi.nlm.nih.gov/Taxonomy/Browser/wwwtax.cgi?mode=Info&amp;id=589841&amp;lvl=3&amp;lin=f&amp;keep=1&amp;srchmode=1&amp;unlock","589841")</f>
        <v>589841</v>
      </c>
      <c r="F449" t="s">
        <v>167</v>
      </c>
      <c r="G449" t="str">
        <f>HYPERLINK("http://www.ncbi.nlm.nih.gov/Taxonomy/Browser/wwwtax.cgi?mode=Info&amp;id=589841&amp;lvl=3&amp;lin=f&amp;keep=1&amp;srchmode=1&amp;unlock","Hypocryptadius cinnamomeus")</f>
        <v>Hypocryptadius cinnamomeus</v>
      </c>
      <c r="H449" t="s">
        <v>449</v>
      </c>
      <c r="I449" t="str">
        <f>HYPERLINK("http://www.ncbi.nlm.nih.gov/protein/NXR97164.1","ANDR protein")</f>
        <v>ANDR protein</v>
      </c>
      <c r="J449" t="s">
        <v>1323</v>
      </c>
      <c r="K449" t="s">
        <v>25</v>
      </c>
      <c r="L449" t="s">
        <v>1317</v>
      </c>
      <c r="M449" t="s">
        <v>1317</v>
      </c>
      <c r="N449" t="s">
        <v>25</v>
      </c>
      <c r="O449" t="s">
        <v>1317</v>
      </c>
      <c r="P449" t="s">
        <v>1317</v>
      </c>
      <c r="Q449" t="s">
        <v>25</v>
      </c>
      <c r="R449" t="s">
        <v>1317</v>
      </c>
      <c r="S449" t="s">
        <v>1317</v>
      </c>
      <c r="T449" t="s">
        <v>25</v>
      </c>
      <c r="U449" t="s">
        <v>1317</v>
      </c>
      <c r="V449" t="s">
        <v>1317</v>
      </c>
      <c r="W449" t="s">
        <v>25</v>
      </c>
    </row>
    <row r="450" spans="1:23" x14ac:dyDescent="0.25">
      <c r="A450">
        <v>6</v>
      </c>
      <c r="B450" t="s">
        <v>167</v>
      </c>
      <c r="C450" t="str">
        <f>HYPERLINK("http://www.ncbi.nlm.nih.gov/protein/NXS24820.1","NXS24820.1")</f>
        <v>NXS24820.1</v>
      </c>
      <c r="D450">
        <v>10611</v>
      </c>
      <c r="E450" t="str">
        <f>HYPERLINK("http://www.ncbi.nlm.nih.gov/Taxonomy/Browser/wwwtax.cgi?mode=Info&amp;id=98133&amp;lvl=3&amp;lin=f&amp;keep=1&amp;srchmode=1&amp;unlock","98133")</f>
        <v>98133</v>
      </c>
      <c r="F450" t="s">
        <v>167</v>
      </c>
      <c r="G450" t="str">
        <f>HYPERLINK("http://www.ncbi.nlm.nih.gov/Taxonomy/Browser/wwwtax.cgi?mode=Info&amp;id=98133&amp;lvl=3&amp;lin=f&amp;keep=1&amp;srchmode=1&amp;unlock","Mystacornis crossleyi")</f>
        <v>Mystacornis crossleyi</v>
      </c>
      <c r="H450" t="s">
        <v>311</v>
      </c>
      <c r="I450" t="str">
        <f>HYPERLINK("http://www.ncbi.nlm.nih.gov/protein/NXS24820.1","ANDR protein")</f>
        <v>ANDR protein</v>
      </c>
      <c r="J450" t="s">
        <v>1323</v>
      </c>
      <c r="K450" t="s">
        <v>25</v>
      </c>
      <c r="L450" t="s">
        <v>1317</v>
      </c>
      <c r="M450" t="s">
        <v>1317</v>
      </c>
      <c r="N450" t="s">
        <v>25</v>
      </c>
      <c r="O450" t="s">
        <v>1317</v>
      </c>
      <c r="P450" t="s">
        <v>1317</v>
      </c>
      <c r="Q450" t="s">
        <v>25</v>
      </c>
      <c r="R450" t="s">
        <v>1317</v>
      </c>
      <c r="S450" t="s">
        <v>1317</v>
      </c>
      <c r="T450" t="s">
        <v>25</v>
      </c>
      <c r="U450" t="s">
        <v>1317</v>
      </c>
      <c r="V450" t="s">
        <v>1317</v>
      </c>
      <c r="W450" t="s">
        <v>25</v>
      </c>
    </row>
    <row r="451" spans="1:23" x14ac:dyDescent="0.25">
      <c r="A451">
        <v>6</v>
      </c>
      <c r="B451" t="s">
        <v>167</v>
      </c>
      <c r="C451" t="str">
        <f>HYPERLINK("http://www.ncbi.nlm.nih.gov/protein/NXY81009.1","NXY81009.1")</f>
        <v>NXY81009.1</v>
      </c>
      <c r="D451">
        <v>12038</v>
      </c>
      <c r="E451" t="str">
        <f>HYPERLINK("http://www.ncbi.nlm.nih.gov/Taxonomy/Browser/wwwtax.cgi?mode=Info&amp;id=390723&amp;lvl=3&amp;lin=f&amp;keep=1&amp;srchmode=1&amp;unlock","390723")</f>
        <v>390723</v>
      </c>
      <c r="F451" t="s">
        <v>167</v>
      </c>
      <c r="G451" t="str">
        <f>HYPERLINK("http://www.ncbi.nlm.nih.gov/Taxonomy/Browser/wwwtax.cgi?mode=Info&amp;id=390723&amp;lvl=3&amp;lin=f&amp;keep=1&amp;srchmode=1&amp;unlock","Ceyx cyanopectus")</f>
        <v>Ceyx cyanopectus</v>
      </c>
      <c r="H451" t="s">
        <v>168</v>
      </c>
      <c r="I451" t="str">
        <f>HYPERLINK("http://www.ncbi.nlm.nih.gov/protein/NXY81009.1","ANDR protein")</f>
        <v>ANDR protein</v>
      </c>
      <c r="J451" t="s">
        <v>1323</v>
      </c>
      <c r="K451" t="s">
        <v>25</v>
      </c>
      <c r="L451" t="s">
        <v>1317</v>
      </c>
      <c r="M451" t="s">
        <v>1317</v>
      </c>
      <c r="N451" t="s">
        <v>25</v>
      </c>
      <c r="O451" t="s">
        <v>1317</v>
      </c>
      <c r="P451" t="s">
        <v>1317</v>
      </c>
      <c r="Q451" t="s">
        <v>25</v>
      </c>
      <c r="R451" t="s">
        <v>1317</v>
      </c>
      <c r="S451" t="s">
        <v>1317</v>
      </c>
      <c r="T451" t="s">
        <v>25</v>
      </c>
      <c r="U451" t="s">
        <v>1317</v>
      </c>
      <c r="V451" t="s">
        <v>1317</v>
      </c>
      <c r="W451" t="s">
        <v>25</v>
      </c>
    </row>
    <row r="452" spans="1:23" x14ac:dyDescent="0.25">
      <c r="A452">
        <v>6</v>
      </c>
      <c r="B452" t="s">
        <v>167</v>
      </c>
      <c r="C452" t="str">
        <f>HYPERLINK("http://www.ncbi.nlm.nih.gov/protein/NXS14497.1","NXS14497.1")</f>
        <v>NXS14497.1</v>
      </c>
      <c r="D452">
        <v>8871</v>
      </c>
      <c r="E452" t="str">
        <f>HYPERLINK("http://www.ncbi.nlm.nih.gov/Taxonomy/Browser/wwwtax.cgi?mode=Info&amp;id=254563&amp;lvl=3&amp;lin=f&amp;keep=1&amp;srchmode=1&amp;unlock","254563")</f>
        <v>254563</v>
      </c>
      <c r="F452" t="s">
        <v>167</v>
      </c>
      <c r="G452" t="str">
        <f>HYPERLINK("http://www.ncbi.nlm.nih.gov/Taxonomy/Browser/wwwtax.cgi?mode=Info&amp;id=254563&amp;lvl=3&amp;lin=f&amp;keep=1&amp;srchmode=1&amp;unlock","Neodrepanis coruscans")</f>
        <v>Neodrepanis coruscans</v>
      </c>
      <c r="H452" t="s">
        <v>526</v>
      </c>
      <c r="I452" t="str">
        <f>HYPERLINK("http://www.ncbi.nlm.nih.gov/protein/NXS14497.1","ANDR protein")</f>
        <v>ANDR protein</v>
      </c>
      <c r="J452" t="s">
        <v>1323</v>
      </c>
      <c r="K452" t="s">
        <v>25</v>
      </c>
      <c r="L452" t="s">
        <v>1317</v>
      </c>
      <c r="M452" t="s">
        <v>1317</v>
      </c>
      <c r="N452" t="s">
        <v>25</v>
      </c>
      <c r="O452" t="s">
        <v>1317</v>
      </c>
      <c r="P452" t="s">
        <v>1317</v>
      </c>
      <c r="Q452" t="s">
        <v>25</v>
      </c>
      <c r="R452" t="s">
        <v>1317</v>
      </c>
      <c r="S452" t="s">
        <v>1317</v>
      </c>
      <c r="T452" t="s">
        <v>25</v>
      </c>
      <c r="U452" t="s">
        <v>1317</v>
      </c>
      <c r="V452" t="s">
        <v>1317</v>
      </c>
      <c r="W452" t="s">
        <v>25</v>
      </c>
    </row>
    <row r="453" spans="1:23" x14ac:dyDescent="0.25">
      <c r="A453">
        <v>6</v>
      </c>
      <c r="B453" t="s">
        <v>167</v>
      </c>
      <c r="C453" t="str">
        <f>HYPERLINK("http://www.ncbi.nlm.nih.gov/protein/NXU69586.1","NXU69586.1")</f>
        <v>NXU69586.1</v>
      </c>
      <c r="D453">
        <v>9908</v>
      </c>
      <c r="E453" t="str">
        <f>HYPERLINK("http://www.ncbi.nlm.nih.gov/Taxonomy/Browser/wwwtax.cgi?mode=Info&amp;id=2585811&amp;lvl=3&amp;lin=f&amp;keep=1&amp;srchmode=1&amp;unlock","2585811")</f>
        <v>2585811</v>
      </c>
      <c r="F453" t="s">
        <v>167</v>
      </c>
      <c r="G453" t="str">
        <f>HYPERLINK("http://www.ncbi.nlm.nih.gov/Taxonomy/Browser/wwwtax.cgi?mode=Info&amp;id=2585811&amp;lvl=3&amp;lin=f&amp;keep=1&amp;srchmode=1&amp;unlock","Horornis vulcanius")</f>
        <v>Horornis vulcanius</v>
      </c>
      <c r="H453" t="s">
        <v>206</v>
      </c>
      <c r="I453" t="str">
        <f>HYPERLINK("http://www.ncbi.nlm.nih.gov/protein/NXU69586.1","ANDR protein")</f>
        <v>ANDR protein</v>
      </c>
      <c r="J453" t="s">
        <v>1323</v>
      </c>
      <c r="K453" t="s">
        <v>25</v>
      </c>
      <c r="L453" t="s">
        <v>1317</v>
      </c>
      <c r="M453" t="s">
        <v>1317</v>
      </c>
      <c r="N453" t="s">
        <v>25</v>
      </c>
      <c r="O453" t="s">
        <v>1317</v>
      </c>
      <c r="P453" t="s">
        <v>1317</v>
      </c>
      <c r="Q453" t="s">
        <v>25</v>
      </c>
      <c r="R453" t="s">
        <v>1317</v>
      </c>
      <c r="S453" t="s">
        <v>1317</v>
      </c>
      <c r="T453" t="s">
        <v>25</v>
      </c>
      <c r="U453" t="s">
        <v>1317</v>
      </c>
      <c r="V453" t="s">
        <v>1317</v>
      </c>
      <c r="W453" t="s">
        <v>25</v>
      </c>
    </row>
    <row r="454" spans="1:23" x14ac:dyDescent="0.25">
      <c r="A454">
        <v>6</v>
      </c>
      <c r="B454" t="s">
        <v>167</v>
      </c>
      <c r="C454" t="str">
        <f>HYPERLINK("http://www.ncbi.nlm.nih.gov/protein/NXX72887.1","NXX72887.1")</f>
        <v>NXX72887.1</v>
      </c>
      <c r="D454">
        <v>9143</v>
      </c>
      <c r="E454" t="str">
        <f>HYPERLINK("http://www.ncbi.nlm.nih.gov/Taxonomy/Browser/wwwtax.cgi?mode=Info&amp;id=40210&amp;lvl=3&amp;lin=f&amp;keep=1&amp;srchmode=1&amp;unlock","40210")</f>
        <v>40210</v>
      </c>
      <c r="F454" t="s">
        <v>167</v>
      </c>
      <c r="G454" t="str">
        <f>HYPERLINK("http://www.ncbi.nlm.nih.gov/Taxonomy/Browser/wwwtax.cgi?mode=Info&amp;id=40210&amp;lvl=3&amp;lin=f&amp;keep=1&amp;srchmode=1&amp;unlock","Spizella passerina")</f>
        <v>Spizella passerina</v>
      </c>
      <c r="H454" t="s">
        <v>1268</v>
      </c>
      <c r="I454" t="str">
        <f>HYPERLINK("http://www.ncbi.nlm.nih.gov/protein/NXX72887.1","ANDR protein")</f>
        <v>ANDR protein</v>
      </c>
      <c r="J454" t="s">
        <v>1323</v>
      </c>
      <c r="K454" t="s">
        <v>25</v>
      </c>
      <c r="L454" t="s">
        <v>1317</v>
      </c>
      <c r="M454" t="s">
        <v>1317</v>
      </c>
      <c r="N454" t="s">
        <v>25</v>
      </c>
      <c r="O454" t="s">
        <v>1317</v>
      </c>
      <c r="P454" t="s">
        <v>1317</v>
      </c>
      <c r="Q454" t="s">
        <v>25</v>
      </c>
      <c r="R454" t="s">
        <v>1317</v>
      </c>
      <c r="S454" t="s">
        <v>1317</v>
      </c>
      <c r="T454" t="s">
        <v>25</v>
      </c>
      <c r="U454" t="s">
        <v>1317</v>
      </c>
      <c r="V454" t="s">
        <v>1317</v>
      </c>
      <c r="W454" t="s">
        <v>25</v>
      </c>
    </row>
    <row r="455" spans="1:23" x14ac:dyDescent="0.25">
      <c r="A455">
        <v>6</v>
      </c>
      <c r="B455" t="s">
        <v>371</v>
      </c>
      <c r="C455" t="str">
        <f>HYPERLINK("http://www.ncbi.nlm.nih.gov/protein/AXF36050.1","AXF36050.1")</f>
        <v>AXF36050.1</v>
      </c>
      <c r="D455">
        <v>43398</v>
      </c>
      <c r="E455" t="str">
        <f>HYPERLINK("http://www.ncbi.nlm.nih.gov/Taxonomy/Browser/wwwtax.cgi?mode=Info&amp;id=38654&amp;lvl=3&amp;lin=f&amp;keep=1&amp;srchmode=1&amp;unlock","38654")</f>
        <v>38654</v>
      </c>
      <c r="F455" t="s">
        <v>371</v>
      </c>
      <c r="G455" t="str">
        <f>HYPERLINK("http://www.ncbi.nlm.nih.gov/Taxonomy/Browser/wwwtax.cgi?mode=Info&amp;id=38654&amp;lvl=3&amp;lin=f&amp;keep=1&amp;srchmode=1&amp;unlock","Alligator sinensis")</f>
        <v>Alligator sinensis</v>
      </c>
      <c r="H455" t="s">
        <v>376</v>
      </c>
      <c r="I455" t="str">
        <f>HYPERLINK("http://www.ncbi.nlm.nih.gov/protein/AXF36050.1","androgen receptor")</f>
        <v>androgen receptor</v>
      </c>
      <c r="J455" t="s">
        <v>1325</v>
      </c>
      <c r="K455" t="s">
        <v>20</v>
      </c>
      <c r="L455">
        <v>508</v>
      </c>
      <c r="M455" t="s">
        <v>25</v>
      </c>
      <c r="N455" t="s">
        <v>20</v>
      </c>
      <c r="O455">
        <v>514</v>
      </c>
      <c r="P455" t="s">
        <v>1313</v>
      </c>
      <c r="Q455" t="s">
        <v>20</v>
      </c>
      <c r="R455">
        <v>555</v>
      </c>
      <c r="S455" t="s">
        <v>1314</v>
      </c>
      <c r="T455" t="s">
        <v>20</v>
      </c>
      <c r="U455">
        <v>680</v>
      </c>
      <c r="V455" t="s">
        <v>1315</v>
      </c>
      <c r="W455" t="s">
        <v>20</v>
      </c>
    </row>
    <row r="456" spans="1:23" x14ac:dyDescent="0.25">
      <c r="A456">
        <v>6</v>
      </c>
      <c r="B456" t="s">
        <v>371</v>
      </c>
      <c r="C456" t="str">
        <f>HYPERLINK("http://www.ncbi.nlm.nih.gov/protein/KYO38361.1","KYO38361.1")</f>
        <v>KYO38361.1</v>
      </c>
      <c r="D456">
        <v>74714</v>
      </c>
      <c r="E456" t="str">
        <f>HYPERLINK("http://www.ncbi.nlm.nih.gov/Taxonomy/Browser/wwwtax.cgi?mode=Info&amp;id=8496&amp;lvl=3&amp;lin=f&amp;keep=1&amp;srchmode=1&amp;unlock","8496")</f>
        <v>8496</v>
      </c>
      <c r="F456" t="s">
        <v>371</v>
      </c>
      <c r="G456" t="str">
        <f>HYPERLINK("http://www.ncbi.nlm.nih.gov/Taxonomy/Browser/wwwtax.cgi?mode=Info&amp;id=8496&amp;lvl=3&amp;lin=f&amp;keep=1&amp;srchmode=1&amp;unlock","Alligator mississippiensis")</f>
        <v>Alligator mississippiensis</v>
      </c>
      <c r="H456" t="s">
        <v>372</v>
      </c>
      <c r="I456" t="str">
        <f>HYPERLINK("http://www.ncbi.nlm.nih.gov/protein/KYO38361.1","androgen receptor")</f>
        <v>androgen receptor</v>
      </c>
      <c r="J456" t="s">
        <v>1325</v>
      </c>
      <c r="K456" t="s">
        <v>20</v>
      </c>
      <c r="L456">
        <v>420</v>
      </c>
      <c r="M456" t="s">
        <v>25</v>
      </c>
      <c r="N456" t="s">
        <v>20</v>
      </c>
      <c r="O456">
        <v>426</v>
      </c>
      <c r="P456" t="s">
        <v>1313</v>
      </c>
      <c r="Q456" t="s">
        <v>20</v>
      </c>
      <c r="R456">
        <v>467</v>
      </c>
      <c r="S456" t="s">
        <v>1314</v>
      </c>
      <c r="T456" t="s">
        <v>20</v>
      </c>
      <c r="U456">
        <v>592</v>
      </c>
      <c r="V456" t="s">
        <v>1315</v>
      </c>
      <c r="W456" t="s">
        <v>20</v>
      </c>
    </row>
    <row r="457" spans="1:23" x14ac:dyDescent="0.25">
      <c r="A457">
        <v>6</v>
      </c>
      <c r="B457" t="s">
        <v>371</v>
      </c>
      <c r="C457" t="str">
        <f>HYPERLINK("http://www.ncbi.nlm.nih.gov/protein/XP_019376541.1","XP_019376541.1")</f>
        <v>XP_019376541.1</v>
      </c>
      <c r="D457">
        <v>27413</v>
      </c>
      <c r="E457" t="str">
        <f>HYPERLINK("http://www.ncbi.nlm.nih.gov/Taxonomy/Browser/wwwtax.cgi?mode=Info&amp;id=94835&amp;lvl=3&amp;lin=f&amp;keep=1&amp;srchmode=1&amp;unlock","94835")</f>
        <v>94835</v>
      </c>
      <c r="F457" t="s">
        <v>371</v>
      </c>
      <c r="G457" t="str">
        <f>HYPERLINK("http://www.ncbi.nlm.nih.gov/Taxonomy/Browser/wwwtax.cgi?mode=Info&amp;id=94835&amp;lvl=3&amp;lin=f&amp;keep=1&amp;srchmode=1&amp;unlock","Gavialis gangeticus")</f>
        <v>Gavialis gangeticus</v>
      </c>
      <c r="H457" t="s">
        <v>453</v>
      </c>
      <c r="I457" t="str">
        <f>HYPERLINK("http://www.ncbi.nlm.nih.gov/protein/XP_019376541.1","PREDICTED: androgen receptor")</f>
        <v>PREDICTED: androgen receptor</v>
      </c>
      <c r="J457" t="s">
        <v>1325</v>
      </c>
      <c r="K457" t="s">
        <v>20</v>
      </c>
      <c r="L457">
        <v>276</v>
      </c>
      <c r="M457" t="s">
        <v>25</v>
      </c>
      <c r="N457" t="s">
        <v>20</v>
      </c>
      <c r="O457">
        <v>282</v>
      </c>
      <c r="P457" t="s">
        <v>1313</v>
      </c>
      <c r="Q457" t="s">
        <v>20</v>
      </c>
      <c r="R457">
        <v>323</v>
      </c>
      <c r="S457" t="s">
        <v>1314</v>
      </c>
      <c r="T457" t="s">
        <v>20</v>
      </c>
      <c r="U457">
        <v>448</v>
      </c>
      <c r="V457" t="s">
        <v>1315</v>
      </c>
      <c r="W457" t="s">
        <v>20</v>
      </c>
    </row>
    <row r="458" spans="1:23" x14ac:dyDescent="0.25">
      <c r="A458">
        <v>6</v>
      </c>
      <c r="B458" t="s">
        <v>646</v>
      </c>
      <c r="C458" t="str">
        <f>HYPERLINK("http://www.ncbi.nlm.nih.gov/protein/XP_014340971.1","XP_014340971.1")</f>
        <v>XP_014340971.1</v>
      </c>
      <c r="D458">
        <v>34479</v>
      </c>
      <c r="E458" t="str">
        <f>HYPERLINK("http://www.ncbi.nlm.nih.gov/Taxonomy/Browser/wwwtax.cgi?mode=Info&amp;id=7897&amp;lvl=3&amp;lin=f&amp;keep=1&amp;srchmode=1&amp;unlock","7897")</f>
        <v>7897</v>
      </c>
      <c r="F458" t="s">
        <v>646</v>
      </c>
      <c r="G458" t="str">
        <f>HYPERLINK("http://www.ncbi.nlm.nih.gov/Taxonomy/Browser/wwwtax.cgi?mode=Info&amp;id=7897&amp;lvl=3&amp;lin=f&amp;keep=1&amp;srchmode=1&amp;unlock","Latimeria chalumnae")</f>
        <v>Latimeria chalumnae</v>
      </c>
      <c r="H458" t="s">
        <v>647</v>
      </c>
      <c r="I458" t="str">
        <f>HYPERLINK("http://www.ncbi.nlm.nih.gov/protein/XP_014340971.1","PREDICTED: androgen receptor")</f>
        <v>PREDICTED: androgen receptor</v>
      </c>
      <c r="J458" t="s">
        <v>1326</v>
      </c>
      <c r="K458" t="s">
        <v>20</v>
      </c>
      <c r="L458">
        <v>455</v>
      </c>
      <c r="M458" t="s">
        <v>25</v>
      </c>
      <c r="N458" t="s">
        <v>20</v>
      </c>
      <c r="O458">
        <v>461</v>
      </c>
      <c r="P458" t="s">
        <v>1313</v>
      </c>
      <c r="Q458" t="s">
        <v>20</v>
      </c>
      <c r="R458">
        <v>502</v>
      </c>
      <c r="S458" t="s">
        <v>1314</v>
      </c>
      <c r="T458" t="s">
        <v>20</v>
      </c>
      <c r="U458">
        <v>634</v>
      </c>
      <c r="V458" t="s">
        <v>1315</v>
      </c>
      <c r="W458" t="s">
        <v>20</v>
      </c>
    </row>
    <row r="459" spans="1:23" x14ac:dyDescent="0.25">
      <c r="A459">
        <v>6</v>
      </c>
      <c r="B459" t="s">
        <v>384</v>
      </c>
      <c r="C459" t="str">
        <f>HYPERLINK("http://www.ncbi.nlm.nih.gov/protein/MBN3318739.1","MBN3318739.1")</f>
        <v>MBN3318739.1</v>
      </c>
      <c r="D459">
        <v>15567</v>
      </c>
      <c r="E459" t="str">
        <f>HYPERLINK("http://www.ncbi.nlm.nih.gov/Taxonomy/Browser/wwwtax.cgi?mode=Info&amp;id=7917&amp;lvl=3&amp;lin=f&amp;keep=1&amp;srchmode=1&amp;unlock","7917")</f>
        <v>7917</v>
      </c>
      <c r="F459" t="s">
        <v>384</v>
      </c>
      <c r="G459" t="str">
        <f>HYPERLINK("http://www.ncbi.nlm.nih.gov/Taxonomy/Browser/wwwtax.cgi?mode=Info&amp;id=7917&amp;lvl=3&amp;lin=f&amp;keep=1&amp;srchmode=1&amp;unlock","Atractosteus spatula")</f>
        <v>Atractosteus spatula</v>
      </c>
      <c r="H459" t="s">
        <v>632</v>
      </c>
      <c r="I459" t="str">
        <f>HYPERLINK("http://www.ncbi.nlm.nih.gov/protein/MBN3318739.1","ANDR protein")</f>
        <v>ANDR protein</v>
      </c>
      <c r="J459" t="s">
        <v>1327</v>
      </c>
      <c r="K459" t="s">
        <v>20</v>
      </c>
      <c r="L459">
        <v>644</v>
      </c>
      <c r="M459" t="s">
        <v>25</v>
      </c>
      <c r="N459" t="s">
        <v>20</v>
      </c>
      <c r="O459">
        <v>650</v>
      </c>
      <c r="P459" t="s">
        <v>1313</v>
      </c>
      <c r="Q459" t="s">
        <v>20</v>
      </c>
      <c r="R459">
        <v>691</v>
      </c>
      <c r="S459" t="s">
        <v>1314</v>
      </c>
      <c r="T459" t="s">
        <v>20</v>
      </c>
      <c r="U459">
        <v>816</v>
      </c>
      <c r="V459" t="s">
        <v>1315</v>
      </c>
      <c r="W459" t="s">
        <v>20</v>
      </c>
    </row>
    <row r="460" spans="1:23" x14ac:dyDescent="0.25">
      <c r="A460">
        <v>6</v>
      </c>
      <c r="B460" t="s">
        <v>384</v>
      </c>
      <c r="C460" t="str">
        <f>HYPERLINK("http://www.ncbi.nlm.nih.gov/protein/XP_006632826.1","XP_006632826.1")</f>
        <v>XP_006632826.1</v>
      </c>
      <c r="D460">
        <v>41863</v>
      </c>
      <c r="E460" t="str">
        <f>HYPERLINK("http://www.ncbi.nlm.nih.gov/Taxonomy/Browser/wwwtax.cgi?mode=Info&amp;id=7918&amp;lvl=3&amp;lin=f&amp;keep=1&amp;srchmode=1&amp;unlock","7918")</f>
        <v>7918</v>
      </c>
      <c r="F460" t="s">
        <v>384</v>
      </c>
      <c r="G460" t="str">
        <f>HYPERLINK("http://www.ncbi.nlm.nih.gov/Taxonomy/Browser/wwwtax.cgi?mode=Info&amp;id=7918&amp;lvl=3&amp;lin=f&amp;keep=1&amp;srchmode=1&amp;unlock","Lepisosteus oculatus")</f>
        <v>Lepisosteus oculatus</v>
      </c>
      <c r="H460" t="s">
        <v>537</v>
      </c>
      <c r="I460" t="str">
        <f>HYPERLINK("http://www.ncbi.nlm.nih.gov/protein/XP_006632826.1","PREDICTED: androgen receptor")</f>
        <v>PREDICTED: androgen receptor</v>
      </c>
      <c r="J460" t="s">
        <v>1327</v>
      </c>
      <c r="K460" t="s">
        <v>20</v>
      </c>
      <c r="L460">
        <v>644</v>
      </c>
      <c r="M460" t="s">
        <v>25</v>
      </c>
      <c r="N460" t="s">
        <v>20</v>
      </c>
      <c r="O460">
        <v>650</v>
      </c>
      <c r="P460" t="s">
        <v>1313</v>
      </c>
      <c r="Q460" t="s">
        <v>20</v>
      </c>
      <c r="R460">
        <v>691</v>
      </c>
      <c r="S460" t="s">
        <v>1314</v>
      </c>
      <c r="T460" t="s">
        <v>20</v>
      </c>
      <c r="U460">
        <v>816</v>
      </c>
      <c r="V460" t="s">
        <v>1315</v>
      </c>
      <c r="W460" t="s">
        <v>20</v>
      </c>
    </row>
    <row r="461" spans="1:23" x14ac:dyDescent="0.25">
      <c r="A461">
        <v>6</v>
      </c>
      <c r="B461" t="s">
        <v>384</v>
      </c>
      <c r="C461" t="str">
        <f>HYPERLINK("http://www.ncbi.nlm.nih.gov/protein/MBN3301371.1","MBN3301371.1")</f>
        <v>MBN3301371.1</v>
      </c>
      <c r="D461">
        <v>16713</v>
      </c>
      <c r="E461" t="str">
        <f>HYPERLINK("http://www.ncbi.nlm.nih.gov/Taxonomy/Browser/wwwtax.cgi?mode=Info&amp;id=7924&amp;lvl=3&amp;lin=f&amp;keep=1&amp;srchmode=1&amp;unlock","7924")</f>
        <v>7924</v>
      </c>
      <c r="F461" t="s">
        <v>384</v>
      </c>
      <c r="G461" t="str">
        <f>HYPERLINK("http://www.ncbi.nlm.nih.gov/Taxonomy/Browser/wwwtax.cgi?mode=Info&amp;id=7924&amp;lvl=3&amp;lin=f&amp;keep=1&amp;srchmode=1&amp;unlock","Amia calva")</f>
        <v>Amia calva</v>
      </c>
      <c r="H461" t="s">
        <v>997</v>
      </c>
      <c r="I461" t="str">
        <f>HYPERLINK("http://www.ncbi.nlm.nih.gov/protein/MBN3301371.1","ANDR protein")</f>
        <v>ANDR protein</v>
      </c>
      <c r="J461" t="s">
        <v>1327</v>
      </c>
      <c r="K461" t="s">
        <v>20</v>
      </c>
      <c r="L461">
        <v>647</v>
      </c>
      <c r="M461" t="s">
        <v>25</v>
      </c>
      <c r="N461" t="s">
        <v>20</v>
      </c>
      <c r="O461">
        <v>653</v>
      </c>
      <c r="P461" t="s">
        <v>1313</v>
      </c>
      <c r="Q461" t="s">
        <v>20</v>
      </c>
      <c r="R461">
        <v>694</v>
      </c>
      <c r="S461" t="s">
        <v>1314</v>
      </c>
      <c r="T461" t="s">
        <v>20</v>
      </c>
      <c r="U461">
        <v>819</v>
      </c>
      <c r="V461" t="s">
        <v>1315</v>
      </c>
      <c r="W461" t="s">
        <v>20</v>
      </c>
    </row>
    <row r="462" spans="1:23" x14ac:dyDescent="0.25">
      <c r="A462">
        <v>6</v>
      </c>
      <c r="B462" t="s">
        <v>384</v>
      </c>
      <c r="C462" t="str">
        <f>HYPERLINK("http://www.ncbi.nlm.nih.gov/protein/XP_010893698.1","XP_010893698.1")</f>
        <v>XP_010893698.1</v>
      </c>
      <c r="D462">
        <v>59853</v>
      </c>
      <c r="E462" t="str">
        <f>HYPERLINK("http://www.ncbi.nlm.nih.gov/Taxonomy/Browser/wwwtax.cgi?mode=Info&amp;id=8010&amp;lvl=3&amp;lin=f&amp;keep=1&amp;srchmode=1&amp;unlock","8010")</f>
        <v>8010</v>
      </c>
      <c r="F462" t="s">
        <v>384</v>
      </c>
      <c r="G462" t="str">
        <f>HYPERLINK("http://www.ncbi.nlm.nih.gov/Taxonomy/Browser/wwwtax.cgi?mode=Info&amp;id=8010&amp;lvl=3&amp;lin=f&amp;keep=1&amp;srchmode=1&amp;unlock","Esox lucius")</f>
        <v>Esox lucius</v>
      </c>
      <c r="H462" t="s">
        <v>489</v>
      </c>
      <c r="I462" t="str">
        <f>HYPERLINK("http://www.ncbi.nlm.nih.gov/protein/XP_010893698.1","androgen receptor isoform X1")</f>
        <v>androgen receptor isoform X1</v>
      </c>
      <c r="J462" t="s">
        <v>1327</v>
      </c>
      <c r="K462" t="s">
        <v>20</v>
      </c>
      <c r="L462">
        <v>636</v>
      </c>
      <c r="M462" t="s">
        <v>25</v>
      </c>
      <c r="N462" t="s">
        <v>20</v>
      </c>
      <c r="O462">
        <v>642</v>
      </c>
      <c r="P462" t="s">
        <v>1313</v>
      </c>
      <c r="Q462" t="s">
        <v>20</v>
      </c>
      <c r="R462">
        <v>683</v>
      </c>
      <c r="S462" t="s">
        <v>1314</v>
      </c>
      <c r="T462" t="s">
        <v>20</v>
      </c>
      <c r="U462">
        <v>806</v>
      </c>
      <c r="V462" t="s">
        <v>1315</v>
      </c>
      <c r="W462" t="s">
        <v>20</v>
      </c>
    </row>
    <row r="463" spans="1:23" x14ac:dyDescent="0.25">
      <c r="A463">
        <v>6</v>
      </c>
      <c r="B463" t="s">
        <v>384</v>
      </c>
      <c r="C463" t="str">
        <f>HYPERLINK("http://www.ncbi.nlm.nih.gov/protein/XP_028838042.1","XP_028838042.1")</f>
        <v>XP_028838042.1</v>
      </c>
      <c r="D463">
        <v>50098</v>
      </c>
      <c r="E463" t="str">
        <f>HYPERLINK("http://www.ncbi.nlm.nih.gov/Taxonomy/Browser/wwwtax.cgi?mode=Info&amp;id=299321&amp;lvl=3&amp;lin=f&amp;keep=1&amp;srchmode=1&amp;unlock","299321")</f>
        <v>299321</v>
      </c>
      <c r="F463" t="s">
        <v>384</v>
      </c>
      <c r="G463" t="str">
        <f>HYPERLINK("http://www.ncbi.nlm.nih.gov/Taxonomy/Browser/wwwtax.cgi?mode=Info&amp;id=299321&amp;lvl=3&amp;lin=f&amp;keep=1&amp;srchmode=1&amp;unlock","Denticeps clupeoides")</f>
        <v>Denticeps clupeoides</v>
      </c>
      <c r="H463" t="s">
        <v>506</v>
      </c>
      <c r="I463" t="str">
        <f>HYPERLINK("http://www.ncbi.nlm.nih.gov/protein/XP_028838042.1","androgen receptor-like")</f>
        <v>androgen receptor-like</v>
      </c>
      <c r="J463" t="s">
        <v>1327</v>
      </c>
      <c r="K463" t="s">
        <v>20</v>
      </c>
      <c r="L463">
        <v>516</v>
      </c>
      <c r="M463" t="s">
        <v>25</v>
      </c>
      <c r="N463" t="s">
        <v>20</v>
      </c>
      <c r="O463">
        <v>522</v>
      </c>
      <c r="P463" t="s">
        <v>1313</v>
      </c>
      <c r="Q463" t="s">
        <v>20</v>
      </c>
      <c r="R463">
        <v>563</v>
      </c>
      <c r="S463" t="s">
        <v>1314</v>
      </c>
      <c r="T463" t="s">
        <v>20</v>
      </c>
      <c r="U463">
        <v>686</v>
      </c>
      <c r="V463" t="s">
        <v>1315</v>
      </c>
      <c r="W463" t="s">
        <v>20</v>
      </c>
    </row>
    <row r="464" spans="1:23" x14ac:dyDescent="0.25">
      <c r="A464">
        <v>6</v>
      </c>
      <c r="B464" t="s">
        <v>384</v>
      </c>
      <c r="C464" t="str">
        <f>HYPERLINK("http://www.ncbi.nlm.nih.gov/protein/XP_023689872.1","XP_023689872.1")</f>
        <v>XP_023689872.1</v>
      </c>
      <c r="D464">
        <v>55296</v>
      </c>
      <c r="E464" t="str">
        <f>HYPERLINK("http://www.ncbi.nlm.nih.gov/Taxonomy/Browser/wwwtax.cgi?mode=Info&amp;id=1676925&amp;lvl=3&amp;lin=f&amp;keep=1&amp;srchmode=1&amp;unlock","1676925")</f>
        <v>1676925</v>
      </c>
      <c r="F464" t="s">
        <v>384</v>
      </c>
      <c r="G464" t="str">
        <f>HYPERLINK("http://www.ncbi.nlm.nih.gov/Taxonomy/Browser/wwwtax.cgi?mode=Info&amp;id=1676925&amp;lvl=3&amp;lin=f&amp;keep=1&amp;srchmode=1&amp;unlock","Paramormyrops kingsleyae")</f>
        <v>Paramormyrops kingsleyae</v>
      </c>
      <c r="H464" t="s">
        <v>651</v>
      </c>
      <c r="I464" t="str">
        <f>HYPERLINK("http://www.ncbi.nlm.nih.gov/protein/XP_023689872.1","androgen receptor-like")</f>
        <v>androgen receptor-like</v>
      </c>
      <c r="J464" t="s">
        <v>1327</v>
      </c>
      <c r="K464" t="s">
        <v>20</v>
      </c>
      <c r="L464">
        <v>630</v>
      </c>
      <c r="M464" t="s">
        <v>25</v>
      </c>
      <c r="N464" t="s">
        <v>20</v>
      </c>
      <c r="O464">
        <v>636</v>
      </c>
      <c r="P464" t="s">
        <v>1313</v>
      </c>
      <c r="Q464" t="s">
        <v>20</v>
      </c>
      <c r="R464">
        <v>677</v>
      </c>
      <c r="S464" t="s">
        <v>1314</v>
      </c>
      <c r="T464" t="s">
        <v>20</v>
      </c>
      <c r="U464">
        <v>800</v>
      </c>
      <c r="V464" t="s">
        <v>1315</v>
      </c>
      <c r="W464" t="s">
        <v>20</v>
      </c>
    </row>
    <row r="465" spans="1:23" x14ac:dyDescent="0.25">
      <c r="A465">
        <v>6</v>
      </c>
      <c r="B465" t="s">
        <v>384</v>
      </c>
      <c r="C465" t="str">
        <f>HYPERLINK("http://www.ncbi.nlm.nih.gov/protein/XP_035289658.1","XP_035289658.1")</f>
        <v>XP_035289658.1</v>
      </c>
      <c r="D465">
        <v>58879</v>
      </c>
      <c r="E465" t="str">
        <f>HYPERLINK("http://www.ncbi.nlm.nih.gov/Taxonomy/Browser/wwwtax.cgi?mode=Info&amp;id=7936&amp;lvl=3&amp;lin=f&amp;keep=1&amp;srchmode=1&amp;unlock","7936")</f>
        <v>7936</v>
      </c>
      <c r="F465" t="s">
        <v>384</v>
      </c>
      <c r="G465" t="str">
        <f>HYPERLINK("http://www.ncbi.nlm.nih.gov/Taxonomy/Browser/wwwtax.cgi?mode=Info&amp;id=7936&amp;lvl=3&amp;lin=f&amp;keep=1&amp;srchmode=1&amp;unlock","Anguilla anguilla")</f>
        <v>Anguilla anguilla</v>
      </c>
      <c r="H465" t="s">
        <v>619</v>
      </c>
      <c r="I465" t="str">
        <f>HYPERLINK("http://www.ncbi.nlm.nih.gov/protein/XP_035289658.1","androgen receptor-like")</f>
        <v>androgen receptor-like</v>
      </c>
      <c r="J465" t="s">
        <v>1327</v>
      </c>
      <c r="K465" t="s">
        <v>20</v>
      </c>
      <c r="L465">
        <v>584</v>
      </c>
      <c r="M465" t="s">
        <v>25</v>
      </c>
      <c r="N465" t="s">
        <v>20</v>
      </c>
      <c r="O465">
        <v>590</v>
      </c>
      <c r="P465" t="s">
        <v>1313</v>
      </c>
      <c r="Q465" t="s">
        <v>20</v>
      </c>
      <c r="R465">
        <v>631</v>
      </c>
      <c r="S465" t="s">
        <v>1314</v>
      </c>
      <c r="T465" t="s">
        <v>20</v>
      </c>
      <c r="U465">
        <v>754</v>
      </c>
      <c r="V465" t="s">
        <v>1315</v>
      </c>
      <c r="W465" t="s">
        <v>20</v>
      </c>
    </row>
    <row r="466" spans="1:23" x14ac:dyDescent="0.25">
      <c r="A466">
        <v>6</v>
      </c>
      <c r="B466" t="s">
        <v>384</v>
      </c>
      <c r="C466" t="str">
        <f>HYPERLINK("http://www.ncbi.nlm.nih.gov/protein/BAA83805.1","BAA83805.1")</f>
        <v>BAA83805.1</v>
      </c>
      <c r="D466">
        <v>702</v>
      </c>
      <c r="E466" t="str">
        <f>HYPERLINK("http://www.ncbi.nlm.nih.gov/Taxonomy/Browser/wwwtax.cgi?mode=Info&amp;id=7937&amp;lvl=3&amp;lin=f&amp;keep=1&amp;srchmode=1&amp;unlock","7937")</f>
        <v>7937</v>
      </c>
      <c r="F466" t="s">
        <v>384</v>
      </c>
      <c r="G466" t="str">
        <f>HYPERLINK("http://www.ncbi.nlm.nih.gov/Taxonomy/Browser/wwwtax.cgi?mode=Info&amp;id=7937&amp;lvl=3&amp;lin=f&amp;keep=1&amp;srchmode=1&amp;unlock","Anguilla japonica")</f>
        <v>Anguilla japonica</v>
      </c>
      <c r="H466" t="s">
        <v>886</v>
      </c>
      <c r="I466" t="str">
        <f>HYPERLINK("http://www.ncbi.nlm.nih.gov/protein/BAA83805.1","androgen receptor-beta")</f>
        <v>androgen receptor-beta</v>
      </c>
      <c r="J466" t="s">
        <v>1327</v>
      </c>
      <c r="K466" t="s">
        <v>20</v>
      </c>
      <c r="L466">
        <v>584</v>
      </c>
      <c r="M466" t="s">
        <v>25</v>
      </c>
      <c r="N466" t="s">
        <v>20</v>
      </c>
      <c r="O466">
        <v>590</v>
      </c>
      <c r="P466" t="s">
        <v>1313</v>
      </c>
      <c r="Q466" t="s">
        <v>20</v>
      </c>
      <c r="R466">
        <v>631</v>
      </c>
      <c r="S466" t="s">
        <v>1314</v>
      </c>
      <c r="T466" t="s">
        <v>20</v>
      </c>
      <c r="U466">
        <v>754</v>
      </c>
      <c r="V466" t="s">
        <v>1315</v>
      </c>
      <c r="W466" t="s">
        <v>20</v>
      </c>
    </row>
    <row r="467" spans="1:23" x14ac:dyDescent="0.25">
      <c r="A467">
        <v>6</v>
      </c>
      <c r="B467" t="s">
        <v>384</v>
      </c>
      <c r="C467" t="str">
        <f>HYPERLINK("http://www.ncbi.nlm.nih.gov/protein/XP_024250063.1","XP_024250063.1")</f>
        <v>XP_024250063.1</v>
      </c>
      <c r="D467">
        <v>73759</v>
      </c>
      <c r="E467" t="str">
        <f>HYPERLINK("http://www.ncbi.nlm.nih.gov/Taxonomy/Browser/wwwtax.cgi?mode=Info&amp;id=74940&amp;lvl=3&amp;lin=f&amp;keep=1&amp;srchmode=1&amp;unlock","74940")</f>
        <v>74940</v>
      </c>
      <c r="F467" t="s">
        <v>384</v>
      </c>
      <c r="G467" t="str">
        <f>HYPERLINK("http://www.ncbi.nlm.nih.gov/Taxonomy/Browser/wwwtax.cgi?mode=Info&amp;id=74940&amp;lvl=3&amp;lin=f&amp;keep=1&amp;srchmode=1&amp;unlock","Oncorhynchus tshawytscha")</f>
        <v>Oncorhynchus tshawytscha</v>
      </c>
      <c r="H467" t="s">
        <v>500</v>
      </c>
      <c r="I467" t="str">
        <f>HYPERLINK("http://www.ncbi.nlm.nih.gov/protein/XP_024250063.1","androgen receptor-like isoform X1")</f>
        <v>androgen receptor-like isoform X1</v>
      </c>
      <c r="J467" t="s">
        <v>1327</v>
      </c>
      <c r="K467" t="s">
        <v>20</v>
      </c>
      <c r="L467">
        <v>641</v>
      </c>
      <c r="M467" t="s">
        <v>25</v>
      </c>
      <c r="N467" t="s">
        <v>20</v>
      </c>
      <c r="O467">
        <v>647</v>
      </c>
      <c r="P467" t="s">
        <v>1313</v>
      </c>
      <c r="Q467" t="s">
        <v>20</v>
      </c>
      <c r="R467">
        <v>688</v>
      </c>
      <c r="S467" t="s">
        <v>1314</v>
      </c>
      <c r="T467" t="s">
        <v>20</v>
      </c>
      <c r="U467">
        <v>811</v>
      </c>
      <c r="V467" t="s">
        <v>1315</v>
      </c>
      <c r="W467" t="s">
        <v>20</v>
      </c>
    </row>
    <row r="468" spans="1:23" x14ac:dyDescent="0.25">
      <c r="A468">
        <v>6</v>
      </c>
      <c r="B468" t="s">
        <v>384</v>
      </c>
      <c r="C468" t="str">
        <f>HYPERLINK("http://www.ncbi.nlm.nih.gov/protein/KAA0717190.1","KAA0717190.1")</f>
        <v>KAA0717190.1</v>
      </c>
      <c r="D468">
        <v>24328</v>
      </c>
      <c r="E468" t="str">
        <f>HYPERLINK("http://www.ncbi.nlm.nih.gov/Taxonomy/Browser/wwwtax.cgi?mode=Info&amp;id=1572043&amp;lvl=3&amp;lin=f&amp;keep=1&amp;srchmode=1&amp;unlock","1572043")</f>
        <v>1572043</v>
      </c>
      <c r="F468" t="s">
        <v>384</v>
      </c>
      <c r="G468" t="str">
        <f>HYPERLINK("http://www.ncbi.nlm.nih.gov/Taxonomy/Browser/wwwtax.cgi?mode=Info&amp;id=1572043&amp;lvl=3&amp;lin=f&amp;keep=1&amp;srchmode=1&amp;unlock","Triplophysa tibetana")</f>
        <v>Triplophysa tibetana</v>
      </c>
      <c r="H468" t="s">
        <v>612</v>
      </c>
      <c r="I468" t="str">
        <f>HYPERLINK("http://www.ncbi.nlm.nih.gov/protein/KAA0717190.1","Androgen receptor")</f>
        <v>Androgen receptor</v>
      </c>
      <c r="J468" t="s">
        <v>1327</v>
      </c>
      <c r="K468" t="s">
        <v>20</v>
      </c>
      <c r="L468">
        <v>651</v>
      </c>
      <c r="M468" t="s">
        <v>25</v>
      </c>
      <c r="N468" t="s">
        <v>20</v>
      </c>
      <c r="O468">
        <v>657</v>
      </c>
      <c r="P468" t="s">
        <v>1313</v>
      </c>
      <c r="Q468" t="s">
        <v>20</v>
      </c>
      <c r="R468">
        <v>698</v>
      </c>
      <c r="S468" t="s">
        <v>1314</v>
      </c>
      <c r="T468" t="s">
        <v>20</v>
      </c>
      <c r="U468">
        <v>821</v>
      </c>
      <c r="V468" t="s">
        <v>1315</v>
      </c>
      <c r="W468" t="s">
        <v>20</v>
      </c>
    </row>
    <row r="469" spans="1:23" x14ac:dyDescent="0.25">
      <c r="A469">
        <v>6</v>
      </c>
      <c r="B469" t="s">
        <v>384</v>
      </c>
      <c r="C469" t="str">
        <f>HYPERLINK("http://www.ncbi.nlm.nih.gov/protein/XP_023823693.1","XP_023823693.1")</f>
        <v>XP_023823693.1</v>
      </c>
      <c r="D469">
        <v>60779</v>
      </c>
      <c r="E469" t="str">
        <f>HYPERLINK("http://www.ncbi.nlm.nih.gov/Taxonomy/Browser/wwwtax.cgi?mode=Info&amp;id=8036&amp;lvl=3&amp;lin=f&amp;keep=1&amp;srchmode=1&amp;unlock","8036")</f>
        <v>8036</v>
      </c>
      <c r="F469" t="s">
        <v>384</v>
      </c>
      <c r="G469" t="str">
        <f>HYPERLINK("http://www.ncbi.nlm.nih.gov/Taxonomy/Browser/wwwtax.cgi?mode=Info&amp;id=8036&amp;lvl=3&amp;lin=f&amp;keep=1&amp;srchmode=1&amp;unlock","Salvelinus alpinus")</f>
        <v>Salvelinus alpinus</v>
      </c>
      <c r="H469" t="s">
        <v>483</v>
      </c>
      <c r="I469" t="str">
        <f>HYPERLINK("http://www.ncbi.nlm.nih.gov/protein/XP_023823693.1","androgen receptor")</f>
        <v>androgen receptor</v>
      </c>
      <c r="J469" t="s">
        <v>1327</v>
      </c>
      <c r="K469" t="s">
        <v>20</v>
      </c>
      <c r="L469">
        <v>640</v>
      </c>
      <c r="M469" t="s">
        <v>25</v>
      </c>
      <c r="N469" t="s">
        <v>20</v>
      </c>
      <c r="O469">
        <v>646</v>
      </c>
      <c r="P469" t="s">
        <v>1313</v>
      </c>
      <c r="Q469" t="s">
        <v>20</v>
      </c>
      <c r="R469">
        <v>687</v>
      </c>
      <c r="S469" t="s">
        <v>1314</v>
      </c>
      <c r="T469" t="s">
        <v>20</v>
      </c>
      <c r="U469">
        <v>810</v>
      </c>
      <c r="V469" t="s">
        <v>1315</v>
      </c>
      <c r="W469" t="s">
        <v>20</v>
      </c>
    </row>
    <row r="470" spans="1:23" x14ac:dyDescent="0.25">
      <c r="A470">
        <v>6</v>
      </c>
      <c r="B470" t="s">
        <v>384</v>
      </c>
      <c r="C470" t="str">
        <f>HYPERLINK("http://www.ncbi.nlm.nih.gov/protein/XP_008301461.1","XP_008301461.1")</f>
        <v>XP_008301461.1</v>
      </c>
      <c r="D470">
        <v>31743</v>
      </c>
      <c r="E470" t="str">
        <f>HYPERLINK("http://www.ncbi.nlm.nih.gov/Taxonomy/Browser/wwwtax.cgi?mode=Info&amp;id=144197&amp;lvl=3&amp;lin=f&amp;keep=1&amp;srchmode=1&amp;unlock","144197")</f>
        <v>144197</v>
      </c>
      <c r="F470" t="s">
        <v>384</v>
      </c>
      <c r="G470" t="str">
        <f>HYPERLINK("http://www.ncbi.nlm.nih.gov/Taxonomy/Browser/wwwtax.cgi?mode=Info&amp;id=144197&amp;lvl=3&amp;lin=f&amp;keep=1&amp;srchmode=1&amp;unlock","Stegastes partitus")</f>
        <v>Stegastes partitus</v>
      </c>
      <c r="H470" t="s">
        <v>546</v>
      </c>
      <c r="I470" t="str">
        <f>HYPERLINK("http://www.ncbi.nlm.nih.gov/protein/XP_008301461.1","PREDICTED: androgen receptor-like isoform X2")</f>
        <v>PREDICTED: androgen receptor-like isoform X2</v>
      </c>
      <c r="J470" t="s">
        <v>1327</v>
      </c>
      <c r="K470" t="s">
        <v>20</v>
      </c>
      <c r="L470">
        <v>544</v>
      </c>
      <c r="M470" t="s">
        <v>25</v>
      </c>
      <c r="N470" t="s">
        <v>20</v>
      </c>
      <c r="O470">
        <v>550</v>
      </c>
      <c r="P470" t="s">
        <v>1313</v>
      </c>
      <c r="Q470" t="s">
        <v>20</v>
      </c>
      <c r="R470">
        <v>591</v>
      </c>
      <c r="S470" t="s">
        <v>1314</v>
      </c>
      <c r="T470" t="s">
        <v>20</v>
      </c>
      <c r="U470">
        <v>714</v>
      </c>
      <c r="V470" t="s">
        <v>1315</v>
      </c>
      <c r="W470" t="s">
        <v>20</v>
      </c>
    </row>
    <row r="471" spans="1:23" x14ac:dyDescent="0.25">
      <c r="A471">
        <v>6</v>
      </c>
      <c r="B471" t="s">
        <v>384</v>
      </c>
      <c r="C471" t="str">
        <f>HYPERLINK("http://www.ncbi.nlm.nih.gov/protein/NP_001117657.1","NP_001117657.1")</f>
        <v>NP_001117657.1</v>
      </c>
      <c r="D471">
        <v>150751</v>
      </c>
      <c r="E471" t="str">
        <f>HYPERLINK("http://www.ncbi.nlm.nih.gov/Taxonomy/Browser/wwwtax.cgi?mode=Info&amp;id=8022&amp;lvl=3&amp;lin=f&amp;keep=1&amp;srchmode=1&amp;unlock","8022")</f>
        <v>8022</v>
      </c>
      <c r="F471" t="s">
        <v>384</v>
      </c>
      <c r="G471" t="str">
        <f>HYPERLINK("http://www.ncbi.nlm.nih.gov/Taxonomy/Browser/wwwtax.cgi?mode=Info&amp;id=8022&amp;lvl=3&amp;lin=f&amp;keep=1&amp;srchmode=1&amp;unlock","Oncorhynchus mykiss")</f>
        <v>Oncorhynchus mykiss</v>
      </c>
      <c r="H471" t="s">
        <v>482</v>
      </c>
      <c r="I471" t="str">
        <f>HYPERLINK("http://www.ncbi.nlm.nih.gov/protein/NP_001117657.1","androgen receptor beta")</f>
        <v>androgen receptor beta</v>
      </c>
      <c r="J471" t="s">
        <v>1327</v>
      </c>
      <c r="K471" t="s">
        <v>20</v>
      </c>
      <c r="L471">
        <v>640</v>
      </c>
      <c r="M471" t="s">
        <v>25</v>
      </c>
      <c r="N471" t="s">
        <v>20</v>
      </c>
      <c r="O471">
        <v>646</v>
      </c>
      <c r="P471" t="s">
        <v>1313</v>
      </c>
      <c r="Q471" t="s">
        <v>20</v>
      </c>
      <c r="R471">
        <v>687</v>
      </c>
      <c r="S471" t="s">
        <v>1314</v>
      </c>
      <c r="T471" t="s">
        <v>20</v>
      </c>
      <c r="U471">
        <v>810</v>
      </c>
      <c r="V471" t="s">
        <v>1315</v>
      </c>
      <c r="W471" t="s">
        <v>20</v>
      </c>
    </row>
    <row r="472" spans="1:23" x14ac:dyDescent="0.25">
      <c r="A472">
        <v>6</v>
      </c>
      <c r="B472" t="s">
        <v>384</v>
      </c>
      <c r="C472" t="str">
        <f>HYPERLINK("http://www.ncbi.nlm.nih.gov/protein/XP_026104666.1","XP_026104666.1")</f>
        <v>XP_026104666.1</v>
      </c>
      <c r="D472">
        <v>98599</v>
      </c>
      <c r="E472" t="str">
        <f>HYPERLINK("http://www.ncbi.nlm.nih.gov/Taxonomy/Browser/wwwtax.cgi?mode=Info&amp;id=7957&amp;lvl=3&amp;lin=f&amp;keep=1&amp;srchmode=1&amp;unlock","7957")</f>
        <v>7957</v>
      </c>
      <c r="F472" t="s">
        <v>384</v>
      </c>
      <c r="G472" t="str">
        <f>HYPERLINK("http://www.ncbi.nlm.nih.gov/Taxonomy/Browser/wwwtax.cgi?mode=Info&amp;id=7957&amp;lvl=3&amp;lin=f&amp;keep=1&amp;srchmode=1&amp;unlock","Carassius auratus")</f>
        <v>Carassius auratus</v>
      </c>
      <c r="H472" t="s">
        <v>518</v>
      </c>
      <c r="I472" t="str">
        <f>HYPERLINK("http://www.ncbi.nlm.nih.gov/protein/XP_026104666.1","androgen receptor-like")</f>
        <v>androgen receptor-like</v>
      </c>
      <c r="J472" t="s">
        <v>1327</v>
      </c>
      <c r="K472" t="s">
        <v>20</v>
      </c>
      <c r="L472">
        <v>656</v>
      </c>
      <c r="M472" t="s">
        <v>25</v>
      </c>
      <c r="N472" t="s">
        <v>20</v>
      </c>
      <c r="O472">
        <v>662</v>
      </c>
      <c r="P472" t="s">
        <v>1313</v>
      </c>
      <c r="Q472" t="s">
        <v>20</v>
      </c>
      <c r="R472">
        <v>703</v>
      </c>
      <c r="S472" t="s">
        <v>1314</v>
      </c>
      <c r="T472" t="s">
        <v>20</v>
      </c>
      <c r="U472">
        <v>826</v>
      </c>
      <c r="V472" t="s">
        <v>1315</v>
      </c>
      <c r="W472" t="s">
        <v>20</v>
      </c>
    </row>
    <row r="473" spans="1:23" x14ac:dyDescent="0.25">
      <c r="A473">
        <v>6</v>
      </c>
      <c r="B473" t="s">
        <v>384</v>
      </c>
      <c r="C473" t="str">
        <f>HYPERLINK("http://www.ncbi.nlm.nih.gov/protein/XP_029526655.1","XP_029526655.1")</f>
        <v>XP_029526655.1</v>
      </c>
      <c r="D473">
        <v>69382</v>
      </c>
      <c r="E473" t="str">
        <f>HYPERLINK("http://www.ncbi.nlm.nih.gov/Taxonomy/Browser/wwwtax.cgi?mode=Info&amp;id=8023&amp;lvl=3&amp;lin=f&amp;keep=1&amp;srchmode=1&amp;unlock","8023")</f>
        <v>8023</v>
      </c>
      <c r="F473" t="s">
        <v>384</v>
      </c>
      <c r="G473" t="str">
        <f>HYPERLINK("http://www.ncbi.nlm.nih.gov/Taxonomy/Browser/wwwtax.cgi?mode=Info&amp;id=8023&amp;lvl=3&amp;lin=f&amp;keep=1&amp;srchmode=1&amp;unlock","Oncorhynchus nerka")</f>
        <v>Oncorhynchus nerka</v>
      </c>
      <c r="H473" t="s">
        <v>479</v>
      </c>
      <c r="I473" t="str">
        <f>HYPERLINK("http://www.ncbi.nlm.nih.gov/protein/XP_029526655.1","androgen receptor-like isoform X1")</f>
        <v>androgen receptor-like isoform X1</v>
      </c>
      <c r="J473" t="s">
        <v>1327</v>
      </c>
      <c r="K473" t="s">
        <v>20</v>
      </c>
      <c r="L473">
        <v>640</v>
      </c>
      <c r="M473" t="s">
        <v>25</v>
      </c>
      <c r="N473" t="s">
        <v>20</v>
      </c>
      <c r="O473">
        <v>646</v>
      </c>
      <c r="P473" t="s">
        <v>1313</v>
      </c>
      <c r="Q473" t="s">
        <v>20</v>
      </c>
      <c r="R473">
        <v>687</v>
      </c>
      <c r="S473" t="s">
        <v>1314</v>
      </c>
      <c r="T473" t="s">
        <v>20</v>
      </c>
      <c r="U473">
        <v>810</v>
      </c>
      <c r="V473" t="s">
        <v>1315</v>
      </c>
      <c r="W473" t="s">
        <v>20</v>
      </c>
    </row>
    <row r="474" spans="1:23" x14ac:dyDescent="0.25">
      <c r="A474">
        <v>6</v>
      </c>
      <c r="B474" t="s">
        <v>384</v>
      </c>
      <c r="C474" t="str">
        <f>HYPERLINK("http://www.ncbi.nlm.nih.gov/protein/XP_035636547.1","XP_035636547.1")</f>
        <v>XP_035636547.1</v>
      </c>
      <c r="D474">
        <v>67512</v>
      </c>
      <c r="E474" t="str">
        <f>HYPERLINK("http://www.ncbi.nlm.nih.gov/Taxonomy/Browser/wwwtax.cgi?mode=Info&amp;id=8018&amp;lvl=3&amp;lin=f&amp;keep=1&amp;srchmode=1&amp;unlock","8018")</f>
        <v>8018</v>
      </c>
      <c r="F474" t="s">
        <v>384</v>
      </c>
      <c r="G474" t="str">
        <f>HYPERLINK("http://www.ncbi.nlm.nih.gov/Taxonomy/Browser/wwwtax.cgi?mode=Info&amp;id=8018&amp;lvl=3&amp;lin=f&amp;keep=1&amp;srchmode=1&amp;unlock","Oncorhynchus keta")</f>
        <v>Oncorhynchus keta</v>
      </c>
      <c r="H474" t="s">
        <v>492</v>
      </c>
      <c r="I474" t="str">
        <f>HYPERLINK("http://www.ncbi.nlm.nih.gov/protein/XP_035636547.1","androgen receptor-like isoform X1")</f>
        <v>androgen receptor-like isoform X1</v>
      </c>
      <c r="J474" t="s">
        <v>1327</v>
      </c>
      <c r="K474" t="s">
        <v>20</v>
      </c>
      <c r="L474">
        <v>640</v>
      </c>
      <c r="M474" t="s">
        <v>25</v>
      </c>
      <c r="N474" t="s">
        <v>20</v>
      </c>
      <c r="O474">
        <v>646</v>
      </c>
      <c r="P474" t="s">
        <v>1313</v>
      </c>
      <c r="Q474" t="s">
        <v>20</v>
      </c>
      <c r="R474">
        <v>687</v>
      </c>
      <c r="S474" t="s">
        <v>1314</v>
      </c>
      <c r="T474" t="s">
        <v>20</v>
      </c>
      <c r="U474">
        <v>810</v>
      </c>
      <c r="V474" t="s">
        <v>1315</v>
      </c>
      <c r="W474" t="s">
        <v>20</v>
      </c>
    </row>
    <row r="475" spans="1:23" x14ac:dyDescent="0.25">
      <c r="A475">
        <v>6</v>
      </c>
      <c r="B475" t="s">
        <v>384</v>
      </c>
      <c r="C475" t="str">
        <f>HYPERLINK("http://www.ncbi.nlm.nih.gov/protein/XP_020319720.1","XP_020319720.1")</f>
        <v>XP_020319720.1</v>
      </c>
      <c r="D475">
        <v>89590</v>
      </c>
      <c r="E475" t="str">
        <f>HYPERLINK("http://www.ncbi.nlm.nih.gov/Taxonomy/Browser/wwwtax.cgi?mode=Info&amp;id=8019&amp;lvl=3&amp;lin=f&amp;keep=1&amp;srchmode=1&amp;unlock","8019")</f>
        <v>8019</v>
      </c>
      <c r="F475" t="s">
        <v>384</v>
      </c>
      <c r="G475" t="str">
        <f>HYPERLINK("http://www.ncbi.nlm.nih.gov/Taxonomy/Browser/wwwtax.cgi?mode=Info&amp;id=8019&amp;lvl=3&amp;lin=f&amp;keep=1&amp;srchmode=1&amp;unlock","Oncorhynchus kisutch")</f>
        <v>Oncorhynchus kisutch</v>
      </c>
      <c r="H475" t="s">
        <v>501</v>
      </c>
      <c r="I475" t="str">
        <f>HYPERLINK("http://www.ncbi.nlm.nih.gov/protein/XP_020319720.1","androgen receptor-like isoform X1")</f>
        <v>androgen receptor-like isoform X1</v>
      </c>
      <c r="J475" t="s">
        <v>1327</v>
      </c>
      <c r="K475" t="s">
        <v>20</v>
      </c>
      <c r="L475">
        <v>640</v>
      </c>
      <c r="M475" t="s">
        <v>25</v>
      </c>
      <c r="N475" t="s">
        <v>20</v>
      </c>
      <c r="O475">
        <v>646</v>
      </c>
      <c r="P475" t="s">
        <v>1313</v>
      </c>
      <c r="Q475" t="s">
        <v>20</v>
      </c>
      <c r="R475">
        <v>687</v>
      </c>
      <c r="S475" t="s">
        <v>1314</v>
      </c>
      <c r="T475" t="s">
        <v>20</v>
      </c>
      <c r="U475">
        <v>810</v>
      </c>
      <c r="V475" t="s">
        <v>1315</v>
      </c>
      <c r="W475" t="s">
        <v>20</v>
      </c>
    </row>
    <row r="476" spans="1:23" x14ac:dyDescent="0.25">
      <c r="A476">
        <v>6</v>
      </c>
      <c r="B476" t="s">
        <v>384</v>
      </c>
      <c r="C476" t="str">
        <f>HYPERLINK("http://www.ncbi.nlm.nih.gov/protein/XP_038861580.1","XP_038861580.1")</f>
        <v>XP_038861580.1</v>
      </c>
      <c r="D476">
        <v>58413</v>
      </c>
      <c r="E476" t="str">
        <f>HYPERLINK("http://www.ncbi.nlm.nih.gov/Taxonomy/Browser/wwwtax.cgi?mode=Info&amp;id=8040&amp;lvl=3&amp;lin=f&amp;keep=1&amp;srchmode=1&amp;unlock","8040")</f>
        <v>8040</v>
      </c>
      <c r="F476" t="s">
        <v>384</v>
      </c>
      <c r="G476" t="str">
        <f>HYPERLINK("http://www.ncbi.nlm.nih.gov/Taxonomy/Browser/wwwtax.cgi?mode=Info&amp;id=8040&amp;lvl=3&amp;lin=f&amp;keep=1&amp;srchmode=1&amp;unlock","Salvelinus namaycush")</f>
        <v>Salvelinus namaycush</v>
      </c>
      <c r="H476" t="s">
        <v>480</v>
      </c>
      <c r="I476" t="str">
        <f>HYPERLINK("http://www.ncbi.nlm.nih.gov/protein/XP_038861580.1","androgen receptor-like isoform X1")</f>
        <v>androgen receptor-like isoform X1</v>
      </c>
      <c r="J476" t="s">
        <v>1327</v>
      </c>
      <c r="K476" t="s">
        <v>20</v>
      </c>
      <c r="L476">
        <v>640</v>
      </c>
      <c r="M476" t="s">
        <v>25</v>
      </c>
      <c r="N476" t="s">
        <v>20</v>
      </c>
      <c r="O476">
        <v>646</v>
      </c>
      <c r="P476" t="s">
        <v>1313</v>
      </c>
      <c r="Q476" t="s">
        <v>20</v>
      </c>
      <c r="R476">
        <v>687</v>
      </c>
      <c r="S476" t="s">
        <v>1314</v>
      </c>
      <c r="T476" t="s">
        <v>20</v>
      </c>
      <c r="U476">
        <v>810</v>
      </c>
      <c r="V476" t="s">
        <v>1315</v>
      </c>
      <c r="W476" t="s">
        <v>20</v>
      </c>
    </row>
    <row r="477" spans="1:23" x14ac:dyDescent="0.25">
      <c r="A477">
        <v>6</v>
      </c>
      <c r="B477" t="s">
        <v>384</v>
      </c>
      <c r="C477" t="str">
        <f>HYPERLINK("http://www.ncbi.nlm.nih.gov/protein/XP_014052302.1","XP_014052302.1")</f>
        <v>XP_014052302.1</v>
      </c>
      <c r="D477">
        <v>111579</v>
      </c>
      <c r="E477" t="str">
        <f>HYPERLINK("http://www.ncbi.nlm.nih.gov/Taxonomy/Browser/wwwtax.cgi?mode=Info&amp;id=8030&amp;lvl=3&amp;lin=f&amp;keep=1&amp;srchmode=1&amp;unlock","8030")</f>
        <v>8030</v>
      </c>
      <c r="F477" t="s">
        <v>384</v>
      </c>
      <c r="G477" t="str">
        <f>HYPERLINK("http://www.ncbi.nlm.nih.gov/Taxonomy/Browser/wwwtax.cgi?mode=Info&amp;id=8030&amp;lvl=3&amp;lin=f&amp;keep=1&amp;srchmode=1&amp;unlock","Salmo salar")</f>
        <v>Salmo salar</v>
      </c>
      <c r="H477" t="s">
        <v>490</v>
      </c>
      <c r="I477" t="str">
        <f>HYPERLINK("http://www.ncbi.nlm.nih.gov/protein/XP_014052302.1","PREDICTED: androgen receptor isoform X1")</f>
        <v>PREDICTED: androgen receptor isoform X1</v>
      </c>
      <c r="J477" t="s">
        <v>1327</v>
      </c>
      <c r="K477" t="s">
        <v>20</v>
      </c>
      <c r="L477">
        <v>640</v>
      </c>
      <c r="M477" t="s">
        <v>25</v>
      </c>
      <c r="N477" t="s">
        <v>20</v>
      </c>
      <c r="O477">
        <v>646</v>
      </c>
      <c r="P477" t="s">
        <v>1313</v>
      </c>
      <c r="Q477" t="s">
        <v>20</v>
      </c>
      <c r="R477">
        <v>687</v>
      </c>
      <c r="S477" t="s">
        <v>1314</v>
      </c>
      <c r="T477" t="s">
        <v>20</v>
      </c>
      <c r="U477">
        <v>810</v>
      </c>
      <c r="V477" t="s">
        <v>1315</v>
      </c>
      <c r="W477" t="s">
        <v>20</v>
      </c>
    </row>
    <row r="478" spans="1:23" x14ac:dyDescent="0.25">
      <c r="A478">
        <v>6</v>
      </c>
      <c r="B478" t="s">
        <v>384</v>
      </c>
      <c r="C478" t="str">
        <f>HYPERLINK("http://www.ncbi.nlm.nih.gov/protein/XP_029556707.1","XP_029556707.1")</f>
        <v>XP_029556707.1</v>
      </c>
      <c r="D478">
        <v>88634</v>
      </c>
      <c r="E478" t="str">
        <f>HYPERLINK("http://www.ncbi.nlm.nih.gov/Taxonomy/Browser/wwwtax.cgi?mode=Info&amp;id=8032&amp;lvl=3&amp;lin=f&amp;keep=1&amp;srchmode=1&amp;unlock","8032")</f>
        <v>8032</v>
      </c>
      <c r="F478" t="s">
        <v>384</v>
      </c>
      <c r="G478" t="str">
        <f>HYPERLINK("http://www.ncbi.nlm.nih.gov/Taxonomy/Browser/wwwtax.cgi?mode=Info&amp;id=8032&amp;lvl=3&amp;lin=f&amp;keep=1&amp;srchmode=1&amp;unlock","Salmo trutta")</f>
        <v>Salmo trutta</v>
      </c>
      <c r="H478" t="s">
        <v>491</v>
      </c>
      <c r="I478" t="str">
        <f>HYPERLINK("http://www.ncbi.nlm.nih.gov/protein/XP_029556707.1","androgen receptor-like isoform X1")</f>
        <v>androgen receptor-like isoform X1</v>
      </c>
      <c r="J478" t="s">
        <v>1327</v>
      </c>
      <c r="K478" t="s">
        <v>20</v>
      </c>
      <c r="L478">
        <v>640</v>
      </c>
      <c r="M478" t="s">
        <v>25</v>
      </c>
      <c r="N478" t="s">
        <v>20</v>
      </c>
      <c r="O478">
        <v>646</v>
      </c>
      <c r="P478" t="s">
        <v>1313</v>
      </c>
      <c r="Q478" t="s">
        <v>20</v>
      </c>
      <c r="R478">
        <v>687</v>
      </c>
      <c r="S478" t="s">
        <v>1314</v>
      </c>
      <c r="T478" t="s">
        <v>20</v>
      </c>
      <c r="U478">
        <v>810</v>
      </c>
      <c r="V478" t="s">
        <v>1315</v>
      </c>
      <c r="W478" t="s">
        <v>20</v>
      </c>
    </row>
    <row r="479" spans="1:23" x14ac:dyDescent="0.25">
      <c r="A479">
        <v>6</v>
      </c>
      <c r="B479" t="s">
        <v>384</v>
      </c>
      <c r="C479" t="str">
        <f>HYPERLINK("http://www.ncbi.nlm.nih.gov/protein/AIQ77651.1","AIQ77651.1")</f>
        <v>AIQ77651.1</v>
      </c>
      <c r="D479">
        <v>89392</v>
      </c>
      <c r="E479" t="str">
        <f>HYPERLINK("http://www.ncbi.nlm.nih.gov/Taxonomy/Browser/wwwtax.cgi?mode=Info&amp;id=7906&amp;lvl=3&amp;lin=f&amp;keep=1&amp;srchmode=1&amp;unlock","7906")</f>
        <v>7906</v>
      </c>
      <c r="F479" t="s">
        <v>384</v>
      </c>
      <c r="G479" t="str">
        <f>HYPERLINK("http://www.ncbi.nlm.nih.gov/Taxonomy/Browser/wwwtax.cgi?mode=Info&amp;id=7906&amp;lvl=3&amp;lin=f&amp;keep=1&amp;srchmode=1&amp;unlock","Acipenser ruthenus")</f>
        <v>Acipenser ruthenus</v>
      </c>
      <c r="H479" t="s">
        <v>512</v>
      </c>
      <c r="I479" t="str">
        <f>HYPERLINK("http://www.ncbi.nlm.nih.gov/protein/AIQ77651.1","androgen receptor")</f>
        <v>androgen receptor</v>
      </c>
      <c r="J479" t="s">
        <v>1327</v>
      </c>
      <c r="K479" t="s">
        <v>20</v>
      </c>
      <c r="L479">
        <v>628</v>
      </c>
      <c r="M479" t="s">
        <v>25</v>
      </c>
      <c r="N479" t="s">
        <v>20</v>
      </c>
      <c r="O479">
        <v>634</v>
      </c>
      <c r="P479" t="s">
        <v>1313</v>
      </c>
      <c r="Q479" t="s">
        <v>20</v>
      </c>
      <c r="R479">
        <v>675</v>
      </c>
      <c r="S479" t="s">
        <v>1314</v>
      </c>
      <c r="T479" t="s">
        <v>20</v>
      </c>
      <c r="U479">
        <v>798</v>
      </c>
      <c r="V479" t="s">
        <v>1315</v>
      </c>
      <c r="W479" t="s">
        <v>20</v>
      </c>
    </row>
    <row r="480" spans="1:23" x14ac:dyDescent="0.25">
      <c r="A480">
        <v>6</v>
      </c>
      <c r="B480" t="s">
        <v>384</v>
      </c>
      <c r="C480" t="str">
        <f>HYPERLINK("http://www.ncbi.nlm.nih.gov/protein/XP_023153051.1","XP_023153051.1")</f>
        <v>XP_023153051.1</v>
      </c>
      <c r="D480">
        <v>48634</v>
      </c>
      <c r="E480" t="str">
        <f>HYPERLINK("http://www.ncbi.nlm.nih.gov/Taxonomy/Browser/wwwtax.cgi?mode=Info&amp;id=80972&amp;lvl=3&amp;lin=f&amp;keep=1&amp;srchmode=1&amp;unlock","80972")</f>
        <v>80972</v>
      </c>
      <c r="F480" t="s">
        <v>384</v>
      </c>
      <c r="G480" t="str">
        <f>HYPERLINK("http://www.ncbi.nlm.nih.gov/Taxonomy/Browser/wwwtax.cgi?mode=Info&amp;id=80972&amp;lvl=3&amp;lin=f&amp;keep=1&amp;srchmode=1&amp;unlock","Amphiprion ocellaris")</f>
        <v>Amphiprion ocellaris</v>
      </c>
      <c r="H480" t="s">
        <v>525</v>
      </c>
      <c r="I480" t="str">
        <f>HYPERLINK("http://www.ncbi.nlm.nih.gov/protein/XP_023153051.1","androgen receptor isoform X1")</f>
        <v>androgen receptor isoform X1</v>
      </c>
      <c r="J480" t="s">
        <v>1327</v>
      </c>
      <c r="K480" t="s">
        <v>20</v>
      </c>
      <c r="L480">
        <v>514</v>
      </c>
      <c r="M480" t="s">
        <v>25</v>
      </c>
      <c r="N480" t="s">
        <v>20</v>
      </c>
      <c r="O480">
        <v>520</v>
      </c>
      <c r="P480" t="s">
        <v>1313</v>
      </c>
      <c r="Q480" t="s">
        <v>20</v>
      </c>
      <c r="R480">
        <v>561</v>
      </c>
      <c r="S480" t="s">
        <v>1314</v>
      </c>
      <c r="T480" t="s">
        <v>20</v>
      </c>
      <c r="U480">
        <v>684</v>
      </c>
      <c r="V480" t="s">
        <v>1315</v>
      </c>
      <c r="W480" t="s">
        <v>20</v>
      </c>
    </row>
    <row r="481" spans="1:23" x14ac:dyDescent="0.25">
      <c r="A481">
        <v>6</v>
      </c>
      <c r="B481" t="s">
        <v>384</v>
      </c>
      <c r="C481" t="str">
        <f>HYPERLINK("http://www.ncbi.nlm.nih.gov/protein/XP_029113724.1","XP_029113724.1")</f>
        <v>XP_029113724.1</v>
      </c>
      <c r="D481">
        <v>72416</v>
      </c>
      <c r="E481" t="str">
        <f>HYPERLINK("http://www.ncbi.nlm.nih.gov/Taxonomy/Browser/wwwtax.cgi?mode=Info&amp;id=113540&amp;lvl=3&amp;lin=f&amp;keep=1&amp;srchmode=1&amp;unlock","113540")</f>
        <v>113540</v>
      </c>
      <c r="F481" t="s">
        <v>384</v>
      </c>
      <c r="G481" t="str">
        <f>HYPERLINK("http://www.ncbi.nlm.nih.gov/Taxonomy/Browser/wwwtax.cgi?mode=Info&amp;id=113540&amp;lvl=3&amp;lin=f&amp;keep=1&amp;srchmode=1&amp;unlock","Scleropages formosus")</f>
        <v>Scleropages formosus</v>
      </c>
      <c r="H481" t="s">
        <v>627</v>
      </c>
      <c r="I481" t="str">
        <f>HYPERLINK("http://www.ncbi.nlm.nih.gov/protein/XP_029113724.1","androgen receptor")</f>
        <v>androgen receptor</v>
      </c>
      <c r="J481" t="s">
        <v>1327</v>
      </c>
      <c r="K481" t="s">
        <v>20</v>
      </c>
      <c r="L481">
        <v>614</v>
      </c>
      <c r="M481" t="s">
        <v>25</v>
      </c>
      <c r="N481" t="s">
        <v>20</v>
      </c>
      <c r="O481">
        <v>620</v>
      </c>
      <c r="P481" t="s">
        <v>1313</v>
      </c>
      <c r="Q481" t="s">
        <v>20</v>
      </c>
      <c r="R481">
        <v>661</v>
      </c>
      <c r="S481" t="s">
        <v>1314</v>
      </c>
      <c r="T481" t="s">
        <v>20</v>
      </c>
      <c r="U481">
        <v>784</v>
      </c>
      <c r="V481" t="s">
        <v>1315</v>
      </c>
      <c r="W481" t="s">
        <v>20</v>
      </c>
    </row>
    <row r="482" spans="1:23" x14ac:dyDescent="0.25">
      <c r="A482">
        <v>6</v>
      </c>
      <c r="B482" t="s">
        <v>384</v>
      </c>
      <c r="C482" t="str">
        <f>HYPERLINK("http://www.ncbi.nlm.nih.gov/protein/XP_012678441.2","XP_012678441.2")</f>
        <v>XP_012678441.2</v>
      </c>
      <c r="D482">
        <v>43045</v>
      </c>
      <c r="E482" t="str">
        <f>HYPERLINK("http://www.ncbi.nlm.nih.gov/Taxonomy/Browser/wwwtax.cgi?mode=Info&amp;id=7950&amp;lvl=3&amp;lin=f&amp;keep=1&amp;srchmode=1&amp;unlock","7950")</f>
        <v>7950</v>
      </c>
      <c r="F482" t="s">
        <v>384</v>
      </c>
      <c r="G482" t="str">
        <f>HYPERLINK("http://www.ncbi.nlm.nih.gov/Taxonomy/Browser/wwwtax.cgi?mode=Info&amp;id=7950&amp;lvl=3&amp;lin=f&amp;keep=1&amp;srchmode=1&amp;unlock","Clupea harengus")</f>
        <v>Clupea harengus</v>
      </c>
      <c r="H482" t="s">
        <v>385</v>
      </c>
      <c r="I482" t="str">
        <f>HYPERLINK("http://www.ncbi.nlm.nih.gov/protein/XP_012678441.2","androgen receptor")</f>
        <v>androgen receptor</v>
      </c>
      <c r="J482" t="s">
        <v>1327</v>
      </c>
      <c r="K482" t="s">
        <v>20</v>
      </c>
      <c r="L482">
        <v>628</v>
      </c>
      <c r="M482" t="s">
        <v>25</v>
      </c>
      <c r="N482" t="s">
        <v>20</v>
      </c>
      <c r="O482">
        <v>634</v>
      </c>
      <c r="P482" t="s">
        <v>1316</v>
      </c>
      <c r="Q482" t="s">
        <v>20</v>
      </c>
      <c r="R482">
        <v>675</v>
      </c>
      <c r="S482" t="s">
        <v>1314</v>
      </c>
      <c r="T482" t="s">
        <v>20</v>
      </c>
      <c r="U482">
        <v>798</v>
      </c>
      <c r="V482" t="s">
        <v>1315</v>
      </c>
      <c r="W482" t="s">
        <v>20</v>
      </c>
    </row>
    <row r="483" spans="1:23" x14ac:dyDescent="0.25">
      <c r="A483">
        <v>6</v>
      </c>
      <c r="B483" t="s">
        <v>384</v>
      </c>
      <c r="C483" t="str">
        <f>HYPERLINK("http://www.ncbi.nlm.nih.gov/protein/AKP99415.1","AKP99415.1")</f>
        <v>AKP99415.1</v>
      </c>
      <c r="D483">
        <v>606</v>
      </c>
      <c r="E483" t="str">
        <f>HYPERLINK("http://www.ncbi.nlm.nih.gov/Taxonomy/Browser/wwwtax.cgi?mode=Info&amp;id=101364&amp;lvl=3&amp;lin=f&amp;keep=1&amp;srchmode=1&amp;unlock","101364")</f>
        <v>101364</v>
      </c>
      <c r="F483" t="s">
        <v>384</v>
      </c>
      <c r="G483" t="str">
        <f>HYPERLINK("http://www.ncbi.nlm.nih.gov/Taxonomy/Browser/wwwtax.cgi?mode=Info&amp;id=101364&amp;lvl=3&amp;lin=f&amp;keep=1&amp;srchmode=1&amp;unlock","Carassius gibelio")</f>
        <v>Carassius gibelio</v>
      </c>
      <c r="H483" t="s">
        <v>999</v>
      </c>
      <c r="I483" t="str">
        <f>HYPERLINK("http://www.ncbi.nlm.nih.gov/protein/AKP99415.1","androgen receptor")</f>
        <v>androgen receptor</v>
      </c>
      <c r="J483" t="s">
        <v>1327</v>
      </c>
      <c r="K483" t="s">
        <v>20</v>
      </c>
      <c r="L483">
        <v>639</v>
      </c>
      <c r="M483" t="s">
        <v>25</v>
      </c>
      <c r="N483" t="s">
        <v>20</v>
      </c>
      <c r="O483">
        <v>645</v>
      </c>
      <c r="P483" t="s">
        <v>1313</v>
      </c>
      <c r="Q483" t="s">
        <v>20</v>
      </c>
      <c r="R483">
        <v>686</v>
      </c>
      <c r="S483" t="s">
        <v>1314</v>
      </c>
      <c r="T483" t="s">
        <v>20</v>
      </c>
      <c r="U483">
        <v>809</v>
      </c>
      <c r="V483" t="s">
        <v>1315</v>
      </c>
      <c r="W483" t="s">
        <v>20</v>
      </c>
    </row>
    <row r="484" spans="1:23" x14ac:dyDescent="0.25">
      <c r="A484">
        <v>6</v>
      </c>
      <c r="B484" t="s">
        <v>384</v>
      </c>
      <c r="C484" t="str">
        <f>HYPERLINK("http://www.ncbi.nlm.nih.gov/protein/ADC35724.1","ADC35724.1")</f>
        <v>ADC35724.1</v>
      </c>
      <c r="D484">
        <v>371</v>
      </c>
      <c r="E484" t="str">
        <f>HYPERLINK("http://www.ncbi.nlm.nih.gov/Taxonomy/Browser/wwwtax.cgi?mode=Info&amp;id=143606&amp;lvl=3&amp;lin=f&amp;keep=1&amp;srchmode=1&amp;unlock","143606")</f>
        <v>143606</v>
      </c>
      <c r="F484" t="s">
        <v>384</v>
      </c>
      <c r="G484" t="str">
        <f>HYPERLINK("http://www.ncbi.nlm.nih.gov/Taxonomy/Browser/wwwtax.cgi?mode=Info&amp;id=143606&amp;lvl=3&amp;lin=f&amp;keep=1&amp;srchmode=1&amp;unlock","Gobiocypris rarus")</f>
        <v>Gobiocypris rarus</v>
      </c>
      <c r="H484" t="s">
        <v>529</v>
      </c>
      <c r="I484" t="str">
        <f>HYPERLINK("http://www.ncbi.nlm.nih.gov/protein/ADC35724.1","androgen receptor")</f>
        <v>androgen receptor</v>
      </c>
      <c r="J484" t="s">
        <v>1327</v>
      </c>
      <c r="K484" t="s">
        <v>20</v>
      </c>
      <c r="L484">
        <v>631</v>
      </c>
      <c r="M484" t="s">
        <v>25</v>
      </c>
      <c r="N484" t="s">
        <v>20</v>
      </c>
      <c r="O484">
        <v>637</v>
      </c>
      <c r="P484" t="s">
        <v>1313</v>
      </c>
      <c r="Q484" t="s">
        <v>20</v>
      </c>
      <c r="R484">
        <v>678</v>
      </c>
      <c r="S484" t="s">
        <v>1314</v>
      </c>
      <c r="T484" t="s">
        <v>20</v>
      </c>
      <c r="U484">
        <v>801</v>
      </c>
      <c r="V484" t="s">
        <v>1315</v>
      </c>
      <c r="W484" t="s">
        <v>20</v>
      </c>
    </row>
    <row r="485" spans="1:23" x14ac:dyDescent="0.25">
      <c r="A485">
        <v>6</v>
      </c>
      <c r="B485" t="s">
        <v>384</v>
      </c>
      <c r="C485" t="str">
        <f>HYPERLINK("http://www.ncbi.nlm.nih.gov/protein/XP_035522133.1","XP_035522133.1")</f>
        <v>XP_035522133.1</v>
      </c>
      <c r="D485">
        <v>31138</v>
      </c>
      <c r="E485" t="str">
        <f>HYPERLINK("http://www.ncbi.nlm.nih.gov/Taxonomy/Browser/wwwtax.cgi?mode=Info&amp;id=34816&amp;lvl=3&amp;lin=f&amp;keep=1&amp;srchmode=1&amp;unlock","34816")</f>
        <v>34816</v>
      </c>
      <c r="F485" t="s">
        <v>384</v>
      </c>
      <c r="G485" t="str">
        <f>HYPERLINK("http://www.ncbi.nlm.nih.gov/Taxonomy/Browser/wwwtax.cgi?mode=Info&amp;id=34816&amp;lvl=3&amp;lin=f&amp;keep=1&amp;srchmode=1&amp;unlock","Morone saxatilis")</f>
        <v>Morone saxatilis</v>
      </c>
      <c r="H485" t="s">
        <v>555</v>
      </c>
      <c r="I485" t="str">
        <f>HYPERLINK("http://www.ncbi.nlm.nih.gov/protein/XP_035522133.1","androgen receptor-like")</f>
        <v>androgen receptor-like</v>
      </c>
      <c r="J485" t="s">
        <v>1327</v>
      </c>
      <c r="K485" t="s">
        <v>20</v>
      </c>
      <c r="L485">
        <v>555</v>
      </c>
      <c r="M485" t="s">
        <v>25</v>
      </c>
      <c r="N485" t="s">
        <v>20</v>
      </c>
      <c r="O485">
        <v>561</v>
      </c>
      <c r="P485" t="s">
        <v>1313</v>
      </c>
      <c r="Q485" t="s">
        <v>20</v>
      </c>
      <c r="R485">
        <v>602</v>
      </c>
      <c r="S485" t="s">
        <v>1314</v>
      </c>
      <c r="T485" t="s">
        <v>20</v>
      </c>
      <c r="U485">
        <v>725</v>
      </c>
      <c r="V485" t="s">
        <v>1315</v>
      </c>
      <c r="W485" t="s">
        <v>20</v>
      </c>
    </row>
    <row r="486" spans="1:23" x14ac:dyDescent="0.25">
      <c r="A486">
        <v>6</v>
      </c>
      <c r="B486" t="s">
        <v>384</v>
      </c>
      <c r="C486" t="str">
        <f>HYPERLINK("http://www.ncbi.nlm.nih.gov/protein/ACA96518.1","ACA96518.1")</f>
        <v>ACA96518.1</v>
      </c>
      <c r="D486">
        <v>70</v>
      </c>
      <c r="E486" t="str">
        <f>HYPERLINK("http://www.ncbi.nlm.nih.gov/Taxonomy/Browser/wwwtax.cgi?mode=Info&amp;id=75369&amp;lvl=3&amp;lin=f&amp;keep=1&amp;srchmode=1&amp;unlock","75369")</f>
        <v>75369</v>
      </c>
      <c r="F486" t="s">
        <v>384</v>
      </c>
      <c r="G486" t="str">
        <f>HYPERLINK("http://www.ncbi.nlm.nih.gov/Taxonomy/Browser/wwwtax.cgi?mode=Info&amp;id=75369&amp;lvl=3&amp;lin=f&amp;keep=1&amp;srchmode=1&amp;unlock","Spinibarbus denticulatus")</f>
        <v>Spinibarbus denticulatus</v>
      </c>
      <c r="H486" t="s">
        <v>529</v>
      </c>
      <c r="I486" t="str">
        <f>HYPERLINK("http://www.ncbi.nlm.nih.gov/protein/ACA96518.1","androgen receptor protein")</f>
        <v>androgen receptor protein</v>
      </c>
      <c r="J486" t="s">
        <v>1327</v>
      </c>
      <c r="K486" t="s">
        <v>20</v>
      </c>
      <c r="L486">
        <v>652</v>
      </c>
      <c r="M486" t="s">
        <v>25</v>
      </c>
      <c r="N486" t="s">
        <v>20</v>
      </c>
      <c r="O486">
        <v>658</v>
      </c>
      <c r="P486" t="s">
        <v>1313</v>
      </c>
      <c r="Q486" t="s">
        <v>20</v>
      </c>
      <c r="R486">
        <v>699</v>
      </c>
      <c r="S486" t="s">
        <v>1314</v>
      </c>
      <c r="T486" t="s">
        <v>20</v>
      </c>
      <c r="U486">
        <v>822</v>
      </c>
      <c r="V486" t="s">
        <v>1315</v>
      </c>
      <c r="W486" t="s">
        <v>20</v>
      </c>
    </row>
    <row r="487" spans="1:23" x14ac:dyDescent="0.25">
      <c r="A487">
        <v>6</v>
      </c>
      <c r="B487" t="s">
        <v>384</v>
      </c>
      <c r="C487" t="str">
        <f>HYPERLINK("http://www.ncbi.nlm.nih.gov/protein/XP_030648983.1","XP_030648983.1")</f>
        <v>XP_030648983.1</v>
      </c>
      <c r="D487">
        <v>30173</v>
      </c>
      <c r="E487" t="str">
        <f>HYPERLINK("http://www.ncbi.nlm.nih.gov/Taxonomy/Browser/wwwtax.cgi?mode=Info&amp;id=29144&amp;lvl=3&amp;lin=f&amp;keep=1&amp;srchmode=1&amp;unlock","29144")</f>
        <v>29144</v>
      </c>
      <c r="F487" t="s">
        <v>384</v>
      </c>
      <c r="G487" t="str">
        <f>HYPERLINK("http://www.ncbi.nlm.nih.gov/Taxonomy/Browser/wwwtax.cgi?mode=Info&amp;id=29144&amp;lvl=3&amp;lin=f&amp;keep=1&amp;srchmode=1&amp;unlock","Chanos chanos")</f>
        <v>Chanos chanos</v>
      </c>
      <c r="H487" t="s">
        <v>658</v>
      </c>
      <c r="I487" t="str">
        <f>HYPERLINK("http://www.ncbi.nlm.nih.gov/protein/XP_030648983.1","androgen receptor")</f>
        <v>androgen receptor</v>
      </c>
      <c r="J487" t="s">
        <v>1327</v>
      </c>
      <c r="K487" t="s">
        <v>20</v>
      </c>
      <c r="L487">
        <v>654</v>
      </c>
      <c r="M487" t="s">
        <v>25</v>
      </c>
      <c r="N487" t="s">
        <v>20</v>
      </c>
      <c r="O487">
        <v>660</v>
      </c>
      <c r="P487" t="s">
        <v>1313</v>
      </c>
      <c r="Q487" t="s">
        <v>20</v>
      </c>
      <c r="R487">
        <v>701</v>
      </c>
      <c r="S487" t="s">
        <v>1314</v>
      </c>
      <c r="T487" t="s">
        <v>20</v>
      </c>
      <c r="U487">
        <v>824</v>
      </c>
      <c r="V487" t="s">
        <v>1315</v>
      </c>
      <c r="W487" t="s">
        <v>20</v>
      </c>
    </row>
    <row r="488" spans="1:23" x14ac:dyDescent="0.25">
      <c r="A488">
        <v>6</v>
      </c>
      <c r="B488" t="s">
        <v>384</v>
      </c>
      <c r="C488" t="str">
        <f>HYPERLINK("http://www.ncbi.nlm.nih.gov/protein/XP_029925114.1","XP_029925114.1")</f>
        <v>XP_029925114.1</v>
      </c>
      <c r="D488">
        <v>38165</v>
      </c>
      <c r="E488" t="str">
        <f>HYPERLINK("http://www.ncbi.nlm.nih.gov/Taxonomy/Browser/wwwtax.cgi?mode=Info&amp;id=586833&amp;lvl=3&amp;lin=f&amp;keep=1&amp;srchmode=1&amp;unlock","586833")</f>
        <v>586833</v>
      </c>
      <c r="F488" t="s">
        <v>384</v>
      </c>
      <c r="G488" t="str">
        <f>HYPERLINK("http://www.ncbi.nlm.nih.gov/Taxonomy/Browser/wwwtax.cgi?mode=Info&amp;id=586833&amp;lvl=3&amp;lin=f&amp;keep=1&amp;srchmode=1&amp;unlock","Myripristis murdjan")</f>
        <v>Myripristis murdjan</v>
      </c>
      <c r="H488" t="s">
        <v>533</v>
      </c>
      <c r="I488" t="str">
        <f>HYPERLINK("http://www.ncbi.nlm.nih.gov/protein/XP_029925114.1","androgen receptor-like")</f>
        <v>androgen receptor-like</v>
      </c>
      <c r="J488" t="s">
        <v>1327</v>
      </c>
      <c r="K488" t="s">
        <v>20</v>
      </c>
      <c r="L488">
        <v>564</v>
      </c>
      <c r="M488" t="s">
        <v>25</v>
      </c>
      <c r="N488" t="s">
        <v>20</v>
      </c>
      <c r="O488">
        <v>570</v>
      </c>
      <c r="P488" t="s">
        <v>1313</v>
      </c>
      <c r="Q488" t="s">
        <v>20</v>
      </c>
      <c r="R488">
        <v>611</v>
      </c>
      <c r="S488" t="s">
        <v>1314</v>
      </c>
      <c r="T488" t="s">
        <v>20</v>
      </c>
      <c r="U488">
        <v>734</v>
      </c>
      <c r="V488" t="s">
        <v>1315</v>
      </c>
      <c r="W488" t="s">
        <v>20</v>
      </c>
    </row>
    <row r="489" spans="1:23" x14ac:dyDescent="0.25">
      <c r="A489">
        <v>6</v>
      </c>
      <c r="B489" t="s">
        <v>384</v>
      </c>
      <c r="C489" t="str">
        <f>HYPERLINK("http://www.ncbi.nlm.nih.gov/protein/AFU35774.1","AFU35774.1")</f>
        <v>AFU35774.1</v>
      </c>
      <c r="D489">
        <v>57</v>
      </c>
      <c r="E489" t="str">
        <f>HYPERLINK("http://www.ncbi.nlm.nih.gov/Taxonomy/Browser/wwwtax.cgi?mode=Info&amp;id=564874&amp;lvl=3&amp;lin=f&amp;keep=1&amp;srchmode=1&amp;unlock","564874")</f>
        <v>564874</v>
      </c>
      <c r="F489" t="s">
        <v>384</v>
      </c>
      <c r="G489" t="str">
        <f>HYPERLINK("http://www.ncbi.nlm.nih.gov/Taxonomy/Browser/wwwtax.cgi?mode=Info&amp;id=564874&amp;lvl=3&amp;lin=f&amp;keep=1&amp;srchmode=1&amp;unlock","Carassius auratus ssp. 'Pengze'")</f>
        <v>Carassius auratus ssp. 'Pengze'</v>
      </c>
      <c r="H489" t="s">
        <v>1001</v>
      </c>
      <c r="I489" t="str">
        <f>HYPERLINK("http://www.ncbi.nlm.nih.gov/protein/AFU35774.1","androgen receptor")</f>
        <v>androgen receptor</v>
      </c>
      <c r="J489" t="s">
        <v>1327</v>
      </c>
      <c r="K489" t="s">
        <v>20</v>
      </c>
      <c r="L489">
        <v>623</v>
      </c>
      <c r="M489" t="s">
        <v>25</v>
      </c>
      <c r="N489" t="s">
        <v>20</v>
      </c>
      <c r="O489">
        <v>629</v>
      </c>
      <c r="P489" t="s">
        <v>1313</v>
      </c>
      <c r="Q489" t="s">
        <v>20</v>
      </c>
      <c r="R489">
        <v>670</v>
      </c>
      <c r="S489" t="s">
        <v>1314</v>
      </c>
      <c r="T489" t="s">
        <v>20</v>
      </c>
      <c r="U489">
        <v>793</v>
      </c>
      <c r="V489" t="s">
        <v>1315</v>
      </c>
      <c r="W489" t="s">
        <v>20</v>
      </c>
    </row>
    <row r="490" spans="1:23" x14ac:dyDescent="0.25">
      <c r="A490">
        <v>6</v>
      </c>
      <c r="B490" t="s">
        <v>384</v>
      </c>
      <c r="C490" t="str">
        <f>HYPERLINK("http://www.ncbi.nlm.nih.gov/protein/XP_016430523.1","XP_016430523.1")</f>
        <v>XP_016430523.1</v>
      </c>
      <c r="D490">
        <v>68583</v>
      </c>
      <c r="E490" t="str">
        <f>HYPERLINK("http://www.ncbi.nlm.nih.gov/Taxonomy/Browser/wwwtax.cgi?mode=Info&amp;id=307959&amp;lvl=3&amp;lin=f&amp;keep=1&amp;srchmode=1&amp;unlock","307959")</f>
        <v>307959</v>
      </c>
      <c r="F490" t="s">
        <v>384</v>
      </c>
      <c r="G490" t="str">
        <f>HYPERLINK("http://www.ncbi.nlm.nih.gov/Taxonomy/Browser/wwwtax.cgi?mode=Info&amp;id=307959&amp;lvl=3&amp;lin=f&amp;keep=1&amp;srchmode=1&amp;unlock","Sinocyclocheilus rhinocerous")</f>
        <v>Sinocyclocheilus rhinocerous</v>
      </c>
      <c r="H490" t="s">
        <v>529</v>
      </c>
      <c r="I490" t="str">
        <f>HYPERLINK("http://www.ncbi.nlm.nih.gov/protein/XP_016430523.1","PREDICTED: androgen receptor-like")</f>
        <v>PREDICTED: androgen receptor-like</v>
      </c>
      <c r="J490" t="s">
        <v>1327</v>
      </c>
      <c r="K490" t="s">
        <v>20</v>
      </c>
      <c r="L490">
        <v>649</v>
      </c>
      <c r="M490" t="s">
        <v>25</v>
      </c>
      <c r="N490" t="s">
        <v>20</v>
      </c>
      <c r="O490">
        <v>655</v>
      </c>
      <c r="P490" t="s">
        <v>1313</v>
      </c>
      <c r="Q490" t="s">
        <v>20</v>
      </c>
      <c r="R490">
        <v>696</v>
      </c>
      <c r="S490" t="s">
        <v>1314</v>
      </c>
      <c r="T490" t="s">
        <v>20</v>
      </c>
      <c r="U490">
        <v>819</v>
      </c>
      <c r="V490" t="s">
        <v>1315</v>
      </c>
      <c r="W490" t="s">
        <v>20</v>
      </c>
    </row>
    <row r="491" spans="1:23" x14ac:dyDescent="0.25">
      <c r="A491">
        <v>6</v>
      </c>
      <c r="B491" t="s">
        <v>384</v>
      </c>
      <c r="C491" t="str">
        <f>HYPERLINK("http://www.ncbi.nlm.nih.gov/protein/XP_022067774.1","XP_022067774.1")</f>
        <v>XP_022067774.1</v>
      </c>
      <c r="D491">
        <v>36648</v>
      </c>
      <c r="E491" t="str">
        <f>HYPERLINK("http://www.ncbi.nlm.nih.gov/Taxonomy/Browser/wwwtax.cgi?mode=Info&amp;id=80966&amp;lvl=3&amp;lin=f&amp;keep=1&amp;srchmode=1&amp;unlock","80966")</f>
        <v>80966</v>
      </c>
      <c r="F491" t="s">
        <v>384</v>
      </c>
      <c r="G491" t="str">
        <f>HYPERLINK("http://www.ncbi.nlm.nih.gov/Taxonomy/Browser/wwwtax.cgi?mode=Info&amp;id=80966&amp;lvl=3&amp;lin=f&amp;keep=1&amp;srchmode=1&amp;unlock","Acanthochromis polyacanthus")</f>
        <v>Acanthochromis polyacanthus</v>
      </c>
      <c r="H491" t="s">
        <v>1002</v>
      </c>
      <c r="I491" t="str">
        <f>HYPERLINK("http://www.ncbi.nlm.nih.gov/protein/XP_022067774.1","androgen receptor")</f>
        <v>androgen receptor</v>
      </c>
      <c r="J491" t="s">
        <v>1327</v>
      </c>
      <c r="K491" t="s">
        <v>20</v>
      </c>
      <c r="L491">
        <v>514</v>
      </c>
      <c r="M491" t="s">
        <v>25</v>
      </c>
      <c r="N491" t="s">
        <v>20</v>
      </c>
      <c r="O491">
        <v>520</v>
      </c>
      <c r="P491" t="s">
        <v>1313</v>
      </c>
      <c r="Q491" t="s">
        <v>20</v>
      </c>
      <c r="R491">
        <v>561</v>
      </c>
      <c r="S491" t="s">
        <v>1314</v>
      </c>
      <c r="T491" t="s">
        <v>20</v>
      </c>
      <c r="U491">
        <v>684</v>
      </c>
      <c r="V491" t="s">
        <v>1315</v>
      </c>
      <c r="W491" t="s">
        <v>20</v>
      </c>
    </row>
    <row r="492" spans="1:23" x14ac:dyDescent="0.25">
      <c r="A492">
        <v>6</v>
      </c>
      <c r="B492" t="s">
        <v>384</v>
      </c>
      <c r="C492" t="str">
        <f>HYPERLINK("http://www.ncbi.nlm.nih.gov/protein/ANA50341.1","ANA50341.1")</f>
        <v>ANA50341.1</v>
      </c>
      <c r="D492">
        <v>5</v>
      </c>
      <c r="E492" t="str">
        <f>HYPERLINK("http://www.ncbi.nlm.nih.gov/Taxonomy/Browser/wwwtax.cgi?mode=Info&amp;id=749193&amp;lvl=3&amp;lin=f&amp;keep=1&amp;srchmode=1&amp;unlock","749193")</f>
        <v>749193</v>
      </c>
      <c r="F492" t="s">
        <v>384</v>
      </c>
      <c r="G492" t="str">
        <f>HYPERLINK("http://www.ncbi.nlm.nih.gov/Taxonomy/Browser/wwwtax.cgi?mode=Info&amp;id=749193&amp;lvl=3&amp;lin=f&amp;keep=1&amp;srchmode=1&amp;unlock","Cyprinus carpio 'singuonensis'")</f>
        <v>Cyprinus carpio 'singuonensis'</v>
      </c>
      <c r="H492" t="s">
        <v>625</v>
      </c>
      <c r="I492" t="str">
        <f>HYPERLINK("http://www.ncbi.nlm.nih.gov/protein/ANA50341.1","androgen receptor")</f>
        <v>androgen receptor</v>
      </c>
      <c r="J492" t="s">
        <v>1327</v>
      </c>
      <c r="K492" t="s">
        <v>20</v>
      </c>
      <c r="L492">
        <v>666</v>
      </c>
      <c r="M492" t="s">
        <v>25</v>
      </c>
      <c r="N492" t="s">
        <v>20</v>
      </c>
      <c r="O492">
        <v>672</v>
      </c>
      <c r="P492" t="s">
        <v>1313</v>
      </c>
      <c r="Q492" t="s">
        <v>20</v>
      </c>
      <c r="R492">
        <v>713</v>
      </c>
      <c r="S492" t="s">
        <v>1314</v>
      </c>
      <c r="T492" t="s">
        <v>20</v>
      </c>
      <c r="U492">
        <v>836</v>
      </c>
      <c r="V492" t="s">
        <v>1315</v>
      </c>
      <c r="W492" t="s">
        <v>20</v>
      </c>
    </row>
    <row r="493" spans="1:23" x14ac:dyDescent="0.25">
      <c r="A493">
        <v>6</v>
      </c>
      <c r="B493" t="s">
        <v>384</v>
      </c>
      <c r="C493" t="str">
        <f>HYPERLINK("http://www.ncbi.nlm.nih.gov/protein/AGN52747.1","AGN52747.1")</f>
        <v>AGN52747.1</v>
      </c>
      <c r="D493">
        <v>250</v>
      </c>
      <c r="E493" t="str">
        <f>HYPERLINK("http://www.ncbi.nlm.nih.gov/Taxonomy/Browser/wwwtax.cgi?mode=Info&amp;id=111304&amp;lvl=3&amp;lin=f&amp;keep=1&amp;srchmode=1&amp;unlock","111304")</f>
        <v>111304</v>
      </c>
      <c r="F493" t="s">
        <v>384</v>
      </c>
      <c r="G493" t="str">
        <f>HYPERLINK("http://www.ncbi.nlm.nih.gov/Taxonomy/Browser/wwwtax.cgi?mode=Info&amp;id=111304&amp;lvl=3&amp;lin=f&amp;keep=1&amp;srchmode=1&amp;unlock","Acipenser schrenckii")</f>
        <v>Acipenser schrenckii</v>
      </c>
      <c r="H493" t="s">
        <v>1004</v>
      </c>
      <c r="I493" t="str">
        <f>HYPERLINK("http://www.ncbi.nlm.nih.gov/protein/AGN52747.1","androgen receptor")</f>
        <v>androgen receptor</v>
      </c>
      <c r="J493" t="s">
        <v>1327</v>
      </c>
      <c r="K493" t="s">
        <v>20</v>
      </c>
      <c r="L493">
        <v>628</v>
      </c>
      <c r="M493" t="s">
        <v>25</v>
      </c>
      <c r="N493" t="s">
        <v>20</v>
      </c>
      <c r="O493">
        <v>634</v>
      </c>
      <c r="P493" t="s">
        <v>1313</v>
      </c>
      <c r="Q493" t="s">
        <v>20</v>
      </c>
      <c r="R493">
        <v>675</v>
      </c>
      <c r="S493" t="s">
        <v>1314</v>
      </c>
      <c r="T493" t="s">
        <v>20</v>
      </c>
      <c r="U493">
        <v>798</v>
      </c>
      <c r="V493" t="s">
        <v>1315</v>
      </c>
      <c r="W493" t="s">
        <v>20</v>
      </c>
    </row>
    <row r="494" spans="1:23" x14ac:dyDescent="0.25">
      <c r="A494">
        <v>6</v>
      </c>
      <c r="B494" t="s">
        <v>384</v>
      </c>
      <c r="C494" t="str">
        <f>HYPERLINK("http://www.ncbi.nlm.nih.gov/protein/XP_028276724.1","XP_028276724.1")</f>
        <v>XP_028276724.1</v>
      </c>
      <c r="D494">
        <v>41035</v>
      </c>
      <c r="E494" t="str">
        <f>HYPERLINK("http://www.ncbi.nlm.nih.gov/Taxonomy/Browser/wwwtax.cgi?mode=Info&amp;id=210632&amp;lvl=3&amp;lin=f&amp;keep=1&amp;srchmode=1&amp;unlock","210632")</f>
        <v>210632</v>
      </c>
      <c r="F494" t="s">
        <v>384</v>
      </c>
      <c r="G494" t="str">
        <f>HYPERLINK("http://www.ncbi.nlm.nih.gov/Taxonomy/Browser/wwwtax.cgi?mode=Info&amp;id=210632&amp;lvl=3&amp;lin=f&amp;keep=1&amp;srchmode=1&amp;unlock","Parambassis ranga")</f>
        <v>Parambassis ranga</v>
      </c>
      <c r="H494" t="s">
        <v>549</v>
      </c>
      <c r="I494" t="str">
        <f>HYPERLINK("http://www.ncbi.nlm.nih.gov/protein/XP_028276724.1","androgen receptor")</f>
        <v>androgen receptor</v>
      </c>
      <c r="J494" t="s">
        <v>1327</v>
      </c>
      <c r="K494" t="s">
        <v>20</v>
      </c>
      <c r="L494">
        <v>544</v>
      </c>
      <c r="M494" t="s">
        <v>25</v>
      </c>
      <c r="N494" t="s">
        <v>20</v>
      </c>
      <c r="O494">
        <v>550</v>
      </c>
      <c r="P494" t="s">
        <v>1313</v>
      </c>
      <c r="Q494" t="s">
        <v>20</v>
      </c>
      <c r="R494">
        <v>591</v>
      </c>
      <c r="S494" t="s">
        <v>1314</v>
      </c>
      <c r="T494" t="s">
        <v>20</v>
      </c>
      <c r="U494">
        <v>714</v>
      </c>
      <c r="V494" t="s">
        <v>1315</v>
      </c>
      <c r="W494" t="s">
        <v>20</v>
      </c>
    </row>
    <row r="495" spans="1:23" x14ac:dyDescent="0.25">
      <c r="A495">
        <v>6</v>
      </c>
      <c r="B495" t="s">
        <v>384</v>
      </c>
      <c r="C495" t="str">
        <f>HYPERLINK("http://www.ncbi.nlm.nih.gov/protein/AAU09477.1","AAU09477.1")</f>
        <v>AAU09477.1</v>
      </c>
      <c r="D495">
        <v>92</v>
      </c>
      <c r="E495" t="str">
        <f>HYPERLINK("http://www.ncbi.nlm.nih.gov/Taxonomy/Browser/wwwtax.cgi?mode=Info&amp;id=29154&amp;lvl=3&amp;lin=f&amp;keep=1&amp;srchmode=1&amp;unlock","29154")</f>
        <v>29154</v>
      </c>
      <c r="F495" t="s">
        <v>384</v>
      </c>
      <c r="G495" t="str">
        <f>HYPERLINK("http://www.ncbi.nlm.nih.gov/Taxonomy/Browser/wwwtax.cgi?mode=Info&amp;id=29154&amp;lvl=3&amp;lin=f&amp;keep=1&amp;srchmode=1&amp;unlock","Micropogonias undulatus")</f>
        <v>Micropogonias undulatus</v>
      </c>
      <c r="H495" t="s">
        <v>1005</v>
      </c>
      <c r="I495" t="str">
        <f>HYPERLINK("http://www.ncbi.nlm.nih.gov/protein/AAU09477.1","nuclear androgen receptor")</f>
        <v>nuclear androgen receptor</v>
      </c>
      <c r="J495" t="s">
        <v>1327</v>
      </c>
      <c r="K495" t="s">
        <v>20</v>
      </c>
      <c r="L495">
        <v>544</v>
      </c>
      <c r="M495" t="s">
        <v>25</v>
      </c>
      <c r="N495" t="s">
        <v>20</v>
      </c>
      <c r="O495">
        <v>550</v>
      </c>
      <c r="P495" t="s">
        <v>1313</v>
      </c>
      <c r="Q495" t="s">
        <v>20</v>
      </c>
      <c r="R495">
        <v>591</v>
      </c>
      <c r="S495" t="s">
        <v>1314</v>
      </c>
      <c r="T495" t="s">
        <v>20</v>
      </c>
      <c r="U495">
        <v>714</v>
      </c>
      <c r="V495" t="s">
        <v>1315</v>
      </c>
      <c r="W495" t="s">
        <v>20</v>
      </c>
    </row>
    <row r="496" spans="1:23" x14ac:dyDescent="0.25">
      <c r="A496">
        <v>6</v>
      </c>
      <c r="B496" t="s">
        <v>384</v>
      </c>
      <c r="C496" t="str">
        <f>HYPERLINK("http://www.ncbi.nlm.nih.gov/protein/XP_030009492.1","XP_030009492.1")</f>
        <v>XP_030009492.1</v>
      </c>
      <c r="D496">
        <v>42352</v>
      </c>
      <c r="E496" t="str">
        <f>HYPERLINK("http://www.ncbi.nlm.nih.gov/Taxonomy/Browser/wwwtax.cgi?mode=Info&amp;id=375764&amp;lvl=3&amp;lin=f&amp;keep=1&amp;srchmode=1&amp;unlock","375764")</f>
        <v>375764</v>
      </c>
      <c r="F496" t="s">
        <v>384</v>
      </c>
      <c r="G496" t="str">
        <f>HYPERLINK("http://www.ncbi.nlm.nih.gov/Taxonomy/Browser/wwwtax.cgi?mode=Info&amp;id=375764&amp;lvl=3&amp;lin=f&amp;keep=1&amp;srchmode=1&amp;unlock","Sphaeramia orbicularis")</f>
        <v>Sphaeramia orbicularis</v>
      </c>
      <c r="H496" t="s">
        <v>561</v>
      </c>
      <c r="I496" t="str">
        <f>HYPERLINK("http://www.ncbi.nlm.nih.gov/protein/XP_030009492.1","androgen receptor-like")</f>
        <v>androgen receptor-like</v>
      </c>
      <c r="J496" t="s">
        <v>1327</v>
      </c>
      <c r="K496" t="s">
        <v>20</v>
      </c>
      <c r="L496">
        <v>516</v>
      </c>
      <c r="M496" t="s">
        <v>25</v>
      </c>
      <c r="N496" t="s">
        <v>20</v>
      </c>
      <c r="O496">
        <v>522</v>
      </c>
      <c r="P496" t="s">
        <v>1313</v>
      </c>
      <c r="Q496" t="s">
        <v>20</v>
      </c>
      <c r="R496">
        <v>563</v>
      </c>
      <c r="S496" t="s">
        <v>1314</v>
      </c>
      <c r="T496" t="s">
        <v>20</v>
      </c>
      <c r="U496">
        <v>687</v>
      </c>
      <c r="V496" t="s">
        <v>1315</v>
      </c>
      <c r="W496" t="s">
        <v>20</v>
      </c>
    </row>
    <row r="497" spans="1:23" x14ac:dyDescent="0.25">
      <c r="A497">
        <v>6</v>
      </c>
      <c r="B497" t="s">
        <v>384</v>
      </c>
      <c r="C497" t="str">
        <f>HYPERLINK("http://www.ncbi.nlm.nih.gov/protein/XP_034461725.1","XP_034461725.1")</f>
        <v>XP_034461725.1</v>
      </c>
      <c r="D497">
        <v>47299</v>
      </c>
      <c r="E497" t="str">
        <f>HYPERLINK("http://www.ncbi.nlm.nih.gov/Taxonomy/Browser/wwwtax.cgi?mode=Info&amp;id=8267&amp;lvl=3&amp;lin=f&amp;keep=1&amp;srchmode=1&amp;unlock","8267")</f>
        <v>8267</v>
      </c>
      <c r="F497" t="s">
        <v>384</v>
      </c>
      <c r="G497" t="str">
        <f>HYPERLINK("http://www.ncbi.nlm.nih.gov/Taxonomy/Browser/wwwtax.cgi?mode=Info&amp;id=8267&amp;lvl=3&amp;lin=f&amp;keep=1&amp;srchmode=1&amp;unlock","Hippoglossus hippoglossus")</f>
        <v>Hippoglossus hippoglossus</v>
      </c>
      <c r="H497" t="s">
        <v>538</v>
      </c>
      <c r="I497" t="str">
        <f>HYPERLINK("http://www.ncbi.nlm.nih.gov/protein/XP_034461725.1","androgen receptor-like isoform X6")</f>
        <v>androgen receptor-like isoform X6</v>
      </c>
      <c r="J497" t="s">
        <v>1327</v>
      </c>
      <c r="K497" t="s">
        <v>20</v>
      </c>
      <c r="L497">
        <v>538</v>
      </c>
      <c r="M497" t="s">
        <v>25</v>
      </c>
      <c r="N497" t="s">
        <v>20</v>
      </c>
      <c r="O497">
        <v>544</v>
      </c>
      <c r="P497" t="s">
        <v>1313</v>
      </c>
      <c r="Q497" t="s">
        <v>20</v>
      </c>
      <c r="R497">
        <v>585</v>
      </c>
      <c r="S497" t="s">
        <v>1314</v>
      </c>
      <c r="T497" t="s">
        <v>20</v>
      </c>
      <c r="U497">
        <v>708</v>
      </c>
      <c r="V497" t="s">
        <v>1315</v>
      </c>
      <c r="W497" t="s">
        <v>20</v>
      </c>
    </row>
    <row r="498" spans="1:23" x14ac:dyDescent="0.25">
      <c r="A498">
        <v>6</v>
      </c>
      <c r="B498" t="s">
        <v>384</v>
      </c>
      <c r="C498" t="str">
        <f>HYPERLINK("http://www.ncbi.nlm.nih.gov/protein/XP_039505961.1","XP_039505961.1")</f>
        <v>XP_039505961.1</v>
      </c>
      <c r="D498">
        <v>96106</v>
      </c>
      <c r="E498" t="str">
        <f>HYPERLINK("http://www.ncbi.nlm.nih.gov/Taxonomy/Browser/wwwtax.cgi?mode=Info&amp;id=90988&amp;lvl=3&amp;lin=f&amp;keep=1&amp;srchmode=1&amp;unlock","90988")</f>
        <v>90988</v>
      </c>
      <c r="F498" t="s">
        <v>384</v>
      </c>
      <c r="G498" t="str">
        <f>HYPERLINK("http://www.ncbi.nlm.nih.gov/Taxonomy/Browser/wwwtax.cgi?mode=Info&amp;id=90988&amp;lvl=3&amp;lin=f&amp;keep=1&amp;srchmode=1&amp;unlock","Pimephales promelas")</f>
        <v>Pimephales promelas</v>
      </c>
      <c r="H498" t="s">
        <v>513</v>
      </c>
      <c r="I498" t="str">
        <f>HYPERLINK("http://www.ncbi.nlm.nih.gov/protein/XP_039505961.1","androgen receptor")</f>
        <v>androgen receptor</v>
      </c>
      <c r="J498" t="s">
        <v>1327</v>
      </c>
      <c r="K498" t="s">
        <v>20</v>
      </c>
      <c r="L498">
        <v>626</v>
      </c>
      <c r="M498" t="s">
        <v>25</v>
      </c>
      <c r="N498" t="s">
        <v>20</v>
      </c>
      <c r="O498">
        <v>632</v>
      </c>
      <c r="P498" t="s">
        <v>1313</v>
      </c>
      <c r="Q498" t="s">
        <v>20</v>
      </c>
      <c r="R498">
        <v>673</v>
      </c>
      <c r="S498" t="s">
        <v>1314</v>
      </c>
      <c r="T498" t="s">
        <v>20</v>
      </c>
      <c r="U498">
        <v>796</v>
      </c>
      <c r="V498" t="s">
        <v>1315</v>
      </c>
      <c r="W498" t="s">
        <v>20</v>
      </c>
    </row>
    <row r="499" spans="1:23" x14ac:dyDescent="0.25">
      <c r="A499">
        <v>6</v>
      </c>
      <c r="B499" t="s">
        <v>384</v>
      </c>
      <c r="C499" t="str">
        <f>HYPERLINK("http://www.ncbi.nlm.nih.gov/protein/AGV29986.1","AGV29986.1")</f>
        <v>AGV29986.1</v>
      </c>
      <c r="D499">
        <v>37796</v>
      </c>
      <c r="E499" t="str">
        <f>HYPERLINK("http://www.ncbi.nlm.nih.gov/Taxonomy/Browser/wwwtax.cgi?mode=Info&amp;id=8255&amp;lvl=3&amp;lin=f&amp;keep=1&amp;srchmode=1&amp;unlock","8255")</f>
        <v>8255</v>
      </c>
      <c r="F499" t="s">
        <v>384</v>
      </c>
      <c r="G499" t="str">
        <f>HYPERLINK("http://www.ncbi.nlm.nih.gov/Taxonomy/Browser/wwwtax.cgi?mode=Info&amp;id=8255&amp;lvl=3&amp;lin=f&amp;keep=1&amp;srchmode=1&amp;unlock","Paralichthys olivaceus")</f>
        <v>Paralichthys olivaceus</v>
      </c>
      <c r="H499" t="s">
        <v>563</v>
      </c>
      <c r="I499" t="str">
        <f>HYPERLINK("http://www.ncbi.nlm.nih.gov/protein/AGV29986.1","androgen receptor beta")</f>
        <v>androgen receptor beta</v>
      </c>
      <c r="J499" t="s">
        <v>1327</v>
      </c>
      <c r="K499" t="s">
        <v>20</v>
      </c>
      <c r="L499">
        <v>533</v>
      </c>
      <c r="M499" t="s">
        <v>25</v>
      </c>
      <c r="N499" t="s">
        <v>20</v>
      </c>
      <c r="O499">
        <v>539</v>
      </c>
      <c r="P499" t="s">
        <v>1313</v>
      </c>
      <c r="Q499" t="s">
        <v>20</v>
      </c>
      <c r="R499">
        <v>580</v>
      </c>
      <c r="S499" t="s">
        <v>1314</v>
      </c>
      <c r="T499" t="s">
        <v>20</v>
      </c>
      <c r="U499">
        <v>703</v>
      </c>
      <c r="V499" t="s">
        <v>1315</v>
      </c>
      <c r="W499" t="s">
        <v>20</v>
      </c>
    </row>
    <row r="500" spans="1:23" x14ac:dyDescent="0.25">
      <c r="A500">
        <v>6</v>
      </c>
      <c r="B500" t="s">
        <v>384</v>
      </c>
      <c r="C500" t="str">
        <f>HYPERLINK("http://www.ncbi.nlm.nih.gov/protein/XP_035034996.1","XP_035034996.1")</f>
        <v>XP_035034996.1</v>
      </c>
      <c r="D500">
        <v>65062</v>
      </c>
      <c r="E500" t="str">
        <f>HYPERLINK("http://www.ncbi.nlm.nih.gov/Taxonomy/Browser/wwwtax.cgi?mode=Info&amp;id=195615&amp;lvl=3&amp;lin=f&amp;keep=1&amp;srchmode=1&amp;unlock","195615")</f>
        <v>195615</v>
      </c>
      <c r="F500" t="s">
        <v>384</v>
      </c>
      <c r="G500" t="str">
        <f>HYPERLINK("http://www.ncbi.nlm.nih.gov/Taxonomy/Browser/wwwtax.cgi?mode=Info&amp;id=195615&amp;lvl=3&amp;lin=f&amp;keep=1&amp;srchmode=1&amp;unlock","Hippoglossus stenolepis")</f>
        <v>Hippoglossus stenolepis</v>
      </c>
      <c r="H500" t="s">
        <v>524</v>
      </c>
      <c r="I500" t="str">
        <f>HYPERLINK("http://www.ncbi.nlm.nih.gov/protein/XP_035034996.1","androgen receptor-like isoform X6")</f>
        <v>androgen receptor-like isoform X6</v>
      </c>
      <c r="J500" t="s">
        <v>1327</v>
      </c>
      <c r="K500" t="s">
        <v>20</v>
      </c>
      <c r="L500">
        <v>538</v>
      </c>
      <c r="M500" t="s">
        <v>25</v>
      </c>
      <c r="N500" t="s">
        <v>20</v>
      </c>
      <c r="O500">
        <v>544</v>
      </c>
      <c r="P500" t="s">
        <v>1313</v>
      </c>
      <c r="Q500" t="s">
        <v>20</v>
      </c>
      <c r="R500">
        <v>585</v>
      </c>
      <c r="S500" t="s">
        <v>1314</v>
      </c>
      <c r="T500" t="s">
        <v>20</v>
      </c>
      <c r="U500">
        <v>708</v>
      </c>
      <c r="V500" t="s">
        <v>1315</v>
      </c>
      <c r="W500" t="s">
        <v>20</v>
      </c>
    </row>
    <row r="501" spans="1:23" x14ac:dyDescent="0.25">
      <c r="A501">
        <v>6</v>
      </c>
      <c r="B501" t="s">
        <v>384</v>
      </c>
      <c r="C501" t="str">
        <f>HYPERLINK("http://www.ncbi.nlm.nih.gov/protein/XP_030601688.1","XP_030601688.1")</f>
        <v>XP_030601688.1</v>
      </c>
      <c r="D501">
        <v>41125</v>
      </c>
      <c r="E501" t="str">
        <f>HYPERLINK("http://www.ncbi.nlm.nih.gov/Taxonomy/Browser/wwwtax.cgi?mode=Info&amp;id=63155&amp;lvl=3&amp;lin=f&amp;keep=1&amp;srchmode=1&amp;unlock","63155")</f>
        <v>63155</v>
      </c>
      <c r="F501" t="s">
        <v>384</v>
      </c>
      <c r="G501" t="str">
        <f>HYPERLINK("http://www.ncbi.nlm.nih.gov/Taxonomy/Browser/wwwtax.cgi?mode=Info&amp;id=63155&amp;lvl=3&amp;lin=f&amp;keep=1&amp;srchmode=1&amp;unlock","Archocentrus centrarchus")</f>
        <v>Archocentrus centrarchus</v>
      </c>
      <c r="H501" t="s">
        <v>622</v>
      </c>
      <c r="I501" t="str">
        <f>HYPERLINK("http://www.ncbi.nlm.nih.gov/protein/XP_030601688.1","androgen receptor-like")</f>
        <v>androgen receptor-like</v>
      </c>
      <c r="J501" t="s">
        <v>1327</v>
      </c>
      <c r="K501" t="s">
        <v>20</v>
      </c>
      <c r="L501">
        <v>541</v>
      </c>
      <c r="M501" t="s">
        <v>25</v>
      </c>
      <c r="N501" t="s">
        <v>20</v>
      </c>
      <c r="O501">
        <v>547</v>
      </c>
      <c r="P501" t="s">
        <v>1313</v>
      </c>
      <c r="Q501" t="s">
        <v>20</v>
      </c>
      <c r="R501">
        <v>588</v>
      </c>
      <c r="S501" t="s">
        <v>1314</v>
      </c>
      <c r="T501" t="s">
        <v>20</v>
      </c>
      <c r="U501">
        <v>711</v>
      </c>
      <c r="V501" t="s">
        <v>1315</v>
      </c>
      <c r="W501" t="s">
        <v>20</v>
      </c>
    </row>
    <row r="502" spans="1:23" x14ac:dyDescent="0.25">
      <c r="A502">
        <v>6</v>
      </c>
      <c r="B502" t="s">
        <v>384</v>
      </c>
      <c r="C502" t="str">
        <f>HYPERLINK("http://www.ncbi.nlm.nih.gov/protein/ABO21344.1","ABO21344.1")</f>
        <v>ABO21344.1</v>
      </c>
      <c r="D502">
        <v>87653</v>
      </c>
      <c r="E502" t="str">
        <f>HYPERLINK("http://www.ncbi.nlm.nih.gov/Taxonomy/Browser/wwwtax.cgi?mode=Info&amp;id=7955&amp;lvl=3&amp;lin=f&amp;keep=1&amp;srchmode=1&amp;unlock","7955")</f>
        <v>7955</v>
      </c>
      <c r="F502" t="s">
        <v>384</v>
      </c>
      <c r="G502" t="str">
        <f>HYPERLINK("http://www.ncbi.nlm.nih.gov/Taxonomy/Browser/wwwtax.cgi?mode=Info&amp;id=7955&amp;lvl=3&amp;lin=f&amp;keep=1&amp;srchmode=1&amp;unlock","Danio rerio")</f>
        <v>Danio rerio</v>
      </c>
      <c r="H502" t="s">
        <v>535</v>
      </c>
      <c r="I502" t="str">
        <f>HYPERLINK("http://www.ncbi.nlm.nih.gov/protein/ABO21344.1","androgen receptor")</f>
        <v>androgen receptor</v>
      </c>
      <c r="J502" t="s">
        <v>1327</v>
      </c>
      <c r="K502" t="s">
        <v>20</v>
      </c>
      <c r="L502">
        <v>655</v>
      </c>
      <c r="M502" t="s">
        <v>25</v>
      </c>
      <c r="N502" t="s">
        <v>20</v>
      </c>
      <c r="O502">
        <v>661</v>
      </c>
      <c r="P502" t="s">
        <v>1313</v>
      </c>
      <c r="Q502" t="s">
        <v>20</v>
      </c>
      <c r="R502">
        <v>702</v>
      </c>
      <c r="S502" t="s">
        <v>1314</v>
      </c>
      <c r="T502" t="s">
        <v>20</v>
      </c>
      <c r="U502">
        <v>825</v>
      </c>
      <c r="V502" t="s">
        <v>1315</v>
      </c>
      <c r="W502" t="s">
        <v>20</v>
      </c>
    </row>
    <row r="503" spans="1:23" x14ac:dyDescent="0.25">
      <c r="A503">
        <v>6</v>
      </c>
      <c r="B503" t="s">
        <v>384</v>
      </c>
      <c r="C503" t="str">
        <f>HYPERLINK("http://www.ncbi.nlm.nih.gov/protein/XP_016358255.1","XP_016358255.1")</f>
        <v>XP_016358255.1</v>
      </c>
      <c r="D503">
        <v>68489</v>
      </c>
      <c r="E503" t="str">
        <f>HYPERLINK("http://www.ncbi.nlm.nih.gov/Taxonomy/Browser/wwwtax.cgi?mode=Info&amp;id=1608454&amp;lvl=3&amp;lin=f&amp;keep=1&amp;srchmode=1&amp;unlock","1608454")</f>
        <v>1608454</v>
      </c>
      <c r="F503" t="s">
        <v>384</v>
      </c>
      <c r="G503" t="str">
        <f>HYPERLINK("http://www.ncbi.nlm.nih.gov/Taxonomy/Browser/wwwtax.cgi?mode=Info&amp;id=1608454&amp;lvl=3&amp;lin=f&amp;keep=1&amp;srchmode=1&amp;unlock","Sinocyclocheilus anshuiensis")</f>
        <v>Sinocyclocheilus anshuiensis</v>
      </c>
      <c r="H503" t="s">
        <v>529</v>
      </c>
      <c r="I503" t="str">
        <f>HYPERLINK("http://www.ncbi.nlm.nih.gov/protein/XP_016358255.1","PREDICTED: androgen receptor-like")</f>
        <v>PREDICTED: androgen receptor-like</v>
      </c>
      <c r="J503" t="s">
        <v>1327</v>
      </c>
      <c r="K503" t="s">
        <v>20</v>
      </c>
      <c r="L503">
        <v>576</v>
      </c>
      <c r="M503" t="s">
        <v>25</v>
      </c>
      <c r="N503" t="s">
        <v>20</v>
      </c>
      <c r="O503">
        <v>582</v>
      </c>
      <c r="P503" t="s">
        <v>1313</v>
      </c>
      <c r="Q503" t="s">
        <v>20</v>
      </c>
      <c r="R503">
        <v>623</v>
      </c>
      <c r="S503" t="s">
        <v>1314</v>
      </c>
      <c r="T503" t="s">
        <v>20</v>
      </c>
      <c r="U503">
        <v>746</v>
      </c>
      <c r="V503" t="s">
        <v>1315</v>
      </c>
      <c r="W503" t="s">
        <v>20</v>
      </c>
    </row>
    <row r="504" spans="1:23" x14ac:dyDescent="0.25">
      <c r="A504">
        <v>6</v>
      </c>
      <c r="B504" t="s">
        <v>384</v>
      </c>
      <c r="C504" t="str">
        <f>HYPERLINK("http://www.ncbi.nlm.nih.gov/protein/AMQ81677.1","AMQ81677.1")</f>
        <v>AMQ81677.1</v>
      </c>
      <c r="D504">
        <v>75</v>
      </c>
      <c r="E504" t="str">
        <f>HYPERLINK("http://www.ncbi.nlm.nih.gov/Taxonomy/Browser/wwwtax.cgi?mode=Info&amp;id=77794&amp;lvl=3&amp;lin=f&amp;keep=1&amp;srchmode=1&amp;unlock","77794")</f>
        <v>77794</v>
      </c>
      <c r="F504" t="s">
        <v>384</v>
      </c>
      <c r="G504" t="str">
        <f>HYPERLINK("http://www.ncbi.nlm.nih.gov/Taxonomy/Browser/wwwtax.cgi?mode=Info&amp;id=77794&amp;lvl=3&amp;lin=f&amp;keep=1&amp;srchmode=1&amp;unlock","Luciobarbus capito")</f>
        <v>Luciobarbus capito</v>
      </c>
      <c r="H504" t="s">
        <v>1006</v>
      </c>
      <c r="I504" t="str">
        <f>HYPERLINK("http://www.ncbi.nlm.nih.gov/protein/AMQ81677.1","androgen receptor protein")</f>
        <v>androgen receptor protein</v>
      </c>
      <c r="J504" t="s">
        <v>1327</v>
      </c>
      <c r="K504" t="s">
        <v>20</v>
      </c>
      <c r="L504">
        <v>636</v>
      </c>
      <c r="M504" t="s">
        <v>25</v>
      </c>
      <c r="N504" t="s">
        <v>20</v>
      </c>
      <c r="O504">
        <v>642</v>
      </c>
      <c r="P504" t="s">
        <v>1313</v>
      </c>
      <c r="Q504" t="s">
        <v>20</v>
      </c>
      <c r="R504">
        <v>683</v>
      </c>
      <c r="S504" t="s">
        <v>1314</v>
      </c>
      <c r="T504" t="s">
        <v>20</v>
      </c>
      <c r="U504">
        <v>806</v>
      </c>
      <c r="V504" t="s">
        <v>1315</v>
      </c>
      <c r="W504" t="s">
        <v>20</v>
      </c>
    </row>
    <row r="505" spans="1:23" x14ac:dyDescent="0.25">
      <c r="A505">
        <v>6</v>
      </c>
      <c r="B505" t="s">
        <v>384</v>
      </c>
      <c r="C505" t="str">
        <f>HYPERLINK("http://www.ncbi.nlm.nih.gov/protein/AEO13404.1","AEO13404.1")</f>
        <v>AEO13404.1</v>
      </c>
      <c r="D505">
        <v>54133</v>
      </c>
      <c r="E505" t="str">
        <f>HYPERLINK("http://www.ncbi.nlm.nih.gov/Taxonomy/Browser/wwwtax.cgi?mode=Info&amp;id=8175&amp;lvl=3&amp;lin=f&amp;keep=1&amp;srchmode=1&amp;unlock","8175")</f>
        <v>8175</v>
      </c>
      <c r="F505" t="s">
        <v>384</v>
      </c>
      <c r="G505" t="str">
        <f>HYPERLINK("http://www.ncbi.nlm.nih.gov/Taxonomy/Browser/wwwtax.cgi?mode=Info&amp;id=8175&amp;lvl=3&amp;lin=f&amp;keep=1&amp;srchmode=1&amp;unlock","Sparus aurata")</f>
        <v>Sparus aurata</v>
      </c>
      <c r="H505" t="s">
        <v>567</v>
      </c>
      <c r="I505" t="str">
        <f>HYPERLINK("http://www.ncbi.nlm.nih.gov/protein/AEO13404.1","androgen receptor")</f>
        <v>androgen receptor</v>
      </c>
      <c r="J505" t="s">
        <v>1327</v>
      </c>
      <c r="K505" t="s">
        <v>20</v>
      </c>
      <c r="L505">
        <v>527</v>
      </c>
      <c r="M505" t="s">
        <v>25</v>
      </c>
      <c r="N505" t="s">
        <v>20</v>
      </c>
      <c r="O505">
        <v>533</v>
      </c>
      <c r="P505" t="s">
        <v>1313</v>
      </c>
      <c r="Q505" t="s">
        <v>20</v>
      </c>
      <c r="R505">
        <v>574</v>
      </c>
      <c r="S505" t="s">
        <v>1314</v>
      </c>
      <c r="T505" t="s">
        <v>20</v>
      </c>
      <c r="U505">
        <v>697</v>
      </c>
      <c r="V505" t="s">
        <v>1315</v>
      </c>
      <c r="W505" t="s">
        <v>20</v>
      </c>
    </row>
    <row r="506" spans="1:23" x14ac:dyDescent="0.25">
      <c r="A506">
        <v>6</v>
      </c>
      <c r="B506" t="s">
        <v>384</v>
      </c>
      <c r="C506" t="str">
        <f>HYPERLINK("http://www.ncbi.nlm.nih.gov/protein/RXN28713.1","RXN28713.1")</f>
        <v>RXN28713.1</v>
      </c>
      <c r="D506">
        <v>37718</v>
      </c>
      <c r="E506" t="str">
        <f>HYPERLINK("http://www.ncbi.nlm.nih.gov/Taxonomy/Browser/wwwtax.cgi?mode=Info&amp;id=84645&amp;lvl=3&amp;lin=f&amp;keep=1&amp;srchmode=1&amp;unlock","84645")</f>
        <v>84645</v>
      </c>
      <c r="F506" t="s">
        <v>384</v>
      </c>
      <c r="G506" t="str">
        <f>HYPERLINK("http://www.ncbi.nlm.nih.gov/Taxonomy/Browser/wwwtax.cgi?mode=Info&amp;id=84645&amp;lvl=3&amp;lin=f&amp;keep=1&amp;srchmode=1&amp;unlock","Labeo rohita")</f>
        <v>Labeo rohita</v>
      </c>
      <c r="H506" t="s">
        <v>516</v>
      </c>
      <c r="I506" t="str">
        <f>HYPERLINK("http://www.ncbi.nlm.nih.gov/protein/RXN28713.1","androgen receptor")</f>
        <v>androgen receptor</v>
      </c>
      <c r="J506" t="s">
        <v>1327</v>
      </c>
      <c r="K506" t="s">
        <v>20</v>
      </c>
      <c r="L506">
        <v>654</v>
      </c>
      <c r="M506" t="s">
        <v>25</v>
      </c>
      <c r="N506" t="s">
        <v>20</v>
      </c>
      <c r="O506">
        <v>660</v>
      </c>
      <c r="P506" t="s">
        <v>1313</v>
      </c>
      <c r="Q506" t="s">
        <v>20</v>
      </c>
      <c r="R506">
        <v>701</v>
      </c>
      <c r="S506" t="s">
        <v>1314</v>
      </c>
      <c r="T506" t="s">
        <v>20</v>
      </c>
      <c r="U506">
        <v>835</v>
      </c>
      <c r="V506" t="s">
        <v>1315</v>
      </c>
      <c r="W506" t="s">
        <v>20</v>
      </c>
    </row>
    <row r="507" spans="1:23" x14ac:dyDescent="0.25">
      <c r="A507">
        <v>6</v>
      </c>
      <c r="B507" t="s">
        <v>384</v>
      </c>
      <c r="C507" t="str">
        <f>HYPERLINK("http://www.ncbi.nlm.nih.gov/protein/AAT76433.1","AAT76433.1")</f>
        <v>AAT76433.1</v>
      </c>
      <c r="D507">
        <v>2729</v>
      </c>
      <c r="E507" t="str">
        <f>HYPERLINK("http://www.ncbi.nlm.nih.gov/Taxonomy/Browser/wwwtax.cgi?mode=Info&amp;id=13489&amp;lvl=3&amp;lin=f&amp;keep=1&amp;srchmode=1&amp;unlock","13489")</f>
        <v>13489</v>
      </c>
      <c r="F507" t="s">
        <v>384</v>
      </c>
      <c r="G507" t="str">
        <f>HYPERLINK("http://www.ncbi.nlm.nih.gov/Taxonomy/Browser/wwwtax.cgi?mode=Info&amp;id=13489&amp;lvl=3&amp;lin=f&amp;keep=1&amp;srchmode=1&amp;unlock","Dicentrarchus labrax")</f>
        <v>Dicentrarchus labrax</v>
      </c>
      <c r="H507" t="s">
        <v>840</v>
      </c>
      <c r="I507" t="str">
        <f>HYPERLINK("http://www.ncbi.nlm.nih.gov/protein/AAT76433.1","androgen receptor")</f>
        <v>androgen receptor</v>
      </c>
      <c r="J507" t="s">
        <v>1327</v>
      </c>
      <c r="K507" t="s">
        <v>20</v>
      </c>
      <c r="L507">
        <v>554</v>
      </c>
      <c r="M507" t="s">
        <v>25</v>
      </c>
      <c r="N507" t="s">
        <v>20</v>
      </c>
      <c r="O507">
        <v>560</v>
      </c>
      <c r="P507" t="s">
        <v>1313</v>
      </c>
      <c r="Q507" t="s">
        <v>20</v>
      </c>
      <c r="R507">
        <v>601</v>
      </c>
      <c r="S507" t="s">
        <v>1314</v>
      </c>
      <c r="T507" t="s">
        <v>20</v>
      </c>
      <c r="U507">
        <v>724</v>
      </c>
      <c r="V507" t="s">
        <v>1315</v>
      </c>
      <c r="W507" t="s">
        <v>20</v>
      </c>
    </row>
    <row r="508" spans="1:23" x14ac:dyDescent="0.25">
      <c r="A508">
        <v>6</v>
      </c>
      <c r="B508" t="s">
        <v>384</v>
      </c>
      <c r="C508" t="str">
        <f>HYPERLINK("http://www.ncbi.nlm.nih.gov/protein/BAA33451.1","BAA33451.1")</f>
        <v>BAA33451.1</v>
      </c>
      <c r="D508">
        <v>337</v>
      </c>
      <c r="E508" t="str">
        <f>HYPERLINK("http://www.ncbi.nlm.nih.gov/Taxonomy/Browser/wwwtax.cgi?mode=Info&amp;id=143350&amp;lvl=3&amp;lin=f&amp;keep=1&amp;srchmode=1&amp;unlock","143350")</f>
        <v>143350</v>
      </c>
      <c r="F508" t="s">
        <v>384</v>
      </c>
      <c r="G508" t="str">
        <f>HYPERLINK("http://www.ncbi.nlm.nih.gov/Taxonomy/Browser/wwwtax.cgi?mode=Info&amp;id=143350&amp;lvl=3&amp;lin=f&amp;keep=1&amp;srchmode=1&amp;unlock","Pagrus major")</f>
        <v>Pagrus major</v>
      </c>
      <c r="H508" t="s">
        <v>955</v>
      </c>
      <c r="I508" t="str">
        <f>HYPERLINK("http://www.ncbi.nlm.nih.gov/protein/BAA33451.1","androgen receptor")</f>
        <v>androgen receptor</v>
      </c>
      <c r="J508" t="s">
        <v>1327</v>
      </c>
      <c r="K508" t="s">
        <v>20</v>
      </c>
      <c r="L508">
        <v>556</v>
      </c>
      <c r="M508" t="s">
        <v>25</v>
      </c>
      <c r="N508" t="s">
        <v>20</v>
      </c>
      <c r="O508">
        <v>562</v>
      </c>
      <c r="P508" t="s">
        <v>1313</v>
      </c>
      <c r="Q508" t="s">
        <v>20</v>
      </c>
      <c r="R508">
        <v>603</v>
      </c>
      <c r="S508" t="s">
        <v>1314</v>
      </c>
      <c r="T508" t="s">
        <v>20</v>
      </c>
      <c r="U508">
        <v>726</v>
      </c>
      <c r="V508" t="s">
        <v>1315</v>
      </c>
      <c r="W508" t="s">
        <v>20</v>
      </c>
    </row>
    <row r="509" spans="1:23" x14ac:dyDescent="0.25">
      <c r="A509">
        <v>6</v>
      </c>
      <c r="B509" t="s">
        <v>384</v>
      </c>
      <c r="C509" t="str">
        <f>HYPERLINK("http://www.ncbi.nlm.nih.gov/protein/XP_034539180.1","XP_034539180.1")</f>
        <v>XP_034539180.1</v>
      </c>
      <c r="D509">
        <v>39441</v>
      </c>
      <c r="E509" t="str">
        <f>HYPERLINK("http://www.ncbi.nlm.nih.gov/Taxonomy/Browser/wwwtax.cgi?mode=Info&amp;id=1203425&amp;lvl=3&amp;lin=f&amp;keep=1&amp;srchmode=1&amp;unlock","1203425")</f>
        <v>1203425</v>
      </c>
      <c r="F509" t="s">
        <v>384</v>
      </c>
      <c r="G509" t="str">
        <f>HYPERLINK("http://www.ncbi.nlm.nih.gov/Taxonomy/Browser/wwwtax.cgi?mode=Info&amp;id=1203425&amp;lvl=3&amp;lin=f&amp;keep=1&amp;srchmode=1&amp;unlock","Notolabrus celidotus")</f>
        <v>Notolabrus celidotus</v>
      </c>
      <c r="H509" t="s">
        <v>572</v>
      </c>
      <c r="I509" t="str">
        <f>HYPERLINK("http://www.ncbi.nlm.nih.gov/protein/XP_034539180.1","androgen receptor isoform X2")</f>
        <v>androgen receptor isoform X2</v>
      </c>
      <c r="J509" t="s">
        <v>1327</v>
      </c>
      <c r="K509" t="s">
        <v>20</v>
      </c>
      <c r="L509">
        <v>514</v>
      </c>
      <c r="M509" t="s">
        <v>25</v>
      </c>
      <c r="N509" t="s">
        <v>20</v>
      </c>
      <c r="O509">
        <v>520</v>
      </c>
      <c r="P509" t="s">
        <v>1313</v>
      </c>
      <c r="Q509" t="s">
        <v>20</v>
      </c>
      <c r="R509">
        <v>561</v>
      </c>
      <c r="S509" t="s">
        <v>1314</v>
      </c>
      <c r="T509" t="s">
        <v>20</v>
      </c>
      <c r="U509">
        <v>684</v>
      </c>
      <c r="V509" t="s">
        <v>1315</v>
      </c>
      <c r="W509" t="s">
        <v>20</v>
      </c>
    </row>
    <row r="510" spans="1:23" x14ac:dyDescent="0.25">
      <c r="A510">
        <v>6</v>
      </c>
      <c r="B510" t="s">
        <v>384</v>
      </c>
      <c r="C510" t="str">
        <f>HYPERLINK("http://www.ncbi.nlm.nih.gov/protein/AXZ78408.1","AXZ78408.1")</f>
        <v>AXZ78408.1</v>
      </c>
      <c r="D510">
        <v>166</v>
      </c>
      <c r="E510" t="str">
        <f>HYPERLINK("http://www.ncbi.nlm.nih.gov/Taxonomy/Browser/wwwtax.cgi?mode=Info&amp;id=241271&amp;lvl=3&amp;lin=f&amp;keep=1&amp;srchmode=1&amp;unlock","241271")</f>
        <v>241271</v>
      </c>
      <c r="F510" t="s">
        <v>384</v>
      </c>
      <c r="G510" t="str">
        <f>HYPERLINK("http://www.ncbi.nlm.nih.gov/Taxonomy/Browser/wwwtax.cgi?mode=Info&amp;id=241271&amp;lvl=3&amp;lin=f&amp;keep=1&amp;srchmode=1&amp;unlock","Cheilinus undulatus")</f>
        <v>Cheilinus undulatus</v>
      </c>
      <c r="H510" t="s">
        <v>1008</v>
      </c>
      <c r="I510" t="str">
        <f>HYPERLINK("http://www.ncbi.nlm.nih.gov/protein/AXZ78408.1","androgen receptor")</f>
        <v>androgen receptor</v>
      </c>
      <c r="J510" t="s">
        <v>1327</v>
      </c>
      <c r="K510" t="s">
        <v>20</v>
      </c>
      <c r="L510">
        <v>542</v>
      </c>
      <c r="M510" t="s">
        <v>25</v>
      </c>
      <c r="N510" t="s">
        <v>20</v>
      </c>
      <c r="O510">
        <v>548</v>
      </c>
      <c r="P510" t="s">
        <v>1313</v>
      </c>
      <c r="Q510" t="s">
        <v>20</v>
      </c>
      <c r="R510">
        <v>589</v>
      </c>
      <c r="S510" t="s">
        <v>1314</v>
      </c>
      <c r="T510" t="s">
        <v>20</v>
      </c>
      <c r="U510">
        <v>712</v>
      </c>
      <c r="V510" t="s">
        <v>1315</v>
      </c>
      <c r="W510" t="s">
        <v>20</v>
      </c>
    </row>
    <row r="511" spans="1:23" x14ac:dyDescent="0.25">
      <c r="A511">
        <v>6</v>
      </c>
      <c r="B511" t="s">
        <v>384</v>
      </c>
      <c r="C511" t="str">
        <f>HYPERLINK("http://www.ncbi.nlm.nih.gov/protein/XP_016142988.1","XP_016142988.1")</f>
        <v>XP_016142988.1</v>
      </c>
      <c r="D511">
        <v>67440</v>
      </c>
      <c r="E511" t="str">
        <f>HYPERLINK("http://www.ncbi.nlm.nih.gov/Taxonomy/Browser/wwwtax.cgi?mode=Info&amp;id=75366&amp;lvl=3&amp;lin=f&amp;keep=1&amp;srchmode=1&amp;unlock","75366")</f>
        <v>75366</v>
      </c>
      <c r="F511" t="s">
        <v>384</v>
      </c>
      <c r="G511" t="str">
        <f>HYPERLINK("http://www.ncbi.nlm.nih.gov/Taxonomy/Browser/wwwtax.cgi?mode=Info&amp;id=75366&amp;lvl=3&amp;lin=f&amp;keep=1&amp;srchmode=1&amp;unlock","Sinocyclocheilus grahami")</f>
        <v>Sinocyclocheilus grahami</v>
      </c>
      <c r="H511" t="s">
        <v>529</v>
      </c>
      <c r="I511" t="str">
        <f>HYPERLINK("http://www.ncbi.nlm.nih.gov/protein/XP_016142988.1","PREDICTED: androgen receptor-like")</f>
        <v>PREDICTED: androgen receptor-like</v>
      </c>
      <c r="J511" t="s">
        <v>1327</v>
      </c>
      <c r="K511" t="s">
        <v>20</v>
      </c>
      <c r="L511">
        <v>639</v>
      </c>
      <c r="M511" t="s">
        <v>25</v>
      </c>
      <c r="N511" t="s">
        <v>20</v>
      </c>
      <c r="O511">
        <v>645</v>
      </c>
      <c r="P511" t="s">
        <v>1313</v>
      </c>
      <c r="Q511" t="s">
        <v>20</v>
      </c>
      <c r="R511">
        <v>686</v>
      </c>
      <c r="S511" t="s">
        <v>1314</v>
      </c>
      <c r="T511" t="s">
        <v>20</v>
      </c>
      <c r="U511">
        <v>809</v>
      </c>
      <c r="V511" t="s">
        <v>1315</v>
      </c>
      <c r="W511" t="s">
        <v>20</v>
      </c>
    </row>
    <row r="512" spans="1:23" x14ac:dyDescent="0.25">
      <c r="A512">
        <v>6</v>
      </c>
      <c r="B512" t="s">
        <v>384</v>
      </c>
      <c r="C512" t="str">
        <f>HYPERLINK("http://www.ncbi.nlm.nih.gov/protein/XP_026227849.1","XP_026227849.1")</f>
        <v>XP_026227849.1</v>
      </c>
      <c r="D512">
        <v>40631</v>
      </c>
      <c r="E512" t="str">
        <f>HYPERLINK("http://www.ncbi.nlm.nih.gov/Taxonomy/Browser/wwwtax.cgi?mode=Info&amp;id=64144&amp;lvl=3&amp;lin=f&amp;keep=1&amp;srchmode=1&amp;unlock","64144")</f>
        <v>64144</v>
      </c>
      <c r="F512" t="s">
        <v>384</v>
      </c>
      <c r="G512" t="str">
        <f>HYPERLINK("http://www.ncbi.nlm.nih.gov/Taxonomy/Browser/wwwtax.cgi?mode=Info&amp;id=64144&amp;lvl=3&amp;lin=f&amp;keep=1&amp;srchmode=1&amp;unlock","Anabas testudineus")</f>
        <v>Anabas testudineus</v>
      </c>
      <c r="H512" t="s">
        <v>553</v>
      </c>
      <c r="I512" t="str">
        <f>HYPERLINK("http://www.ncbi.nlm.nih.gov/protein/XP_026227849.1","androgen receptor")</f>
        <v>androgen receptor</v>
      </c>
      <c r="J512" t="s">
        <v>1327</v>
      </c>
      <c r="K512" t="s">
        <v>20</v>
      </c>
      <c r="L512">
        <v>535</v>
      </c>
      <c r="M512" t="s">
        <v>25</v>
      </c>
      <c r="N512" t="s">
        <v>20</v>
      </c>
      <c r="O512">
        <v>541</v>
      </c>
      <c r="P512" t="s">
        <v>1313</v>
      </c>
      <c r="Q512" t="s">
        <v>20</v>
      </c>
      <c r="R512">
        <v>582</v>
      </c>
      <c r="S512" t="s">
        <v>1314</v>
      </c>
      <c r="T512" t="s">
        <v>20</v>
      </c>
      <c r="U512">
        <v>705</v>
      </c>
      <c r="V512" t="s">
        <v>1315</v>
      </c>
      <c r="W512" t="s">
        <v>20</v>
      </c>
    </row>
    <row r="513" spans="1:23" x14ac:dyDescent="0.25">
      <c r="A513">
        <v>6</v>
      </c>
      <c r="B513" t="s">
        <v>384</v>
      </c>
      <c r="C513" t="str">
        <f>HYPERLINK("http://www.ncbi.nlm.nih.gov/protein/XP_004557452.2","XP_004557452.2")</f>
        <v>XP_004557452.2</v>
      </c>
      <c r="D513">
        <v>46437</v>
      </c>
      <c r="E513" t="str">
        <f>HYPERLINK("http://www.ncbi.nlm.nih.gov/Taxonomy/Browser/wwwtax.cgi?mode=Info&amp;id=106582&amp;lvl=3&amp;lin=f&amp;keep=1&amp;srchmode=1&amp;unlock","106582")</f>
        <v>106582</v>
      </c>
      <c r="F513" t="s">
        <v>384</v>
      </c>
      <c r="G513" t="str">
        <f>HYPERLINK("http://www.ncbi.nlm.nih.gov/Taxonomy/Browser/wwwtax.cgi?mode=Info&amp;id=106582&amp;lvl=3&amp;lin=f&amp;keep=1&amp;srchmode=1&amp;unlock","Maylandia zebra")</f>
        <v>Maylandia zebra</v>
      </c>
      <c r="H513" t="s">
        <v>641</v>
      </c>
      <c r="I513" t="str">
        <f>HYPERLINK("http://www.ncbi.nlm.nih.gov/protein/XP_004557452.2","androgen receptor")</f>
        <v>androgen receptor</v>
      </c>
      <c r="J513" t="s">
        <v>1327</v>
      </c>
      <c r="K513" t="s">
        <v>20</v>
      </c>
      <c r="L513">
        <v>550</v>
      </c>
      <c r="M513" t="s">
        <v>25</v>
      </c>
      <c r="N513" t="s">
        <v>20</v>
      </c>
      <c r="O513">
        <v>556</v>
      </c>
      <c r="P513" t="s">
        <v>1313</v>
      </c>
      <c r="Q513" t="s">
        <v>20</v>
      </c>
      <c r="R513">
        <v>597</v>
      </c>
      <c r="S513" t="s">
        <v>1314</v>
      </c>
      <c r="T513" t="s">
        <v>20</v>
      </c>
      <c r="U513">
        <v>720</v>
      </c>
      <c r="V513" t="s">
        <v>1315</v>
      </c>
      <c r="W513" t="s">
        <v>20</v>
      </c>
    </row>
    <row r="514" spans="1:23" x14ac:dyDescent="0.25">
      <c r="A514">
        <v>6</v>
      </c>
      <c r="B514" t="s">
        <v>384</v>
      </c>
      <c r="C514" t="str">
        <f>HYPERLINK("http://www.ncbi.nlm.nih.gov/protein/XP_031610595.1","XP_031610595.1")</f>
        <v>XP_031610595.1</v>
      </c>
      <c r="D514">
        <v>49810</v>
      </c>
      <c r="E514" t="str">
        <f>HYPERLINK("http://www.ncbi.nlm.nih.gov/Taxonomy/Browser/wwwtax.cgi?mode=Info&amp;id=47969&amp;lvl=3&amp;lin=f&amp;keep=1&amp;srchmode=1&amp;unlock","47969")</f>
        <v>47969</v>
      </c>
      <c r="F514" t="s">
        <v>384</v>
      </c>
      <c r="G514" t="str">
        <f>HYPERLINK("http://www.ncbi.nlm.nih.gov/Taxonomy/Browser/wwwtax.cgi?mode=Info&amp;id=47969&amp;lvl=3&amp;lin=f&amp;keep=1&amp;srchmode=1&amp;unlock","Oreochromis aureus")</f>
        <v>Oreochromis aureus</v>
      </c>
      <c r="H514" t="s">
        <v>626</v>
      </c>
      <c r="I514" t="str">
        <f>HYPERLINK("http://www.ncbi.nlm.nih.gov/protein/XP_031610595.1","androgen receptor")</f>
        <v>androgen receptor</v>
      </c>
      <c r="J514" t="s">
        <v>1327</v>
      </c>
      <c r="K514" t="s">
        <v>20</v>
      </c>
      <c r="L514">
        <v>550</v>
      </c>
      <c r="M514" t="s">
        <v>25</v>
      </c>
      <c r="N514" t="s">
        <v>20</v>
      </c>
      <c r="O514">
        <v>556</v>
      </c>
      <c r="P514" t="s">
        <v>1313</v>
      </c>
      <c r="Q514" t="s">
        <v>20</v>
      </c>
      <c r="R514">
        <v>597</v>
      </c>
      <c r="S514" t="s">
        <v>1314</v>
      </c>
      <c r="T514" t="s">
        <v>20</v>
      </c>
      <c r="U514">
        <v>720</v>
      </c>
      <c r="V514" t="s">
        <v>1315</v>
      </c>
      <c r="W514" t="s">
        <v>20</v>
      </c>
    </row>
    <row r="515" spans="1:23" x14ac:dyDescent="0.25">
      <c r="A515">
        <v>6</v>
      </c>
      <c r="B515" t="s">
        <v>384</v>
      </c>
      <c r="C515" t="str">
        <f>HYPERLINK("http://www.ncbi.nlm.nih.gov/protein/NP_001290296.1","NP_001290296.1")</f>
        <v>NP_001290296.1</v>
      </c>
      <c r="D515">
        <v>94451</v>
      </c>
      <c r="E515" t="str">
        <f>HYPERLINK("http://www.ncbi.nlm.nih.gov/Taxonomy/Browser/wwwtax.cgi?mode=Info&amp;id=215358&amp;lvl=3&amp;lin=f&amp;keep=1&amp;srchmode=1&amp;unlock","215358")</f>
        <v>215358</v>
      </c>
      <c r="F515" t="s">
        <v>384</v>
      </c>
      <c r="G515" t="str">
        <f>HYPERLINK("http://www.ncbi.nlm.nih.gov/Taxonomy/Browser/wwwtax.cgi?mode=Info&amp;id=215358&amp;lvl=3&amp;lin=f&amp;keep=1&amp;srchmode=1&amp;unlock","Larimichthys crocea")</f>
        <v>Larimichthys crocea</v>
      </c>
      <c r="H515" t="s">
        <v>557</v>
      </c>
      <c r="I515" t="str">
        <f>HYPERLINK("http://www.ncbi.nlm.nih.gov/protein/NP_001290296.1","androgen receptor")</f>
        <v>androgen receptor</v>
      </c>
      <c r="J515" t="s">
        <v>1327</v>
      </c>
      <c r="K515" t="s">
        <v>20</v>
      </c>
      <c r="L515">
        <v>537</v>
      </c>
      <c r="M515" t="s">
        <v>25</v>
      </c>
      <c r="N515" t="s">
        <v>20</v>
      </c>
      <c r="O515">
        <v>543</v>
      </c>
      <c r="P515" t="s">
        <v>1313</v>
      </c>
      <c r="Q515" t="s">
        <v>20</v>
      </c>
      <c r="R515">
        <v>584</v>
      </c>
      <c r="S515" t="s">
        <v>1314</v>
      </c>
      <c r="T515" t="s">
        <v>20</v>
      </c>
      <c r="U515">
        <v>707</v>
      </c>
      <c r="V515" t="s">
        <v>1315</v>
      </c>
      <c r="W515" t="s">
        <v>20</v>
      </c>
    </row>
    <row r="516" spans="1:23" x14ac:dyDescent="0.25">
      <c r="A516">
        <v>6</v>
      </c>
      <c r="B516" t="s">
        <v>384</v>
      </c>
      <c r="C516" t="str">
        <f>HYPERLINK("http://www.ncbi.nlm.nih.gov/protein/XP_036378850.1","XP_036378850.1")</f>
        <v>XP_036378850.1</v>
      </c>
      <c r="D516">
        <v>40209</v>
      </c>
      <c r="E516" t="str">
        <f>HYPERLINK("http://www.ncbi.nlm.nih.gov/Taxonomy/Browser/wwwtax.cgi?mode=Info&amp;id=118141&amp;lvl=3&amp;lin=f&amp;keep=1&amp;srchmode=1&amp;unlock","118141")</f>
        <v>118141</v>
      </c>
      <c r="F516" t="s">
        <v>384</v>
      </c>
      <c r="G516" t="str">
        <f>HYPERLINK("http://www.ncbi.nlm.nih.gov/Taxonomy/Browser/wwwtax.cgi?mode=Info&amp;id=118141&amp;lvl=3&amp;lin=f&amp;keep=1&amp;srchmode=1&amp;unlock","Megalops cyprinoides")</f>
        <v>Megalops cyprinoides</v>
      </c>
      <c r="H516" t="s">
        <v>564</v>
      </c>
      <c r="I516" t="str">
        <f>HYPERLINK("http://www.ncbi.nlm.nih.gov/protein/XP_036378850.1","androgen receptor")</f>
        <v>androgen receptor</v>
      </c>
      <c r="J516" t="s">
        <v>1327</v>
      </c>
      <c r="K516" t="s">
        <v>20</v>
      </c>
      <c r="L516">
        <v>648</v>
      </c>
      <c r="M516" t="s">
        <v>25</v>
      </c>
      <c r="N516" t="s">
        <v>20</v>
      </c>
      <c r="O516">
        <v>654</v>
      </c>
      <c r="P516" t="s">
        <v>1313</v>
      </c>
      <c r="Q516" t="s">
        <v>20</v>
      </c>
      <c r="R516">
        <v>695</v>
      </c>
      <c r="S516" t="s">
        <v>1314</v>
      </c>
      <c r="T516" t="s">
        <v>20</v>
      </c>
      <c r="U516">
        <v>818</v>
      </c>
      <c r="V516" t="s">
        <v>1315</v>
      </c>
      <c r="W516" t="s">
        <v>20</v>
      </c>
    </row>
    <row r="517" spans="1:23" x14ac:dyDescent="0.25">
      <c r="A517">
        <v>6</v>
      </c>
      <c r="B517" t="s">
        <v>384</v>
      </c>
      <c r="C517" t="str">
        <f>HYPERLINK("http://www.ncbi.nlm.nih.gov/protein/XP_035382924.1","XP_035382924.1")</f>
        <v>XP_035382924.1</v>
      </c>
      <c r="D517">
        <v>45368</v>
      </c>
      <c r="E517" t="str">
        <f>HYPERLINK("http://www.ncbi.nlm.nih.gov/Taxonomy/Browser/wwwtax.cgi?mode=Info&amp;id=8005&amp;lvl=3&amp;lin=f&amp;keep=1&amp;srchmode=1&amp;unlock","8005")</f>
        <v>8005</v>
      </c>
      <c r="F517" t="s">
        <v>384</v>
      </c>
      <c r="G517" t="str">
        <f>HYPERLINK("http://www.ncbi.nlm.nih.gov/Taxonomy/Browser/wwwtax.cgi?mode=Info&amp;id=8005&amp;lvl=3&amp;lin=f&amp;keep=1&amp;srchmode=1&amp;unlock","Electrophorus electricus")</f>
        <v>Electrophorus electricus</v>
      </c>
      <c r="H517" t="s">
        <v>606</v>
      </c>
      <c r="I517" t="str">
        <f>HYPERLINK("http://www.ncbi.nlm.nih.gov/protein/XP_035382924.1","androgen receptor isoform X1")</f>
        <v>androgen receptor isoform X1</v>
      </c>
      <c r="J517" t="s">
        <v>1327</v>
      </c>
      <c r="K517" t="s">
        <v>20</v>
      </c>
      <c r="L517">
        <v>643</v>
      </c>
      <c r="M517" t="s">
        <v>25</v>
      </c>
      <c r="N517" t="s">
        <v>20</v>
      </c>
      <c r="O517">
        <v>649</v>
      </c>
      <c r="P517" t="s">
        <v>1313</v>
      </c>
      <c r="Q517" t="s">
        <v>20</v>
      </c>
      <c r="R517">
        <v>690</v>
      </c>
      <c r="S517" t="s">
        <v>1314</v>
      </c>
      <c r="T517" t="s">
        <v>20</v>
      </c>
      <c r="U517">
        <v>813</v>
      </c>
      <c r="V517" t="s">
        <v>1315</v>
      </c>
      <c r="W517" t="s">
        <v>20</v>
      </c>
    </row>
    <row r="518" spans="1:23" x14ac:dyDescent="0.25">
      <c r="A518">
        <v>6</v>
      </c>
      <c r="B518" t="s">
        <v>384</v>
      </c>
      <c r="C518" t="str">
        <f>HYPERLINK("http://www.ncbi.nlm.nih.gov/protein/XP_035481930.1","XP_035481930.1")</f>
        <v>XP_035481930.1</v>
      </c>
      <c r="D518">
        <v>101851</v>
      </c>
      <c r="E518" t="str">
        <f>HYPERLINK("http://www.ncbi.nlm.nih.gov/Taxonomy/Browser/wwwtax.cgi?mode=Info&amp;id=52904&amp;lvl=3&amp;lin=f&amp;keep=1&amp;srchmode=1&amp;unlock","52904")</f>
        <v>52904</v>
      </c>
      <c r="F518" t="s">
        <v>384</v>
      </c>
      <c r="G518" t="str">
        <f>HYPERLINK("http://www.ncbi.nlm.nih.gov/Taxonomy/Browser/wwwtax.cgi?mode=Info&amp;id=52904&amp;lvl=3&amp;lin=f&amp;keep=1&amp;srchmode=1&amp;unlock","Scophthalmus maximus")</f>
        <v>Scophthalmus maximus</v>
      </c>
      <c r="H518" t="s">
        <v>595</v>
      </c>
      <c r="I518" t="str">
        <f>HYPERLINK("http://www.ncbi.nlm.nih.gov/protein/XP_035481930.1","androgen receptor-like isoform X2")</f>
        <v>androgen receptor-like isoform X2</v>
      </c>
      <c r="J518" t="s">
        <v>1327</v>
      </c>
      <c r="K518" t="s">
        <v>20</v>
      </c>
      <c r="L518">
        <v>527</v>
      </c>
      <c r="M518" t="s">
        <v>25</v>
      </c>
      <c r="N518" t="s">
        <v>20</v>
      </c>
      <c r="O518">
        <v>533</v>
      </c>
      <c r="P518" t="s">
        <v>1313</v>
      </c>
      <c r="Q518" t="s">
        <v>20</v>
      </c>
      <c r="R518">
        <v>574</v>
      </c>
      <c r="S518" t="s">
        <v>1314</v>
      </c>
      <c r="T518" t="s">
        <v>20</v>
      </c>
      <c r="U518">
        <v>697</v>
      </c>
      <c r="V518" t="s">
        <v>1315</v>
      </c>
      <c r="W518" t="s">
        <v>20</v>
      </c>
    </row>
    <row r="519" spans="1:23" x14ac:dyDescent="0.25">
      <c r="A519">
        <v>6</v>
      </c>
      <c r="B519" t="s">
        <v>384</v>
      </c>
      <c r="C519" t="str">
        <f>HYPERLINK("http://www.ncbi.nlm.nih.gov/protein/ALK16305.1","ALK16305.1")</f>
        <v>ALK16305.1</v>
      </c>
      <c r="D519">
        <v>25404</v>
      </c>
      <c r="E519" t="str">
        <f>HYPERLINK("http://www.ncbi.nlm.nih.gov/Taxonomy/Browser/wwwtax.cgi?mode=Info&amp;id=150288&amp;lvl=3&amp;lin=f&amp;keep=1&amp;srchmode=1&amp;unlock","150288")</f>
        <v>150288</v>
      </c>
      <c r="F519" t="s">
        <v>384</v>
      </c>
      <c r="G519" t="str">
        <f>HYPERLINK("http://www.ncbi.nlm.nih.gov/Taxonomy/Browser/wwwtax.cgi?mode=Info&amp;id=150288&amp;lvl=3&amp;lin=f&amp;keep=1&amp;srchmode=1&amp;unlock","Boleophthalmus pectinirostris")</f>
        <v>Boleophthalmus pectinirostris</v>
      </c>
      <c r="H519" t="s">
        <v>521</v>
      </c>
      <c r="I519" t="str">
        <f>HYPERLINK("http://www.ncbi.nlm.nih.gov/protein/ALK16305.1","androgen receptor")</f>
        <v>androgen receptor</v>
      </c>
      <c r="J519" t="s">
        <v>1327</v>
      </c>
      <c r="K519" t="s">
        <v>20</v>
      </c>
      <c r="L519">
        <v>499</v>
      </c>
      <c r="M519" t="s">
        <v>25</v>
      </c>
      <c r="N519" t="s">
        <v>20</v>
      </c>
      <c r="O519">
        <v>505</v>
      </c>
      <c r="P519" t="s">
        <v>1313</v>
      </c>
      <c r="Q519" t="s">
        <v>20</v>
      </c>
      <c r="R519">
        <v>546</v>
      </c>
      <c r="S519" t="s">
        <v>1314</v>
      </c>
      <c r="T519" t="s">
        <v>20</v>
      </c>
      <c r="U519">
        <v>669</v>
      </c>
      <c r="V519" t="s">
        <v>1315</v>
      </c>
      <c r="W519" t="s">
        <v>20</v>
      </c>
    </row>
    <row r="520" spans="1:23" x14ac:dyDescent="0.25">
      <c r="A520">
        <v>6</v>
      </c>
      <c r="B520" t="s">
        <v>384</v>
      </c>
      <c r="C520" t="str">
        <f>HYPERLINK("http://www.ncbi.nlm.nih.gov/protein/TKS83515.1","TKS83515.1")</f>
        <v>TKS83515.1</v>
      </c>
      <c r="D520">
        <v>28569</v>
      </c>
      <c r="E520" t="str">
        <f>HYPERLINK("http://www.ncbi.nlm.nih.gov/Taxonomy/Browser/wwwtax.cgi?mode=Info&amp;id=240159&amp;lvl=3&amp;lin=f&amp;keep=1&amp;srchmode=1&amp;unlock","240159")</f>
        <v>240159</v>
      </c>
      <c r="F520" t="s">
        <v>384</v>
      </c>
      <c r="G520" t="str">
        <f>HYPERLINK("http://www.ncbi.nlm.nih.gov/Taxonomy/Browser/wwwtax.cgi?mode=Info&amp;id=240159&amp;lvl=3&amp;lin=f&amp;keep=1&amp;srchmode=1&amp;unlock","Collichthys lucidus")</f>
        <v>Collichthys lucidus</v>
      </c>
      <c r="H520" t="s">
        <v>528</v>
      </c>
      <c r="I520" t="str">
        <f>HYPERLINK("http://www.ncbi.nlm.nih.gov/protein/TKS83515.1","Androgen receptor")</f>
        <v>Androgen receptor</v>
      </c>
      <c r="J520" t="s">
        <v>1327</v>
      </c>
      <c r="K520" t="s">
        <v>20</v>
      </c>
      <c r="L520">
        <v>443</v>
      </c>
      <c r="M520" t="s">
        <v>25</v>
      </c>
      <c r="N520" t="s">
        <v>20</v>
      </c>
      <c r="O520">
        <v>449</v>
      </c>
      <c r="P520" t="s">
        <v>1313</v>
      </c>
      <c r="Q520" t="s">
        <v>20</v>
      </c>
      <c r="R520">
        <v>490</v>
      </c>
      <c r="S520" t="s">
        <v>1314</v>
      </c>
      <c r="T520" t="s">
        <v>20</v>
      </c>
      <c r="U520">
        <v>613</v>
      </c>
      <c r="V520" t="s">
        <v>1315</v>
      </c>
      <c r="W520" t="s">
        <v>20</v>
      </c>
    </row>
    <row r="521" spans="1:23" x14ac:dyDescent="0.25">
      <c r="A521">
        <v>6</v>
      </c>
      <c r="B521" t="s">
        <v>384</v>
      </c>
      <c r="C521" t="str">
        <f>HYPERLINK("http://www.ncbi.nlm.nih.gov/protein/ADI24924.1","ADI24924.1")</f>
        <v>ADI24924.1</v>
      </c>
      <c r="D521">
        <v>54</v>
      </c>
      <c r="E521" t="str">
        <f>HYPERLINK("http://www.ncbi.nlm.nih.gov/Taxonomy/Browser/wwwtax.cgi?mode=Info&amp;id=98377&amp;lvl=3&amp;lin=f&amp;keep=1&amp;srchmode=1&amp;unlock","98377")</f>
        <v>98377</v>
      </c>
      <c r="F521" t="s">
        <v>384</v>
      </c>
      <c r="G521" t="str">
        <f>HYPERLINK("http://www.ncbi.nlm.nih.gov/Taxonomy/Browser/wwwtax.cgi?mode=Info&amp;id=98377&amp;lvl=3&amp;lin=f&amp;keep=1&amp;srchmode=1&amp;unlock","Pseudolabrus sieboldi")</f>
        <v>Pseudolabrus sieboldi</v>
      </c>
      <c r="H521" t="s">
        <v>1009</v>
      </c>
      <c r="I521" t="str">
        <f>HYPERLINK("http://www.ncbi.nlm.nih.gov/protein/ADI24924.1","androgen receptor")</f>
        <v>androgen receptor</v>
      </c>
      <c r="J521" t="s">
        <v>1327</v>
      </c>
      <c r="K521" t="s">
        <v>20</v>
      </c>
      <c r="L521">
        <v>544</v>
      </c>
      <c r="M521" t="s">
        <v>25</v>
      </c>
      <c r="N521" t="s">
        <v>20</v>
      </c>
      <c r="O521">
        <v>550</v>
      </c>
      <c r="P521" t="s">
        <v>1313</v>
      </c>
      <c r="Q521" t="s">
        <v>20</v>
      </c>
      <c r="R521">
        <v>591</v>
      </c>
      <c r="S521" t="s">
        <v>1314</v>
      </c>
      <c r="T521" t="s">
        <v>20</v>
      </c>
      <c r="U521">
        <v>714</v>
      </c>
      <c r="V521" t="s">
        <v>1315</v>
      </c>
      <c r="W521" t="s">
        <v>20</v>
      </c>
    </row>
    <row r="522" spans="1:23" x14ac:dyDescent="0.25">
      <c r="A522">
        <v>6</v>
      </c>
      <c r="B522" t="s">
        <v>384</v>
      </c>
      <c r="C522" t="str">
        <f>HYPERLINK("http://www.ncbi.nlm.nih.gov/protein/BAI58984.1","BAI58984.1")</f>
        <v>BAI58984.1</v>
      </c>
      <c r="D522">
        <v>47310</v>
      </c>
      <c r="E522" t="str">
        <f>HYPERLINK("http://www.ncbi.nlm.nih.gov/Taxonomy/Browser/wwwtax.cgi?mode=Info&amp;id=8090&amp;lvl=3&amp;lin=f&amp;keep=1&amp;srchmode=1&amp;unlock","8090")</f>
        <v>8090</v>
      </c>
      <c r="F522" t="s">
        <v>384</v>
      </c>
      <c r="G522" t="str">
        <f>HYPERLINK("http://www.ncbi.nlm.nih.gov/Taxonomy/Browser/wwwtax.cgi?mode=Info&amp;id=8090&amp;lvl=3&amp;lin=f&amp;keep=1&amp;srchmode=1&amp;unlock","Oryzias latipes")</f>
        <v>Oryzias latipes</v>
      </c>
      <c r="H522" t="s">
        <v>644</v>
      </c>
      <c r="I522" t="str">
        <f>HYPERLINK("http://www.ncbi.nlm.nih.gov/protein/BAI58984.1","androgen receptor beta subtype")</f>
        <v>androgen receptor beta subtype</v>
      </c>
      <c r="J522" t="s">
        <v>1327</v>
      </c>
      <c r="K522" t="s">
        <v>20</v>
      </c>
      <c r="L522">
        <v>531</v>
      </c>
      <c r="M522" t="s">
        <v>25</v>
      </c>
      <c r="N522" t="s">
        <v>20</v>
      </c>
      <c r="O522">
        <v>537</v>
      </c>
      <c r="P522" t="s">
        <v>1313</v>
      </c>
      <c r="Q522" t="s">
        <v>20</v>
      </c>
      <c r="R522">
        <v>578</v>
      </c>
      <c r="S522" t="s">
        <v>1314</v>
      </c>
      <c r="T522" t="s">
        <v>20</v>
      </c>
      <c r="U522">
        <v>701</v>
      </c>
      <c r="V522" t="s">
        <v>1315</v>
      </c>
      <c r="W522" t="s">
        <v>20</v>
      </c>
    </row>
    <row r="523" spans="1:23" x14ac:dyDescent="0.25">
      <c r="A523">
        <v>6</v>
      </c>
      <c r="B523" t="s">
        <v>384</v>
      </c>
      <c r="C523" t="str">
        <f>HYPERLINK("http://www.ncbi.nlm.nih.gov/protein/XP_040907264.1","XP_040907264.1")</f>
        <v>XP_040907264.1</v>
      </c>
      <c r="D523">
        <v>38442</v>
      </c>
      <c r="E523" t="str">
        <f>HYPERLINK("http://www.ncbi.nlm.nih.gov/Taxonomy/Browser/wwwtax.cgi?mode=Info&amp;id=941984&amp;lvl=3&amp;lin=f&amp;keep=1&amp;srchmode=1&amp;unlock","941984")</f>
        <v>941984</v>
      </c>
      <c r="F523" t="s">
        <v>384</v>
      </c>
      <c r="G523" t="str">
        <f>HYPERLINK("http://www.ncbi.nlm.nih.gov/Taxonomy/Browser/wwwtax.cgi?mode=Info&amp;id=941984&amp;lvl=3&amp;lin=f&amp;keep=1&amp;srchmode=1&amp;unlock","Toxotes jaculatrix")</f>
        <v>Toxotes jaculatrix</v>
      </c>
      <c r="H523" t="s">
        <v>531</v>
      </c>
      <c r="I523" t="str">
        <f>HYPERLINK("http://www.ncbi.nlm.nih.gov/protein/XP_040907264.1","androgen receptor isoform X1")</f>
        <v>androgen receptor isoform X1</v>
      </c>
      <c r="J523" t="s">
        <v>1327</v>
      </c>
      <c r="K523" t="s">
        <v>20</v>
      </c>
      <c r="L523">
        <v>542</v>
      </c>
      <c r="M523" t="s">
        <v>25</v>
      </c>
      <c r="N523" t="s">
        <v>20</v>
      </c>
      <c r="O523">
        <v>548</v>
      </c>
      <c r="P523" t="s">
        <v>1313</v>
      </c>
      <c r="Q523" t="s">
        <v>20</v>
      </c>
      <c r="R523">
        <v>589</v>
      </c>
      <c r="S523" t="s">
        <v>1314</v>
      </c>
      <c r="T523" t="s">
        <v>20</v>
      </c>
      <c r="U523">
        <v>712</v>
      </c>
      <c r="V523" t="s">
        <v>1315</v>
      </c>
      <c r="W523" t="s">
        <v>20</v>
      </c>
    </row>
    <row r="524" spans="1:23" x14ac:dyDescent="0.25">
      <c r="A524">
        <v>6</v>
      </c>
      <c r="B524" t="s">
        <v>384</v>
      </c>
      <c r="C524" t="str">
        <f>HYPERLINK("http://www.ncbi.nlm.nih.gov/protein/AYM51328.1","AYM51328.1")</f>
        <v>AYM51328.1</v>
      </c>
      <c r="D524">
        <v>49355</v>
      </c>
      <c r="E524" t="str">
        <f>HYPERLINK("http://www.ncbi.nlm.nih.gov/Taxonomy/Browser/wwwtax.cgi?mode=Info&amp;id=158456&amp;lvl=3&amp;lin=f&amp;keep=1&amp;srchmode=1&amp;unlock","158456")</f>
        <v>158456</v>
      </c>
      <c r="F524" t="s">
        <v>384</v>
      </c>
      <c r="G524" t="str">
        <f>HYPERLINK("http://www.ncbi.nlm.nih.gov/Taxonomy/Browser/wwwtax.cgi?mode=Info&amp;id=158456&amp;lvl=3&amp;lin=f&amp;keep=1&amp;srchmode=1&amp;unlock","Betta splendens")</f>
        <v>Betta splendens</v>
      </c>
      <c r="H524" t="s">
        <v>592</v>
      </c>
      <c r="I524" t="str">
        <f>HYPERLINK("http://www.ncbi.nlm.nih.gov/protein/AYM51328.1","androgen receptor ARb")</f>
        <v>androgen receptor ARb</v>
      </c>
      <c r="J524" t="s">
        <v>1327</v>
      </c>
      <c r="K524" t="s">
        <v>20</v>
      </c>
      <c r="L524">
        <v>528</v>
      </c>
      <c r="M524" t="s">
        <v>25</v>
      </c>
      <c r="N524" t="s">
        <v>20</v>
      </c>
      <c r="O524">
        <v>534</v>
      </c>
      <c r="P524" t="s">
        <v>1313</v>
      </c>
      <c r="Q524" t="s">
        <v>20</v>
      </c>
      <c r="R524">
        <v>575</v>
      </c>
      <c r="S524" t="s">
        <v>1314</v>
      </c>
      <c r="T524" t="s">
        <v>20</v>
      </c>
      <c r="U524">
        <v>698</v>
      </c>
      <c r="V524" t="s">
        <v>1315</v>
      </c>
      <c r="W524" t="s">
        <v>20</v>
      </c>
    </row>
    <row r="525" spans="1:23" x14ac:dyDescent="0.25">
      <c r="A525">
        <v>6</v>
      </c>
      <c r="B525" t="s">
        <v>384</v>
      </c>
      <c r="C525" t="str">
        <f>HYPERLINK("http://www.ncbi.nlm.nih.gov/protein/XP_026039080.1","XP_026039080.1")</f>
        <v>XP_026039080.1</v>
      </c>
      <c r="D525">
        <v>52755</v>
      </c>
      <c r="E525" t="str">
        <f>HYPERLINK("http://www.ncbi.nlm.nih.gov/Taxonomy/Browser/wwwtax.cgi?mode=Info&amp;id=8154&amp;lvl=3&amp;lin=f&amp;keep=1&amp;srchmode=1&amp;unlock","8154")</f>
        <v>8154</v>
      </c>
      <c r="F525" t="s">
        <v>384</v>
      </c>
      <c r="G525" t="str">
        <f>HYPERLINK("http://www.ncbi.nlm.nih.gov/Taxonomy/Browser/wwwtax.cgi?mode=Info&amp;id=8154&amp;lvl=3&amp;lin=f&amp;keep=1&amp;srchmode=1&amp;unlock","Astatotilapia calliptera")</f>
        <v>Astatotilapia calliptera</v>
      </c>
      <c r="H525" t="s">
        <v>640</v>
      </c>
      <c r="I525" t="str">
        <f>HYPERLINK("http://www.ncbi.nlm.nih.gov/protein/XP_026039080.1","androgen receptor-like")</f>
        <v>androgen receptor-like</v>
      </c>
      <c r="J525" t="s">
        <v>1327</v>
      </c>
      <c r="K525" t="s">
        <v>20</v>
      </c>
      <c r="L525">
        <v>550</v>
      </c>
      <c r="M525" t="s">
        <v>25</v>
      </c>
      <c r="N525" t="s">
        <v>20</v>
      </c>
      <c r="O525">
        <v>556</v>
      </c>
      <c r="P525" t="s">
        <v>1313</v>
      </c>
      <c r="Q525" t="s">
        <v>20</v>
      </c>
      <c r="R525">
        <v>597</v>
      </c>
      <c r="S525" t="s">
        <v>1314</v>
      </c>
      <c r="T525" t="s">
        <v>20</v>
      </c>
      <c r="U525">
        <v>720</v>
      </c>
      <c r="V525" t="s">
        <v>1315</v>
      </c>
      <c r="W525" t="s">
        <v>20</v>
      </c>
    </row>
    <row r="526" spans="1:23" x14ac:dyDescent="0.25">
      <c r="A526">
        <v>6</v>
      </c>
      <c r="B526" t="s">
        <v>384</v>
      </c>
      <c r="C526" t="str">
        <f>HYPERLINK("http://www.ncbi.nlm.nih.gov/protein/XP_015816533.1","XP_015816533.1")</f>
        <v>XP_015816533.1</v>
      </c>
      <c r="D526">
        <v>70065</v>
      </c>
      <c r="E526" t="str">
        <f>HYPERLINK("http://www.ncbi.nlm.nih.gov/Taxonomy/Browser/wwwtax.cgi?mode=Info&amp;id=105023&amp;lvl=3&amp;lin=f&amp;keep=1&amp;srchmode=1&amp;unlock","105023")</f>
        <v>105023</v>
      </c>
      <c r="F526" t="s">
        <v>384</v>
      </c>
      <c r="G526" t="str">
        <f>HYPERLINK("http://www.ncbi.nlm.nih.gov/Taxonomy/Browser/wwwtax.cgi?mode=Info&amp;id=105023&amp;lvl=3&amp;lin=f&amp;keep=1&amp;srchmode=1&amp;unlock","Nothobranchius furzeri")</f>
        <v>Nothobranchius furzeri</v>
      </c>
      <c r="H526" t="s">
        <v>556</v>
      </c>
      <c r="I526" t="str">
        <f>HYPERLINK("http://www.ncbi.nlm.nih.gov/protein/XP_015816533.1","PREDICTED: androgen receptor")</f>
        <v>PREDICTED: androgen receptor</v>
      </c>
      <c r="J526" t="s">
        <v>1327</v>
      </c>
      <c r="K526" t="s">
        <v>20</v>
      </c>
      <c r="L526">
        <v>503</v>
      </c>
      <c r="M526" t="s">
        <v>25</v>
      </c>
      <c r="N526" t="s">
        <v>20</v>
      </c>
      <c r="O526">
        <v>509</v>
      </c>
      <c r="P526" t="s">
        <v>1313</v>
      </c>
      <c r="Q526" t="s">
        <v>20</v>
      </c>
      <c r="R526">
        <v>550</v>
      </c>
      <c r="S526" t="s">
        <v>1314</v>
      </c>
      <c r="T526" t="s">
        <v>20</v>
      </c>
      <c r="U526">
        <v>673</v>
      </c>
      <c r="V526" t="s">
        <v>1315</v>
      </c>
      <c r="W526" t="s">
        <v>20</v>
      </c>
    </row>
    <row r="527" spans="1:23" x14ac:dyDescent="0.25">
      <c r="A527">
        <v>6</v>
      </c>
      <c r="B527" t="s">
        <v>384</v>
      </c>
      <c r="C527" t="str">
        <f>HYPERLINK("http://www.ncbi.nlm.nih.gov/protein/XP_037605001.1","XP_037605001.1")</f>
        <v>XP_037605001.1</v>
      </c>
      <c r="D527">
        <v>50721</v>
      </c>
      <c r="E527" t="str">
        <f>HYPERLINK("http://www.ncbi.nlm.nih.gov/Taxonomy/Browser/wwwtax.cgi?mode=Info&amp;id=72105&amp;lvl=3&amp;lin=f&amp;keep=1&amp;srchmode=1&amp;unlock","72105")</f>
        <v>72105</v>
      </c>
      <c r="F527" t="s">
        <v>384</v>
      </c>
      <c r="G527" t="str">
        <f>HYPERLINK("http://www.ncbi.nlm.nih.gov/Taxonomy/Browser/wwwtax.cgi?mode=Info&amp;id=72105&amp;lvl=3&amp;lin=f&amp;keep=1&amp;srchmode=1&amp;unlock","Sebastes umbrosus")</f>
        <v>Sebastes umbrosus</v>
      </c>
      <c r="H527" t="s">
        <v>611</v>
      </c>
      <c r="I527" t="str">
        <f>HYPERLINK("http://www.ncbi.nlm.nih.gov/protein/XP_037605001.1","androgen receptor-like isoform X2")</f>
        <v>androgen receptor-like isoform X2</v>
      </c>
      <c r="J527" t="s">
        <v>1327</v>
      </c>
      <c r="K527" t="s">
        <v>20</v>
      </c>
      <c r="L527">
        <v>556</v>
      </c>
      <c r="M527" t="s">
        <v>25</v>
      </c>
      <c r="N527" t="s">
        <v>20</v>
      </c>
      <c r="O527">
        <v>562</v>
      </c>
      <c r="P527" t="s">
        <v>1313</v>
      </c>
      <c r="Q527" t="s">
        <v>20</v>
      </c>
      <c r="R527">
        <v>603</v>
      </c>
      <c r="S527" t="s">
        <v>1314</v>
      </c>
      <c r="T527" t="s">
        <v>20</v>
      </c>
      <c r="U527">
        <v>726</v>
      </c>
      <c r="V527" t="s">
        <v>1315</v>
      </c>
      <c r="W527" t="s">
        <v>20</v>
      </c>
    </row>
    <row r="528" spans="1:23" x14ac:dyDescent="0.25">
      <c r="A528">
        <v>6</v>
      </c>
      <c r="B528" t="s">
        <v>384</v>
      </c>
      <c r="C528" t="str">
        <f>HYPERLINK("http://www.ncbi.nlm.nih.gov/protein/XP_031175918.1","XP_031175918.1")</f>
        <v>XP_031175918.1</v>
      </c>
      <c r="D528">
        <v>56683</v>
      </c>
      <c r="E528" t="str">
        <f>HYPERLINK("http://www.ncbi.nlm.nih.gov/Taxonomy/Browser/wwwtax.cgi?mode=Info&amp;id=283035&amp;lvl=3&amp;lin=f&amp;keep=1&amp;srchmode=1&amp;unlock","283035")</f>
        <v>283035</v>
      </c>
      <c r="F528" t="s">
        <v>384</v>
      </c>
      <c r="G528" t="str">
        <f>HYPERLINK("http://www.ncbi.nlm.nih.gov/Taxonomy/Browser/wwwtax.cgi?mode=Info&amp;id=283035&amp;lvl=3&amp;lin=f&amp;keep=1&amp;srchmode=1&amp;unlock","Sander lucioperca")</f>
        <v>Sander lucioperca</v>
      </c>
      <c r="H528" t="s">
        <v>539</v>
      </c>
      <c r="I528" t="str">
        <f>HYPERLINK("http://www.ncbi.nlm.nih.gov/protein/XP_031175918.1","androgen receptor-like isoform X2")</f>
        <v>androgen receptor-like isoform X2</v>
      </c>
      <c r="J528" t="s">
        <v>1327</v>
      </c>
      <c r="K528" t="s">
        <v>20</v>
      </c>
      <c r="L528">
        <v>545</v>
      </c>
      <c r="M528" t="s">
        <v>25</v>
      </c>
      <c r="N528" t="s">
        <v>20</v>
      </c>
      <c r="O528">
        <v>551</v>
      </c>
      <c r="P528" t="s">
        <v>1313</v>
      </c>
      <c r="Q528" t="s">
        <v>20</v>
      </c>
      <c r="R528">
        <v>592</v>
      </c>
      <c r="S528" t="s">
        <v>1314</v>
      </c>
      <c r="T528" t="s">
        <v>20</v>
      </c>
      <c r="U528">
        <v>715</v>
      </c>
      <c r="V528" t="s">
        <v>1315</v>
      </c>
      <c r="W528" t="s">
        <v>20</v>
      </c>
    </row>
    <row r="529" spans="1:23" x14ac:dyDescent="0.25">
      <c r="A529">
        <v>6</v>
      </c>
      <c r="B529" t="s">
        <v>384</v>
      </c>
      <c r="C529" t="str">
        <f>HYPERLINK("http://www.ncbi.nlm.nih.gov/protein/XP_034034639.1","XP_034034639.1")</f>
        <v>XP_034034639.1</v>
      </c>
      <c r="D529">
        <v>36364</v>
      </c>
      <c r="E529" t="str">
        <f>HYPERLINK("http://www.ncbi.nlm.nih.gov/Taxonomy/Browser/wwwtax.cgi?mode=Info&amp;id=390379&amp;lvl=3&amp;lin=f&amp;keep=1&amp;srchmode=1&amp;unlock","390379")</f>
        <v>390379</v>
      </c>
      <c r="F529" t="s">
        <v>384</v>
      </c>
      <c r="G529" t="str">
        <f>HYPERLINK("http://www.ncbi.nlm.nih.gov/Taxonomy/Browser/wwwtax.cgi?mode=Info&amp;id=390379&amp;lvl=3&amp;lin=f&amp;keep=1&amp;srchmode=1&amp;unlock","Thalassophryne amazonica")</f>
        <v>Thalassophryne amazonica</v>
      </c>
      <c r="H529" t="s">
        <v>609</v>
      </c>
      <c r="I529" t="str">
        <f>HYPERLINK("http://www.ncbi.nlm.nih.gov/protein/XP_034034639.1","androgen receptor-like isoform X1")</f>
        <v>androgen receptor-like isoform X1</v>
      </c>
      <c r="J529" t="s">
        <v>1327</v>
      </c>
      <c r="K529" t="s">
        <v>20</v>
      </c>
      <c r="L529">
        <v>503</v>
      </c>
      <c r="M529" t="s">
        <v>25</v>
      </c>
      <c r="N529" t="s">
        <v>20</v>
      </c>
      <c r="O529">
        <v>509</v>
      </c>
      <c r="P529" t="s">
        <v>1313</v>
      </c>
      <c r="Q529" t="s">
        <v>20</v>
      </c>
      <c r="R529">
        <v>550</v>
      </c>
      <c r="S529" t="s">
        <v>1314</v>
      </c>
      <c r="T529" t="s">
        <v>20</v>
      </c>
      <c r="U529">
        <v>673</v>
      </c>
      <c r="V529" t="s">
        <v>1315</v>
      </c>
      <c r="W529" t="s">
        <v>20</v>
      </c>
    </row>
    <row r="530" spans="1:23" x14ac:dyDescent="0.25">
      <c r="A530">
        <v>6</v>
      </c>
      <c r="B530" t="s">
        <v>384</v>
      </c>
      <c r="C530" t="str">
        <f>HYPERLINK("http://www.ncbi.nlm.nih.gov/protein/XP_040005544.1","XP_040005544.1")</f>
        <v>XP_040005544.1</v>
      </c>
      <c r="D530">
        <v>44807</v>
      </c>
      <c r="E530" t="str">
        <f>HYPERLINK("http://www.ncbi.nlm.nih.gov/Taxonomy/Browser/wwwtax.cgi?mode=Info&amp;id=8245&amp;lvl=3&amp;lin=f&amp;keep=1&amp;srchmode=1&amp;unlock","8245")</f>
        <v>8245</v>
      </c>
      <c r="F530" t="s">
        <v>384</v>
      </c>
      <c r="G530" t="str">
        <f>HYPERLINK("http://www.ncbi.nlm.nih.gov/Taxonomy/Browser/wwwtax.cgi?mode=Info&amp;id=8245&amp;lvl=3&amp;lin=f&amp;keep=1&amp;srchmode=1&amp;unlock","Xiphias gladius")</f>
        <v>Xiphias gladius</v>
      </c>
      <c r="H530" t="s">
        <v>573</v>
      </c>
      <c r="I530" t="str">
        <f>HYPERLINK("http://www.ncbi.nlm.nih.gov/protein/XP_040005544.1","androgen receptor-like isoform X3")</f>
        <v>androgen receptor-like isoform X3</v>
      </c>
      <c r="J530" t="s">
        <v>1327</v>
      </c>
      <c r="K530" t="s">
        <v>20</v>
      </c>
      <c r="L530">
        <v>547</v>
      </c>
      <c r="M530" t="s">
        <v>25</v>
      </c>
      <c r="N530" t="s">
        <v>20</v>
      </c>
      <c r="O530">
        <v>553</v>
      </c>
      <c r="P530" t="s">
        <v>1313</v>
      </c>
      <c r="Q530" t="s">
        <v>20</v>
      </c>
      <c r="R530">
        <v>594</v>
      </c>
      <c r="S530" t="s">
        <v>1314</v>
      </c>
      <c r="T530" t="s">
        <v>20</v>
      </c>
      <c r="U530">
        <v>717</v>
      </c>
      <c r="V530" t="s">
        <v>1315</v>
      </c>
      <c r="W530" t="s">
        <v>20</v>
      </c>
    </row>
    <row r="531" spans="1:23" x14ac:dyDescent="0.25">
      <c r="A531">
        <v>6</v>
      </c>
      <c r="B531" t="s">
        <v>384</v>
      </c>
      <c r="C531" t="str">
        <f>HYPERLINK("http://www.ncbi.nlm.nih.gov/protein/XP_032389182.1","XP_032389182.1")</f>
        <v>XP_032389182.1</v>
      </c>
      <c r="D531">
        <v>64531</v>
      </c>
      <c r="E531" t="str">
        <f>HYPERLINK("http://www.ncbi.nlm.nih.gov/Taxonomy/Browser/wwwtax.cgi?mode=Info&amp;id=54343&amp;lvl=3&amp;lin=f&amp;keep=1&amp;srchmode=1&amp;unlock","54343")</f>
        <v>54343</v>
      </c>
      <c r="F531" t="s">
        <v>384</v>
      </c>
      <c r="G531" t="str">
        <f>HYPERLINK("http://www.ncbi.nlm.nih.gov/Taxonomy/Browser/wwwtax.cgi?mode=Info&amp;id=54343&amp;lvl=3&amp;lin=f&amp;keep=1&amp;srchmode=1&amp;unlock","Etheostoma spectabile")</f>
        <v>Etheostoma spectabile</v>
      </c>
      <c r="H531" t="s">
        <v>568</v>
      </c>
      <c r="I531" t="str">
        <f>HYPERLINK("http://www.ncbi.nlm.nih.gov/protein/XP_032389182.1","androgen receptor-like isoform X2")</f>
        <v>androgen receptor-like isoform X2</v>
      </c>
      <c r="J531" t="s">
        <v>1327</v>
      </c>
      <c r="K531" t="s">
        <v>20</v>
      </c>
      <c r="L531">
        <v>545</v>
      </c>
      <c r="M531" t="s">
        <v>25</v>
      </c>
      <c r="N531" t="s">
        <v>20</v>
      </c>
      <c r="O531">
        <v>551</v>
      </c>
      <c r="P531" t="s">
        <v>1313</v>
      </c>
      <c r="Q531" t="s">
        <v>20</v>
      </c>
      <c r="R531">
        <v>592</v>
      </c>
      <c r="S531" t="s">
        <v>1314</v>
      </c>
      <c r="T531" t="s">
        <v>20</v>
      </c>
      <c r="U531">
        <v>715</v>
      </c>
      <c r="V531" t="s">
        <v>1315</v>
      </c>
      <c r="W531" t="s">
        <v>20</v>
      </c>
    </row>
    <row r="532" spans="1:23" x14ac:dyDescent="0.25">
      <c r="A532">
        <v>6</v>
      </c>
      <c r="B532" t="s">
        <v>384</v>
      </c>
      <c r="C532" t="str">
        <f>HYPERLINK("http://www.ncbi.nlm.nih.gov/protein/XP_037323699.1","XP_037323699.1")</f>
        <v>XP_037323699.1</v>
      </c>
      <c r="D532">
        <v>43840</v>
      </c>
      <c r="E532" t="str">
        <f>HYPERLINK("http://www.ncbi.nlm.nih.gov/Taxonomy/Browser/wwwtax.cgi?mode=Info&amp;id=134920&amp;lvl=3&amp;lin=f&amp;keep=1&amp;srchmode=1&amp;unlock","134920")</f>
        <v>134920</v>
      </c>
      <c r="F532" t="s">
        <v>384</v>
      </c>
      <c r="G532" t="str">
        <f>HYPERLINK("http://www.ncbi.nlm.nih.gov/Taxonomy/Browser/wwwtax.cgi?mode=Info&amp;id=134920&amp;lvl=3&amp;lin=f&amp;keep=1&amp;srchmode=1&amp;unlock","Pungitius pungitius")</f>
        <v>Pungitius pungitius</v>
      </c>
      <c r="H532" t="s">
        <v>617</v>
      </c>
      <c r="I532" t="str">
        <f>HYPERLINK("http://www.ncbi.nlm.nih.gov/protein/XP_037323699.1","androgen receptor-like")</f>
        <v>androgen receptor-like</v>
      </c>
      <c r="J532" t="s">
        <v>1327</v>
      </c>
      <c r="K532" t="s">
        <v>20</v>
      </c>
      <c r="L532">
        <v>546</v>
      </c>
      <c r="M532" t="s">
        <v>25</v>
      </c>
      <c r="N532" t="s">
        <v>20</v>
      </c>
      <c r="O532">
        <v>552</v>
      </c>
      <c r="P532" t="s">
        <v>1313</v>
      </c>
      <c r="Q532" t="s">
        <v>20</v>
      </c>
      <c r="R532">
        <v>593</v>
      </c>
      <c r="S532" t="s">
        <v>1314</v>
      </c>
      <c r="T532" t="s">
        <v>20</v>
      </c>
      <c r="U532">
        <v>716</v>
      </c>
      <c r="V532" t="s">
        <v>1315</v>
      </c>
      <c r="W532" t="s">
        <v>20</v>
      </c>
    </row>
    <row r="533" spans="1:23" x14ac:dyDescent="0.25">
      <c r="A533">
        <v>6</v>
      </c>
      <c r="B533" t="s">
        <v>384</v>
      </c>
      <c r="C533" t="str">
        <f>HYPERLINK("http://www.ncbi.nlm.nih.gov/protein/XP_018547304.1","XP_018547304.1")</f>
        <v>XP_018547304.1</v>
      </c>
      <c r="D533">
        <v>45628</v>
      </c>
      <c r="E533" t="str">
        <f>HYPERLINK("http://www.ncbi.nlm.nih.gov/Taxonomy/Browser/wwwtax.cgi?mode=Info&amp;id=8187&amp;lvl=3&amp;lin=f&amp;keep=1&amp;srchmode=1&amp;unlock","8187")</f>
        <v>8187</v>
      </c>
      <c r="F533" t="s">
        <v>384</v>
      </c>
      <c r="G533" t="str">
        <f>HYPERLINK("http://www.ncbi.nlm.nih.gov/Taxonomy/Browser/wwwtax.cgi?mode=Info&amp;id=8187&amp;lvl=3&amp;lin=f&amp;keep=1&amp;srchmode=1&amp;unlock","Lates calcarifer")</f>
        <v>Lates calcarifer</v>
      </c>
      <c r="H533" t="s">
        <v>532</v>
      </c>
      <c r="I533" t="str">
        <f>HYPERLINK("http://www.ncbi.nlm.nih.gov/protein/XP_018547304.1","PREDICTED: androgen receptor-like")</f>
        <v>PREDICTED: androgen receptor-like</v>
      </c>
      <c r="J533" t="s">
        <v>1327</v>
      </c>
      <c r="K533" t="s">
        <v>20</v>
      </c>
      <c r="L533">
        <v>552</v>
      </c>
      <c r="M533" t="s">
        <v>25</v>
      </c>
      <c r="N533" t="s">
        <v>20</v>
      </c>
      <c r="O533">
        <v>558</v>
      </c>
      <c r="P533" t="s">
        <v>1313</v>
      </c>
      <c r="Q533" t="s">
        <v>20</v>
      </c>
      <c r="R533">
        <v>599</v>
      </c>
      <c r="S533" t="s">
        <v>1314</v>
      </c>
      <c r="T533" t="s">
        <v>20</v>
      </c>
      <c r="U533">
        <v>722</v>
      </c>
      <c r="V533" t="s">
        <v>1315</v>
      </c>
      <c r="W533" t="s">
        <v>20</v>
      </c>
    </row>
    <row r="534" spans="1:23" x14ac:dyDescent="0.25">
      <c r="A534">
        <v>6</v>
      </c>
      <c r="B534" t="s">
        <v>384</v>
      </c>
      <c r="C534" t="str">
        <f>HYPERLINK("http://www.ncbi.nlm.nih.gov/protein/XP_005737903.1","XP_005737903.1")</f>
        <v>XP_005737903.1</v>
      </c>
      <c r="D534">
        <v>38743</v>
      </c>
      <c r="E534" t="str">
        <f>HYPERLINK("http://www.ncbi.nlm.nih.gov/Taxonomy/Browser/wwwtax.cgi?mode=Info&amp;id=303518&amp;lvl=3&amp;lin=f&amp;keep=1&amp;srchmode=1&amp;unlock","303518")</f>
        <v>303518</v>
      </c>
      <c r="F534" t="s">
        <v>384</v>
      </c>
      <c r="G534" t="str">
        <f>HYPERLINK("http://www.ncbi.nlm.nih.gov/Taxonomy/Browser/wwwtax.cgi?mode=Info&amp;id=303518&amp;lvl=3&amp;lin=f&amp;keep=1&amp;srchmode=1&amp;unlock","Pundamilia nyererei")</f>
        <v>Pundamilia nyererei</v>
      </c>
      <c r="H534" t="s">
        <v>637</v>
      </c>
      <c r="I534" t="str">
        <f>HYPERLINK("http://www.ncbi.nlm.nih.gov/protein/XP_005737903.1","PREDICTED: androgen receptor")</f>
        <v>PREDICTED: androgen receptor</v>
      </c>
      <c r="J534" t="s">
        <v>1327</v>
      </c>
      <c r="K534" t="s">
        <v>20</v>
      </c>
      <c r="L534">
        <v>550</v>
      </c>
      <c r="M534" t="s">
        <v>25</v>
      </c>
      <c r="N534" t="s">
        <v>20</v>
      </c>
      <c r="O534">
        <v>556</v>
      </c>
      <c r="P534" t="s">
        <v>1313</v>
      </c>
      <c r="Q534" t="s">
        <v>20</v>
      </c>
      <c r="R534">
        <v>597</v>
      </c>
      <c r="S534" t="s">
        <v>1314</v>
      </c>
      <c r="T534" t="s">
        <v>20</v>
      </c>
      <c r="U534">
        <v>720</v>
      </c>
      <c r="V534" t="s">
        <v>1315</v>
      </c>
      <c r="W534" t="s">
        <v>20</v>
      </c>
    </row>
    <row r="535" spans="1:23" x14ac:dyDescent="0.25">
      <c r="A535">
        <v>6</v>
      </c>
      <c r="B535" t="s">
        <v>384</v>
      </c>
      <c r="C535" t="str">
        <f>HYPERLINK("http://www.ncbi.nlm.nih.gov/protein/QIA46600.1","QIA46600.1")</f>
        <v>QIA46600.1</v>
      </c>
      <c r="D535">
        <v>90</v>
      </c>
      <c r="E535" t="str">
        <f>HYPERLINK("http://www.ncbi.nlm.nih.gov/Taxonomy/Browser/wwwtax.cgi?mode=Info&amp;id=104658&amp;lvl=3&amp;lin=f&amp;keep=1&amp;srchmode=1&amp;unlock","104658")</f>
        <v>104658</v>
      </c>
      <c r="F535" t="s">
        <v>384</v>
      </c>
      <c r="G535" t="str">
        <f>HYPERLINK("http://www.ncbi.nlm.nih.gov/Taxonomy/Browser/wwwtax.cgi?mode=Info&amp;id=104658&amp;lvl=3&amp;lin=f&amp;keep=1&amp;srchmode=1&amp;unlock","Oryzias curvinotus")</f>
        <v>Oryzias curvinotus</v>
      </c>
      <c r="H535" t="s">
        <v>1011</v>
      </c>
      <c r="I535" t="str">
        <f>HYPERLINK("http://www.ncbi.nlm.nih.gov/protein/QIA46600.1","androgen receptor beta")</f>
        <v>androgen receptor beta</v>
      </c>
      <c r="J535" t="s">
        <v>1327</v>
      </c>
      <c r="K535" t="s">
        <v>20</v>
      </c>
      <c r="L535">
        <v>531</v>
      </c>
      <c r="M535" t="s">
        <v>25</v>
      </c>
      <c r="N535" t="s">
        <v>20</v>
      </c>
      <c r="O535">
        <v>537</v>
      </c>
      <c r="P535" t="s">
        <v>1313</v>
      </c>
      <c r="Q535" t="s">
        <v>20</v>
      </c>
      <c r="R535">
        <v>578</v>
      </c>
      <c r="S535" t="s">
        <v>1314</v>
      </c>
      <c r="T535" t="s">
        <v>20</v>
      </c>
      <c r="U535">
        <v>701</v>
      </c>
      <c r="V535" t="s">
        <v>1315</v>
      </c>
      <c r="W535" t="s">
        <v>20</v>
      </c>
    </row>
    <row r="536" spans="1:23" x14ac:dyDescent="0.25">
      <c r="A536">
        <v>6</v>
      </c>
      <c r="B536" t="s">
        <v>384</v>
      </c>
      <c r="C536" t="str">
        <f>HYPERLINK("http://www.ncbi.nlm.nih.gov/protein/XP_033834092.1","XP_033834092.1")</f>
        <v>XP_033834092.1</v>
      </c>
      <c r="D536">
        <v>27762</v>
      </c>
      <c r="E536" t="str">
        <f>HYPERLINK("http://www.ncbi.nlm.nih.gov/Taxonomy/Browser/wwwtax.cgi?mode=Info&amp;id=409849&amp;lvl=3&amp;lin=f&amp;keep=1&amp;srchmode=1&amp;unlock","409849")</f>
        <v>409849</v>
      </c>
      <c r="F536" t="s">
        <v>384</v>
      </c>
      <c r="G536" t="str">
        <f>HYPERLINK("http://www.ncbi.nlm.nih.gov/Taxonomy/Browser/wwwtax.cgi?mode=Info&amp;id=409849&amp;lvl=3&amp;lin=f&amp;keep=1&amp;srchmode=1&amp;unlock","Periophthalmus magnuspinnatus")</f>
        <v>Periophthalmus magnuspinnatus</v>
      </c>
      <c r="H536" t="s">
        <v>594</v>
      </c>
      <c r="I536" t="str">
        <f>HYPERLINK("http://www.ncbi.nlm.nih.gov/protein/XP_033834092.1","androgen receptor isoform X1")</f>
        <v>androgen receptor isoform X1</v>
      </c>
      <c r="J536" t="s">
        <v>1327</v>
      </c>
      <c r="K536" t="s">
        <v>20</v>
      </c>
      <c r="L536">
        <v>498</v>
      </c>
      <c r="M536" t="s">
        <v>25</v>
      </c>
      <c r="N536" t="s">
        <v>20</v>
      </c>
      <c r="O536">
        <v>504</v>
      </c>
      <c r="P536" t="s">
        <v>1313</v>
      </c>
      <c r="Q536" t="s">
        <v>20</v>
      </c>
      <c r="R536">
        <v>545</v>
      </c>
      <c r="S536" t="s">
        <v>1314</v>
      </c>
      <c r="T536" t="s">
        <v>20</v>
      </c>
      <c r="U536">
        <v>668</v>
      </c>
      <c r="V536" t="s">
        <v>1315</v>
      </c>
      <c r="W536" t="s">
        <v>20</v>
      </c>
    </row>
    <row r="537" spans="1:23" x14ac:dyDescent="0.25">
      <c r="A537">
        <v>6</v>
      </c>
      <c r="B537" t="s">
        <v>384</v>
      </c>
      <c r="C537" t="str">
        <f>HYPERLINK("http://www.ncbi.nlm.nih.gov/protein/XP_017315035.1","XP_017315035.1")</f>
        <v>XP_017315035.1</v>
      </c>
      <c r="D537">
        <v>51410</v>
      </c>
      <c r="E537" t="str">
        <f>HYPERLINK("http://www.ncbi.nlm.nih.gov/Taxonomy/Browser/wwwtax.cgi?mode=Info&amp;id=7998&amp;lvl=3&amp;lin=f&amp;keep=1&amp;srchmode=1&amp;unlock","7998")</f>
        <v>7998</v>
      </c>
      <c r="F537" t="s">
        <v>384</v>
      </c>
      <c r="G537" t="str">
        <f>HYPERLINK("http://www.ncbi.nlm.nih.gov/Taxonomy/Browser/wwwtax.cgi?mode=Info&amp;id=7998&amp;lvl=3&amp;lin=f&amp;keep=1&amp;srchmode=1&amp;unlock","Ictalurus punctatus")</f>
        <v>Ictalurus punctatus</v>
      </c>
      <c r="H537" t="s">
        <v>593</v>
      </c>
      <c r="I537" t="str">
        <f>HYPERLINK("http://www.ncbi.nlm.nih.gov/protein/XP_017315035.1","PREDICTED: androgen receptor")</f>
        <v>PREDICTED: androgen receptor</v>
      </c>
      <c r="J537" t="s">
        <v>1327</v>
      </c>
      <c r="K537" t="s">
        <v>20</v>
      </c>
      <c r="L537">
        <v>615</v>
      </c>
      <c r="M537" t="s">
        <v>25</v>
      </c>
      <c r="N537" t="s">
        <v>20</v>
      </c>
      <c r="O537">
        <v>621</v>
      </c>
      <c r="P537" t="s">
        <v>1313</v>
      </c>
      <c r="Q537" t="s">
        <v>20</v>
      </c>
      <c r="R537">
        <v>662</v>
      </c>
      <c r="S537" t="s">
        <v>1314</v>
      </c>
      <c r="T537" t="s">
        <v>20</v>
      </c>
      <c r="U537">
        <v>785</v>
      </c>
      <c r="V537" t="s">
        <v>1315</v>
      </c>
      <c r="W537" t="s">
        <v>20</v>
      </c>
    </row>
    <row r="538" spans="1:23" x14ac:dyDescent="0.25">
      <c r="A538">
        <v>6</v>
      </c>
      <c r="B538" t="s">
        <v>384</v>
      </c>
      <c r="C538" t="str">
        <f>HYPERLINK("http://www.ncbi.nlm.nih.gov/protein/XP_028451343.1","XP_028451343.1")</f>
        <v>XP_028451343.1</v>
      </c>
      <c r="D538">
        <v>65039</v>
      </c>
      <c r="E538" t="str">
        <f>HYPERLINK("http://www.ncbi.nlm.nih.gov/Taxonomy/Browser/wwwtax.cgi?mode=Info&amp;id=8167&amp;lvl=3&amp;lin=f&amp;keep=1&amp;srchmode=1&amp;unlock","8167")</f>
        <v>8167</v>
      </c>
      <c r="F538" t="s">
        <v>384</v>
      </c>
      <c r="G538" t="str">
        <f>HYPERLINK("http://www.ncbi.nlm.nih.gov/Taxonomy/Browser/wwwtax.cgi?mode=Info&amp;id=8167&amp;lvl=3&amp;lin=f&amp;keep=1&amp;srchmode=1&amp;unlock","Perca flavescens")</f>
        <v>Perca flavescens</v>
      </c>
      <c r="H538" t="s">
        <v>545</v>
      </c>
      <c r="I538" t="str">
        <f>HYPERLINK("http://www.ncbi.nlm.nih.gov/protein/XP_028451343.1","androgen receptor-like isoform X2")</f>
        <v>androgen receptor-like isoform X2</v>
      </c>
      <c r="J538" t="s">
        <v>1327</v>
      </c>
      <c r="K538" t="s">
        <v>20</v>
      </c>
      <c r="L538">
        <v>544</v>
      </c>
      <c r="M538" t="s">
        <v>25</v>
      </c>
      <c r="N538" t="s">
        <v>20</v>
      </c>
      <c r="O538">
        <v>550</v>
      </c>
      <c r="P538" t="s">
        <v>1313</v>
      </c>
      <c r="Q538" t="s">
        <v>20</v>
      </c>
      <c r="R538">
        <v>591</v>
      </c>
      <c r="S538" t="s">
        <v>1314</v>
      </c>
      <c r="T538" t="s">
        <v>20</v>
      </c>
      <c r="U538">
        <v>714</v>
      </c>
      <c r="V538" t="s">
        <v>1315</v>
      </c>
      <c r="W538" t="s">
        <v>20</v>
      </c>
    </row>
    <row r="539" spans="1:23" x14ac:dyDescent="0.25">
      <c r="A539">
        <v>6</v>
      </c>
      <c r="B539" t="s">
        <v>384</v>
      </c>
      <c r="C539" t="str">
        <f>HYPERLINK("http://www.ncbi.nlm.nih.gov/protein/XP_024118528.1","XP_024118528.1")</f>
        <v>XP_024118528.1</v>
      </c>
      <c r="D539">
        <v>69259</v>
      </c>
      <c r="E539" t="str">
        <f>HYPERLINK("http://www.ncbi.nlm.nih.gov/Taxonomy/Browser/wwwtax.cgi?mode=Info&amp;id=30732&amp;lvl=3&amp;lin=f&amp;keep=1&amp;srchmode=1&amp;unlock","30732")</f>
        <v>30732</v>
      </c>
      <c r="F539" t="s">
        <v>384</v>
      </c>
      <c r="G539" t="str">
        <f>HYPERLINK("http://www.ncbi.nlm.nih.gov/Taxonomy/Browser/wwwtax.cgi?mode=Info&amp;id=30732&amp;lvl=3&amp;lin=f&amp;keep=1&amp;srchmode=1&amp;unlock","Oryzias melastigma")</f>
        <v>Oryzias melastigma</v>
      </c>
      <c r="H539" t="s">
        <v>645</v>
      </c>
      <c r="I539" t="str">
        <f>HYPERLINK("http://www.ncbi.nlm.nih.gov/protein/XP_024118528.1","androgen receptor isoform X2")</f>
        <v>androgen receptor isoform X2</v>
      </c>
      <c r="J539" t="s">
        <v>1327</v>
      </c>
      <c r="K539" t="s">
        <v>20</v>
      </c>
      <c r="L539">
        <v>504</v>
      </c>
      <c r="M539" t="s">
        <v>25</v>
      </c>
      <c r="N539" t="s">
        <v>20</v>
      </c>
      <c r="O539">
        <v>510</v>
      </c>
      <c r="P539" t="s">
        <v>1313</v>
      </c>
      <c r="Q539" t="s">
        <v>20</v>
      </c>
      <c r="R539">
        <v>551</v>
      </c>
      <c r="S539" t="s">
        <v>1314</v>
      </c>
      <c r="T539" t="s">
        <v>20</v>
      </c>
      <c r="U539">
        <v>674</v>
      </c>
      <c r="V539" t="s">
        <v>1315</v>
      </c>
      <c r="W539" t="s">
        <v>20</v>
      </c>
    </row>
    <row r="540" spans="1:23" x14ac:dyDescent="0.25">
      <c r="A540">
        <v>6</v>
      </c>
      <c r="B540" t="s">
        <v>384</v>
      </c>
      <c r="C540" t="str">
        <f>HYPERLINK("http://www.ncbi.nlm.nih.gov/protein/XP_031712793.1","XP_031712793.1")</f>
        <v>XP_031712793.1</v>
      </c>
      <c r="D540">
        <v>41911</v>
      </c>
      <c r="E540" t="str">
        <f>HYPERLINK("http://www.ncbi.nlm.nih.gov/Taxonomy/Browser/wwwtax.cgi?mode=Info&amp;id=433405&amp;lvl=3&amp;lin=f&amp;keep=1&amp;srchmode=1&amp;unlock","433405")</f>
        <v>433405</v>
      </c>
      <c r="F540" t="s">
        <v>384</v>
      </c>
      <c r="G540" t="str">
        <f>HYPERLINK("http://www.ncbi.nlm.nih.gov/Taxonomy/Browser/wwwtax.cgi?mode=Info&amp;id=433405&amp;lvl=3&amp;lin=f&amp;keep=1&amp;srchmode=1&amp;unlock","Anarrhichthys ocellatus")</f>
        <v>Anarrhichthys ocellatus</v>
      </c>
      <c r="H540" t="s">
        <v>536</v>
      </c>
      <c r="I540" t="str">
        <f>HYPERLINK("http://www.ncbi.nlm.nih.gov/protein/XP_031712793.1","androgen receptor-like")</f>
        <v>androgen receptor-like</v>
      </c>
      <c r="J540" t="s">
        <v>1327</v>
      </c>
      <c r="K540" t="s">
        <v>20</v>
      </c>
      <c r="L540">
        <v>521</v>
      </c>
      <c r="M540" t="s">
        <v>25</v>
      </c>
      <c r="N540" t="s">
        <v>20</v>
      </c>
      <c r="O540">
        <v>527</v>
      </c>
      <c r="P540" t="s">
        <v>1313</v>
      </c>
      <c r="Q540" t="s">
        <v>20</v>
      </c>
      <c r="R540">
        <v>568</v>
      </c>
      <c r="S540" t="s">
        <v>1314</v>
      </c>
      <c r="T540" t="s">
        <v>20</v>
      </c>
      <c r="U540">
        <v>691</v>
      </c>
      <c r="V540" t="s">
        <v>1315</v>
      </c>
      <c r="W540" t="s">
        <v>20</v>
      </c>
    </row>
    <row r="541" spans="1:23" x14ac:dyDescent="0.25">
      <c r="A541">
        <v>6</v>
      </c>
      <c r="B541" t="s">
        <v>384</v>
      </c>
      <c r="C541" t="str">
        <f>HYPERLINK("http://www.ncbi.nlm.nih.gov/protein/XP_034407052.1","XP_034407052.1")</f>
        <v>XP_034407052.1</v>
      </c>
      <c r="D541">
        <v>38712</v>
      </c>
      <c r="E541" t="str">
        <f>HYPERLINK("http://www.ncbi.nlm.nih.gov/Taxonomy/Browser/wwwtax.cgi?mode=Info&amp;id=8103&amp;lvl=3&amp;lin=f&amp;keep=1&amp;srchmode=1&amp;unlock","8103")</f>
        <v>8103</v>
      </c>
      <c r="F541" t="s">
        <v>384</v>
      </c>
      <c r="G541" t="str">
        <f>HYPERLINK("http://www.ncbi.nlm.nih.gov/Taxonomy/Browser/wwwtax.cgi?mode=Info&amp;id=8103&amp;lvl=3&amp;lin=f&amp;keep=1&amp;srchmode=1&amp;unlock","Cyclopterus lumpus")</f>
        <v>Cyclopterus lumpus</v>
      </c>
      <c r="H541" t="s">
        <v>481</v>
      </c>
      <c r="I541" t="str">
        <f>HYPERLINK("http://www.ncbi.nlm.nih.gov/protein/XP_034407052.1","androgen receptor-like isoform X1")</f>
        <v>androgen receptor-like isoform X1</v>
      </c>
      <c r="J541" t="s">
        <v>1327</v>
      </c>
      <c r="K541" t="s">
        <v>20</v>
      </c>
      <c r="L541">
        <v>550</v>
      </c>
      <c r="M541" t="s">
        <v>25</v>
      </c>
      <c r="N541" t="s">
        <v>20</v>
      </c>
      <c r="O541">
        <v>556</v>
      </c>
      <c r="P541" t="s">
        <v>1313</v>
      </c>
      <c r="Q541" t="s">
        <v>20</v>
      </c>
      <c r="R541">
        <v>597</v>
      </c>
      <c r="S541" t="s">
        <v>1314</v>
      </c>
      <c r="T541" t="s">
        <v>20</v>
      </c>
      <c r="U541">
        <v>720</v>
      </c>
      <c r="V541" t="s">
        <v>1315</v>
      </c>
      <c r="W541" t="s">
        <v>20</v>
      </c>
    </row>
    <row r="542" spans="1:23" x14ac:dyDescent="0.25">
      <c r="A542">
        <v>6</v>
      </c>
      <c r="B542" t="s">
        <v>384</v>
      </c>
      <c r="C542" t="str">
        <f>HYPERLINK("http://www.ncbi.nlm.nih.gov/protein/XP_025766635.1","XP_025766635.1")</f>
        <v>XP_025766635.1</v>
      </c>
      <c r="D542">
        <v>63394</v>
      </c>
      <c r="E542" t="str">
        <f>HYPERLINK("http://www.ncbi.nlm.nih.gov/Taxonomy/Browser/wwwtax.cgi?mode=Info&amp;id=8128&amp;lvl=3&amp;lin=f&amp;keep=1&amp;srchmode=1&amp;unlock","8128")</f>
        <v>8128</v>
      </c>
      <c r="F542" t="s">
        <v>384</v>
      </c>
      <c r="G542" t="str">
        <f>HYPERLINK("http://www.ncbi.nlm.nih.gov/Taxonomy/Browser/wwwtax.cgi?mode=Info&amp;id=8128&amp;lvl=3&amp;lin=f&amp;keep=1&amp;srchmode=1&amp;unlock","Oreochromis niloticus")</f>
        <v>Oreochromis niloticus</v>
      </c>
      <c r="H542" t="s">
        <v>628</v>
      </c>
      <c r="I542" t="str">
        <f>HYPERLINK("http://www.ncbi.nlm.nih.gov/protein/XP_025766635.1","androgen receptor-like")</f>
        <v>androgen receptor-like</v>
      </c>
      <c r="J542" t="s">
        <v>1327</v>
      </c>
      <c r="K542" t="s">
        <v>20</v>
      </c>
      <c r="L542">
        <v>550</v>
      </c>
      <c r="M542" t="s">
        <v>25</v>
      </c>
      <c r="N542" t="s">
        <v>20</v>
      </c>
      <c r="O542">
        <v>556</v>
      </c>
      <c r="P542" t="s">
        <v>1313</v>
      </c>
      <c r="Q542" t="s">
        <v>20</v>
      </c>
      <c r="R542">
        <v>597</v>
      </c>
      <c r="S542" t="s">
        <v>1314</v>
      </c>
      <c r="T542" t="s">
        <v>20</v>
      </c>
      <c r="U542">
        <v>720</v>
      </c>
      <c r="V542" t="s">
        <v>1315</v>
      </c>
      <c r="W542" t="s">
        <v>20</v>
      </c>
    </row>
    <row r="543" spans="1:23" x14ac:dyDescent="0.25">
      <c r="A543">
        <v>6</v>
      </c>
      <c r="B543" t="s">
        <v>384</v>
      </c>
      <c r="C543" t="str">
        <f>HYPERLINK("http://www.ncbi.nlm.nih.gov/protein/XP_022601703.1","XP_022601703.1")</f>
        <v>XP_022601703.1</v>
      </c>
      <c r="D543">
        <v>32883</v>
      </c>
      <c r="E543" t="str">
        <f>HYPERLINK("http://www.ncbi.nlm.nih.gov/Taxonomy/Browser/wwwtax.cgi?mode=Info&amp;id=41447&amp;lvl=3&amp;lin=f&amp;keep=1&amp;srchmode=1&amp;unlock","41447")</f>
        <v>41447</v>
      </c>
      <c r="F543" t="s">
        <v>384</v>
      </c>
      <c r="G543" t="str">
        <f>HYPERLINK("http://www.ncbi.nlm.nih.gov/Taxonomy/Browser/wwwtax.cgi?mode=Info&amp;id=41447&amp;lvl=3&amp;lin=f&amp;keep=1&amp;srchmode=1&amp;unlock","Seriola dumerili")</f>
        <v>Seriola dumerili</v>
      </c>
      <c r="H543" t="s">
        <v>584</v>
      </c>
      <c r="I543" t="str">
        <f>HYPERLINK("http://www.ncbi.nlm.nih.gov/protein/XP_022601703.1","androgen receptor-like isoform X2")</f>
        <v>androgen receptor-like isoform X2</v>
      </c>
      <c r="J543" t="s">
        <v>1327</v>
      </c>
      <c r="K543" t="s">
        <v>20</v>
      </c>
      <c r="L543">
        <v>587</v>
      </c>
      <c r="M543" t="s">
        <v>25</v>
      </c>
      <c r="N543" t="s">
        <v>20</v>
      </c>
      <c r="O543">
        <v>593</v>
      </c>
      <c r="P543" t="s">
        <v>1313</v>
      </c>
      <c r="Q543" t="s">
        <v>20</v>
      </c>
      <c r="R543">
        <v>634</v>
      </c>
      <c r="S543" t="s">
        <v>1314</v>
      </c>
      <c r="T543" t="s">
        <v>20</v>
      </c>
      <c r="U543">
        <v>757</v>
      </c>
      <c r="V543" t="s">
        <v>1315</v>
      </c>
      <c r="W543" t="s">
        <v>20</v>
      </c>
    </row>
    <row r="544" spans="1:23" x14ac:dyDescent="0.25">
      <c r="A544">
        <v>6</v>
      </c>
      <c r="B544" t="s">
        <v>384</v>
      </c>
      <c r="C544" t="str">
        <f>HYPERLINK("http://www.ncbi.nlm.nih.gov/protein/BAI49424.1","BAI49424.1")</f>
        <v>BAI49424.1</v>
      </c>
      <c r="D544">
        <v>6</v>
      </c>
      <c r="E544" t="str">
        <f>HYPERLINK("http://www.ncbi.nlm.nih.gov/Taxonomy/Browser/wwwtax.cgi?mode=Info&amp;id=328639&amp;lvl=3&amp;lin=f&amp;keep=1&amp;srchmode=1&amp;unlock","328639")</f>
        <v>328639</v>
      </c>
      <c r="F544" t="s">
        <v>384</v>
      </c>
      <c r="G544" t="str">
        <f>HYPERLINK("http://www.ncbi.nlm.nih.gov/Taxonomy/Browser/wwwtax.cgi?mode=Info&amp;id=328639&amp;lvl=3&amp;lin=f&amp;keep=1&amp;srchmode=1&amp;unlock","Acipenser ruthenus x Huso huso")</f>
        <v>Acipenser ruthenus x Huso huso</v>
      </c>
      <c r="H544" t="s">
        <v>1012</v>
      </c>
      <c r="I544" t="str">
        <f>HYPERLINK("http://www.ncbi.nlm.nih.gov/protein/BAI49424.1","androgen receptor")</f>
        <v>androgen receptor</v>
      </c>
      <c r="J544" t="s">
        <v>1327</v>
      </c>
      <c r="K544" t="s">
        <v>20</v>
      </c>
      <c r="L544">
        <v>628</v>
      </c>
      <c r="M544" t="s">
        <v>25</v>
      </c>
      <c r="N544" t="s">
        <v>20</v>
      </c>
      <c r="O544">
        <v>634</v>
      </c>
      <c r="P544" t="s">
        <v>1313</v>
      </c>
      <c r="Q544" t="s">
        <v>20</v>
      </c>
      <c r="R544">
        <v>675</v>
      </c>
      <c r="S544" t="s">
        <v>1314</v>
      </c>
      <c r="T544" t="s">
        <v>20</v>
      </c>
      <c r="U544">
        <v>798</v>
      </c>
      <c r="V544" t="s">
        <v>1315</v>
      </c>
      <c r="W544" t="s">
        <v>20</v>
      </c>
    </row>
    <row r="545" spans="1:23" x14ac:dyDescent="0.25">
      <c r="A545">
        <v>6</v>
      </c>
      <c r="B545" t="s">
        <v>384</v>
      </c>
      <c r="C545" t="str">
        <f>HYPERLINK("http://www.ncbi.nlm.nih.gov/protein/XP_039633383.1","XP_039633383.1")</f>
        <v>XP_039633383.1</v>
      </c>
      <c r="D545">
        <v>74410</v>
      </c>
      <c r="E545" t="str">
        <f>HYPERLINK("http://www.ncbi.nlm.nih.gov/Taxonomy/Browser/wwwtax.cgi?mode=Info&amp;id=8168&amp;lvl=3&amp;lin=f&amp;keep=1&amp;srchmode=1&amp;unlock","8168")</f>
        <v>8168</v>
      </c>
      <c r="F545" t="s">
        <v>384</v>
      </c>
      <c r="G545" t="str">
        <f>HYPERLINK("http://www.ncbi.nlm.nih.gov/Taxonomy/Browser/wwwtax.cgi?mode=Info&amp;id=8168&amp;lvl=3&amp;lin=f&amp;keep=1&amp;srchmode=1&amp;unlock","Perca fluviatilis")</f>
        <v>Perca fluviatilis</v>
      </c>
      <c r="H545" t="s">
        <v>582</v>
      </c>
      <c r="I545" t="str">
        <f>HYPERLINK("http://www.ncbi.nlm.nih.gov/protein/XP_039633383.1","androgen receptor-like isoform X2")</f>
        <v>androgen receptor-like isoform X2</v>
      </c>
      <c r="J545" t="s">
        <v>1327</v>
      </c>
      <c r="K545" t="s">
        <v>20</v>
      </c>
      <c r="L545">
        <v>546</v>
      </c>
      <c r="M545" t="s">
        <v>25</v>
      </c>
      <c r="N545" t="s">
        <v>20</v>
      </c>
      <c r="O545">
        <v>552</v>
      </c>
      <c r="P545" t="s">
        <v>1313</v>
      </c>
      <c r="Q545" t="s">
        <v>20</v>
      </c>
      <c r="R545">
        <v>593</v>
      </c>
      <c r="S545" t="s">
        <v>1314</v>
      </c>
      <c r="T545" t="s">
        <v>20</v>
      </c>
      <c r="U545">
        <v>716</v>
      </c>
      <c r="V545" t="s">
        <v>1315</v>
      </c>
      <c r="W545" t="s">
        <v>20</v>
      </c>
    </row>
    <row r="546" spans="1:23" x14ac:dyDescent="0.25">
      <c r="A546">
        <v>6</v>
      </c>
      <c r="B546" t="s">
        <v>384</v>
      </c>
      <c r="C546" t="str">
        <f>HYPERLINK("http://www.ncbi.nlm.nih.gov/protein/XP_036974842.1","XP_036974842.1")</f>
        <v>XP_036974842.1</v>
      </c>
      <c r="D546">
        <v>54695</v>
      </c>
      <c r="E546" t="str">
        <f>HYPERLINK("http://www.ncbi.nlm.nih.gov/Taxonomy/Browser/wwwtax.cgi?mode=Info&amp;id=8177&amp;lvl=3&amp;lin=f&amp;keep=1&amp;srchmode=1&amp;unlock","8177")</f>
        <v>8177</v>
      </c>
      <c r="F546" t="s">
        <v>384</v>
      </c>
      <c r="G546" t="str">
        <f>HYPERLINK("http://www.ncbi.nlm.nih.gov/Taxonomy/Browser/wwwtax.cgi?mode=Info&amp;id=8177&amp;lvl=3&amp;lin=f&amp;keep=1&amp;srchmode=1&amp;unlock","Acanthopagrus latus")</f>
        <v>Acanthopagrus latus</v>
      </c>
      <c r="H546" t="s">
        <v>570</v>
      </c>
      <c r="I546" t="str">
        <f>HYPERLINK("http://www.ncbi.nlm.nih.gov/protein/XP_036974842.1","androgen receptor-like")</f>
        <v>androgen receptor-like</v>
      </c>
      <c r="J546" t="s">
        <v>1327</v>
      </c>
      <c r="K546" t="s">
        <v>20</v>
      </c>
      <c r="L546">
        <v>560</v>
      </c>
      <c r="M546" t="s">
        <v>25</v>
      </c>
      <c r="N546" t="s">
        <v>20</v>
      </c>
      <c r="O546">
        <v>566</v>
      </c>
      <c r="P546" t="s">
        <v>1313</v>
      </c>
      <c r="Q546" t="s">
        <v>20</v>
      </c>
      <c r="R546">
        <v>607</v>
      </c>
      <c r="S546" t="s">
        <v>1314</v>
      </c>
      <c r="T546" t="s">
        <v>20</v>
      </c>
      <c r="U546">
        <v>730</v>
      </c>
      <c r="V546" t="s">
        <v>1315</v>
      </c>
      <c r="W546" t="s">
        <v>20</v>
      </c>
    </row>
    <row r="547" spans="1:23" x14ac:dyDescent="0.25">
      <c r="A547">
        <v>6</v>
      </c>
      <c r="B547" t="s">
        <v>384</v>
      </c>
      <c r="C547" t="str">
        <f>HYPERLINK("http://www.ncbi.nlm.nih.gov/protein/XP_012720156.2","XP_012720156.2")</f>
        <v>XP_012720156.2</v>
      </c>
      <c r="D547">
        <v>50120</v>
      </c>
      <c r="E547" t="str">
        <f>HYPERLINK("http://www.ncbi.nlm.nih.gov/Taxonomy/Browser/wwwtax.cgi?mode=Info&amp;id=8078&amp;lvl=3&amp;lin=f&amp;keep=1&amp;srchmode=1&amp;unlock","8078")</f>
        <v>8078</v>
      </c>
      <c r="F547" t="s">
        <v>384</v>
      </c>
      <c r="G547" t="str">
        <f>HYPERLINK("http://www.ncbi.nlm.nih.gov/Taxonomy/Browser/wwwtax.cgi?mode=Info&amp;id=8078&amp;lvl=3&amp;lin=f&amp;keep=1&amp;srchmode=1&amp;unlock","Fundulus heteroclitus")</f>
        <v>Fundulus heteroclitus</v>
      </c>
      <c r="H547" t="s">
        <v>571</v>
      </c>
      <c r="I547" t="str">
        <f>HYPERLINK("http://www.ncbi.nlm.nih.gov/protein/XP_012720156.2","androgen receptor")</f>
        <v>androgen receptor</v>
      </c>
      <c r="J547" t="s">
        <v>1327</v>
      </c>
      <c r="K547" t="s">
        <v>20</v>
      </c>
      <c r="L547">
        <v>539</v>
      </c>
      <c r="M547" t="s">
        <v>25</v>
      </c>
      <c r="N547" t="s">
        <v>20</v>
      </c>
      <c r="O547">
        <v>545</v>
      </c>
      <c r="P547" t="s">
        <v>1313</v>
      </c>
      <c r="Q547" t="s">
        <v>20</v>
      </c>
      <c r="R547">
        <v>586</v>
      </c>
      <c r="S547" t="s">
        <v>1314</v>
      </c>
      <c r="T547" t="s">
        <v>20</v>
      </c>
      <c r="U547">
        <v>709</v>
      </c>
      <c r="V547" t="s">
        <v>1315</v>
      </c>
      <c r="W547" t="s">
        <v>20</v>
      </c>
    </row>
    <row r="548" spans="1:23" x14ac:dyDescent="0.25">
      <c r="A548">
        <v>6</v>
      </c>
      <c r="B548" t="s">
        <v>384</v>
      </c>
      <c r="C548" t="str">
        <f>HYPERLINK("http://www.ncbi.nlm.nih.gov/protein/AAO61694.1","AAO61694.1")</f>
        <v>AAO61694.1</v>
      </c>
      <c r="D548">
        <v>282</v>
      </c>
      <c r="E548" t="str">
        <f>HYPERLINK("http://www.ncbi.nlm.nih.gov/Taxonomy/Browser/wwwtax.cgi?mode=Info&amp;id=72011&amp;lvl=3&amp;lin=f&amp;keep=1&amp;srchmode=1&amp;unlock","72011")</f>
        <v>72011</v>
      </c>
      <c r="F548" t="s">
        <v>384</v>
      </c>
      <c r="G548" t="str">
        <f>HYPERLINK("http://www.ncbi.nlm.nih.gov/Taxonomy/Browser/wwwtax.cgi?mode=Info&amp;id=72011&amp;lvl=3&amp;lin=f&amp;keep=1&amp;srchmode=1&amp;unlock","Acanthopagrus schlegelii")</f>
        <v>Acanthopagrus schlegelii</v>
      </c>
      <c r="H548" t="s">
        <v>690</v>
      </c>
      <c r="I548" t="str">
        <f>HYPERLINK("http://www.ncbi.nlm.nih.gov/protein/AAO61694.1","androgen receptor")</f>
        <v>androgen receptor</v>
      </c>
      <c r="J548" t="s">
        <v>1327</v>
      </c>
      <c r="K548" t="s">
        <v>20</v>
      </c>
      <c r="L548">
        <v>558</v>
      </c>
      <c r="M548" t="s">
        <v>25</v>
      </c>
      <c r="N548" t="s">
        <v>20</v>
      </c>
      <c r="O548">
        <v>564</v>
      </c>
      <c r="P548" t="s">
        <v>1313</v>
      </c>
      <c r="Q548" t="s">
        <v>20</v>
      </c>
      <c r="R548">
        <v>605</v>
      </c>
      <c r="S548" t="s">
        <v>1314</v>
      </c>
      <c r="T548" t="s">
        <v>20</v>
      </c>
      <c r="U548">
        <v>728</v>
      </c>
      <c r="V548" t="s">
        <v>1315</v>
      </c>
      <c r="W548" t="s">
        <v>20</v>
      </c>
    </row>
    <row r="549" spans="1:23" x14ac:dyDescent="0.25">
      <c r="A549">
        <v>6</v>
      </c>
      <c r="B549" t="s">
        <v>384</v>
      </c>
      <c r="C549" t="str">
        <f>HYPERLINK("http://www.ncbi.nlm.nih.gov/protein/QAV54758.1","QAV54758.1")</f>
        <v>QAV54758.1</v>
      </c>
      <c r="D549">
        <v>272</v>
      </c>
      <c r="E549" t="str">
        <f>HYPERLINK("http://www.ncbi.nlm.nih.gov/Taxonomy/Browser/wwwtax.cgi?mode=Info&amp;id=86224&amp;lvl=3&amp;lin=f&amp;keep=1&amp;srchmode=1&amp;unlock","86224")</f>
        <v>86224</v>
      </c>
      <c r="F549" t="s">
        <v>384</v>
      </c>
      <c r="G549" t="str">
        <f>HYPERLINK("http://www.ncbi.nlm.nih.gov/Taxonomy/Browser/wwwtax.cgi?mode=Info&amp;id=86224&amp;lvl=3&amp;lin=f&amp;keep=1&amp;srchmode=1&amp;unlock","Bostrychus sinensis")</f>
        <v>Bostrychus sinensis</v>
      </c>
      <c r="H549" t="s">
        <v>1013</v>
      </c>
      <c r="I549" t="str">
        <f>HYPERLINK("http://www.ncbi.nlm.nih.gov/protein/QAV54758.1","androgen receptor beta")</f>
        <v>androgen receptor beta</v>
      </c>
      <c r="J549" t="s">
        <v>1327</v>
      </c>
      <c r="K549" t="s">
        <v>20</v>
      </c>
      <c r="L549">
        <v>509</v>
      </c>
      <c r="M549" t="s">
        <v>25</v>
      </c>
      <c r="N549" t="s">
        <v>20</v>
      </c>
      <c r="O549">
        <v>515</v>
      </c>
      <c r="P549" t="s">
        <v>1313</v>
      </c>
      <c r="Q549" t="s">
        <v>20</v>
      </c>
      <c r="R549">
        <v>556</v>
      </c>
      <c r="S549" t="s">
        <v>1314</v>
      </c>
      <c r="T549" t="s">
        <v>20</v>
      </c>
      <c r="U549">
        <v>679</v>
      </c>
      <c r="V549" t="s">
        <v>1315</v>
      </c>
      <c r="W549" t="s">
        <v>20</v>
      </c>
    </row>
    <row r="550" spans="1:23" x14ac:dyDescent="0.25">
      <c r="A550">
        <v>6</v>
      </c>
      <c r="B550" t="s">
        <v>384</v>
      </c>
      <c r="C550" t="str">
        <f>HYPERLINK("http://www.ncbi.nlm.nih.gov/protein/XP_023266520.1","XP_023266520.1")</f>
        <v>XP_023266520.1</v>
      </c>
      <c r="D550">
        <v>38822</v>
      </c>
      <c r="E550" t="str">
        <f>HYPERLINK("http://www.ncbi.nlm.nih.gov/Taxonomy/Browser/wwwtax.cgi?mode=Info&amp;id=1841481&amp;lvl=3&amp;lin=f&amp;keep=1&amp;srchmode=1&amp;unlock","1841481")</f>
        <v>1841481</v>
      </c>
      <c r="F550" t="s">
        <v>384</v>
      </c>
      <c r="G550" t="str">
        <f>HYPERLINK("http://www.ncbi.nlm.nih.gov/Taxonomy/Browser/wwwtax.cgi?mode=Info&amp;id=1841481&amp;lvl=3&amp;lin=f&amp;keep=1&amp;srchmode=1&amp;unlock","Seriola lalandi dorsalis")</f>
        <v>Seriola lalandi dorsalis</v>
      </c>
      <c r="H550" t="s">
        <v>591</v>
      </c>
      <c r="I550" t="str">
        <f>HYPERLINK("http://www.ncbi.nlm.nih.gov/protein/XP_023266520.1","androgen receptor")</f>
        <v>androgen receptor</v>
      </c>
      <c r="J550" t="s">
        <v>1327</v>
      </c>
      <c r="K550" t="s">
        <v>20</v>
      </c>
      <c r="L550">
        <v>539</v>
      </c>
      <c r="M550" t="s">
        <v>25</v>
      </c>
      <c r="N550" t="s">
        <v>20</v>
      </c>
      <c r="O550">
        <v>545</v>
      </c>
      <c r="P550" t="s">
        <v>1313</v>
      </c>
      <c r="Q550" t="s">
        <v>20</v>
      </c>
      <c r="R550">
        <v>586</v>
      </c>
      <c r="S550" t="s">
        <v>1314</v>
      </c>
      <c r="T550" t="s">
        <v>20</v>
      </c>
      <c r="U550">
        <v>709</v>
      </c>
      <c r="V550" t="s">
        <v>1315</v>
      </c>
      <c r="W550" t="s">
        <v>20</v>
      </c>
    </row>
    <row r="551" spans="1:23" x14ac:dyDescent="0.25">
      <c r="A551">
        <v>6</v>
      </c>
      <c r="B551" t="s">
        <v>384</v>
      </c>
      <c r="C551" t="str">
        <f>HYPERLINK("http://www.ncbi.nlm.nih.gov/protein/ANN14185.1","ANN14185.1")</f>
        <v>ANN14185.1</v>
      </c>
      <c r="D551">
        <v>49656</v>
      </c>
      <c r="E551" t="str">
        <f>HYPERLINK("http://www.ncbi.nlm.nih.gov/Taxonomy/Browser/wwwtax.cgi?mode=Info&amp;id=48698&amp;lvl=3&amp;lin=f&amp;keep=1&amp;srchmode=1&amp;unlock","48698")</f>
        <v>48698</v>
      </c>
      <c r="F551" t="s">
        <v>384</v>
      </c>
      <c r="G551" t="str">
        <f>HYPERLINK("http://www.ncbi.nlm.nih.gov/Taxonomy/Browser/wwwtax.cgi?mode=Info&amp;id=48698&amp;lvl=3&amp;lin=f&amp;keep=1&amp;srchmode=1&amp;unlock","Poecilia formosa")</f>
        <v>Poecilia formosa</v>
      </c>
      <c r="H551" t="s">
        <v>613</v>
      </c>
      <c r="I551" t="str">
        <f>HYPERLINK("http://www.ncbi.nlm.nih.gov/protein/ANN14185.1","androgen receptor beta")</f>
        <v>androgen receptor beta</v>
      </c>
      <c r="J551" t="s">
        <v>1327</v>
      </c>
      <c r="K551" t="s">
        <v>20</v>
      </c>
      <c r="L551">
        <v>544</v>
      </c>
      <c r="M551" t="s">
        <v>25</v>
      </c>
      <c r="N551" t="s">
        <v>20</v>
      </c>
      <c r="O551">
        <v>550</v>
      </c>
      <c r="P551" t="s">
        <v>1313</v>
      </c>
      <c r="Q551" t="s">
        <v>20</v>
      </c>
      <c r="R551">
        <v>591</v>
      </c>
      <c r="S551" t="s">
        <v>1314</v>
      </c>
      <c r="T551" t="s">
        <v>20</v>
      </c>
      <c r="U551">
        <v>714</v>
      </c>
      <c r="V551" t="s">
        <v>1315</v>
      </c>
      <c r="W551" t="s">
        <v>20</v>
      </c>
    </row>
    <row r="552" spans="1:23" x14ac:dyDescent="0.25">
      <c r="A552">
        <v>6</v>
      </c>
      <c r="B552" t="s">
        <v>384</v>
      </c>
      <c r="C552" t="str">
        <f>HYPERLINK("http://www.ncbi.nlm.nih.gov/protein/AKJ74871.1","AKJ74871.1")</f>
        <v>AKJ74871.1</v>
      </c>
      <c r="D552">
        <v>47232</v>
      </c>
      <c r="E552" t="str">
        <f>HYPERLINK("http://www.ncbi.nlm.nih.gov/Taxonomy/Browser/wwwtax.cgi?mode=Info&amp;id=48699&amp;lvl=3&amp;lin=f&amp;keep=1&amp;srchmode=1&amp;unlock","48699")</f>
        <v>48699</v>
      </c>
      <c r="F552" t="s">
        <v>384</v>
      </c>
      <c r="G552" t="str">
        <f>HYPERLINK("http://www.ncbi.nlm.nih.gov/Taxonomy/Browser/wwwtax.cgi?mode=Info&amp;id=48699&amp;lvl=3&amp;lin=f&amp;keep=1&amp;srchmode=1&amp;unlock","Poecilia latipinna")</f>
        <v>Poecilia latipinna</v>
      </c>
      <c r="H552" t="s">
        <v>600</v>
      </c>
      <c r="I552" t="str">
        <f>HYPERLINK("http://www.ncbi.nlm.nih.gov/protein/AKJ74871.1","androgen receptor beta")</f>
        <v>androgen receptor beta</v>
      </c>
      <c r="J552" t="s">
        <v>1327</v>
      </c>
      <c r="K552" t="s">
        <v>20</v>
      </c>
      <c r="L552">
        <v>544</v>
      </c>
      <c r="M552" t="s">
        <v>25</v>
      </c>
      <c r="N552" t="s">
        <v>20</v>
      </c>
      <c r="O552">
        <v>550</v>
      </c>
      <c r="P552" t="s">
        <v>1313</v>
      </c>
      <c r="Q552" t="s">
        <v>20</v>
      </c>
      <c r="R552">
        <v>591</v>
      </c>
      <c r="S552" t="s">
        <v>1314</v>
      </c>
      <c r="T552" t="s">
        <v>20</v>
      </c>
      <c r="U552">
        <v>714</v>
      </c>
      <c r="V552" t="s">
        <v>1315</v>
      </c>
      <c r="W552" t="s">
        <v>20</v>
      </c>
    </row>
    <row r="553" spans="1:23" x14ac:dyDescent="0.25">
      <c r="A553">
        <v>6</v>
      </c>
      <c r="B553" t="s">
        <v>384</v>
      </c>
      <c r="C553" t="str">
        <f>HYPERLINK("http://www.ncbi.nlm.nih.gov/protein/BAD52084.1","BAD52084.1")</f>
        <v>BAD52084.1</v>
      </c>
      <c r="D553">
        <v>19610</v>
      </c>
      <c r="E553" t="str">
        <f>HYPERLINK("http://www.ncbi.nlm.nih.gov/Taxonomy/Browser/wwwtax.cgi?mode=Info&amp;id=33528&amp;lvl=3&amp;lin=f&amp;keep=1&amp;srchmode=1&amp;unlock","33528")</f>
        <v>33528</v>
      </c>
      <c r="F553" t="s">
        <v>384</v>
      </c>
      <c r="G553" t="str">
        <f>HYPERLINK("http://www.ncbi.nlm.nih.gov/Taxonomy/Browser/wwwtax.cgi?mode=Info&amp;id=33528&amp;lvl=3&amp;lin=f&amp;keep=1&amp;srchmode=1&amp;unlock","Gambusia affinis")</f>
        <v>Gambusia affinis</v>
      </c>
      <c r="H553" t="s">
        <v>569</v>
      </c>
      <c r="I553" t="str">
        <f>HYPERLINK("http://www.ncbi.nlm.nih.gov/protein/BAD52084.1","androgen receptor")</f>
        <v>androgen receptor</v>
      </c>
      <c r="J553" t="s">
        <v>1327</v>
      </c>
      <c r="K553" t="s">
        <v>20</v>
      </c>
      <c r="L553">
        <v>542</v>
      </c>
      <c r="M553" t="s">
        <v>25</v>
      </c>
      <c r="N553" t="s">
        <v>20</v>
      </c>
      <c r="O553">
        <v>548</v>
      </c>
      <c r="P553" t="s">
        <v>1313</v>
      </c>
      <c r="Q553" t="s">
        <v>20</v>
      </c>
      <c r="R553">
        <v>589</v>
      </c>
      <c r="S553" t="s">
        <v>1314</v>
      </c>
      <c r="T553" t="s">
        <v>20</v>
      </c>
      <c r="U553">
        <v>712</v>
      </c>
      <c r="V553" t="s">
        <v>1315</v>
      </c>
      <c r="W553" t="s">
        <v>20</v>
      </c>
    </row>
    <row r="554" spans="1:23" x14ac:dyDescent="0.25">
      <c r="A554">
        <v>6</v>
      </c>
      <c r="B554" t="s">
        <v>384</v>
      </c>
      <c r="C554" t="str">
        <f>HYPERLINK("http://www.ncbi.nlm.nih.gov/protein/XP_014822347.1","XP_014822347.1")</f>
        <v>XP_014822347.1</v>
      </c>
      <c r="D554">
        <v>47807</v>
      </c>
      <c r="E554" t="str">
        <f>HYPERLINK("http://www.ncbi.nlm.nih.gov/Taxonomy/Browser/wwwtax.cgi?mode=Info&amp;id=48701&amp;lvl=3&amp;lin=f&amp;keep=1&amp;srchmode=1&amp;unlock","48701")</f>
        <v>48701</v>
      </c>
      <c r="F554" t="s">
        <v>384</v>
      </c>
      <c r="G554" t="str">
        <f>HYPERLINK("http://www.ncbi.nlm.nih.gov/Taxonomy/Browser/wwwtax.cgi?mode=Info&amp;id=48701&amp;lvl=3&amp;lin=f&amp;keep=1&amp;srchmode=1&amp;unlock","Poecilia mexicana")</f>
        <v>Poecilia mexicana</v>
      </c>
      <c r="H554" t="s">
        <v>615</v>
      </c>
      <c r="I554" t="str">
        <f>HYPERLINK("http://www.ncbi.nlm.nih.gov/protein/XP_014822347.1","PREDICTED: androgen receptor-like")</f>
        <v>PREDICTED: androgen receptor-like</v>
      </c>
      <c r="J554" t="s">
        <v>1327</v>
      </c>
      <c r="K554" t="s">
        <v>20</v>
      </c>
      <c r="L554">
        <v>542</v>
      </c>
      <c r="M554" t="s">
        <v>25</v>
      </c>
      <c r="N554" t="s">
        <v>20</v>
      </c>
      <c r="O554">
        <v>548</v>
      </c>
      <c r="P554" t="s">
        <v>1313</v>
      </c>
      <c r="Q554" t="s">
        <v>20</v>
      </c>
      <c r="R554">
        <v>589</v>
      </c>
      <c r="S554" t="s">
        <v>1314</v>
      </c>
      <c r="T554" t="s">
        <v>20</v>
      </c>
      <c r="U554">
        <v>712</v>
      </c>
      <c r="V554" t="s">
        <v>1315</v>
      </c>
      <c r="W554" t="s">
        <v>20</v>
      </c>
    </row>
    <row r="555" spans="1:23" x14ac:dyDescent="0.25">
      <c r="A555">
        <v>6</v>
      </c>
      <c r="B555" t="s">
        <v>384</v>
      </c>
      <c r="C555" t="str">
        <f>HYPERLINK("http://www.ncbi.nlm.nih.gov/protein/XP_027887592.1","XP_027887592.1")</f>
        <v>XP_027887592.1</v>
      </c>
      <c r="D555">
        <v>47115</v>
      </c>
      <c r="E555" t="str">
        <f>HYPERLINK("http://www.ncbi.nlm.nih.gov/Taxonomy/Browser/wwwtax.cgi?mode=Info&amp;id=32473&amp;lvl=3&amp;lin=f&amp;keep=1&amp;srchmode=1&amp;unlock","32473")</f>
        <v>32473</v>
      </c>
      <c r="F555" t="s">
        <v>384</v>
      </c>
      <c r="G555" t="str">
        <f>HYPERLINK("http://www.ncbi.nlm.nih.gov/Taxonomy/Browser/wwwtax.cgi?mode=Info&amp;id=32473&amp;lvl=3&amp;lin=f&amp;keep=1&amp;srchmode=1&amp;unlock","Xiphophorus couchianus")</f>
        <v>Xiphophorus couchianus</v>
      </c>
      <c r="H555" t="s">
        <v>621</v>
      </c>
      <c r="I555" t="str">
        <f>HYPERLINK("http://www.ncbi.nlm.nih.gov/protein/XP_027887592.1","androgen receptor-like")</f>
        <v>androgen receptor-like</v>
      </c>
      <c r="J555" t="s">
        <v>1327</v>
      </c>
      <c r="K555" t="s">
        <v>20</v>
      </c>
      <c r="L555">
        <v>541</v>
      </c>
      <c r="M555" t="s">
        <v>25</v>
      </c>
      <c r="N555" t="s">
        <v>20</v>
      </c>
      <c r="O555">
        <v>547</v>
      </c>
      <c r="P555" t="s">
        <v>1313</v>
      </c>
      <c r="Q555" t="s">
        <v>20</v>
      </c>
      <c r="R555">
        <v>588</v>
      </c>
      <c r="S555" t="s">
        <v>1314</v>
      </c>
      <c r="T555" t="s">
        <v>20</v>
      </c>
      <c r="U555">
        <v>711</v>
      </c>
      <c r="V555" t="s">
        <v>1315</v>
      </c>
      <c r="W555" t="s">
        <v>20</v>
      </c>
    </row>
    <row r="556" spans="1:23" x14ac:dyDescent="0.25">
      <c r="A556">
        <v>6</v>
      </c>
      <c r="B556" t="s">
        <v>384</v>
      </c>
      <c r="C556" t="str">
        <f>HYPERLINK("http://www.ncbi.nlm.nih.gov/protein/XP_005806705.1","XP_005806705.1")</f>
        <v>XP_005806705.1</v>
      </c>
      <c r="D556">
        <v>43734</v>
      </c>
      <c r="E556" t="str">
        <f>HYPERLINK("http://www.ncbi.nlm.nih.gov/Taxonomy/Browser/wwwtax.cgi?mode=Info&amp;id=8083&amp;lvl=3&amp;lin=f&amp;keep=1&amp;srchmode=1&amp;unlock","8083")</f>
        <v>8083</v>
      </c>
      <c r="F556" t="s">
        <v>384</v>
      </c>
      <c r="G556" t="str">
        <f>HYPERLINK("http://www.ncbi.nlm.nih.gov/Taxonomy/Browser/wwwtax.cgi?mode=Info&amp;id=8083&amp;lvl=3&amp;lin=f&amp;keep=1&amp;srchmode=1&amp;unlock","Xiphophorus maculatus")</f>
        <v>Xiphophorus maculatus</v>
      </c>
      <c r="H556" t="s">
        <v>624</v>
      </c>
      <c r="I556" t="str">
        <f>HYPERLINK("http://www.ncbi.nlm.nih.gov/protein/XP_005806705.1","androgen receptor")</f>
        <v>androgen receptor</v>
      </c>
      <c r="J556" t="s">
        <v>1327</v>
      </c>
      <c r="K556" t="s">
        <v>20</v>
      </c>
      <c r="L556">
        <v>541</v>
      </c>
      <c r="M556" t="s">
        <v>25</v>
      </c>
      <c r="N556" t="s">
        <v>20</v>
      </c>
      <c r="O556">
        <v>547</v>
      </c>
      <c r="P556" t="s">
        <v>1313</v>
      </c>
      <c r="Q556" t="s">
        <v>20</v>
      </c>
      <c r="R556">
        <v>588</v>
      </c>
      <c r="S556" t="s">
        <v>1314</v>
      </c>
      <c r="T556" t="s">
        <v>20</v>
      </c>
      <c r="U556">
        <v>711</v>
      </c>
      <c r="V556" t="s">
        <v>1315</v>
      </c>
      <c r="W556" t="s">
        <v>20</v>
      </c>
    </row>
    <row r="557" spans="1:23" x14ac:dyDescent="0.25">
      <c r="A557">
        <v>6</v>
      </c>
      <c r="B557" t="s">
        <v>384</v>
      </c>
      <c r="C557" t="str">
        <f>HYPERLINK("http://www.ncbi.nlm.nih.gov/protein/XP_032432731.1","XP_032432731.1")</f>
        <v>XP_032432731.1</v>
      </c>
      <c r="D557">
        <v>46452</v>
      </c>
      <c r="E557" t="str">
        <f>HYPERLINK("http://www.ncbi.nlm.nih.gov/Taxonomy/Browser/wwwtax.cgi?mode=Info&amp;id=8084&amp;lvl=3&amp;lin=f&amp;keep=1&amp;srchmode=1&amp;unlock","8084")</f>
        <v>8084</v>
      </c>
      <c r="F557" t="s">
        <v>384</v>
      </c>
      <c r="G557" t="str">
        <f>HYPERLINK("http://www.ncbi.nlm.nih.gov/Taxonomy/Browser/wwwtax.cgi?mode=Info&amp;id=8084&amp;lvl=3&amp;lin=f&amp;keep=1&amp;srchmode=1&amp;unlock","Xiphophorus hellerii")</f>
        <v>Xiphophorus hellerii</v>
      </c>
      <c r="H557" t="s">
        <v>620</v>
      </c>
      <c r="I557" t="str">
        <f>HYPERLINK("http://www.ncbi.nlm.nih.gov/protein/XP_032432731.1","androgen receptor-like")</f>
        <v>androgen receptor-like</v>
      </c>
      <c r="J557" t="s">
        <v>1327</v>
      </c>
      <c r="K557" t="s">
        <v>20</v>
      </c>
      <c r="L557">
        <v>543</v>
      </c>
      <c r="M557" t="s">
        <v>25</v>
      </c>
      <c r="N557" t="s">
        <v>20</v>
      </c>
      <c r="O557">
        <v>549</v>
      </c>
      <c r="P557" t="s">
        <v>1313</v>
      </c>
      <c r="Q557" t="s">
        <v>20</v>
      </c>
      <c r="R557">
        <v>590</v>
      </c>
      <c r="S557" t="s">
        <v>1314</v>
      </c>
      <c r="T557" t="s">
        <v>20</v>
      </c>
      <c r="U557">
        <v>713</v>
      </c>
      <c r="V557" t="s">
        <v>1315</v>
      </c>
      <c r="W557" t="s">
        <v>20</v>
      </c>
    </row>
    <row r="558" spans="1:23" x14ac:dyDescent="0.25">
      <c r="A558">
        <v>6</v>
      </c>
      <c r="B558" t="s">
        <v>384</v>
      </c>
      <c r="C558" t="str">
        <f>HYPERLINK("http://www.ncbi.nlm.nih.gov/protein/AIZ00467.1","AIZ00467.1")</f>
        <v>AIZ00467.1</v>
      </c>
      <c r="D558">
        <v>24</v>
      </c>
      <c r="E558" t="str">
        <f>HYPERLINK("http://www.ncbi.nlm.nih.gov/Taxonomy/Browser/wwwtax.cgi?mode=Info&amp;id=120844&amp;lvl=3&amp;lin=f&amp;keep=1&amp;srchmode=1&amp;unlock","120844")</f>
        <v>120844</v>
      </c>
      <c r="F558" t="s">
        <v>384</v>
      </c>
      <c r="G558" t="str">
        <f>HYPERLINK("http://www.ncbi.nlm.nih.gov/Taxonomy/Browser/wwwtax.cgi?mode=Info&amp;id=120844&amp;lvl=3&amp;lin=f&amp;keep=1&amp;srchmode=1&amp;unlock","Melanotaenia fluviatilis")</f>
        <v>Melanotaenia fluviatilis</v>
      </c>
      <c r="H558" t="s">
        <v>1015</v>
      </c>
      <c r="I558" t="str">
        <f>HYPERLINK("http://www.ncbi.nlm.nih.gov/protein/AIZ00467.1","androgen receptor beta")</f>
        <v>androgen receptor beta</v>
      </c>
      <c r="J558" t="s">
        <v>1327</v>
      </c>
      <c r="K558" t="s">
        <v>20</v>
      </c>
      <c r="L558">
        <v>552</v>
      </c>
      <c r="M558" t="s">
        <v>25</v>
      </c>
      <c r="N558" t="s">
        <v>20</v>
      </c>
      <c r="O558">
        <v>558</v>
      </c>
      <c r="P558" t="s">
        <v>1313</v>
      </c>
      <c r="Q558" t="s">
        <v>20</v>
      </c>
      <c r="R558">
        <v>599</v>
      </c>
      <c r="S558" t="s">
        <v>1314</v>
      </c>
      <c r="T558" t="s">
        <v>20</v>
      </c>
      <c r="U558">
        <v>722</v>
      </c>
      <c r="V558" t="s">
        <v>1315</v>
      </c>
      <c r="W558" t="s">
        <v>20</v>
      </c>
    </row>
    <row r="559" spans="1:23" x14ac:dyDescent="0.25">
      <c r="A559">
        <v>6</v>
      </c>
      <c r="B559" t="s">
        <v>384</v>
      </c>
      <c r="C559" t="str">
        <f>HYPERLINK("http://www.ncbi.nlm.nih.gov/protein/XP_030217061.1","XP_030217061.1")</f>
        <v>XP_030217061.1</v>
      </c>
      <c r="D559">
        <v>47233</v>
      </c>
      <c r="E559" t="str">
        <f>HYPERLINK("http://www.ncbi.nlm.nih.gov/Taxonomy/Browser/wwwtax.cgi?mode=Info&amp;id=8049&amp;lvl=3&amp;lin=f&amp;keep=1&amp;srchmode=1&amp;unlock","8049")</f>
        <v>8049</v>
      </c>
      <c r="F559" t="s">
        <v>384</v>
      </c>
      <c r="G559" t="str">
        <f>HYPERLINK("http://www.ncbi.nlm.nih.gov/Taxonomy/Browser/wwwtax.cgi?mode=Info&amp;id=8049&amp;lvl=3&amp;lin=f&amp;keep=1&amp;srchmode=1&amp;unlock","Gadus morhua")</f>
        <v>Gadus morhua</v>
      </c>
      <c r="H559" t="s">
        <v>566</v>
      </c>
      <c r="I559" t="str">
        <f>HYPERLINK("http://www.ncbi.nlm.nih.gov/protein/XP_030217061.1","androgen receptor-like")</f>
        <v>androgen receptor-like</v>
      </c>
      <c r="J559" t="s">
        <v>1327</v>
      </c>
      <c r="K559" t="s">
        <v>20</v>
      </c>
      <c r="L559">
        <v>574</v>
      </c>
      <c r="M559" t="s">
        <v>25</v>
      </c>
      <c r="N559" t="s">
        <v>20</v>
      </c>
      <c r="O559">
        <v>580</v>
      </c>
      <c r="P559" t="s">
        <v>1313</v>
      </c>
      <c r="Q559" t="s">
        <v>20</v>
      </c>
      <c r="R559">
        <v>621</v>
      </c>
      <c r="S559" t="s">
        <v>1314</v>
      </c>
      <c r="T559" t="s">
        <v>20</v>
      </c>
      <c r="U559">
        <v>744</v>
      </c>
      <c r="V559" t="s">
        <v>1315</v>
      </c>
      <c r="W559" t="s">
        <v>20</v>
      </c>
    </row>
    <row r="560" spans="1:23" x14ac:dyDescent="0.25">
      <c r="A560">
        <v>6</v>
      </c>
      <c r="B560" t="s">
        <v>384</v>
      </c>
      <c r="C560" t="str">
        <f>HYPERLINK("http://www.ncbi.nlm.nih.gov/protein/XP_034745283.1","XP_034745283.1")</f>
        <v>XP_034745283.1</v>
      </c>
      <c r="D560">
        <v>45233</v>
      </c>
      <c r="E560" t="str">
        <f>HYPERLINK("http://www.ncbi.nlm.nih.gov/Taxonomy/Browser/wwwtax.cgi?mode=Info&amp;id=417921&amp;lvl=3&amp;lin=f&amp;keep=1&amp;srchmode=1&amp;unlock","417921")</f>
        <v>417921</v>
      </c>
      <c r="F560" t="s">
        <v>384</v>
      </c>
      <c r="G560" t="str">
        <f>HYPERLINK("http://www.ncbi.nlm.nih.gov/Taxonomy/Browser/wwwtax.cgi?mode=Info&amp;id=417921&amp;lvl=3&amp;lin=f&amp;keep=1&amp;srchmode=1&amp;unlock","Etheostoma cragini")</f>
        <v>Etheostoma cragini</v>
      </c>
      <c r="H560" t="s">
        <v>544</v>
      </c>
      <c r="I560" t="str">
        <f>HYPERLINK("http://www.ncbi.nlm.nih.gov/protein/XP_034745283.1","androgen receptor-like isoform X2")</f>
        <v>androgen receptor-like isoform X2</v>
      </c>
      <c r="J560" t="s">
        <v>1327</v>
      </c>
      <c r="K560" t="s">
        <v>20</v>
      </c>
      <c r="L560">
        <v>545</v>
      </c>
      <c r="M560" t="s">
        <v>25</v>
      </c>
      <c r="N560" t="s">
        <v>20</v>
      </c>
      <c r="O560">
        <v>551</v>
      </c>
      <c r="P560" t="s">
        <v>1313</v>
      </c>
      <c r="Q560" t="s">
        <v>20</v>
      </c>
      <c r="R560">
        <v>592</v>
      </c>
      <c r="S560" t="s">
        <v>1314</v>
      </c>
      <c r="T560" t="s">
        <v>20</v>
      </c>
      <c r="U560">
        <v>715</v>
      </c>
      <c r="V560" t="s">
        <v>1315</v>
      </c>
      <c r="W560" t="s">
        <v>20</v>
      </c>
    </row>
    <row r="561" spans="1:23" x14ac:dyDescent="0.25">
      <c r="A561">
        <v>6</v>
      </c>
      <c r="B561" t="s">
        <v>384</v>
      </c>
      <c r="C561" t="str">
        <f>HYPERLINK("http://www.ncbi.nlm.nih.gov/protein/XP_037389456.1","XP_037389456.1")</f>
        <v>XP_037389456.1</v>
      </c>
      <c r="D561">
        <v>50677</v>
      </c>
      <c r="E561" t="str">
        <f>HYPERLINK("http://www.ncbi.nlm.nih.gov/Taxonomy/Browser/wwwtax.cgi?mode=Info&amp;id=42514&amp;lvl=3&amp;lin=f&amp;keep=1&amp;srchmode=1&amp;unlock","42514")</f>
        <v>42514</v>
      </c>
      <c r="F561" t="s">
        <v>384</v>
      </c>
      <c r="G561" t="str">
        <f>HYPERLINK("http://www.ncbi.nlm.nih.gov/Taxonomy/Browser/wwwtax.cgi?mode=Info&amp;id=42514&amp;lvl=3&amp;lin=f&amp;keep=1&amp;srchmode=1&amp;unlock","Pygocentrus nattereri")</f>
        <v>Pygocentrus nattereri</v>
      </c>
      <c r="H561" t="s">
        <v>510</v>
      </c>
      <c r="I561" t="str">
        <f>HYPERLINK("http://www.ncbi.nlm.nih.gov/protein/XP_037389456.1","androgen receptor isoform X1")</f>
        <v>androgen receptor isoform X1</v>
      </c>
      <c r="J561" t="s">
        <v>1327</v>
      </c>
      <c r="K561" t="s">
        <v>20</v>
      </c>
      <c r="L561">
        <v>561</v>
      </c>
      <c r="M561" t="s">
        <v>25</v>
      </c>
      <c r="N561" t="s">
        <v>20</v>
      </c>
      <c r="O561">
        <v>567</v>
      </c>
      <c r="P561" t="s">
        <v>1313</v>
      </c>
      <c r="Q561" t="s">
        <v>20</v>
      </c>
      <c r="R561">
        <v>608</v>
      </c>
      <c r="S561" t="s">
        <v>1314</v>
      </c>
      <c r="T561" t="s">
        <v>20</v>
      </c>
      <c r="U561">
        <v>731</v>
      </c>
      <c r="V561" t="s">
        <v>1315</v>
      </c>
      <c r="W561" t="s">
        <v>20</v>
      </c>
    </row>
    <row r="562" spans="1:23" x14ac:dyDescent="0.25">
      <c r="A562">
        <v>6</v>
      </c>
      <c r="B562" t="s">
        <v>384</v>
      </c>
      <c r="C562" t="str">
        <f>HYPERLINK("http://www.ncbi.nlm.nih.gov/protein/XP_008425737.1","XP_008425737.1")</f>
        <v>XP_008425737.1</v>
      </c>
      <c r="D562">
        <v>45406</v>
      </c>
      <c r="E562" t="str">
        <f>HYPERLINK("http://www.ncbi.nlm.nih.gov/Taxonomy/Browser/wwwtax.cgi?mode=Info&amp;id=8081&amp;lvl=3&amp;lin=f&amp;keep=1&amp;srchmode=1&amp;unlock","8081")</f>
        <v>8081</v>
      </c>
      <c r="F562" t="s">
        <v>384</v>
      </c>
      <c r="G562" t="str">
        <f>HYPERLINK("http://www.ncbi.nlm.nih.gov/Taxonomy/Browser/wwwtax.cgi?mode=Info&amp;id=8081&amp;lvl=3&amp;lin=f&amp;keep=1&amp;srchmode=1&amp;unlock","Poecilia reticulata")</f>
        <v>Poecilia reticulata</v>
      </c>
      <c r="H562" t="s">
        <v>631</v>
      </c>
      <c r="I562" t="str">
        <f>HYPERLINK("http://www.ncbi.nlm.nih.gov/protein/XP_008425737.1","PREDICTED: androgen receptor-like isoform X1")</f>
        <v>PREDICTED: androgen receptor-like isoform X1</v>
      </c>
      <c r="J562" t="s">
        <v>1327</v>
      </c>
      <c r="K562" t="s">
        <v>20</v>
      </c>
      <c r="L562">
        <v>544</v>
      </c>
      <c r="M562" t="s">
        <v>25</v>
      </c>
      <c r="N562" t="s">
        <v>20</v>
      </c>
      <c r="O562">
        <v>550</v>
      </c>
      <c r="P562" t="s">
        <v>1313</v>
      </c>
      <c r="Q562" t="s">
        <v>20</v>
      </c>
      <c r="R562">
        <v>591</v>
      </c>
      <c r="S562" t="s">
        <v>1314</v>
      </c>
      <c r="T562" t="s">
        <v>20</v>
      </c>
      <c r="U562">
        <v>714</v>
      </c>
      <c r="V562" t="s">
        <v>1315</v>
      </c>
      <c r="W562" t="s">
        <v>20</v>
      </c>
    </row>
    <row r="563" spans="1:23" x14ac:dyDescent="0.25">
      <c r="A563">
        <v>6</v>
      </c>
      <c r="B563" t="s">
        <v>384</v>
      </c>
      <c r="C563" t="str">
        <f>HYPERLINK("http://www.ncbi.nlm.nih.gov/protein/XP_038564523.1","XP_038564523.1")</f>
        <v>XP_038564523.1</v>
      </c>
      <c r="D563">
        <v>48256</v>
      </c>
      <c r="E563" t="str">
        <f>HYPERLINK("http://www.ncbi.nlm.nih.gov/Taxonomy/Browser/wwwtax.cgi?mode=Info&amp;id=27706&amp;lvl=3&amp;lin=f&amp;keep=1&amp;srchmode=1&amp;unlock","27706")</f>
        <v>27706</v>
      </c>
      <c r="F563" t="s">
        <v>384</v>
      </c>
      <c r="G563" t="str">
        <f>HYPERLINK("http://www.ncbi.nlm.nih.gov/Taxonomy/Browser/wwwtax.cgi?mode=Info&amp;id=27706&amp;lvl=3&amp;lin=f&amp;keep=1&amp;srchmode=1&amp;unlock","Micropterus salmoides")</f>
        <v>Micropterus salmoides</v>
      </c>
      <c r="H563" t="s">
        <v>541</v>
      </c>
      <c r="I563" t="str">
        <f>HYPERLINK("http://www.ncbi.nlm.nih.gov/protein/XP_038564523.1","androgen receptor-like isoform X5")</f>
        <v>androgen receptor-like isoform X5</v>
      </c>
      <c r="J563" t="s">
        <v>1327</v>
      </c>
      <c r="K563" t="s">
        <v>20</v>
      </c>
      <c r="L563">
        <v>545</v>
      </c>
      <c r="M563" t="s">
        <v>25</v>
      </c>
      <c r="N563" t="s">
        <v>20</v>
      </c>
      <c r="O563">
        <v>551</v>
      </c>
      <c r="P563" t="s">
        <v>1313</v>
      </c>
      <c r="Q563" t="s">
        <v>20</v>
      </c>
      <c r="R563">
        <v>592</v>
      </c>
      <c r="S563" t="s">
        <v>1314</v>
      </c>
      <c r="T563" t="s">
        <v>20</v>
      </c>
      <c r="U563">
        <v>715</v>
      </c>
      <c r="V563" t="s">
        <v>1315</v>
      </c>
      <c r="W563" t="s">
        <v>20</v>
      </c>
    </row>
    <row r="564" spans="1:23" x14ac:dyDescent="0.25">
      <c r="A564">
        <v>6</v>
      </c>
      <c r="B564" t="s">
        <v>384</v>
      </c>
      <c r="C564" t="str">
        <f>HYPERLINK("http://www.ncbi.nlm.nih.gov/protein/ADQ43815.1","ADQ43815.1")</f>
        <v>ADQ43815.1</v>
      </c>
      <c r="D564">
        <v>1801</v>
      </c>
      <c r="E564" t="str">
        <f>HYPERLINK("http://www.ncbi.nlm.nih.gov/Taxonomy/Browser/wwwtax.cgi?mode=Info&amp;id=94232&amp;lvl=3&amp;lin=f&amp;keep=1&amp;srchmode=1&amp;unlock","94232")</f>
        <v>94232</v>
      </c>
      <c r="F564" t="s">
        <v>384</v>
      </c>
      <c r="G564" t="str">
        <f>HYPERLINK("http://www.ncbi.nlm.nih.gov/Taxonomy/Browser/wwwtax.cgi?mode=Info&amp;id=94232&amp;lvl=3&amp;lin=f&amp;keep=1&amp;srchmode=1&amp;unlock","Epinephelus coioides")</f>
        <v>Epinephelus coioides</v>
      </c>
      <c r="H564" t="s">
        <v>558</v>
      </c>
      <c r="I564" t="str">
        <f>HYPERLINK("http://www.ncbi.nlm.nih.gov/protein/ADQ43815.1","androgen receptor")</f>
        <v>androgen receptor</v>
      </c>
      <c r="J564" t="s">
        <v>1327</v>
      </c>
      <c r="K564" t="s">
        <v>20</v>
      </c>
      <c r="L564">
        <v>546</v>
      </c>
      <c r="M564" t="s">
        <v>25</v>
      </c>
      <c r="N564" t="s">
        <v>20</v>
      </c>
      <c r="O564">
        <v>552</v>
      </c>
      <c r="P564" t="s">
        <v>1313</v>
      </c>
      <c r="Q564" t="s">
        <v>20</v>
      </c>
      <c r="R564">
        <v>593</v>
      </c>
      <c r="S564" t="s">
        <v>1314</v>
      </c>
      <c r="T564" t="s">
        <v>20</v>
      </c>
      <c r="U564">
        <v>716</v>
      </c>
      <c r="V564" t="s">
        <v>1315</v>
      </c>
      <c r="W564" t="s">
        <v>20</v>
      </c>
    </row>
    <row r="565" spans="1:23" x14ac:dyDescent="0.25">
      <c r="A565">
        <v>6</v>
      </c>
      <c r="B565" t="s">
        <v>384</v>
      </c>
      <c r="C565" t="str">
        <f>HYPERLINK("http://www.ncbi.nlm.nih.gov/protein/XP_029132506.1","XP_029132506.1")</f>
        <v>XP_029132506.1</v>
      </c>
      <c r="D565">
        <v>36766</v>
      </c>
      <c r="E565" t="str">
        <f>HYPERLINK("http://www.ncbi.nlm.nih.gov/Taxonomy/Browser/wwwtax.cgi?mode=Info&amp;id=56723&amp;lvl=3&amp;lin=f&amp;keep=1&amp;srchmode=1&amp;unlock","56723")</f>
        <v>56723</v>
      </c>
      <c r="F565" t="s">
        <v>384</v>
      </c>
      <c r="G565" t="str">
        <f>HYPERLINK("http://www.ncbi.nlm.nih.gov/Taxonomy/Browser/wwwtax.cgi?mode=Info&amp;id=56723&amp;lvl=3&amp;lin=f&amp;keep=1&amp;srchmode=1&amp;unlock","Labrus bergylta")</f>
        <v>Labrus bergylta</v>
      </c>
      <c r="H565" t="s">
        <v>623</v>
      </c>
      <c r="I565" t="str">
        <f>HYPERLINK("http://www.ncbi.nlm.nih.gov/protein/XP_029132506.1","androgen receptor-like")</f>
        <v>androgen receptor-like</v>
      </c>
      <c r="J565" t="s">
        <v>1327</v>
      </c>
      <c r="K565" t="s">
        <v>20</v>
      </c>
      <c r="L565">
        <v>535</v>
      </c>
      <c r="M565" t="s">
        <v>25</v>
      </c>
      <c r="N565" t="s">
        <v>20</v>
      </c>
      <c r="O565">
        <v>541</v>
      </c>
      <c r="P565" t="s">
        <v>1313</v>
      </c>
      <c r="Q565" t="s">
        <v>20</v>
      </c>
      <c r="R565">
        <v>582</v>
      </c>
      <c r="S565" t="s">
        <v>1314</v>
      </c>
      <c r="T565" t="s">
        <v>20</v>
      </c>
      <c r="U565">
        <v>705</v>
      </c>
      <c r="V565" t="s">
        <v>1315</v>
      </c>
      <c r="W565" t="s">
        <v>20</v>
      </c>
    </row>
    <row r="566" spans="1:23" x14ac:dyDescent="0.25">
      <c r="A566">
        <v>6</v>
      </c>
      <c r="B566" t="s">
        <v>384</v>
      </c>
      <c r="C566" t="str">
        <f>HYPERLINK("http://www.ncbi.nlm.nih.gov/protein/XP_033465903.1","XP_033465903.1")</f>
        <v>XP_033465903.1</v>
      </c>
      <c r="D566">
        <v>43073</v>
      </c>
      <c r="E566" t="str">
        <f>HYPERLINK("http://www.ncbi.nlm.nih.gov/Taxonomy/Browser/wwwtax.cgi?mode=Info&amp;id=310571&amp;lvl=3&amp;lin=f&amp;keep=1&amp;srchmode=1&amp;unlock","310571")</f>
        <v>310571</v>
      </c>
      <c r="F566" t="s">
        <v>384</v>
      </c>
      <c r="G566" t="str">
        <f>HYPERLINK("http://www.ncbi.nlm.nih.gov/Taxonomy/Browser/wwwtax.cgi?mode=Info&amp;id=310571&amp;lvl=3&amp;lin=f&amp;keep=1&amp;srchmode=1&amp;unlock","Epinephelus lanceolatus")</f>
        <v>Epinephelus lanceolatus</v>
      </c>
      <c r="H566" t="s">
        <v>515</v>
      </c>
      <c r="I566" t="str">
        <f>HYPERLINK("http://www.ncbi.nlm.nih.gov/protein/XP_033465903.1","androgen receptor-like")</f>
        <v>androgen receptor-like</v>
      </c>
      <c r="J566" t="s">
        <v>1327</v>
      </c>
      <c r="K566" t="s">
        <v>20</v>
      </c>
      <c r="L566">
        <v>546</v>
      </c>
      <c r="M566" t="s">
        <v>25</v>
      </c>
      <c r="N566" t="s">
        <v>20</v>
      </c>
      <c r="O566">
        <v>552</v>
      </c>
      <c r="P566" t="s">
        <v>1313</v>
      </c>
      <c r="Q566" t="s">
        <v>20</v>
      </c>
      <c r="R566">
        <v>593</v>
      </c>
      <c r="S566" t="s">
        <v>1314</v>
      </c>
      <c r="T566" t="s">
        <v>20</v>
      </c>
      <c r="U566">
        <v>716</v>
      </c>
      <c r="V566" t="s">
        <v>1315</v>
      </c>
      <c r="W566" t="s">
        <v>20</v>
      </c>
    </row>
    <row r="567" spans="1:23" x14ac:dyDescent="0.25">
      <c r="A567">
        <v>6</v>
      </c>
      <c r="B567" t="s">
        <v>384</v>
      </c>
      <c r="C567" t="str">
        <f>HYPERLINK("http://www.ncbi.nlm.nih.gov/protein/XP_026184784.1","XP_026184784.1")</f>
        <v>XP_026184784.1</v>
      </c>
      <c r="D567">
        <v>42451</v>
      </c>
      <c r="E567" t="str">
        <f>HYPERLINK("http://www.ncbi.nlm.nih.gov/Taxonomy/Browser/wwwtax.cgi?mode=Info&amp;id=205130&amp;lvl=3&amp;lin=f&amp;keep=1&amp;srchmode=1&amp;unlock","205130")</f>
        <v>205130</v>
      </c>
      <c r="F567" t="s">
        <v>384</v>
      </c>
      <c r="G567" t="str">
        <f>HYPERLINK("http://www.ncbi.nlm.nih.gov/Taxonomy/Browser/wwwtax.cgi?mode=Info&amp;id=205130&amp;lvl=3&amp;lin=f&amp;keep=1&amp;srchmode=1&amp;unlock","Mastacembelus armatus")</f>
        <v>Mastacembelus armatus</v>
      </c>
      <c r="H567" t="s">
        <v>540</v>
      </c>
      <c r="I567" t="str">
        <f>HYPERLINK("http://www.ncbi.nlm.nih.gov/protein/XP_026184784.1","androgen receptor-like")</f>
        <v>androgen receptor-like</v>
      </c>
      <c r="J567" t="s">
        <v>1327</v>
      </c>
      <c r="K567" t="s">
        <v>20</v>
      </c>
      <c r="L567">
        <v>526</v>
      </c>
      <c r="M567" t="s">
        <v>25</v>
      </c>
      <c r="N567" t="s">
        <v>20</v>
      </c>
      <c r="O567">
        <v>532</v>
      </c>
      <c r="P567" t="s">
        <v>1313</v>
      </c>
      <c r="Q567" t="s">
        <v>20</v>
      </c>
      <c r="R567">
        <v>573</v>
      </c>
      <c r="S567" t="s">
        <v>1314</v>
      </c>
      <c r="T567" t="s">
        <v>20</v>
      </c>
      <c r="U567">
        <v>696</v>
      </c>
      <c r="V567" t="s">
        <v>1315</v>
      </c>
      <c r="W567" t="s">
        <v>20</v>
      </c>
    </row>
    <row r="568" spans="1:23" x14ac:dyDescent="0.25">
      <c r="A568">
        <v>6</v>
      </c>
      <c r="B568" t="s">
        <v>384</v>
      </c>
      <c r="C568" t="str">
        <f>HYPERLINK("http://www.ncbi.nlm.nih.gov/protein/XP_024866192.1","XP_024866192.1")</f>
        <v>XP_024866192.1</v>
      </c>
      <c r="D568">
        <v>43416</v>
      </c>
      <c r="E568" t="str">
        <f>HYPERLINK("http://www.ncbi.nlm.nih.gov/Taxonomy/Browser/wwwtax.cgi?mode=Info&amp;id=37003&amp;lvl=3&amp;lin=f&amp;keep=1&amp;srchmode=1&amp;unlock","37003")</f>
        <v>37003</v>
      </c>
      <c r="F568" t="s">
        <v>384</v>
      </c>
      <c r="G568" t="str">
        <f>HYPERLINK("http://www.ncbi.nlm.nih.gov/Taxonomy/Browser/wwwtax.cgi?mode=Info&amp;id=37003&amp;lvl=3&amp;lin=f&amp;keep=1&amp;srchmode=1&amp;unlock","Kryptolebias marmoratus")</f>
        <v>Kryptolebias marmoratus</v>
      </c>
      <c r="H568" t="s">
        <v>583</v>
      </c>
      <c r="I568" t="str">
        <f>HYPERLINK("http://www.ncbi.nlm.nih.gov/protein/XP_024866192.1","androgen receptor isoform X1")</f>
        <v>androgen receptor isoform X1</v>
      </c>
      <c r="J568" t="s">
        <v>1327</v>
      </c>
      <c r="K568" t="s">
        <v>20</v>
      </c>
      <c r="L568">
        <v>529</v>
      </c>
      <c r="M568" t="s">
        <v>25</v>
      </c>
      <c r="N568" t="s">
        <v>20</v>
      </c>
      <c r="O568">
        <v>535</v>
      </c>
      <c r="P568" t="s">
        <v>1313</v>
      </c>
      <c r="Q568" t="s">
        <v>20</v>
      </c>
      <c r="R568">
        <v>576</v>
      </c>
      <c r="S568" t="s">
        <v>1314</v>
      </c>
      <c r="T568" t="s">
        <v>20</v>
      </c>
      <c r="U568">
        <v>699</v>
      </c>
      <c r="V568" t="s">
        <v>1315</v>
      </c>
      <c r="W568" t="s">
        <v>20</v>
      </c>
    </row>
    <row r="569" spans="1:23" x14ac:dyDescent="0.25">
      <c r="A569">
        <v>6</v>
      </c>
      <c r="B569" t="s">
        <v>384</v>
      </c>
      <c r="C569" t="str">
        <f>HYPERLINK("http://www.ncbi.nlm.nih.gov/protein/XP_020454405.1","XP_020454405.1")</f>
        <v>XP_020454405.1</v>
      </c>
      <c r="D569">
        <v>40892</v>
      </c>
      <c r="E569" t="str">
        <f>HYPERLINK("http://www.ncbi.nlm.nih.gov/Taxonomy/Browser/wwwtax.cgi?mode=Info&amp;id=43700&amp;lvl=3&amp;lin=f&amp;keep=1&amp;srchmode=1&amp;unlock","43700")</f>
        <v>43700</v>
      </c>
      <c r="F569" t="s">
        <v>384</v>
      </c>
      <c r="G569" t="str">
        <f>HYPERLINK("http://www.ncbi.nlm.nih.gov/Taxonomy/Browser/wwwtax.cgi?mode=Info&amp;id=43700&amp;lvl=3&amp;lin=f&amp;keep=1&amp;srchmode=1&amp;unlock","Monopterus albus")</f>
        <v>Monopterus albus</v>
      </c>
      <c r="H569" t="s">
        <v>547</v>
      </c>
      <c r="I569" t="str">
        <f>HYPERLINK("http://www.ncbi.nlm.nih.gov/protein/XP_020454405.1","androgen receptor")</f>
        <v>androgen receptor</v>
      </c>
      <c r="J569" t="s">
        <v>1327</v>
      </c>
      <c r="K569" t="s">
        <v>20</v>
      </c>
      <c r="L569">
        <v>533</v>
      </c>
      <c r="M569" t="s">
        <v>25</v>
      </c>
      <c r="N569" t="s">
        <v>20</v>
      </c>
      <c r="O569">
        <v>539</v>
      </c>
      <c r="P569" t="s">
        <v>1313</v>
      </c>
      <c r="Q569" t="s">
        <v>20</v>
      </c>
      <c r="R569">
        <v>580</v>
      </c>
      <c r="S569" t="s">
        <v>1314</v>
      </c>
      <c r="T569" t="s">
        <v>20</v>
      </c>
      <c r="U569">
        <v>703</v>
      </c>
      <c r="V569" t="s">
        <v>1315</v>
      </c>
      <c r="W569" t="s">
        <v>20</v>
      </c>
    </row>
    <row r="570" spans="1:23" x14ac:dyDescent="0.25">
      <c r="A570">
        <v>6</v>
      </c>
      <c r="B570" t="s">
        <v>384</v>
      </c>
      <c r="C570" t="str">
        <f>HYPERLINK("http://www.ncbi.nlm.nih.gov/protein/XP_039870565.1","XP_039870565.1")</f>
        <v>XP_039870565.1</v>
      </c>
      <c r="D570">
        <v>53697</v>
      </c>
      <c r="E570" t="str">
        <f>HYPERLINK("http://www.ncbi.nlm.nih.gov/Taxonomy/Browser/wwwtax.cgi?mode=Info&amp;id=43689&amp;lvl=3&amp;lin=f&amp;keep=1&amp;srchmode=1&amp;unlock","43689")</f>
        <v>43689</v>
      </c>
      <c r="F570" t="s">
        <v>384</v>
      </c>
      <c r="G570" t="str">
        <f>HYPERLINK("http://www.ncbi.nlm.nih.gov/Taxonomy/Browser/wwwtax.cgi?mode=Info&amp;id=43689&amp;lvl=3&amp;lin=f&amp;keep=1&amp;srchmode=1&amp;unlock","Simochromis diagramma")</f>
        <v>Simochromis diagramma</v>
      </c>
      <c r="H570" t="s">
        <v>637</v>
      </c>
      <c r="I570" t="str">
        <f>HYPERLINK("http://www.ncbi.nlm.nih.gov/protein/XP_039870565.1","androgen receptor-like")</f>
        <v>androgen receptor-like</v>
      </c>
      <c r="J570" t="s">
        <v>1327</v>
      </c>
      <c r="K570" t="s">
        <v>20</v>
      </c>
      <c r="L570">
        <v>547</v>
      </c>
      <c r="M570" t="s">
        <v>25</v>
      </c>
      <c r="N570" t="s">
        <v>20</v>
      </c>
      <c r="O570">
        <v>553</v>
      </c>
      <c r="P570" t="s">
        <v>1313</v>
      </c>
      <c r="Q570" t="s">
        <v>20</v>
      </c>
      <c r="R570">
        <v>594</v>
      </c>
      <c r="S570" t="s">
        <v>1314</v>
      </c>
      <c r="T570" t="s">
        <v>20</v>
      </c>
      <c r="U570">
        <v>717</v>
      </c>
      <c r="V570" t="s">
        <v>1315</v>
      </c>
      <c r="W570" t="s">
        <v>20</v>
      </c>
    </row>
    <row r="571" spans="1:23" x14ac:dyDescent="0.25">
      <c r="A571">
        <v>6</v>
      </c>
      <c r="B571" t="s">
        <v>384</v>
      </c>
      <c r="C571" t="str">
        <f>HYPERLINK("http://www.ncbi.nlm.nih.gov/protein/XP_038144388.1","XP_038144388.1")</f>
        <v>XP_038144388.1</v>
      </c>
      <c r="D571">
        <v>42390</v>
      </c>
      <c r="E571" t="str">
        <f>HYPERLINK("http://www.ncbi.nlm.nih.gov/Taxonomy/Browser/wwwtax.cgi?mode=Info&amp;id=77115&amp;lvl=3&amp;lin=f&amp;keep=1&amp;srchmode=1&amp;unlock","77115")</f>
        <v>77115</v>
      </c>
      <c r="F571" t="s">
        <v>384</v>
      </c>
      <c r="G571" t="str">
        <f>HYPERLINK("http://www.ncbi.nlm.nih.gov/Taxonomy/Browser/wwwtax.cgi?mode=Info&amp;id=77115&amp;lvl=3&amp;lin=f&amp;keep=1&amp;srchmode=1&amp;unlock","Cyprinodon tularosa")</f>
        <v>Cyprinodon tularosa</v>
      </c>
      <c r="H571" t="s">
        <v>597</v>
      </c>
      <c r="I571" t="str">
        <f>HYPERLINK("http://www.ncbi.nlm.nih.gov/protein/XP_038144388.1","androgen receptor-like")</f>
        <v>androgen receptor-like</v>
      </c>
      <c r="J571" t="s">
        <v>1327</v>
      </c>
      <c r="K571" t="s">
        <v>20</v>
      </c>
      <c r="L571">
        <v>526</v>
      </c>
      <c r="M571" t="s">
        <v>25</v>
      </c>
      <c r="N571" t="s">
        <v>20</v>
      </c>
      <c r="O571">
        <v>532</v>
      </c>
      <c r="P571" t="s">
        <v>1313</v>
      </c>
      <c r="Q571" t="s">
        <v>20</v>
      </c>
      <c r="R571">
        <v>573</v>
      </c>
      <c r="S571" t="s">
        <v>1314</v>
      </c>
      <c r="T571" t="s">
        <v>20</v>
      </c>
      <c r="U571">
        <v>696</v>
      </c>
      <c r="V571" t="s">
        <v>1315</v>
      </c>
      <c r="W571" t="s">
        <v>20</v>
      </c>
    </row>
    <row r="572" spans="1:23" x14ac:dyDescent="0.25">
      <c r="A572">
        <v>6</v>
      </c>
      <c r="B572" t="s">
        <v>384</v>
      </c>
      <c r="C572" t="str">
        <f>HYPERLINK("http://www.ncbi.nlm.nih.gov/protein/NP_001273260.1","NP_001273260.1")</f>
        <v>NP_001273260.1</v>
      </c>
      <c r="D572">
        <v>45053</v>
      </c>
      <c r="E572" t="str">
        <f>HYPERLINK("http://www.ncbi.nlm.nih.gov/Taxonomy/Browser/wwwtax.cgi?mode=Info&amp;id=8153&amp;lvl=3&amp;lin=f&amp;keep=1&amp;srchmode=1&amp;unlock","8153")</f>
        <v>8153</v>
      </c>
      <c r="F572" t="s">
        <v>384</v>
      </c>
      <c r="G572" t="str">
        <f>HYPERLINK("http://www.ncbi.nlm.nih.gov/Taxonomy/Browser/wwwtax.cgi?mode=Info&amp;id=8153&amp;lvl=3&amp;lin=f&amp;keep=1&amp;srchmode=1&amp;unlock","Haplochromis burtoni")</f>
        <v>Haplochromis burtoni</v>
      </c>
      <c r="H572" t="s">
        <v>639</v>
      </c>
      <c r="I572" t="str">
        <f>HYPERLINK("http://www.ncbi.nlm.nih.gov/protein/NP_001273260.1","androgen receptor-like")</f>
        <v>androgen receptor-like</v>
      </c>
      <c r="J572" t="s">
        <v>1327</v>
      </c>
      <c r="K572" t="s">
        <v>20</v>
      </c>
      <c r="L572">
        <v>550</v>
      </c>
      <c r="M572" t="s">
        <v>25</v>
      </c>
      <c r="N572" t="s">
        <v>20</v>
      </c>
      <c r="O572">
        <v>556</v>
      </c>
      <c r="P572" t="s">
        <v>1313</v>
      </c>
      <c r="Q572" t="s">
        <v>20</v>
      </c>
      <c r="R572">
        <v>597</v>
      </c>
      <c r="S572" t="s">
        <v>1314</v>
      </c>
      <c r="T572" t="s">
        <v>20</v>
      </c>
      <c r="U572">
        <v>720</v>
      </c>
      <c r="V572" t="s">
        <v>1315</v>
      </c>
      <c r="W572" t="s">
        <v>20</v>
      </c>
    </row>
    <row r="573" spans="1:23" x14ac:dyDescent="0.25">
      <c r="A573">
        <v>6</v>
      </c>
      <c r="B573" t="s">
        <v>384</v>
      </c>
      <c r="C573" t="str">
        <f>HYPERLINK("http://www.ncbi.nlm.nih.gov/protein/XP_015239533.1","XP_015239533.1")</f>
        <v>XP_015239533.1</v>
      </c>
      <c r="D573">
        <v>36661</v>
      </c>
      <c r="E573" t="str">
        <f>HYPERLINK("http://www.ncbi.nlm.nih.gov/Taxonomy/Browser/wwwtax.cgi?mode=Info&amp;id=28743&amp;lvl=3&amp;lin=f&amp;keep=1&amp;srchmode=1&amp;unlock","28743")</f>
        <v>28743</v>
      </c>
      <c r="F573" t="s">
        <v>384</v>
      </c>
      <c r="G573" t="str">
        <f>HYPERLINK("http://www.ncbi.nlm.nih.gov/Taxonomy/Browser/wwwtax.cgi?mode=Info&amp;id=28743&amp;lvl=3&amp;lin=f&amp;keep=1&amp;srchmode=1&amp;unlock","Cyprinodon variegatus")</f>
        <v>Cyprinodon variegatus</v>
      </c>
      <c r="H573" t="s">
        <v>596</v>
      </c>
      <c r="I573" t="str">
        <f>HYPERLINK("http://www.ncbi.nlm.nih.gov/protein/XP_015239533.1","PREDICTED: androgen receptor-like")</f>
        <v>PREDICTED: androgen receptor-like</v>
      </c>
      <c r="J573" t="s">
        <v>1327</v>
      </c>
      <c r="K573" t="s">
        <v>20</v>
      </c>
      <c r="L573">
        <v>526</v>
      </c>
      <c r="M573" t="s">
        <v>25</v>
      </c>
      <c r="N573" t="s">
        <v>20</v>
      </c>
      <c r="O573">
        <v>532</v>
      </c>
      <c r="P573" t="s">
        <v>1313</v>
      </c>
      <c r="Q573" t="s">
        <v>20</v>
      </c>
      <c r="R573">
        <v>573</v>
      </c>
      <c r="S573" t="s">
        <v>1314</v>
      </c>
      <c r="T573" t="s">
        <v>20</v>
      </c>
      <c r="U573">
        <v>696</v>
      </c>
      <c r="V573" t="s">
        <v>1315</v>
      </c>
      <c r="W573" t="s">
        <v>20</v>
      </c>
    </row>
    <row r="574" spans="1:23" x14ac:dyDescent="0.25">
      <c r="A574">
        <v>6</v>
      </c>
      <c r="B574" t="s">
        <v>384</v>
      </c>
      <c r="C574" t="str">
        <f>HYPERLINK("http://www.ncbi.nlm.nih.gov/protein/XP_029956536.1","XP_029956536.1")</f>
        <v>XP_029956536.1</v>
      </c>
      <c r="D574">
        <v>39284</v>
      </c>
      <c r="E574" t="str">
        <f>HYPERLINK("http://www.ncbi.nlm.nih.gov/Taxonomy/Browser/wwwtax.cgi?mode=Info&amp;id=181472&amp;lvl=3&amp;lin=f&amp;keep=1&amp;srchmode=1&amp;unlock","181472")</f>
        <v>181472</v>
      </c>
      <c r="F574" t="s">
        <v>384</v>
      </c>
      <c r="G574" t="str">
        <f>HYPERLINK("http://www.ncbi.nlm.nih.gov/Taxonomy/Browser/wwwtax.cgi?mode=Info&amp;id=181472&amp;lvl=3&amp;lin=f&amp;keep=1&amp;srchmode=1&amp;unlock","Salarias fasciatus")</f>
        <v>Salarias fasciatus</v>
      </c>
      <c r="H574" t="s">
        <v>534</v>
      </c>
      <c r="I574" t="str">
        <f>HYPERLINK("http://www.ncbi.nlm.nih.gov/protein/XP_029956536.1","androgen receptor-like")</f>
        <v>androgen receptor-like</v>
      </c>
      <c r="J574" t="s">
        <v>1327</v>
      </c>
      <c r="K574" t="s">
        <v>20</v>
      </c>
      <c r="L574">
        <v>550</v>
      </c>
      <c r="M574" t="s">
        <v>25</v>
      </c>
      <c r="N574" t="s">
        <v>20</v>
      </c>
      <c r="O574">
        <v>556</v>
      </c>
      <c r="P574" t="s">
        <v>1313</v>
      </c>
      <c r="Q574" t="s">
        <v>20</v>
      </c>
      <c r="R574">
        <v>597</v>
      </c>
      <c r="S574" t="s">
        <v>1314</v>
      </c>
      <c r="T574" t="s">
        <v>20</v>
      </c>
      <c r="U574">
        <v>720</v>
      </c>
      <c r="V574" t="s">
        <v>1315</v>
      </c>
      <c r="W574" t="s">
        <v>20</v>
      </c>
    </row>
    <row r="575" spans="1:23" x14ac:dyDescent="0.25">
      <c r="A575">
        <v>6</v>
      </c>
      <c r="B575" t="s">
        <v>384</v>
      </c>
      <c r="C575" t="str">
        <f>HYPERLINK("http://www.ncbi.nlm.nih.gov/protein/XP_006799593.1","XP_006799593.1")</f>
        <v>XP_006799593.1</v>
      </c>
      <c r="D575">
        <v>36437</v>
      </c>
      <c r="E575" t="str">
        <f>HYPERLINK("http://www.ncbi.nlm.nih.gov/Taxonomy/Browser/wwwtax.cgi?mode=Info&amp;id=32507&amp;lvl=3&amp;lin=f&amp;keep=1&amp;srchmode=1&amp;unlock","32507")</f>
        <v>32507</v>
      </c>
      <c r="F575" t="s">
        <v>384</v>
      </c>
      <c r="G575" t="str">
        <f>HYPERLINK("http://www.ncbi.nlm.nih.gov/Taxonomy/Browser/wwwtax.cgi?mode=Info&amp;id=32507&amp;lvl=3&amp;lin=f&amp;keep=1&amp;srchmode=1&amp;unlock","Neolamprologus brichardi")</f>
        <v>Neolamprologus brichardi</v>
      </c>
      <c r="H575" t="s">
        <v>635</v>
      </c>
      <c r="I575" t="str">
        <f>HYPERLINK("http://www.ncbi.nlm.nih.gov/protein/XP_006799593.1","androgen receptor-like")</f>
        <v>androgen receptor-like</v>
      </c>
      <c r="J575" t="s">
        <v>1327</v>
      </c>
      <c r="K575" t="s">
        <v>20</v>
      </c>
      <c r="L575">
        <v>550</v>
      </c>
      <c r="M575" t="s">
        <v>25</v>
      </c>
      <c r="N575" t="s">
        <v>20</v>
      </c>
      <c r="O575">
        <v>556</v>
      </c>
      <c r="P575" t="s">
        <v>1313</v>
      </c>
      <c r="Q575" t="s">
        <v>20</v>
      </c>
      <c r="R575">
        <v>597</v>
      </c>
      <c r="S575" t="s">
        <v>1314</v>
      </c>
      <c r="T575" t="s">
        <v>20</v>
      </c>
      <c r="U575">
        <v>720</v>
      </c>
      <c r="V575" t="s">
        <v>1315</v>
      </c>
      <c r="W575" t="s">
        <v>20</v>
      </c>
    </row>
    <row r="576" spans="1:23" x14ac:dyDescent="0.25">
      <c r="A576">
        <v>6</v>
      </c>
      <c r="B576" t="s">
        <v>384</v>
      </c>
      <c r="C576" t="str">
        <f>HYPERLINK("http://www.ncbi.nlm.nih.gov/protein/XP_033969271.1","XP_033969271.1")</f>
        <v>XP_033969271.1</v>
      </c>
      <c r="D576">
        <v>41297</v>
      </c>
      <c r="E576" t="str">
        <f>HYPERLINK("http://www.ncbi.nlm.nih.gov/Taxonomy/Browser/wwwtax.cgi?mode=Info&amp;id=40690&amp;lvl=3&amp;lin=f&amp;keep=1&amp;srchmode=1&amp;unlock","40690")</f>
        <v>40690</v>
      </c>
      <c r="F576" t="s">
        <v>384</v>
      </c>
      <c r="G576" t="str">
        <f>HYPERLINK("http://www.ncbi.nlm.nih.gov/Taxonomy/Browser/wwwtax.cgi?mode=Info&amp;id=40690&amp;lvl=3&amp;lin=f&amp;keep=1&amp;srchmode=1&amp;unlock","Trematomus bernacchii")</f>
        <v>Trematomus bernacchii</v>
      </c>
      <c r="H576" t="s">
        <v>603</v>
      </c>
      <c r="I576" t="str">
        <f>HYPERLINK("http://www.ncbi.nlm.nih.gov/protein/XP_033969271.1","androgen receptor isoform X2")</f>
        <v>androgen receptor isoform X2</v>
      </c>
      <c r="J576" t="s">
        <v>1327</v>
      </c>
      <c r="K576" t="s">
        <v>20</v>
      </c>
      <c r="L576">
        <v>517</v>
      </c>
      <c r="M576" t="s">
        <v>25</v>
      </c>
      <c r="N576" t="s">
        <v>20</v>
      </c>
      <c r="O576">
        <v>523</v>
      </c>
      <c r="P576" t="s">
        <v>1313</v>
      </c>
      <c r="Q576" t="s">
        <v>20</v>
      </c>
      <c r="R576">
        <v>564</v>
      </c>
      <c r="S576" t="s">
        <v>1314</v>
      </c>
      <c r="T576" t="s">
        <v>20</v>
      </c>
      <c r="U576">
        <v>687</v>
      </c>
      <c r="V576" t="s">
        <v>1315</v>
      </c>
      <c r="W576" t="s">
        <v>20</v>
      </c>
    </row>
    <row r="577" spans="1:23" x14ac:dyDescent="0.25">
      <c r="A577">
        <v>6</v>
      </c>
      <c r="B577" t="s">
        <v>384</v>
      </c>
      <c r="C577" t="str">
        <f>HYPERLINK("http://www.ncbi.nlm.nih.gov/protein/XP_028321907.1","XP_028321907.1")</f>
        <v>XP_028321907.1</v>
      </c>
      <c r="D577">
        <v>43564</v>
      </c>
      <c r="E577" t="str">
        <f>HYPERLINK("http://www.ncbi.nlm.nih.gov/Taxonomy/Browser/wwwtax.cgi?mode=Info&amp;id=441366&amp;lvl=3&amp;lin=f&amp;keep=1&amp;srchmode=1&amp;unlock","441366")</f>
        <v>441366</v>
      </c>
      <c r="F577" t="s">
        <v>384</v>
      </c>
      <c r="G577" t="str">
        <f>HYPERLINK("http://www.ncbi.nlm.nih.gov/Taxonomy/Browser/wwwtax.cgi?mode=Info&amp;id=441366&amp;lvl=3&amp;lin=f&amp;keep=1&amp;srchmode=1&amp;unlock","Gouania willdenowi")</f>
        <v>Gouania willdenowi</v>
      </c>
      <c r="H577" t="s">
        <v>586</v>
      </c>
      <c r="I577" t="str">
        <f>HYPERLINK("http://www.ncbi.nlm.nih.gov/protein/XP_028321907.1","androgen receptor-like isoform X1")</f>
        <v>androgen receptor-like isoform X1</v>
      </c>
      <c r="J577" t="s">
        <v>1327</v>
      </c>
      <c r="K577" t="s">
        <v>20</v>
      </c>
      <c r="L577">
        <v>530</v>
      </c>
      <c r="M577" t="s">
        <v>25</v>
      </c>
      <c r="N577" t="s">
        <v>20</v>
      </c>
      <c r="O577">
        <v>536</v>
      </c>
      <c r="P577" t="s">
        <v>1313</v>
      </c>
      <c r="Q577" t="s">
        <v>20</v>
      </c>
      <c r="R577">
        <v>577</v>
      </c>
      <c r="S577" t="s">
        <v>1314</v>
      </c>
      <c r="T577" t="s">
        <v>20</v>
      </c>
      <c r="U577">
        <v>700</v>
      </c>
      <c r="V577" t="s">
        <v>1315</v>
      </c>
      <c r="W577" t="s">
        <v>20</v>
      </c>
    </row>
    <row r="578" spans="1:23" x14ac:dyDescent="0.25">
      <c r="A578">
        <v>6</v>
      </c>
      <c r="B578" t="s">
        <v>384</v>
      </c>
      <c r="C578" t="str">
        <f>HYPERLINK("http://www.ncbi.nlm.nih.gov/protein/XP_033954632.1","XP_033954632.1")</f>
        <v>XP_033954632.1</v>
      </c>
      <c r="D578">
        <v>38002</v>
      </c>
      <c r="E578" t="str">
        <f>HYPERLINK("http://www.ncbi.nlm.nih.gov/Taxonomy/Browser/wwwtax.cgi?mode=Info&amp;id=52239&amp;lvl=3&amp;lin=f&amp;keep=1&amp;srchmode=1&amp;unlock","52239")</f>
        <v>52239</v>
      </c>
      <c r="F578" t="s">
        <v>384</v>
      </c>
      <c r="G578" t="str">
        <f>HYPERLINK("http://www.ncbi.nlm.nih.gov/Taxonomy/Browser/wwwtax.cgi?mode=Info&amp;id=52239&amp;lvl=3&amp;lin=f&amp;keep=1&amp;srchmode=1&amp;unlock","Pseudochaenichthys georgianus")</f>
        <v>Pseudochaenichthys georgianus</v>
      </c>
      <c r="H578" t="s">
        <v>576</v>
      </c>
      <c r="I578" t="str">
        <f>HYPERLINK("http://www.ncbi.nlm.nih.gov/protein/XP_033954632.1","androgen receptor")</f>
        <v>androgen receptor</v>
      </c>
      <c r="J578" t="s">
        <v>1327</v>
      </c>
      <c r="K578" t="s">
        <v>20</v>
      </c>
      <c r="L578">
        <v>513</v>
      </c>
      <c r="M578" t="s">
        <v>25</v>
      </c>
      <c r="N578" t="s">
        <v>20</v>
      </c>
      <c r="O578">
        <v>519</v>
      </c>
      <c r="P578" t="s">
        <v>1313</v>
      </c>
      <c r="Q578" t="s">
        <v>20</v>
      </c>
      <c r="R578">
        <v>560</v>
      </c>
      <c r="S578" t="s">
        <v>1314</v>
      </c>
      <c r="T578" t="s">
        <v>20</v>
      </c>
      <c r="U578">
        <v>683</v>
      </c>
      <c r="V578" t="s">
        <v>1315</v>
      </c>
      <c r="W578" t="s">
        <v>20</v>
      </c>
    </row>
    <row r="579" spans="1:23" x14ac:dyDescent="0.25">
      <c r="A579">
        <v>6</v>
      </c>
      <c r="B579" t="s">
        <v>384</v>
      </c>
      <c r="C579" t="str">
        <f>HYPERLINK("http://www.ncbi.nlm.nih.gov/protein/XP_029303737.1","XP_029303737.1")</f>
        <v>XP_029303737.1</v>
      </c>
      <c r="D579">
        <v>37869</v>
      </c>
      <c r="E579" t="str">
        <f>HYPERLINK("http://www.ncbi.nlm.nih.gov/Taxonomy/Browser/wwwtax.cgi?mode=Info&amp;id=56716&amp;lvl=3&amp;lin=f&amp;keep=1&amp;srchmode=1&amp;unlock","56716")</f>
        <v>56716</v>
      </c>
      <c r="F579" t="s">
        <v>384</v>
      </c>
      <c r="G579" t="str">
        <f>HYPERLINK("http://www.ncbi.nlm.nih.gov/Taxonomy/Browser/wwwtax.cgi?mode=Info&amp;id=56716&amp;lvl=3&amp;lin=f&amp;keep=1&amp;srchmode=1&amp;unlock","Cottoperca gobio")</f>
        <v>Cottoperca gobio</v>
      </c>
      <c r="H579" t="s">
        <v>575</v>
      </c>
      <c r="I579" t="str">
        <f>HYPERLINK("http://www.ncbi.nlm.nih.gov/protein/XP_029303737.1","androgen receptor isoform X2")</f>
        <v>androgen receptor isoform X2</v>
      </c>
      <c r="J579" t="s">
        <v>1327</v>
      </c>
      <c r="K579" t="s">
        <v>20</v>
      </c>
      <c r="L579">
        <v>523</v>
      </c>
      <c r="M579" t="s">
        <v>25</v>
      </c>
      <c r="N579" t="s">
        <v>20</v>
      </c>
      <c r="O579">
        <v>529</v>
      </c>
      <c r="P579" t="s">
        <v>1313</v>
      </c>
      <c r="Q579" t="s">
        <v>20</v>
      </c>
      <c r="R579">
        <v>570</v>
      </c>
      <c r="S579" t="s">
        <v>1314</v>
      </c>
      <c r="T579" t="s">
        <v>20</v>
      </c>
      <c r="U579">
        <v>693</v>
      </c>
      <c r="V579" t="s">
        <v>1315</v>
      </c>
      <c r="W579" t="s">
        <v>20</v>
      </c>
    </row>
    <row r="580" spans="1:23" x14ac:dyDescent="0.25">
      <c r="A580">
        <v>6</v>
      </c>
      <c r="B580" t="s">
        <v>384</v>
      </c>
      <c r="C580" t="str">
        <f>HYPERLINK("http://www.ncbi.nlm.nih.gov/protein/XP_011609787.2","XP_011609787.2")</f>
        <v>XP_011609787.2</v>
      </c>
      <c r="D580">
        <v>49062</v>
      </c>
      <c r="E580" t="str">
        <f>HYPERLINK("http://www.ncbi.nlm.nih.gov/Taxonomy/Browser/wwwtax.cgi?mode=Info&amp;id=31033&amp;lvl=3&amp;lin=f&amp;keep=1&amp;srchmode=1&amp;unlock","31033")</f>
        <v>31033</v>
      </c>
      <c r="F580" t="s">
        <v>384</v>
      </c>
      <c r="G580" t="str">
        <f>HYPERLINK("http://www.ncbi.nlm.nih.gov/Taxonomy/Browser/wwwtax.cgi?mode=Info&amp;id=31033&amp;lvl=3&amp;lin=f&amp;keep=1&amp;srchmode=1&amp;unlock","Takifugu rubripes")</f>
        <v>Takifugu rubripes</v>
      </c>
      <c r="H580" t="s">
        <v>630</v>
      </c>
      <c r="I580" t="str">
        <f>HYPERLINK("http://www.ncbi.nlm.nih.gov/protein/XP_011609787.2","androgen receptor-like isoform X2")</f>
        <v>androgen receptor-like isoform X2</v>
      </c>
      <c r="J580" t="s">
        <v>1327</v>
      </c>
      <c r="K580" t="s">
        <v>20</v>
      </c>
      <c r="L580">
        <v>531</v>
      </c>
      <c r="M580" t="s">
        <v>25</v>
      </c>
      <c r="N580" t="s">
        <v>20</v>
      </c>
      <c r="O580">
        <v>537</v>
      </c>
      <c r="P580" t="s">
        <v>1313</v>
      </c>
      <c r="Q580" t="s">
        <v>20</v>
      </c>
      <c r="R580">
        <v>578</v>
      </c>
      <c r="S580" t="s">
        <v>1314</v>
      </c>
      <c r="T580" t="s">
        <v>20</v>
      </c>
      <c r="U580">
        <v>701</v>
      </c>
      <c r="V580" t="s">
        <v>1315</v>
      </c>
      <c r="W580" t="s">
        <v>20</v>
      </c>
    </row>
    <row r="581" spans="1:23" x14ac:dyDescent="0.25">
      <c r="A581">
        <v>6</v>
      </c>
      <c r="B581" t="s">
        <v>384</v>
      </c>
      <c r="C581" t="str">
        <f>HYPERLINK("http://www.ncbi.nlm.nih.gov/protein/XP_022540802.1","XP_022540802.1")</f>
        <v>XP_022540802.1</v>
      </c>
      <c r="D581">
        <v>42884</v>
      </c>
      <c r="E581" t="str">
        <f>HYPERLINK("http://www.ncbi.nlm.nih.gov/Taxonomy/Browser/wwwtax.cgi?mode=Info&amp;id=7994&amp;lvl=3&amp;lin=f&amp;keep=1&amp;srchmode=1&amp;unlock","7994")</f>
        <v>7994</v>
      </c>
      <c r="F581" t="s">
        <v>384</v>
      </c>
      <c r="G581" t="str">
        <f>HYPERLINK("http://www.ncbi.nlm.nih.gov/Taxonomy/Browser/wwwtax.cgi?mode=Info&amp;id=7994&amp;lvl=3&amp;lin=f&amp;keep=1&amp;srchmode=1&amp;unlock","Astyanax mexicanus")</f>
        <v>Astyanax mexicanus</v>
      </c>
      <c r="H581" t="s">
        <v>508</v>
      </c>
      <c r="I581" t="str">
        <f>HYPERLINK("http://www.ncbi.nlm.nih.gov/protein/XP_022540802.1","androgen receptor")</f>
        <v>androgen receptor</v>
      </c>
      <c r="J581" t="s">
        <v>1327</v>
      </c>
      <c r="K581" t="s">
        <v>20</v>
      </c>
      <c r="L581">
        <v>626</v>
      </c>
      <c r="M581" t="s">
        <v>25</v>
      </c>
      <c r="N581" t="s">
        <v>20</v>
      </c>
      <c r="O581">
        <v>632</v>
      </c>
      <c r="P581" t="s">
        <v>1313</v>
      </c>
      <c r="Q581" t="s">
        <v>20</v>
      </c>
      <c r="R581">
        <v>673</v>
      </c>
      <c r="S581" t="s">
        <v>1314</v>
      </c>
      <c r="T581" t="s">
        <v>20</v>
      </c>
      <c r="U581">
        <v>796</v>
      </c>
      <c r="V581" t="s">
        <v>1315</v>
      </c>
      <c r="W581" t="s">
        <v>20</v>
      </c>
    </row>
    <row r="582" spans="1:23" x14ac:dyDescent="0.25">
      <c r="A582">
        <v>6</v>
      </c>
      <c r="B582" t="s">
        <v>384</v>
      </c>
      <c r="C582" t="str">
        <f>HYPERLINK("http://www.ncbi.nlm.nih.gov/protein/XP_013862230.1","XP_013862230.1")</f>
        <v>XP_013862230.1</v>
      </c>
      <c r="D582">
        <v>35359</v>
      </c>
      <c r="E582" t="str">
        <f>HYPERLINK("http://www.ncbi.nlm.nih.gov/Taxonomy/Browser/wwwtax.cgi?mode=Info&amp;id=52670&amp;lvl=3&amp;lin=f&amp;keep=1&amp;srchmode=1&amp;unlock","52670")</f>
        <v>52670</v>
      </c>
      <c r="F582" t="s">
        <v>384</v>
      </c>
      <c r="G582" t="str">
        <f>HYPERLINK("http://www.ncbi.nlm.nih.gov/Taxonomy/Browser/wwwtax.cgi?mode=Info&amp;id=52670&amp;lvl=3&amp;lin=f&amp;keep=1&amp;srchmode=1&amp;unlock","Austrofundulus limnaeus")</f>
        <v>Austrofundulus limnaeus</v>
      </c>
      <c r="H582" t="s">
        <v>520</v>
      </c>
      <c r="I582" t="str">
        <f>HYPERLINK("http://www.ncbi.nlm.nih.gov/protein/XP_013862230.1","PREDICTED: androgen receptor")</f>
        <v>PREDICTED: androgen receptor</v>
      </c>
      <c r="J582" t="s">
        <v>1327</v>
      </c>
      <c r="K582" t="s">
        <v>20</v>
      </c>
      <c r="L582">
        <v>538</v>
      </c>
      <c r="M582" t="s">
        <v>25</v>
      </c>
      <c r="N582" t="s">
        <v>20</v>
      </c>
      <c r="O582">
        <v>544</v>
      </c>
      <c r="P582" t="s">
        <v>1313</v>
      </c>
      <c r="Q582" t="s">
        <v>20</v>
      </c>
      <c r="R582">
        <v>585</v>
      </c>
      <c r="S582" t="s">
        <v>1314</v>
      </c>
      <c r="T582" t="s">
        <v>20</v>
      </c>
      <c r="U582">
        <v>708</v>
      </c>
      <c r="V582" t="s">
        <v>1315</v>
      </c>
      <c r="W582" t="s">
        <v>20</v>
      </c>
    </row>
    <row r="583" spans="1:23" x14ac:dyDescent="0.25">
      <c r="A583">
        <v>6</v>
      </c>
      <c r="B583" t="s">
        <v>384</v>
      </c>
      <c r="C583" t="str">
        <f>HYPERLINK("http://www.ncbi.nlm.nih.gov/protein/XP_008331219.2","XP_008331219.2")</f>
        <v>XP_008331219.2</v>
      </c>
      <c r="D583">
        <v>39998</v>
      </c>
      <c r="E583" t="str">
        <f>HYPERLINK("http://www.ncbi.nlm.nih.gov/Taxonomy/Browser/wwwtax.cgi?mode=Info&amp;id=244447&amp;lvl=3&amp;lin=f&amp;keep=1&amp;srchmode=1&amp;unlock","244447")</f>
        <v>244447</v>
      </c>
      <c r="F583" t="s">
        <v>384</v>
      </c>
      <c r="G583" t="str">
        <f>HYPERLINK("http://www.ncbi.nlm.nih.gov/Taxonomy/Browser/wwwtax.cgi?mode=Info&amp;id=244447&amp;lvl=3&amp;lin=f&amp;keep=1&amp;srchmode=1&amp;unlock","Cynoglossus semilaevis")</f>
        <v>Cynoglossus semilaevis</v>
      </c>
      <c r="H583" t="s">
        <v>580</v>
      </c>
      <c r="I583" t="str">
        <f>HYPERLINK("http://www.ncbi.nlm.nih.gov/protein/XP_008331219.2","androgen receptor")</f>
        <v>androgen receptor</v>
      </c>
      <c r="J583" t="s">
        <v>1327</v>
      </c>
      <c r="K583" t="s">
        <v>25</v>
      </c>
      <c r="L583">
        <v>537</v>
      </c>
      <c r="M583" t="s">
        <v>25</v>
      </c>
      <c r="N583" t="s">
        <v>20</v>
      </c>
      <c r="O583">
        <v>543</v>
      </c>
      <c r="P583" t="s">
        <v>1313</v>
      </c>
      <c r="Q583" t="s">
        <v>20</v>
      </c>
      <c r="R583">
        <v>584</v>
      </c>
      <c r="S583" t="s">
        <v>1314</v>
      </c>
      <c r="T583" t="s">
        <v>20</v>
      </c>
      <c r="U583">
        <v>707</v>
      </c>
      <c r="V583" t="s">
        <v>1318</v>
      </c>
      <c r="W583" t="s">
        <v>25</v>
      </c>
    </row>
    <row r="584" spans="1:23" x14ac:dyDescent="0.25">
      <c r="A584">
        <v>6</v>
      </c>
      <c r="B584" t="s">
        <v>384</v>
      </c>
      <c r="C584" t="str">
        <f>HYPERLINK("http://www.ncbi.nlm.nih.gov/protein/TWW74919.1","TWW74919.1")</f>
        <v>TWW74919.1</v>
      </c>
      <c r="D584">
        <v>29428</v>
      </c>
      <c r="E584" t="str">
        <f>HYPERLINK("http://www.ncbi.nlm.nih.gov/Taxonomy/Browser/wwwtax.cgi?mode=Info&amp;id=433684&amp;lvl=3&amp;lin=f&amp;keep=1&amp;srchmode=1&amp;unlock","433684")</f>
        <v>433684</v>
      </c>
      <c r="F584" t="s">
        <v>384</v>
      </c>
      <c r="G584" t="str">
        <f>HYPERLINK("http://www.ncbi.nlm.nih.gov/Taxonomy/Browser/wwwtax.cgi?mode=Info&amp;id=433684&amp;lvl=3&amp;lin=f&amp;keep=1&amp;srchmode=1&amp;unlock","Takifugu flavidus")</f>
        <v>Takifugu flavidus</v>
      </c>
      <c r="H584" t="s">
        <v>629</v>
      </c>
      <c r="I584" t="str">
        <f>HYPERLINK("http://www.ncbi.nlm.nih.gov/protein/TWW74919.1","Androgen receptor")</f>
        <v>Androgen receptor</v>
      </c>
      <c r="J584" t="s">
        <v>1327</v>
      </c>
      <c r="K584" t="s">
        <v>20</v>
      </c>
      <c r="L584">
        <v>536</v>
      </c>
      <c r="M584" t="s">
        <v>25</v>
      </c>
      <c r="N584" t="s">
        <v>20</v>
      </c>
      <c r="O584">
        <v>542</v>
      </c>
      <c r="P584" t="s">
        <v>1313</v>
      </c>
      <c r="Q584" t="s">
        <v>20</v>
      </c>
      <c r="R584">
        <v>583</v>
      </c>
      <c r="S584" t="s">
        <v>1314</v>
      </c>
      <c r="T584" t="s">
        <v>20</v>
      </c>
      <c r="U584">
        <v>706</v>
      </c>
      <c r="V584" t="s">
        <v>1315</v>
      </c>
      <c r="W584" t="s">
        <v>20</v>
      </c>
    </row>
    <row r="585" spans="1:23" x14ac:dyDescent="0.25">
      <c r="A585">
        <v>6</v>
      </c>
      <c r="B585" t="s">
        <v>384</v>
      </c>
      <c r="C585" t="str">
        <f>HYPERLINK("http://www.ncbi.nlm.nih.gov/protein/KAF3705889.1","KAF3705889.1")</f>
        <v>KAF3705889.1</v>
      </c>
      <c r="D585">
        <v>22736</v>
      </c>
      <c r="E585" t="str">
        <f>HYPERLINK("http://www.ncbi.nlm.nih.gov/Taxonomy/Browser/wwwtax.cgi?mode=Info&amp;id=215402&amp;lvl=3&amp;lin=f&amp;keep=1&amp;srchmode=1&amp;unlock","215402")</f>
        <v>215402</v>
      </c>
      <c r="F585" t="s">
        <v>384</v>
      </c>
      <c r="G585" t="str">
        <f>HYPERLINK("http://www.ncbi.nlm.nih.gov/Taxonomy/Browser/wwwtax.cgi?mode=Info&amp;id=215402&amp;lvl=3&amp;lin=f&amp;keep=1&amp;srchmode=1&amp;unlock","Channa argus")</f>
        <v>Channa argus</v>
      </c>
      <c r="H585" t="s">
        <v>683</v>
      </c>
      <c r="I585" t="str">
        <f>HYPERLINK("http://www.ncbi.nlm.nih.gov/protein/KAF3705889.1","Androgen receptor Dihydrotestosterone receptor Nuclear receptor subfamily 3 group C member 4")</f>
        <v>Androgen receptor Dihydrotestosterone receptor Nuclear receptor subfamily 3 group C member 4</v>
      </c>
      <c r="J585" t="s">
        <v>1327</v>
      </c>
      <c r="K585" t="s">
        <v>20</v>
      </c>
      <c r="L585">
        <v>517</v>
      </c>
      <c r="M585" t="s">
        <v>25</v>
      </c>
      <c r="N585" t="s">
        <v>20</v>
      </c>
      <c r="O585">
        <v>523</v>
      </c>
      <c r="P585" t="s">
        <v>1313</v>
      </c>
      <c r="Q585" t="s">
        <v>20</v>
      </c>
      <c r="R585">
        <v>564</v>
      </c>
      <c r="S585" t="s">
        <v>1314</v>
      </c>
      <c r="T585" t="s">
        <v>20</v>
      </c>
      <c r="U585">
        <v>687</v>
      </c>
      <c r="V585" t="s">
        <v>1315</v>
      </c>
      <c r="W585" t="s">
        <v>20</v>
      </c>
    </row>
    <row r="586" spans="1:23" x14ac:dyDescent="0.25">
      <c r="A586">
        <v>6</v>
      </c>
      <c r="B586" t="s">
        <v>384</v>
      </c>
      <c r="C586" t="str">
        <f>HYPERLINK("http://www.ncbi.nlm.nih.gov/protein/XP_029375954.1","XP_029375954.1")</f>
        <v>XP_029375954.1</v>
      </c>
      <c r="D586">
        <v>38279</v>
      </c>
      <c r="E586" t="str">
        <f>HYPERLINK("http://www.ncbi.nlm.nih.gov/Taxonomy/Browser/wwwtax.cgi?mode=Info&amp;id=173247&amp;lvl=3&amp;lin=f&amp;keep=1&amp;srchmode=1&amp;unlock","173247")</f>
        <v>173247</v>
      </c>
      <c r="F586" t="s">
        <v>384</v>
      </c>
      <c r="G586" t="str">
        <f>HYPERLINK("http://www.ncbi.nlm.nih.gov/Taxonomy/Browser/wwwtax.cgi?mode=Info&amp;id=173247&amp;lvl=3&amp;lin=f&amp;keep=1&amp;srchmode=1&amp;unlock","Echeneis naucrates")</f>
        <v>Echeneis naucrates</v>
      </c>
      <c r="H586" t="s">
        <v>588</v>
      </c>
      <c r="I586" t="str">
        <f>HYPERLINK("http://www.ncbi.nlm.nih.gov/protein/XP_029375954.1","androgen receptor")</f>
        <v>androgen receptor</v>
      </c>
      <c r="J586" t="s">
        <v>1327</v>
      </c>
      <c r="K586" t="s">
        <v>20</v>
      </c>
      <c r="L586">
        <v>490</v>
      </c>
      <c r="M586" t="s">
        <v>25</v>
      </c>
      <c r="N586" t="s">
        <v>20</v>
      </c>
      <c r="O586">
        <v>496</v>
      </c>
      <c r="P586" t="s">
        <v>1313</v>
      </c>
      <c r="Q586" t="s">
        <v>20</v>
      </c>
      <c r="R586">
        <v>537</v>
      </c>
      <c r="S586" t="s">
        <v>1314</v>
      </c>
      <c r="T586" t="s">
        <v>20</v>
      </c>
      <c r="U586">
        <v>660</v>
      </c>
      <c r="V586" t="s">
        <v>1315</v>
      </c>
      <c r="W586" t="s">
        <v>20</v>
      </c>
    </row>
    <row r="587" spans="1:23" x14ac:dyDescent="0.25">
      <c r="A587">
        <v>6</v>
      </c>
      <c r="B587" t="s">
        <v>384</v>
      </c>
      <c r="C587" t="str">
        <f>HYPERLINK("http://www.ncbi.nlm.nih.gov/protein/XP_036436049.1","XP_036436049.1")</f>
        <v>XP_036436049.1</v>
      </c>
      <c r="D587">
        <v>43803</v>
      </c>
      <c r="E587" t="str">
        <f>HYPERLINK("http://www.ncbi.nlm.nih.gov/Taxonomy/Browser/wwwtax.cgi?mode=Info&amp;id=42526&amp;lvl=3&amp;lin=f&amp;keep=1&amp;srchmode=1&amp;unlock","42526")</f>
        <v>42526</v>
      </c>
      <c r="F587" t="s">
        <v>384</v>
      </c>
      <c r="G587" t="str">
        <f>HYPERLINK("http://www.ncbi.nlm.nih.gov/Taxonomy/Browser/wwwtax.cgi?mode=Info&amp;id=42526&amp;lvl=3&amp;lin=f&amp;keep=1&amp;srchmode=1&amp;unlock","Colossoma macropomum")</f>
        <v>Colossoma macropomum</v>
      </c>
      <c r="H587" t="s">
        <v>507</v>
      </c>
      <c r="I587" t="str">
        <f>HYPERLINK("http://www.ncbi.nlm.nih.gov/protein/XP_036436049.1","androgen receptor-like")</f>
        <v>androgen receptor-like</v>
      </c>
      <c r="J587" t="s">
        <v>1327</v>
      </c>
      <c r="K587" t="s">
        <v>20</v>
      </c>
      <c r="L587">
        <v>159</v>
      </c>
      <c r="M587" t="s">
        <v>25</v>
      </c>
      <c r="N587" t="s">
        <v>20</v>
      </c>
      <c r="O587">
        <v>165</v>
      </c>
      <c r="P587" t="s">
        <v>1313</v>
      </c>
      <c r="Q587" t="s">
        <v>20</v>
      </c>
      <c r="R587">
        <v>206</v>
      </c>
      <c r="S587" t="s">
        <v>1314</v>
      </c>
      <c r="T587" t="s">
        <v>20</v>
      </c>
      <c r="U587">
        <v>329</v>
      </c>
      <c r="V587" t="s">
        <v>1315</v>
      </c>
      <c r="W587" t="s">
        <v>20</v>
      </c>
    </row>
    <row r="588" spans="1:23" x14ac:dyDescent="0.25">
      <c r="A588">
        <v>6</v>
      </c>
      <c r="B588" t="s">
        <v>384</v>
      </c>
      <c r="C588" t="str">
        <f>HYPERLINK("http://www.ncbi.nlm.nih.gov/protein/BBG06101.1","BBG06101.1")</f>
        <v>BBG06101.1</v>
      </c>
      <c r="D588">
        <v>183</v>
      </c>
      <c r="E588" t="str">
        <f>HYPERLINK("http://www.ncbi.nlm.nih.gov/Taxonomy/Browser/wwwtax.cgi?mode=Info&amp;id=109274&amp;lvl=3&amp;lin=f&amp;keep=1&amp;srchmode=1&amp;unlock","109274")</f>
        <v>109274</v>
      </c>
      <c r="F588" t="s">
        <v>384</v>
      </c>
      <c r="G588" t="str">
        <f>HYPERLINK("http://www.ncbi.nlm.nih.gov/Taxonomy/Browser/wwwtax.cgi?mode=Info&amp;id=109274&amp;lvl=3&amp;lin=f&amp;keep=1&amp;srchmode=1&amp;unlock","Hippocampus abdominalis")</f>
        <v>Hippocampus abdominalis</v>
      </c>
      <c r="H588" t="s">
        <v>1021</v>
      </c>
      <c r="I588" t="str">
        <f>HYPERLINK("http://www.ncbi.nlm.nih.gov/protein/BBG06101.1","androgen receptor beta")</f>
        <v>androgen receptor beta</v>
      </c>
      <c r="J588" t="s">
        <v>1327</v>
      </c>
      <c r="K588" t="s">
        <v>20</v>
      </c>
      <c r="L588">
        <v>491</v>
      </c>
      <c r="M588" t="s">
        <v>25</v>
      </c>
      <c r="N588" t="s">
        <v>20</v>
      </c>
      <c r="O588">
        <v>497</v>
      </c>
      <c r="P588" t="s">
        <v>1313</v>
      </c>
      <c r="Q588" t="s">
        <v>20</v>
      </c>
      <c r="R588">
        <v>538</v>
      </c>
      <c r="S588" t="s">
        <v>1314</v>
      </c>
      <c r="T588" t="s">
        <v>20</v>
      </c>
      <c r="U588">
        <v>660</v>
      </c>
      <c r="V588" t="s">
        <v>1315</v>
      </c>
      <c r="W588" t="s">
        <v>20</v>
      </c>
    </row>
    <row r="589" spans="1:23" x14ac:dyDescent="0.25">
      <c r="A589">
        <v>6</v>
      </c>
      <c r="B589" t="s">
        <v>384</v>
      </c>
      <c r="C589" t="str">
        <f>HYPERLINK("http://www.ncbi.nlm.nih.gov/protein/XP_019719865.1","XP_019719865.1")</f>
        <v>XP_019719865.1</v>
      </c>
      <c r="D589">
        <v>42023</v>
      </c>
      <c r="E589" t="str">
        <f>HYPERLINK("http://www.ncbi.nlm.nih.gov/Taxonomy/Browser/wwwtax.cgi?mode=Info&amp;id=109280&amp;lvl=3&amp;lin=f&amp;keep=1&amp;srchmode=1&amp;unlock","109280")</f>
        <v>109280</v>
      </c>
      <c r="F589" t="s">
        <v>384</v>
      </c>
      <c r="G589" t="str">
        <f>HYPERLINK("http://www.ncbi.nlm.nih.gov/Taxonomy/Browser/wwwtax.cgi?mode=Info&amp;id=109280&amp;lvl=3&amp;lin=f&amp;keep=1&amp;srchmode=1&amp;unlock","Hippocampus comes")</f>
        <v>Hippocampus comes</v>
      </c>
      <c r="H589" t="s">
        <v>499</v>
      </c>
      <c r="I589" t="str">
        <f>HYPERLINK("http://www.ncbi.nlm.nih.gov/protein/XP_019719865.1","PREDICTED: androgen receptor-like")</f>
        <v>PREDICTED: androgen receptor-like</v>
      </c>
      <c r="J589" t="s">
        <v>1327</v>
      </c>
      <c r="K589" t="s">
        <v>20</v>
      </c>
      <c r="L589">
        <v>491</v>
      </c>
      <c r="M589" t="s">
        <v>25</v>
      </c>
      <c r="N589" t="s">
        <v>20</v>
      </c>
      <c r="O589">
        <v>497</v>
      </c>
      <c r="P589" t="s">
        <v>1313</v>
      </c>
      <c r="Q589" t="s">
        <v>20</v>
      </c>
      <c r="R589">
        <v>538</v>
      </c>
      <c r="S589" t="s">
        <v>1314</v>
      </c>
      <c r="T589" t="s">
        <v>20</v>
      </c>
      <c r="U589">
        <v>660</v>
      </c>
      <c r="V589" t="s">
        <v>1315</v>
      </c>
      <c r="W589" t="s">
        <v>20</v>
      </c>
    </row>
    <row r="590" spans="1:23" x14ac:dyDescent="0.25">
      <c r="A590">
        <v>6</v>
      </c>
      <c r="B590" t="s">
        <v>384</v>
      </c>
      <c r="C590" t="str">
        <f>HYPERLINK("http://www.ncbi.nlm.nih.gov/protein/XP_037124887.1","XP_037124887.1")</f>
        <v>XP_037124887.1</v>
      </c>
      <c r="D590">
        <v>41996</v>
      </c>
      <c r="E590" t="str">
        <f>HYPERLINK("http://www.ncbi.nlm.nih.gov/Taxonomy/Browser/wwwtax.cgi?mode=Info&amp;id=161584&amp;lvl=3&amp;lin=f&amp;keep=1&amp;srchmode=1&amp;unlock","161584")</f>
        <v>161584</v>
      </c>
      <c r="F590" t="s">
        <v>384</v>
      </c>
      <c r="G590" t="str">
        <f>HYPERLINK("http://www.ncbi.nlm.nih.gov/Taxonomy/Browser/wwwtax.cgi?mode=Info&amp;id=161584&amp;lvl=3&amp;lin=f&amp;keep=1&amp;srchmode=1&amp;unlock","Syngnathus acus")</f>
        <v>Syngnathus acus</v>
      </c>
      <c r="H590" t="s">
        <v>530</v>
      </c>
      <c r="I590" t="str">
        <f>HYPERLINK("http://www.ncbi.nlm.nih.gov/protein/XP_037124887.1","androgen receptor-like")</f>
        <v>androgen receptor-like</v>
      </c>
      <c r="J590" t="s">
        <v>1327</v>
      </c>
      <c r="K590" t="s">
        <v>20</v>
      </c>
      <c r="L590">
        <v>503</v>
      </c>
      <c r="M590" t="s">
        <v>25</v>
      </c>
      <c r="N590" t="s">
        <v>20</v>
      </c>
      <c r="O590">
        <v>509</v>
      </c>
      <c r="P590" t="s">
        <v>1313</v>
      </c>
      <c r="Q590" t="s">
        <v>20</v>
      </c>
      <c r="R590">
        <v>550</v>
      </c>
      <c r="S590" t="s">
        <v>1314</v>
      </c>
      <c r="T590" t="s">
        <v>20</v>
      </c>
      <c r="U590">
        <v>672</v>
      </c>
      <c r="V590" t="s">
        <v>1315</v>
      </c>
      <c r="W590" t="s">
        <v>20</v>
      </c>
    </row>
    <row r="591" spans="1:23" x14ac:dyDescent="0.25">
      <c r="A591">
        <v>6</v>
      </c>
      <c r="B591" t="s">
        <v>384</v>
      </c>
      <c r="C591" t="str">
        <f>HYPERLINK("http://www.ncbi.nlm.nih.gov/protein/MBN3284675.1","MBN3284675.1")</f>
        <v>MBN3284675.1</v>
      </c>
      <c r="D591">
        <v>18732</v>
      </c>
      <c r="E591" t="str">
        <f>HYPERLINK("http://www.ncbi.nlm.nih.gov/Taxonomy/Browser/wwwtax.cgi?mode=Info&amp;id=7913&amp;lvl=3&amp;lin=f&amp;keep=1&amp;srchmode=1&amp;unlock","7913")</f>
        <v>7913</v>
      </c>
      <c r="F591" t="s">
        <v>384</v>
      </c>
      <c r="G591" t="str">
        <f>HYPERLINK("http://www.ncbi.nlm.nih.gov/Taxonomy/Browser/wwwtax.cgi?mode=Info&amp;id=7913&amp;lvl=3&amp;lin=f&amp;keep=1&amp;srchmode=1&amp;unlock","Polyodon spathula")</f>
        <v>Polyodon spathula</v>
      </c>
      <c r="H591" t="s">
        <v>694</v>
      </c>
      <c r="I591" t="str">
        <f>HYPERLINK("http://www.ncbi.nlm.nih.gov/protein/MBN3284675.1","ANDR protein")</f>
        <v>ANDR protein</v>
      </c>
      <c r="J591" t="s">
        <v>1327</v>
      </c>
      <c r="K591" t="s">
        <v>20</v>
      </c>
      <c r="L591">
        <v>624</v>
      </c>
      <c r="M591" t="s">
        <v>25</v>
      </c>
      <c r="N591" t="s">
        <v>20</v>
      </c>
      <c r="O591">
        <v>630</v>
      </c>
      <c r="P591" t="s">
        <v>1313</v>
      </c>
      <c r="Q591" t="s">
        <v>20</v>
      </c>
      <c r="R591">
        <v>671</v>
      </c>
      <c r="S591" t="s">
        <v>1314</v>
      </c>
      <c r="T591" t="s">
        <v>20</v>
      </c>
      <c r="U591">
        <v>792</v>
      </c>
      <c r="V591" t="s">
        <v>1315</v>
      </c>
      <c r="W591" t="s">
        <v>20</v>
      </c>
    </row>
    <row r="592" spans="1:23" x14ac:dyDescent="0.25">
      <c r="A592">
        <v>6</v>
      </c>
      <c r="B592" t="s">
        <v>384</v>
      </c>
      <c r="C592" t="str">
        <f>HYPERLINK("http://www.ncbi.nlm.nih.gov/protein/XP_037531326.1","XP_037531326.1")</f>
        <v>XP_037531326.1</v>
      </c>
      <c r="D592">
        <v>24152</v>
      </c>
      <c r="E592" t="str">
        <f>HYPERLINK("http://www.ncbi.nlm.nih.gov/Taxonomy/Browser/wwwtax.cgi?mode=Info&amp;id=451745&amp;lvl=3&amp;lin=f&amp;keep=1&amp;srchmode=1&amp;unlock","451745")</f>
        <v>451745</v>
      </c>
      <c r="F592" t="s">
        <v>384</v>
      </c>
      <c r="G592" t="str">
        <f>HYPERLINK("http://www.ncbi.nlm.nih.gov/Taxonomy/Browser/wwwtax.cgi?mode=Info&amp;id=451745&amp;lvl=3&amp;lin=f&amp;keep=1&amp;srchmode=1&amp;unlock","Nematolebias whitei")</f>
        <v>Nematolebias whitei</v>
      </c>
      <c r="H592" t="s">
        <v>565</v>
      </c>
      <c r="I592" t="str">
        <f>HYPERLINK("http://www.ncbi.nlm.nih.gov/protein/XP_037531326.1","androgen receptor-like")</f>
        <v>androgen receptor-like</v>
      </c>
      <c r="J592" t="s">
        <v>1327</v>
      </c>
      <c r="K592" t="s">
        <v>20</v>
      </c>
      <c r="L592">
        <v>468</v>
      </c>
      <c r="M592" t="s">
        <v>25</v>
      </c>
      <c r="N592" t="s">
        <v>20</v>
      </c>
      <c r="O592">
        <v>474</v>
      </c>
      <c r="P592" t="s">
        <v>1313</v>
      </c>
      <c r="Q592" t="s">
        <v>20</v>
      </c>
      <c r="R592">
        <v>515</v>
      </c>
      <c r="S592" t="s">
        <v>1314</v>
      </c>
      <c r="T592" t="s">
        <v>20</v>
      </c>
      <c r="U592">
        <v>638</v>
      </c>
      <c r="V592" t="s">
        <v>1315</v>
      </c>
      <c r="W592" t="s">
        <v>20</v>
      </c>
    </row>
    <row r="593" spans="1:23" x14ac:dyDescent="0.25">
      <c r="A593">
        <v>6</v>
      </c>
      <c r="B593" t="s">
        <v>384</v>
      </c>
      <c r="C593" t="str">
        <f>HYPERLINK("http://www.ncbi.nlm.nih.gov/protein/TNN47793.1","TNN47793.1")</f>
        <v>TNN47793.1</v>
      </c>
      <c r="D593">
        <v>68294</v>
      </c>
      <c r="E593" t="str">
        <f>HYPERLINK("http://www.ncbi.nlm.nih.gov/Taxonomy/Browser/wwwtax.cgi?mode=Info&amp;id=230148&amp;lvl=3&amp;lin=f&amp;keep=1&amp;srchmode=1&amp;unlock","230148")</f>
        <v>230148</v>
      </c>
      <c r="F593" t="s">
        <v>384</v>
      </c>
      <c r="G593" t="str">
        <f>HYPERLINK("http://www.ncbi.nlm.nih.gov/Taxonomy/Browser/wwwtax.cgi?mode=Info&amp;id=230148&amp;lvl=3&amp;lin=f&amp;keep=1&amp;srchmode=1&amp;unlock","Liparis tanakae")</f>
        <v>Liparis tanakae</v>
      </c>
      <c r="H593" t="s">
        <v>542</v>
      </c>
      <c r="I593" t="str">
        <f>HYPERLINK("http://www.ncbi.nlm.nih.gov/protein/TNN47793.1","Androgen receptor")</f>
        <v>Androgen receptor</v>
      </c>
      <c r="J593" t="s">
        <v>1327</v>
      </c>
      <c r="K593" t="s">
        <v>25</v>
      </c>
      <c r="L593">
        <v>483</v>
      </c>
      <c r="M593" t="s">
        <v>25</v>
      </c>
      <c r="N593" t="s">
        <v>20</v>
      </c>
      <c r="O593">
        <v>489</v>
      </c>
      <c r="P593" t="s">
        <v>1313</v>
      </c>
      <c r="Q593" t="s">
        <v>20</v>
      </c>
      <c r="R593">
        <v>530</v>
      </c>
      <c r="S593" t="s">
        <v>1314</v>
      </c>
      <c r="T593" t="s">
        <v>20</v>
      </c>
      <c r="U593" t="s">
        <v>1317</v>
      </c>
      <c r="V593" t="s">
        <v>1317</v>
      </c>
      <c r="W593" t="s">
        <v>25</v>
      </c>
    </row>
    <row r="594" spans="1:23" x14ac:dyDescent="0.25">
      <c r="A594">
        <v>6</v>
      </c>
      <c r="B594" t="s">
        <v>522</v>
      </c>
      <c r="C594" t="str">
        <f>HYPERLINK("http://www.ncbi.nlm.nih.gov/protein/XP_039622287.1","XP_039622287.1")</f>
        <v>XP_039622287.1</v>
      </c>
      <c r="D594">
        <v>64388</v>
      </c>
      <c r="E594" t="str">
        <f>HYPERLINK("http://www.ncbi.nlm.nih.gov/Taxonomy/Browser/wwwtax.cgi?mode=Info&amp;id=55291&amp;lvl=3&amp;lin=f&amp;keep=1&amp;srchmode=1&amp;unlock","55291")</f>
        <v>55291</v>
      </c>
      <c r="F594" t="s">
        <v>522</v>
      </c>
      <c r="G594" t="str">
        <f>HYPERLINK("http://www.ncbi.nlm.nih.gov/Taxonomy/Browser/wwwtax.cgi?mode=Info&amp;id=55291&amp;lvl=3&amp;lin=f&amp;keep=1&amp;srchmode=1&amp;unlock","Polypterus senegalus")</f>
        <v>Polypterus senegalus</v>
      </c>
      <c r="H594" t="s">
        <v>554</v>
      </c>
      <c r="I594" t="str">
        <f>HYPERLINK("http://www.ncbi.nlm.nih.gov/protein/XP_039622287.1","androgen receptor")</f>
        <v>androgen receptor</v>
      </c>
      <c r="J594" t="s">
        <v>1328</v>
      </c>
      <c r="K594" t="s">
        <v>20</v>
      </c>
      <c r="L594">
        <v>578</v>
      </c>
      <c r="M594" t="s">
        <v>25</v>
      </c>
      <c r="N594" t="s">
        <v>20</v>
      </c>
      <c r="O594">
        <v>584</v>
      </c>
      <c r="P594" t="s">
        <v>1313</v>
      </c>
      <c r="Q594" t="s">
        <v>20</v>
      </c>
      <c r="R594">
        <v>625</v>
      </c>
      <c r="S594" t="s">
        <v>1314</v>
      </c>
      <c r="T594" t="s">
        <v>20</v>
      </c>
      <c r="U594">
        <v>750</v>
      </c>
      <c r="V594" t="s">
        <v>1315</v>
      </c>
      <c r="W594" t="s">
        <v>20</v>
      </c>
    </row>
    <row r="595" spans="1:23" x14ac:dyDescent="0.25">
      <c r="A595">
        <v>6</v>
      </c>
      <c r="B595" t="s">
        <v>522</v>
      </c>
      <c r="C595" t="str">
        <f>HYPERLINK("http://www.ncbi.nlm.nih.gov/protein/XP_028671330.1","XP_028671330.1")</f>
        <v>XP_028671330.1</v>
      </c>
      <c r="D595">
        <v>35768</v>
      </c>
      <c r="E595" t="str">
        <f>HYPERLINK("http://www.ncbi.nlm.nih.gov/Taxonomy/Browser/wwwtax.cgi?mode=Info&amp;id=27687&amp;lvl=3&amp;lin=f&amp;keep=1&amp;srchmode=1&amp;unlock","27687")</f>
        <v>27687</v>
      </c>
      <c r="F595" t="s">
        <v>522</v>
      </c>
      <c r="G595" t="str">
        <f>HYPERLINK("http://www.ncbi.nlm.nih.gov/Taxonomy/Browser/wwwtax.cgi?mode=Info&amp;id=27687&amp;lvl=3&amp;lin=f&amp;keep=1&amp;srchmode=1&amp;unlock","Erpetoichthys calabaricus")</f>
        <v>Erpetoichthys calabaricus</v>
      </c>
      <c r="H595" t="s">
        <v>523</v>
      </c>
      <c r="I595" t="str">
        <f>HYPERLINK("http://www.ncbi.nlm.nih.gov/protein/XP_028671330.1","androgen receptor")</f>
        <v>androgen receptor</v>
      </c>
      <c r="J595" t="s">
        <v>1328</v>
      </c>
      <c r="K595" t="s">
        <v>20</v>
      </c>
      <c r="L595">
        <v>578</v>
      </c>
      <c r="M595" t="s">
        <v>25</v>
      </c>
      <c r="N595" t="s">
        <v>20</v>
      </c>
      <c r="O595">
        <v>584</v>
      </c>
      <c r="P595" t="s">
        <v>1313</v>
      </c>
      <c r="Q595" t="s">
        <v>20</v>
      </c>
      <c r="R595">
        <v>625</v>
      </c>
      <c r="S595" t="s">
        <v>1314</v>
      </c>
      <c r="T595" t="s">
        <v>20</v>
      </c>
      <c r="U595">
        <v>750</v>
      </c>
      <c r="V595" t="s">
        <v>1315</v>
      </c>
      <c r="W595" t="s">
        <v>20</v>
      </c>
    </row>
    <row r="596" spans="1:23" x14ac:dyDescent="0.25">
      <c r="A596">
        <v>6</v>
      </c>
      <c r="B596" t="s">
        <v>550</v>
      </c>
      <c r="C596" t="str">
        <f>HYPERLINK("http://www.ncbi.nlm.nih.gov/protein/XP_038630283.1","XP_038630283.1")</f>
        <v>XP_038630283.1</v>
      </c>
      <c r="D596">
        <v>50056</v>
      </c>
      <c r="E596" t="str">
        <f>HYPERLINK("http://www.ncbi.nlm.nih.gov/Taxonomy/Browser/wwwtax.cgi?mode=Info&amp;id=7830&amp;lvl=3&amp;lin=f&amp;keep=1&amp;srchmode=1&amp;unlock","7830")</f>
        <v>7830</v>
      </c>
      <c r="F596" t="s">
        <v>550</v>
      </c>
      <c r="G596" t="str">
        <f>HYPERLINK("http://www.ncbi.nlm.nih.gov/Taxonomy/Browser/wwwtax.cgi?mode=Info&amp;id=7830&amp;lvl=3&amp;lin=f&amp;keep=1&amp;srchmode=1&amp;unlock","Scyliorhinus canicula")</f>
        <v>Scyliorhinus canicula</v>
      </c>
      <c r="H596" t="s">
        <v>614</v>
      </c>
      <c r="I596" t="str">
        <f>HYPERLINK("http://www.ncbi.nlm.nih.gov/protein/XP_038630283.1","androgen receptor isoform X1")</f>
        <v>androgen receptor isoform X1</v>
      </c>
      <c r="J596" t="s">
        <v>1329</v>
      </c>
      <c r="K596" t="s">
        <v>20</v>
      </c>
      <c r="L596">
        <v>639</v>
      </c>
      <c r="M596" t="s">
        <v>25</v>
      </c>
      <c r="N596" t="s">
        <v>20</v>
      </c>
      <c r="O596">
        <v>645</v>
      </c>
      <c r="P596" t="s">
        <v>1313</v>
      </c>
      <c r="Q596" t="s">
        <v>20</v>
      </c>
      <c r="R596">
        <v>686</v>
      </c>
      <c r="S596" t="s">
        <v>1314</v>
      </c>
      <c r="T596" t="s">
        <v>20</v>
      </c>
      <c r="U596">
        <v>811</v>
      </c>
      <c r="V596" t="s">
        <v>1315</v>
      </c>
      <c r="W596" t="s">
        <v>20</v>
      </c>
    </row>
    <row r="597" spans="1:23" x14ac:dyDescent="0.25">
      <c r="A597">
        <v>6</v>
      </c>
      <c r="B597" t="s">
        <v>550</v>
      </c>
      <c r="C597" t="str">
        <f>HYPERLINK("http://www.ncbi.nlm.nih.gov/protein/ABW79801.1","ABW79801.1")</f>
        <v>ABW79801.1</v>
      </c>
      <c r="D597">
        <v>316</v>
      </c>
      <c r="E597" t="str">
        <f>HYPERLINK("http://www.ncbi.nlm.nih.gov/Taxonomy/Browser/wwwtax.cgi?mode=Info&amp;id=7782&amp;lvl=3&amp;lin=f&amp;keep=1&amp;srchmode=1&amp;unlock","7782")</f>
        <v>7782</v>
      </c>
      <c r="F597" t="s">
        <v>550</v>
      </c>
      <c r="G597" t="str">
        <f>HYPERLINK("http://www.ncbi.nlm.nih.gov/Taxonomy/Browser/wwwtax.cgi?mode=Info&amp;id=7782&amp;lvl=3&amp;lin=f&amp;keep=1&amp;srchmode=1&amp;unlock","Leucoraja erinacea")</f>
        <v>Leucoraja erinacea</v>
      </c>
      <c r="H597" t="s">
        <v>1003</v>
      </c>
      <c r="I597" t="str">
        <f>HYPERLINK("http://www.ncbi.nlm.nih.gov/protein/ABW79801.1","testicular androgen receptor, partial")</f>
        <v>testicular androgen receptor, partial</v>
      </c>
      <c r="J597" t="s">
        <v>1329</v>
      </c>
      <c r="K597" t="s">
        <v>20</v>
      </c>
      <c r="L597">
        <v>525</v>
      </c>
      <c r="M597" t="s">
        <v>25</v>
      </c>
      <c r="N597" t="s">
        <v>20</v>
      </c>
      <c r="O597">
        <v>531</v>
      </c>
      <c r="P597" t="s">
        <v>1313</v>
      </c>
      <c r="Q597" t="s">
        <v>20</v>
      </c>
      <c r="R597">
        <v>572</v>
      </c>
      <c r="S597" t="s">
        <v>1314</v>
      </c>
      <c r="T597" t="s">
        <v>20</v>
      </c>
      <c r="U597">
        <v>697</v>
      </c>
      <c r="V597" t="s">
        <v>1330</v>
      </c>
      <c r="W597" t="s">
        <v>20</v>
      </c>
    </row>
    <row r="598" spans="1:23" x14ac:dyDescent="0.25">
      <c r="A598">
        <v>6</v>
      </c>
      <c r="B598" t="s">
        <v>550</v>
      </c>
      <c r="C598" t="str">
        <f>HYPERLINK("http://www.ncbi.nlm.nih.gov/protein/AAP55843.2","AAP55843.2")</f>
        <v>AAP55843.2</v>
      </c>
      <c r="D598">
        <v>517</v>
      </c>
      <c r="E598" t="str">
        <f>HYPERLINK("http://www.ncbi.nlm.nih.gov/Taxonomy/Browser/wwwtax.cgi?mode=Info&amp;id=7797&amp;lvl=3&amp;lin=f&amp;keep=1&amp;srchmode=1&amp;unlock","7797")</f>
        <v>7797</v>
      </c>
      <c r="F598" t="s">
        <v>550</v>
      </c>
      <c r="G598" t="str">
        <f>HYPERLINK("http://www.ncbi.nlm.nih.gov/Taxonomy/Browser/wwwtax.cgi?mode=Info&amp;id=7797&amp;lvl=3&amp;lin=f&amp;keep=1&amp;srchmode=1&amp;unlock","Squalus acanthias")</f>
        <v>Squalus acanthias</v>
      </c>
      <c r="H598" t="s">
        <v>1007</v>
      </c>
      <c r="I598" t="str">
        <f>HYPERLINK("http://www.ncbi.nlm.nih.gov/protein/AAP55843.2","androgen receptor, partial")</f>
        <v>androgen receptor, partial</v>
      </c>
      <c r="J598" t="s">
        <v>1329</v>
      </c>
      <c r="K598" t="s">
        <v>20</v>
      </c>
      <c r="L598">
        <v>564</v>
      </c>
      <c r="M598" t="s">
        <v>25</v>
      </c>
      <c r="N598" t="s">
        <v>20</v>
      </c>
      <c r="O598">
        <v>570</v>
      </c>
      <c r="P598" t="s">
        <v>1313</v>
      </c>
      <c r="Q598" t="s">
        <v>20</v>
      </c>
      <c r="R598">
        <v>611</v>
      </c>
      <c r="S598" t="s">
        <v>1314</v>
      </c>
      <c r="T598" t="s">
        <v>20</v>
      </c>
      <c r="U598">
        <v>736</v>
      </c>
      <c r="V598" t="s">
        <v>1315</v>
      </c>
      <c r="W598" t="s">
        <v>20</v>
      </c>
    </row>
    <row r="599" spans="1:23" x14ac:dyDescent="0.25">
      <c r="A599">
        <v>6</v>
      </c>
      <c r="B599" t="s">
        <v>550</v>
      </c>
      <c r="C599" t="str">
        <f>HYPERLINK("http://www.ncbi.nlm.nih.gov/protein/XP_007892483.1","XP_007892483.1")</f>
        <v>XP_007892483.1</v>
      </c>
      <c r="D599">
        <v>32968</v>
      </c>
      <c r="E599" t="str">
        <f>HYPERLINK("http://www.ncbi.nlm.nih.gov/Taxonomy/Browser/wwwtax.cgi?mode=Info&amp;id=7868&amp;lvl=3&amp;lin=f&amp;keep=1&amp;srchmode=1&amp;unlock","7868")</f>
        <v>7868</v>
      </c>
      <c r="F599" t="s">
        <v>550</v>
      </c>
      <c r="G599" t="str">
        <f>HYPERLINK("http://www.ncbi.nlm.nih.gov/Taxonomy/Browser/wwwtax.cgi?mode=Info&amp;id=7868&amp;lvl=3&amp;lin=f&amp;keep=1&amp;srchmode=1&amp;unlock","Callorhinchus milii")</f>
        <v>Callorhinchus milii</v>
      </c>
      <c r="H599" t="s">
        <v>608</v>
      </c>
      <c r="I599" t="str">
        <f>HYPERLINK("http://www.ncbi.nlm.nih.gov/protein/XP_007892483.1","PREDICTED: androgen receptor isoform X2")</f>
        <v>PREDICTED: androgen receptor isoform X2</v>
      </c>
      <c r="J599" t="s">
        <v>1329</v>
      </c>
      <c r="K599" t="s">
        <v>20</v>
      </c>
      <c r="L599">
        <v>159</v>
      </c>
      <c r="M599" t="s">
        <v>25</v>
      </c>
      <c r="N599" t="s">
        <v>20</v>
      </c>
      <c r="O599">
        <v>165</v>
      </c>
      <c r="P599" t="s">
        <v>1313</v>
      </c>
      <c r="Q599" t="s">
        <v>20</v>
      </c>
      <c r="R599">
        <v>206</v>
      </c>
      <c r="S599" t="s">
        <v>1314</v>
      </c>
      <c r="T599" t="s">
        <v>20</v>
      </c>
      <c r="U599">
        <v>331</v>
      </c>
      <c r="V599" t="s">
        <v>1315</v>
      </c>
      <c r="W599" t="s">
        <v>20</v>
      </c>
    </row>
    <row r="600" spans="1:23" x14ac:dyDescent="0.25">
      <c r="A600">
        <v>6</v>
      </c>
      <c r="B600" t="s">
        <v>687</v>
      </c>
      <c r="C600" t="str">
        <f>HYPERLINK("http://www.ncbi.nlm.nih.gov/protein/AWT24623.1","AWT24623.1")</f>
        <v>AWT24623.1</v>
      </c>
      <c r="D600">
        <v>351</v>
      </c>
      <c r="E600" t="str">
        <f>HYPERLINK("http://www.ncbi.nlm.nih.gov/Taxonomy/Browser/wwwtax.cgi?mode=Info&amp;id=7888&amp;lvl=3&amp;lin=f&amp;keep=1&amp;srchmode=1&amp;unlock","7888")</f>
        <v>7888</v>
      </c>
      <c r="F600" t="s">
        <v>687</v>
      </c>
      <c r="G600" t="str">
        <f>HYPERLINK("http://www.ncbi.nlm.nih.gov/Taxonomy/Browser/wwwtax.cgi?mode=Info&amp;id=7888&amp;lvl=3&amp;lin=f&amp;keep=1&amp;srchmode=1&amp;unlock","Protopterus annectens")</f>
        <v>Protopterus annectens</v>
      </c>
      <c r="H600" t="s">
        <v>1010</v>
      </c>
      <c r="I600" t="str">
        <f>HYPERLINK("http://www.ncbi.nlm.nih.gov/protein/AWT24623.1","AR")</f>
        <v>AR</v>
      </c>
      <c r="J600" t="s">
        <v>1331</v>
      </c>
      <c r="K600" t="s">
        <v>20</v>
      </c>
      <c r="L600">
        <v>665</v>
      </c>
      <c r="M600" t="s">
        <v>25</v>
      </c>
      <c r="N600" t="s">
        <v>20</v>
      </c>
      <c r="O600">
        <v>671</v>
      </c>
      <c r="P600" t="s">
        <v>1313</v>
      </c>
      <c r="Q600" t="s">
        <v>20</v>
      </c>
      <c r="R600">
        <v>712</v>
      </c>
      <c r="S600" t="s">
        <v>1314</v>
      </c>
      <c r="T600" t="s">
        <v>20</v>
      </c>
      <c r="U600">
        <v>833</v>
      </c>
      <c r="V600" t="s">
        <v>1315</v>
      </c>
      <c r="W600" t="s">
        <v>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ECA0-740B-4CB2-8148-142C0758F069}">
  <dimension ref="A1:AQ600"/>
  <sheetViews>
    <sheetView workbookViewId="0">
      <selection activeCell="L21" sqref="L21"/>
    </sheetView>
  </sheetViews>
  <sheetFormatPr defaultRowHeight="15" x14ac:dyDescent="0.25"/>
  <sheetData>
    <row r="1" spans="1:43" x14ac:dyDescent="0.25">
      <c r="A1" t="s">
        <v>0</v>
      </c>
      <c r="B1" t="s">
        <v>1298</v>
      </c>
      <c r="C1" t="s">
        <v>1</v>
      </c>
      <c r="D1" t="s">
        <v>2</v>
      </c>
      <c r="E1" t="s">
        <v>3</v>
      </c>
      <c r="F1" t="s">
        <v>4</v>
      </c>
      <c r="G1" t="s">
        <v>6</v>
      </c>
      <c r="H1" t="s">
        <v>7</v>
      </c>
      <c r="I1" t="s">
        <v>8</v>
      </c>
      <c r="J1" t="s">
        <v>15</v>
      </c>
      <c r="K1" t="s">
        <v>1299</v>
      </c>
      <c r="L1" t="s">
        <v>1300</v>
      </c>
      <c r="M1" t="s">
        <v>1301</v>
      </c>
      <c r="N1" t="s">
        <v>1332</v>
      </c>
      <c r="O1" t="s">
        <v>1333</v>
      </c>
      <c r="P1" t="s">
        <v>1334</v>
      </c>
      <c r="Q1" t="s">
        <v>1335</v>
      </c>
      <c r="R1" t="s">
        <v>1336</v>
      </c>
      <c r="S1" t="s">
        <v>1302</v>
      </c>
      <c r="T1" t="s">
        <v>1303</v>
      </c>
      <c r="U1" t="s">
        <v>1304</v>
      </c>
      <c r="V1" t="s">
        <v>1337</v>
      </c>
      <c r="W1" t="s">
        <v>1338</v>
      </c>
      <c r="X1" t="s">
        <v>1339</v>
      </c>
      <c r="Y1" t="s">
        <v>1340</v>
      </c>
      <c r="Z1" t="s">
        <v>1341</v>
      </c>
      <c r="AA1" t="s">
        <v>1305</v>
      </c>
      <c r="AB1" t="s">
        <v>1306</v>
      </c>
      <c r="AC1" t="s">
        <v>1307</v>
      </c>
      <c r="AD1" t="s">
        <v>1342</v>
      </c>
      <c r="AE1" t="s">
        <v>1343</v>
      </c>
      <c r="AF1" t="s">
        <v>1344</v>
      </c>
      <c r="AG1" t="s">
        <v>1345</v>
      </c>
      <c r="AH1" t="s">
        <v>1346</v>
      </c>
      <c r="AI1" t="s">
        <v>1308</v>
      </c>
      <c r="AJ1" t="s">
        <v>1309</v>
      </c>
      <c r="AK1" t="s">
        <v>1310</v>
      </c>
      <c r="AL1" t="s">
        <v>1347</v>
      </c>
      <c r="AM1" t="s">
        <v>1348</v>
      </c>
      <c r="AN1" t="s">
        <v>1349</v>
      </c>
      <c r="AO1" t="s">
        <v>1350</v>
      </c>
      <c r="AP1" t="s">
        <v>1351</v>
      </c>
      <c r="AQ1" t="s">
        <v>1311</v>
      </c>
    </row>
    <row r="2" spans="1:43" x14ac:dyDescent="0.25">
      <c r="A2">
        <v>6</v>
      </c>
      <c r="B2" t="s">
        <v>18</v>
      </c>
      <c r="C2" t="str">
        <f>HYPERLINK("http://www.ncbi.nlm.nih.gov/protein/AAI32976.1","AAI32976.1")</f>
        <v>AAI32976.1</v>
      </c>
      <c r="D2">
        <v>2603582</v>
      </c>
      <c r="E2" t="str">
        <f>HYPERLINK("http://www.ncbi.nlm.nih.gov/Taxonomy/Browser/wwwtax.cgi?mode=Info&amp;id=9606&amp;lvl=3&amp;lin=f&amp;keep=1&amp;srchmode=1&amp;unlock","9606")</f>
        <v>9606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HYPERLINK("http://www.ncbi.nlm.nih.gov/protein/AAI32976.1","AR protein")</f>
        <v>AR protein</v>
      </c>
      <c r="J2" t="s">
        <v>1312</v>
      </c>
      <c r="K2" t="s">
        <v>20</v>
      </c>
      <c r="L2">
        <v>700</v>
      </c>
      <c r="M2" t="s">
        <v>25</v>
      </c>
      <c r="N2" t="s">
        <v>20</v>
      </c>
      <c r="O2" t="s">
        <v>1352</v>
      </c>
      <c r="P2" t="s">
        <v>20</v>
      </c>
      <c r="Q2">
        <v>132.119</v>
      </c>
      <c r="R2" t="s">
        <v>20</v>
      </c>
      <c r="S2" t="s">
        <v>20</v>
      </c>
      <c r="T2">
        <v>706</v>
      </c>
      <c r="U2" t="s">
        <v>1313</v>
      </c>
      <c r="V2" t="s">
        <v>20</v>
      </c>
      <c r="W2" t="s">
        <v>1352</v>
      </c>
      <c r="X2" t="s">
        <v>20</v>
      </c>
      <c r="Y2">
        <v>146.14599999999999</v>
      </c>
      <c r="Z2" t="s">
        <v>20</v>
      </c>
      <c r="AA2" t="s">
        <v>20</v>
      </c>
      <c r="AB2">
        <v>747</v>
      </c>
      <c r="AC2" t="s">
        <v>1314</v>
      </c>
      <c r="AD2" t="s">
        <v>20</v>
      </c>
      <c r="AE2" t="s">
        <v>1353</v>
      </c>
      <c r="AF2" t="s">
        <v>20</v>
      </c>
      <c r="AG2">
        <v>174.203</v>
      </c>
      <c r="AH2" t="s">
        <v>20</v>
      </c>
      <c r="AI2" t="s">
        <v>20</v>
      </c>
      <c r="AJ2">
        <v>872</v>
      </c>
      <c r="AK2" t="s">
        <v>1315</v>
      </c>
      <c r="AL2" t="s">
        <v>20</v>
      </c>
      <c r="AM2" t="s">
        <v>1354</v>
      </c>
      <c r="AN2" t="s">
        <v>20</v>
      </c>
      <c r="AO2">
        <v>119.119</v>
      </c>
      <c r="AP2" t="s">
        <v>20</v>
      </c>
      <c r="AQ2" t="s">
        <v>20</v>
      </c>
    </row>
    <row r="3" spans="1:43" x14ac:dyDescent="0.25">
      <c r="A3">
        <v>6</v>
      </c>
      <c r="B3" t="s">
        <v>18</v>
      </c>
      <c r="C3" t="str">
        <f>HYPERLINK("http://www.ncbi.nlm.nih.gov/protein/PNI41853.1","PNI41853.1")</f>
        <v>PNI41853.1</v>
      </c>
      <c r="D3">
        <v>171683</v>
      </c>
      <c r="E3" t="str">
        <f>HYPERLINK("http://www.ncbi.nlm.nih.gov/Taxonomy/Browser/wwwtax.cgi?mode=Info&amp;id=9598&amp;lvl=3&amp;lin=f&amp;keep=1&amp;srchmode=1&amp;unlock","9598")</f>
        <v>9598</v>
      </c>
      <c r="F3" t="s">
        <v>18</v>
      </c>
      <c r="G3" t="str">
        <f>HYPERLINK("http://www.ncbi.nlm.nih.gov/Taxonomy/Browser/wwwtax.cgi?mode=Info&amp;id=9598&amp;lvl=3&amp;lin=f&amp;keep=1&amp;srchmode=1&amp;unlock","Pan troglodytes")</f>
        <v>Pan troglodytes</v>
      </c>
      <c r="H3" t="s">
        <v>22</v>
      </c>
      <c r="I3" t="str">
        <f>HYPERLINK("http://www.ncbi.nlm.nih.gov/protein/PNI41853.1","AR isoform 1")</f>
        <v>AR isoform 1</v>
      </c>
      <c r="J3" t="s">
        <v>1312</v>
      </c>
      <c r="K3" t="s">
        <v>20</v>
      </c>
      <c r="L3">
        <v>699</v>
      </c>
      <c r="M3" t="s">
        <v>25</v>
      </c>
      <c r="N3" t="s">
        <v>20</v>
      </c>
      <c r="O3" t="s">
        <v>1352</v>
      </c>
      <c r="P3" t="s">
        <v>20</v>
      </c>
      <c r="Q3">
        <v>132.119</v>
      </c>
      <c r="R3" t="s">
        <v>20</v>
      </c>
      <c r="S3" t="s">
        <v>20</v>
      </c>
      <c r="T3">
        <v>705</v>
      </c>
      <c r="U3" t="s">
        <v>1313</v>
      </c>
      <c r="V3" t="s">
        <v>20</v>
      </c>
      <c r="W3" t="s">
        <v>1352</v>
      </c>
      <c r="X3" t="s">
        <v>20</v>
      </c>
      <c r="Y3">
        <v>146.14599999999999</v>
      </c>
      <c r="Z3" t="s">
        <v>20</v>
      </c>
      <c r="AA3" t="s">
        <v>20</v>
      </c>
      <c r="AB3">
        <v>746</v>
      </c>
      <c r="AC3" t="s">
        <v>1314</v>
      </c>
      <c r="AD3" t="s">
        <v>20</v>
      </c>
      <c r="AE3" t="s">
        <v>1353</v>
      </c>
      <c r="AF3" t="s">
        <v>20</v>
      </c>
      <c r="AG3">
        <v>174.203</v>
      </c>
      <c r="AH3" t="s">
        <v>20</v>
      </c>
      <c r="AI3" t="s">
        <v>20</v>
      </c>
      <c r="AJ3">
        <v>871</v>
      </c>
      <c r="AK3" t="s">
        <v>1315</v>
      </c>
      <c r="AL3" t="s">
        <v>20</v>
      </c>
      <c r="AM3" t="s">
        <v>1354</v>
      </c>
      <c r="AN3" t="s">
        <v>20</v>
      </c>
      <c r="AO3">
        <v>119.119</v>
      </c>
      <c r="AP3" t="s">
        <v>20</v>
      </c>
      <c r="AQ3" t="s">
        <v>20</v>
      </c>
    </row>
    <row r="4" spans="1:43" x14ac:dyDescent="0.25">
      <c r="A4">
        <v>6</v>
      </c>
      <c r="B4" t="s">
        <v>18</v>
      </c>
      <c r="C4" t="str">
        <f>HYPERLINK("http://www.ncbi.nlm.nih.gov/protein/XP_034805436.1","XP_034805436.1")</f>
        <v>XP_034805436.1</v>
      </c>
      <c r="D4">
        <v>71982</v>
      </c>
      <c r="E4" t="str">
        <f>HYPERLINK("http://www.ncbi.nlm.nih.gov/Taxonomy/Browser/wwwtax.cgi?mode=Info&amp;id=9597&amp;lvl=3&amp;lin=f&amp;keep=1&amp;srchmode=1&amp;unlock","9597")</f>
        <v>9597</v>
      </c>
      <c r="F4" t="s">
        <v>18</v>
      </c>
      <c r="G4" t="str">
        <f>HYPERLINK("http://www.ncbi.nlm.nih.gov/Taxonomy/Browser/wwwtax.cgi?mode=Info&amp;id=9597&amp;lvl=3&amp;lin=f&amp;keep=1&amp;srchmode=1&amp;unlock","Pan paniscus")</f>
        <v>Pan paniscus</v>
      </c>
      <c r="H4" t="s">
        <v>23</v>
      </c>
      <c r="I4" t="str">
        <f>HYPERLINK("http://www.ncbi.nlm.nih.gov/protein/XP_034805436.1","androgen receptor isoform X1")</f>
        <v>androgen receptor isoform X1</v>
      </c>
      <c r="J4" t="s">
        <v>1312</v>
      </c>
      <c r="K4" t="s">
        <v>20</v>
      </c>
      <c r="L4">
        <v>693</v>
      </c>
      <c r="M4" t="s">
        <v>25</v>
      </c>
      <c r="N4" t="s">
        <v>20</v>
      </c>
      <c r="O4" t="s">
        <v>1352</v>
      </c>
      <c r="P4" t="s">
        <v>20</v>
      </c>
      <c r="Q4">
        <v>132.119</v>
      </c>
      <c r="R4" t="s">
        <v>20</v>
      </c>
      <c r="S4" t="s">
        <v>20</v>
      </c>
      <c r="T4">
        <v>699</v>
      </c>
      <c r="U4" t="s">
        <v>1313</v>
      </c>
      <c r="V4" t="s">
        <v>20</v>
      </c>
      <c r="W4" t="s">
        <v>1352</v>
      </c>
      <c r="X4" t="s">
        <v>20</v>
      </c>
      <c r="Y4">
        <v>146.14599999999999</v>
      </c>
      <c r="Z4" t="s">
        <v>20</v>
      </c>
      <c r="AA4" t="s">
        <v>20</v>
      </c>
      <c r="AB4">
        <v>740</v>
      </c>
      <c r="AC4" t="s">
        <v>1314</v>
      </c>
      <c r="AD4" t="s">
        <v>20</v>
      </c>
      <c r="AE4" t="s">
        <v>1353</v>
      </c>
      <c r="AF4" t="s">
        <v>20</v>
      </c>
      <c r="AG4">
        <v>174.203</v>
      </c>
      <c r="AH4" t="s">
        <v>20</v>
      </c>
      <c r="AI4" t="s">
        <v>20</v>
      </c>
      <c r="AJ4">
        <v>865</v>
      </c>
      <c r="AK4" t="s">
        <v>1315</v>
      </c>
      <c r="AL4" t="s">
        <v>20</v>
      </c>
      <c r="AM4" t="s">
        <v>1354</v>
      </c>
      <c r="AN4" t="s">
        <v>20</v>
      </c>
      <c r="AO4">
        <v>119.119</v>
      </c>
      <c r="AP4" t="s">
        <v>20</v>
      </c>
      <c r="AQ4" t="s">
        <v>20</v>
      </c>
    </row>
    <row r="5" spans="1:43" x14ac:dyDescent="0.25">
      <c r="A5">
        <v>6</v>
      </c>
      <c r="B5" t="s">
        <v>18</v>
      </c>
      <c r="C5" t="str">
        <f>HYPERLINK("http://www.ncbi.nlm.nih.gov/protein/XP_018875276.1","XP_018875276.1")</f>
        <v>XP_018875276.1</v>
      </c>
      <c r="D5">
        <v>52137</v>
      </c>
      <c r="E5" t="str">
        <f>HYPERLINK("http://www.ncbi.nlm.nih.gov/Taxonomy/Browser/wwwtax.cgi?mode=Info&amp;id=9595&amp;lvl=3&amp;lin=f&amp;keep=1&amp;srchmode=1&amp;unlock","9595")</f>
        <v>9595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HYPERLINK("http://www.ncbi.nlm.nih.gov/protein/XP_018875276.1","androgen receptor")</f>
        <v>androgen receptor</v>
      </c>
      <c r="J5" t="s">
        <v>1312</v>
      </c>
      <c r="K5" t="s">
        <v>20</v>
      </c>
      <c r="L5">
        <v>688</v>
      </c>
      <c r="M5" t="s">
        <v>25</v>
      </c>
      <c r="N5" t="s">
        <v>20</v>
      </c>
      <c r="O5" t="s">
        <v>1352</v>
      </c>
      <c r="P5" t="s">
        <v>20</v>
      </c>
      <c r="Q5">
        <v>132.119</v>
      </c>
      <c r="R5" t="s">
        <v>20</v>
      </c>
      <c r="S5" t="s">
        <v>20</v>
      </c>
      <c r="T5">
        <v>694</v>
      </c>
      <c r="U5" t="s">
        <v>1313</v>
      </c>
      <c r="V5" t="s">
        <v>20</v>
      </c>
      <c r="W5" t="s">
        <v>1352</v>
      </c>
      <c r="X5" t="s">
        <v>20</v>
      </c>
      <c r="Y5">
        <v>146.14599999999999</v>
      </c>
      <c r="Z5" t="s">
        <v>20</v>
      </c>
      <c r="AA5" t="s">
        <v>20</v>
      </c>
      <c r="AB5">
        <v>735</v>
      </c>
      <c r="AC5" t="s">
        <v>1314</v>
      </c>
      <c r="AD5" t="s">
        <v>20</v>
      </c>
      <c r="AE5" t="s">
        <v>1353</v>
      </c>
      <c r="AF5" t="s">
        <v>20</v>
      </c>
      <c r="AG5">
        <v>174.203</v>
      </c>
      <c r="AH5" t="s">
        <v>20</v>
      </c>
      <c r="AI5" t="s">
        <v>20</v>
      </c>
      <c r="AJ5">
        <v>860</v>
      </c>
      <c r="AK5" t="s">
        <v>1315</v>
      </c>
      <c r="AL5" t="s">
        <v>20</v>
      </c>
      <c r="AM5" t="s">
        <v>1354</v>
      </c>
      <c r="AN5" t="s">
        <v>20</v>
      </c>
      <c r="AO5">
        <v>119.119</v>
      </c>
      <c r="AP5" t="s">
        <v>20</v>
      </c>
      <c r="AQ5" t="s">
        <v>20</v>
      </c>
    </row>
    <row r="6" spans="1:43" x14ac:dyDescent="0.25">
      <c r="A6">
        <v>6</v>
      </c>
      <c r="B6" t="s">
        <v>18</v>
      </c>
      <c r="C6" t="str">
        <f>HYPERLINK("http://www.ncbi.nlm.nih.gov/protein/XP_009233214.1","XP_009233214.1")</f>
        <v>XP_009233214.1</v>
      </c>
      <c r="D6">
        <v>141069</v>
      </c>
      <c r="E6" t="str">
        <f>HYPERLINK("http://www.ncbi.nlm.nih.gov/Taxonomy/Browser/wwwtax.cgi?mode=Info&amp;id=9601&amp;lvl=3&amp;lin=f&amp;keep=1&amp;srchmode=1&amp;unlock","9601")</f>
        <v>9601</v>
      </c>
      <c r="F6" t="s">
        <v>18</v>
      </c>
      <c r="G6" t="str">
        <f>HYPERLINK("http://www.ncbi.nlm.nih.gov/Taxonomy/Browser/wwwtax.cgi?mode=Info&amp;id=9601&amp;lvl=3&amp;lin=f&amp;keep=1&amp;srchmode=1&amp;unlock","Pongo abelii")</f>
        <v>Pongo abelii</v>
      </c>
      <c r="H6" t="s">
        <v>28</v>
      </c>
      <c r="I6" t="str">
        <f>HYPERLINK("http://www.ncbi.nlm.nih.gov/protein/XP_009233214.1","androgen receptor isoform X1")</f>
        <v>androgen receptor isoform X1</v>
      </c>
      <c r="J6" t="s">
        <v>1312</v>
      </c>
      <c r="K6" t="s">
        <v>20</v>
      </c>
      <c r="L6">
        <v>694</v>
      </c>
      <c r="M6" t="s">
        <v>25</v>
      </c>
      <c r="N6" t="s">
        <v>20</v>
      </c>
      <c r="O6" t="s">
        <v>1352</v>
      </c>
      <c r="P6" t="s">
        <v>20</v>
      </c>
      <c r="Q6">
        <v>132.119</v>
      </c>
      <c r="R6" t="s">
        <v>20</v>
      </c>
      <c r="S6" t="s">
        <v>20</v>
      </c>
      <c r="T6">
        <v>700</v>
      </c>
      <c r="U6" t="s">
        <v>1313</v>
      </c>
      <c r="V6" t="s">
        <v>20</v>
      </c>
      <c r="W6" t="s">
        <v>1352</v>
      </c>
      <c r="X6" t="s">
        <v>20</v>
      </c>
      <c r="Y6">
        <v>146.14599999999999</v>
      </c>
      <c r="Z6" t="s">
        <v>20</v>
      </c>
      <c r="AA6" t="s">
        <v>20</v>
      </c>
      <c r="AB6">
        <v>741</v>
      </c>
      <c r="AC6" t="s">
        <v>1314</v>
      </c>
      <c r="AD6" t="s">
        <v>20</v>
      </c>
      <c r="AE6" t="s">
        <v>1353</v>
      </c>
      <c r="AF6" t="s">
        <v>20</v>
      </c>
      <c r="AG6">
        <v>174.203</v>
      </c>
      <c r="AH6" t="s">
        <v>20</v>
      </c>
      <c r="AI6" t="s">
        <v>20</v>
      </c>
      <c r="AJ6">
        <v>866</v>
      </c>
      <c r="AK6" t="s">
        <v>1315</v>
      </c>
      <c r="AL6" t="s">
        <v>20</v>
      </c>
      <c r="AM6" t="s">
        <v>1354</v>
      </c>
      <c r="AN6" t="s">
        <v>20</v>
      </c>
      <c r="AO6">
        <v>119.119</v>
      </c>
      <c r="AP6" t="s">
        <v>20</v>
      </c>
      <c r="AQ6" t="s">
        <v>20</v>
      </c>
    </row>
    <row r="7" spans="1:43" x14ac:dyDescent="0.25">
      <c r="A7">
        <v>6</v>
      </c>
      <c r="B7" t="s">
        <v>18</v>
      </c>
      <c r="C7" t="str">
        <f>HYPERLINK("http://www.ncbi.nlm.nih.gov/protein/XP_023054207.1","XP_023054207.1")</f>
        <v>XP_023054207.1</v>
      </c>
      <c r="D7">
        <v>55467</v>
      </c>
      <c r="E7" t="str">
        <f>HYPERLINK("http://www.ncbi.nlm.nih.gov/Taxonomy/Browser/wwwtax.cgi?mode=Info&amp;id=591936&amp;lvl=3&amp;lin=f&amp;keep=1&amp;srchmode=1&amp;unlock","591936")</f>
        <v>591936</v>
      </c>
      <c r="F7" t="s">
        <v>18</v>
      </c>
      <c r="G7" t="str">
        <f>HYPERLINK("http://www.ncbi.nlm.nih.gov/Taxonomy/Browser/wwwtax.cgi?mode=Info&amp;id=591936&amp;lvl=3&amp;lin=f&amp;keep=1&amp;srchmode=1&amp;unlock","Piliocolobus tephrosceles")</f>
        <v>Piliocolobus tephrosceles</v>
      </c>
      <c r="H7" t="s">
        <v>33</v>
      </c>
      <c r="I7" t="str">
        <f>HYPERLINK("http://www.ncbi.nlm.nih.gov/protein/XP_023054207.1","androgen receptor isoform X1")</f>
        <v>androgen receptor isoform X1</v>
      </c>
      <c r="J7" t="s">
        <v>1312</v>
      </c>
      <c r="K7" t="s">
        <v>20</v>
      </c>
      <c r="L7">
        <v>686</v>
      </c>
      <c r="M7" t="s">
        <v>25</v>
      </c>
      <c r="N7" t="s">
        <v>20</v>
      </c>
      <c r="O7" t="s">
        <v>1352</v>
      </c>
      <c r="P7" t="s">
        <v>20</v>
      </c>
      <c r="Q7">
        <v>132.119</v>
      </c>
      <c r="R7" t="s">
        <v>20</v>
      </c>
      <c r="S7" t="s">
        <v>20</v>
      </c>
      <c r="T7">
        <v>692</v>
      </c>
      <c r="U7" t="s">
        <v>1313</v>
      </c>
      <c r="V7" t="s">
        <v>20</v>
      </c>
      <c r="W7" t="s">
        <v>1352</v>
      </c>
      <c r="X7" t="s">
        <v>20</v>
      </c>
      <c r="Y7">
        <v>146.14599999999999</v>
      </c>
      <c r="Z7" t="s">
        <v>20</v>
      </c>
      <c r="AA7" t="s">
        <v>20</v>
      </c>
      <c r="AB7">
        <v>733</v>
      </c>
      <c r="AC7" t="s">
        <v>1314</v>
      </c>
      <c r="AD7" t="s">
        <v>20</v>
      </c>
      <c r="AE7" t="s">
        <v>1353</v>
      </c>
      <c r="AF7" t="s">
        <v>20</v>
      </c>
      <c r="AG7">
        <v>174.203</v>
      </c>
      <c r="AH7" t="s">
        <v>20</v>
      </c>
      <c r="AI7" t="s">
        <v>20</v>
      </c>
      <c r="AJ7">
        <v>858</v>
      </c>
      <c r="AK7" t="s">
        <v>1315</v>
      </c>
      <c r="AL7" t="s">
        <v>20</v>
      </c>
      <c r="AM7" t="s">
        <v>1354</v>
      </c>
      <c r="AN7" t="s">
        <v>20</v>
      </c>
      <c r="AO7">
        <v>119.119</v>
      </c>
      <c r="AP7" t="s">
        <v>20</v>
      </c>
      <c r="AQ7" t="s">
        <v>20</v>
      </c>
    </row>
    <row r="8" spans="1:43" x14ac:dyDescent="0.25">
      <c r="A8">
        <v>6</v>
      </c>
      <c r="B8" t="s">
        <v>18</v>
      </c>
      <c r="C8" t="str">
        <f>HYPERLINK("http://www.ncbi.nlm.nih.gov/protein/XP_025227875.1","XP_025227875.1")</f>
        <v>XP_025227875.1</v>
      </c>
      <c r="D8">
        <v>52581</v>
      </c>
      <c r="E8" t="str">
        <f>HYPERLINK("http://www.ncbi.nlm.nih.gov/Taxonomy/Browser/wwwtax.cgi?mode=Info&amp;id=9565&amp;lvl=3&amp;lin=f&amp;keep=1&amp;srchmode=1&amp;unlock","9565")</f>
        <v>9565</v>
      </c>
      <c r="F8" t="s">
        <v>18</v>
      </c>
      <c r="G8" t="str">
        <f>HYPERLINK("http://www.ncbi.nlm.nih.gov/Taxonomy/Browser/wwwtax.cgi?mode=Info&amp;id=9565&amp;lvl=3&amp;lin=f&amp;keep=1&amp;srchmode=1&amp;unlock","Theropithecus gelada")</f>
        <v>Theropithecus gelada</v>
      </c>
      <c r="H8" t="s">
        <v>41</v>
      </c>
      <c r="I8" t="str">
        <f>HYPERLINK("http://www.ncbi.nlm.nih.gov/protein/XP_025227875.1","androgen receptor isoform X1")</f>
        <v>androgen receptor isoform X1</v>
      </c>
      <c r="J8" t="s">
        <v>1312</v>
      </c>
      <c r="K8" t="s">
        <v>20</v>
      </c>
      <c r="L8">
        <v>684</v>
      </c>
      <c r="M8" t="s">
        <v>25</v>
      </c>
      <c r="N8" t="s">
        <v>20</v>
      </c>
      <c r="O8" t="s">
        <v>1352</v>
      </c>
      <c r="P8" t="s">
        <v>20</v>
      </c>
      <c r="Q8">
        <v>132.119</v>
      </c>
      <c r="R8" t="s">
        <v>20</v>
      </c>
      <c r="S8" t="s">
        <v>20</v>
      </c>
      <c r="T8">
        <v>690</v>
      </c>
      <c r="U8" t="s">
        <v>1313</v>
      </c>
      <c r="V8" t="s">
        <v>20</v>
      </c>
      <c r="W8" t="s">
        <v>1352</v>
      </c>
      <c r="X8" t="s">
        <v>20</v>
      </c>
      <c r="Y8">
        <v>146.14599999999999</v>
      </c>
      <c r="Z8" t="s">
        <v>20</v>
      </c>
      <c r="AA8" t="s">
        <v>20</v>
      </c>
      <c r="AB8">
        <v>731</v>
      </c>
      <c r="AC8" t="s">
        <v>1314</v>
      </c>
      <c r="AD8" t="s">
        <v>20</v>
      </c>
      <c r="AE8" t="s">
        <v>1353</v>
      </c>
      <c r="AF8" t="s">
        <v>20</v>
      </c>
      <c r="AG8">
        <v>174.203</v>
      </c>
      <c r="AH8" t="s">
        <v>20</v>
      </c>
      <c r="AI8" t="s">
        <v>20</v>
      </c>
      <c r="AJ8">
        <v>856</v>
      </c>
      <c r="AK8" t="s">
        <v>1315</v>
      </c>
      <c r="AL8" t="s">
        <v>20</v>
      </c>
      <c r="AM8" t="s">
        <v>1354</v>
      </c>
      <c r="AN8" t="s">
        <v>20</v>
      </c>
      <c r="AO8">
        <v>119.119</v>
      </c>
      <c r="AP8" t="s">
        <v>20</v>
      </c>
      <c r="AQ8" t="s">
        <v>20</v>
      </c>
    </row>
    <row r="9" spans="1:43" x14ac:dyDescent="0.25">
      <c r="A9">
        <v>6</v>
      </c>
      <c r="B9" t="s">
        <v>18</v>
      </c>
      <c r="C9" t="str">
        <f>HYPERLINK("http://www.ncbi.nlm.nih.gov/protein/XP_011731144.1","XP_011731144.1")</f>
        <v>XP_011731144.1</v>
      </c>
      <c r="D9">
        <v>68712</v>
      </c>
      <c r="E9" t="str">
        <f>HYPERLINK("http://www.ncbi.nlm.nih.gov/Taxonomy/Browser/wwwtax.cgi?mode=Info&amp;id=9545&amp;lvl=3&amp;lin=f&amp;keep=1&amp;srchmode=1&amp;unlock","9545")</f>
        <v>9545</v>
      </c>
      <c r="F9" t="s">
        <v>18</v>
      </c>
      <c r="G9" t="str">
        <f>HYPERLINK("http://www.ncbi.nlm.nih.gov/Taxonomy/Browser/wwwtax.cgi?mode=Info&amp;id=9545&amp;lvl=3&amp;lin=f&amp;keep=1&amp;srchmode=1&amp;unlock","Macaca nemestrina")</f>
        <v>Macaca nemestrina</v>
      </c>
      <c r="H9" t="s">
        <v>30</v>
      </c>
      <c r="I9" t="str">
        <f>HYPERLINK("http://www.ncbi.nlm.nih.gov/protein/XP_011731144.1","androgen receptor isoform X1")</f>
        <v>androgen receptor isoform X1</v>
      </c>
      <c r="J9" t="s">
        <v>1312</v>
      </c>
      <c r="K9" t="s">
        <v>20</v>
      </c>
      <c r="L9">
        <v>684</v>
      </c>
      <c r="M9" t="s">
        <v>25</v>
      </c>
      <c r="N9" t="s">
        <v>20</v>
      </c>
      <c r="O9" t="s">
        <v>1352</v>
      </c>
      <c r="P9" t="s">
        <v>20</v>
      </c>
      <c r="Q9">
        <v>132.119</v>
      </c>
      <c r="R9" t="s">
        <v>20</v>
      </c>
      <c r="S9" t="s">
        <v>20</v>
      </c>
      <c r="T9">
        <v>690</v>
      </c>
      <c r="U9" t="s">
        <v>1313</v>
      </c>
      <c r="V9" t="s">
        <v>20</v>
      </c>
      <c r="W9" t="s">
        <v>1352</v>
      </c>
      <c r="X9" t="s">
        <v>20</v>
      </c>
      <c r="Y9">
        <v>146.14599999999999</v>
      </c>
      <c r="Z9" t="s">
        <v>20</v>
      </c>
      <c r="AA9" t="s">
        <v>20</v>
      </c>
      <c r="AB9">
        <v>731</v>
      </c>
      <c r="AC9" t="s">
        <v>1314</v>
      </c>
      <c r="AD9" t="s">
        <v>20</v>
      </c>
      <c r="AE9" t="s">
        <v>1353</v>
      </c>
      <c r="AF9" t="s">
        <v>20</v>
      </c>
      <c r="AG9">
        <v>174.203</v>
      </c>
      <c r="AH9" t="s">
        <v>20</v>
      </c>
      <c r="AI9" t="s">
        <v>20</v>
      </c>
      <c r="AJ9">
        <v>856</v>
      </c>
      <c r="AK9" t="s">
        <v>1315</v>
      </c>
      <c r="AL9" t="s">
        <v>20</v>
      </c>
      <c r="AM9" t="s">
        <v>1354</v>
      </c>
      <c r="AN9" t="s">
        <v>20</v>
      </c>
      <c r="AO9">
        <v>119.119</v>
      </c>
      <c r="AP9" t="s">
        <v>20</v>
      </c>
      <c r="AQ9" t="s">
        <v>20</v>
      </c>
    </row>
    <row r="10" spans="1:43" x14ac:dyDescent="0.25">
      <c r="A10">
        <v>6</v>
      </c>
      <c r="B10" t="s">
        <v>18</v>
      </c>
      <c r="C10" t="str">
        <f>HYPERLINK("http://www.ncbi.nlm.nih.gov/protein/XP_003917866.2","XP_003917866.2")</f>
        <v>XP_003917866.2</v>
      </c>
      <c r="D10">
        <v>73528</v>
      </c>
      <c r="E10" t="str">
        <f>HYPERLINK("http://www.ncbi.nlm.nih.gov/Taxonomy/Browser/wwwtax.cgi?mode=Info&amp;id=9555&amp;lvl=3&amp;lin=f&amp;keep=1&amp;srchmode=1&amp;unlock","9555")</f>
        <v>9555</v>
      </c>
      <c r="F10" t="s">
        <v>18</v>
      </c>
      <c r="G10" t="str">
        <f>HYPERLINK("http://www.ncbi.nlm.nih.gov/Taxonomy/Browser/wwwtax.cgi?mode=Info&amp;id=9555&amp;lvl=3&amp;lin=f&amp;keep=1&amp;srchmode=1&amp;unlock","Papio anubis")</f>
        <v>Papio anubis</v>
      </c>
      <c r="H10" t="s">
        <v>38</v>
      </c>
      <c r="I10" t="str">
        <f>HYPERLINK("http://www.ncbi.nlm.nih.gov/protein/XP_003917866.2","androgen receptor isoform X1")</f>
        <v>androgen receptor isoform X1</v>
      </c>
      <c r="J10" t="s">
        <v>1312</v>
      </c>
      <c r="K10" t="s">
        <v>20</v>
      </c>
      <c r="L10">
        <v>682</v>
      </c>
      <c r="M10" t="s">
        <v>25</v>
      </c>
      <c r="N10" t="s">
        <v>20</v>
      </c>
      <c r="O10" t="s">
        <v>1352</v>
      </c>
      <c r="P10" t="s">
        <v>20</v>
      </c>
      <c r="Q10">
        <v>132.119</v>
      </c>
      <c r="R10" t="s">
        <v>20</v>
      </c>
      <c r="S10" t="s">
        <v>20</v>
      </c>
      <c r="T10">
        <v>688</v>
      </c>
      <c r="U10" t="s">
        <v>1313</v>
      </c>
      <c r="V10" t="s">
        <v>20</v>
      </c>
      <c r="W10" t="s">
        <v>1352</v>
      </c>
      <c r="X10" t="s">
        <v>20</v>
      </c>
      <c r="Y10">
        <v>146.14599999999999</v>
      </c>
      <c r="Z10" t="s">
        <v>20</v>
      </c>
      <c r="AA10" t="s">
        <v>20</v>
      </c>
      <c r="AB10">
        <v>729</v>
      </c>
      <c r="AC10" t="s">
        <v>1314</v>
      </c>
      <c r="AD10" t="s">
        <v>20</v>
      </c>
      <c r="AE10" t="s">
        <v>1353</v>
      </c>
      <c r="AF10" t="s">
        <v>20</v>
      </c>
      <c r="AG10">
        <v>174.203</v>
      </c>
      <c r="AH10" t="s">
        <v>20</v>
      </c>
      <c r="AI10" t="s">
        <v>20</v>
      </c>
      <c r="AJ10">
        <v>854</v>
      </c>
      <c r="AK10" t="s">
        <v>1315</v>
      </c>
      <c r="AL10" t="s">
        <v>20</v>
      </c>
      <c r="AM10" t="s">
        <v>1354</v>
      </c>
      <c r="AN10" t="s">
        <v>20</v>
      </c>
      <c r="AO10">
        <v>119.119</v>
      </c>
      <c r="AP10" t="s">
        <v>20</v>
      </c>
      <c r="AQ10" t="s">
        <v>20</v>
      </c>
    </row>
    <row r="11" spans="1:43" x14ac:dyDescent="0.25">
      <c r="A11">
        <v>6</v>
      </c>
      <c r="B11" t="s">
        <v>18</v>
      </c>
      <c r="C11" t="str">
        <f>HYPERLINK("http://www.ncbi.nlm.nih.gov/protein/XP_030790396.1","XP_030790396.1")</f>
        <v>XP_030790396.1</v>
      </c>
      <c r="D11">
        <v>53902</v>
      </c>
      <c r="E11" t="str">
        <f>HYPERLINK("http://www.ncbi.nlm.nih.gov/Taxonomy/Browser/wwwtax.cgi?mode=Info&amp;id=61622&amp;lvl=3&amp;lin=f&amp;keep=1&amp;srchmode=1&amp;unlock","61622")</f>
        <v>61622</v>
      </c>
      <c r="F11" t="s">
        <v>18</v>
      </c>
      <c r="G11" t="str">
        <f>HYPERLINK("http://www.ncbi.nlm.nih.gov/Taxonomy/Browser/wwwtax.cgi?mode=Info&amp;id=61622&amp;lvl=3&amp;lin=f&amp;keep=1&amp;srchmode=1&amp;unlock","Rhinopithecus roxellana")</f>
        <v>Rhinopithecus roxellana</v>
      </c>
      <c r="H11" t="s">
        <v>36</v>
      </c>
      <c r="I11" t="str">
        <f>HYPERLINK("http://www.ncbi.nlm.nih.gov/protein/XP_030790396.1","androgen receptor")</f>
        <v>androgen receptor</v>
      </c>
      <c r="J11" t="s">
        <v>1312</v>
      </c>
      <c r="K11" t="s">
        <v>20</v>
      </c>
      <c r="L11">
        <v>690</v>
      </c>
      <c r="M11" t="s">
        <v>25</v>
      </c>
      <c r="N11" t="s">
        <v>20</v>
      </c>
      <c r="O11" t="s">
        <v>1352</v>
      </c>
      <c r="P11" t="s">
        <v>20</v>
      </c>
      <c r="Q11">
        <v>132.119</v>
      </c>
      <c r="R11" t="s">
        <v>20</v>
      </c>
      <c r="S11" t="s">
        <v>20</v>
      </c>
      <c r="T11">
        <v>696</v>
      </c>
      <c r="U11" t="s">
        <v>1313</v>
      </c>
      <c r="V11" t="s">
        <v>20</v>
      </c>
      <c r="W11" t="s">
        <v>1352</v>
      </c>
      <c r="X11" t="s">
        <v>20</v>
      </c>
      <c r="Y11">
        <v>146.14599999999999</v>
      </c>
      <c r="Z11" t="s">
        <v>20</v>
      </c>
      <c r="AA11" t="s">
        <v>20</v>
      </c>
      <c r="AB11">
        <v>737</v>
      </c>
      <c r="AC11" t="s">
        <v>1314</v>
      </c>
      <c r="AD11" t="s">
        <v>20</v>
      </c>
      <c r="AE11" t="s">
        <v>1353</v>
      </c>
      <c r="AF11" t="s">
        <v>20</v>
      </c>
      <c r="AG11">
        <v>174.203</v>
      </c>
      <c r="AH11" t="s">
        <v>20</v>
      </c>
      <c r="AI11" t="s">
        <v>20</v>
      </c>
      <c r="AJ11">
        <v>862</v>
      </c>
      <c r="AK11" t="s">
        <v>1315</v>
      </c>
      <c r="AL11" t="s">
        <v>20</v>
      </c>
      <c r="AM11" t="s">
        <v>1354</v>
      </c>
      <c r="AN11" t="s">
        <v>20</v>
      </c>
      <c r="AO11">
        <v>119.119</v>
      </c>
      <c r="AP11" t="s">
        <v>20</v>
      </c>
      <c r="AQ11" t="s">
        <v>20</v>
      </c>
    </row>
    <row r="12" spans="1:43" x14ac:dyDescent="0.25">
      <c r="A12">
        <v>6</v>
      </c>
      <c r="B12" t="s">
        <v>18</v>
      </c>
      <c r="C12" t="str">
        <f>HYPERLINK("http://www.ncbi.nlm.nih.gov/protein/XP_007990129.1","XP_007990129.1")</f>
        <v>XP_007990129.1</v>
      </c>
      <c r="D12">
        <v>62297</v>
      </c>
      <c r="E12" t="str">
        <f>HYPERLINK("http://www.ncbi.nlm.nih.gov/Taxonomy/Browser/wwwtax.cgi?mode=Info&amp;id=60711&amp;lvl=3&amp;lin=f&amp;keep=1&amp;srchmode=1&amp;unlock","60711")</f>
        <v>60711</v>
      </c>
      <c r="F12" t="s">
        <v>18</v>
      </c>
      <c r="G12" t="str">
        <f>HYPERLINK("http://www.ncbi.nlm.nih.gov/Taxonomy/Browser/wwwtax.cgi?mode=Info&amp;id=60711&amp;lvl=3&amp;lin=f&amp;keep=1&amp;srchmode=1&amp;unlock","Chlorocebus sabaeus")</f>
        <v>Chlorocebus sabaeus</v>
      </c>
      <c r="H12" t="s">
        <v>52</v>
      </c>
      <c r="I12" t="str">
        <f>HYPERLINK("http://www.ncbi.nlm.nih.gov/protein/XP_007990129.1","androgen receptor")</f>
        <v>androgen receptor</v>
      </c>
      <c r="J12" t="s">
        <v>1312</v>
      </c>
      <c r="K12" t="s">
        <v>20</v>
      </c>
      <c r="L12">
        <v>686</v>
      </c>
      <c r="M12" t="s">
        <v>25</v>
      </c>
      <c r="N12" t="s">
        <v>20</v>
      </c>
      <c r="O12" t="s">
        <v>1352</v>
      </c>
      <c r="P12" t="s">
        <v>20</v>
      </c>
      <c r="Q12">
        <v>132.119</v>
      </c>
      <c r="R12" t="s">
        <v>20</v>
      </c>
      <c r="S12" t="s">
        <v>20</v>
      </c>
      <c r="T12">
        <v>692</v>
      </c>
      <c r="U12" t="s">
        <v>1313</v>
      </c>
      <c r="V12" t="s">
        <v>20</v>
      </c>
      <c r="W12" t="s">
        <v>1352</v>
      </c>
      <c r="X12" t="s">
        <v>20</v>
      </c>
      <c r="Y12">
        <v>146.14599999999999</v>
      </c>
      <c r="Z12" t="s">
        <v>20</v>
      </c>
      <c r="AA12" t="s">
        <v>20</v>
      </c>
      <c r="AB12">
        <v>733</v>
      </c>
      <c r="AC12" t="s">
        <v>1314</v>
      </c>
      <c r="AD12" t="s">
        <v>20</v>
      </c>
      <c r="AE12" t="s">
        <v>1353</v>
      </c>
      <c r="AF12" t="s">
        <v>20</v>
      </c>
      <c r="AG12">
        <v>174.203</v>
      </c>
      <c r="AH12" t="s">
        <v>20</v>
      </c>
      <c r="AI12" t="s">
        <v>20</v>
      </c>
      <c r="AJ12">
        <v>858</v>
      </c>
      <c r="AK12" t="s">
        <v>1315</v>
      </c>
      <c r="AL12" t="s">
        <v>20</v>
      </c>
      <c r="AM12" t="s">
        <v>1354</v>
      </c>
      <c r="AN12" t="s">
        <v>20</v>
      </c>
      <c r="AO12">
        <v>119.119</v>
      </c>
      <c r="AP12" t="s">
        <v>20</v>
      </c>
      <c r="AQ12" t="s">
        <v>20</v>
      </c>
    </row>
    <row r="13" spans="1:43" x14ac:dyDescent="0.25">
      <c r="A13">
        <v>6</v>
      </c>
      <c r="B13" t="s">
        <v>18</v>
      </c>
      <c r="C13" t="str">
        <f>HYPERLINK("http://www.ncbi.nlm.nih.gov/protein/O97960.1","O97960.1")</f>
        <v>O97960.1</v>
      </c>
      <c r="D13">
        <v>593</v>
      </c>
      <c r="E13" t="str">
        <f>HYPERLINK("http://www.ncbi.nlm.nih.gov/Taxonomy/Browser/wwwtax.cgi?mode=Info&amp;id=9557&amp;lvl=3&amp;lin=f&amp;keep=1&amp;srchmode=1&amp;unlock","9557")</f>
        <v>9557</v>
      </c>
      <c r="F13" t="s">
        <v>18</v>
      </c>
      <c r="G13" t="str">
        <f>HYPERLINK("http://www.ncbi.nlm.nih.gov/Taxonomy/Browser/wwwtax.cgi?mode=Info&amp;id=9557&amp;lvl=3&amp;lin=f&amp;keep=1&amp;srchmode=1&amp;unlock","Papio hamadryas")</f>
        <v>Papio hamadryas</v>
      </c>
      <c r="H13" t="s">
        <v>966</v>
      </c>
      <c r="I13" t="str">
        <f>HYPERLINK("http://www.ncbi.nlm.nih.gov/protein/O97960.1","RecName: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13" t="s">
        <v>1312</v>
      </c>
      <c r="K13" t="s">
        <v>20</v>
      </c>
      <c r="L13">
        <v>681</v>
      </c>
      <c r="M13" t="s">
        <v>25</v>
      </c>
      <c r="N13" t="s">
        <v>20</v>
      </c>
      <c r="O13" t="s">
        <v>1352</v>
      </c>
      <c r="P13" t="s">
        <v>20</v>
      </c>
      <c r="Q13">
        <v>132.119</v>
      </c>
      <c r="R13" t="s">
        <v>20</v>
      </c>
      <c r="S13" t="s">
        <v>20</v>
      </c>
      <c r="T13">
        <v>687</v>
      </c>
      <c r="U13" t="s">
        <v>1313</v>
      </c>
      <c r="V13" t="s">
        <v>20</v>
      </c>
      <c r="W13" t="s">
        <v>1352</v>
      </c>
      <c r="X13" t="s">
        <v>20</v>
      </c>
      <c r="Y13">
        <v>146.14599999999999</v>
      </c>
      <c r="Z13" t="s">
        <v>20</v>
      </c>
      <c r="AA13" t="s">
        <v>20</v>
      </c>
      <c r="AB13">
        <v>728</v>
      </c>
      <c r="AC13" t="s">
        <v>1314</v>
      </c>
      <c r="AD13" t="s">
        <v>20</v>
      </c>
      <c r="AE13" t="s">
        <v>1353</v>
      </c>
      <c r="AF13" t="s">
        <v>20</v>
      </c>
      <c r="AG13">
        <v>174.203</v>
      </c>
      <c r="AH13" t="s">
        <v>20</v>
      </c>
      <c r="AI13" t="s">
        <v>20</v>
      </c>
      <c r="AJ13">
        <v>853</v>
      </c>
      <c r="AK13" t="s">
        <v>1315</v>
      </c>
      <c r="AL13" t="s">
        <v>20</v>
      </c>
      <c r="AM13" t="s">
        <v>1354</v>
      </c>
      <c r="AN13" t="s">
        <v>20</v>
      </c>
      <c r="AO13">
        <v>119.119</v>
      </c>
      <c r="AP13" t="s">
        <v>20</v>
      </c>
      <c r="AQ13" t="s">
        <v>20</v>
      </c>
    </row>
    <row r="14" spans="1:43" x14ac:dyDescent="0.25">
      <c r="A14">
        <v>6</v>
      </c>
      <c r="B14" t="s">
        <v>18</v>
      </c>
      <c r="C14" t="str">
        <f>HYPERLINK("http://www.ncbi.nlm.nih.gov/protein/XP_011835925.1","XP_011835925.1")</f>
        <v>XP_011835925.1</v>
      </c>
      <c r="D14">
        <v>38457</v>
      </c>
      <c r="E14" t="str">
        <f>HYPERLINK("http://www.ncbi.nlm.nih.gov/Taxonomy/Browser/wwwtax.cgi?mode=Info&amp;id=9568&amp;lvl=3&amp;lin=f&amp;keep=1&amp;srchmode=1&amp;unlock","9568")</f>
        <v>9568</v>
      </c>
      <c r="F14" t="s">
        <v>18</v>
      </c>
      <c r="G14" t="str">
        <f>HYPERLINK("http://www.ncbi.nlm.nih.gov/Taxonomy/Browser/wwwtax.cgi?mode=Info&amp;id=9568&amp;lvl=3&amp;lin=f&amp;keep=1&amp;srchmode=1&amp;unlock","Mandrillus leucophaeus")</f>
        <v>Mandrillus leucophaeus</v>
      </c>
      <c r="H14" t="s">
        <v>43</v>
      </c>
      <c r="I14" t="str">
        <f>HYPERLINK("http://www.ncbi.nlm.nih.gov/protein/XP_011835925.1","PREDICTED: androgen receptor isoform X1")</f>
        <v>PREDICTED: androgen receptor isoform X1</v>
      </c>
      <c r="J14" t="s">
        <v>1312</v>
      </c>
      <c r="K14" t="s">
        <v>20</v>
      </c>
      <c r="L14">
        <v>680</v>
      </c>
      <c r="M14" t="s">
        <v>25</v>
      </c>
      <c r="N14" t="s">
        <v>20</v>
      </c>
      <c r="O14" t="s">
        <v>1352</v>
      </c>
      <c r="P14" t="s">
        <v>20</v>
      </c>
      <c r="Q14">
        <v>132.119</v>
      </c>
      <c r="R14" t="s">
        <v>20</v>
      </c>
      <c r="S14" t="s">
        <v>20</v>
      </c>
      <c r="T14">
        <v>686</v>
      </c>
      <c r="U14" t="s">
        <v>1313</v>
      </c>
      <c r="V14" t="s">
        <v>20</v>
      </c>
      <c r="W14" t="s">
        <v>1352</v>
      </c>
      <c r="X14" t="s">
        <v>20</v>
      </c>
      <c r="Y14">
        <v>146.14599999999999</v>
      </c>
      <c r="Z14" t="s">
        <v>20</v>
      </c>
      <c r="AA14" t="s">
        <v>20</v>
      </c>
      <c r="AB14">
        <v>727</v>
      </c>
      <c r="AC14" t="s">
        <v>1314</v>
      </c>
      <c r="AD14" t="s">
        <v>20</v>
      </c>
      <c r="AE14" t="s">
        <v>1353</v>
      </c>
      <c r="AF14" t="s">
        <v>20</v>
      </c>
      <c r="AG14">
        <v>174.203</v>
      </c>
      <c r="AH14" t="s">
        <v>20</v>
      </c>
      <c r="AI14" t="s">
        <v>20</v>
      </c>
      <c r="AJ14">
        <v>852</v>
      </c>
      <c r="AK14" t="s">
        <v>1315</v>
      </c>
      <c r="AL14" t="s">
        <v>20</v>
      </c>
      <c r="AM14" t="s">
        <v>1354</v>
      </c>
      <c r="AN14" t="s">
        <v>20</v>
      </c>
      <c r="AO14">
        <v>119.119</v>
      </c>
      <c r="AP14" t="s">
        <v>20</v>
      </c>
      <c r="AQ14" t="s">
        <v>20</v>
      </c>
    </row>
    <row r="15" spans="1:43" x14ac:dyDescent="0.25">
      <c r="A15">
        <v>6</v>
      </c>
      <c r="B15" t="s">
        <v>18</v>
      </c>
      <c r="C15" t="str">
        <f>HYPERLINK("http://www.ncbi.nlm.nih.gov/protein/XP_011817378.1","XP_011817378.1")</f>
        <v>XP_011817378.1</v>
      </c>
      <c r="D15">
        <v>38676</v>
      </c>
      <c r="E15" t="str">
        <f>HYPERLINK("http://www.ncbi.nlm.nih.gov/Taxonomy/Browser/wwwtax.cgi?mode=Info&amp;id=336983&amp;lvl=3&amp;lin=f&amp;keep=1&amp;srchmode=1&amp;unlock","336983")</f>
        <v>336983</v>
      </c>
      <c r="F15" t="s">
        <v>18</v>
      </c>
      <c r="G15" t="str">
        <f>HYPERLINK("http://www.ncbi.nlm.nih.gov/Taxonomy/Browser/wwwtax.cgi?mode=Info&amp;id=336983&amp;lvl=3&amp;lin=f&amp;keep=1&amp;srchmode=1&amp;unlock","Colobus angolensis palliatus")</f>
        <v>Colobus angolensis palliatus</v>
      </c>
      <c r="H15" t="s">
        <v>32</v>
      </c>
      <c r="I15" t="str">
        <f>HYPERLINK("http://www.ncbi.nlm.nih.gov/protein/XP_011817378.1","PREDICTED: androgen receptor")</f>
        <v>PREDICTED: androgen receptor</v>
      </c>
      <c r="J15" t="s">
        <v>1312</v>
      </c>
      <c r="K15" t="s">
        <v>20</v>
      </c>
      <c r="L15">
        <v>683</v>
      </c>
      <c r="M15" t="s">
        <v>25</v>
      </c>
      <c r="N15" t="s">
        <v>20</v>
      </c>
      <c r="O15" t="s">
        <v>1352</v>
      </c>
      <c r="P15" t="s">
        <v>20</v>
      </c>
      <c r="Q15">
        <v>132.119</v>
      </c>
      <c r="R15" t="s">
        <v>20</v>
      </c>
      <c r="S15" t="s">
        <v>20</v>
      </c>
      <c r="T15">
        <v>689</v>
      </c>
      <c r="U15" t="s">
        <v>1313</v>
      </c>
      <c r="V15" t="s">
        <v>20</v>
      </c>
      <c r="W15" t="s">
        <v>1352</v>
      </c>
      <c r="X15" t="s">
        <v>20</v>
      </c>
      <c r="Y15">
        <v>146.14599999999999</v>
      </c>
      <c r="Z15" t="s">
        <v>20</v>
      </c>
      <c r="AA15" t="s">
        <v>20</v>
      </c>
      <c r="AB15">
        <v>730</v>
      </c>
      <c r="AC15" t="s">
        <v>1314</v>
      </c>
      <c r="AD15" t="s">
        <v>20</v>
      </c>
      <c r="AE15" t="s">
        <v>1353</v>
      </c>
      <c r="AF15" t="s">
        <v>20</v>
      </c>
      <c r="AG15">
        <v>174.203</v>
      </c>
      <c r="AH15" t="s">
        <v>20</v>
      </c>
      <c r="AI15" t="s">
        <v>20</v>
      </c>
      <c r="AJ15">
        <v>855</v>
      </c>
      <c r="AK15" t="s">
        <v>1315</v>
      </c>
      <c r="AL15" t="s">
        <v>20</v>
      </c>
      <c r="AM15" t="s">
        <v>1354</v>
      </c>
      <c r="AN15" t="s">
        <v>20</v>
      </c>
      <c r="AO15">
        <v>119.119</v>
      </c>
      <c r="AP15" t="s">
        <v>20</v>
      </c>
      <c r="AQ15" t="s">
        <v>20</v>
      </c>
    </row>
    <row r="16" spans="1:43" x14ac:dyDescent="0.25">
      <c r="A16">
        <v>6</v>
      </c>
      <c r="B16" t="s">
        <v>18</v>
      </c>
      <c r="C16" t="str">
        <f>HYPERLINK("http://www.ncbi.nlm.nih.gov/protein/XP_005593867.1","XP_005593867.1")</f>
        <v>XP_005593867.1</v>
      </c>
      <c r="D16">
        <v>98680</v>
      </c>
      <c r="E16" t="str">
        <f>HYPERLINK("http://www.ncbi.nlm.nih.gov/Taxonomy/Browser/wwwtax.cgi?mode=Info&amp;id=9541&amp;lvl=3&amp;lin=f&amp;keep=1&amp;srchmode=1&amp;unlock","9541")</f>
        <v>9541</v>
      </c>
      <c r="F16" t="s">
        <v>18</v>
      </c>
      <c r="G16" t="str">
        <f>HYPERLINK("http://www.ncbi.nlm.nih.gov/Taxonomy/Browser/wwwtax.cgi?mode=Info&amp;id=9541&amp;lvl=3&amp;lin=f&amp;keep=1&amp;srchmode=1&amp;unlock","Macaca fascicularis")</f>
        <v>Macaca fascicularis</v>
      </c>
      <c r="H16" t="s">
        <v>31</v>
      </c>
      <c r="I16" t="str">
        <f>HYPERLINK("http://www.ncbi.nlm.nih.gov/protein/XP_005593867.1","PREDICTED: androgen receptor")</f>
        <v>PREDICTED: androgen receptor</v>
      </c>
      <c r="J16" t="s">
        <v>1312</v>
      </c>
      <c r="K16" t="s">
        <v>20</v>
      </c>
      <c r="L16">
        <v>681</v>
      </c>
      <c r="M16" t="s">
        <v>25</v>
      </c>
      <c r="N16" t="s">
        <v>20</v>
      </c>
      <c r="O16" t="s">
        <v>1352</v>
      </c>
      <c r="P16" t="s">
        <v>20</v>
      </c>
      <c r="Q16">
        <v>132.119</v>
      </c>
      <c r="R16" t="s">
        <v>20</v>
      </c>
      <c r="S16" t="s">
        <v>20</v>
      </c>
      <c r="T16">
        <v>687</v>
      </c>
      <c r="U16" t="s">
        <v>1313</v>
      </c>
      <c r="V16" t="s">
        <v>20</v>
      </c>
      <c r="W16" t="s">
        <v>1352</v>
      </c>
      <c r="X16" t="s">
        <v>20</v>
      </c>
      <c r="Y16">
        <v>146.14599999999999</v>
      </c>
      <c r="Z16" t="s">
        <v>20</v>
      </c>
      <c r="AA16" t="s">
        <v>20</v>
      </c>
      <c r="AB16">
        <v>728</v>
      </c>
      <c r="AC16" t="s">
        <v>1314</v>
      </c>
      <c r="AD16" t="s">
        <v>20</v>
      </c>
      <c r="AE16" t="s">
        <v>1353</v>
      </c>
      <c r="AF16" t="s">
        <v>20</v>
      </c>
      <c r="AG16">
        <v>174.203</v>
      </c>
      <c r="AH16" t="s">
        <v>20</v>
      </c>
      <c r="AI16" t="s">
        <v>20</v>
      </c>
      <c r="AJ16">
        <v>853</v>
      </c>
      <c r="AK16" t="s">
        <v>1315</v>
      </c>
      <c r="AL16" t="s">
        <v>20</v>
      </c>
      <c r="AM16" t="s">
        <v>1354</v>
      </c>
      <c r="AN16" t="s">
        <v>20</v>
      </c>
      <c r="AO16">
        <v>119.119</v>
      </c>
      <c r="AP16" t="s">
        <v>20</v>
      </c>
      <c r="AQ16" t="s">
        <v>20</v>
      </c>
    </row>
    <row r="17" spans="1:43" x14ac:dyDescent="0.25">
      <c r="A17">
        <v>6</v>
      </c>
      <c r="B17" t="s">
        <v>18</v>
      </c>
      <c r="C17" t="str">
        <f>HYPERLINK("http://www.ncbi.nlm.nih.gov/protein/XP_030663284.1","XP_030663284.1")</f>
        <v>XP_030663284.1</v>
      </c>
      <c r="D17">
        <v>51657</v>
      </c>
      <c r="E17" t="str">
        <f>HYPERLINK("http://www.ncbi.nlm.nih.gov/Taxonomy/Browser/wwwtax.cgi?mode=Info&amp;id=61853&amp;lvl=3&amp;lin=f&amp;keep=1&amp;srchmode=1&amp;unlock","61853")</f>
        <v>61853</v>
      </c>
      <c r="F17" t="s">
        <v>18</v>
      </c>
      <c r="G17" t="str">
        <f>HYPERLINK("http://www.ncbi.nlm.nih.gov/Taxonomy/Browser/wwwtax.cgi?mode=Info&amp;id=61853&amp;lvl=3&amp;lin=f&amp;keep=1&amp;srchmode=1&amp;unlock","Nomascus leucogenys")</f>
        <v>Nomascus leucogenys</v>
      </c>
      <c r="H17" t="s">
        <v>27</v>
      </c>
      <c r="I17" t="str">
        <f>HYPERLINK("http://www.ncbi.nlm.nih.gov/protein/XP_030663284.1","androgen receptor isoform X1")</f>
        <v>androgen receptor isoform X1</v>
      </c>
      <c r="J17" t="s">
        <v>1312</v>
      </c>
      <c r="K17" t="s">
        <v>20</v>
      </c>
      <c r="L17">
        <v>685</v>
      </c>
      <c r="M17" t="s">
        <v>25</v>
      </c>
      <c r="N17" t="s">
        <v>20</v>
      </c>
      <c r="O17" t="s">
        <v>1352</v>
      </c>
      <c r="P17" t="s">
        <v>20</v>
      </c>
      <c r="Q17">
        <v>132.119</v>
      </c>
      <c r="R17" t="s">
        <v>20</v>
      </c>
      <c r="S17" t="s">
        <v>20</v>
      </c>
      <c r="T17">
        <v>691</v>
      </c>
      <c r="U17" t="s">
        <v>1313</v>
      </c>
      <c r="V17" t="s">
        <v>20</v>
      </c>
      <c r="W17" t="s">
        <v>1352</v>
      </c>
      <c r="X17" t="s">
        <v>20</v>
      </c>
      <c r="Y17">
        <v>146.14599999999999</v>
      </c>
      <c r="Z17" t="s">
        <v>20</v>
      </c>
      <c r="AA17" t="s">
        <v>20</v>
      </c>
      <c r="AB17">
        <v>732</v>
      </c>
      <c r="AC17" t="s">
        <v>1314</v>
      </c>
      <c r="AD17" t="s">
        <v>20</v>
      </c>
      <c r="AE17" t="s">
        <v>1353</v>
      </c>
      <c r="AF17" t="s">
        <v>20</v>
      </c>
      <c r="AG17">
        <v>174.203</v>
      </c>
      <c r="AH17" t="s">
        <v>20</v>
      </c>
      <c r="AI17" t="s">
        <v>20</v>
      </c>
      <c r="AJ17">
        <v>857</v>
      </c>
      <c r="AK17" t="s">
        <v>1315</v>
      </c>
      <c r="AL17" t="s">
        <v>20</v>
      </c>
      <c r="AM17" t="s">
        <v>1354</v>
      </c>
      <c r="AN17" t="s">
        <v>20</v>
      </c>
      <c r="AO17">
        <v>119.119</v>
      </c>
      <c r="AP17" t="s">
        <v>20</v>
      </c>
      <c r="AQ17" t="s">
        <v>20</v>
      </c>
    </row>
    <row r="18" spans="1:43" x14ac:dyDescent="0.25">
      <c r="A18">
        <v>6</v>
      </c>
      <c r="B18" t="s">
        <v>18</v>
      </c>
      <c r="C18" t="str">
        <f>HYPERLINK("http://www.ncbi.nlm.nih.gov/protein/XP_011916275.1","XP_011916275.1")</f>
        <v>XP_011916275.1</v>
      </c>
      <c r="D18">
        <v>66421</v>
      </c>
      <c r="E18" t="str">
        <f>HYPERLINK("http://www.ncbi.nlm.nih.gov/Taxonomy/Browser/wwwtax.cgi?mode=Info&amp;id=9531&amp;lvl=3&amp;lin=f&amp;keep=1&amp;srchmode=1&amp;unlock","9531")</f>
        <v>9531</v>
      </c>
      <c r="F18" t="s">
        <v>18</v>
      </c>
      <c r="G18" t="str">
        <f>HYPERLINK("http://www.ncbi.nlm.nih.gov/Taxonomy/Browser/wwwtax.cgi?mode=Info&amp;id=9531&amp;lvl=3&amp;lin=f&amp;keep=1&amp;srchmode=1&amp;unlock","Cercocebus atys")</f>
        <v>Cercocebus atys</v>
      </c>
      <c r="H18" t="s">
        <v>599</v>
      </c>
      <c r="I18" t="str">
        <f>HYPERLINK("http://www.ncbi.nlm.nih.gov/protein/XP_011916275.1","PREDICTED: androgen receptor")</f>
        <v>PREDICTED: androgen receptor</v>
      </c>
      <c r="J18" t="s">
        <v>1312</v>
      </c>
      <c r="K18" t="s">
        <v>20</v>
      </c>
      <c r="L18">
        <v>683</v>
      </c>
      <c r="M18" t="s">
        <v>25</v>
      </c>
      <c r="N18" t="s">
        <v>20</v>
      </c>
      <c r="O18" t="s">
        <v>1352</v>
      </c>
      <c r="P18" t="s">
        <v>20</v>
      </c>
      <c r="Q18">
        <v>132.119</v>
      </c>
      <c r="R18" t="s">
        <v>20</v>
      </c>
      <c r="S18" t="s">
        <v>20</v>
      </c>
      <c r="T18">
        <v>689</v>
      </c>
      <c r="U18" t="s">
        <v>1313</v>
      </c>
      <c r="V18" t="s">
        <v>20</v>
      </c>
      <c r="W18" t="s">
        <v>1352</v>
      </c>
      <c r="X18" t="s">
        <v>20</v>
      </c>
      <c r="Y18">
        <v>146.14599999999999</v>
      </c>
      <c r="Z18" t="s">
        <v>20</v>
      </c>
      <c r="AA18" t="s">
        <v>20</v>
      </c>
      <c r="AB18">
        <v>730</v>
      </c>
      <c r="AC18" t="s">
        <v>1314</v>
      </c>
      <c r="AD18" t="s">
        <v>20</v>
      </c>
      <c r="AE18" t="s">
        <v>1353</v>
      </c>
      <c r="AF18" t="s">
        <v>20</v>
      </c>
      <c r="AG18">
        <v>174.203</v>
      </c>
      <c r="AH18" t="s">
        <v>20</v>
      </c>
      <c r="AI18" t="s">
        <v>20</v>
      </c>
      <c r="AJ18">
        <v>855</v>
      </c>
      <c r="AK18" t="s">
        <v>1315</v>
      </c>
      <c r="AL18" t="s">
        <v>20</v>
      </c>
      <c r="AM18" t="s">
        <v>1354</v>
      </c>
      <c r="AN18" t="s">
        <v>20</v>
      </c>
      <c r="AO18">
        <v>119.119</v>
      </c>
      <c r="AP18" t="s">
        <v>20</v>
      </c>
      <c r="AQ18" t="s">
        <v>20</v>
      </c>
    </row>
    <row r="19" spans="1:43" x14ac:dyDescent="0.25">
      <c r="A19">
        <v>6</v>
      </c>
      <c r="B19" t="s">
        <v>18</v>
      </c>
      <c r="C19" t="str">
        <f>HYPERLINK("http://www.ncbi.nlm.nih.gov/protein/NP_001028083.1","NP_001028083.1")</f>
        <v>NP_001028083.1</v>
      </c>
      <c r="D19">
        <v>177851</v>
      </c>
      <c r="E19" t="str">
        <f>HYPERLINK("http://www.ncbi.nlm.nih.gov/Taxonomy/Browser/wwwtax.cgi?mode=Info&amp;id=9544&amp;lvl=3&amp;lin=f&amp;keep=1&amp;srchmode=1&amp;unlock","9544")</f>
        <v>9544</v>
      </c>
      <c r="F19" t="s">
        <v>18</v>
      </c>
      <c r="G19" t="str">
        <f>HYPERLINK("http://www.ncbi.nlm.nih.gov/Taxonomy/Browser/wwwtax.cgi?mode=Info&amp;id=9544&amp;lvl=3&amp;lin=f&amp;keep=1&amp;srchmode=1&amp;unlock","Macaca mulatta")</f>
        <v>Macaca mulatta</v>
      </c>
      <c r="H19" t="s">
        <v>29</v>
      </c>
      <c r="I19" t="str">
        <f>HYPERLINK("http://www.ncbi.nlm.nih.gov/protein/NP_001028083.1","androgen receptor")</f>
        <v>androgen receptor</v>
      </c>
      <c r="J19" t="s">
        <v>1312</v>
      </c>
      <c r="K19" t="s">
        <v>20</v>
      </c>
      <c r="L19">
        <v>681</v>
      </c>
      <c r="M19" t="s">
        <v>25</v>
      </c>
      <c r="N19" t="s">
        <v>20</v>
      </c>
      <c r="O19" t="s">
        <v>1352</v>
      </c>
      <c r="P19" t="s">
        <v>20</v>
      </c>
      <c r="Q19">
        <v>132.119</v>
      </c>
      <c r="R19" t="s">
        <v>20</v>
      </c>
      <c r="S19" t="s">
        <v>20</v>
      </c>
      <c r="T19">
        <v>687</v>
      </c>
      <c r="U19" t="s">
        <v>1313</v>
      </c>
      <c r="V19" t="s">
        <v>20</v>
      </c>
      <c r="W19" t="s">
        <v>1352</v>
      </c>
      <c r="X19" t="s">
        <v>20</v>
      </c>
      <c r="Y19">
        <v>146.14599999999999</v>
      </c>
      <c r="Z19" t="s">
        <v>20</v>
      </c>
      <c r="AA19" t="s">
        <v>20</v>
      </c>
      <c r="AB19">
        <v>728</v>
      </c>
      <c r="AC19" t="s">
        <v>1314</v>
      </c>
      <c r="AD19" t="s">
        <v>20</v>
      </c>
      <c r="AE19" t="s">
        <v>1353</v>
      </c>
      <c r="AF19" t="s">
        <v>20</v>
      </c>
      <c r="AG19">
        <v>174.203</v>
      </c>
      <c r="AH19" t="s">
        <v>20</v>
      </c>
      <c r="AI19" t="s">
        <v>20</v>
      </c>
      <c r="AJ19">
        <v>853</v>
      </c>
      <c r="AK19" t="s">
        <v>1315</v>
      </c>
      <c r="AL19" t="s">
        <v>20</v>
      </c>
      <c r="AM19" t="s">
        <v>1354</v>
      </c>
      <c r="AN19" t="s">
        <v>20</v>
      </c>
      <c r="AO19">
        <v>119.119</v>
      </c>
      <c r="AP19" t="s">
        <v>20</v>
      </c>
      <c r="AQ19" t="s">
        <v>20</v>
      </c>
    </row>
    <row r="20" spans="1:43" x14ac:dyDescent="0.25">
      <c r="A20">
        <v>6</v>
      </c>
      <c r="B20" t="s">
        <v>18</v>
      </c>
      <c r="C20" t="str">
        <f>HYPERLINK("http://www.ncbi.nlm.nih.gov/protein/XP_032612994.1","XP_032612994.1")</f>
        <v>XP_032612994.1</v>
      </c>
      <c r="D20">
        <v>54538</v>
      </c>
      <c r="E20" t="str">
        <f>HYPERLINK("http://www.ncbi.nlm.nih.gov/Taxonomy/Browser/wwwtax.cgi?mode=Info&amp;id=81572&amp;lvl=3&amp;lin=f&amp;keep=1&amp;srchmode=1&amp;unlock","81572")</f>
        <v>81572</v>
      </c>
      <c r="F20" t="s">
        <v>18</v>
      </c>
      <c r="G20" t="str">
        <f>HYPERLINK("http://www.ncbi.nlm.nih.gov/Taxonomy/Browser/wwwtax.cgi?mode=Info&amp;id=81572&amp;lvl=3&amp;lin=f&amp;keep=1&amp;srchmode=1&amp;unlock","Hylobates moloch")</f>
        <v>Hylobates moloch</v>
      </c>
      <c r="H20" t="s">
        <v>26</v>
      </c>
      <c r="I20" t="str">
        <f>HYPERLINK("http://www.ncbi.nlm.nih.gov/protein/XP_032612994.1","androgen receptor isoform X1")</f>
        <v>androgen receptor isoform X1</v>
      </c>
      <c r="J20" t="s">
        <v>1312</v>
      </c>
      <c r="K20" t="s">
        <v>20</v>
      </c>
      <c r="L20">
        <v>677</v>
      </c>
      <c r="M20" t="s">
        <v>25</v>
      </c>
      <c r="N20" t="s">
        <v>20</v>
      </c>
      <c r="O20" t="s">
        <v>1352</v>
      </c>
      <c r="P20" t="s">
        <v>20</v>
      </c>
      <c r="Q20">
        <v>132.119</v>
      </c>
      <c r="R20" t="s">
        <v>20</v>
      </c>
      <c r="S20" t="s">
        <v>20</v>
      </c>
      <c r="T20">
        <v>683</v>
      </c>
      <c r="U20" t="s">
        <v>1313</v>
      </c>
      <c r="V20" t="s">
        <v>20</v>
      </c>
      <c r="W20" t="s">
        <v>1352</v>
      </c>
      <c r="X20" t="s">
        <v>20</v>
      </c>
      <c r="Y20">
        <v>146.14599999999999</v>
      </c>
      <c r="Z20" t="s">
        <v>20</v>
      </c>
      <c r="AA20" t="s">
        <v>20</v>
      </c>
      <c r="AB20">
        <v>724</v>
      </c>
      <c r="AC20" t="s">
        <v>1314</v>
      </c>
      <c r="AD20" t="s">
        <v>20</v>
      </c>
      <c r="AE20" t="s">
        <v>1353</v>
      </c>
      <c r="AF20" t="s">
        <v>20</v>
      </c>
      <c r="AG20">
        <v>174.203</v>
      </c>
      <c r="AH20" t="s">
        <v>20</v>
      </c>
      <c r="AI20" t="s">
        <v>20</v>
      </c>
      <c r="AJ20">
        <v>849</v>
      </c>
      <c r="AK20" t="s">
        <v>1315</v>
      </c>
      <c r="AL20" t="s">
        <v>20</v>
      </c>
      <c r="AM20" t="s">
        <v>1354</v>
      </c>
      <c r="AN20" t="s">
        <v>20</v>
      </c>
      <c r="AO20">
        <v>119.119</v>
      </c>
      <c r="AP20" t="s">
        <v>20</v>
      </c>
      <c r="AQ20" t="s">
        <v>20</v>
      </c>
    </row>
    <row r="21" spans="1:43" x14ac:dyDescent="0.25">
      <c r="A21">
        <v>6</v>
      </c>
      <c r="B21" t="s">
        <v>18</v>
      </c>
      <c r="C21" t="str">
        <f>HYPERLINK("http://www.ncbi.nlm.nih.gov/protein/XP_012316261.1","XP_012316261.1")</f>
        <v>XP_012316261.1</v>
      </c>
      <c r="D21">
        <v>48089</v>
      </c>
      <c r="E21" t="str">
        <f>HYPERLINK("http://www.ncbi.nlm.nih.gov/Taxonomy/Browser/wwwtax.cgi?mode=Info&amp;id=37293&amp;lvl=3&amp;lin=f&amp;keep=1&amp;srchmode=1&amp;unlock","37293")</f>
        <v>37293</v>
      </c>
      <c r="F21" t="s">
        <v>18</v>
      </c>
      <c r="G21" t="str">
        <f>HYPERLINK("http://www.ncbi.nlm.nih.gov/Taxonomy/Browser/wwwtax.cgi?mode=Info&amp;id=37293&amp;lvl=3&amp;lin=f&amp;keep=1&amp;srchmode=1&amp;unlock","Aotus nancymaae")</f>
        <v>Aotus nancymaae</v>
      </c>
      <c r="H21" t="s">
        <v>65</v>
      </c>
      <c r="I21" t="str">
        <f>HYPERLINK("http://www.ncbi.nlm.nih.gov/protein/XP_012316261.1","androgen receptor isoform X1")</f>
        <v>androgen receptor isoform X1</v>
      </c>
      <c r="J21" t="s">
        <v>1312</v>
      </c>
      <c r="K21" t="s">
        <v>20</v>
      </c>
      <c r="L21">
        <v>673</v>
      </c>
      <c r="M21" t="s">
        <v>25</v>
      </c>
      <c r="N21" t="s">
        <v>20</v>
      </c>
      <c r="O21" t="s">
        <v>1352</v>
      </c>
      <c r="P21" t="s">
        <v>20</v>
      </c>
      <c r="Q21">
        <v>132.119</v>
      </c>
      <c r="R21" t="s">
        <v>20</v>
      </c>
      <c r="S21" t="s">
        <v>20</v>
      </c>
      <c r="T21">
        <v>679</v>
      </c>
      <c r="U21" t="s">
        <v>1313</v>
      </c>
      <c r="V21" t="s">
        <v>20</v>
      </c>
      <c r="W21" t="s">
        <v>1352</v>
      </c>
      <c r="X21" t="s">
        <v>20</v>
      </c>
      <c r="Y21">
        <v>146.14599999999999</v>
      </c>
      <c r="Z21" t="s">
        <v>20</v>
      </c>
      <c r="AA21" t="s">
        <v>20</v>
      </c>
      <c r="AB21">
        <v>720</v>
      </c>
      <c r="AC21" t="s">
        <v>1314</v>
      </c>
      <c r="AD21" t="s">
        <v>20</v>
      </c>
      <c r="AE21" t="s">
        <v>1353</v>
      </c>
      <c r="AF21" t="s">
        <v>20</v>
      </c>
      <c r="AG21">
        <v>174.203</v>
      </c>
      <c r="AH21" t="s">
        <v>20</v>
      </c>
      <c r="AI21" t="s">
        <v>20</v>
      </c>
      <c r="AJ21">
        <v>845</v>
      </c>
      <c r="AK21" t="s">
        <v>1315</v>
      </c>
      <c r="AL21" t="s">
        <v>20</v>
      </c>
      <c r="AM21" t="s">
        <v>1354</v>
      </c>
      <c r="AN21" t="s">
        <v>20</v>
      </c>
      <c r="AO21">
        <v>119.119</v>
      </c>
      <c r="AP21" t="s">
        <v>20</v>
      </c>
      <c r="AQ21" t="s">
        <v>20</v>
      </c>
    </row>
    <row r="22" spans="1:43" x14ac:dyDescent="0.25">
      <c r="A22">
        <v>6</v>
      </c>
      <c r="B22" t="s">
        <v>18</v>
      </c>
      <c r="C22" t="str">
        <f>HYPERLINK("http://www.ncbi.nlm.nih.gov/protein/XP_002762998.1","XP_002762998.1")</f>
        <v>XP_002762998.1</v>
      </c>
      <c r="D22">
        <v>87648</v>
      </c>
      <c r="E22" t="str">
        <f>HYPERLINK("http://www.ncbi.nlm.nih.gov/Taxonomy/Browser/wwwtax.cgi?mode=Info&amp;id=9483&amp;lvl=3&amp;lin=f&amp;keep=1&amp;srchmode=1&amp;unlock","9483")</f>
        <v>9483</v>
      </c>
      <c r="F22" t="s">
        <v>18</v>
      </c>
      <c r="G22" t="str">
        <f>HYPERLINK("http://www.ncbi.nlm.nih.gov/Taxonomy/Browser/wwwtax.cgi?mode=Info&amp;id=9483&amp;lvl=3&amp;lin=f&amp;keep=1&amp;srchmode=1&amp;unlock","Callithrix jacchus")</f>
        <v>Callithrix jacchus</v>
      </c>
      <c r="H22" t="s">
        <v>79</v>
      </c>
      <c r="I22" t="str">
        <f>HYPERLINK("http://www.ncbi.nlm.nih.gov/protein/XP_002762998.1","androgen receptor isoform X1")</f>
        <v>androgen receptor isoform X1</v>
      </c>
      <c r="J22" t="s">
        <v>1312</v>
      </c>
      <c r="K22" t="s">
        <v>20</v>
      </c>
      <c r="L22">
        <v>673</v>
      </c>
      <c r="M22" t="s">
        <v>25</v>
      </c>
      <c r="N22" t="s">
        <v>20</v>
      </c>
      <c r="O22" t="s">
        <v>1352</v>
      </c>
      <c r="P22" t="s">
        <v>20</v>
      </c>
      <c r="Q22">
        <v>132.119</v>
      </c>
      <c r="R22" t="s">
        <v>20</v>
      </c>
      <c r="S22" t="s">
        <v>20</v>
      </c>
      <c r="T22">
        <v>679</v>
      </c>
      <c r="U22" t="s">
        <v>1313</v>
      </c>
      <c r="V22" t="s">
        <v>20</v>
      </c>
      <c r="W22" t="s">
        <v>1352</v>
      </c>
      <c r="X22" t="s">
        <v>20</v>
      </c>
      <c r="Y22">
        <v>146.14599999999999</v>
      </c>
      <c r="Z22" t="s">
        <v>20</v>
      </c>
      <c r="AA22" t="s">
        <v>20</v>
      </c>
      <c r="AB22">
        <v>720</v>
      </c>
      <c r="AC22" t="s">
        <v>1314</v>
      </c>
      <c r="AD22" t="s">
        <v>20</v>
      </c>
      <c r="AE22" t="s">
        <v>1353</v>
      </c>
      <c r="AF22" t="s">
        <v>20</v>
      </c>
      <c r="AG22">
        <v>174.203</v>
      </c>
      <c r="AH22" t="s">
        <v>20</v>
      </c>
      <c r="AI22" t="s">
        <v>20</v>
      </c>
      <c r="AJ22">
        <v>845</v>
      </c>
      <c r="AK22" t="s">
        <v>1315</v>
      </c>
      <c r="AL22" t="s">
        <v>20</v>
      </c>
      <c r="AM22" t="s">
        <v>1354</v>
      </c>
      <c r="AN22" t="s">
        <v>20</v>
      </c>
      <c r="AO22">
        <v>119.119</v>
      </c>
      <c r="AP22" t="s">
        <v>20</v>
      </c>
      <c r="AQ22" t="s">
        <v>20</v>
      </c>
    </row>
    <row r="23" spans="1:43" x14ac:dyDescent="0.25">
      <c r="A23">
        <v>6</v>
      </c>
      <c r="B23" t="s">
        <v>18</v>
      </c>
      <c r="C23" t="str">
        <f>HYPERLINK("http://www.ncbi.nlm.nih.gov/protein/XP_012499360.1","XP_012499360.1")</f>
        <v>XP_012499360.1</v>
      </c>
      <c r="D23">
        <v>28331</v>
      </c>
      <c r="E23" t="str">
        <f>HYPERLINK("http://www.ncbi.nlm.nih.gov/Taxonomy/Browser/wwwtax.cgi?mode=Info&amp;id=379532&amp;lvl=3&amp;lin=f&amp;keep=1&amp;srchmode=1&amp;unlock","379532")</f>
        <v>379532</v>
      </c>
      <c r="F23" t="s">
        <v>18</v>
      </c>
      <c r="G23" t="str">
        <f>HYPERLINK("http://www.ncbi.nlm.nih.gov/Taxonomy/Browser/wwwtax.cgi?mode=Info&amp;id=379532&amp;lvl=3&amp;lin=f&amp;keep=1&amp;srchmode=1&amp;unlock","Propithecus coquereli")</f>
        <v>Propithecus coquereli</v>
      </c>
      <c r="H23" t="s">
        <v>652</v>
      </c>
      <c r="I23" t="str">
        <f>HYPERLINK("http://www.ncbi.nlm.nih.gov/protein/XP_012499360.1","PREDICTED: androgen receptor")</f>
        <v>PREDICTED: androgen receptor</v>
      </c>
      <c r="J23" t="s">
        <v>1312</v>
      </c>
      <c r="K23" t="s">
        <v>20</v>
      </c>
      <c r="L23">
        <v>672</v>
      </c>
      <c r="M23" t="s">
        <v>25</v>
      </c>
      <c r="N23" t="s">
        <v>20</v>
      </c>
      <c r="O23" t="s">
        <v>1352</v>
      </c>
      <c r="P23" t="s">
        <v>20</v>
      </c>
      <c r="Q23">
        <v>132.119</v>
      </c>
      <c r="R23" t="s">
        <v>20</v>
      </c>
      <c r="S23" t="s">
        <v>20</v>
      </c>
      <c r="T23">
        <v>678</v>
      </c>
      <c r="U23" t="s">
        <v>1313</v>
      </c>
      <c r="V23" t="s">
        <v>20</v>
      </c>
      <c r="W23" t="s">
        <v>1352</v>
      </c>
      <c r="X23" t="s">
        <v>20</v>
      </c>
      <c r="Y23">
        <v>146.14599999999999</v>
      </c>
      <c r="Z23" t="s">
        <v>20</v>
      </c>
      <c r="AA23" t="s">
        <v>20</v>
      </c>
      <c r="AB23">
        <v>719</v>
      </c>
      <c r="AC23" t="s">
        <v>1314</v>
      </c>
      <c r="AD23" t="s">
        <v>20</v>
      </c>
      <c r="AE23" t="s">
        <v>1353</v>
      </c>
      <c r="AF23" t="s">
        <v>20</v>
      </c>
      <c r="AG23">
        <v>174.203</v>
      </c>
      <c r="AH23" t="s">
        <v>20</v>
      </c>
      <c r="AI23" t="s">
        <v>20</v>
      </c>
      <c r="AJ23">
        <v>844</v>
      </c>
      <c r="AK23" t="s">
        <v>1315</v>
      </c>
      <c r="AL23" t="s">
        <v>20</v>
      </c>
      <c r="AM23" t="s">
        <v>1354</v>
      </c>
      <c r="AN23" t="s">
        <v>20</v>
      </c>
      <c r="AO23">
        <v>119.119</v>
      </c>
      <c r="AP23" t="s">
        <v>20</v>
      </c>
      <c r="AQ23" t="s">
        <v>20</v>
      </c>
    </row>
    <row r="24" spans="1:43" x14ac:dyDescent="0.25">
      <c r="A24">
        <v>6</v>
      </c>
      <c r="B24" t="s">
        <v>18</v>
      </c>
      <c r="C24" t="str">
        <f>HYPERLINK("http://www.ncbi.nlm.nih.gov/protein/NP_001266892.1","NP_001266892.1")</f>
        <v>NP_001266892.1</v>
      </c>
      <c r="D24">
        <v>181</v>
      </c>
      <c r="E24" t="str">
        <f>HYPERLINK("http://www.ncbi.nlm.nih.gov/Taxonomy/Browser/wwwtax.cgi?mode=Info&amp;id=27679&amp;lvl=3&amp;lin=f&amp;keep=1&amp;srchmode=1&amp;unlock","27679")</f>
        <v>27679</v>
      </c>
      <c r="F24" t="s">
        <v>18</v>
      </c>
      <c r="G24" t="str">
        <f>HYPERLINK("http://www.ncbi.nlm.nih.gov/Taxonomy/Browser/wwwtax.cgi?mode=Info&amp;id=27679&amp;lvl=3&amp;lin=f&amp;keep=1&amp;srchmode=1&amp;unlock","Saimiri boliviensis")</f>
        <v>Saimiri boliviensis</v>
      </c>
      <c r="H24" t="s">
        <v>73</v>
      </c>
      <c r="I24" t="str">
        <f>HYPERLINK("http://www.ncbi.nlm.nih.gov/protein/NP_001266892.1","androgen receptor")</f>
        <v>androgen receptor</v>
      </c>
      <c r="J24" t="s">
        <v>1312</v>
      </c>
      <c r="K24" t="s">
        <v>20</v>
      </c>
      <c r="L24">
        <v>704</v>
      </c>
      <c r="M24" t="s">
        <v>25</v>
      </c>
      <c r="N24" t="s">
        <v>20</v>
      </c>
      <c r="O24" t="s">
        <v>1352</v>
      </c>
      <c r="P24" t="s">
        <v>20</v>
      </c>
      <c r="Q24">
        <v>132.119</v>
      </c>
      <c r="R24" t="s">
        <v>20</v>
      </c>
      <c r="S24" t="s">
        <v>20</v>
      </c>
      <c r="T24">
        <v>710</v>
      </c>
      <c r="U24" t="s">
        <v>1313</v>
      </c>
      <c r="V24" t="s">
        <v>20</v>
      </c>
      <c r="W24" t="s">
        <v>1352</v>
      </c>
      <c r="X24" t="s">
        <v>20</v>
      </c>
      <c r="Y24">
        <v>146.14599999999999</v>
      </c>
      <c r="Z24" t="s">
        <v>20</v>
      </c>
      <c r="AA24" t="s">
        <v>20</v>
      </c>
      <c r="AB24">
        <v>751</v>
      </c>
      <c r="AC24" t="s">
        <v>1314</v>
      </c>
      <c r="AD24" t="s">
        <v>20</v>
      </c>
      <c r="AE24" t="s">
        <v>1353</v>
      </c>
      <c r="AF24" t="s">
        <v>20</v>
      </c>
      <c r="AG24">
        <v>174.203</v>
      </c>
      <c r="AH24" t="s">
        <v>20</v>
      </c>
      <c r="AI24" t="s">
        <v>20</v>
      </c>
      <c r="AJ24">
        <v>876</v>
      </c>
      <c r="AK24" t="s">
        <v>1315</v>
      </c>
      <c r="AL24" t="s">
        <v>20</v>
      </c>
      <c r="AM24" t="s">
        <v>1354</v>
      </c>
      <c r="AN24" t="s">
        <v>20</v>
      </c>
      <c r="AO24">
        <v>119.119</v>
      </c>
      <c r="AP24" t="s">
        <v>20</v>
      </c>
      <c r="AQ24" t="s">
        <v>20</v>
      </c>
    </row>
    <row r="25" spans="1:43" x14ac:dyDescent="0.25">
      <c r="A25">
        <v>6</v>
      </c>
      <c r="B25" t="s">
        <v>18</v>
      </c>
      <c r="C25" t="str">
        <f>HYPERLINK("http://www.ncbi.nlm.nih.gov/protein/XP_032111715.1","XP_032111715.1")</f>
        <v>XP_032111715.1</v>
      </c>
      <c r="D25">
        <v>62477</v>
      </c>
      <c r="E25" t="str">
        <f>HYPERLINK("http://www.ncbi.nlm.nih.gov/Taxonomy/Browser/wwwtax.cgi?mode=Info&amp;id=9515&amp;lvl=3&amp;lin=f&amp;keep=1&amp;srchmode=1&amp;unlock","9515")</f>
        <v>9515</v>
      </c>
      <c r="F25" t="s">
        <v>18</v>
      </c>
      <c r="G25" t="str">
        <f>HYPERLINK("http://www.ncbi.nlm.nih.gov/Taxonomy/Browser/wwwtax.cgi?mode=Info&amp;id=9515&amp;lvl=3&amp;lin=f&amp;keep=1&amp;srchmode=1&amp;unlock","Sapajus apella")</f>
        <v>Sapajus apella</v>
      </c>
      <c r="H25" t="s">
        <v>86</v>
      </c>
      <c r="I25" t="str">
        <f>HYPERLINK("http://www.ncbi.nlm.nih.gov/protein/XP_032111715.1","androgen receptor isoform X1")</f>
        <v>androgen receptor isoform X1</v>
      </c>
      <c r="J25" t="s">
        <v>1312</v>
      </c>
      <c r="K25" t="s">
        <v>20</v>
      </c>
      <c r="L25">
        <v>676</v>
      </c>
      <c r="M25" t="s">
        <v>25</v>
      </c>
      <c r="N25" t="s">
        <v>20</v>
      </c>
      <c r="O25" t="s">
        <v>1352</v>
      </c>
      <c r="P25" t="s">
        <v>20</v>
      </c>
      <c r="Q25">
        <v>132.119</v>
      </c>
      <c r="R25" t="s">
        <v>20</v>
      </c>
      <c r="S25" t="s">
        <v>20</v>
      </c>
      <c r="T25">
        <v>682</v>
      </c>
      <c r="U25" t="s">
        <v>1313</v>
      </c>
      <c r="V25" t="s">
        <v>20</v>
      </c>
      <c r="W25" t="s">
        <v>1352</v>
      </c>
      <c r="X25" t="s">
        <v>20</v>
      </c>
      <c r="Y25">
        <v>146.14599999999999</v>
      </c>
      <c r="Z25" t="s">
        <v>20</v>
      </c>
      <c r="AA25" t="s">
        <v>20</v>
      </c>
      <c r="AB25">
        <v>723</v>
      </c>
      <c r="AC25" t="s">
        <v>1314</v>
      </c>
      <c r="AD25" t="s">
        <v>20</v>
      </c>
      <c r="AE25" t="s">
        <v>1353</v>
      </c>
      <c r="AF25" t="s">
        <v>20</v>
      </c>
      <c r="AG25">
        <v>174.203</v>
      </c>
      <c r="AH25" t="s">
        <v>20</v>
      </c>
      <c r="AI25" t="s">
        <v>20</v>
      </c>
      <c r="AJ25">
        <v>848</v>
      </c>
      <c r="AK25" t="s">
        <v>1315</v>
      </c>
      <c r="AL25" t="s">
        <v>20</v>
      </c>
      <c r="AM25" t="s">
        <v>1354</v>
      </c>
      <c r="AN25" t="s">
        <v>20</v>
      </c>
      <c r="AO25">
        <v>119.119</v>
      </c>
      <c r="AP25" t="s">
        <v>20</v>
      </c>
      <c r="AQ25" t="s">
        <v>20</v>
      </c>
    </row>
    <row r="26" spans="1:43" x14ac:dyDescent="0.25">
      <c r="A26">
        <v>6</v>
      </c>
      <c r="B26" t="s">
        <v>18</v>
      </c>
      <c r="C26" t="str">
        <f>HYPERLINK("http://www.ncbi.nlm.nih.gov/protein/XP_017375691.1","XP_017375691.1")</f>
        <v>XP_017375691.1</v>
      </c>
      <c r="D26">
        <v>55886</v>
      </c>
      <c r="E26" t="str">
        <f>HYPERLINK("http://www.ncbi.nlm.nih.gov/Taxonomy/Browser/wwwtax.cgi?mode=Info&amp;id=2715852&amp;lvl=3&amp;lin=f&amp;keep=1&amp;srchmode=1&amp;unlock","2715852")</f>
        <v>2715852</v>
      </c>
      <c r="F26" t="s">
        <v>18</v>
      </c>
      <c r="G26" t="str">
        <f>HYPERLINK("http://www.ncbi.nlm.nih.gov/Taxonomy/Browser/wwwtax.cgi?mode=Info&amp;id=2715852&amp;lvl=3&amp;lin=f&amp;keep=1&amp;srchmode=1&amp;unlock","Cebus imitator")</f>
        <v>Cebus imitator</v>
      </c>
      <c r="H26" t="s">
        <v>85</v>
      </c>
      <c r="I26" t="str">
        <f>HYPERLINK("http://www.ncbi.nlm.nih.gov/protein/XP_017375691.1","androgen receptor")</f>
        <v>androgen receptor</v>
      </c>
      <c r="J26" t="s">
        <v>1312</v>
      </c>
      <c r="K26" t="s">
        <v>20</v>
      </c>
      <c r="L26">
        <v>673</v>
      </c>
      <c r="M26" t="s">
        <v>25</v>
      </c>
      <c r="N26" t="s">
        <v>20</v>
      </c>
      <c r="O26" t="s">
        <v>1352</v>
      </c>
      <c r="P26" t="s">
        <v>20</v>
      </c>
      <c r="Q26">
        <v>132.119</v>
      </c>
      <c r="R26" t="s">
        <v>20</v>
      </c>
      <c r="S26" t="s">
        <v>20</v>
      </c>
      <c r="T26">
        <v>679</v>
      </c>
      <c r="U26" t="s">
        <v>1313</v>
      </c>
      <c r="V26" t="s">
        <v>20</v>
      </c>
      <c r="W26" t="s">
        <v>1352</v>
      </c>
      <c r="X26" t="s">
        <v>20</v>
      </c>
      <c r="Y26">
        <v>146.14599999999999</v>
      </c>
      <c r="Z26" t="s">
        <v>20</v>
      </c>
      <c r="AA26" t="s">
        <v>20</v>
      </c>
      <c r="AB26">
        <v>720</v>
      </c>
      <c r="AC26" t="s">
        <v>1314</v>
      </c>
      <c r="AD26" t="s">
        <v>20</v>
      </c>
      <c r="AE26" t="s">
        <v>1353</v>
      </c>
      <c r="AF26" t="s">
        <v>20</v>
      </c>
      <c r="AG26">
        <v>174.203</v>
      </c>
      <c r="AH26" t="s">
        <v>20</v>
      </c>
      <c r="AI26" t="s">
        <v>20</v>
      </c>
      <c r="AJ26">
        <v>845</v>
      </c>
      <c r="AK26" t="s">
        <v>1315</v>
      </c>
      <c r="AL26" t="s">
        <v>20</v>
      </c>
      <c r="AM26" t="s">
        <v>1354</v>
      </c>
      <c r="AN26" t="s">
        <v>20</v>
      </c>
      <c r="AO26">
        <v>119.119</v>
      </c>
      <c r="AP26" t="s">
        <v>20</v>
      </c>
      <c r="AQ26" t="s">
        <v>20</v>
      </c>
    </row>
    <row r="27" spans="1:43" x14ac:dyDescent="0.25">
      <c r="A27">
        <v>6</v>
      </c>
      <c r="B27" t="s">
        <v>18</v>
      </c>
      <c r="C27" t="str">
        <f>HYPERLINK("http://www.ncbi.nlm.nih.gov/protein/XP_008062492.1","XP_008062492.1")</f>
        <v>XP_008062492.1</v>
      </c>
      <c r="D27">
        <v>33266</v>
      </c>
      <c r="E27" t="str">
        <f>HYPERLINK("http://www.ncbi.nlm.nih.gov/Taxonomy/Browser/wwwtax.cgi?mode=Info&amp;id=1868482&amp;lvl=3&amp;lin=f&amp;keep=1&amp;srchmode=1&amp;unlock","1868482")</f>
        <v>1868482</v>
      </c>
      <c r="F27" t="s">
        <v>18</v>
      </c>
      <c r="G27" t="str">
        <f>HYPERLINK("http://www.ncbi.nlm.nih.gov/Taxonomy/Browser/wwwtax.cgi?mode=Info&amp;id=1868482&amp;lvl=3&amp;lin=f&amp;keep=1&amp;srchmode=1&amp;unlock","Carlito syrichta")</f>
        <v>Carlito syrichta</v>
      </c>
      <c r="H27" t="s">
        <v>69</v>
      </c>
      <c r="I27" t="str">
        <f>HYPERLINK("http://www.ncbi.nlm.nih.gov/protein/XP_008062492.1","androgen receptor")</f>
        <v>androgen receptor</v>
      </c>
      <c r="J27" t="s">
        <v>1312</v>
      </c>
      <c r="K27" t="s">
        <v>20</v>
      </c>
      <c r="L27">
        <v>673</v>
      </c>
      <c r="M27" t="s">
        <v>25</v>
      </c>
      <c r="N27" t="s">
        <v>20</v>
      </c>
      <c r="O27" t="s">
        <v>1352</v>
      </c>
      <c r="P27" t="s">
        <v>20</v>
      </c>
      <c r="Q27">
        <v>132.119</v>
      </c>
      <c r="R27" t="s">
        <v>20</v>
      </c>
      <c r="S27" t="s">
        <v>20</v>
      </c>
      <c r="T27">
        <v>679</v>
      </c>
      <c r="U27" t="s">
        <v>1313</v>
      </c>
      <c r="V27" t="s">
        <v>20</v>
      </c>
      <c r="W27" t="s">
        <v>1352</v>
      </c>
      <c r="X27" t="s">
        <v>20</v>
      </c>
      <c r="Y27">
        <v>146.14599999999999</v>
      </c>
      <c r="Z27" t="s">
        <v>20</v>
      </c>
      <c r="AA27" t="s">
        <v>20</v>
      </c>
      <c r="AB27">
        <v>720</v>
      </c>
      <c r="AC27" t="s">
        <v>1314</v>
      </c>
      <c r="AD27" t="s">
        <v>20</v>
      </c>
      <c r="AE27" t="s">
        <v>1353</v>
      </c>
      <c r="AF27" t="s">
        <v>20</v>
      </c>
      <c r="AG27">
        <v>174.203</v>
      </c>
      <c r="AH27" t="s">
        <v>20</v>
      </c>
      <c r="AI27" t="s">
        <v>20</v>
      </c>
      <c r="AJ27">
        <v>845</v>
      </c>
      <c r="AK27" t="s">
        <v>1315</v>
      </c>
      <c r="AL27" t="s">
        <v>20</v>
      </c>
      <c r="AM27" t="s">
        <v>1354</v>
      </c>
      <c r="AN27" t="s">
        <v>20</v>
      </c>
      <c r="AO27">
        <v>119.119</v>
      </c>
      <c r="AP27" t="s">
        <v>20</v>
      </c>
      <c r="AQ27" t="s">
        <v>20</v>
      </c>
    </row>
    <row r="28" spans="1:43" x14ac:dyDescent="0.25">
      <c r="A28">
        <v>6</v>
      </c>
      <c r="B28" t="s">
        <v>18</v>
      </c>
      <c r="C28" t="str">
        <f>HYPERLINK("http://www.ncbi.nlm.nih.gov/protein/XP_004416958.1","XP_004416958.1")</f>
        <v>XP_004416958.1</v>
      </c>
      <c r="D28">
        <v>31383</v>
      </c>
      <c r="E28" t="str">
        <f>HYPERLINK("http://www.ncbi.nlm.nih.gov/Taxonomy/Browser/wwwtax.cgi?mode=Info&amp;id=9708&amp;lvl=3&amp;lin=f&amp;keep=1&amp;srchmode=1&amp;unlock","9708")</f>
        <v>9708</v>
      </c>
      <c r="F28" t="s">
        <v>18</v>
      </c>
      <c r="G28" t="str">
        <f>HYPERLINK("http://www.ncbi.nlm.nih.gov/Taxonomy/Browser/wwwtax.cgi?mode=Info&amp;id=9708&amp;lvl=3&amp;lin=f&amp;keep=1&amp;srchmode=1&amp;unlock","Odobenus rosmarus divergens")</f>
        <v>Odobenus rosmarus divergens</v>
      </c>
      <c r="H28" t="s">
        <v>83</v>
      </c>
      <c r="I28" t="str">
        <f>HYPERLINK("http://www.ncbi.nlm.nih.gov/protein/XP_004416958.1","PREDICTED: androgen receptor")</f>
        <v>PREDICTED: androgen receptor</v>
      </c>
      <c r="J28" t="s">
        <v>1312</v>
      </c>
      <c r="K28" t="s">
        <v>20</v>
      </c>
      <c r="L28">
        <v>672</v>
      </c>
      <c r="M28" t="s">
        <v>25</v>
      </c>
      <c r="N28" t="s">
        <v>20</v>
      </c>
      <c r="O28" t="s">
        <v>1352</v>
      </c>
      <c r="P28" t="s">
        <v>20</v>
      </c>
      <c r="Q28">
        <v>132.119</v>
      </c>
      <c r="R28" t="s">
        <v>20</v>
      </c>
      <c r="S28" t="s">
        <v>20</v>
      </c>
      <c r="T28">
        <v>678</v>
      </c>
      <c r="U28" t="s">
        <v>1313</v>
      </c>
      <c r="V28" t="s">
        <v>20</v>
      </c>
      <c r="W28" t="s">
        <v>1352</v>
      </c>
      <c r="X28" t="s">
        <v>20</v>
      </c>
      <c r="Y28">
        <v>146.14599999999999</v>
      </c>
      <c r="Z28" t="s">
        <v>20</v>
      </c>
      <c r="AA28" t="s">
        <v>20</v>
      </c>
      <c r="AB28">
        <v>719</v>
      </c>
      <c r="AC28" t="s">
        <v>1314</v>
      </c>
      <c r="AD28" t="s">
        <v>20</v>
      </c>
      <c r="AE28" t="s">
        <v>1353</v>
      </c>
      <c r="AF28" t="s">
        <v>20</v>
      </c>
      <c r="AG28">
        <v>174.203</v>
      </c>
      <c r="AH28" t="s">
        <v>20</v>
      </c>
      <c r="AI28" t="s">
        <v>20</v>
      </c>
      <c r="AJ28">
        <v>844</v>
      </c>
      <c r="AK28" t="s">
        <v>1315</v>
      </c>
      <c r="AL28" t="s">
        <v>20</v>
      </c>
      <c r="AM28" t="s">
        <v>1354</v>
      </c>
      <c r="AN28" t="s">
        <v>20</v>
      </c>
      <c r="AO28">
        <v>119.119</v>
      </c>
      <c r="AP28" t="s">
        <v>20</v>
      </c>
      <c r="AQ28" t="s">
        <v>20</v>
      </c>
    </row>
    <row r="29" spans="1:43" x14ac:dyDescent="0.25">
      <c r="A29">
        <v>6</v>
      </c>
      <c r="B29" t="s">
        <v>18</v>
      </c>
      <c r="C29" t="str">
        <f>HYPERLINK("http://www.ncbi.nlm.nih.gov/protein/XP_027287560.1","XP_027287560.1")</f>
        <v>XP_027287560.1</v>
      </c>
      <c r="D29">
        <v>138048</v>
      </c>
      <c r="E29" t="str">
        <f>HYPERLINK("http://www.ncbi.nlm.nih.gov/Taxonomy/Browser/wwwtax.cgi?mode=Info&amp;id=10029&amp;lvl=3&amp;lin=f&amp;keep=1&amp;srchmode=1&amp;unlock","10029")</f>
        <v>10029</v>
      </c>
      <c r="F29" t="s">
        <v>18</v>
      </c>
      <c r="G29" t="str">
        <f>HYPERLINK("http://www.ncbi.nlm.nih.gov/Taxonomy/Browser/wwwtax.cgi?mode=Info&amp;id=10029&amp;lvl=3&amp;lin=f&amp;keep=1&amp;srchmode=1&amp;unlock","Cricetulus griseus")</f>
        <v>Cricetulus griseus</v>
      </c>
      <c r="H29" t="s">
        <v>149</v>
      </c>
      <c r="I29" t="str">
        <f>HYPERLINK("http://www.ncbi.nlm.nih.gov/protein/XP_027287560.1","androgen receptor isoform X3")</f>
        <v>androgen receptor isoform X3</v>
      </c>
      <c r="J29" t="s">
        <v>1312</v>
      </c>
      <c r="K29" t="s">
        <v>20</v>
      </c>
      <c r="L29">
        <v>695</v>
      </c>
      <c r="M29" t="s">
        <v>25</v>
      </c>
      <c r="N29" t="s">
        <v>20</v>
      </c>
      <c r="O29" t="s">
        <v>1352</v>
      </c>
      <c r="P29" t="s">
        <v>20</v>
      </c>
      <c r="Q29">
        <v>132.119</v>
      </c>
      <c r="R29" t="s">
        <v>20</v>
      </c>
      <c r="S29" t="s">
        <v>20</v>
      </c>
      <c r="T29">
        <v>701</v>
      </c>
      <c r="U29" t="s">
        <v>1313</v>
      </c>
      <c r="V29" t="s">
        <v>20</v>
      </c>
      <c r="W29" t="s">
        <v>1352</v>
      </c>
      <c r="X29" t="s">
        <v>20</v>
      </c>
      <c r="Y29">
        <v>146.14599999999999</v>
      </c>
      <c r="Z29" t="s">
        <v>20</v>
      </c>
      <c r="AA29" t="s">
        <v>20</v>
      </c>
      <c r="AB29">
        <v>742</v>
      </c>
      <c r="AC29" t="s">
        <v>1314</v>
      </c>
      <c r="AD29" t="s">
        <v>20</v>
      </c>
      <c r="AE29" t="s">
        <v>1353</v>
      </c>
      <c r="AF29" t="s">
        <v>20</v>
      </c>
      <c r="AG29">
        <v>174.203</v>
      </c>
      <c r="AH29" t="s">
        <v>20</v>
      </c>
      <c r="AI29" t="s">
        <v>20</v>
      </c>
      <c r="AJ29">
        <v>867</v>
      </c>
      <c r="AK29" t="s">
        <v>1315</v>
      </c>
      <c r="AL29" t="s">
        <v>20</v>
      </c>
      <c r="AM29" t="s">
        <v>1354</v>
      </c>
      <c r="AN29" t="s">
        <v>20</v>
      </c>
      <c r="AO29">
        <v>119.119</v>
      </c>
      <c r="AP29" t="s">
        <v>20</v>
      </c>
      <c r="AQ29" t="s">
        <v>20</v>
      </c>
    </row>
    <row r="30" spans="1:43" x14ac:dyDescent="0.25">
      <c r="A30">
        <v>6</v>
      </c>
      <c r="B30" t="s">
        <v>18</v>
      </c>
      <c r="C30" t="str">
        <f>HYPERLINK("http://www.ncbi.nlm.nih.gov/protein/XP_027464601.1","XP_027464601.1")</f>
        <v>XP_027464601.1</v>
      </c>
      <c r="D30">
        <v>61138</v>
      </c>
      <c r="E30" t="str">
        <f>HYPERLINK("http://www.ncbi.nlm.nih.gov/Taxonomy/Browser/wwwtax.cgi?mode=Info&amp;id=9704&amp;lvl=3&amp;lin=f&amp;keep=1&amp;srchmode=1&amp;unlock","9704")</f>
        <v>9704</v>
      </c>
      <c r="F30" t="s">
        <v>18</v>
      </c>
      <c r="G30" t="str">
        <f>HYPERLINK("http://www.ncbi.nlm.nih.gov/Taxonomy/Browser/wwwtax.cgi?mode=Info&amp;id=9704&amp;lvl=3&amp;lin=f&amp;keep=1&amp;srchmode=1&amp;unlock","Zalophus californianus")</f>
        <v>Zalophus californianus</v>
      </c>
      <c r="H30" t="s">
        <v>67</v>
      </c>
      <c r="I30" t="str">
        <f>HYPERLINK("http://www.ncbi.nlm.nih.gov/protein/XP_027464601.1","androgen receptor")</f>
        <v>androgen receptor</v>
      </c>
      <c r="J30" t="s">
        <v>1312</v>
      </c>
      <c r="K30" t="s">
        <v>20</v>
      </c>
      <c r="L30">
        <v>673</v>
      </c>
      <c r="M30" t="s">
        <v>25</v>
      </c>
      <c r="N30" t="s">
        <v>20</v>
      </c>
      <c r="O30" t="s">
        <v>1352</v>
      </c>
      <c r="P30" t="s">
        <v>20</v>
      </c>
      <c r="Q30">
        <v>132.119</v>
      </c>
      <c r="R30" t="s">
        <v>20</v>
      </c>
      <c r="S30" t="s">
        <v>20</v>
      </c>
      <c r="T30">
        <v>679</v>
      </c>
      <c r="U30" t="s">
        <v>1313</v>
      </c>
      <c r="V30" t="s">
        <v>20</v>
      </c>
      <c r="W30" t="s">
        <v>1352</v>
      </c>
      <c r="X30" t="s">
        <v>20</v>
      </c>
      <c r="Y30">
        <v>146.14599999999999</v>
      </c>
      <c r="Z30" t="s">
        <v>20</v>
      </c>
      <c r="AA30" t="s">
        <v>20</v>
      </c>
      <c r="AB30">
        <v>720</v>
      </c>
      <c r="AC30" t="s">
        <v>1314</v>
      </c>
      <c r="AD30" t="s">
        <v>20</v>
      </c>
      <c r="AE30" t="s">
        <v>1353</v>
      </c>
      <c r="AF30" t="s">
        <v>20</v>
      </c>
      <c r="AG30">
        <v>174.203</v>
      </c>
      <c r="AH30" t="s">
        <v>20</v>
      </c>
      <c r="AI30" t="s">
        <v>20</v>
      </c>
      <c r="AJ30">
        <v>845</v>
      </c>
      <c r="AK30" t="s">
        <v>1315</v>
      </c>
      <c r="AL30" t="s">
        <v>20</v>
      </c>
      <c r="AM30" t="s">
        <v>1354</v>
      </c>
      <c r="AN30" t="s">
        <v>20</v>
      </c>
      <c r="AO30">
        <v>119.119</v>
      </c>
      <c r="AP30" t="s">
        <v>20</v>
      </c>
      <c r="AQ30" t="s">
        <v>20</v>
      </c>
    </row>
    <row r="31" spans="1:43" x14ac:dyDescent="0.25">
      <c r="A31">
        <v>6</v>
      </c>
      <c r="B31" t="s">
        <v>18</v>
      </c>
      <c r="C31" t="str">
        <f>HYPERLINK("http://www.ncbi.nlm.nih.gov/protein/XP_032249776.1","XP_032249776.1")</f>
        <v>XP_032249776.1</v>
      </c>
      <c r="D31">
        <v>45582</v>
      </c>
      <c r="E31" t="str">
        <f>HYPERLINK("http://www.ncbi.nlm.nih.gov/Taxonomy/Browser/wwwtax.cgi?mode=Info&amp;id=9720&amp;lvl=3&amp;lin=f&amp;keep=1&amp;srchmode=1&amp;unlock","9720")</f>
        <v>9720</v>
      </c>
      <c r="F31" t="s">
        <v>18</v>
      </c>
      <c r="G31" t="str">
        <f>HYPERLINK("http://www.ncbi.nlm.nih.gov/Taxonomy/Browser/wwwtax.cgi?mode=Info&amp;id=9720&amp;lvl=3&amp;lin=f&amp;keep=1&amp;srchmode=1&amp;unlock","Phoca vitulina")</f>
        <v>Phoca vitulina</v>
      </c>
      <c r="H31" t="s">
        <v>46</v>
      </c>
      <c r="I31" t="str">
        <f>HYPERLINK("http://www.ncbi.nlm.nih.gov/protein/XP_032249776.1","androgen receptor")</f>
        <v>androgen receptor</v>
      </c>
      <c r="J31" t="s">
        <v>1312</v>
      </c>
      <c r="K31" t="s">
        <v>20</v>
      </c>
      <c r="L31">
        <v>684</v>
      </c>
      <c r="M31" t="s">
        <v>25</v>
      </c>
      <c r="N31" t="s">
        <v>20</v>
      </c>
      <c r="O31" t="s">
        <v>1352</v>
      </c>
      <c r="P31" t="s">
        <v>20</v>
      </c>
      <c r="Q31">
        <v>132.119</v>
      </c>
      <c r="R31" t="s">
        <v>20</v>
      </c>
      <c r="S31" t="s">
        <v>20</v>
      </c>
      <c r="T31">
        <v>690</v>
      </c>
      <c r="U31" t="s">
        <v>1313</v>
      </c>
      <c r="V31" t="s">
        <v>20</v>
      </c>
      <c r="W31" t="s">
        <v>1352</v>
      </c>
      <c r="X31" t="s">
        <v>20</v>
      </c>
      <c r="Y31">
        <v>146.14599999999999</v>
      </c>
      <c r="Z31" t="s">
        <v>20</v>
      </c>
      <c r="AA31" t="s">
        <v>20</v>
      </c>
      <c r="AB31">
        <v>731</v>
      </c>
      <c r="AC31" t="s">
        <v>1314</v>
      </c>
      <c r="AD31" t="s">
        <v>20</v>
      </c>
      <c r="AE31" t="s">
        <v>1353</v>
      </c>
      <c r="AF31" t="s">
        <v>20</v>
      </c>
      <c r="AG31">
        <v>174.203</v>
      </c>
      <c r="AH31" t="s">
        <v>20</v>
      </c>
      <c r="AI31" t="s">
        <v>20</v>
      </c>
      <c r="AJ31">
        <v>856</v>
      </c>
      <c r="AK31" t="s">
        <v>1315</v>
      </c>
      <c r="AL31" t="s">
        <v>20</v>
      </c>
      <c r="AM31" t="s">
        <v>1354</v>
      </c>
      <c r="AN31" t="s">
        <v>20</v>
      </c>
      <c r="AO31">
        <v>119.119</v>
      </c>
      <c r="AP31" t="s">
        <v>20</v>
      </c>
      <c r="AQ31" t="s">
        <v>20</v>
      </c>
    </row>
    <row r="32" spans="1:43" x14ac:dyDescent="0.25">
      <c r="A32">
        <v>6</v>
      </c>
      <c r="B32" t="s">
        <v>18</v>
      </c>
      <c r="C32" t="str">
        <f>HYPERLINK("http://www.ncbi.nlm.nih.gov/protein/XP_003801358.1","XP_003801358.1")</f>
        <v>XP_003801358.1</v>
      </c>
      <c r="D32">
        <v>33103</v>
      </c>
      <c r="E32" t="str">
        <f>HYPERLINK("http://www.ncbi.nlm.nih.gov/Taxonomy/Browser/wwwtax.cgi?mode=Info&amp;id=30611&amp;lvl=3&amp;lin=f&amp;keep=1&amp;srchmode=1&amp;unlock","30611")</f>
        <v>30611</v>
      </c>
      <c r="F32" t="s">
        <v>18</v>
      </c>
      <c r="G32" t="str">
        <f>HYPERLINK("http://www.ncbi.nlm.nih.gov/Taxonomy/Browser/wwwtax.cgi?mode=Info&amp;id=30611&amp;lvl=3&amp;lin=f&amp;keep=1&amp;srchmode=1&amp;unlock","Otolemur garnettii")</f>
        <v>Otolemur garnettii</v>
      </c>
      <c r="H32" t="s">
        <v>88</v>
      </c>
      <c r="I32" t="str">
        <f>HYPERLINK("http://www.ncbi.nlm.nih.gov/protein/XP_003801358.1","androgen receptor isoform X1")</f>
        <v>androgen receptor isoform X1</v>
      </c>
      <c r="J32" t="s">
        <v>1312</v>
      </c>
      <c r="K32" t="s">
        <v>20</v>
      </c>
      <c r="L32">
        <v>683</v>
      </c>
      <c r="M32" t="s">
        <v>25</v>
      </c>
      <c r="N32" t="s">
        <v>20</v>
      </c>
      <c r="O32" t="s">
        <v>1352</v>
      </c>
      <c r="P32" t="s">
        <v>20</v>
      </c>
      <c r="Q32">
        <v>132.119</v>
      </c>
      <c r="R32" t="s">
        <v>20</v>
      </c>
      <c r="S32" t="s">
        <v>20</v>
      </c>
      <c r="T32">
        <v>689</v>
      </c>
      <c r="U32" t="s">
        <v>1313</v>
      </c>
      <c r="V32" t="s">
        <v>20</v>
      </c>
      <c r="W32" t="s">
        <v>1352</v>
      </c>
      <c r="X32" t="s">
        <v>20</v>
      </c>
      <c r="Y32">
        <v>146.14599999999999</v>
      </c>
      <c r="Z32" t="s">
        <v>20</v>
      </c>
      <c r="AA32" t="s">
        <v>20</v>
      </c>
      <c r="AB32">
        <v>730</v>
      </c>
      <c r="AC32" t="s">
        <v>1314</v>
      </c>
      <c r="AD32" t="s">
        <v>20</v>
      </c>
      <c r="AE32" t="s">
        <v>1353</v>
      </c>
      <c r="AF32" t="s">
        <v>20</v>
      </c>
      <c r="AG32">
        <v>174.203</v>
      </c>
      <c r="AH32" t="s">
        <v>20</v>
      </c>
      <c r="AI32" t="s">
        <v>20</v>
      </c>
      <c r="AJ32">
        <v>855</v>
      </c>
      <c r="AK32" t="s">
        <v>1315</v>
      </c>
      <c r="AL32" t="s">
        <v>20</v>
      </c>
      <c r="AM32" t="s">
        <v>1354</v>
      </c>
      <c r="AN32" t="s">
        <v>20</v>
      </c>
      <c r="AO32">
        <v>119.119</v>
      </c>
      <c r="AP32" t="s">
        <v>20</v>
      </c>
      <c r="AQ32" t="s">
        <v>20</v>
      </c>
    </row>
    <row r="33" spans="1:43" x14ac:dyDescent="0.25">
      <c r="A33">
        <v>6</v>
      </c>
      <c r="B33" t="s">
        <v>18</v>
      </c>
      <c r="C33" t="str">
        <f>HYPERLINK("http://www.ncbi.nlm.nih.gov/protein/XP_034868513.1","XP_034868513.1")</f>
        <v>XP_034868513.1</v>
      </c>
      <c r="D33">
        <v>64815</v>
      </c>
      <c r="E33" t="str">
        <f>HYPERLINK("http://www.ncbi.nlm.nih.gov/Taxonomy/Browser/wwwtax.cgi?mode=Info&amp;id=9715&amp;lvl=3&amp;lin=f&amp;keep=1&amp;srchmode=1&amp;unlock","9715")</f>
        <v>9715</v>
      </c>
      <c r="F33" t="s">
        <v>18</v>
      </c>
      <c r="G33" t="str">
        <f>HYPERLINK("http://www.ncbi.nlm.nih.gov/Taxonomy/Browser/wwwtax.cgi?mode=Info&amp;id=9715&amp;lvl=3&amp;lin=f&amp;keep=1&amp;srchmode=1&amp;unlock","Mirounga leonina")</f>
        <v>Mirounga leonina</v>
      </c>
      <c r="H33" t="s">
        <v>58</v>
      </c>
      <c r="I33" t="str">
        <f>HYPERLINK("http://www.ncbi.nlm.nih.gov/protein/XP_034868513.1","androgen receptor")</f>
        <v>androgen receptor</v>
      </c>
      <c r="J33" t="s">
        <v>1312</v>
      </c>
      <c r="K33" t="s">
        <v>20</v>
      </c>
      <c r="L33">
        <v>685</v>
      </c>
      <c r="M33" t="s">
        <v>25</v>
      </c>
      <c r="N33" t="s">
        <v>20</v>
      </c>
      <c r="O33" t="s">
        <v>1352</v>
      </c>
      <c r="P33" t="s">
        <v>20</v>
      </c>
      <c r="Q33">
        <v>132.119</v>
      </c>
      <c r="R33" t="s">
        <v>20</v>
      </c>
      <c r="S33" t="s">
        <v>20</v>
      </c>
      <c r="T33">
        <v>691</v>
      </c>
      <c r="U33" t="s">
        <v>1313</v>
      </c>
      <c r="V33" t="s">
        <v>20</v>
      </c>
      <c r="W33" t="s">
        <v>1352</v>
      </c>
      <c r="X33" t="s">
        <v>20</v>
      </c>
      <c r="Y33">
        <v>146.14599999999999</v>
      </c>
      <c r="Z33" t="s">
        <v>20</v>
      </c>
      <c r="AA33" t="s">
        <v>20</v>
      </c>
      <c r="AB33">
        <v>732</v>
      </c>
      <c r="AC33" t="s">
        <v>1314</v>
      </c>
      <c r="AD33" t="s">
        <v>20</v>
      </c>
      <c r="AE33" t="s">
        <v>1353</v>
      </c>
      <c r="AF33" t="s">
        <v>20</v>
      </c>
      <c r="AG33">
        <v>174.203</v>
      </c>
      <c r="AH33" t="s">
        <v>20</v>
      </c>
      <c r="AI33" t="s">
        <v>20</v>
      </c>
      <c r="AJ33">
        <v>857</v>
      </c>
      <c r="AK33" t="s">
        <v>1315</v>
      </c>
      <c r="AL33" t="s">
        <v>20</v>
      </c>
      <c r="AM33" t="s">
        <v>1354</v>
      </c>
      <c r="AN33" t="s">
        <v>20</v>
      </c>
      <c r="AO33">
        <v>119.119</v>
      </c>
      <c r="AP33" t="s">
        <v>20</v>
      </c>
      <c r="AQ33" t="s">
        <v>20</v>
      </c>
    </row>
    <row r="34" spans="1:43" x14ac:dyDescent="0.25">
      <c r="A34">
        <v>6</v>
      </c>
      <c r="B34" t="s">
        <v>18</v>
      </c>
      <c r="C34" t="str">
        <f>HYPERLINK("http://www.ncbi.nlm.nih.gov/protein/O97776.1","O97776.1")</f>
        <v>O97776.1</v>
      </c>
      <c r="D34">
        <v>64</v>
      </c>
      <c r="E34" t="str">
        <f>HYPERLINK("http://www.ncbi.nlm.nih.gov/Taxonomy/Browser/wwwtax.cgi?mode=Info&amp;id=47178&amp;lvl=3&amp;lin=f&amp;keep=1&amp;srchmode=1&amp;unlock","47178")</f>
        <v>47178</v>
      </c>
      <c r="F34" t="s">
        <v>18</v>
      </c>
      <c r="G34" t="str">
        <f>HYPERLINK("http://www.ncbi.nlm.nih.gov/Taxonomy/Browser/wwwtax.cgi?mode=Info&amp;id=47178&amp;lvl=3&amp;lin=f&amp;keep=1&amp;srchmode=1&amp;unlock","Eulemur fulvus collaris")</f>
        <v>Eulemur fulvus collaris</v>
      </c>
      <c r="H34" t="s">
        <v>967</v>
      </c>
      <c r="I34" t="str">
        <f>HYPERLINK("http://www.ncbi.nlm.nih.gov/protein/O97776.1","RecName: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34" t="s">
        <v>1312</v>
      </c>
      <c r="K34" t="s">
        <v>20</v>
      </c>
      <c r="L34">
        <v>670</v>
      </c>
      <c r="M34" t="s">
        <v>25</v>
      </c>
      <c r="N34" t="s">
        <v>20</v>
      </c>
      <c r="O34" t="s">
        <v>1352</v>
      </c>
      <c r="P34" t="s">
        <v>20</v>
      </c>
      <c r="Q34">
        <v>132.119</v>
      </c>
      <c r="R34" t="s">
        <v>20</v>
      </c>
      <c r="S34" t="s">
        <v>20</v>
      </c>
      <c r="T34">
        <v>676</v>
      </c>
      <c r="U34" t="s">
        <v>1313</v>
      </c>
      <c r="V34" t="s">
        <v>20</v>
      </c>
      <c r="W34" t="s">
        <v>1352</v>
      </c>
      <c r="X34" t="s">
        <v>20</v>
      </c>
      <c r="Y34">
        <v>146.14599999999999</v>
      </c>
      <c r="Z34" t="s">
        <v>20</v>
      </c>
      <c r="AA34" t="s">
        <v>20</v>
      </c>
      <c r="AB34">
        <v>717</v>
      </c>
      <c r="AC34" t="s">
        <v>1314</v>
      </c>
      <c r="AD34" t="s">
        <v>20</v>
      </c>
      <c r="AE34" t="s">
        <v>1353</v>
      </c>
      <c r="AF34" t="s">
        <v>20</v>
      </c>
      <c r="AG34">
        <v>174.203</v>
      </c>
      <c r="AH34" t="s">
        <v>20</v>
      </c>
      <c r="AI34" t="s">
        <v>20</v>
      </c>
      <c r="AJ34">
        <v>842</v>
      </c>
      <c r="AK34" t="s">
        <v>1315</v>
      </c>
      <c r="AL34" t="s">
        <v>20</v>
      </c>
      <c r="AM34" t="s">
        <v>1354</v>
      </c>
      <c r="AN34" t="s">
        <v>20</v>
      </c>
      <c r="AO34">
        <v>119.119</v>
      </c>
      <c r="AP34" t="s">
        <v>20</v>
      </c>
      <c r="AQ34" t="s">
        <v>20</v>
      </c>
    </row>
    <row r="35" spans="1:43" x14ac:dyDescent="0.25">
      <c r="A35">
        <v>6</v>
      </c>
      <c r="B35" t="s">
        <v>18</v>
      </c>
      <c r="C35" t="str">
        <f>HYPERLINK("http://www.ncbi.nlm.nih.gov/protein/ANA11823.1","ANA11823.1")</f>
        <v>ANA11823.1</v>
      </c>
      <c r="D35">
        <v>67826</v>
      </c>
      <c r="E35" t="str">
        <f>HYPERLINK("http://www.ncbi.nlm.nih.gov/Taxonomy/Browser/wwwtax.cgi?mode=Info&amp;id=9796&amp;lvl=3&amp;lin=f&amp;keep=1&amp;srchmode=1&amp;unlock","9796")</f>
        <v>9796</v>
      </c>
      <c r="F35" t="s">
        <v>18</v>
      </c>
      <c r="G35" t="str">
        <f>HYPERLINK("http://www.ncbi.nlm.nih.gov/Taxonomy/Browser/wwwtax.cgi?mode=Info&amp;id=9796&amp;lvl=3&amp;lin=f&amp;keep=1&amp;srchmode=1&amp;unlock","Equus caballus")</f>
        <v>Equus caballus</v>
      </c>
      <c r="H35" t="s">
        <v>388</v>
      </c>
      <c r="I35" t="str">
        <f>HYPERLINK("http://www.ncbi.nlm.nih.gov/protein/ANA11823.1","androgen receptor")</f>
        <v>androgen receptor</v>
      </c>
      <c r="J35" t="s">
        <v>1312</v>
      </c>
      <c r="K35" t="s">
        <v>20</v>
      </c>
      <c r="L35">
        <v>668</v>
      </c>
      <c r="M35" t="s">
        <v>25</v>
      </c>
      <c r="N35" t="s">
        <v>20</v>
      </c>
      <c r="O35" t="s">
        <v>1352</v>
      </c>
      <c r="P35" t="s">
        <v>20</v>
      </c>
      <c r="Q35">
        <v>132.119</v>
      </c>
      <c r="R35" t="s">
        <v>20</v>
      </c>
      <c r="S35" t="s">
        <v>20</v>
      </c>
      <c r="T35">
        <v>674</v>
      </c>
      <c r="U35" t="s">
        <v>1313</v>
      </c>
      <c r="V35" t="s">
        <v>20</v>
      </c>
      <c r="W35" t="s">
        <v>1352</v>
      </c>
      <c r="X35" t="s">
        <v>20</v>
      </c>
      <c r="Y35">
        <v>146.14599999999999</v>
      </c>
      <c r="Z35" t="s">
        <v>20</v>
      </c>
      <c r="AA35" t="s">
        <v>20</v>
      </c>
      <c r="AB35">
        <v>715</v>
      </c>
      <c r="AC35" t="s">
        <v>1314</v>
      </c>
      <c r="AD35" t="s">
        <v>20</v>
      </c>
      <c r="AE35" t="s">
        <v>1353</v>
      </c>
      <c r="AF35" t="s">
        <v>20</v>
      </c>
      <c r="AG35">
        <v>174.203</v>
      </c>
      <c r="AH35" t="s">
        <v>20</v>
      </c>
      <c r="AI35" t="s">
        <v>20</v>
      </c>
      <c r="AJ35">
        <v>840</v>
      </c>
      <c r="AK35" t="s">
        <v>1315</v>
      </c>
      <c r="AL35" t="s">
        <v>20</v>
      </c>
      <c r="AM35" t="s">
        <v>1354</v>
      </c>
      <c r="AN35" t="s">
        <v>20</v>
      </c>
      <c r="AO35">
        <v>119.119</v>
      </c>
      <c r="AP35" t="s">
        <v>20</v>
      </c>
      <c r="AQ35" t="s">
        <v>20</v>
      </c>
    </row>
    <row r="36" spans="1:43" x14ac:dyDescent="0.25">
      <c r="A36">
        <v>6</v>
      </c>
      <c r="B36" t="s">
        <v>18</v>
      </c>
      <c r="C36" t="str">
        <f>HYPERLINK("http://www.ncbi.nlm.nih.gov/protein/BCD56309.1","BCD56309.1")</f>
        <v>BCD56309.1</v>
      </c>
      <c r="D36">
        <v>136175</v>
      </c>
      <c r="E36" t="str">
        <f>HYPERLINK("http://www.ncbi.nlm.nih.gov/Taxonomy/Browser/wwwtax.cgi?mode=Info&amp;id=9615&amp;lvl=3&amp;lin=f&amp;keep=1&amp;srchmode=1&amp;unlock","9615")</f>
        <v>9615</v>
      </c>
      <c r="F36" t="s">
        <v>18</v>
      </c>
      <c r="G36" t="str">
        <f>HYPERLINK("http://www.ncbi.nlm.nih.gov/Taxonomy/Browser/wwwtax.cgi?mode=Info&amp;id=9615&amp;lvl=3&amp;lin=f&amp;keep=1&amp;srchmode=1&amp;unlock","Canis lupus familiaris")</f>
        <v>Canis lupus familiaris</v>
      </c>
      <c r="H36" t="s">
        <v>54</v>
      </c>
      <c r="I36" t="str">
        <f>HYPERLINK("http://www.ncbi.nlm.nih.gov/protein/BCD56309.1","canine androgen receptor")</f>
        <v>canine androgen receptor</v>
      </c>
      <c r="J36" t="s">
        <v>1312</v>
      </c>
      <c r="K36" t="s">
        <v>20</v>
      </c>
      <c r="L36">
        <v>693</v>
      </c>
      <c r="M36" t="s">
        <v>25</v>
      </c>
      <c r="N36" t="s">
        <v>20</v>
      </c>
      <c r="O36" t="s">
        <v>1352</v>
      </c>
      <c r="P36" t="s">
        <v>20</v>
      </c>
      <c r="Q36">
        <v>132.119</v>
      </c>
      <c r="R36" t="s">
        <v>20</v>
      </c>
      <c r="S36" t="s">
        <v>20</v>
      </c>
      <c r="T36">
        <v>699</v>
      </c>
      <c r="U36" t="s">
        <v>1313</v>
      </c>
      <c r="V36" t="s">
        <v>20</v>
      </c>
      <c r="W36" t="s">
        <v>1352</v>
      </c>
      <c r="X36" t="s">
        <v>20</v>
      </c>
      <c r="Y36">
        <v>146.14599999999999</v>
      </c>
      <c r="Z36" t="s">
        <v>20</v>
      </c>
      <c r="AA36" t="s">
        <v>20</v>
      </c>
      <c r="AB36">
        <v>740</v>
      </c>
      <c r="AC36" t="s">
        <v>1314</v>
      </c>
      <c r="AD36" t="s">
        <v>20</v>
      </c>
      <c r="AE36" t="s">
        <v>1353</v>
      </c>
      <c r="AF36" t="s">
        <v>20</v>
      </c>
      <c r="AG36">
        <v>174.203</v>
      </c>
      <c r="AH36" t="s">
        <v>20</v>
      </c>
      <c r="AI36" t="s">
        <v>20</v>
      </c>
      <c r="AJ36">
        <v>865</v>
      </c>
      <c r="AK36" t="s">
        <v>1315</v>
      </c>
      <c r="AL36" t="s">
        <v>20</v>
      </c>
      <c r="AM36" t="s">
        <v>1354</v>
      </c>
      <c r="AN36" t="s">
        <v>20</v>
      </c>
      <c r="AO36">
        <v>119.119</v>
      </c>
      <c r="AP36" t="s">
        <v>20</v>
      </c>
      <c r="AQ36" t="s">
        <v>20</v>
      </c>
    </row>
    <row r="37" spans="1:43" x14ac:dyDescent="0.25">
      <c r="A37">
        <v>6</v>
      </c>
      <c r="B37" t="s">
        <v>18</v>
      </c>
      <c r="C37" t="str">
        <f>HYPERLINK("http://www.ncbi.nlm.nih.gov/protein/XP_025842610.1","XP_025842610.1")</f>
        <v>XP_025842610.1</v>
      </c>
      <c r="D37">
        <v>38432</v>
      </c>
      <c r="E37" t="str">
        <f>HYPERLINK("http://www.ncbi.nlm.nih.gov/Taxonomy/Browser/wwwtax.cgi?mode=Info&amp;id=9627&amp;lvl=3&amp;lin=f&amp;keep=1&amp;srchmode=1&amp;unlock","9627")</f>
        <v>9627</v>
      </c>
      <c r="F37" t="s">
        <v>18</v>
      </c>
      <c r="G37" t="str">
        <f>HYPERLINK("http://www.ncbi.nlm.nih.gov/Taxonomy/Browser/wwwtax.cgi?mode=Info&amp;id=9627&amp;lvl=3&amp;lin=f&amp;keep=1&amp;srchmode=1&amp;unlock","Vulpes vulpes")</f>
        <v>Vulpes vulpes</v>
      </c>
      <c r="H37" t="s">
        <v>40</v>
      </c>
      <c r="I37" t="str">
        <f>HYPERLINK("http://www.ncbi.nlm.nih.gov/protein/XP_025842610.1","androgen receptor")</f>
        <v>androgen receptor</v>
      </c>
      <c r="J37" t="s">
        <v>1312</v>
      </c>
      <c r="K37" t="s">
        <v>20</v>
      </c>
      <c r="L37">
        <v>686</v>
      </c>
      <c r="M37" t="s">
        <v>25</v>
      </c>
      <c r="N37" t="s">
        <v>20</v>
      </c>
      <c r="O37" t="s">
        <v>1352</v>
      </c>
      <c r="P37" t="s">
        <v>20</v>
      </c>
      <c r="Q37">
        <v>132.119</v>
      </c>
      <c r="R37" t="s">
        <v>20</v>
      </c>
      <c r="S37" t="s">
        <v>20</v>
      </c>
      <c r="T37">
        <v>692</v>
      </c>
      <c r="U37" t="s">
        <v>1313</v>
      </c>
      <c r="V37" t="s">
        <v>20</v>
      </c>
      <c r="W37" t="s">
        <v>1352</v>
      </c>
      <c r="X37" t="s">
        <v>20</v>
      </c>
      <c r="Y37">
        <v>146.14599999999999</v>
      </c>
      <c r="Z37" t="s">
        <v>20</v>
      </c>
      <c r="AA37" t="s">
        <v>20</v>
      </c>
      <c r="AB37">
        <v>733</v>
      </c>
      <c r="AC37" t="s">
        <v>1314</v>
      </c>
      <c r="AD37" t="s">
        <v>20</v>
      </c>
      <c r="AE37" t="s">
        <v>1353</v>
      </c>
      <c r="AF37" t="s">
        <v>20</v>
      </c>
      <c r="AG37">
        <v>174.203</v>
      </c>
      <c r="AH37" t="s">
        <v>20</v>
      </c>
      <c r="AI37" t="s">
        <v>20</v>
      </c>
      <c r="AJ37">
        <v>858</v>
      </c>
      <c r="AK37" t="s">
        <v>1315</v>
      </c>
      <c r="AL37" t="s">
        <v>20</v>
      </c>
      <c r="AM37" t="s">
        <v>1354</v>
      </c>
      <c r="AN37" t="s">
        <v>20</v>
      </c>
      <c r="AO37">
        <v>119.119</v>
      </c>
      <c r="AP37" t="s">
        <v>20</v>
      </c>
      <c r="AQ37" t="s">
        <v>20</v>
      </c>
    </row>
    <row r="38" spans="1:43" x14ac:dyDescent="0.25">
      <c r="A38">
        <v>6</v>
      </c>
      <c r="B38" t="s">
        <v>18</v>
      </c>
      <c r="C38" t="str">
        <f>HYPERLINK("http://www.ncbi.nlm.nih.gov/protein/XP_036030573.1","XP_036030573.1")</f>
        <v>XP_036030573.1</v>
      </c>
      <c r="D38">
        <v>43277</v>
      </c>
      <c r="E38" t="str">
        <f>HYPERLINK("http://www.ncbi.nlm.nih.gov/Taxonomy/Browser/wwwtax.cgi?mode=Info&amp;id=38674&amp;lvl=3&amp;lin=f&amp;keep=1&amp;srchmode=1&amp;unlock","38674")</f>
        <v>38674</v>
      </c>
      <c r="F38" t="s">
        <v>18</v>
      </c>
      <c r="G38" t="str">
        <f>HYPERLINK("http://www.ncbi.nlm.nih.gov/Taxonomy/Browser/wwwtax.cgi?mode=Info&amp;id=38674&amp;lvl=3&amp;lin=f&amp;keep=1&amp;srchmode=1&amp;unlock","Onychomys torridus")</f>
        <v>Onychomys torridus</v>
      </c>
      <c r="H38" t="s">
        <v>137</v>
      </c>
      <c r="I38" t="str">
        <f>HYPERLINK("http://www.ncbi.nlm.nih.gov/protein/XP_036030573.1","androgen receptor isoform X1")</f>
        <v>androgen receptor isoform X1</v>
      </c>
      <c r="J38" t="s">
        <v>1312</v>
      </c>
      <c r="K38" t="s">
        <v>20</v>
      </c>
      <c r="L38">
        <v>686</v>
      </c>
      <c r="M38" t="s">
        <v>25</v>
      </c>
      <c r="N38" t="s">
        <v>20</v>
      </c>
      <c r="O38" t="s">
        <v>1352</v>
      </c>
      <c r="P38" t="s">
        <v>20</v>
      </c>
      <c r="Q38">
        <v>132.119</v>
      </c>
      <c r="R38" t="s">
        <v>20</v>
      </c>
      <c r="S38" t="s">
        <v>20</v>
      </c>
      <c r="T38">
        <v>692</v>
      </c>
      <c r="U38" t="s">
        <v>1313</v>
      </c>
      <c r="V38" t="s">
        <v>20</v>
      </c>
      <c r="W38" t="s">
        <v>1352</v>
      </c>
      <c r="X38" t="s">
        <v>20</v>
      </c>
      <c r="Y38">
        <v>146.14599999999999</v>
      </c>
      <c r="Z38" t="s">
        <v>20</v>
      </c>
      <c r="AA38" t="s">
        <v>20</v>
      </c>
      <c r="AB38">
        <v>733</v>
      </c>
      <c r="AC38" t="s">
        <v>1314</v>
      </c>
      <c r="AD38" t="s">
        <v>20</v>
      </c>
      <c r="AE38" t="s">
        <v>1353</v>
      </c>
      <c r="AF38" t="s">
        <v>20</v>
      </c>
      <c r="AG38">
        <v>174.203</v>
      </c>
      <c r="AH38" t="s">
        <v>20</v>
      </c>
      <c r="AI38" t="s">
        <v>20</v>
      </c>
      <c r="AJ38">
        <v>858</v>
      </c>
      <c r="AK38" t="s">
        <v>1315</v>
      </c>
      <c r="AL38" t="s">
        <v>20</v>
      </c>
      <c r="AM38" t="s">
        <v>1354</v>
      </c>
      <c r="AN38" t="s">
        <v>20</v>
      </c>
      <c r="AO38">
        <v>119.119</v>
      </c>
      <c r="AP38" t="s">
        <v>20</v>
      </c>
      <c r="AQ38" t="s">
        <v>20</v>
      </c>
    </row>
    <row r="39" spans="1:43" x14ac:dyDescent="0.25">
      <c r="A39">
        <v>6</v>
      </c>
      <c r="B39" t="s">
        <v>18</v>
      </c>
      <c r="C39" t="str">
        <f>HYPERLINK("http://www.ncbi.nlm.nih.gov/protein/XP_025321850.2","XP_025321850.2")</f>
        <v>XP_025321850.2</v>
      </c>
      <c r="D39">
        <v>70986</v>
      </c>
      <c r="E39" t="str">
        <f>HYPERLINK("http://www.ncbi.nlm.nih.gov/Taxonomy/Browser/wwwtax.cgi?mode=Info&amp;id=286419&amp;lvl=3&amp;lin=f&amp;keep=1&amp;srchmode=1&amp;unlock","286419")</f>
        <v>286419</v>
      </c>
      <c r="F39" t="s">
        <v>18</v>
      </c>
      <c r="G39" t="str">
        <f>HYPERLINK("http://www.ncbi.nlm.nih.gov/Taxonomy/Browser/wwwtax.cgi?mode=Info&amp;id=286419&amp;lvl=3&amp;lin=f&amp;keep=1&amp;srchmode=1&amp;unlock","Canis lupus dingo")</f>
        <v>Canis lupus dingo</v>
      </c>
      <c r="H39" t="s">
        <v>53</v>
      </c>
      <c r="I39" t="str">
        <f>HYPERLINK("http://www.ncbi.nlm.nih.gov/protein/XP_025321850.2","androgen receptor")</f>
        <v>androgen receptor</v>
      </c>
      <c r="J39" t="s">
        <v>1312</v>
      </c>
      <c r="K39" t="s">
        <v>20</v>
      </c>
      <c r="L39">
        <v>695</v>
      </c>
      <c r="M39" t="s">
        <v>25</v>
      </c>
      <c r="N39" t="s">
        <v>20</v>
      </c>
      <c r="O39" t="s">
        <v>1352</v>
      </c>
      <c r="P39" t="s">
        <v>20</v>
      </c>
      <c r="Q39">
        <v>132.119</v>
      </c>
      <c r="R39" t="s">
        <v>20</v>
      </c>
      <c r="S39" t="s">
        <v>20</v>
      </c>
      <c r="T39">
        <v>701</v>
      </c>
      <c r="U39" t="s">
        <v>1313</v>
      </c>
      <c r="V39" t="s">
        <v>20</v>
      </c>
      <c r="W39" t="s">
        <v>1352</v>
      </c>
      <c r="X39" t="s">
        <v>20</v>
      </c>
      <c r="Y39">
        <v>146.14599999999999</v>
      </c>
      <c r="Z39" t="s">
        <v>20</v>
      </c>
      <c r="AA39" t="s">
        <v>20</v>
      </c>
      <c r="AB39">
        <v>742</v>
      </c>
      <c r="AC39" t="s">
        <v>1314</v>
      </c>
      <c r="AD39" t="s">
        <v>20</v>
      </c>
      <c r="AE39" t="s">
        <v>1353</v>
      </c>
      <c r="AF39" t="s">
        <v>20</v>
      </c>
      <c r="AG39">
        <v>174.203</v>
      </c>
      <c r="AH39" t="s">
        <v>20</v>
      </c>
      <c r="AI39" t="s">
        <v>20</v>
      </c>
      <c r="AJ39">
        <v>867</v>
      </c>
      <c r="AK39" t="s">
        <v>1315</v>
      </c>
      <c r="AL39" t="s">
        <v>20</v>
      </c>
      <c r="AM39" t="s">
        <v>1354</v>
      </c>
      <c r="AN39" t="s">
        <v>20</v>
      </c>
      <c r="AO39">
        <v>119.119</v>
      </c>
      <c r="AP39" t="s">
        <v>20</v>
      </c>
      <c r="AQ39" t="s">
        <v>20</v>
      </c>
    </row>
    <row r="40" spans="1:43" x14ac:dyDescent="0.25">
      <c r="A40">
        <v>6</v>
      </c>
      <c r="B40" t="s">
        <v>18</v>
      </c>
      <c r="C40" t="str">
        <f>HYPERLINK("http://www.ncbi.nlm.nih.gov/protein/XP_021535659.1","XP_021535659.1")</f>
        <v>XP_021535659.1</v>
      </c>
      <c r="D40">
        <v>28446</v>
      </c>
      <c r="E40" t="str">
        <f>HYPERLINK("http://www.ncbi.nlm.nih.gov/Taxonomy/Browser/wwwtax.cgi?mode=Info&amp;id=29088&amp;lvl=3&amp;lin=f&amp;keep=1&amp;srchmode=1&amp;unlock","29088")</f>
        <v>29088</v>
      </c>
      <c r="F40" t="s">
        <v>18</v>
      </c>
      <c r="G40" t="str">
        <f>HYPERLINK("http://www.ncbi.nlm.nih.gov/Taxonomy/Browser/wwwtax.cgi?mode=Info&amp;id=29088&amp;lvl=3&amp;lin=f&amp;keep=1&amp;srchmode=1&amp;unlock","Neomonachus schauinslandi")</f>
        <v>Neomonachus schauinslandi</v>
      </c>
      <c r="H40" t="s">
        <v>50</v>
      </c>
      <c r="I40" t="str">
        <f>HYPERLINK("http://www.ncbi.nlm.nih.gov/protein/XP_021535659.1","androgen receptor isoform X2")</f>
        <v>androgen receptor isoform X2</v>
      </c>
      <c r="J40" t="s">
        <v>1312</v>
      </c>
      <c r="K40" t="s">
        <v>20</v>
      </c>
      <c r="L40">
        <v>681</v>
      </c>
      <c r="M40" t="s">
        <v>25</v>
      </c>
      <c r="N40" t="s">
        <v>20</v>
      </c>
      <c r="O40" t="s">
        <v>1352</v>
      </c>
      <c r="P40" t="s">
        <v>20</v>
      </c>
      <c r="Q40">
        <v>132.119</v>
      </c>
      <c r="R40" t="s">
        <v>20</v>
      </c>
      <c r="S40" t="s">
        <v>20</v>
      </c>
      <c r="T40">
        <v>687</v>
      </c>
      <c r="U40" t="s">
        <v>1313</v>
      </c>
      <c r="V40" t="s">
        <v>20</v>
      </c>
      <c r="W40" t="s">
        <v>1352</v>
      </c>
      <c r="X40" t="s">
        <v>20</v>
      </c>
      <c r="Y40">
        <v>146.14599999999999</v>
      </c>
      <c r="Z40" t="s">
        <v>20</v>
      </c>
      <c r="AA40" t="s">
        <v>20</v>
      </c>
      <c r="AB40">
        <v>728</v>
      </c>
      <c r="AC40" t="s">
        <v>1314</v>
      </c>
      <c r="AD40" t="s">
        <v>20</v>
      </c>
      <c r="AE40" t="s">
        <v>1353</v>
      </c>
      <c r="AF40" t="s">
        <v>20</v>
      </c>
      <c r="AG40">
        <v>174.203</v>
      </c>
      <c r="AH40" t="s">
        <v>20</v>
      </c>
      <c r="AI40" t="s">
        <v>20</v>
      </c>
      <c r="AJ40">
        <v>853</v>
      </c>
      <c r="AK40" t="s">
        <v>1315</v>
      </c>
      <c r="AL40" t="s">
        <v>20</v>
      </c>
      <c r="AM40" t="s">
        <v>1354</v>
      </c>
      <c r="AN40" t="s">
        <v>20</v>
      </c>
      <c r="AO40">
        <v>119.119</v>
      </c>
      <c r="AP40" t="s">
        <v>20</v>
      </c>
      <c r="AQ40" t="s">
        <v>20</v>
      </c>
    </row>
    <row r="41" spans="1:43" x14ac:dyDescent="0.25">
      <c r="A41">
        <v>6</v>
      </c>
      <c r="B41" t="s">
        <v>18</v>
      </c>
      <c r="C41" t="str">
        <f>HYPERLINK("http://www.ncbi.nlm.nih.gov/protein/XP_027982377.1","XP_027982377.1")</f>
        <v>XP_027982377.1</v>
      </c>
      <c r="D41">
        <v>40115</v>
      </c>
      <c r="E41" t="str">
        <f>HYPERLINK("http://www.ncbi.nlm.nih.gov/Taxonomy/Browser/wwwtax.cgi?mode=Info&amp;id=34886&amp;lvl=3&amp;lin=f&amp;keep=1&amp;srchmode=1&amp;unlock","34886")</f>
        <v>34886</v>
      </c>
      <c r="F41" t="s">
        <v>18</v>
      </c>
      <c r="G41" t="str">
        <f>HYPERLINK("http://www.ncbi.nlm.nih.gov/Taxonomy/Browser/wwwtax.cgi?mode=Info&amp;id=34886&amp;lvl=3&amp;lin=f&amp;keep=1&amp;srchmode=1&amp;unlock","Eumetopias jubatus")</f>
        <v>Eumetopias jubatus</v>
      </c>
      <c r="H41" t="s">
        <v>61</v>
      </c>
      <c r="I41" t="str">
        <f>HYPERLINK("http://www.ncbi.nlm.nih.gov/protein/XP_027982377.1","androgen receptor isoform X1")</f>
        <v>androgen receptor isoform X1</v>
      </c>
      <c r="J41" t="s">
        <v>1312</v>
      </c>
      <c r="K41" t="s">
        <v>20</v>
      </c>
      <c r="L41">
        <v>671</v>
      </c>
      <c r="M41" t="s">
        <v>25</v>
      </c>
      <c r="N41" t="s">
        <v>20</v>
      </c>
      <c r="O41" t="s">
        <v>1352</v>
      </c>
      <c r="P41" t="s">
        <v>20</v>
      </c>
      <c r="Q41">
        <v>132.119</v>
      </c>
      <c r="R41" t="s">
        <v>20</v>
      </c>
      <c r="S41" t="s">
        <v>20</v>
      </c>
      <c r="T41">
        <v>677</v>
      </c>
      <c r="U41" t="s">
        <v>1313</v>
      </c>
      <c r="V41" t="s">
        <v>20</v>
      </c>
      <c r="W41" t="s">
        <v>1352</v>
      </c>
      <c r="X41" t="s">
        <v>20</v>
      </c>
      <c r="Y41">
        <v>146.14599999999999</v>
      </c>
      <c r="Z41" t="s">
        <v>20</v>
      </c>
      <c r="AA41" t="s">
        <v>20</v>
      </c>
      <c r="AB41">
        <v>718</v>
      </c>
      <c r="AC41" t="s">
        <v>1314</v>
      </c>
      <c r="AD41" t="s">
        <v>20</v>
      </c>
      <c r="AE41" t="s">
        <v>1353</v>
      </c>
      <c r="AF41" t="s">
        <v>20</v>
      </c>
      <c r="AG41">
        <v>174.203</v>
      </c>
      <c r="AH41" t="s">
        <v>20</v>
      </c>
      <c r="AI41" t="s">
        <v>20</v>
      </c>
      <c r="AJ41">
        <v>843</v>
      </c>
      <c r="AK41" t="s">
        <v>1315</v>
      </c>
      <c r="AL41" t="s">
        <v>20</v>
      </c>
      <c r="AM41" t="s">
        <v>1354</v>
      </c>
      <c r="AN41" t="s">
        <v>20</v>
      </c>
      <c r="AO41">
        <v>119.119</v>
      </c>
      <c r="AP41" t="s">
        <v>20</v>
      </c>
      <c r="AQ41" t="s">
        <v>20</v>
      </c>
    </row>
    <row r="42" spans="1:43" x14ac:dyDescent="0.25">
      <c r="A42">
        <v>6</v>
      </c>
      <c r="B42" t="s">
        <v>18</v>
      </c>
      <c r="C42" t="str">
        <f>HYPERLINK("http://www.ncbi.nlm.nih.gov/protein/XP_032185838.1","XP_032185838.1")</f>
        <v>XP_032185838.1</v>
      </c>
      <c r="D42">
        <v>60653</v>
      </c>
      <c r="E42" t="str">
        <f>HYPERLINK("http://www.ncbi.nlm.nih.gov/Taxonomy/Browser/wwwtax.cgi?mode=Info&amp;id=36723&amp;lvl=3&amp;lin=f&amp;keep=1&amp;srchmode=1&amp;unlock","36723")</f>
        <v>36723</v>
      </c>
      <c r="F42" t="s">
        <v>18</v>
      </c>
      <c r="G42" t="str">
        <f>HYPERLINK("http://www.ncbi.nlm.nih.gov/Taxonomy/Browser/wwwtax.cgi?mode=Info&amp;id=36723&amp;lvl=3&amp;lin=f&amp;keep=1&amp;srchmode=1&amp;unlock","Mustela erminea")</f>
        <v>Mustela erminea</v>
      </c>
      <c r="H42" t="s">
        <v>51</v>
      </c>
      <c r="I42" t="str">
        <f>HYPERLINK("http://www.ncbi.nlm.nih.gov/protein/XP_032185838.1","androgen receptor isoform X1")</f>
        <v>androgen receptor isoform X1</v>
      </c>
      <c r="J42" t="s">
        <v>1312</v>
      </c>
      <c r="K42" t="s">
        <v>20</v>
      </c>
      <c r="L42">
        <v>686</v>
      </c>
      <c r="M42" t="s">
        <v>25</v>
      </c>
      <c r="N42" t="s">
        <v>20</v>
      </c>
      <c r="O42" t="s">
        <v>1352</v>
      </c>
      <c r="P42" t="s">
        <v>20</v>
      </c>
      <c r="Q42">
        <v>132.119</v>
      </c>
      <c r="R42" t="s">
        <v>20</v>
      </c>
      <c r="S42" t="s">
        <v>20</v>
      </c>
      <c r="T42">
        <v>692</v>
      </c>
      <c r="U42" t="s">
        <v>1313</v>
      </c>
      <c r="V42" t="s">
        <v>20</v>
      </c>
      <c r="W42" t="s">
        <v>1352</v>
      </c>
      <c r="X42" t="s">
        <v>20</v>
      </c>
      <c r="Y42">
        <v>146.14599999999999</v>
      </c>
      <c r="Z42" t="s">
        <v>20</v>
      </c>
      <c r="AA42" t="s">
        <v>20</v>
      </c>
      <c r="AB42">
        <v>733</v>
      </c>
      <c r="AC42" t="s">
        <v>1314</v>
      </c>
      <c r="AD42" t="s">
        <v>20</v>
      </c>
      <c r="AE42" t="s">
        <v>1353</v>
      </c>
      <c r="AF42" t="s">
        <v>20</v>
      </c>
      <c r="AG42">
        <v>174.203</v>
      </c>
      <c r="AH42" t="s">
        <v>20</v>
      </c>
      <c r="AI42" t="s">
        <v>20</v>
      </c>
      <c r="AJ42">
        <v>858</v>
      </c>
      <c r="AK42" t="s">
        <v>1315</v>
      </c>
      <c r="AL42" t="s">
        <v>20</v>
      </c>
      <c r="AM42" t="s">
        <v>1354</v>
      </c>
      <c r="AN42" t="s">
        <v>20</v>
      </c>
      <c r="AO42">
        <v>119.119</v>
      </c>
      <c r="AP42" t="s">
        <v>20</v>
      </c>
      <c r="AQ42" t="s">
        <v>20</v>
      </c>
    </row>
    <row r="43" spans="1:43" x14ac:dyDescent="0.25">
      <c r="A43">
        <v>6</v>
      </c>
      <c r="B43" t="s">
        <v>18</v>
      </c>
      <c r="C43" t="str">
        <f>HYPERLINK("http://www.ncbi.nlm.nih.gov/protein/XP_004780480.1","XP_004780480.1")</f>
        <v>XP_004780480.1</v>
      </c>
      <c r="D43">
        <v>48574</v>
      </c>
      <c r="E43" t="str">
        <f>HYPERLINK("http://www.ncbi.nlm.nih.gov/Taxonomy/Browser/wwwtax.cgi?mode=Info&amp;id=9669&amp;lvl=3&amp;lin=f&amp;keep=1&amp;srchmode=1&amp;unlock","9669")</f>
        <v>9669</v>
      </c>
      <c r="F43" t="s">
        <v>18</v>
      </c>
      <c r="G43" t="str">
        <f>HYPERLINK("http://www.ncbi.nlm.nih.gov/Taxonomy/Browser/wwwtax.cgi?mode=Info&amp;id=9669&amp;lvl=3&amp;lin=f&amp;keep=1&amp;srchmode=1&amp;unlock","Mustela putorius furo")</f>
        <v>Mustela putorius furo</v>
      </c>
      <c r="H43" t="s">
        <v>48</v>
      </c>
      <c r="I43" t="str">
        <f>HYPERLINK("http://www.ncbi.nlm.nih.gov/protein/XP_004780480.1","PREDICTED: androgen receptor")</f>
        <v>PREDICTED: androgen receptor</v>
      </c>
      <c r="J43" t="s">
        <v>1312</v>
      </c>
      <c r="K43" t="s">
        <v>20</v>
      </c>
      <c r="L43">
        <v>678</v>
      </c>
      <c r="M43" t="s">
        <v>25</v>
      </c>
      <c r="N43" t="s">
        <v>20</v>
      </c>
      <c r="O43" t="s">
        <v>1352</v>
      </c>
      <c r="P43" t="s">
        <v>20</v>
      </c>
      <c r="Q43">
        <v>132.119</v>
      </c>
      <c r="R43" t="s">
        <v>20</v>
      </c>
      <c r="S43" t="s">
        <v>20</v>
      </c>
      <c r="T43">
        <v>684</v>
      </c>
      <c r="U43" t="s">
        <v>1313</v>
      </c>
      <c r="V43" t="s">
        <v>20</v>
      </c>
      <c r="W43" t="s">
        <v>1352</v>
      </c>
      <c r="X43" t="s">
        <v>20</v>
      </c>
      <c r="Y43">
        <v>146.14599999999999</v>
      </c>
      <c r="Z43" t="s">
        <v>20</v>
      </c>
      <c r="AA43" t="s">
        <v>20</v>
      </c>
      <c r="AB43">
        <v>725</v>
      </c>
      <c r="AC43" t="s">
        <v>1314</v>
      </c>
      <c r="AD43" t="s">
        <v>20</v>
      </c>
      <c r="AE43" t="s">
        <v>1353</v>
      </c>
      <c r="AF43" t="s">
        <v>20</v>
      </c>
      <c r="AG43">
        <v>174.203</v>
      </c>
      <c r="AH43" t="s">
        <v>20</v>
      </c>
      <c r="AI43" t="s">
        <v>20</v>
      </c>
      <c r="AJ43">
        <v>850</v>
      </c>
      <c r="AK43" t="s">
        <v>1315</v>
      </c>
      <c r="AL43" t="s">
        <v>20</v>
      </c>
      <c r="AM43" t="s">
        <v>1354</v>
      </c>
      <c r="AN43" t="s">
        <v>20</v>
      </c>
      <c r="AO43">
        <v>119.119</v>
      </c>
      <c r="AP43" t="s">
        <v>20</v>
      </c>
      <c r="AQ43" t="s">
        <v>20</v>
      </c>
    </row>
    <row r="44" spans="1:43" x14ac:dyDescent="0.25">
      <c r="A44">
        <v>6</v>
      </c>
      <c r="B44" t="s">
        <v>18</v>
      </c>
      <c r="C44" t="str">
        <f>HYPERLINK("http://www.ncbi.nlm.nih.gov/protein/XP_032701479.1","XP_032701479.1")</f>
        <v>XP_032701479.1</v>
      </c>
      <c r="D44">
        <v>48403</v>
      </c>
      <c r="E44" t="str">
        <f>HYPERLINK("http://www.ncbi.nlm.nih.gov/Taxonomy/Browser/wwwtax.cgi?mode=Info&amp;id=76717&amp;lvl=3&amp;lin=f&amp;keep=1&amp;srchmode=1&amp;unlock","76717")</f>
        <v>76717</v>
      </c>
      <c r="F44" t="s">
        <v>18</v>
      </c>
      <c r="G44" t="str">
        <f>HYPERLINK("http://www.ncbi.nlm.nih.gov/Taxonomy/Browser/wwwtax.cgi?mode=Info&amp;id=76717&amp;lvl=3&amp;lin=f&amp;keep=1&amp;srchmode=1&amp;unlock","Lontra canadensis")</f>
        <v>Lontra canadensis</v>
      </c>
      <c r="H44" t="s">
        <v>47</v>
      </c>
      <c r="I44" t="str">
        <f>HYPERLINK("http://www.ncbi.nlm.nih.gov/protein/XP_032701479.1","androgen receptor isoform X1")</f>
        <v>androgen receptor isoform X1</v>
      </c>
      <c r="J44" t="s">
        <v>1312</v>
      </c>
      <c r="K44" t="s">
        <v>20</v>
      </c>
      <c r="L44">
        <v>674</v>
      </c>
      <c r="M44" t="s">
        <v>25</v>
      </c>
      <c r="N44" t="s">
        <v>20</v>
      </c>
      <c r="O44" t="s">
        <v>1352</v>
      </c>
      <c r="P44" t="s">
        <v>20</v>
      </c>
      <c r="Q44">
        <v>132.119</v>
      </c>
      <c r="R44" t="s">
        <v>20</v>
      </c>
      <c r="S44" t="s">
        <v>20</v>
      </c>
      <c r="T44">
        <v>680</v>
      </c>
      <c r="U44" t="s">
        <v>1313</v>
      </c>
      <c r="V44" t="s">
        <v>20</v>
      </c>
      <c r="W44" t="s">
        <v>1352</v>
      </c>
      <c r="X44" t="s">
        <v>20</v>
      </c>
      <c r="Y44">
        <v>146.14599999999999</v>
      </c>
      <c r="Z44" t="s">
        <v>20</v>
      </c>
      <c r="AA44" t="s">
        <v>20</v>
      </c>
      <c r="AB44">
        <v>721</v>
      </c>
      <c r="AC44" t="s">
        <v>1314</v>
      </c>
      <c r="AD44" t="s">
        <v>20</v>
      </c>
      <c r="AE44" t="s">
        <v>1353</v>
      </c>
      <c r="AF44" t="s">
        <v>20</v>
      </c>
      <c r="AG44">
        <v>174.203</v>
      </c>
      <c r="AH44" t="s">
        <v>20</v>
      </c>
      <c r="AI44" t="s">
        <v>20</v>
      </c>
      <c r="AJ44">
        <v>846</v>
      </c>
      <c r="AK44" t="s">
        <v>1315</v>
      </c>
      <c r="AL44" t="s">
        <v>20</v>
      </c>
      <c r="AM44" t="s">
        <v>1354</v>
      </c>
      <c r="AN44" t="s">
        <v>20</v>
      </c>
      <c r="AO44">
        <v>119.119</v>
      </c>
      <c r="AP44" t="s">
        <v>20</v>
      </c>
      <c r="AQ44" t="s">
        <v>20</v>
      </c>
    </row>
    <row r="45" spans="1:43" x14ac:dyDescent="0.25">
      <c r="A45">
        <v>6</v>
      </c>
      <c r="B45" t="s">
        <v>18</v>
      </c>
      <c r="C45" t="str">
        <f>HYPERLINK("http://www.ncbi.nlm.nih.gov/protein/XP_006981237.1","XP_006981237.1")</f>
        <v>XP_006981237.1</v>
      </c>
      <c r="D45">
        <v>45653</v>
      </c>
      <c r="E45" t="str">
        <f>HYPERLINK("http://www.ncbi.nlm.nih.gov/Taxonomy/Browser/wwwtax.cgi?mode=Info&amp;id=230844&amp;lvl=3&amp;lin=f&amp;keep=1&amp;srchmode=1&amp;unlock","230844")</f>
        <v>230844</v>
      </c>
      <c r="F45" t="s">
        <v>18</v>
      </c>
      <c r="G45" t="str">
        <f>HYPERLINK("http://www.ncbi.nlm.nih.gov/Taxonomy/Browser/wwwtax.cgi?mode=Info&amp;id=230844&amp;lvl=3&amp;lin=f&amp;keep=1&amp;srchmode=1&amp;unlock","Peromyscus maniculatus bairdii")</f>
        <v>Peromyscus maniculatus bairdii</v>
      </c>
      <c r="H45" t="s">
        <v>157</v>
      </c>
      <c r="I45" t="str">
        <f>HYPERLINK("http://www.ncbi.nlm.nih.gov/protein/XP_006981237.1","PREDICTED: androgen receptor")</f>
        <v>PREDICTED: androgen receptor</v>
      </c>
      <c r="J45" t="s">
        <v>1312</v>
      </c>
      <c r="K45" t="s">
        <v>20</v>
      </c>
      <c r="L45">
        <v>679</v>
      </c>
      <c r="M45" t="s">
        <v>25</v>
      </c>
      <c r="N45" t="s">
        <v>20</v>
      </c>
      <c r="O45" t="s">
        <v>1352</v>
      </c>
      <c r="P45" t="s">
        <v>20</v>
      </c>
      <c r="Q45">
        <v>132.119</v>
      </c>
      <c r="R45" t="s">
        <v>20</v>
      </c>
      <c r="S45" t="s">
        <v>20</v>
      </c>
      <c r="T45">
        <v>685</v>
      </c>
      <c r="U45" t="s">
        <v>1313</v>
      </c>
      <c r="V45" t="s">
        <v>20</v>
      </c>
      <c r="W45" t="s">
        <v>1352</v>
      </c>
      <c r="X45" t="s">
        <v>20</v>
      </c>
      <c r="Y45">
        <v>146.14599999999999</v>
      </c>
      <c r="Z45" t="s">
        <v>20</v>
      </c>
      <c r="AA45" t="s">
        <v>20</v>
      </c>
      <c r="AB45">
        <v>726</v>
      </c>
      <c r="AC45" t="s">
        <v>1314</v>
      </c>
      <c r="AD45" t="s">
        <v>20</v>
      </c>
      <c r="AE45" t="s">
        <v>1353</v>
      </c>
      <c r="AF45" t="s">
        <v>20</v>
      </c>
      <c r="AG45">
        <v>174.203</v>
      </c>
      <c r="AH45" t="s">
        <v>20</v>
      </c>
      <c r="AI45" t="s">
        <v>20</v>
      </c>
      <c r="AJ45">
        <v>851</v>
      </c>
      <c r="AK45" t="s">
        <v>1315</v>
      </c>
      <c r="AL45" t="s">
        <v>20</v>
      </c>
      <c r="AM45" t="s">
        <v>1354</v>
      </c>
      <c r="AN45" t="s">
        <v>20</v>
      </c>
      <c r="AO45">
        <v>119.119</v>
      </c>
      <c r="AP45" t="s">
        <v>20</v>
      </c>
      <c r="AQ45" t="s">
        <v>20</v>
      </c>
    </row>
    <row r="46" spans="1:43" x14ac:dyDescent="0.25">
      <c r="A46">
        <v>6</v>
      </c>
      <c r="B46" t="s">
        <v>18</v>
      </c>
      <c r="C46" t="str">
        <f>HYPERLINK("http://www.ncbi.nlm.nih.gov/protein/XP_014687510.1","XP_014687510.1")</f>
        <v>XP_014687510.1</v>
      </c>
      <c r="D46">
        <v>42730</v>
      </c>
      <c r="E46" t="str">
        <f>HYPERLINK("http://www.ncbi.nlm.nih.gov/Taxonomy/Browser/wwwtax.cgi?mode=Info&amp;id=9793&amp;lvl=3&amp;lin=f&amp;keep=1&amp;srchmode=1&amp;unlock","9793")</f>
        <v>9793</v>
      </c>
      <c r="F46" t="s">
        <v>18</v>
      </c>
      <c r="G46" t="str">
        <f>HYPERLINK("http://www.ncbi.nlm.nih.gov/Taxonomy/Browser/wwwtax.cgi?mode=Info&amp;id=9793&amp;lvl=3&amp;lin=f&amp;keep=1&amp;srchmode=1&amp;unlock","Equus asinus")</f>
        <v>Equus asinus</v>
      </c>
      <c r="H46" t="s">
        <v>381</v>
      </c>
      <c r="I46" t="str">
        <f>HYPERLINK("http://www.ncbi.nlm.nih.gov/protein/XP_014687510.1","PREDICTED: androgen receptor")</f>
        <v>PREDICTED: androgen receptor</v>
      </c>
      <c r="J46" t="s">
        <v>1312</v>
      </c>
      <c r="K46" t="s">
        <v>20</v>
      </c>
      <c r="L46">
        <v>674</v>
      </c>
      <c r="M46" t="s">
        <v>25</v>
      </c>
      <c r="N46" t="s">
        <v>20</v>
      </c>
      <c r="O46" t="s">
        <v>1352</v>
      </c>
      <c r="P46" t="s">
        <v>20</v>
      </c>
      <c r="Q46">
        <v>132.119</v>
      </c>
      <c r="R46" t="s">
        <v>20</v>
      </c>
      <c r="S46" t="s">
        <v>20</v>
      </c>
      <c r="T46">
        <v>680</v>
      </c>
      <c r="U46" t="s">
        <v>1313</v>
      </c>
      <c r="V46" t="s">
        <v>20</v>
      </c>
      <c r="W46" t="s">
        <v>1352</v>
      </c>
      <c r="X46" t="s">
        <v>20</v>
      </c>
      <c r="Y46">
        <v>146.14599999999999</v>
      </c>
      <c r="Z46" t="s">
        <v>20</v>
      </c>
      <c r="AA46" t="s">
        <v>20</v>
      </c>
      <c r="AB46">
        <v>721</v>
      </c>
      <c r="AC46" t="s">
        <v>1314</v>
      </c>
      <c r="AD46" t="s">
        <v>20</v>
      </c>
      <c r="AE46" t="s">
        <v>1353</v>
      </c>
      <c r="AF46" t="s">
        <v>20</v>
      </c>
      <c r="AG46">
        <v>174.203</v>
      </c>
      <c r="AH46" t="s">
        <v>20</v>
      </c>
      <c r="AI46" t="s">
        <v>20</v>
      </c>
      <c r="AJ46">
        <v>846</v>
      </c>
      <c r="AK46" t="s">
        <v>1315</v>
      </c>
      <c r="AL46" t="s">
        <v>20</v>
      </c>
      <c r="AM46" t="s">
        <v>1354</v>
      </c>
      <c r="AN46" t="s">
        <v>20</v>
      </c>
      <c r="AO46">
        <v>119.119</v>
      </c>
      <c r="AP46" t="s">
        <v>20</v>
      </c>
      <c r="AQ46" t="s">
        <v>20</v>
      </c>
    </row>
    <row r="47" spans="1:43" x14ac:dyDescent="0.25">
      <c r="A47">
        <v>6</v>
      </c>
      <c r="B47" t="s">
        <v>18</v>
      </c>
      <c r="C47" t="str">
        <f>HYPERLINK("http://www.ncbi.nlm.nih.gov/protein/XP_028739721.1","XP_028739721.1")</f>
        <v>XP_028739721.1</v>
      </c>
      <c r="D47">
        <v>48460</v>
      </c>
      <c r="E47" t="str">
        <f>HYPERLINK("http://www.ncbi.nlm.nih.gov/Taxonomy/Browser/wwwtax.cgi?mode=Info&amp;id=10041&amp;lvl=3&amp;lin=f&amp;keep=1&amp;srchmode=1&amp;unlock","10041")</f>
        <v>10041</v>
      </c>
      <c r="F47" t="s">
        <v>18</v>
      </c>
      <c r="G47" t="str">
        <f>HYPERLINK("http://www.ncbi.nlm.nih.gov/Taxonomy/Browser/wwwtax.cgi?mode=Info&amp;id=10041&amp;lvl=3&amp;lin=f&amp;keep=1&amp;srchmode=1&amp;unlock","Peromyscus leucopus")</f>
        <v>Peromyscus leucopus</v>
      </c>
      <c r="H47" t="s">
        <v>128</v>
      </c>
      <c r="I47" t="str">
        <f>HYPERLINK("http://www.ncbi.nlm.nih.gov/protein/XP_028739721.1","androgen receptor")</f>
        <v>androgen receptor</v>
      </c>
      <c r="J47" t="s">
        <v>1312</v>
      </c>
      <c r="K47" t="s">
        <v>20</v>
      </c>
      <c r="L47">
        <v>683</v>
      </c>
      <c r="M47" t="s">
        <v>25</v>
      </c>
      <c r="N47" t="s">
        <v>20</v>
      </c>
      <c r="O47" t="s">
        <v>1352</v>
      </c>
      <c r="P47" t="s">
        <v>20</v>
      </c>
      <c r="Q47">
        <v>132.119</v>
      </c>
      <c r="R47" t="s">
        <v>20</v>
      </c>
      <c r="S47" t="s">
        <v>20</v>
      </c>
      <c r="T47">
        <v>689</v>
      </c>
      <c r="U47" t="s">
        <v>1313</v>
      </c>
      <c r="V47" t="s">
        <v>20</v>
      </c>
      <c r="W47" t="s">
        <v>1352</v>
      </c>
      <c r="X47" t="s">
        <v>20</v>
      </c>
      <c r="Y47">
        <v>146.14599999999999</v>
      </c>
      <c r="Z47" t="s">
        <v>20</v>
      </c>
      <c r="AA47" t="s">
        <v>20</v>
      </c>
      <c r="AB47">
        <v>730</v>
      </c>
      <c r="AC47" t="s">
        <v>1314</v>
      </c>
      <c r="AD47" t="s">
        <v>20</v>
      </c>
      <c r="AE47" t="s">
        <v>1353</v>
      </c>
      <c r="AF47" t="s">
        <v>20</v>
      </c>
      <c r="AG47">
        <v>174.203</v>
      </c>
      <c r="AH47" t="s">
        <v>20</v>
      </c>
      <c r="AI47" t="s">
        <v>20</v>
      </c>
      <c r="AJ47">
        <v>855</v>
      </c>
      <c r="AK47" t="s">
        <v>1315</v>
      </c>
      <c r="AL47" t="s">
        <v>20</v>
      </c>
      <c r="AM47" t="s">
        <v>1354</v>
      </c>
      <c r="AN47" t="s">
        <v>20</v>
      </c>
      <c r="AO47">
        <v>119.119</v>
      </c>
      <c r="AP47" t="s">
        <v>20</v>
      </c>
      <c r="AQ47" t="s">
        <v>20</v>
      </c>
    </row>
    <row r="48" spans="1:43" x14ac:dyDescent="0.25">
      <c r="A48">
        <v>6</v>
      </c>
      <c r="B48" t="s">
        <v>18</v>
      </c>
      <c r="C48" t="str">
        <f>HYPERLINK("http://www.ncbi.nlm.nih.gov/protein/XP_004439954.1","XP_004439954.1")</f>
        <v>XP_004439954.1</v>
      </c>
      <c r="D48">
        <v>33636</v>
      </c>
      <c r="E48" t="str">
        <f>HYPERLINK("http://www.ncbi.nlm.nih.gov/Taxonomy/Browser/wwwtax.cgi?mode=Info&amp;id=73337&amp;lvl=3&amp;lin=f&amp;keep=1&amp;srchmode=1&amp;unlock","73337")</f>
        <v>73337</v>
      </c>
      <c r="F48" t="s">
        <v>18</v>
      </c>
      <c r="G48" t="str">
        <f>HYPERLINK("http://www.ncbi.nlm.nih.gov/Taxonomy/Browser/wwwtax.cgi?mode=Info&amp;id=73337&amp;lvl=3&amp;lin=f&amp;keep=1&amp;srchmode=1&amp;unlock","Ceratotherium simum simum")</f>
        <v>Ceratotherium simum simum</v>
      </c>
      <c r="H48" t="s">
        <v>560</v>
      </c>
      <c r="I48" t="str">
        <f>HYPERLINK("http://www.ncbi.nlm.nih.gov/protein/XP_004439954.1","PREDICTED: androgen receptor")</f>
        <v>PREDICTED: androgen receptor</v>
      </c>
      <c r="J48" t="s">
        <v>1312</v>
      </c>
      <c r="K48" t="s">
        <v>20</v>
      </c>
      <c r="L48">
        <v>677</v>
      </c>
      <c r="M48" t="s">
        <v>25</v>
      </c>
      <c r="N48" t="s">
        <v>20</v>
      </c>
      <c r="O48" t="s">
        <v>1352</v>
      </c>
      <c r="P48" t="s">
        <v>20</v>
      </c>
      <c r="Q48">
        <v>132.119</v>
      </c>
      <c r="R48" t="s">
        <v>20</v>
      </c>
      <c r="S48" t="s">
        <v>20</v>
      </c>
      <c r="T48">
        <v>683</v>
      </c>
      <c r="U48" t="s">
        <v>1313</v>
      </c>
      <c r="V48" t="s">
        <v>20</v>
      </c>
      <c r="W48" t="s">
        <v>1352</v>
      </c>
      <c r="X48" t="s">
        <v>20</v>
      </c>
      <c r="Y48">
        <v>146.14599999999999</v>
      </c>
      <c r="Z48" t="s">
        <v>20</v>
      </c>
      <c r="AA48" t="s">
        <v>20</v>
      </c>
      <c r="AB48">
        <v>724</v>
      </c>
      <c r="AC48" t="s">
        <v>1314</v>
      </c>
      <c r="AD48" t="s">
        <v>20</v>
      </c>
      <c r="AE48" t="s">
        <v>1353</v>
      </c>
      <c r="AF48" t="s">
        <v>20</v>
      </c>
      <c r="AG48">
        <v>174.203</v>
      </c>
      <c r="AH48" t="s">
        <v>20</v>
      </c>
      <c r="AI48" t="s">
        <v>20</v>
      </c>
      <c r="AJ48">
        <v>849</v>
      </c>
      <c r="AK48" t="s">
        <v>1315</v>
      </c>
      <c r="AL48" t="s">
        <v>20</v>
      </c>
      <c r="AM48" t="s">
        <v>1354</v>
      </c>
      <c r="AN48" t="s">
        <v>20</v>
      </c>
      <c r="AO48">
        <v>119.119</v>
      </c>
      <c r="AP48" t="s">
        <v>20</v>
      </c>
      <c r="AQ48" t="s">
        <v>20</v>
      </c>
    </row>
    <row r="49" spans="1:43" x14ac:dyDescent="0.25">
      <c r="A49">
        <v>6</v>
      </c>
      <c r="B49" t="s">
        <v>18</v>
      </c>
      <c r="C49" t="str">
        <f>HYPERLINK("http://www.ncbi.nlm.nih.gov/protein/MXQ98755.1","MXQ98755.1")</f>
        <v>MXQ98755.1</v>
      </c>
      <c r="D49">
        <v>68258</v>
      </c>
      <c r="E49" t="str">
        <f>HYPERLINK("http://www.ncbi.nlm.nih.gov/Taxonomy/Browser/wwwtax.cgi?mode=Info&amp;id=72004&amp;lvl=3&amp;lin=f&amp;keep=1&amp;srchmode=1&amp;unlock","72004")</f>
        <v>72004</v>
      </c>
      <c r="F49" t="s">
        <v>18</v>
      </c>
      <c r="G49" t="str">
        <f>HYPERLINK("http://www.ncbi.nlm.nih.gov/Taxonomy/Browser/wwwtax.cgi?mode=Info&amp;id=72004&amp;lvl=3&amp;lin=f&amp;keep=1&amp;srchmode=1&amp;unlock","Bos mutus")</f>
        <v>Bos mutus</v>
      </c>
      <c r="H49" t="s">
        <v>117</v>
      </c>
      <c r="I49" t="str">
        <f>HYPERLINK("http://www.ncbi.nlm.nih.gov/protein/MXQ98755.1","hypothetical protein")</f>
        <v>hypothetical protein</v>
      </c>
      <c r="J49" t="s">
        <v>1312</v>
      </c>
      <c r="K49" t="s">
        <v>20</v>
      </c>
      <c r="L49">
        <v>676</v>
      </c>
      <c r="M49" t="s">
        <v>25</v>
      </c>
      <c r="N49" t="s">
        <v>20</v>
      </c>
      <c r="O49" t="s">
        <v>1352</v>
      </c>
      <c r="P49" t="s">
        <v>20</v>
      </c>
      <c r="Q49">
        <v>132.119</v>
      </c>
      <c r="R49" t="s">
        <v>20</v>
      </c>
      <c r="S49" t="s">
        <v>20</v>
      </c>
      <c r="T49">
        <v>682</v>
      </c>
      <c r="U49" t="s">
        <v>1313</v>
      </c>
      <c r="V49" t="s">
        <v>20</v>
      </c>
      <c r="W49" t="s">
        <v>1352</v>
      </c>
      <c r="X49" t="s">
        <v>20</v>
      </c>
      <c r="Y49">
        <v>146.14599999999999</v>
      </c>
      <c r="Z49" t="s">
        <v>20</v>
      </c>
      <c r="AA49" t="s">
        <v>20</v>
      </c>
      <c r="AB49">
        <v>723</v>
      </c>
      <c r="AC49" t="s">
        <v>1314</v>
      </c>
      <c r="AD49" t="s">
        <v>20</v>
      </c>
      <c r="AE49" t="s">
        <v>1353</v>
      </c>
      <c r="AF49" t="s">
        <v>20</v>
      </c>
      <c r="AG49">
        <v>174.203</v>
      </c>
      <c r="AH49" t="s">
        <v>20</v>
      </c>
      <c r="AI49" t="s">
        <v>20</v>
      </c>
      <c r="AJ49">
        <v>848</v>
      </c>
      <c r="AK49" t="s">
        <v>1315</v>
      </c>
      <c r="AL49" t="s">
        <v>20</v>
      </c>
      <c r="AM49" t="s">
        <v>1354</v>
      </c>
      <c r="AN49" t="s">
        <v>20</v>
      </c>
      <c r="AO49">
        <v>119.119</v>
      </c>
      <c r="AP49" t="s">
        <v>20</v>
      </c>
      <c r="AQ49" t="s">
        <v>20</v>
      </c>
    </row>
    <row r="50" spans="1:43" x14ac:dyDescent="0.25">
      <c r="A50">
        <v>6</v>
      </c>
      <c r="B50" t="s">
        <v>18</v>
      </c>
      <c r="C50" t="str">
        <f>HYPERLINK("http://www.ncbi.nlm.nih.gov/protein/NP_001231056.1","NP_001231056.1")</f>
        <v>NP_001231056.1</v>
      </c>
      <c r="D50">
        <v>134275</v>
      </c>
      <c r="E50" t="str">
        <f>HYPERLINK("http://www.ncbi.nlm.nih.gov/Taxonomy/Browser/wwwtax.cgi?mode=Info&amp;id=9913&amp;lvl=3&amp;lin=f&amp;keep=1&amp;srchmode=1&amp;unlock","9913")</f>
        <v>9913</v>
      </c>
      <c r="F50" t="s">
        <v>18</v>
      </c>
      <c r="G50" t="str">
        <f>HYPERLINK("http://www.ncbi.nlm.nih.gov/Taxonomy/Browser/wwwtax.cgi?mode=Info&amp;id=9913&amp;lvl=3&amp;lin=f&amp;keep=1&amp;srchmode=1&amp;unlock","Bos taurus")</f>
        <v>Bos taurus</v>
      </c>
      <c r="H50" t="s">
        <v>123</v>
      </c>
      <c r="I50" t="str">
        <f>HYPERLINK("http://www.ncbi.nlm.nih.gov/protein/NP_001231056.1","androgen receptor")</f>
        <v>androgen receptor</v>
      </c>
      <c r="J50" t="s">
        <v>1312</v>
      </c>
      <c r="K50" t="s">
        <v>20</v>
      </c>
      <c r="L50">
        <v>676</v>
      </c>
      <c r="M50" t="s">
        <v>25</v>
      </c>
      <c r="N50" t="s">
        <v>20</v>
      </c>
      <c r="O50" t="s">
        <v>1352</v>
      </c>
      <c r="P50" t="s">
        <v>20</v>
      </c>
      <c r="Q50">
        <v>132.119</v>
      </c>
      <c r="R50" t="s">
        <v>20</v>
      </c>
      <c r="S50" t="s">
        <v>20</v>
      </c>
      <c r="T50">
        <v>682</v>
      </c>
      <c r="U50" t="s">
        <v>1313</v>
      </c>
      <c r="V50" t="s">
        <v>20</v>
      </c>
      <c r="W50" t="s">
        <v>1352</v>
      </c>
      <c r="X50" t="s">
        <v>20</v>
      </c>
      <c r="Y50">
        <v>146.14599999999999</v>
      </c>
      <c r="Z50" t="s">
        <v>20</v>
      </c>
      <c r="AA50" t="s">
        <v>20</v>
      </c>
      <c r="AB50">
        <v>723</v>
      </c>
      <c r="AC50" t="s">
        <v>1314</v>
      </c>
      <c r="AD50" t="s">
        <v>20</v>
      </c>
      <c r="AE50" t="s">
        <v>1353</v>
      </c>
      <c r="AF50" t="s">
        <v>20</v>
      </c>
      <c r="AG50">
        <v>174.203</v>
      </c>
      <c r="AH50" t="s">
        <v>20</v>
      </c>
      <c r="AI50" t="s">
        <v>20</v>
      </c>
      <c r="AJ50">
        <v>848</v>
      </c>
      <c r="AK50" t="s">
        <v>1315</v>
      </c>
      <c r="AL50" t="s">
        <v>20</v>
      </c>
      <c r="AM50" t="s">
        <v>1354</v>
      </c>
      <c r="AN50" t="s">
        <v>20</v>
      </c>
      <c r="AO50">
        <v>119.119</v>
      </c>
      <c r="AP50" t="s">
        <v>20</v>
      </c>
      <c r="AQ50" t="s">
        <v>20</v>
      </c>
    </row>
    <row r="51" spans="1:43" x14ac:dyDescent="0.25">
      <c r="A51">
        <v>6</v>
      </c>
      <c r="B51" t="s">
        <v>18</v>
      </c>
      <c r="C51" t="str">
        <f>HYPERLINK("http://www.ncbi.nlm.nih.gov/protein/XP_019811422.1","XP_019811422.1")</f>
        <v>XP_019811422.1</v>
      </c>
      <c r="D51">
        <v>37841</v>
      </c>
      <c r="E51" t="str">
        <f>HYPERLINK("http://www.ncbi.nlm.nih.gov/Taxonomy/Browser/wwwtax.cgi?mode=Info&amp;id=9915&amp;lvl=3&amp;lin=f&amp;keep=1&amp;srchmode=1&amp;unlock","9915")</f>
        <v>9915</v>
      </c>
      <c r="F51" t="s">
        <v>18</v>
      </c>
      <c r="G51" t="str">
        <f>HYPERLINK("http://www.ncbi.nlm.nih.gov/Taxonomy/Browser/wwwtax.cgi?mode=Info&amp;id=9915&amp;lvl=3&amp;lin=f&amp;keep=1&amp;srchmode=1&amp;unlock","Bos indicus")</f>
        <v>Bos indicus</v>
      </c>
      <c r="H51" t="s">
        <v>146</v>
      </c>
      <c r="I51" t="str">
        <f>HYPERLINK("http://www.ncbi.nlm.nih.gov/protein/XP_019811422.1","PREDICTED: androgen receptor")</f>
        <v>PREDICTED: androgen receptor</v>
      </c>
      <c r="J51" t="s">
        <v>1312</v>
      </c>
      <c r="K51" t="s">
        <v>20</v>
      </c>
      <c r="L51">
        <v>676</v>
      </c>
      <c r="M51" t="s">
        <v>25</v>
      </c>
      <c r="N51" t="s">
        <v>20</v>
      </c>
      <c r="O51" t="s">
        <v>1352</v>
      </c>
      <c r="P51" t="s">
        <v>20</v>
      </c>
      <c r="Q51">
        <v>132.119</v>
      </c>
      <c r="R51" t="s">
        <v>20</v>
      </c>
      <c r="S51" t="s">
        <v>20</v>
      </c>
      <c r="T51">
        <v>682</v>
      </c>
      <c r="U51" t="s">
        <v>1313</v>
      </c>
      <c r="V51" t="s">
        <v>20</v>
      </c>
      <c r="W51" t="s">
        <v>1352</v>
      </c>
      <c r="X51" t="s">
        <v>20</v>
      </c>
      <c r="Y51">
        <v>146.14599999999999</v>
      </c>
      <c r="Z51" t="s">
        <v>20</v>
      </c>
      <c r="AA51" t="s">
        <v>20</v>
      </c>
      <c r="AB51">
        <v>723</v>
      </c>
      <c r="AC51" t="s">
        <v>1314</v>
      </c>
      <c r="AD51" t="s">
        <v>20</v>
      </c>
      <c r="AE51" t="s">
        <v>1353</v>
      </c>
      <c r="AF51" t="s">
        <v>20</v>
      </c>
      <c r="AG51">
        <v>174.203</v>
      </c>
      <c r="AH51" t="s">
        <v>20</v>
      </c>
      <c r="AI51" t="s">
        <v>20</v>
      </c>
      <c r="AJ51">
        <v>848</v>
      </c>
      <c r="AK51" t="s">
        <v>1315</v>
      </c>
      <c r="AL51" t="s">
        <v>20</v>
      </c>
      <c r="AM51" t="s">
        <v>1354</v>
      </c>
      <c r="AN51" t="s">
        <v>20</v>
      </c>
      <c r="AO51">
        <v>119.119</v>
      </c>
      <c r="AP51" t="s">
        <v>20</v>
      </c>
      <c r="AQ51" t="s">
        <v>20</v>
      </c>
    </row>
    <row r="52" spans="1:43" x14ac:dyDescent="0.25">
      <c r="A52">
        <v>6</v>
      </c>
      <c r="B52" t="s">
        <v>18</v>
      </c>
      <c r="C52" t="str">
        <f>HYPERLINK("http://www.ncbi.nlm.nih.gov/protein/XP_027388936.1","XP_027388936.1")</f>
        <v>XP_027388936.1</v>
      </c>
      <c r="D52">
        <v>54422</v>
      </c>
      <c r="E52" t="str">
        <f>HYPERLINK("http://www.ncbi.nlm.nih.gov/Taxonomy/Browser/wwwtax.cgi?mode=Info&amp;id=30522&amp;lvl=3&amp;lin=f&amp;keep=1&amp;srchmode=1&amp;unlock","30522")</f>
        <v>30522</v>
      </c>
      <c r="F52" t="s">
        <v>18</v>
      </c>
      <c r="G52" t="str">
        <f>HYPERLINK("http://www.ncbi.nlm.nih.gov/Taxonomy/Browser/wwwtax.cgi?mode=Info&amp;id=30522&amp;lvl=3&amp;lin=f&amp;keep=1&amp;srchmode=1&amp;unlock","Bos indicus x Bos taurus")</f>
        <v>Bos indicus x Bos taurus</v>
      </c>
      <c r="H52" t="s">
        <v>121</v>
      </c>
      <c r="I52" t="str">
        <f>HYPERLINK("http://www.ncbi.nlm.nih.gov/protein/XP_027388936.1","androgen receptor isoform X1")</f>
        <v>androgen receptor isoform X1</v>
      </c>
      <c r="J52" t="s">
        <v>1312</v>
      </c>
      <c r="K52" t="s">
        <v>20</v>
      </c>
      <c r="L52">
        <v>676</v>
      </c>
      <c r="M52" t="s">
        <v>25</v>
      </c>
      <c r="N52" t="s">
        <v>20</v>
      </c>
      <c r="O52" t="s">
        <v>1352</v>
      </c>
      <c r="P52" t="s">
        <v>20</v>
      </c>
      <c r="Q52">
        <v>132.119</v>
      </c>
      <c r="R52" t="s">
        <v>20</v>
      </c>
      <c r="S52" t="s">
        <v>20</v>
      </c>
      <c r="T52">
        <v>682</v>
      </c>
      <c r="U52" t="s">
        <v>1313</v>
      </c>
      <c r="V52" t="s">
        <v>20</v>
      </c>
      <c r="W52" t="s">
        <v>1352</v>
      </c>
      <c r="X52" t="s">
        <v>20</v>
      </c>
      <c r="Y52">
        <v>146.14599999999999</v>
      </c>
      <c r="Z52" t="s">
        <v>20</v>
      </c>
      <c r="AA52" t="s">
        <v>20</v>
      </c>
      <c r="AB52">
        <v>723</v>
      </c>
      <c r="AC52" t="s">
        <v>1314</v>
      </c>
      <c r="AD52" t="s">
        <v>20</v>
      </c>
      <c r="AE52" t="s">
        <v>1353</v>
      </c>
      <c r="AF52" t="s">
        <v>20</v>
      </c>
      <c r="AG52">
        <v>174.203</v>
      </c>
      <c r="AH52" t="s">
        <v>20</v>
      </c>
      <c r="AI52" t="s">
        <v>20</v>
      </c>
      <c r="AJ52">
        <v>848</v>
      </c>
      <c r="AK52" t="s">
        <v>1315</v>
      </c>
      <c r="AL52" t="s">
        <v>20</v>
      </c>
      <c r="AM52" t="s">
        <v>1354</v>
      </c>
      <c r="AN52" t="s">
        <v>20</v>
      </c>
      <c r="AO52">
        <v>119.119</v>
      </c>
      <c r="AP52" t="s">
        <v>20</v>
      </c>
      <c r="AQ52" t="s">
        <v>20</v>
      </c>
    </row>
    <row r="53" spans="1:43" x14ac:dyDescent="0.25">
      <c r="A53">
        <v>6</v>
      </c>
      <c r="B53" t="s">
        <v>18</v>
      </c>
      <c r="C53" t="str">
        <f>HYPERLINK("http://www.ncbi.nlm.nih.gov/protein/XP_030161381.1","XP_030161381.1")</f>
        <v>XP_030161381.1</v>
      </c>
      <c r="D53">
        <v>42175</v>
      </c>
      <c r="E53" t="str">
        <f>HYPERLINK("http://www.ncbi.nlm.nih.gov/Taxonomy/Browser/wwwtax.cgi?mode=Info&amp;id=61383&amp;lvl=3&amp;lin=f&amp;keep=1&amp;srchmode=1&amp;unlock","61383")</f>
        <v>61383</v>
      </c>
      <c r="F53" t="s">
        <v>18</v>
      </c>
      <c r="G53" t="str">
        <f>HYPERLINK("http://www.ncbi.nlm.nih.gov/Taxonomy/Browser/wwwtax.cgi?mode=Info&amp;id=61383&amp;lvl=3&amp;lin=f&amp;keep=1&amp;srchmode=1&amp;unlock","Lynx canadensis")</f>
        <v>Lynx canadensis</v>
      </c>
      <c r="H53" t="s">
        <v>63</v>
      </c>
      <c r="I53" t="str">
        <f>HYPERLINK("http://www.ncbi.nlm.nih.gov/protein/XP_030161381.1","androgen receptor")</f>
        <v>androgen receptor</v>
      </c>
      <c r="J53" t="s">
        <v>1312</v>
      </c>
      <c r="K53" t="s">
        <v>20</v>
      </c>
      <c r="L53">
        <v>690</v>
      </c>
      <c r="M53" t="s">
        <v>25</v>
      </c>
      <c r="N53" t="s">
        <v>20</v>
      </c>
      <c r="O53" t="s">
        <v>1352</v>
      </c>
      <c r="P53" t="s">
        <v>20</v>
      </c>
      <c r="Q53">
        <v>132.119</v>
      </c>
      <c r="R53" t="s">
        <v>20</v>
      </c>
      <c r="S53" t="s">
        <v>20</v>
      </c>
      <c r="T53">
        <v>696</v>
      </c>
      <c r="U53" t="s">
        <v>1313</v>
      </c>
      <c r="V53" t="s">
        <v>20</v>
      </c>
      <c r="W53" t="s">
        <v>1352</v>
      </c>
      <c r="X53" t="s">
        <v>20</v>
      </c>
      <c r="Y53">
        <v>146.14599999999999</v>
      </c>
      <c r="Z53" t="s">
        <v>20</v>
      </c>
      <c r="AA53" t="s">
        <v>20</v>
      </c>
      <c r="AB53">
        <v>737</v>
      </c>
      <c r="AC53" t="s">
        <v>1314</v>
      </c>
      <c r="AD53" t="s">
        <v>20</v>
      </c>
      <c r="AE53" t="s">
        <v>1353</v>
      </c>
      <c r="AF53" t="s">
        <v>20</v>
      </c>
      <c r="AG53">
        <v>174.203</v>
      </c>
      <c r="AH53" t="s">
        <v>20</v>
      </c>
      <c r="AI53" t="s">
        <v>20</v>
      </c>
      <c r="AJ53">
        <v>862</v>
      </c>
      <c r="AK53" t="s">
        <v>1315</v>
      </c>
      <c r="AL53" t="s">
        <v>20</v>
      </c>
      <c r="AM53" t="s">
        <v>1354</v>
      </c>
      <c r="AN53" t="s">
        <v>20</v>
      </c>
      <c r="AO53">
        <v>119.119</v>
      </c>
      <c r="AP53" t="s">
        <v>20</v>
      </c>
      <c r="AQ53" t="s">
        <v>20</v>
      </c>
    </row>
    <row r="54" spans="1:43" x14ac:dyDescent="0.25">
      <c r="A54">
        <v>6</v>
      </c>
      <c r="B54" t="s">
        <v>18</v>
      </c>
      <c r="C54" t="str">
        <f>HYPERLINK("http://www.ncbi.nlm.nih.gov/protein/XP_005081209.1","XP_005081209.1")</f>
        <v>XP_005081209.1</v>
      </c>
      <c r="D54">
        <v>54395</v>
      </c>
      <c r="E54" t="str">
        <f>HYPERLINK("http://www.ncbi.nlm.nih.gov/Taxonomy/Browser/wwwtax.cgi?mode=Info&amp;id=10036&amp;lvl=3&amp;lin=f&amp;keep=1&amp;srchmode=1&amp;unlock","10036")</f>
        <v>10036</v>
      </c>
      <c r="F54" t="s">
        <v>18</v>
      </c>
      <c r="G54" t="str">
        <f>HYPERLINK("http://www.ncbi.nlm.nih.gov/Taxonomy/Browser/wwwtax.cgi?mode=Info&amp;id=10036&amp;lvl=3&amp;lin=f&amp;keep=1&amp;srchmode=1&amp;unlock","Mesocricetus auratus")</f>
        <v>Mesocricetus auratus</v>
      </c>
      <c r="H54" t="s">
        <v>160</v>
      </c>
      <c r="I54" t="str">
        <f>HYPERLINK("http://www.ncbi.nlm.nih.gov/protein/XP_005081209.1","androgen receptor")</f>
        <v>androgen receptor</v>
      </c>
      <c r="J54" t="s">
        <v>1312</v>
      </c>
      <c r="K54" t="s">
        <v>20</v>
      </c>
      <c r="L54">
        <v>686</v>
      </c>
      <c r="M54" t="s">
        <v>25</v>
      </c>
      <c r="N54" t="s">
        <v>20</v>
      </c>
      <c r="O54" t="s">
        <v>1352</v>
      </c>
      <c r="P54" t="s">
        <v>20</v>
      </c>
      <c r="Q54">
        <v>132.119</v>
      </c>
      <c r="R54" t="s">
        <v>20</v>
      </c>
      <c r="S54" t="s">
        <v>20</v>
      </c>
      <c r="T54">
        <v>692</v>
      </c>
      <c r="U54" t="s">
        <v>1313</v>
      </c>
      <c r="V54" t="s">
        <v>20</v>
      </c>
      <c r="W54" t="s">
        <v>1352</v>
      </c>
      <c r="X54" t="s">
        <v>20</v>
      </c>
      <c r="Y54">
        <v>146.14599999999999</v>
      </c>
      <c r="Z54" t="s">
        <v>20</v>
      </c>
      <c r="AA54" t="s">
        <v>20</v>
      </c>
      <c r="AB54">
        <v>733</v>
      </c>
      <c r="AC54" t="s">
        <v>1314</v>
      </c>
      <c r="AD54" t="s">
        <v>20</v>
      </c>
      <c r="AE54" t="s">
        <v>1353</v>
      </c>
      <c r="AF54" t="s">
        <v>20</v>
      </c>
      <c r="AG54">
        <v>174.203</v>
      </c>
      <c r="AH54" t="s">
        <v>20</v>
      </c>
      <c r="AI54" t="s">
        <v>20</v>
      </c>
      <c r="AJ54">
        <v>858</v>
      </c>
      <c r="AK54" t="s">
        <v>1315</v>
      </c>
      <c r="AL54" t="s">
        <v>20</v>
      </c>
      <c r="AM54" t="s">
        <v>1354</v>
      </c>
      <c r="AN54" t="s">
        <v>20</v>
      </c>
      <c r="AO54">
        <v>119.119</v>
      </c>
      <c r="AP54" t="s">
        <v>20</v>
      </c>
      <c r="AQ54" t="s">
        <v>20</v>
      </c>
    </row>
    <row r="55" spans="1:43" x14ac:dyDescent="0.25">
      <c r="A55">
        <v>6</v>
      </c>
      <c r="B55" t="s">
        <v>18</v>
      </c>
      <c r="C55" t="str">
        <f>HYPERLINK("http://www.ncbi.nlm.nih.gov/protein/XP_004694494.1","XP_004694494.1")</f>
        <v>XP_004694494.1</v>
      </c>
      <c r="D55">
        <v>29269</v>
      </c>
      <c r="E55" t="str">
        <f>HYPERLINK("http://www.ncbi.nlm.nih.gov/Taxonomy/Browser/wwwtax.cgi?mode=Info&amp;id=143302&amp;lvl=3&amp;lin=f&amp;keep=1&amp;srchmode=1&amp;unlock","143302")</f>
        <v>143302</v>
      </c>
      <c r="F55" t="s">
        <v>18</v>
      </c>
      <c r="G55" t="str">
        <f>HYPERLINK("http://www.ncbi.nlm.nih.gov/Taxonomy/Browser/wwwtax.cgi?mode=Info&amp;id=143302&amp;lvl=3&amp;lin=f&amp;keep=1&amp;srchmode=1&amp;unlock","Condylura cristata")</f>
        <v>Condylura cristata</v>
      </c>
      <c r="H55" t="s">
        <v>110</v>
      </c>
      <c r="I55" t="str">
        <f>HYPERLINK("http://www.ncbi.nlm.nih.gov/protein/XP_004694494.1","PREDICTED: androgen receptor")</f>
        <v>PREDICTED: androgen receptor</v>
      </c>
      <c r="J55" t="s">
        <v>1312</v>
      </c>
      <c r="K55" t="s">
        <v>20</v>
      </c>
      <c r="L55">
        <v>694</v>
      </c>
      <c r="M55" t="s">
        <v>25</v>
      </c>
      <c r="N55" t="s">
        <v>20</v>
      </c>
      <c r="O55" t="s">
        <v>1352</v>
      </c>
      <c r="P55" t="s">
        <v>20</v>
      </c>
      <c r="Q55">
        <v>132.119</v>
      </c>
      <c r="R55" t="s">
        <v>20</v>
      </c>
      <c r="S55" t="s">
        <v>20</v>
      </c>
      <c r="T55">
        <v>700</v>
      </c>
      <c r="U55" t="s">
        <v>1313</v>
      </c>
      <c r="V55" t="s">
        <v>20</v>
      </c>
      <c r="W55" t="s">
        <v>1352</v>
      </c>
      <c r="X55" t="s">
        <v>20</v>
      </c>
      <c r="Y55">
        <v>146.14599999999999</v>
      </c>
      <c r="Z55" t="s">
        <v>20</v>
      </c>
      <c r="AA55" t="s">
        <v>20</v>
      </c>
      <c r="AB55">
        <v>741</v>
      </c>
      <c r="AC55" t="s">
        <v>1314</v>
      </c>
      <c r="AD55" t="s">
        <v>20</v>
      </c>
      <c r="AE55" t="s">
        <v>1353</v>
      </c>
      <c r="AF55" t="s">
        <v>20</v>
      </c>
      <c r="AG55">
        <v>174.203</v>
      </c>
      <c r="AH55" t="s">
        <v>20</v>
      </c>
      <c r="AI55" t="s">
        <v>20</v>
      </c>
      <c r="AJ55">
        <v>866</v>
      </c>
      <c r="AK55" t="s">
        <v>1315</v>
      </c>
      <c r="AL55" t="s">
        <v>20</v>
      </c>
      <c r="AM55" t="s">
        <v>1354</v>
      </c>
      <c r="AN55" t="s">
        <v>20</v>
      </c>
      <c r="AO55">
        <v>119.119</v>
      </c>
      <c r="AP55" t="s">
        <v>20</v>
      </c>
      <c r="AQ55" t="s">
        <v>20</v>
      </c>
    </row>
    <row r="56" spans="1:43" x14ac:dyDescent="0.25">
      <c r="A56">
        <v>6</v>
      </c>
      <c r="B56" t="s">
        <v>18</v>
      </c>
      <c r="C56" t="str">
        <f>HYPERLINK("http://www.ncbi.nlm.nih.gov/protein/XP_026909507.1","XP_026909507.1")</f>
        <v>XP_026909507.1</v>
      </c>
      <c r="D56">
        <v>56437</v>
      </c>
      <c r="E56" t="str">
        <f>HYPERLINK("http://www.ncbi.nlm.nih.gov/Taxonomy/Browser/wwwtax.cgi?mode=Info&amp;id=32536&amp;lvl=3&amp;lin=f&amp;keep=1&amp;srchmode=1&amp;unlock","32536")</f>
        <v>32536</v>
      </c>
      <c r="F56" t="s">
        <v>18</v>
      </c>
      <c r="G56" t="str">
        <f>HYPERLINK("http://www.ncbi.nlm.nih.gov/Taxonomy/Browser/wwwtax.cgi?mode=Info&amp;id=32536&amp;lvl=3&amp;lin=f&amp;keep=1&amp;srchmode=1&amp;unlock","Acinonyx jubatus")</f>
        <v>Acinonyx jubatus</v>
      </c>
      <c r="H56" t="s">
        <v>62</v>
      </c>
      <c r="I56" t="str">
        <f>HYPERLINK("http://www.ncbi.nlm.nih.gov/protein/XP_026909507.1","androgen receptor isoform X1")</f>
        <v>androgen receptor isoform X1</v>
      </c>
      <c r="J56" t="s">
        <v>1312</v>
      </c>
      <c r="K56" t="s">
        <v>20</v>
      </c>
      <c r="L56">
        <v>685</v>
      </c>
      <c r="M56" t="s">
        <v>25</v>
      </c>
      <c r="N56" t="s">
        <v>20</v>
      </c>
      <c r="O56" t="s">
        <v>1352</v>
      </c>
      <c r="P56" t="s">
        <v>20</v>
      </c>
      <c r="Q56">
        <v>132.119</v>
      </c>
      <c r="R56" t="s">
        <v>20</v>
      </c>
      <c r="S56" t="s">
        <v>20</v>
      </c>
      <c r="T56">
        <v>691</v>
      </c>
      <c r="U56" t="s">
        <v>1313</v>
      </c>
      <c r="V56" t="s">
        <v>20</v>
      </c>
      <c r="W56" t="s">
        <v>1352</v>
      </c>
      <c r="X56" t="s">
        <v>20</v>
      </c>
      <c r="Y56">
        <v>146.14599999999999</v>
      </c>
      <c r="Z56" t="s">
        <v>20</v>
      </c>
      <c r="AA56" t="s">
        <v>20</v>
      </c>
      <c r="AB56">
        <v>732</v>
      </c>
      <c r="AC56" t="s">
        <v>1314</v>
      </c>
      <c r="AD56" t="s">
        <v>20</v>
      </c>
      <c r="AE56" t="s">
        <v>1353</v>
      </c>
      <c r="AF56" t="s">
        <v>20</v>
      </c>
      <c r="AG56">
        <v>174.203</v>
      </c>
      <c r="AH56" t="s">
        <v>20</v>
      </c>
      <c r="AI56" t="s">
        <v>20</v>
      </c>
      <c r="AJ56">
        <v>857</v>
      </c>
      <c r="AK56" t="s">
        <v>1315</v>
      </c>
      <c r="AL56" t="s">
        <v>20</v>
      </c>
      <c r="AM56" t="s">
        <v>1354</v>
      </c>
      <c r="AN56" t="s">
        <v>20</v>
      </c>
      <c r="AO56">
        <v>119.119</v>
      </c>
      <c r="AP56" t="s">
        <v>20</v>
      </c>
      <c r="AQ56" t="s">
        <v>20</v>
      </c>
    </row>
    <row r="57" spans="1:43" x14ac:dyDescent="0.25">
      <c r="A57">
        <v>6</v>
      </c>
      <c r="B57" t="s">
        <v>18</v>
      </c>
      <c r="C57" t="str">
        <f>HYPERLINK("http://www.ncbi.nlm.nih.gov/protein/XP_022380163.1","XP_022380163.1")</f>
        <v>XP_022380163.1</v>
      </c>
      <c r="D57">
        <v>36593</v>
      </c>
      <c r="E57" t="str">
        <f>HYPERLINK("http://www.ncbi.nlm.nih.gov/Taxonomy/Browser/wwwtax.cgi?mode=Info&amp;id=391180&amp;lvl=3&amp;lin=f&amp;keep=1&amp;srchmode=1&amp;unlock","391180")</f>
        <v>391180</v>
      </c>
      <c r="F57" t="s">
        <v>18</v>
      </c>
      <c r="G57" t="str">
        <f>HYPERLINK("http://www.ncbi.nlm.nih.gov/Taxonomy/Browser/wwwtax.cgi?mode=Info&amp;id=391180&amp;lvl=3&amp;lin=f&amp;keep=1&amp;srchmode=1&amp;unlock","Enhydra lutris kenyoni")</f>
        <v>Enhydra lutris kenyoni</v>
      </c>
      <c r="H57" t="s">
        <v>71</v>
      </c>
      <c r="I57" t="str">
        <f>HYPERLINK("http://www.ncbi.nlm.nih.gov/protein/XP_022380163.1","androgen receptor")</f>
        <v>androgen receptor</v>
      </c>
      <c r="J57" t="s">
        <v>1312</v>
      </c>
      <c r="K57" t="s">
        <v>20</v>
      </c>
      <c r="L57">
        <v>677</v>
      </c>
      <c r="M57" t="s">
        <v>25</v>
      </c>
      <c r="N57" t="s">
        <v>20</v>
      </c>
      <c r="O57" t="s">
        <v>1352</v>
      </c>
      <c r="P57" t="s">
        <v>20</v>
      </c>
      <c r="Q57">
        <v>132.119</v>
      </c>
      <c r="R57" t="s">
        <v>20</v>
      </c>
      <c r="S57" t="s">
        <v>20</v>
      </c>
      <c r="T57">
        <v>683</v>
      </c>
      <c r="U57" t="s">
        <v>1313</v>
      </c>
      <c r="V57" t="s">
        <v>20</v>
      </c>
      <c r="W57" t="s">
        <v>1352</v>
      </c>
      <c r="X57" t="s">
        <v>20</v>
      </c>
      <c r="Y57">
        <v>146.14599999999999</v>
      </c>
      <c r="Z57" t="s">
        <v>20</v>
      </c>
      <c r="AA57" t="s">
        <v>20</v>
      </c>
      <c r="AB57">
        <v>724</v>
      </c>
      <c r="AC57" t="s">
        <v>1314</v>
      </c>
      <c r="AD57" t="s">
        <v>20</v>
      </c>
      <c r="AE57" t="s">
        <v>1353</v>
      </c>
      <c r="AF57" t="s">
        <v>20</v>
      </c>
      <c r="AG57">
        <v>174.203</v>
      </c>
      <c r="AH57" t="s">
        <v>20</v>
      </c>
      <c r="AI57" t="s">
        <v>20</v>
      </c>
      <c r="AJ57">
        <v>849</v>
      </c>
      <c r="AK57" t="s">
        <v>1315</v>
      </c>
      <c r="AL57" t="s">
        <v>20</v>
      </c>
      <c r="AM57" t="s">
        <v>1354</v>
      </c>
      <c r="AN57" t="s">
        <v>20</v>
      </c>
      <c r="AO57">
        <v>119.119</v>
      </c>
      <c r="AP57" t="s">
        <v>20</v>
      </c>
      <c r="AQ57" t="s">
        <v>20</v>
      </c>
    </row>
    <row r="58" spans="1:43" x14ac:dyDescent="0.25">
      <c r="A58">
        <v>6</v>
      </c>
      <c r="B58" t="s">
        <v>18</v>
      </c>
      <c r="C58" t="str">
        <f>HYPERLINK("http://www.ncbi.nlm.nih.gov/protein/NP_001182653.1","NP_001182653.1")</f>
        <v>NP_001182653.1</v>
      </c>
      <c r="D58">
        <v>52342</v>
      </c>
      <c r="E58" t="str">
        <f>HYPERLINK("http://www.ncbi.nlm.nih.gov/Taxonomy/Browser/wwwtax.cgi?mode=Info&amp;id=9986&amp;lvl=3&amp;lin=f&amp;keep=1&amp;srchmode=1&amp;unlock","9986")</f>
        <v>9986</v>
      </c>
      <c r="F58" t="s">
        <v>18</v>
      </c>
      <c r="G58" t="str">
        <f>HYPERLINK("http://www.ncbi.nlm.nih.gov/Taxonomy/Browser/wwwtax.cgi?mode=Info&amp;id=9986&amp;lvl=3&amp;lin=f&amp;keep=1&amp;srchmode=1&amp;unlock","Oryctolagus cuniculus")</f>
        <v>Oryctolagus cuniculus</v>
      </c>
      <c r="H58" t="s">
        <v>183</v>
      </c>
      <c r="I58" t="str">
        <f>HYPERLINK("http://www.ncbi.nlm.nih.gov/protein/NP_001182653.1","androgen receptor")</f>
        <v>androgen receptor</v>
      </c>
      <c r="J58" t="s">
        <v>1312</v>
      </c>
      <c r="K58" t="s">
        <v>20</v>
      </c>
      <c r="L58">
        <v>687</v>
      </c>
      <c r="M58" t="s">
        <v>25</v>
      </c>
      <c r="N58" t="s">
        <v>20</v>
      </c>
      <c r="O58" t="s">
        <v>1352</v>
      </c>
      <c r="P58" t="s">
        <v>20</v>
      </c>
      <c r="Q58">
        <v>132.119</v>
      </c>
      <c r="R58" t="s">
        <v>20</v>
      </c>
      <c r="S58" t="s">
        <v>20</v>
      </c>
      <c r="T58">
        <v>693</v>
      </c>
      <c r="U58" t="s">
        <v>1313</v>
      </c>
      <c r="V58" t="s">
        <v>20</v>
      </c>
      <c r="W58" t="s">
        <v>1352</v>
      </c>
      <c r="X58" t="s">
        <v>20</v>
      </c>
      <c r="Y58">
        <v>146.14599999999999</v>
      </c>
      <c r="Z58" t="s">
        <v>20</v>
      </c>
      <c r="AA58" t="s">
        <v>20</v>
      </c>
      <c r="AB58">
        <v>734</v>
      </c>
      <c r="AC58" t="s">
        <v>1314</v>
      </c>
      <c r="AD58" t="s">
        <v>20</v>
      </c>
      <c r="AE58" t="s">
        <v>1353</v>
      </c>
      <c r="AF58" t="s">
        <v>20</v>
      </c>
      <c r="AG58">
        <v>174.203</v>
      </c>
      <c r="AH58" t="s">
        <v>20</v>
      </c>
      <c r="AI58" t="s">
        <v>20</v>
      </c>
      <c r="AJ58">
        <v>859</v>
      </c>
      <c r="AK58" t="s">
        <v>1315</v>
      </c>
      <c r="AL58" t="s">
        <v>20</v>
      </c>
      <c r="AM58" t="s">
        <v>1354</v>
      </c>
      <c r="AN58" t="s">
        <v>20</v>
      </c>
      <c r="AO58">
        <v>119.119</v>
      </c>
      <c r="AP58" t="s">
        <v>20</v>
      </c>
      <c r="AQ58" t="s">
        <v>20</v>
      </c>
    </row>
    <row r="59" spans="1:43" x14ac:dyDescent="0.25">
      <c r="A59">
        <v>6</v>
      </c>
      <c r="B59" t="s">
        <v>18</v>
      </c>
      <c r="C59" t="str">
        <f>HYPERLINK("http://www.ncbi.nlm.nih.gov/protein/XP_028378974.1","XP_028378974.1")</f>
        <v>XP_028378974.1</v>
      </c>
      <c r="D59">
        <v>107564</v>
      </c>
      <c r="E59" t="str">
        <f>HYPERLINK("http://www.ncbi.nlm.nih.gov/Taxonomy/Browser/wwwtax.cgi?mode=Info&amp;id=89673&amp;lvl=3&amp;lin=f&amp;keep=1&amp;srchmode=1&amp;unlock","89673")</f>
        <v>89673</v>
      </c>
      <c r="F59" t="s">
        <v>18</v>
      </c>
      <c r="G59" t="str">
        <f>HYPERLINK("http://www.ncbi.nlm.nih.gov/Taxonomy/Browser/wwwtax.cgi?mode=Info&amp;id=89673&amp;lvl=3&amp;lin=f&amp;keep=1&amp;srchmode=1&amp;unlock","Phyllostomus discolor")</f>
        <v>Phyllostomus discolor</v>
      </c>
      <c r="H59" t="s">
        <v>98</v>
      </c>
      <c r="I59" t="str">
        <f>HYPERLINK("http://www.ncbi.nlm.nih.gov/protein/XP_028378974.1","androgen receptor")</f>
        <v>androgen receptor</v>
      </c>
      <c r="J59" t="s">
        <v>1312</v>
      </c>
      <c r="K59" t="s">
        <v>20</v>
      </c>
      <c r="L59">
        <v>672</v>
      </c>
      <c r="M59" t="s">
        <v>25</v>
      </c>
      <c r="N59" t="s">
        <v>20</v>
      </c>
      <c r="O59" t="s">
        <v>1352</v>
      </c>
      <c r="P59" t="s">
        <v>20</v>
      </c>
      <c r="Q59">
        <v>132.119</v>
      </c>
      <c r="R59" t="s">
        <v>20</v>
      </c>
      <c r="S59" t="s">
        <v>20</v>
      </c>
      <c r="T59">
        <v>678</v>
      </c>
      <c r="U59" t="s">
        <v>1313</v>
      </c>
      <c r="V59" t="s">
        <v>20</v>
      </c>
      <c r="W59" t="s">
        <v>1352</v>
      </c>
      <c r="X59" t="s">
        <v>20</v>
      </c>
      <c r="Y59">
        <v>146.14599999999999</v>
      </c>
      <c r="Z59" t="s">
        <v>20</v>
      </c>
      <c r="AA59" t="s">
        <v>20</v>
      </c>
      <c r="AB59">
        <v>719</v>
      </c>
      <c r="AC59" t="s">
        <v>1314</v>
      </c>
      <c r="AD59" t="s">
        <v>20</v>
      </c>
      <c r="AE59" t="s">
        <v>1353</v>
      </c>
      <c r="AF59" t="s">
        <v>20</v>
      </c>
      <c r="AG59">
        <v>174.203</v>
      </c>
      <c r="AH59" t="s">
        <v>20</v>
      </c>
      <c r="AI59" t="s">
        <v>20</v>
      </c>
      <c r="AJ59">
        <v>844</v>
      </c>
      <c r="AK59" t="s">
        <v>1315</v>
      </c>
      <c r="AL59" t="s">
        <v>20</v>
      </c>
      <c r="AM59" t="s">
        <v>1354</v>
      </c>
      <c r="AN59" t="s">
        <v>20</v>
      </c>
      <c r="AO59">
        <v>119.119</v>
      </c>
      <c r="AP59" t="s">
        <v>20</v>
      </c>
      <c r="AQ59" t="s">
        <v>20</v>
      </c>
    </row>
    <row r="60" spans="1:43" x14ac:dyDescent="0.25">
      <c r="A60">
        <v>6</v>
      </c>
      <c r="B60" t="s">
        <v>18</v>
      </c>
      <c r="C60" t="str">
        <f>HYPERLINK("http://www.ncbi.nlm.nih.gov/protein/XP_026341601.1","XP_026341601.1")</f>
        <v>XP_026341601.1</v>
      </c>
      <c r="D60">
        <v>43159</v>
      </c>
      <c r="E60" t="str">
        <f>HYPERLINK("http://www.ncbi.nlm.nih.gov/Taxonomy/Browser/wwwtax.cgi?mode=Info&amp;id=116960&amp;lvl=3&amp;lin=f&amp;keep=1&amp;srchmode=1&amp;unlock","116960")</f>
        <v>116960</v>
      </c>
      <c r="F60" t="s">
        <v>18</v>
      </c>
      <c r="G60" t="str">
        <f>HYPERLINK("http://www.ncbi.nlm.nih.gov/Taxonomy/Browser/wwwtax.cgi?mode=Info&amp;id=116960&amp;lvl=3&amp;lin=f&amp;keep=1&amp;srchmode=1&amp;unlock","Ursus arctos horribilis")</f>
        <v>Ursus arctos horribilis</v>
      </c>
      <c r="H60" t="s">
        <v>45</v>
      </c>
      <c r="I60" t="str">
        <f>HYPERLINK("http://www.ncbi.nlm.nih.gov/protein/XP_026341601.1","androgen receptor")</f>
        <v>androgen receptor</v>
      </c>
      <c r="J60" t="s">
        <v>1312</v>
      </c>
      <c r="K60" t="s">
        <v>20</v>
      </c>
      <c r="L60">
        <v>695</v>
      </c>
      <c r="M60" t="s">
        <v>25</v>
      </c>
      <c r="N60" t="s">
        <v>20</v>
      </c>
      <c r="O60" t="s">
        <v>1352</v>
      </c>
      <c r="P60" t="s">
        <v>20</v>
      </c>
      <c r="Q60">
        <v>132.119</v>
      </c>
      <c r="R60" t="s">
        <v>20</v>
      </c>
      <c r="S60" t="s">
        <v>20</v>
      </c>
      <c r="T60">
        <v>701</v>
      </c>
      <c r="U60" t="s">
        <v>1313</v>
      </c>
      <c r="V60" t="s">
        <v>20</v>
      </c>
      <c r="W60" t="s">
        <v>1352</v>
      </c>
      <c r="X60" t="s">
        <v>20</v>
      </c>
      <c r="Y60">
        <v>146.14599999999999</v>
      </c>
      <c r="Z60" t="s">
        <v>20</v>
      </c>
      <c r="AA60" t="s">
        <v>20</v>
      </c>
      <c r="AB60">
        <v>742</v>
      </c>
      <c r="AC60" t="s">
        <v>1314</v>
      </c>
      <c r="AD60" t="s">
        <v>20</v>
      </c>
      <c r="AE60" t="s">
        <v>1353</v>
      </c>
      <c r="AF60" t="s">
        <v>20</v>
      </c>
      <c r="AG60">
        <v>174.203</v>
      </c>
      <c r="AH60" t="s">
        <v>20</v>
      </c>
      <c r="AI60" t="s">
        <v>20</v>
      </c>
      <c r="AJ60">
        <v>867</v>
      </c>
      <c r="AK60" t="s">
        <v>1315</v>
      </c>
      <c r="AL60" t="s">
        <v>20</v>
      </c>
      <c r="AM60" t="s">
        <v>1354</v>
      </c>
      <c r="AN60" t="s">
        <v>20</v>
      </c>
      <c r="AO60">
        <v>119.119</v>
      </c>
      <c r="AP60" t="s">
        <v>20</v>
      </c>
      <c r="AQ60" t="s">
        <v>20</v>
      </c>
    </row>
    <row r="61" spans="1:43" x14ac:dyDescent="0.25">
      <c r="A61">
        <v>6</v>
      </c>
      <c r="B61" t="s">
        <v>18</v>
      </c>
      <c r="C61" t="str">
        <f>HYPERLINK("http://www.ncbi.nlm.nih.gov/protein/XP_006067834.1","XP_006067834.1")</f>
        <v>XP_006067834.1</v>
      </c>
      <c r="D61">
        <v>61063</v>
      </c>
      <c r="E61" t="str">
        <f>HYPERLINK("http://www.ncbi.nlm.nih.gov/Taxonomy/Browser/wwwtax.cgi?mode=Info&amp;id=89462&amp;lvl=3&amp;lin=f&amp;keep=1&amp;srchmode=1&amp;unlock","89462")</f>
        <v>89462</v>
      </c>
      <c r="F61" t="s">
        <v>18</v>
      </c>
      <c r="G61" t="str">
        <f>HYPERLINK("http://www.ncbi.nlm.nih.gov/Taxonomy/Browser/wwwtax.cgi?mode=Info&amp;id=89462&amp;lvl=3&amp;lin=f&amp;keep=1&amp;srchmode=1&amp;unlock","Bubalus bubalis")</f>
        <v>Bubalus bubalis</v>
      </c>
      <c r="H61" t="s">
        <v>113</v>
      </c>
      <c r="I61" t="str">
        <f>HYPERLINK("http://www.ncbi.nlm.nih.gov/protein/XP_006067834.1","androgen receptor isoform X1")</f>
        <v>androgen receptor isoform X1</v>
      </c>
      <c r="J61" t="s">
        <v>1312</v>
      </c>
      <c r="K61" t="s">
        <v>20</v>
      </c>
      <c r="L61">
        <v>674</v>
      </c>
      <c r="M61" t="s">
        <v>25</v>
      </c>
      <c r="N61" t="s">
        <v>20</v>
      </c>
      <c r="O61" t="s">
        <v>1352</v>
      </c>
      <c r="P61" t="s">
        <v>20</v>
      </c>
      <c r="Q61">
        <v>132.119</v>
      </c>
      <c r="R61" t="s">
        <v>20</v>
      </c>
      <c r="S61" t="s">
        <v>20</v>
      </c>
      <c r="T61">
        <v>680</v>
      </c>
      <c r="U61" t="s">
        <v>1313</v>
      </c>
      <c r="V61" t="s">
        <v>20</v>
      </c>
      <c r="W61" t="s">
        <v>1352</v>
      </c>
      <c r="X61" t="s">
        <v>20</v>
      </c>
      <c r="Y61">
        <v>146.14599999999999</v>
      </c>
      <c r="Z61" t="s">
        <v>20</v>
      </c>
      <c r="AA61" t="s">
        <v>20</v>
      </c>
      <c r="AB61">
        <v>721</v>
      </c>
      <c r="AC61" t="s">
        <v>1314</v>
      </c>
      <c r="AD61" t="s">
        <v>20</v>
      </c>
      <c r="AE61" t="s">
        <v>1353</v>
      </c>
      <c r="AF61" t="s">
        <v>20</v>
      </c>
      <c r="AG61">
        <v>174.203</v>
      </c>
      <c r="AH61" t="s">
        <v>20</v>
      </c>
      <c r="AI61" t="s">
        <v>20</v>
      </c>
      <c r="AJ61">
        <v>846</v>
      </c>
      <c r="AK61" t="s">
        <v>1315</v>
      </c>
      <c r="AL61" t="s">
        <v>20</v>
      </c>
      <c r="AM61" t="s">
        <v>1354</v>
      </c>
      <c r="AN61" t="s">
        <v>20</v>
      </c>
      <c r="AO61">
        <v>119.119</v>
      </c>
      <c r="AP61" t="s">
        <v>20</v>
      </c>
      <c r="AQ61" t="s">
        <v>20</v>
      </c>
    </row>
    <row r="62" spans="1:43" x14ac:dyDescent="0.25">
      <c r="A62">
        <v>6</v>
      </c>
      <c r="B62" t="s">
        <v>18</v>
      </c>
      <c r="C62" t="str">
        <f>HYPERLINK("http://www.ncbi.nlm.nih.gov/protein/XP_008842588.1","XP_008842588.1")</f>
        <v>XP_008842588.1</v>
      </c>
      <c r="D62">
        <v>49440</v>
      </c>
      <c r="E62" t="str">
        <f>HYPERLINK("http://www.ncbi.nlm.nih.gov/Taxonomy/Browser/wwwtax.cgi?mode=Info&amp;id=1026970&amp;lvl=3&amp;lin=f&amp;keep=1&amp;srchmode=1&amp;unlock","1026970")</f>
        <v>1026970</v>
      </c>
      <c r="F62" t="s">
        <v>18</v>
      </c>
      <c r="G62" t="str">
        <f>HYPERLINK("http://www.ncbi.nlm.nih.gov/Taxonomy/Browser/wwwtax.cgi?mode=Info&amp;id=1026970&amp;lvl=3&amp;lin=f&amp;keep=1&amp;srchmode=1&amp;unlock","Nannospalax galili")</f>
        <v>Nannospalax galili</v>
      </c>
      <c r="H62" t="s">
        <v>102</v>
      </c>
      <c r="I62" t="str">
        <f>HYPERLINK("http://www.ncbi.nlm.nih.gov/protein/XP_008842588.1","androgen receptor")</f>
        <v>androgen receptor</v>
      </c>
      <c r="J62" t="s">
        <v>1312</v>
      </c>
      <c r="K62" t="s">
        <v>20</v>
      </c>
      <c r="L62">
        <v>689</v>
      </c>
      <c r="M62" t="s">
        <v>25</v>
      </c>
      <c r="N62" t="s">
        <v>20</v>
      </c>
      <c r="O62" t="s">
        <v>1352</v>
      </c>
      <c r="P62" t="s">
        <v>20</v>
      </c>
      <c r="Q62">
        <v>132.119</v>
      </c>
      <c r="R62" t="s">
        <v>20</v>
      </c>
      <c r="S62" t="s">
        <v>20</v>
      </c>
      <c r="T62">
        <v>695</v>
      </c>
      <c r="U62" t="s">
        <v>1313</v>
      </c>
      <c r="V62" t="s">
        <v>20</v>
      </c>
      <c r="W62" t="s">
        <v>1352</v>
      </c>
      <c r="X62" t="s">
        <v>20</v>
      </c>
      <c r="Y62">
        <v>146.14599999999999</v>
      </c>
      <c r="Z62" t="s">
        <v>20</v>
      </c>
      <c r="AA62" t="s">
        <v>20</v>
      </c>
      <c r="AB62">
        <v>736</v>
      </c>
      <c r="AC62" t="s">
        <v>1314</v>
      </c>
      <c r="AD62" t="s">
        <v>20</v>
      </c>
      <c r="AE62" t="s">
        <v>1353</v>
      </c>
      <c r="AF62" t="s">
        <v>20</v>
      </c>
      <c r="AG62">
        <v>174.203</v>
      </c>
      <c r="AH62" t="s">
        <v>20</v>
      </c>
      <c r="AI62" t="s">
        <v>20</v>
      </c>
      <c r="AJ62">
        <v>861</v>
      </c>
      <c r="AK62" t="s">
        <v>1315</v>
      </c>
      <c r="AL62" t="s">
        <v>20</v>
      </c>
      <c r="AM62" t="s">
        <v>1354</v>
      </c>
      <c r="AN62" t="s">
        <v>20</v>
      </c>
      <c r="AO62">
        <v>119.119</v>
      </c>
      <c r="AP62" t="s">
        <v>20</v>
      </c>
      <c r="AQ62" t="s">
        <v>20</v>
      </c>
    </row>
    <row r="63" spans="1:43" x14ac:dyDescent="0.25">
      <c r="A63">
        <v>6</v>
      </c>
      <c r="B63" t="s">
        <v>18</v>
      </c>
      <c r="C63" t="str">
        <f>HYPERLINK("http://www.ncbi.nlm.nih.gov/protein/NP_001295513.1","NP_001295513.1")</f>
        <v>NP_001295513.1</v>
      </c>
      <c r="D63">
        <v>73093</v>
      </c>
      <c r="E63" t="str">
        <f>HYPERLINK("http://www.ncbi.nlm.nih.gov/Taxonomy/Browser/wwwtax.cgi?mode=Info&amp;id=9940&amp;lvl=3&amp;lin=f&amp;keep=1&amp;srchmode=1&amp;unlock","9940")</f>
        <v>9940</v>
      </c>
      <c r="F63" t="s">
        <v>18</v>
      </c>
      <c r="G63" t="str">
        <f>HYPERLINK("http://www.ncbi.nlm.nih.gov/Taxonomy/Browser/wwwtax.cgi?mode=Info&amp;id=9940&amp;lvl=3&amp;lin=f&amp;keep=1&amp;srchmode=1&amp;unlock","Ovis aries")</f>
        <v>Ovis aries</v>
      </c>
      <c r="H63" t="s">
        <v>129</v>
      </c>
      <c r="I63" t="str">
        <f>HYPERLINK("http://www.ncbi.nlm.nih.gov/protein/NP_001295513.1","androgen receptor")</f>
        <v>androgen receptor</v>
      </c>
      <c r="J63" t="s">
        <v>1312</v>
      </c>
      <c r="K63" t="s">
        <v>20</v>
      </c>
      <c r="L63">
        <v>676</v>
      </c>
      <c r="M63" t="s">
        <v>25</v>
      </c>
      <c r="N63" t="s">
        <v>20</v>
      </c>
      <c r="O63" t="s">
        <v>1352</v>
      </c>
      <c r="P63" t="s">
        <v>20</v>
      </c>
      <c r="Q63">
        <v>132.119</v>
      </c>
      <c r="R63" t="s">
        <v>20</v>
      </c>
      <c r="S63" t="s">
        <v>20</v>
      </c>
      <c r="T63">
        <v>682</v>
      </c>
      <c r="U63" t="s">
        <v>1313</v>
      </c>
      <c r="V63" t="s">
        <v>20</v>
      </c>
      <c r="W63" t="s">
        <v>1352</v>
      </c>
      <c r="X63" t="s">
        <v>20</v>
      </c>
      <c r="Y63">
        <v>146.14599999999999</v>
      </c>
      <c r="Z63" t="s">
        <v>20</v>
      </c>
      <c r="AA63" t="s">
        <v>20</v>
      </c>
      <c r="AB63">
        <v>723</v>
      </c>
      <c r="AC63" t="s">
        <v>1314</v>
      </c>
      <c r="AD63" t="s">
        <v>20</v>
      </c>
      <c r="AE63" t="s">
        <v>1353</v>
      </c>
      <c r="AF63" t="s">
        <v>20</v>
      </c>
      <c r="AG63">
        <v>174.203</v>
      </c>
      <c r="AH63" t="s">
        <v>20</v>
      </c>
      <c r="AI63" t="s">
        <v>20</v>
      </c>
      <c r="AJ63">
        <v>848</v>
      </c>
      <c r="AK63" t="s">
        <v>1315</v>
      </c>
      <c r="AL63" t="s">
        <v>20</v>
      </c>
      <c r="AM63" t="s">
        <v>1354</v>
      </c>
      <c r="AN63" t="s">
        <v>20</v>
      </c>
      <c r="AO63">
        <v>119.119</v>
      </c>
      <c r="AP63" t="s">
        <v>20</v>
      </c>
      <c r="AQ63" t="s">
        <v>20</v>
      </c>
    </row>
    <row r="64" spans="1:43" x14ac:dyDescent="0.25">
      <c r="A64">
        <v>6</v>
      </c>
      <c r="B64" t="s">
        <v>18</v>
      </c>
      <c r="C64" t="str">
        <f>HYPERLINK("http://www.ncbi.nlm.nih.gov/protein/XP_029785952.1","XP_029785952.1")</f>
        <v>XP_029785952.1</v>
      </c>
      <c r="D64">
        <v>43355</v>
      </c>
      <c r="E64" t="str">
        <f>HYPERLINK("http://www.ncbi.nlm.nih.gov/Taxonomy/Browser/wwwtax.cgi?mode=Info&amp;id=37032&amp;lvl=3&amp;lin=f&amp;keep=1&amp;srchmode=1&amp;unlock","37032")</f>
        <v>37032</v>
      </c>
      <c r="F64" t="s">
        <v>18</v>
      </c>
      <c r="G64" t="str">
        <f>HYPERLINK("http://www.ncbi.nlm.nih.gov/Taxonomy/Browser/wwwtax.cgi?mode=Info&amp;id=37032&amp;lvl=3&amp;lin=f&amp;keep=1&amp;srchmode=1&amp;unlock","Suricata suricatta")</f>
        <v>Suricata suricatta</v>
      </c>
      <c r="H64" t="s">
        <v>57</v>
      </c>
      <c r="I64" t="str">
        <f>HYPERLINK("http://www.ncbi.nlm.nih.gov/protein/XP_029785952.1","androgen receptor isoform X1")</f>
        <v>androgen receptor isoform X1</v>
      </c>
      <c r="J64" t="s">
        <v>1312</v>
      </c>
      <c r="K64" t="s">
        <v>20</v>
      </c>
      <c r="L64">
        <v>685</v>
      </c>
      <c r="M64" t="s">
        <v>25</v>
      </c>
      <c r="N64" t="s">
        <v>20</v>
      </c>
      <c r="O64" t="s">
        <v>1352</v>
      </c>
      <c r="P64" t="s">
        <v>20</v>
      </c>
      <c r="Q64">
        <v>132.119</v>
      </c>
      <c r="R64" t="s">
        <v>20</v>
      </c>
      <c r="S64" t="s">
        <v>20</v>
      </c>
      <c r="T64">
        <v>691</v>
      </c>
      <c r="U64" t="s">
        <v>1313</v>
      </c>
      <c r="V64" t="s">
        <v>20</v>
      </c>
      <c r="W64" t="s">
        <v>1352</v>
      </c>
      <c r="X64" t="s">
        <v>20</v>
      </c>
      <c r="Y64">
        <v>146.14599999999999</v>
      </c>
      <c r="Z64" t="s">
        <v>20</v>
      </c>
      <c r="AA64" t="s">
        <v>20</v>
      </c>
      <c r="AB64">
        <v>732</v>
      </c>
      <c r="AC64" t="s">
        <v>1314</v>
      </c>
      <c r="AD64" t="s">
        <v>20</v>
      </c>
      <c r="AE64" t="s">
        <v>1353</v>
      </c>
      <c r="AF64" t="s">
        <v>20</v>
      </c>
      <c r="AG64">
        <v>174.203</v>
      </c>
      <c r="AH64" t="s">
        <v>20</v>
      </c>
      <c r="AI64" t="s">
        <v>20</v>
      </c>
      <c r="AJ64">
        <v>857</v>
      </c>
      <c r="AK64" t="s">
        <v>1315</v>
      </c>
      <c r="AL64" t="s">
        <v>20</v>
      </c>
      <c r="AM64" t="s">
        <v>1354</v>
      </c>
      <c r="AN64" t="s">
        <v>20</v>
      </c>
      <c r="AO64">
        <v>119.119</v>
      </c>
      <c r="AP64" t="s">
        <v>20</v>
      </c>
      <c r="AQ64" t="s">
        <v>20</v>
      </c>
    </row>
    <row r="65" spans="1:43" x14ac:dyDescent="0.25">
      <c r="A65">
        <v>6</v>
      </c>
      <c r="B65" t="s">
        <v>18</v>
      </c>
      <c r="C65" t="str">
        <f>HYPERLINK("http://www.ncbi.nlm.nih.gov/protein/AUM57183.1","AUM57183.1")</f>
        <v>AUM57183.1</v>
      </c>
      <c r="D65">
        <v>241</v>
      </c>
      <c r="E65" t="str">
        <f>HYPERLINK("http://www.ncbi.nlm.nih.gov/Taxonomy/Browser/wwwtax.cgi?mode=Info&amp;id=68408&amp;lvl=3&amp;lin=f&amp;keep=1&amp;srchmode=1&amp;unlock","68408")</f>
        <v>68408</v>
      </c>
      <c r="F65" t="s">
        <v>18</v>
      </c>
      <c r="G65" t="str">
        <f>HYPERLINK("http://www.ncbi.nlm.nih.gov/Taxonomy/Browser/wwwtax.cgi?mode=Info&amp;id=68408&amp;lvl=3&amp;lin=f&amp;keep=1&amp;srchmode=1&amp;unlock","Moschus berezovskii")</f>
        <v>Moschus berezovskii</v>
      </c>
      <c r="H65" t="s">
        <v>968</v>
      </c>
      <c r="I65" t="str">
        <f>HYPERLINK("http://www.ncbi.nlm.nih.gov/protein/AUM57183.1","androgen receptor")</f>
        <v>androgen receptor</v>
      </c>
      <c r="J65" t="s">
        <v>1312</v>
      </c>
      <c r="K65" t="s">
        <v>20</v>
      </c>
      <c r="L65">
        <v>677</v>
      </c>
      <c r="M65" t="s">
        <v>25</v>
      </c>
      <c r="N65" t="s">
        <v>20</v>
      </c>
      <c r="O65" t="s">
        <v>1352</v>
      </c>
      <c r="P65" t="s">
        <v>20</v>
      </c>
      <c r="Q65">
        <v>132.119</v>
      </c>
      <c r="R65" t="s">
        <v>20</v>
      </c>
      <c r="S65" t="s">
        <v>20</v>
      </c>
      <c r="T65">
        <v>683</v>
      </c>
      <c r="U65" t="s">
        <v>1313</v>
      </c>
      <c r="V65" t="s">
        <v>20</v>
      </c>
      <c r="W65" t="s">
        <v>1352</v>
      </c>
      <c r="X65" t="s">
        <v>20</v>
      </c>
      <c r="Y65">
        <v>146.14599999999999</v>
      </c>
      <c r="Z65" t="s">
        <v>20</v>
      </c>
      <c r="AA65" t="s">
        <v>20</v>
      </c>
      <c r="AB65">
        <v>724</v>
      </c>
      <c r="AC65" t="s">
        <v>1314</v>
      </c>
      <c r="AD65" t="s">
        <v>20</v>
      </c>
      <c r="AE65" t="s">
        <v>1353</v>
      </c>
      <c r="AF65" t="s">
        <v>20</v>
      </c>
      <c r="AG65">
        <v>174.203</v>
      </c>
      <c r="AH65" t="s">
        <v>20</v>
      </c>
      <c r="AI65" t="s">
        <v>20</v>
      </c>
      <c r="AJ65">
        <v>849</v>
      </c>
      <c r="AK65" t="s">
        <v>1315</v>
      </c>
      <c r="AL65" t="s">
        <v>20</v>
      </c>
      <c r="AM65" t="s">
        <v>1354</v>
      </c>
      <c r="AN65" t="s">
        <v>20</v>
      </c>
      <c r="AO65">
        <v>119.119</v>
      </c>
      <c r="AP65" t="s">
        <v>20</v>
      </c>
      <c r="AQ65" t="s">
        <v>20</v>
      </c>
    </row>
    <row r="66" spans="1:43" x14ac:dyDescent="0.25">
      <c r="A66">
        <v>6</v>
      </c>
      <c r="B66" t="s">
        <v>18</v>
      </c>
      <c r="C66" t="str">
        <f>HYPERLINK("http://www.ncbi.nlm.nih.gov/protein/XP_040856903.1","XP_040856903.1")</f>
        <v>XP_040856903.1</v>
      </c>
      <c r="D66">
        <v>42386</v>
      </c>
      <c r="E66" t="str">
        <f>HYPERLINK("http://www.ncbi.nlm.nih.gov/Taxonomy/Browser/wwwtax.cgi?mode=Info&amp;id=130825&amp;lvl=3&amp;lin=f&amp;keep=1&amp;srchmode=1&amp;unlock","130825")</f>
        <v>130825</v>
      </c>
      <c r="F66" t="s">
        <v>18</v>
      </c>
      <c r="G66" t="str">
        <f>HYPERLINK("http://www.ncbi.nlm.nih.gov/Taxonomy/Browser/wwwtax.cgi?mode=Info&amp;id=130825&amp;lvl=3&amp;lin=f&amp;keep=1&amp;srchmode=1&amp;unlock","Ochotona curzoniae")</f>
        <v>Ochotona curzoniae</v>
      </c>
      <c r="H66" t="s">
        <v>350</v>
      </c>
      <c r="I66" t="str">
        <f>HYPERLINK("http://www.ncbi.nlm.nih.gov/protein/XP_040856903.1","androgen receptor isoform X1")</f>
        <v>androgen receptor isoform X1</v>
      </c>
      <c r="J66" t="s">
        <v>1312</v>
      </c>
      <c r="K66" t="s">
        <v>20</v>
      </c>
      <c r="L66">
        <v>681</v>
      </c>
      <c r="M66" t="s">
        <v>25</v>
      </c>
      <c r="N66" t="s">
        <v>20</v>
      </c>
      <c r="O66" t="s">
        <v>1352</v>
      </c>
      <c r="P66" t="s">
        <v>20</v>
      </c>
      <c r="Q66">
        <v>132.119</v>
      </c>
      <c r="R66" t="s">
        <v>20</v>
      </c>
      <c r="S66" t="s">
        <v>20</v>
      </c>
      <c r="T66">
        <v>687</v>
      </c>
      <c r="U66" t="s">
        <v>1313</v>
      </c>
      <c r="V66" t="s">
        <v>20</v>
      </c>
      <c r="W66" t="s">
        <v>1352</v>
      </c>
      <c r="X66" t="s">
        <v>20</v>
      </c>
      <c r="Y66">
        <v>146.14599999999999</v>
      </c>
      <c r="Z66" t="s">
        <v>20</v>
      </c>
      <c r="AA66" t="s">
        <v>20</v>
      </c>
      <c r="AB66">
        <v>728</v>
      </c>
      <c r="AC66" t="s">
        <v>1314</v>
      </c>
      <c r="AD66" t="s">
        <v>20</v>
      </c>
      <c r="AE66" t="s">
        <v>1353</v>
      </c>
      <c r="AF66" t="s">
        <v>20</v>
      </c>
      <c r="AG66">
        <v>174.203</v>
      </c>
      <c r="AH66" t="s">
        <v>20</v>
      </c>
      <c r="AI66" t="s">
        <v>20</v>
      </c>
      <c r="AJ66">
        <v>853</v>
      </c>
      <c r="AK66" t="s">
        <v>1315</v>
      </c>
      <c r="AL66" t="s">
        <v>20</v>
      </c>
      <c r="AM66" t="s">
        <v>1354</v>
      </c>
      <c r="AN66" t="s">
        <v>20</v>
      </c>
      <c r="AO66">
        <v>119.119</v>
      </c>
      <c r="AP66" t="s">
        <v>20</v>
      </c>
      <c r="AQ66" t="s">
        <v>20</v>
      </c>
    </row>
    <row r="67" spans="1:43" x14ac:dyDescent="0.25">
      <c r="A67">
        <v>6</v>
      </c>
      <c r="B67" t="s">
        <v>18</v>
      </c>
      <c r="C67" t="str">
        <f>HYPERLINK("http://www.ncbi.nlm.nih.gov/protein/XP_027791672.1","XP_027791672.1")</f>
        <v>XP_027791672.1</v>
      </c>
      <c r="D67">
        <v>37737</v>
      </c>
      <c r="E67" t="str">
        <f>HYPERLINK("http://www.ncbi.nlm.nih.gov/Taxonomy/Browser/wwwtax.cgi?mode=Info&amp;id=93162&amp;lvl=3&amp;lin=f&amp;keep=1&amp;srchmode=1&amp;unlock","93162")</f>
        <v>93162</v>
      </c>
      <c r="F67" t="s">
        <v>18</v>
      </c>
      <c r="G67" t="str">
        <f>HYPERLINK("http://www.ncbi.nlm.nih.gov/Taxonomy/Browser/wwwtax.cgi?mode=Info&amp;id=93162&amp;lvl=3&amp;lin=f&amp;keep=1&amp;srchmode=1&amp;unlock","Marmota flaviventris")</f>
        <v>Marmota flaviventris</v>
      </c>
      <c r="H67" t="s">
        <v>76</v>
      </c>
      <c r="I67" t="str">
        <f>HYPERLINK("http://www.ncbi.nlm.nih.gov/protein/XP_027791672.1","androgen receptor")</f>
        <v>androgen receptor</v>
      </c>
      <c r="J67" t="s">
        <v>1312</v>
      </c>
      <c r="K67" t="s">
        <v>20</v>
      </c>
      <c r="L67">
        <v>670</v>
      </c>
      <c r="M67" t="s">
        <v>25</v>
      </c>
      <c r="N67" t="s">
        <v>20</v>
      </c>
      <c r="O67" t="s">
        <v>1352</v>
      </c>
      <c r="P67" t="s">
        <v>20</v>
      </c>
      <c r="Q67">
        <v>132.119</v>
      </c>
      <c r="R67" t="s">
        <v>20</v>
      </c>
      <c r="S67" t="s">
        <v>20</v>
      </c>
      <c r="T67">
        <v>676</v>
      </c>
      <c r="U67" t="s">
        <v>1313</v>
      </c>
      <c r="V67" t="s">
        <v>20</v>
      </c>
      <c r="W67" t="s">
        <v>1352</v>
      </c>
      <c r="X67" t="s">
        <v>20</v>
      </c>
      <c r="Y67">
        <v>146.14599999999999</v>
      </c>
      <c r="Z67" t="s">
        <v>20</v>
      </c>
      <c r="AA67" t="s">
        <v>20</v>
      </c>
      <c r="AB67">
        <v>717</v>
      </c>
      <c r="AC67" t="s">
        <v>1314</v>
      </c>
      <c r="AD67" t="s">
        <v>20</v>
      </c>
      <c r="AE67" t="s">
        <v>1353</v>
      </c>
      <c r="AF67" t="s">
        <v>20</v>
      </c>
      <c r="AG67">
        <v>174.203</v>
      </c>
      <c r="AH67" t="s">
        <v>20</v>
      </c>
      <c r="AI67" t="s">
        <v>20</v>
      </c>
      <c r="AJ67">
        <v>842</v>
      </c>
      <c r="AK67" t="s">
        <v>1315</v>
      </c>
      <c r="AL67" t="s">
        <v>20</v>
      </c>
      <c r="AM67" t="s">
        <v>1354</v>
      </c>
      <c r="AN67" t="s">
        <v>20</v>
      </c>
      <c r="AO67">
        <v>119.119</v>
      </c>
      <c r="AP67" t="s">
        <v>20</v>
      </c>
      <c r="AQ67" t="s">
        <v>20</v>
      </c>
    </row>
    <row r="68" spans="1:43" x14ac:dyDescent="0.25">
      <c r="A68">
        <v>6</v>
      </c>
      <c r="B68" t="s">
        <v>18</v>
      </c>
      <c r="C68" t="str">
        <f>HYPERLINK("http://www.ncbi.nlm.nih.gov/protein/XP_004595261.1","XP_004595261.1")</f>
        <v>XP_004595261.1</v>
      </c>
      <c r="D68">
        <v>30035</v>
      </c>
      <c r="E68" t="str">
        <f>HYPERLINK("http://www.ncbi.nlm.nih.gov/Taxonomy/Browser/wwwtax.cgi?mode=Info&amp;id=9978&amp;lvl=3&amp;lin=f&amp;keep=1&amp;srchmode=1&amp;unlock","9978")</f>
        <v>9978</v>
      </c>
      <c r="F68" t="s">
        <v>18</v>
      </c>
      <c r="G68" t="str">
        <f>HYPERLINK("http://www.ncbi.nlm.nih.gov/Taxonomy/Browser/wwwtax.cgi?mode=Info&amp;id=9978&amp;lvl=3&amp;lin=f&amp;keep=1&amp;srchmode=1&amp;unlock","Ochotona princeps")</f>
        <v>Ochotona princeps</v>
      </c>
      <c r="H68" t="s">
        <v>417</v>
      </c>
      <c r="I68" t="str">
        <f>HYPERLINK("http://www.ncbi.nlm.nih.gov/protein/XP_004595261.1","androgen receptor")</f>
        <v>androgen receptor</v>
      </c>
      <c r="J68" t="s">
        <v>1312</v>
      </c>
      <c r="K68" t="s">
        <v>20</v>
      </c>
      <c r="L68">
        <v>680</v>
      </c>
      <c r="M68" t="s">
        <v>25</v>
      </c>
      <c r="N68" t="s">
        <v>20</v>
      </c>
      <c r="O68" t="s">
        <v>1352</v>
      </c>
      <c r="P68" t="s">
        <v>20</v>
      </c>
      <c r="Q68">
        <v>132.119</v>
      </c>
      <c r="R68" t="s">
        <v>20</v>
      </c>
      <c r="S68" t="s">
        <v>20</v>
      </c>
      <c r="T68">
        <v>686</v>
      </c>
      <c r="U68" t="s">
        <v>1313</v>
      </c>
      <c r="V68" t="s">
        <v>20</v>
      </c>
      <c r="W68" t="s">
        <v>1352</v>
      </c>
      <c r="X68" t="s">
        <v>20</v>
      </c>
      <c r="Y68">
        <v>146.14599999999999</v>
      </c>
      <c r="Z68" t="s">
        <v>20</v>
      </c>
      <c r="AA68" t="s">
        <v>20</v>
      </c>
      <c r="AB68">
        <v>727</v>
      </c>
      <c r="AC68" t="s">
        <v>1314</v>
      </c>
      <c r="AD68" t="s">
        <v>20</v>
      </c>
      <c r="AE68" t="s">
        <v>1353</v>
      </c>
      <c r="AF68" t="s">
        <v>20</v>
      </c>
      <c r="AG68">
        <v>174.203</v>
      </c>
      <c r="AH68" t="s">
        <v>20</v>
      </c>
      <c r="AI68" t="s">
        <v>20</v>
      </c>
      <c r="AJ68">
        <v>852</v>
      </c>
      <c r="AK68" t="s">
        <v>1315</v>
      </c>
      <c r="AL68" t="s">
        <v>20</v>
      </c>
      <c r="AM68" t="s">
        <v>1354</v>
      </c>
      <c r="AN68" t="s">
        <v>20</v>
      </c>
      <c r="AO68">
        <v>119.119</v>
      </c>
      <c r="AP68" t="s">
        <v>20</v>
      </c>
      <c r="AQ68" t="s">
        <v>20</v>
      </c>
    </row>
    <row r="69" spans="1:43" x14ac:dyDescent="0.25">
      <c r="A69">
        <v>6</v>
      </c>
      <c r="B69" t="s">
        <v>18</v>
      </c>
      <c r="C69" t="str">
        <f>HYPERLINK("http://www.ncbi.nlm.nih.gov/protein/XP_004000624.2","XP_004000624.2")</f>
        <v>XP_004000624.2</v>
      </c>
      <c r="D69">
        <v>57528</v>
      </c>
      <c r="E69" t="str">
        <f>HYPERLINK("http://www.ncbi.nlm.nih.gov/Taxonomy/Browser/wwwtax.cgi?mode=Info&amp;id=9685&amp;lvl=3&amp;lin=f&amp;keep=1&amp;srchmode=1&amp;unlock","9685")</f>
        <v>9685</v>
      </c>
      <c r="F69" t="s">
        <v>18</v>
      </c>
      <c r="G69" t="str">
        <f>HYPERLINK("http://www.ncbi.nlm.nih.gov/Taxonomy/Browser/wwwtax.cgi?mode=Info&amp;id=9685&amp;lvl=3&amp;lin=f&amp;keep=1&amp;srchmode=1&amp;unlock","Felis catus")</f>
        <v>Felis catus</v>
      </c>
      <c r="H69" t="s">
        <v>60</v>
      </c>
      <c r="I69" t="str">
        <f>HYPERLINK("http://www.ncbi.nlm.nih.gov/protein/XP_004000624.2","androgen receptor isoform X1")</f>
        <v>androgen receptor isoform X1</v>
      </c>
      <c r="J69" t="s">
        <v>1312</v>
      </c>
      <c r="K69" t="s">
        <v>20</v>
      </c>
      <c r="L69">
        <v>689</v>
      </c>
      <c r="M69" t="s">
        <v>25</v>
      </c>
      <c r="N69" t="s">
        <v>20</v>
      </c>
      <c r="O69" t="s">
        <v>1352</v>
      </c>
      <c r="P69" t="s">
        <v>20</v>
      </c>
      <c r="Q69">
        <v>132.119</v>
      </c>
      <c r="R69" t="s">
        <v>20</v>
      </c>
      <c r="S69" t="s">
        <v>20</v>
      </c>
      <c r="T69">
        <v>695</v>
      </c>
      <c r="U69" t="s">
        <v>1313</v>
      </c>
      <c r="V69" t="s">
        <v>20</v>
      </c>
      <c r="W69" t="s">
        <v>1352</v>
      </c>
      <c r="X69" t="s">
        <v>20</v>
      </c>
      <c r="Y69">
        <v>146.14599999999999</v>
      </c>
      <c r="Z69" t="s">
        <v>20</v>
      </c>
      <c r="AA69" t="s">
        <v>20</v>
      </c>
      <c r="AB69">
        <v>736</v>
      </c>
      <c r="AC69" t="s">
        <v>1314</v>
      </c>
      <c r="AD69" t="s">
        <v>20</v>
      </c>
      <c r="AE69" t="s">
        <v>1353</v>
      </c>
      <c r="AF69" t="s">
        <v>20</v>
      </c>
      <c r="AG69">
        <v>174.203</v>
      </c>
      <c r="AH69" t="s">
        <v>20</v>
      </c>
      <c r="AI69" t="s">
        <v>20</v>
      </c>
      <c r="AJ69">
        <v>861</v>
      </c>
      <c r="AK69" t="s">
        <v>1315</v>
      </c>
      <c r="AL69" t="s">
        <v>20</v>
      </c>
      <c r="AM69" t="s">
        <v>1354</v>
      </c>
      <c r="AN69" t="s">
        <v>20</v>
      </c>
      <c r="AO69">
        <v>119.119</v>
      </c>
      <c r="AP69" t="s">
        <v>20</v>
      </c>
      <c r="AQ69" t="s">
        <v>20</v>
      </c>
    </row>
    <row r="70" spans="1:43" x14ac:dyDescent="0.25">
      <c r="A70">
        <v>6</v>
      </c>
      <c r="B70" t="s">
        <v>18</v>
      </c>
      <c r="C70" t="str">
        <f>HYPERLINK("http://www.ncbi.nlm.nih.gov/protein/Q9GKL7.3","Q9GKL7.3")</f>
        <v>Q9GKL7.3</v>
      </c>
      <c r="D70">
        <v>83623</v>
      </c>
      <c r="E70" t="str">
        <f>HYPERLINK("http://www.ncbi.nlm.nih.gov/Taxonomy/Browser/wwwtax.cgi?mode=Info&amp;id=9823&amp;lvl=3&amp;lin=f&amp;keep=1&amp;srchmode=1&amp;unlock","9823")</f>
        <v>9823</v>
      </c>
      <c r="F70" t="s">
        <v>18</v>
      </c>
      <c r="G70" t="str">
        <f>HYPERLINK("http://www.ncbi.nlm.nih.gov/Taxonomy/Browser/wwwtax.cgi?mode=Info&amp;id=9823&amp;lvl=3&amp;lin=f&amp;keep=1&amp;srchmode=1&amp;unlock","Sus scrofa")</f>
        <v>Sus scrofa</v>
      </c>
      <c r="H70" t="s">
        <v>55</v>
      </c>
      <c r="I70" t="str">
        <f>HYPERLINK("http://www.ncbi.nlm.nih.gov/protein/Q9GKL7.3","RecName: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70" t="s">
        <v>1312</v>
      </c>
      <c r="K70" t="s">
        <v>20</v>
      </c>
      <c r="L70">
        <v>682</v>
      </c>
      <c r="M70" t="s">
        <v>25</v>
      </c>
      <c r="N70" t="s">
        <v>20</v>
      </c>
      <c r="O70" t="s">
        <v>1352</v>
      </c>
      <c r="P70" t="s">
        <v>20</v>
      </c>
      <c r="Q70">
        <v>132.119</v>
      </c>
      <c r="R70" t="s">
        <v>20</v>
      </c>
      <c r="S70" t="s">
        <v>20</v>
      </c>
      <c r="T70">
        <v>688</v>
      </c>
      <c r="U70" t="s">
        <v>1313</v>
      </c>
      <c r="V70" t="s">
        <v>20</v>
      </c>
      <c r="W70" t="s">
        <v>1352</v>
      </c>
      <c r="X70" t="s">
        <v>20</v>
      </c>
      <c r="Y70">
        <v>146.14599999999999</v>
      </c>
      <c r="Z70" t="s">
        <v>20</v>
      </c>
      <c r="AA70" t="s">
        <v>20</v>
      </c>
      <c r="AB70">
        <v>729</v>
      </c>
      <c r="AC70" t="s">
        <v>1314</v>
      </c>
      <c r="AD70" t="s">
        <v>20</v>
      </c>
      <c r="AE70" t="s">
        <v>1353</v>
      </c>
      <c r="AF70" t="s">
        <v>20</v>
      </c>
      <c r="AG70">
        <v>174.203</v>
      </c>
      <c r="AH70" t="s">
        <v>20</v>
      </c>
      <c r="AI70" t="s">
        <v>20</v>
      </c>
      <c r="AJ70">
        <v>854</v>
      </c>
      <c r="AK70" t="s">
        <v>1315</v>
      </c>
      <c r="AL70" t="s">
        <v>20</v>
      </c>
      <c r="AM70" t="s">
        <v>1354</v>
      </c>
      <c r="AN70" t="s">
        <v>20</v>
      </c>
      <c r="AO70">
        <v>119.119</v>
      </c>
      <c r="AP70" t="s">
        <v>20</v>
      </c>
      <c r="AQ70" t="s">
        <v>20</v>
      </c>
    </row>
    <row r="71" spans="1:43" x14ac:dyDescent="0.25">
      <c r="A71">
        <v>6</v>
      </c>
      <c r="B71" t="s">
        <v>18</v>
      </c>
      <c r="C71" t="str">
        <f>HYPERLINK("http://www.ncbi.nlm.nih.gov/protein/XP_036126901.1","XP_036126901.1")</f>
        <v>XP_036126901.1</v>
      </c>
      <c r="D71">
        <v>96162</v>
      </c>
      <c r="E71" t="str">
        <f>HYPERLINK("http://www.ncbi.nlm.nih.gov/Taxonomy/Browser/wwwtax.cgi?mode=Info&amp;id=27622&amp;lvl=3&amp;lin=f&amp;keep=1&amp;srchmode=1&amp;unlock","27622")</f>
        <v>27622</v>
      </c>
      <c r="F71" t="s">
        <v>18</v>
      </c>
      <c r="G71" t="str">
        <f>HYPERLINK("http://www.ncbi.nlm.nih.gov/Taxonomy/Browser/wwwtax.cgi?mode=Info&amp;id=27622&amp;lvl=3&amp;lin=f&amp;keep=1&amp;srchmode=1&amp;unlock","Molossus molossus")</f>
        <v>Molossus molossus</v>
      </c>
      <c r="H71" t="s">
        <v>112</v>
      </c>
      <c r="I71" t="str">
        <f>HYPERLINK("http://www.ncbi.nlm.nih.gov/protein/XP_036126901.1","androgen receptor isoform X2")</f>
        <v>androgen receptor isoform X2</v>
      </c>
      <c r="J71" t="s">
        <v>1312</v>
      </c>
      <c r="K71" t="s">
        <v>20</v>
      </c>
      <c r="L71">
        <v>677</v>
      </c>
      <c r="M71" t="s">
        <v>25</v>
      </c>
      <c r="N71" t="s">
        <v>20</v>
      </c>
      <c r="O71" t="s">
        <v>1352</v>
      </c>
      <c r="P71" t="s">
        <v>20</v>
      </c>
      <c r="Q71">
        <v>132.119</v>
      </c>
      <c r="R71" t="s">
        <v>20</v>
      </c>
      <c r="S71" t="s">
        <v>20</v>
      </c>
      <c r="T71">
        <v>683</v>
      </c>
      <c r="U71" t="s">
        <v>1313</v>
      </c>
      <c r="V71" t="s">
        <v>20</v>
      </c>
      <c r="W71" t="s">
        <v>1352</v>
      </c>
      <c r="X71" t="s">
        <v>20</v>
      </c>
      <c r="Y71">
        <v>146.14599999999999</v>
      </c>
      <c r="Z71" t="s">
        <v>20</v>
      </c>
      <c r="AA71" t="s">
        <v>20</v>
      </c>
      <c r="AB71">
        <v>724</v>
      </c>
      <c r="AC71" t="s">
        <v>1314</v>
      </c>
      <c r="AD71" t="s">
        <v>20</v>
      </c>
      <c r="AE71" t="s">
        <v>1353</v>
      </c>
      <c r="AF71" t="s">
        <v>20</v>
      </c>
      <c r="AG71">
        <v>174.203</v>
      </c>
      <c r="AH71" t="s">
        <v>20</v>
      </c>
      <c r="AI71" t="s">
        <v>20</v>
      </c>
      <c r="AJ71">
        <v>849</v>
      </c>
      <c r="AK71" t="s">
        <v>1315</v>
      </c>
      <c r="AL71" t="s">
        <v>20</v>
      </c>
      <c r="AM71" t="s">
        <v>1354</v>
      </c>
      <c r="AN71" t="s">
        <v>20</v>
      </c>
      <c r="AO71">
        <v>119.119</v>
      </c>
      <c r="AP71" t="s">
        <v>20</v>
      </c>
      <c r="AQ71" t="s">
        <v>20</v>
      </c>
    </row>
    <row r="72" spans="1:43" x14ac:dyDescent="0.25">
      <c r="A72">
        <v>6</v>
      </c>
      <c r="B72" t="s">
        <v>18</v>
      </c>
      <c r="C72" t="str">
        <f>HYPERLINK("http://www.ncbi.nlm.nih.gov/protein/XP_019284124.1","XP_019284124.1")</f>
        <v>XP_019284124.1</v>
      </c>
      <c r="D72">
        <v>58570</v>
      </c>
      <c r="E72" t="str">
        <f>HYPERLINK("http://www.ncbi.nlm.nih.gov/Taxonomy/Browser/wwwtax.cgi?mode=Info&amp;id=9691&amp;lvl=3&amp;lin=f&amp;keep=1&amp;srchmode=1&amp;unlock","9691")</f>
        <v>9691</v>
      </c>
      <c r="F72" t="s">
        <v>18</v>
      </c>
      <c r="G72" t="str">
        <f>HYPERLINK("http://www.ncbi.nlm.nih.gov/Taxonomy/Browser/wwwtax.cgi?mode=Info&amp;id=9691&amp;lvl=3&amp;lin=f&amp;keep=1&amp;srchmode=1&amp;unlock","Panthera pardus")</f>
        <v>Panthera pardus</v>
      </c>
      <c r="H72" t="s">
        <v>75</v>
      </c>
      <c r="I72" t="str">
        <f>HYPERLINK("http://www.ncbi.nlm.nih.gov/protein/XP_019284124.1","PREDICTED: androgen receptor isoform X1")</f>
        <v>PREDICTED: androgen receptor isoform X1</v>
      </c>
      <c r="J72" t="s">
        <v>1312</v>
      </c>
      <c r="K72" t="s">
        <v>20</v>
      </c>
      <c r="L72">
        <v>698</v>
      </c>
      <c r="M72" t="s">
        <v>25</v>
      </c>
      <c r="N72" t="s">
        <v>20</v>
      </c>
      <c r="O72" t="s">
        <v>1352</v>
      </c>
      <c r="P72" t="s">
        <v>20</v>
      </c>
      <c r="Q72">
        <v>132.119</v>
      </c>
      <c r="R72" t="s">
        <v>20</v>
      </c>
      <c r="S72" t="s">
        <v>20</v>
      </c>
      <c r="T72">
        <v>704</v>
      </c>
      <c r="U72" t="s">
        <v>1313</v>
      </c>
      <c r="V72" t="s">
        <v>20</v>
      </c>
      <c r="W72" t="s">
        <v>1352</v>
      </c>
      <c r="X72" t="s">
        <v>20</v>
      </c>
      <c r="Y72">
        <v>146.14599999999999</v>
      </c>
      <c r="Z72" t="s">
        <v>20</v>
      </c>
      <c r="AA72" t="s">
        <v>20</v>
      </c>
      <c r="AB72">
        <v>745</v>
      </c>
      <c r="AC72" t="s">
        <v>1314</v>
      </c>
      <c r="AD72" t="s">
        <v>20</v>
      </c>
      <c r="AE72" t="s">
        <v>1353</v>
      </c>
      <c r="AF72" t="s">
        <v>20</v>
      </c>
      <c r="AG72">
        <v>174.203</v>
      </c>
      <c r="AH72" t="s">
        <v>20</v>
      </c>
      <c r="AI72" t="s">
        <v>20</v>
      </c>
      <c r="AJ72">
        <v>870</v>
      </c>
      <c r="AK72" t="s">
        <v>1315</v>
      </c>
      <c r="AL72" t="s">
        <v>20</v>
      </c>
      <c r="AM72" t="s">
        <v>1354</v>
      </c>
      <c r="AN72" t="s">
        <v>20</v>
      </c>
      <c r="AO72">
        <v>119.119</v>
      </c>
      <c r="AP72" t="s">
        <v>20</v>
      </c>
      <c r="AQ72" t="s">
        <v>20</v>
      </c>
    </row>
    <row r="73" spans="1:43" x14ac:dyDescent="0.25">
      <c r="A73">
        <v>6</v>
      </c>
      <c r="B73" t="s">
        <v>18</v>
      </c>
      <c r="C73" t="str">
        <f>HYPERLINK("http://www.ncbi.nlm.nih.gov/protein/XP_005335252.1","XP_005335252.1")</f>
        <v>XP_005335252.1</v>
      </c>
      <c r="D73">
        <v>94507</v>
      </c>
      <c r="E73" t="str">
        <f>HYPERLINK("http://www.ncbi.nlm.nih.gov/Taxonomy/Browser/wwwtax.cgi?mode=Info&amp;id=43179&amp;lvl=3&amp;lin=f&amp;keep=1&amp;srchmode=1&amp;unlock","43179")</f>
        <v>43179</v>
      </c>
      <c r="F73" t="s">
        <v>18</v>
      </c>
      <c r="G73" t="str">
        <f>HYPERLINK("http://www.ncbi.nlm.nih.gov/Taxonomy/Browser/wwwtax.cgi?mode=Info&amp;id=43179&amp;lvl=3&amp;lin=f&amp;keep=1&amp;srchmode=1&amp;unlock","Ictidomys tridecemlineatus")</f>
        <v>Ictidomys tridecemlineatus</v>
      </c>
      <c r="H73" t="s">
        <v>78</v>
      </c>
      <c r="I73" t="str">
        <f>HYPERLINK("http://www.ncbi.nlm.nih.gov/protein/XP_005335252.1","androgen receptor")</f>
        <v>androgen receptor</v>
      </c>
      <c r="J73" t="s">
        <v>1312</v>
      </c>
      <c r="K73" t="s">
        <v>20</v>
      </c>
      <c r="L73">
        <v>670</v>
      </c>
      <c r="M73" t="s">
        <v>25</v>
      </c>
      <c r="N73" t="s">
        <v>20</v>
      </c>
      <c r="O73" t="s">
        <v>1352</v>
      </c>
      <c r="P73" t="s">
        <v>20</v>
      </c>
      <c r="Q73">
        <v>132.119</v>
      </c>
      <c r="R73" t="s">
        <v>20</v>
      </c>
      <c r="S73" t="s">
        <v>20</v>
      </c>
      <c r="T73">
        <v>676</v>
      </c>
      <c r="U73" t="s">
        <v>1313</v>
      </c>
      <c r="V73" t="s">
        <v>20</v>
      </c>
      <c r="W73" t="s">
        <v>1352</v>
      </c>
      <c r="X73" t="s">
        <v>20</v>
      </c>
      <c r="Y73">
        <v>146.14599999999999</v>
      </c>
      <c r="Z73" t="s">
        <v>20</v>
      </c>
      <c r="AA73" t="s">
        <v>20</v>
      </c>
      <c r="AB73">
        <v>717</v>
      </c>
      <c r="AC73" t="s">
        <v>1314</v>
      </c>
      <c r="AD73" t="s">
        <v>20</v>
      </c>
      <c r="AE73" t="s">
        <v>1353</v>
      </c>
      <c r="AF73" t="s">
        <v>20</v>
      </c>
      <c r="AG73">
        <v>174.203</v>
      </c>
      <c r="AH73" t="s">
        <v>20</v>
      </c>
      <c r="AI73" t="s">
        <v>20</v>
      </c>
      <c r="AJ73">
        <v>842</v>
      </c>
      <c r="AK73" t="s">
        <v>1315</v>
      </c>
      <c r="AL73" t="s">
        <v>20</v>
      </c>
      <c r="AM73" t="s">
        <v>1354</v>
      </c>
      <c r="AN73" t="s">
        <v>20</v>
      </c>
      <c r="AO73">
        <v>119.119</v>
      </c>
      <c r="AP73" t="s">
        <v>20</v>
      </c>
      <c r="AQ73" t="s">
        <v>20</v>
      </c>
    </row>
    <row r="74" spans="1:43" x14ac:dyDescent="0.25">
      <c r="A74">
        <v>6</v>
      </c>
      <c r="B74" t="s">
        <v>18</v>
      </c>
      <c r="C74" t="str">
        <f>HYPERLINK("http://www.ncbi.nlm.nih.gov/protein/XP_034341416.1","XP_034341416.1")</f>
        <v>XP_034341416.1</v>
      </c>
      <c r="D74">
        <v>41675</v>
      </c>
      <c r="E74" t="str">
        <f>HYPERLINK("http://www.ncbi.nlm.nih.gov/Taxonomy/Browser/wwwtax.cgi?mode=Info&amp;id=61156&amp;lvl=3&amp;lin=f&amp;keep=1&amp;srchmode=1&amp;unlock","61156")</f>
        <v>61156</v>
      </c>
      <c r="F74" t="s">
        <v>18</v>
      </c>
      <c r="G74" t="str">
        <f>HYPERLINK("http://www.ncbi.nlm.nih.gov/Taxonomy/Browser/wwwtax.cgi?mode=Info&amp;id=61156&amp;lvl=3&amp;lin=f&amp;keep=1&amp;srchmode=1&amp;unlock","Arvicanthis niloticus")</f>
        <v>Arvicanthis niloticus</v>
      </c>
      <c r="H74" t="s">
        <v>130</v>
      </c>
      <c r="I74" t="str">
        <f>HYPERLINK("http://www.ncbi.nlm.nih.gov/protein/XP_034341416.1","androgen receptor")</f>
        <v>androgen receptor</v>
      </c>
      <c r="J74" t="s">
        <v>1312</v>
      </c>
      <c r="K74" t="s">
        <v>20</v>
      </c>
      <c r="L74">
        <v>687</v>
      </c>
      <c r="M74" t="s">
        <v>25</v>
      </c>
      <c r="N74" t="s">
        <v>20</v>
      </c>
      <c r="O74" t="s">
        <v>1352</v>
      </c>
      <c r="P74" t="s">
        <v>20</v>
      </c>
      <c r="Q74">
        <v>132.119</v>
      </c>
      <c r="R74" t="s">
        <v>20</v>
      </c>
      <c r="S74" t="s">
        <v>20</v>
      </c>
      <c r="T74">
        <v>693</v>
      </c>
      <c r="U74" t="s">
        <v>1313</v>
      </c>
      <c r="V74" t="s">
        <v>20</v>
      </c>
      <c r="W74" t="s">
        <v>1352</v>
      </c>
      <c r="X74" t="s">
        <v>20</v>
      </c>
      <c r="Y74">
        <v>146.14599999999999</v>
      </c>
      <c r="Z74" t="s">
        <v>20</v>
      </c>
      <c r="AA74" t="s">
        <v>20</v>
      </c>
      <c r="AB74">
        <v>734</v>
      </c>
      <c r="AC74" t="s">
        <v>1314</v>
      </c>
      <c r="AD74" t="s">
        <v>20</v>
      </c>
      <c r="AE74" t="s">
        <v>1353</v>
      </c>
      <c r="AF74" t="s">
        <v>20</v>
      </c>
      <c r="AG74">
        <v>174.203</v>
      </c>
      <c r="AH74" t="s">
        <v>20</v>
      </c>
      <c r="AI74" t="s">
        <v>20</v>
      </c>
      <c r="AJ74">
        <v>859</v>
      </c>
      <c r="AK74" t="s">
        <v>1315</v>
      </c>
      <c r="AL74" t="s">
        <v>20</v>
      </c>
      <c r="AM74" t="s">
        <v>1354</v>
      </c>
      <c r="AN74" t="s">
        <v>20</v>
      </c>
      <c r="AO74">
        <v>119.119</v>
      </c>
      <c r="AP74" t="s">
        <v>20</v>
      </c>
      <c r="AQ74" t="s">
        <v>20</v>
      </c>
    </row>
    <row r="75" spans="1:43" x14ac:dyDescent="0.25">
      <c r="A75">
        <v>6</v>
      </c>
      <c r="B75" t="s">
        <v>18</v>
      </c>
      <c r="C75" t="str">
        <f>HYPERLINK("http://www.ncbi.nlm.nih.gov/protein/XP_026640574.1","XP_026640574.1")</f>
        <v>XP_026640574.1</v>
      </c>
      <c r="D75">
        <v>38011</v>
      </c>
      <c r="E75" t="str">
        <f>HYPERLINK("http://www.ncbi.nlm.nih.gov/Taxonomy/Browser/wwwtax.cgi?mode=Info&amp;id=79684&amp;lvl=3&amp;lin=f&amp;keep=1&amp;srchmode=1&amp;unlock","79684")</f>
        <v>79684</v>
      </c>
      <c r="F75" t="s">
        <v>18</v>
      </c>
      <c r="G75" t="str">
        <f>HYPERLINK("http://www.ncbi.nlm.nih.gov/Taxonomy/Browser/wwwtax.cgi?mode=Info&amp;id=79684&amp;lvl=3&amp;lin=f&amp;keep=1&amp;srchmode=1&amp;unlock","Microtus ochrogaster")</f>
        <v>Microtus ochrogaster</v>
      </c>
      <c r="H75" t="s">
        <v>141</v>
      </c>
      <c r="I75" t="str">
        <f>HYPERLINK("http://www.ncbi.nlm.nih.gov/protein/XP_026640574.1","androgen receptor isoform X2")</f>
        <v>androgen receptor isoform X2</v>
      </c>
      <c r="J75" t="s">
        <v>1312</v>
      </c>
      <c r="K75" t="s">
        <v>20</v>
      </c>
      <c r="L75">
        <v>702</v>
      </c>
      <c r="M75" t="s">
        <v>25</v>
      </c>
      <c r="N75" t="s">
        <v>20</v>
      </c>
      <c r="O75" t="s">
        <v>1352</v>
      </c>
      <c r="P75" t="s">
        <v>20</v>
      </c>
      <c r="Q75">
        <v>132.119</v>
      </c>
      <c r="R75" t="s">
        <v>20</v>
      </c>
      <c r="S75" t="s">
        <v>20</v>
      </c>
      <c r="T75">
        <v>708</v>
      </c>
      <c r="U75" t="s">
        <v>1313</v>
      </c>
      <c r="V75" t="s">
        <v>20</v>
      </c>
      <c r="W75" t="s">
        <v>1352</v>
      </c>
      <c r="X75" t="s">
        <v>20</v>
      </c>
      <c r="Y75">
        <v>146.14599999999999</v>
      </c>
      <c r="Z75" t="s">
        <v>20</v>
      </c>
      <c r="AA75" t="s">
        <v>20</v>
      </c>
      <c r="AB75">
        <v>749</v>
      </c>
      <c r="AC75" t="s">
        <v>1314</v>
      </c>
      <c r="AD75" t="s">
        <v>20</v>
      </c>
      <c r="AE75" t="s">
        <v>1353</v>
      </c>
      <c r="AF75" t="s">
        <v>20</v>
      </c>
      <c r="AG75">
        <v>174.203</v>
      </c>
      <c r="AH75" t="s">
        <v>20</v>
      </c>
      <c r="AI75" t="s">
        <v>20</v>
      </c>
      <c r="AJ75">
        <v>874</v>
      </c>
      <c r="AK75" t="s">
        <v>1315</v>
      </c>
      <c r="AL75" t="s">
        <v>20</v>
      </c>
      <c r="AM75" t="s">
        <v>1354</v>
      </c>
      <c r="AN75" t="s">
        <v>20</v>
      </c>
      <c r="AO75">
        <v>119.119</v>
      </c>
      <c r="AP75" t="s">
        <v>20</v>
      </c>
      <c r="AQ75" t="s">
        <v>20</v>
      </c>
    </row>
    <row r="76" spans="1:43" x14ac:dyDescent="0.25">
      <c r="A76">
        <v>6</v>
      </c>
      <c r="B76" t="s">
        <v>18</v>
      </c>
      <c r="C76" t="str">
        <f>HYPERLINK("http://www.ncbi.nlm.nih.gov/protein/XP_032969878.1","XP_032969878.1")</f>
        <v>XP_032969878.1</v>
      </c>
      <c r="D76">
        <v>90503</v>
      </c>
      <c r="E76" t="str">
        <f>HYPERLINK("http://www.ncbi.nlm.nih.gov/Taxonomy/Browser/wwwtax.cgi?mode=Info&amp;id=59479&amp;lvl=3&amp;lin=f&amp;keep=1&amp;srchmode=1&amp;unlock","59479")</f>
        <v>59479</v>
      </c>
      <c r="F76" t="s">
        <v>18</v>
      </c>
      <c r="G76" t="str">
        <f>HYPERLINK("http://www.ncbi.nlm.nih.gov/Taxonomy/Browser/wwwtax.cgi?mode=Info&amp;id=59479&amp;lvl=3&amp;lin=f&amp;keep=1&amp;srchmode=1&amp;unlock","Rhinolophus ferrumequinum")</f>
        <v>Rhinolophus ferrumequinum</v>
      </c>
      <c r="H76" t="s">
        <v>89</v>
      </c>
      <c r="I76" t="str">
        <f>HYPERLINK("http://www.ncbi.nlm.nih.gov/protein/XP_032969878.1","androgen receptor")</f>
        <v>androgen receptor</v>
      </c>
      <c r="J76" t="s">
        <v>1312</v>
      </c>
      <c r="K76" t="s">
        <v>20</v>
      </c>
      <c r="L76">
        <v>679</v>
      </c>
      <c r="M76" t="s">
        <v>25</v>
      </c>
      <c r="N76" t="s">
        <v>20</v>
      </c>
      <c r="O76" t="s">
        <v>1352</v>
      </c>
      <c r="P76" t="s">
        <v>20</v>
      </c>
      <c r="Q76">
        <v>132.119</v>
      </c>
      <c r="R76" t="s">
        <v>20</v>
      </c>
      <c r="S76" t="s">
        <v>20</v>
      </c>
      <c r="T76">
        <v>685</v>
      </c>
      <c r="U76" t="s">
        <v>1313</v>
      </c>
      <c r="V76" t="s">
        <v>20</v>
      </c>
      <c r="W76" t="s">
        <v>1352</v>
      </c>
      <c r="X76" t="s">
        <v>20</v>
      </c>
      <c r="Y76">
        <v>146.14599999999999</v>
      </c>
      <c r="Z76" t="s">
        <v>20</v>
      </c>
      <c r="AA76" t="s">
        <v>20</v>
      </c>
      <c r="AB76">
        <v>726</v>
      </c>
      <c r="AC76" t="s">
        <v>1314</v>
      </c>
      <c r="AD76" t="s">
        <v>20</v>
      </c>
      <c r="AE76" t="s">
        <v>1353</v>
      </c>
      <c r="AF76" t="s">
        <v>20</v>
      </c>
      <c r="AG76">
        <v>174.203</v>
      </c>
      <c r="AH76" t="s">
        <v>20</v>
      </c>
      <c r="AI76" t="s">
        <v>20</v>
      </c>
      <c r="AJ76">
        <v>851</v>
      </c>
      <c r="AK76" t="s">
        <v>1315</v>
      </c>
      <c r="AL76" t="s">
        <v>20</v>
      </c>
      <c r="AM76" t="s">
        <v>1354</v>
      </c>
      <c r="AN76" t="s">
        <v>20</v>
      </c>
      <c r="AO76">
        <v>119.119</v>
      </c>
      <c r="AP76" t="s">
        <v>20</v>
      </c>
      <c r="AQ76" t="s">
        <v>20</v>
      </c>
    </row>
    <row r="77" spans="1:43" x14ac:dyDescent="0.25">
      <c r="A77">
        <v>6</v>
      </c>
      <c r="B77" t="s">
        <v>18</v>
      </c>
      <c r="C77" t="str">
        <f>HYPERLINK("http://www.ncbi.nlm.nih.gov/protein/XP_003412790.1","XP_003412790.1")</f>
        <v>XP_003412790.1</v>
      </c>
      <c r="D77">
        <v>41920</v>
      </c>
      <c r="E77" t="str">
        <f>HYPERLINK("http://www.ncbi.nlm.nih.gov/Taxonomy/Browser/wwwtax.cgi?mode=Info&amp;id=9785&amp;lvl=3&amp;lin=f&amp;keep=1&amp;srchmode=1&amp;unlock","9785")</f>
        <v>9785</v>
      </c>
      <c r="F77" t="s">
        <v>18</v>
      </c>
      <c r="G77" t="str">
        <f>HYPERLINK("http://www.ncbi.nlm.nih.gov/Taxonomy/Browser/wwwtax.cgi?mode=Info&amp;id=9785&amp;lvl=3&amp;lin=f&amp;keep=1&amp;srchmode=1&amp;unlock","Loxodonta africana")</f>
        <v>Loxodonta africana</v>
      </c>
      <c r="H77" t="s">
        <v>120</v>
      </c>
      <c r="I77" t="str">
        <f>HYPERLINK("http://www.ncbi.nlm.nih.gov/protein/XP_003412790.1","androgen receptor isoform X1")</f>
        <v>androgen receptor isoform X1</v>
      </c>
      <c r="J77" t="s">
        <v>1312</v>
      </c>
      <c r="K77" t="s">
        <v>20</v>
      </c>
      <c r="L77">
        <v>683</v>
      </c>
      <c r="M77" t="s">
        <v>25</v>
      </c>
      <c r="N77" t="s">
        <v>20</v>
      </c>
      <c r="O77" t="s">
        <v>1352</v>
      </c>
      <c r="P77" t="s">
        <v>20</v>
      </c>
      <c r="Q77">
        <v>132.119</v>
      </c>
      <c r="R77" t="s">
        <v>20</v>
      </c>
      <c r="S77" t="s">
        <v>20</v>
      </c>
      <c r="T77">
        <v>689</v>
      </c>
      <c r="U77" t="s">
        <v>1313</v>
      </c>
      <c r="V77" t="s">
        <v>20</v>
      </c>
      <c r="W77" t="s">
        <v>1352</v>
      </c>
      <c r="X77" t="s">
        <v>20</v>
      </c>
      <c r="Y77">
        <v>146.14599999999999</v>
      </c>
      <c r="Z77" t="s">
        <v>20</v>
      </c>
      <c r="AA77" t="s">
        <v>20</v>
      </c>
      <c r="AB77">
        <v>730</v>
      </c>
      <c r="AC77" t="s">
        <v>1314</v>
      </c>
      <c r="AD77" t="s">
        <v>20</v>
      </c>
      <c r="AE77" t="s">
        <v>1353</v>
      </c>
      <c r="AF77" t="s">
        <v>20</v>
      </c>
      <c r="AG77">
        <v>174.203</v>
      </c>
      <c r="AH77" t="s">
        <v>20</v>
      </c>
      <c r="AI77" t="s">
        <v>20</v>
      </c>
      <c r="AJ77">
        <v>855</v>
      </c>
      <c r="AK77" t="s">
        <v>1315</v>
      </c>
      <c r="AL77" t="s">
        <v>20</v>
      </c>
      <c r="AM77" t="s">
        <v>1354</v>
      </c>
      <c r="AN77" t="s">
        <v>20</v>
      </c>
      <c r="AO77">
        <v>119.119</v>
      </c>
      <c r="AP77" t="s">
        <v>20</v>
      </c>
      <c r="AQ77" t="s">
        <v>20</v>
      </c>
    </row>
    <row r="78" spans="1:43" x14ac:dyDescent="0.25">
      <c r="A78">
        <v>6</v>
      </c>
      <c r="B78" t="s">
        <v>18</v>
      </c>
      <c r="C78" t="str">
        <f>HYPERLINK("http://www.ncbi.nlm.nih.gov/protein/XP_039079782.1","XP_039079782.1")</f>
        <v>XP_039079782.1</v>
      </c>
      <c r="D78">
        <v>41430</v>
      </c>
      <c r="E78" t="str">
        <f>HYPERLINK("http://www.ncbi.nlm.nih.gov/Taxonomy/Browser/wwwtax.cgi?mode=Info&amp;id=95912&amp;lvl=3&amp;lin=f&amp;keep=1&amp;srchmode=1&amp;unlock","95912")</f>
        <v>95912</v>
      </c>
      <c r="F78" t="s">
        <v>18</v>
      </c>
      <c r="G78" t="str">
        <f>HYPERLINK("http://www.ncbi.nlm.nih.gov/Taxonomy/Browser/wwwtax.cgi?mode=Info&amp;id=95912&amp;lvl=3&amp;lin=f&amp;keep=1&amp;srchmode=1&amp;unlock","Hyaena hyaena")</f>
        <v>Hyaena hyaena</v>
      </c>
      <c r="H78" t="s">
        <v>44</v>
      </c>
      <c r="I78" t="str">
        <f>HYPERLINK("http://www.ncbi.nlm.nih.gov/protein/XP_039079782.1","androgen receptor")</f>
        <v>androgen receptor</v>
      </c>
      <c r="J78" t="s">
        <v>1312</v>
      </c>
      <c r="K78" t="s">
        <v>20</v>
      </c>
      <c r="L78">
        <v>696</v>
      </c>
      <c r="M78" t="s">
        <v>25</v>
      </c>
      <c r="N78" t="s">
        <v>20</v>
      </c>
      <c r="O78" t="s">
        <v>1352</v>
      </c>
      <c r="P78" t="s">
        <v>20</v>
      </c>
      <c r="Q78">
        <v>132.119</v>
      </c>
      <c r="R78" t="s">
        <v>20</v>
      </c>
      <c r="S78" t="s">
        <v>20</v>
      </c>
      <c r="T78">
        <v>702</v>
      </c>
      <c r="U78" t="s">
        <v>1313</v>
      </c>
      <c r="V78" t="s">
        <v>20</v>
      </c>
      <c r="W78" t="s">
        <v>1352</v>
      </c>
      <c r="X78" t="s">
        <v>20</v>
      </c>
      <c r="Y78">
        <v>146.14599999999999</v>
      </c>
      <c r="Z78" t="s">
        <v>20</v>
      </c>
      <c r="AA78" t="s">
        <v>20</v>
      </c>
      <c r="AB78">
        <v>743</v>
      </c>
      <c r="AC78" t="s">
        <v>1314</v>
      </c>
      <c r="AD78" t="s">
        <v>20</v>
      </c>
      <c r="AE78" t="s">
        <v>1353</v>
      </c>
      <c r="AF78" t="s">
        <v>20</v>
      </c>
      <c r="AG78">
        <v>174.203</v>
      </c>
      <c r="AH78" t="s">
        <v>20</v>
      </c>
      <c r="AI78" t="s">
        <v>20</v>
      </c>
      <c r="AJ78">
        <v>868</v>
      </c>
      <c r="AK78" t="s">
        <v>1315</v>
      </c>
      <c r="AL78" t="s">
        <v>20</v>
      </c>
      <c r="AM78" t="s">
        <v>1354</v>
      </c>
      <c r="AN78" t="s">
        <v>20</v>
      </c>
      <c r="AO78">
        <v>119.119</v>
      </c>
      <c r="AP78" t="s">
        <v>20</v>
      </c>
      <c r="AQ78" t="s">
        <v>20</v>
      </c>
    </row>
    <row r="79" spans="1:43" x14ac:dyDescent="0.25">
      <c r="A79">
        <v>6</v>
      </c>
      <c r="B79" t="s">
        <v>18</v>
      </c>
      <c r="C79" t="str">
        <f>HYPERLINK("http://www.ncbi.nlm.nih.gov/protein/XP_040121708.1","XP_040121708.1")</f>
        <v>XP_040121708.1</v>
      </c>
      <c r="D79">
        <v>44054</v>
      </c>
      <c r="E79" t="str">
        <f>HYPERLINK("http://www.ncbi.nlm.nih.gov/Taxonomy/Browser/wwwtax.cgi?mode=Info&amp;id=59534&amp;lvl=3&amp;lin=f&amp;keep=1&amp;srchmode=1&amp;unlock","59534")</f>
        <v>59534</v>
      </c>
      <c r="F79" t="s">
        <v>18</v>
      </c>
      <c r="G79" t="str">
        <f>HYPERLINK("http://www.ncbi.nlm.nih.gov/Taxonomy/Browser/wwwtax.cgi?mode=Info&amp;id=59534&amp;lvl=3&amp;lin=f&amp;keep=1&amp;srchmode=1&amp;unlock","Oryx dammah")</f>
        <v>Oryx dammah</v>
      </c>
      <c r="H79" t="s">
        <v>116</v>
      </c>
      <c r="I79" t="str">
        <f>HYPERLINK("http://www.ncbi.nlm.nih.gov/protein/XP_040121708.1","androgen receptor")</f>
        <v>androgen receptor</v>
      </c>
      <c r="J79" t="s">
        <v>1312</v>
      </c>
      <c r="K79" t="s">
        <v>20</v>
      </c>
      <c r="L79">
        <v>677</v>
      </c>
      <c r="M79" t="s">
        <v>25</v>
      </c>
      <c r="N79" t="s">
        <v>20</v>
      </c>
      <c r="O79" t="s">
        <v>1352</v>
      </c>
      <c r="P79" t="s">
        <v>20</v>
      </c>
      <c r="Q79">
        <v>132.119</v>
      </c>
      <c r="R79" t="s">
        <v>20</v>
      </c>
      <c r="S79" t="s">
        <v>20</v>
      </c>
      <c r="T79">
        <v>683</v>
      </c>
      <c r="U79" t="s">
        <v>1313</v>
      </c>
      <c r="V79" t="s">
        <v>20</v>
      </c>
      <c r="W79" t="s">
        <v>1352</v>
      </c>
      <c r="X79" t="s">
        <v>20</v>
      </c>
      <c r="Y79">
        <v>146.14599999999999</v>
      </c>
      <c r="Z79" t="s">
        <v>20</v>
      </c>
      <c r="AA79" t="s">
        <v>20</v>
      </c>
      <c r="AB79">
        <v>724</v>
      </c>
      <c r="AC79" t="s">
        <v>1314</v>
      </c>
      <c r="AD79" t="s">
        <v>20</v>
      </c>
      <c r="AE79" t="s">
        <v>1353</v>
      </c>
      <c r="AF79" t="s">
        <v>20</v>
      </c>
      <c r="AG79">
        <v>174.203</v>
      </c>
      <c r="AH79" t="s">
        <v>20</v>
      </c>
      <c r="AI79" t="s">
        <v>20</v>
      </c>
      <c r="AJ79">
        <v>849</v>
      </c>
      <c r="AK79" t="s">
        <v>1315</v>
      </c>
      <c r="AL79" t="s">
        <v>20</v>
      </c>
      <c r="AM79" t="s">
        <v>1354</v>
      </c>
      <c r="AN79" t="s">
        <v>20</v>
      </c>
      <c r="AO79">
        <v>119.119</v>
      </c>
      <c r="AP79" t="s">
        <v>20</v>
      </c>
      <c r="AQ79" t="s">
        <v>20</v>
      </c>
    </row>
    <row r="80" spans="1:43" x14ac:dyDescent="0.25">
      <c r="A80">
        <v>6</v>
      </c>
      <c r="B80" t="s">
        <v>18</v>
      </c>
      <c r="C80" t="str">
        <f>HYPERLINK("http://www.ncbi.nlm.nih.gov/protein/XP_040322896.1","XP_040322896.1")</f>
        <v>XP_040322896.1</v>
      </c>
      <c r="D80">
        <v>55674</v>
      </c>
      <c r="E80" t="str">
        <f>HYPERLINK("http://www.ncbi.nlm.nih.gov/Taxonomy/Browser/wwwtax.cgi?mode=Info&amp;id=1608482&amp;lvl=3&amp;lin=f&amp;keep=1&amp;srchmode=1&amp;unlock","1608482")</f>
        <v>1608482</v>
      </c>
      <c r="F80" t="s">
        <v>18</v>
      </c>
      <c r="G80" t="str">
        <f>HYPERLINK("http://www.ncbi.nlm.nih.gov/Taxonomy/Browser/wwwtax.cgi?mode=Info&amp;id=1608482&amp;lvl=3&amp;lin=f&amp;keep=1&amp;srchmode=1&amp;unlock","Puma yagouaroundi")</f>
        <v>Puma yagouaroundi</v>
      </c>
      <c r="H80" t="s">
        <v>66</v>
      </c>
      <c r="I80" t="str">
        <f>HYPERLINK("http://www.ncbi.nlm.nih.gov/protein/XP_040322896.1","androgen receptor isoform X1")</f>
        <v>androgen receptor isoform X1</v>
      </c>
      <c r="J80" t="s">
        <v>1312</v>
      </c>
      <c r="K80" t="s">
        <v>20</v>
      </c>
      <c r="L80">
        <v>691</v>
      </c>
      <c r="M80" t="s">
        <v>25</v>
      </c>
      <c r="N80" t="s">
        <v>20</v>
      </c>
      <c r="O80" t="s">
        <v>1352</v>
      </c>
      <c r="P80" t="s">
        <v>20</v>
      </c>
      <c r="Q80">
        <v>132.119</v>
      </c>
      <c r="R80" t="s">
        <v>20</v>
      </c>
      <c r="S80" t="s">
        <v>20</v>
      </c>
      <c r="T80">
        <v>697</v>
      </c>
      <c r="U80" t="s">
        <v>1313</v>
      </c>
      <c r="V80" t="s">
        <v>20</v>
      </c>
      <c r="W80" t="s">
        <v>1352</v>
      </c>
      <c r="X80" t="s">
        <v>20</v>
      </c>
      <c r="Y80">
        <v>146.14599999999999</v>
      </c>
      <c r="Z80" t="s">
        <v>20</v>
      </c>
      <c r="AA80" t="s">
        <v>20</v>
      </c>
      <c r="AB80">
        <v>738</v>
      </c>
      <c r="AC80" t="s">
        <v>1314</v>
      </c>
      <c r="AD80" t="s">
        <v>20</v>
      </c>
      <c r="AE80" t="s">
        <v>1353</v>
      </c>
      <c r="AF80" t="s">
        <v>20</v>
      </c>
      <c r="AG80">
        <v>174.203</v>
      </c>
      <c r="AH80" t="s">
        <v>20</v>
      </c>
      <c r="AI80" t="s">
        <v>20</v>
      </c>
      <c r="AJ80">
        <v>863</v>
      </c>
      <c r="AK80" t="s">
        <v>1315</v>
      </c>
      <c r="AL80" t="s">
        <v>20</v>
      </c>
      <c r="AM80" t="s">
        <v>1354</v>
      </c>
      <c r="AN80" t="s">
        <v>20</v>
      </c>
      <c r="AO80">
        <v>119.119</v>
      </c>
      <c r="AP80" t="s">
        <v>20</v>
      </c>
      <c r="AQ80" t="s">
        <v>20</v>
      </c>
    </row>
    <row r="81" spans="1:43" x14ac:dyDescent="0.25">
      <c r="A81">
        <v>6</v>
      </c>
      <c r="B81" t="s">
        <v>18</v>
      </c>
      <c r="C81" t="str">
        <f>HYPERLINK("http://www.ncbi.nlm.nih.gov/protein/XP_026255764.1","XP_026255764.1")</f>
        <v>XP_026255764.1</v>
      </c>
      <c r="D81">
        <v>36494</v>
      </c>
      <c r="E81" t="str">
        <f>HYPERLINK("http://www.ncbi.nlm.nih.gov/Taxonomy/Browser/wwwtax.cgi?mode=Info&amp;id=9999&amp;lvl=3&amp;lin=f&amp;keep=1&amp;srchmode=1&amp;unlock","9999")</f>
        <v>9999</v>
      </c>
      <c r="F81" t="s">
        <v>18</v>
      </c>
      <c r="G81" t="str">
        <f>HYPERLINK("http://www.ncbi.nlm.nih.gov/Taxonomy/Browser/wwwtax.cgi?mode=Info&amp;id=9999&amp;lvl=3&amp;lin=f&amp;keep=1&amp;srchmode=1&amp;unlock","Urocitellus parryii")</f>
        <v>Urocitellus parryii</v>
      </c>
      <c r="H81" t="s">
        <v>84</v>
      </c>
      <c r="I81" t="str">
        <f>HYPERLINK("http://www.ncbi.nlm.nih.gov/protein/XP_026255764.1","androgen receptor")</f>
        <v>androgen receptor</v>
      </c>
      <c r="J81" t="s">
        <v>1312</v>
      </c>
      <c r="K81" t="s">
        <v>20</v>
      </c>
      <c r="L81">
        <v>670</v>
      </c>
      <c r="M81" t="s">
        <v>25</v>
      </c>
      <c r="N81" t="s">
        <v>20</v>
      </c>
      <c r="O81" t="s">
        <v>1352</v>
      </c>
      <c r="P81" t="s">
        <v>20</v>
      </c>
      <c r="Q81">
        <v>132.119</v>
      </c>
      <c r="R81" t="s">
        <v>20</v>
      </c>
      <c r="S81" t="s">
        <v>20</v>
      </c>
      <c r="T81">
        <v>676</v>
      </c>
      <c r="U81" t="s">
        <v>1313</v>
      </c>
      <c r="V81" t="s">
        <v>20</v>
      </c>
      <c r="W81" t="s">
        <v>1352</v>
      </c>
      <c r="X81" t="s">
        <v>20</v>
      </c>
      <c r="Y81">
        <v>146.14599999999999</v>
      </c>
      <c r="Z81" t="s">
        <v>20</v>
      </c>
      <c r="AA81" t="s">
        <v>20</v>
      </c>
      <c r="AB81">
        <v>717</v>
      </c>
      <c r="AC81" t="s">
        <v>1314</v>
      </c>
      <c r="AD81" t="s">
        <v>20</v>
      </c>
      <c r="AE81" t="s">
        <v>1353</v>
      </c>
      <c r="AF81" t="s">
        <v>20</v>
      </c>
      <c r="AG81">
        <v>174.203</v>
      </c>
      <c r="AH81" t="s">
        <v>20</v>
      </c>
      <c r="AI81" t="s">
        <v>20</v>
      </c>
      <c r="AJ81">
        <v>842</v>
      </c>
      <c r="AK81" t="s">
        <v>1315</v>
      </c>
      <c r="AL81" t="s">
        <v>20</v>
      </c>
      <c r="AM81" t="s">
        <v>1354</v>
      </c>
      <c r="AN81" t="s">
        <v>20</v>
      </c>
      <c r="AO81">
        <v>119.119</v>
      </c>
      <c r="AP81" t="s">
        <v>20</v>
      </c>
      <c r="AQ81" t="s">
        <v>20</v>
      </c>
    </row>
    <row r="82" spans="1:43" x14ac:dyDescent="0.25">
      <c r="A82">
        <v>6</v>
      </c>
      <c r="B82" t="s">
        <v>18</v>
      </c>
      <c r="C82" t="str">
        <f>HYPERLINK("http://www.ncbi.nlm.nih.gov/protein/XP_004871834.1","XP_004871834.1")</f>
        <v>XP_004871834.1</v>
      </c>
      <c r="D82">
        <v>82656</v>
      </c>
      <c r="E82" t="str">
        <f>HYPERLINK("http://www.ncbi.nlm.nih.gov/Taxonomy/Browser/wwwtax.cgi?mode=Info&amp;id=10181&amp;lvl=3&amp;lin=f&amp;keep=1&amp;srchmode=1&amp;unlock","10181")</f>
        <v>10181</v>
      </c>
      <c r="F82" t="s">
        <v>18</v>
      </c>
      <c r="G82" t="str">
        <f>HYPERLINK("http://www.ncbi.nlm.nih.gov/Taxonomy/Browser/wwwtax.cgi?mode=Info&amp;id=10181&amp;lvl=3&amp;lin=f&amp;keep=1&amp;srchmode=1&amp;unlock","Heterocephalus glaber")</f>
        <v>Heterocephalus glaber</v>
      </c>
      <c r="H82" t="s">
        <v>144</v>
      </c>
      <c r="I82" t="str">
        <f>HYPERLINK("http://www.ncbi.nlm.nih.gov/protein/XP_004871834.1","androgen receptor isoform X1")</f>
        <v>androgen receptor isoform X1</v>
      </c>
      <c r="J82" t="s">
        <v>1312</v>
      </c>
      <c r="K82" t="s">
        <v>20</v>
      </c>
      <c r="L82">
        <v>676</v>
      </c>
      <c r="M82" t="s">
        <v>25</v>
      </c>
      <c r="N82" t="s">
        <v>20</v>
      </c>
      <c r="O82" t="s">
        <v>1352</v>
      </c>
      <c r="P82" t="s">
        <v>20</v>
      </c>
      <c r="Q82">
        <v>132.119</v>
      </c>
      <c r="R82" t="s">
        <v>20</v>
      </c>
      <c r="S82" t="s">
        <v>20</v>
      </c>
      <c r="T82">
        <v>682</v>
      </c>
      <c r="U82" t="s">
        <v>1313</v>
      </c>
      <c r="V82" t="s">
        <v>20</v>
      </c>
      <c r="W82" t="s">
        <v>1352</v>
      </c>
      <c r="X82" t="s">
        <v>20</v>
      </c>
      <c r="Y82">
        <v>146.14599999999999</v>
      </c>
      <c r="Z82" t="s">
        <v>20</v>
      </c>
      <c r="AA82" t="s">
        <v>20</v>
      </c>
      <c r="AB82">
        <v>723</v>
      </c>
      <c r="AC82" t="s">
        <v>1314</v>
      </c>
      <c r="AD82" t="s">
        <v>20</v>
      </c>
      <c r="AE82" t="s">
        <v>1353</v>
      </c>
      <c r="AF82" t="s">
        <v>20</v>
      </c>
      <c r="AG82">
        <v>174.203</v>
      </c>
      <c r="AH82" t="s">
        <v>20</v>
      </c>
      <c r="AI82" t="s">
        <v>20</v>
      </c>
      <c r="AJ82">
        <v>848</v>
      </c>
      <c r="AK82" t="s">
        <v>1315</v>
      </c>
      <c r="AL82" t="s">
        <v>20</v>
      </c>
      <c r="AM82" t="s">
        <v>1354</v>
      </c>
      <c r="AN82" t="s">
        <v>20</v>
      </c>
      <c r="AO82">
        <v>119.119</v>
      </c>
      <c r="AP82" t="s">
        <v>20</v>
      </c>
      <c r="AQ82" t="s">
        <v>20</v>
      </c>
    </row>
    <row r="83" spans="1:43" x14ac:dyDescent="0.25">
      <c r="A83">
        <v>6</v>
      </c>
      <c r="B83" t="s">
        <v>18</v>
      </c>
      <c r="C83" t="str">
        <f>HYPERLINK("http://www.ncbi.nlm.nih.gov/protein/CDG23667.1","CDG23667.1")</f>
        <v>CDG23667.1</v>
      </c>
      <c r="D83">
        <v>352</v>
      </c>
      <c r="E83" t="str">
        <f>HYPERLINK("http://www.ncbi.nlm.nih.gov/Taxonomy/Browser/wwwtax.cgi?mode=Info&amp;id=9858&amp;lvl=3&amp;lin=f&amp;keep=1&amp;srchmode=1&amp;unlock","9858")</f>
        <v>9858</v>
      </c>
      <c r="F83" t="s">
        <v>18</v>
      </c>
      <c r="G83" t="str">
        <f>HYPERLINK("http://www.ncbi.nlm.nih.gov/Taxonomy/Browser/wwwtax.cgi?mode=Info&amp;id=9858&amp;lvl=3&amp;lin=f&amp;keep=1&amp;srchmode=1&amp;unlock","Capreolus capreolus")</f>
        <v>Capreolus capreolus</v>
      </c>
      <c r="H83" t="s">
        <v>970</v>
      </c>
      <c r="I83" t="str">
        <f>HYPERLINK("http://www.ncbi.nlm.nih.gov/protein/CDG23667.1","androgen receptor")</f>
        <v>androgen receptor</v>
      </c>
      <c r="J83" t="s">
        <v>1312</v>
      </c>
      <c r="K83" t="s">
        <v>20</v>
      </c>
      <c r="L83">
        <v>680</v>
      </c>
      <c r="M83" t="s">
        <v>25</v>
      </c>
      <c r="N83" t="s">
        <v>20</v>
      </c>
      <c r="O83" t="s">
        <v>1352</v>
      </c>
      <c r="P83" t="s">
        <v>20</v>
      </c>
      <c r="Q83">
        <v>132.119</v>
      </c>
      <c r="R83" t="s">
        <v>20</v>
      </c>
      <c r="S83" t="s">
        <v>20</v>
      </c>
      <c r="T83">
        <v>686</v>
      </c>
      <c r="U83" t="s">
        <v>1313</v>
      </c>
      <c r="V83" t="s">
        <v>20</v>
      </c>
      <c r="W83" t="s">
        <v>1352</v>
      </c>
      <c r="X83" t="s">
        <v>20</v>
      </c>
      <c r="Y83">
        <v>146.14599999999999</v>
      </c>
      <c r="Z83" t="s">
        <v>20</v>
      </c>
      <c r="AA83" t="s">
        <v>20</v>
      </c>
      <c r="AB83">
        <v>727</v>
      </c>
      <c r="AC83" t="s">
        <v>1314</v>
      </c>
      <c r="AD83" t="s">
        <v>20</v>
      </c>
      <c r="AE83" t="s">
        <v>1353</v>
      </c>
      <c r="AF83" t="s">
        <v>20</v>
      </c>
      <c r="AG83">
        <v>174.203</v>
      </c>
      <c r="AH83" t="s">
        <v>20</v>
      </c>
      <c r="AI83" t="s">
        <v>20</v>
      </c>
      <c r="AJ83">
        <v>852</v>
      </c>
      <c r="AK83" t="s">
        <v>1315</v>
      </c>
      <c r="AL83" t="s">
        <v>20</v>
      </c>
      <c r="AM83" t="s">
        <v>1354</v>
      </c>
      <c r="AN83" t="s">
        <v>20</v>
      </c>
      <c r="AO83">
        <v>119.119</v>
      </c>
      <c r="AP83" t="s">
        <v>20</v>
      </c>
      <c r="AQ83" t="s">
        <v>20</v>
      </c>
    </row>
    <row r="84" spans="1:43" x14ac:dyDescent="0.25">
      <c r="A84">
        <v>6</v>
      </c>
      <c r="B84" t="s">
        <v>18</v>
      </c>
      <c r="C84" t="str">
        <f>HYPERLINK("http://www.ncbi.nlm.nih.gov/protein/XP_007445632.1","XP_007445632.1")</f>
        <v>XP_007445632.1</v>
      </c>
      <c r="D84">
        <v>27194</v>
      </c>
      <c r="E84" t="str">
        <f>HYPERLINK("http://www.ncbi.nlm.nih.gov/Taxonomy/Browser/wwwtax.cgi?mode=Info&amp;id=118797&amp;lvl=3&amp;lin=f&amp;keep=1&amp;srchmode=1&amp;unlock","118797")</f>
        <v>118797</v>
      </c>
      <c r="F84" t="s">
        <v>18</v>
      </c>
      <c r="G84" t="str">
        <f>HYPERLINK("http://www.ncbi.nlm.nih.gov/Taxonomy/Browser/wwwtax.cgi?mode=Info&amp;id=118797&amp;lvl=3&amp;lin=f&amp;keep=1&amp;srchmode=1&amp;unlock","Lipotes vexillifer")</f>
        <v>Lipotes vexillifer</v>
      </c>
      <c r="H84" t="s">
        <v>165</v>
      </c>
      <c r="I84" t="str">
        <f>HYPERLINK("http://www.ncbi.nlm.nih.gov/protein/XP_007445632.1","PREDICTED: androgen receptor")</f>
        <v>PREDICTED: androgen receptor</v>
      </c>
      <c r="J84" t="s">
        <v>1312</v>
      </c>
      <c r="K84" t="s">
        <v>20</v>
      </c>
      <c r="L84">
        <v>674</v>
      </c>
      <c r="M84" t="s">
        <v>25</v>
      </c>
      <c r="N84" t="s">
        <v>20</v>
      </c>
      <c r="O84" t="s">
        <v>1352</v>
      </c>
      <c r="P84" t="s">
        <v>20</v>
      </c>
      <c r="Q84">
        <v>132.119</v>
      </c>
      <c r="R84" t="s">
        <v>20</v>
      </c>
      <c r="S84" t="s">
        <v>20</v>
      </c>
      <c r="T84">
        <v>680</v>
      </c>
      <c r="U84" t="s">
        <v>1313</v>
      </c>
      <c r="V84" t="s">
        <v>20</v>
      </c>
      <c r="W84" t="s">
        <v>1352</v>
      </c>
      <c r="X84" t="s">
        <v>20</v>
      </c>
      <c r="Y84">
        <v>146.14599999999999</v>
      </c>
      <c r="Z84" t="s">
        <v>20</v>
      </c>
      <c r="AA84" t="s">
        <v>20</v>
      </c>
      <c r="AB84">
        <v>721</v>
      </c>
      <c r="AC84" t="s">
        <v>1314</v>
      </c>
      <c r="AD84" t="s">
        <v>20</v>
      </c>
      <c r="AE84" t="s">
        <v>1353</v>
      </c>
      <c r="AF84" t="s">
        <v>20</v>
      </c>
      <c r="AG84">
        <v>174.203</v>
      </c>
      <c r="AH84" t="s">
        <v>20</v>
      </c>
      <c r="AI84" t="s">
        <v>20</v>
      </c>
      <c r="AJ84">
        <v>846</v>
      </c>
      <c r="AK84" t="s">
        <v>1315</v>
      </c>
      <c r="AL84" t="s">
        <v>20</v>
      </c>
      <c r="AM84" t="s">
        <v>1354</v>
      </c>
      <c r="AN84" t="s">
        <v>20</v>
      </c>
      <c r="AO84">
        <v>119.119</v>
      </c>
      <c r="AP84" t="s">
        <v>20</v>
      </c>
      <c r="AQ84" t="s">
        <v>20</v>
      </c>
    </row>
    <row r="85" spans="1:43" x14ac:dyDescent="0.25">
      <c r="A85">
        <v>6</v>
      </c>
      <c r="B85" t="s">
        <v>18</v>
      </c>
      <c r="C85" t="str">
        <f>HYPERLINK("http://www.ncbi.nlm.nih.gov/protein/XP_017899319.1","XP_017899319.1")</f>
        <v>XP_017899319.1</v>
      </c>
      <c r="D85">
        <v>47245</v>
      </c>
      <c r="E85" t="str">
        <f>HYPERLINK("http://www.ncbi.nlm.nih.gov/Taxonomy/Browser/wwwtax.cgi?mode=Info&amp;id=9925&amp;lvl=3&amp;lin=f&amp;keep=1&amp;srchmode=1&amp;unlock","9925")</f>
        <v>9925</v>
      </c>
      <c r="F85" t="s">
        <v>18</v>
      </c>
      <c r="G85" t="str">
        <f>HYPERLINK("http://www.ncbi.nlm.nih.gov/Taxonomy/Browser/wwwtax.cgi?mode=Info&amp;id=9925&amp;lvl=3&amp;lin=f&amp;keep=1&amp;srchmode=1&amp;unlock","Capra hircus")</f>
        <v>Capra hircus</v>
      </c>
      <c r="H85" t="s">
        <v>108</v>
      </c>
      <c r="I85" t="str">
        <f>HYPERLINK("http://www.ncbi.nlm.nih.gov/protein/XP_017899319.1","PREDICTED: androgen receptor")</f>
        <v>PREDICTED: androgen receptor</v>
      </c>
      <c r="J85" t="s">
        <v>1312</v>
      </c>
      <c r="K85" t="s">
        <v>20</v>
      </c>
      <c r="L85">
        <v>677</v>
      </c>
      <c r="M85" t="s">
        <v>25</v>
      </c>
      <c r="N85" t="s">
        <v>20</v>
      </c>
      <c r="O85" t="s">
        <v>1352</v>
      </c>
      <c r="P85" t="s">
        <v>20</v>
      </c>
      <c r="Q85">
        <v>132.119</v>
      </c>
      <c r="R85" t="s">
        <v>20</v>
      </c>
      <c r="S85" t="s">
        <v>20</v>
      </c>
      <c r="T85">
        <v>683</v>
      </c>
      <c r="U85" t="s">
        <v>1313</v>
      </c>
      <c r="V85" t="s">
        <v>20</v>
      </c>
      <c r="W85" t="s">
        <v>1352</v>
      </c>
      <c r="X85" t="s">
        <v>20</v>
      </c>
      <c r="Y85">
        <v>146.14599999999999</v>
      </c>
      <c r="Z85" t="s">
        <v>20</v>
      </c>
      <c r="AA85" t="s">
        <v>20</v>
      </c>
      <c r="AB85">
        <v>724</v>
      </c>
      <c r="AC85" t="s">
        <v>1314</v>
      </c>
      <c r="AD85" t="s">
        <v>20</v>
      </c>
      <c r="AE85" t="s">
        <v>1353</v>
      </c>
      <c r="AF85" t="s">
        <v>20</v>
      </c>
      <c r="AG85">
        <v>174.203</v>
      </c>
      <c r="AH85" t="s">
        <v>20</v>
      </c>
      <c r="AI85" t="s">
        <v>20</v>
      </c>
      <c r="AJ85">
        <v>849</v>
      </c>
      <c r="AK85" t="s">
        <v>1315</v>
      </c>
      <c r="AL85" t="s">
        <v>20</v>
      </c>
      <c r="AM85" t="s">
        <v>1354</v>
      </c>
      <c r="AN85" t="s">
        <v>20</v>
      </c>
      <c r="AO85">
        <v>119.119</v>
      </c>
      <c r="AP85" t="s">
        <v>20</v>
      </c>
      <c r="AQ85" t="s">
        <v>20</v>
      </c>
    </row>
    <row r="86" spans="1:43" x14ac:dyDescent="0.25">
      <c r="A86">
        <v>6</v>
      </c>
      <c r="B86" t="s">
        <v>18</v>
      </c>
      <c r="C86" t="str">
        <f>HYPERLINK("http://www.ncbi.nlm.nih.gov/protein/Q8MIK0.1","Q8MIK0.1")</f>
        <v>Q8MIK0.1</v>
      </c>
      <c r="D86">
        <v>17488</v>
      </c>
      <c r="E86" t="str">
        <f>HYPERLINK("http://www.ncbi.nlm.nih.gov/Taxonomy/Browser/wwwtax.cgi?mode=Info&amp;id=9678&amp;lvl=3&amp;lin=f&amp;keep=1&amp;srchmode=1&amp;unlock","9678")</f>
        <v>9678</v>
      </c>
      <c r="F86" t="s">
        <v>18</v>
      </c>
      <c r="G86" t="str">
        <f>HYPERLINK("http://www.ncbi.nlm.nih.gov/Taxonomy/Browser/wwwtax.cgi?mode=Info&amp;id=9678&amp;lvl=3&amp;lin=f&amp;keep=1&amp;srchmode=1&amp;unlock","Crocuta crocuta")</f>
        <v>Crocuta crocuta</v>
      </c>
      <c r="H86" t="s">
        <v>164</v>
      </c>
      <c r="I86" t="str">
        <f>HYPERLINK("http://www.ncbi.nlm.nih.gov/protein/Q8MIK0.1","RecName: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86" t="s">
        <v>1312</v>
      </c>
      <c r="K86" t="s">
        <v>20</v>
      </c>
      <c r="L86">
        <v>698</v>
      </c>
      <c r="M86" t="s">
        <v>25</v>
      </c>
      <c r="N86" t="s">
        <v>20</v>
      </c>
      <c r="O86" t="s">
        <v>1352</v>
      </c>
      <c r="P86" t="s">
        <v>20</v>
      </c>
      <c r="Q86">
        <v>132.119</v>
      </c>
      <c r="R86" t="s">
        <v>20</v>
      </c>
      <c r="S86" t="s">
        <v>20</v>
      </c>
      <c r="T86">
        <v>704</v>
      </c>
      <c r="U86" t="s">
        <v>1313</v>
      </c>
      <c r="V86" t="s">
        <v>20</v>
      </c>
      <c r="W86" t="s">
        <v>1352</v>
      </c>
      <c r="X86" t="s">
        <v>20</v>
      </c>
      <c r="Y86">
        <v>146.14599999999999</v>
      </c>
      <c r="Z86" t="s">
        <v>20</v>
      </c>
      <c r="AA86" t="s">
        <v>20</v>
      </c>
      <c r="AB86">
        <v>745</v>
      </c>
      <c r="AC86" t="s">
        <v>1314</v>
      </c>
      <c r="AD86" t="s">
        <v>20</v>
      </c>
      <c r="AE86" t="s">
        <v>1353</v>
      </c>
      <c r="AF86" t="s">
        <v>20</v>
      </c>
      <c r="AG86">
        <v>174.203</v>
      </c>
      <c r="AH86" t="s">
        <v>20</v>
      </c>
      <c r="AI86" t="s">
        <v>20</v>
      </c>
      <c r="AJ86">
        <v>870</v>
      </c>
      <c r="AK86" t="s">
        <v>1315</v>
      </c>
      <c r="AL86" t="s">
        <v>20</v>
      </c>
      <c r="AM86" t="s">
        <v>1354</v>
      </c>
      <c r="AN86" t="s">
        <v>20</v>
      </c>
      <c r="AO86">
        <v>119.119</v>
      </c>
      <c r="AP86" t="s">
        <v>20</v>
      </c>
      <c r="AQ86" t="s">
        <v>20</v>
      </c>
    </row>
    <row r="87" spans="1:43" x14ac:dyDescent="0.25">
      <c r="A87">
        <v>6</v>
      </c>
      <c r="B87" t="s">
        <v>18</v>
      </c>
      <c r="C87" t="str">
        <f>HYPERLINK("http://www.ncbi.nlm.nih.gov/protein/XP_004380149.1","XP_004380149.1")</f>
        <v>XP_004380149.1</v>
      </c>
      <c r="D87">
        <v>37488</v>
      </c>
      <c r="E87" t="str">
        <f>HYPERLINK("http://www.ncbi.nlm.nih.gov/Taxonomy/Browser/wwwtax.cgi?mode=Info&amp;id=127582&amp;lvl=3&amp;lin=f&amp;keep=1&amp;srchmode=1&amp;unlock","127582")</f>
        <v>127582</v>
      </c>
      <c r="F87" t="s">
        <v>18</v>
      </c>
      <c r="G87" t="str">
        <f>HYPERLINK("http://www.ncbi.nlm.nih.gov/Taxonomy/Browser/wwwtax.cgi?mode=Info&amp;id=127582&amp;lvl=3&amp;lin=f&amp;keep=1&amp;srchmode=1&amp;unlock","Trichechus manatus latirostris")</f>
        <v>Trichechus manatus latirostris</v>
      </c>
      <c r="H87" t="s">
        <v>125</v>
      </c>
      <c r="I87" t="str">
        <f>HYPERLINK("http://www.ncbi.nlm.nih.gov/protein/XP_004380149.1","androgen receptor isoform X1")</f>
        <v>androgen receptor isoform X1</v>
      </c>
      <c r="J87" t="s">
        <v>1312</v>
      </c>
      <c r="K87" t="s">
        <v>20</v>
      </c>
      <c r="L87">
        <v>708</v>
      </c>
      <c r="M87" t="s">
        <v>25</v>
      </c>
      <c r="N87" t="s">
        <v>20</v>
      </c>
      <c r="O87" t="s">
        <v>1352</v>
      </c>
      <c r="P87" t="s">
        <v>20</v>
      </c>
      <c r="Q87">
        <v>132.119</v>
      </c>
      <c r="R87" t="s">
        <v>20</v>
      </c>
      <c r="S87" t="s">
        <v>20</v>
      </c>
      <c r="T87">
        <v>714</v>
      </c>
      <c r="U87" t="s">
        <v>1313</v>
      </c>
      <c r="V87" t="s">
        <v>20</v>
      </c>
      <c r="W87" t="s">
        <v>1352</v>
      </c>
      <c r="X87" t="s">
        <v>20</v>
      </c>
      <c r="Y87">
        <v>146.14599999999999</v>
      </c>
      <c r="Z87" t="s">
        <v>20</v>
      </c>
      <c r="AA87" t="s">
        <v>20</v>
      </c>
      <c r="AB87">
        <v>755</v>
      </c>
      <c r="AC87" t="s">
        <v>1314</v>
      </c>
      <c r="AD87" t="s">
        <v>20</v>
      </c>
      <c r="AE87" t="s">
        <v>1353</v>
      </c>
      <c r="AF87" t="s">
        <v>20</v>
      </c>
      <c r="AG87">
        <v>174.203</v>
      </c>
      <c r="AH87" t="s">
        <v>20</v>
      </c>
      <c r="AI87" t="s">
        <v>20</v>
      </c>
      <c r="AJ87">
        <v>880</v>
      </c>
      <c r="AK87" t="s">
        <v>1315</v>
      </c>
      <c r="AL87" t="s">
        <v>20</v>
      </c>
      <c r="AM87" t="s">
        <v>1354</v>
      </c>
      <c r="AN87" t="s">
        <v>20</v>
      </c>
      <c r="AO87">
        <v>119.119</v>
      </c>
      <c r="AP87" t="s">
        <v>20</v>
      </c>
      <c r="AQ87" t="s">
        <v>20</v>
      </c>
    </row>
    <row r="88" spans="1:43" x14ac:dyDescent="0.25">
      <c r="A88">
        <v>6</v>
      </c>
      <c r="B88" t="s">
        <v>18</v>
      </c>
      <c r="C88" t="str">
        <f>HYPERLINK("http://www.ncbi.nlm.nih.gov/protein/XP_004644568.1","XP_004644568.1")</f>
        <v>XP_004644568.1</v>
      </c>
      <c r="D88">
        <v>42554</v>
      </c>
      <c r="E88" t="str">
        <f>HYPERLINK("http://www.ncbi.nlm.nih.gov/Taxonomy/Browser/wwwtax.cgi?mode=Info&amp;id=10160&amp;lvl=3&amp;lin=f&amp;keep=1&amp;srchmode=1&amp;unlock","10160")</f>
        <v>10160</v>
      </c>
      <c r="F88" t="s">
        <v>18</v>
      </c>
      <c r="G88" t="str">
        <f>HYPERLINK("http://www.ncbi.nlm.nih.gov/Taxonomy/Browser/wwwtax.cgi?mode=Info&amp;id=10160&amp;lvl=3&amp;lin=f&amp;keep=1&amp;srchmode=1&amp;unlock","Octodon degus")</f>
        <v>Octodon degus</v>
      </c>
      <c r="H88" t="s">
        <v>106</v>
      </c>
      <c r="I88" t="str">
        <f>HYPERLINK("http://www.ncbi.nlm.nih.gov/protein/XP_004644568.1","androgen receptor isoform X1")</f>
        <v>androgen receptor isoform X1</v>
      </c>
      <c r="J88" t="s">
        <v>1312</v>
      </c>
      <c r="K88" t="s">
        <v>20</v>
      </c>
      <c r="L88">
        <v>692</v>
      </c>
      <c r="M88" t="s">
        <v>25</v>
      </c>
      <c r="N88" t="s">
        <v>20</v>
      </c>
      <c r="O88" t="s">
        <v>1352</v>
      </c>
      <c r="P88" t="s">
        <v>20</v>
      </c>
      <c r="Q88">
        <v>132.119</v>
      </c>
      <c r="R88" t="s">
        <v>20</v>
      </c>
      <c r="S88" t="s">
        <v>20</v>
      </c>
      <c r="T88">
        <v>698</v>
      </c>
      <c r="U88" t="s">
        <v>1313</v>
      </c>
      <c r="V88" t="s">
        <v>20</v>
      </c>
      <c r="W88" t="s">
        <v>1352</v>
      </c>
      <c r="X88" t="s">
        <v>20</v>
      </c>
      <c r="Y88">
        <v>146.14599999999999</v>
      </c>
      <c r="Z88" t="s">
        <v>20</v>
      </c>
      <c r="AA88" t="s">
        <v>20</v>
      </c>
      <c r="AB88">
        <v>739</v>
      </c>
      <c r="AC88" t="s">
        <v>1314</v>
      </c>
      <c r="AD88" t="s">
        <v>20</v>
      </c>
      <c r="AE88" t="s">
        <v>1353</v>
      </c>
      <c r="AF88" t="s">
        <v>20</v>
      </c>
      <c r="AG88">
        <v>174.203</v>
      </c>
      <c r="AH88" t="s">
        <v>20</v>
      </c>
      <c r="AI88" t="s">
        <v>20</v>
      </c>
      <c r="AJ88">
        <v>864</v>
      </c>
      <c r="AK88" t="s">
        <v>1315</v>
      </c>
      <c r="AL88" t="s">
        <v>20</v>
      </c>
      <c r="AM88" t="s">
        <v>1354</v>
      </c>
      <c r="AN88" t="s">
        <v>20</v>
      </c>
      <c r="AO88">
        <v>119.119</v>
      </c>
      <c r="AP88" t="s">
        <v>20</v>
      </c>
      <c r="AQ88" t="s">
        <v>20</v>
      </c>
    </row>
    <row r="89" spans="1:43" x14ac:dyDescent="0.25">
      <c r="A89">
        <v>6</v>
      </c>
      <c r="B89" t="s">
        <v>18</v>
      </c>
      <c r="C89" t="str">
        <f>HYPERLINK("http://www.ncbi.nlm.nih.gov/protein/XP_021043964.1","XP_021043964.1")</f>
        <v>XP_021043964.1</v>
      </c>
      <c r="D89">
        <v>42356</v>
      </c>
      <c r="E89" t="str">
        <f>HYPERLINK("http://www.ncbi.nlm.nih.gov/Taxonomy/Browser/wwwtax.cgi?mode=Info&amp;id=10093&amp;lvl=3&amp;lin=f&amp;keep=1&amp;srchmode=1&amp;unlock","10093")</f>
        <v>10093</v>
      </c>
      <c r="F89" t="s">
        <v>18</v>
      </c>
      <c r="G89" t="str">
        <f>HYPERLINK("http://www.ncbi.nlm.nih.gov/Taxonomy/Browser/wwwtax.cgi?mode=Info&amp;id=10093&amp;lvl=3&amp;lin=f&amp;keep=1&amp;srchmode=1&amp;unlock","Mus pahari")</f>
        <v>Mus pahari</v>
      </c>
      <c r="H89" t="s">
        <v>132</v>
      </c>
      <c r="I89" t="str">
        <f>HYPERLINK("http://www.ncbi.nlm.nih.gov/protein/XP_021043964.1","androgen receptor")</f>
        <v>androgen receptor</v>
      </c>
      <c r="J89" t="s">
        <v>1312</v>
      </c>
      <c r="K89" t="s">
        <v>20</v>
      </c>
      <c r="L89">
        <v>683</v>
      </c>
      <c r="M89" t="s">
        <v>25</v>
      </c>
      <c r="N89" t="s">
        <v>20</v>
      </c>
      <c r="O89" t="s">
        <v>1352</v>
      </c>
      <c r="P89" t="s">
        <v>20</v>
      </c>
      <c r="Q89">
        <v>132.119</v>
      </c>
      <c r="R89" t="s">
        <v>20</v>
      </c>
      <c r="S89" t="s">
        <v>20</v>
      </c>
      <c r="T89">
        <v>689</v>
      </c>
      <c r="U89" t="s">
        <v>1313</v>
      </c>
      <c r="V89" t="s">
        <v>20</v>
      </c>
      <c r="W89" t="s">
        <v>1352</v>
      </c>
      <c r="X89" t="s">
        <v>20</v>
      </c>
      <c r="Y89">
        <v>146.14599999999999</v>
      </c>
      <c r="Z89" t="s">
        <v>20</v>
      </c>
      <c r="AA89" t="s">
        <v>20</v>
      </c>
      <c r="AB89">
        <v>730</v>
      </c>
      <c r="AC89" t="s">
        <v>1314</v>
      </c>
      <c r="AD89" t="s">
        <v>20</v>
      </c>
      <c r="AE89" t="s">
        <v>1353</v>
      </c>
      <c r="AF89" t="s">
        <v>20</v>
      </c>
      <c r="AG89">
        <v>174.203</v>
      </c>
      <c r="AH89" t="s">
        <v>20</v>
      </c>
      <c r="AI89" t="s">
        <v>20</v>
      </c>
      <c r="AJ89">
        <v>855</v>
      </c>
      <c r="AK89" t="s">
        <v>1315</v>
      </c>
      <c r="AL89" t="s">
        <v>20</v>
      </c>
      <c r="AM89" t="s">
        <v>1354</v>
      </c>
      <c r="AN89" t="s">
        <v>20</v>
      </c>
      <c r="AO89">
        <v>119.119</v>
      </c>
      <c r="AP89" t="s">
        <v>20</v>
      </c>
      <c r="AQ89" t="s">
        <v>20</v>
      </c>
    </row>
    <row r="90" spans="1:43" x14ac:dyDescent="0.25">
      <c r="A90">
        <v>6</v>
      </c>
      <c r="B90" t="s">
        <v>18</v>
      </c>
      <c r="C90" t="str">
        <f>HYPERLINK("http://www.ncbi.nlm.nih.gov/protein/XP_004715496.1","XP_004715496.1")</f>
        <v>XP_004715496.1</v>
      </c>
      <c r="D90">
        <v>24944</v>
      </c>
      <c r="E90" t="str">
        <f>HYPERLINK("http://www.ncbi.nlm.nih.gov/Taxonomy/Browser/wwwtax.cgi?mode=Info&amp;id=9371&amp;lvl=3&amp;lin=f&amp;keep=1&amp;srchmode=1&amp;unlock","9371")</f>
        <v>9371</v>
      </c>
      <c r="F90" t="s">
        <v>18</v>
      </c>
      <c r="G90" t="str">
        <f>HYPERLINK("http://www.ncbi.nlm.nih.gov/Taxonomy/Browser/wwwtax.cgi?mode=Info&amp;id=9371&amp;lvl=3&amp;lin=f&amp;keep=1&amp;srchmode=1&amp;unlock","Echinops telfairi")</f>
        <v>Echinops telfairi</v>
      </c>
      <c r="H90" t="s">
        <v>114</v>
      </c>
      <c r="I90" t="str">
        <f>HYPERLINK("http://www.ncbi.nlm.nih.gov/protein/XP_004715496.1","androgen receptor")</f>
        <v>androgen receptor</v>
      </c>
      <c r="J90" t="s">
        <v>1312</v>
      </c>
      <c r="K90" t="s">
        <v>20</v>
      </c>
      <c r="L90">
        <v>673</v>
      </c>
      <c r="M90" t="s">
        <v>25</v>
      </c>
      <c r="N90" t="s">
        <v>20</v>
      </c>
      <c r="O90" t="s">
        <v>1352</v>
      </c>
      <c r="P90" t="s">
        <v>20</v>
      </c>
      <c r="Q90">
        <v>132.119</v>
      </c>
      <c r="R90" t="s">
        <v>20</v>
      </c>
      <c r="S90" t="s">
        <v>20</v>
      </c>
      <c r="T90">
        <v>679</v>
      </c>
      <c r="U90" t="s">
        <v>1313</v>
      </c>
      <c r="V90" t="s">
        <v>20</v>
      </c>
      <c r="W90" t="s">
        <v>1352</v>
      </c>
      <c r="X90" t="s">
        <v>20</v>
      </c>
      <c r="Y90">
        <v>146.14599999999999</v>
      </c>
      <c r="Z90" t="s">
        <v>20</v>
      </c>
      <c r="AA90" t="s">
        <v>20</v>
      </c>
      <c r="AB90">
        <v>720</v>
      </c>
      <c r="AC90" t="s">
        <v>1314</v>
      </c>
      <c r="AD90" t="s">
        <v>20</v>
      </c>
      <c r="AE90" t="s">
        <v>1353</v>
      </c>
      <c r="AF90" t="s">
        <v>20</v>
      </c>
      <c r="AG90">
        <v>174.203</v>
      </c>
      <c r="AH90" t="s">
        <v>20</v>
      </c>
      <c r="AI90" t="s">
        <v>20</v>
      </c>
      <c r="AJ90">
        <v>845</v>
      </c>
      <c r="AK90" t="s">
        <v>1315</v>
      </c>
      <c r="AL90" t="s">
        <v>20</v>
      </c>
      <c r="AM90" t="s">
        <v>1354</v>
      </c>
      <c r="AN90" t="s">
        <v>20</v>
      </c>
      <c r="AO90">
        <v>119.119</v>
      </c>
      <c r="AP90" t="s">
        <v>20</v>
      </c>
      <c r="AQ90" t="s">
        <v>20</v>
      </c>
    </row>
    <row r="91" spans="1:43" x14ac:dyDescent="0.25">
      <c r="A91">
        <v>6</v>
      </c>
      <c r="B91" t="s">
        <v>18</v>
      </c>
      <c r="C91" t="str">
        <f>HYPERLINK("http://www.ncbi.nlm.nih.gov/protein/XP_012591725.1","XP_012591725.1")</f>
        <v>XP_012591725.1</v>
      </c>
      <c r="D91">
        <v>60035</v>
      </c>
      <c r="E91" t="str">
        <f>HYPERLINK("http://www.ncbi.nlm.nih.gov/Taxonomy/Browser/wwwtax.cgi?mode=Info&amp;id=30608&amp;lvl=3&amp;lin=f&amp;keep=1&amp;srchmode=1&amp;unlock","30608")</f>
        <v>30608</v>
      </c>
      <c r="F91" t="s">
        <v>18</v>
      </c>
      <c r="G91" t="str">
        <f>HYPERLINK("http://www.ncbi.nlm.nih.gov/Taxonomy/Browser/wwwtax.cgi?mode=Info&amp;id=30608&amp;lvl=3&amp;lin=f&amp;keep=1&amp;srchmode=1&amp;unlock","Microcebus murinus")</f>
        <v>Microcebus murinus</v>
      </c>
      <c r="H91" t="s">
        <v>93</v>
      </c>
      <c r="I91" t="str">
        <f>HYPERLINK("http://www.ncbi.nlm.nih.gov/protein/XP_012591725.1","androgen receptor")</f>
        <v>androgen receptor</v>
      </c>
      <c r="J91" t="s">
        <v>1312</v>
      </c>
      <c r="K91" t="s">
        <v>20</v>
      </c>
      <c r="L91">
        <v>673</v>
      </c>
      <c r="M91" t="s">
        <v>25</v>
      </c>
      <c r="N91" t="s">
        <v>20</v>
      </c>
      <c r="O91" t="s">
        <v>1352</v>
      </c>
      <c r="P91" t="s">
        <v>20</v>
      </c>
      <c r="Q91">
        <v>132.119</v>
      </c>
      <c r="R91" t="s">
        <v>20</v>
      </c>
      <c r="S91" t="s">
        <v>20</v>
      </c>
      <c r="T91">
        <v>679</v>
      </c>
      <c r="U91" t="s">
        <v>1313</v>
      </c>
      <c r="V91" t="s">
        <v>20</v>
      </c>
      <c r="W91" t="s">
        <v>1352</v>
      </c>
      <c r="X91" t="s">
        <v>20</v>
      </c>
      <c r="Y91">
        <v>146.14599999999999</v>
      </c>
      <c r="Z91" t="s">
        <v>20</v>
      </c>
      <c r="AA91" t="s">
        <v>20</v>
      </c>
      <c r="AB91">
        <v>720</v>
      </c>
      <c r="AC91" t="s">
        <v>1314</v>
      </c>
      <c r="AD91" t="s">
        <v>20</v>
      </c>
      <c r="AE91" t="s">
        <v>1353</v>
      </c>
      <c r="AF91" t="s">
        <v>20</v>
      </c>
      <c r="AG91">
        <v>174.203</v>
      </c>
      <c r="AH91" t="s">
        <v>20</v>
      </c>
      <c r="AI91" t="s">
        <v>20</v>
      </c>
      <c r="AJ91">
        <v>845</v>
      </c>
      <c r="AK91" t="s">
        <v>1315</v>
      </c>
      <c r="AL91" t="s">
        <v>20</v>
      </c>
      <c r="AM91" t="s">
        <v>1354</v>
      </c>
      <c r="AN91" t="s">
        <v>20</v>
      </c>
      <c r="AO91">
        <v>119.119</v>
      </c>
      <c r="AP91" t="s">
        <v>20</v>
      </c>
      <c r="AQ91" t="s">
        <v>20</v>
      </c>
    </row>
    <row r="92" spans="1:43" x14ac:dyDescent="0.25">
      <c r="A92">
        <v>6</v>
      </c>
      <c r="B92" t="s">
        <v>18</v>
      </c>
      <c r="C92" t="str">
        <f>HYPERLINK("http://www.ncbi.nlm.nih.gov/protein/XP_006868555.1","XP_006868555.1")</f>
        <v>XP_006868555.1</v>
      </c>
      <c r="D92">
        <v>25292</v>
      </c>
      <c r="E92" t="str">
        <f>HYPERLINK("http://www.ncbi.nlm.nih.gov/Taxonomy/Browser/wwwtax.cgi?mode=Info&amp;id=185453&amp;lvl=3&amp;lin=f&amp;keep=1&amp;srchmode=1&amp;unlock","185453")</f>
        <v>185453</v>
      </c>
      <c r="F92" t="s">
        <v>18</v>
      </c>
      <c r="G92" t="str">
        <f>HYPERLINK("http://www.ncbi.nlm.nih.gov/Taxonomy/Browser/wwwtax.cgi?mode=Info&amp;id=185453&amp;lvl=3&amp;lin=f&amp;keep=1&amp;srchmode=1&amp;unlock","Chrysochloris asiatica")</f>
        <v>Chrysochloris asiatica</v>
      </c>
      <c r="H92" t="s">
        <v>124</v>
      </c>
      <c r="I92" t="str">
        <f>HYPERLINK("http://www.ncbi.nlm.nih.gov/protein/XP_006868555.1","PREDICTED: androgen receptor-like isoform X4")</f>
        <v>PREDICTED: androgen receptor-like isoform X4</v>
      </c>
      <c r="J92" t="s">
        <v>1312</v>
      </c>
      <c r="K92" t="s">
        <v>20</v>
      </c>
      <c r="L92">
        <v>685</v>
      </c>
      <c r="M92" t="s">
        <v>25</v>
      </c>
      <c r="N92" t="s">
        <v>20</v>
      </c>
      <c r="O92" t="s">
        <v>1352</v>
      </c>
      <c r="P92" t="s">
        <v>20</v>
      </c>
      <c r="Q92">
        <v>132.119</v>
      </c>
      <c r="R92" t="s">
        <v>20</v>
      </c>
      <c r="S92" t="s">
        <v>20</v>
      </c>
      <c r="T92">
        <v>691</v>
      </c>
      <c r="U92" t="s">
        <v>1313</v>
      </c>
      <c r="V92" t="s">
        <v>20</v>
      </c>
      <c r="W92" t="s">
        <v>1352</v>
      </c>
      <c r="X92" t="s">
        <v>20</v>
      </c>
      <c r="Y92">
        <v>146.14599999999999</v>
      </c>
      <c r="Z92" t="s">
        <v>20</v>
      </c>
      <c r="AA92" t="s">
        <v>20</v>
      </c>
      <c r="AB92">
        <v>732</v>
      </c>
      <c r="AC92" t="s">
        <v>1314</v>
      </c>
      <c r="AD92" t="s">
        <v>20</v>
      </c>
      <c r="AE92" t="s">
        <v>1353</v>
      </c>
      <c r="AF92" t="s">
        <v>20</v>
      </c>
      <c r="AG92">
        <v>174.203</v>
      </c>
      <c r="AH92" t="s">
        <v>20</v>
      </c>
      <c r="AI92" t="s">
        <v>20</v>
      </c>
      <c r="AJ92">
        <v>857</v>
      </c>
      <c r="AK92" t="s">
        <v>1315</v>
      </c>
      <c r="AL92" t="s">
        <v>20</v>
      </c>
      <c r="AM92" t="s">
        <v>1354</v>
      </c>
      <c r="AN92" t="s">
        <v>20</v>
      </c>
      <c r="AO92">
        <v>119.119</v>
      </c>
      <c r="AP92" t="s">
        <v>20</v>
      </c>
      <c r="AQ92" t="s">
        <v>20</v>
      </c>
    </row>
    <row r="93" spans="1:43" x14ac:dyDescent="0.25">
      <c r="A93">
        <v>6</v>
      </c>
      <c r="B93" t="s">
        <v>18</v>
      </c>
      <c r="C93" t="str">
        <f>HYPERLINK("http://www.ncbi.nlm.nih.gov/protein/NP_038504.1","NP_038504.1")</f>
        <v>NP_038504.1</v>
      </c>
      <c r="D93">
        <v>329947</v>
      </c>
      <c r="E93" t="str">
        <f>HYPERLINK("http://www.ncbi.nlm.nih.gov/Taxonomy/Browser/wwwtax.cgi?mode=Info&amp;id=10090&amp;lvl=3&amp;lin=f&amp;keep=1&amp;srchmode=1&amp;unlock","10090")</f>
        <v>10090</v>
      </c>
      <c r="F93" t="s">
        <v>18</v>
      </c>
      <c r="G93" t="str">
        <f>HYPERLINK("http://www.ncbi.nlm.nih.gov/Taxonomy/Browser/wwwtax.cgi?mode=Info&amp;id=10090&amp;lvl=3&amp;lin=f&amp;keep=1&amp;srchmode=1&amp;unlock","Mus musculus")</f>
        <v>Mus musculus</v>
      </c>
      <c r="H93" t="s">
        <v>119</v>
      </c>
      <c r="I93" t="str">
        <f>HYPERLINK("http://www.ncbi.nlm.nih.gov/protein/NP_038504.1","androgen receptor")</f>
        <v>androgen receptor</v>
      </c>
      <c r="J93" t="s">
        <v>1312</v>
      </c>
      <c r="K93" t="s">
        <v>20</v>
      </c>
      <c r="L93">
        <v>685</v>
      </c>
      <c r="M93" t="s">
        <v>25</v>
      </c>
      <c r="N93" t="s">
        <v>20</v>
      </c>
      <c r="O93" t="s">
        <v>1352</v>
      </c>
      <c r="P93" t="s">
        <v>20</v>
      </c>
      <c r="Q93">
        <v>132.119</v>
      </c>
      <c r="R93" t="s">
        <v>20</v>
      </c>
      <c r="S93" t="s">
        <v>20</v>
      </c>
      <c r="T93">
        <v>691</v>
      </c>
      <c r="U93" t="s">
        <v>1313</v>
      </c>
      <c r="V93" t="s">
        <v>20</v>
      </c>
      <c r="W93" t="s">
        <v>1352</v>
      </c>
      <c r="X93" t="s">
        <v>20</v>
      </c>
      <c r="Y93">
        <v>146.14599999999999</v>
      </c>
      <c r="Z93" t="s">
        <v>20</v>
      </c>
      <c r="AA93" t="s">
        <v>20</v>
      </c>
      <c r="AB93">
        <v>732</v>
      </c>
      <c r="AC93" t="s">
        <v>1314</v>
      </c>
      <c r="AD93" t="s">
        <v>20</v>
      </c>
      <c r="AE93" t="s">
        <v>1353</v>
      </c>
      <c r="AF93" t="s">
        <v>20</v>
      </c>
      <c r="AG93">
        <v>174.203</v>
      </c>
      <c r="AH93" t="s">
        <v>20</v>
      </c>
      <c r="AI93" t="s">
        <v>20</v>
      </c>
      <c r="AJ93">
        <v>857</v>
      </c>
      <c r="AK93" t="s">
        <v>1315</v>
      </c>
      <c r="AL93" t="s">
        <v>20</v>
      </c>
      <c r="AM93" t="s">
        <v>1354</v>
      </c>
      <c r="AN93" t="s">
        <v>20</v>
      </c>
      <c r="AO93">
        <v>119.119</v>
      </c>
      <c r="AP93" t="s">
        <v>20</v>
      </c>
      <c r="AQ93" t="s">
        <v>20</v>
      </c>
    </row>
    <row r="94" spans="1:43" x14ac:dyDescent="0.25">
      <c r="A94">
        <v>6</v>
      </c>
      <c r="B94" t="s">
        <v>18</v>
      </c>
      <c r="C94" t="str">
        <f>HYPERLINK("http://www.ncbi.nlm.nih.gov/protein/XP_036696642.1","XP_036696642.1")</f>
        <v>XP_036696642.1</v>
      </c>
      <c r="D94">
        <v>52383</v>
      </c>
      <c r="E94" t="str">
        <f>HYPERLINK("http://www.ncbi.nlm.nih.gov/Taxonomy/Browser/wwwtax.cgi?mode=Info&amp;id=9771&amp;lvl=3&amp;lin=f&amp;keep=1&amp;srchmode=1&amp;unlock","9771")</f>
        <v>9771</v>
      </c>
      <c r="F94" t="s">
        <v>18</v>
      </c>
      <c r="G94" t="str">
        <f>HYPERLINK("http://www.ncbi.nlm.nih.gov/Taxonomy/Browser/wwwtax.cgi?mode=Info&amp;id=9771&amp;lvl=3&amp;lin=f&amp;keep=1&amp;srchmode=1&amp;unlock","Balaenoptera musculus")</f>
        <v>Balaenoptera musculus</v>
      </c>
      <c r="H94" t="s">
        <v>190</v>
      </c>
      <c r="I94" t="str">
        <f>HYPERLINK("http://www.ncbi.nlm.nih.gov/protein/XP_036696642.1","androgen receptor")</f>
        <v>androgen receptor</v>
      </c>
      <c r="J94" t="s">
        <v>1312</v>
      </c>
      <c r="K94" t="s">
        <v>20</v>
      </c>
      <c r="L94">
        <v>679</v>
      </c>
      <c r="M94" t="s">
        <v>25</v>
      </c>
      <c r="N94" t="s">
        <v>20</v>
      </c>
      <c r="O94" t="s">
        <v>1352</v>
      </c>
      <c r="P94" t="s">
        <v>20</v>
      </c>
      <c r="Q94">
        <v>132.119</v>
      </c>
      <c r="R94" t="s">
        <v>20</v>
      </c>
      <c r="S94" t="s">
        <v>20</v>
      </c>
      <c r="T94">
        <v>685</v>
      </c>
      <c r="U94" t="s">
        <v>1313</v>
      </c>
      <c r="V94" t="s">
        <v>20</v>
      </c>
      <c r="W94" t="s">
        <v>1352</v>
      </c>
      <c r="X94" t="s">
        <v>20</v>
      </c>
      <c r="Y94">
        <v>146.14599999999999</v>
      </c>
      <c r="Z94" t="s">
        <v>20</v>
      </c>
      <c r="AA94" t="s">
        <v>20</v>
      </c>
      <c r="AB94">
        <v>726</v>
      </c>
      <c r="AC94" t="s">
        <v>1314</v>
      </c>
      <c r="AD94" t="s">
        <v>20</v>
      </c>
      <c r="AE94" t="s">
        <v>1353</v>
      </c>
      <c r="AF94" t="s">
        <v>20</v>
      </c>
      <c r="AG94">
        <v>174.203</v>
      </c>
      <c r="AH94" t="s">
        <v>20</v>
      </c>
      <c r="AI94" t="s">
        <v>20</v>
      </c>
      <c r="AJ94">
        <v>851</v>
      </c>
      <c r="AK94" t="s">
        <v>1315</v>
      </c>
      <c r="AL94" t="s">
        <v>20</v>
      </c>
      <c r="AM94" t="s">
        <v>1354</v>
      </c>
      <c r="AN94" t="s">
        <v>20</v>
      </c>
      <c r="AO94">
        <v>119.119</v>
      </c>
      <c r="AP94" t="s">
        <v>20</v>
      </c>
      <c r="AQ94" t="s">
        <v>20</v>
      </c>
    </row>
    <row r="95" spans="1:43" x14ac:dyDescent="0.25">
      <c r="A95">
        <v>6</v>
      </c>
      <c r="B95" t="s">
        <v>18</v>
      </c>
      <c r="C95" t="str">
        <f>HYPERLINK("http://www.ncbi.nlm.nih.gov/protein/AAA37234.1","AAA37234.1")</f>
        <v>AAA37234.1</v>
      </c>
      <c r="D95">
        <v>2964</v>
      </c>
      <c r="E95" t="str">
        <f>HYPERLINK("http://www.ncbi.nlm.nih.gov/Taxonomy/Browser/wwwtax.cgi?mode=Info&amp;id=10092&amp;lvl=3&amp;lin=f&amp;keep=1&amp;srchmode=1&amp;unlock","10092")</f>
        <v>10092</v>
      </c>
      <c r="F95" t="s">
        <v>18</v>
      </c>
      <c r="G95" t="str">
        <f>HYPERLINK("http://www.ncbi.nlm.nih.gov/Taxonomy/Browser/wwwtax.cgi?mode=Info&amp;id=10092&amp;lvl=3&amp;lin=f&amp;keep=1&amp;srchmode=1&amp;unlock","Mus musculus domesticus")</f>
        <v>Mus musculus domesticus</v>
      </c>
      <c r="H95" t="s">
        <v>913</v>
      </c>
      <c r="I95" t="str">
        <f>HYPERLINK("http://www.ncbi.nlm.nih.gov/protein/AAA37234.1","androgen receptor")</f>
        <v>androgen receptor</v>
      </c>
      <c r="J95" t="s">
        <v>1312</v>
      </c>
      <c r="K95" t="s">
        <v>20</v>
      </c>
      <c r="L95">
        <v>685</v>
      </c>
      <c r="M95" t="s">
        <v>25</v>
      </c>
      <c r="N95" t="s">
        <v>20</v>
      </c>
      <c r="O95" t="s">
        <v>1352</v>
      </c>
      <c r="P95" t="s">
        <v>20</v>
      </c>
      <c r="Q95">
        <v>132.119</v>
      </c>
      <c r="R95" t="s">
        <v>20</v>
      </c>
      <c r="S95" t="s">
        <v>20</v>
      </c>
      <c r="T95">
        <v>691</v>
      </c>
      <c r="U95" t="s">
        <v>1313</v>
      </c>
      <c r="V95" t="s">
        <v>20</v>
      </c>
      <c r="W95" t="s">
        <v>1352</v>
      </c>
      <c r="X95" t="s">
        <v>20</v>
      </c>
      <c r="Y95">
        <v>146.14599999999999</v>
      </c>
      <c r="Z95" t="s">
        <v>20</v>
      </c>
      <c r="AA95" t="s">
        <v>20</v>
      </c>
      <c r="AB95">
        <v>732</v>
      </c>
      <c r="AC95" t="s">
        <v>1314</v>
      </c>
      <c r="AD95" t="s">
        <v>20</v>
      </c>
      <c r="AE95" t="s">
        <v>1353</v>
      </c>
      <c r="AF95" t="s">
        <v>20</v>
      </c>
      <c r="AG95">
        <v>174.203</v>
      </c>
      <c r="AH95" t="s">
        <v>20</v>
      </c>
      <c r="AI95" t="s">
        <v>20</v>
      </c>
      <c r="AJ95">
        <v>857</v>
      </c>
      <c r="AK95" t="s">
        <v>1315</v>
      </c>
      <c r="AL95" t="s">
        <v>20</v>
      </c>
      <c r="AM95" t="s">
        <v>1354</v>
      </c>
      <c r="AN95" t="s">
        <v>20</v>
      </c>
      <c r="AO95">
        <v>119.119</v>
      </c>
      <c r="AP95" t="s">
        <v>20</v>
      </c>
      <c r="AQ95" t="s">
        <v>20</v>
      </c>
    </row>
    <row r="96" spans="1:43" x14ac:dyDescent="0.25">
      <c r="A96">
        <v>6</v>
      </c>
      <c r="B96" t="s">
        <v>18</v>
      </c>
      <c r="C96" t="str">
        <f>HYPERLINK("http://www.ncbi.nlm.nih.gov/protein/AAB19916.1","AAB19916.1")</f>
        <v>AAB19916.1</v>
      </c>
      <c r="D96">
        <v>1375</v>
      </c>
      <c r="E96" t="str">
        <f>HYPERLINK("http://www.ncbi.nlm.nih.gov/Taxonomy/Browser/wwwtax.cgi?mode=Info&amp;id=10095&amp;lvl=3&amp;lin=f&amp;keep=1&amp;srchmode=1&amp;unlock","10095")</f>
        <v>10095</v>
      </c>
      <c r="F96" t="s">
        <v>18</v>
      </c>
      <c r="G96" t="str">
        <f>HYPERLINK("http://www.ncbi.nlm.nih.gov/Taxonomy/Browser/wwwtax.cgi?mode=Info&amp;id=10095&amp;lvl=3&amp;lin=f&amp;keep=1&amp;srchmode=1&amp;unlock","Mus sp.")</f>
        <v>Mus sp.</v>
      </c>
      <c r="H96" t="s">
        <v>906</v>
      </c>
      <c r="I96" t="str">
        <f>HYPERLINK("http://www.ncbi.nlm.nih.gov/protein/AAB19916.1","AR")</f>
        <v>AR</v>
      </c>
      <c r="J96" t="s">
        <v>1312</v>
      </c>
      <c r="K96" t="s">
        <v>20</v>
      </c>
      <c r="L96">
        <v>685</v>
      </c>
      <c r="M96" t="s">
        <v>25</v>
      </c>
      <c r="N96" t="s">
        <v>20</v>
      </c>
      <c r="O96" t="s">
        <v>1352</v>
      </c>
      <c r="P96" t="s">
        <v>20</v>
      </c>
      <c r="Q96">
        <v>132.119</v>
      </c>
      <c r="R96" t="s">
        <v>20</v>
      </c>
      <c r="S96" t="s">
        <v>20</v>
      </c>
      <c r="T96">
        <v>691</v>
      </c>
      <c r="U96" t="s">
        <v>1313</v>
      </c>
      <c r="V96" t="s">
        <v>20</v>
      </c>
      <c r="W96" t="s">
        <v>1352</v>
      </c>
      <c r="X96" t="s">
        <v>20</v>
      </c>
      <c r="Y96">
        <v>146.14599999999999</v>
      </c>
      <c r="Z96" t="s">
        <v>20</v>
      </c>
      <c r="AA96" t="s">
        <v>20</v>
      </c>
      <c r="AB96">
        <v>732</v>
      </c>
      <c r="AC96" t="s">
        <v>1314</v>
      </c>
      <c r="AD96" t="s">
        <v>20</v>
      </c>
      <c r="AE96" t="s">
        <v>1353</v>
      </c>
      <c r="AF96" t="s">
        <v>20</v>
      </c>
      <c r="AG96">
        <v>174.203</v>
      </c>
      <c r="AH96" t="s">
        <v>20</v>
      </c>
      <c r="AI96" t="s">
        <v>20</v>
      </c>
      <c r="AJ96">
        <v>857</v>
      </c>
      <c r="AK96" t="s">
        <v>1315</v>
      </c>
      <c r="AL96" t="s">
        <v>20</v>
      </c>
      <c r="AM96" t="s">
        <v>1354</v>
      </c>
      <c r="AN96" t="s">
        <v>20</v>
      </c>
      <c r="AO96">
        <v>119.119</v>
      </c>
      <c r="AP96" t="s">
        <v>20</v>
      </c>
      <c r="AQ96" t="s">
        <v>20</v>
      </c>
    </row>
    <row r="97" spans="1:43" x14ac:dyDescent="0.25">
      <c r="A97">
        <v>6</v>
      </c>
      <c r="B97" t="s">
        <v>18</v>
      </c>
      <c r="C97" t="str">
        <f>HYPERLINK("http://www.ncbi.nlm.nih.gov/protein/XP_002929217.2","XP_002929217.2")</f>
        <v>XP_002929217.2</v>
      </c>
      <c r="D97">
        <v>73410</v>
      </c>
      <c r="E97" t="str">
        <f>HYPERLINK("http://www.ncbi.nlm.nih.gov/Taxonomy/Browser/wwwtax.cgi?mode=Info&amp;id=9646&amp;lvl=3&amp;lin=f&amp;keep=1&amp;srchmode=1&amp;unlock","9646")</f>
        <v>9646</v>
      </c>
      <c r="F97" t="s">
        <v>18</v>
      </c>
      <c r="G97" t="str">
        <f>HYPERLINK("http://www.ncbi.nlm.nih.gov/Taxonomy/Browser/wwwtax.cgi?mode=Info&amp;id=9646&amp;lvl=3&amp;lin=f&amp;keep=1&amp;srchmode=1&amp;unlock","Ailuropoda melanoleuca")</f>
        <v>Ailuropoda melanoleuca</v>
      </c>
      <c r="H97" t="s">
        <v>37</v>
      </c>
      <c r="I97" t="str">
        <f>HYPERLINK("http://www.ncbi.nlm.nih.gov/protein/XP_002929217.2","androgen receptor")</f>
        <v>androgen receptor</v>
      </c>
      <c r="J97" t="s">
        <v>1312</v>
      </c>
      <c r="K97" t="s">
        <v>20</v>
      </c>
      <c r="L97">
        <v>693</v>
      </c>
      <c r="M97" t="s">
        <v>25</v>
      </c>
      <c r="N97" t="s">
        <v>20</v>
      </c>
      <c r="O97" t="s">
        <v>1352</v>
      </c>
      <c r="P97" t="s">
        <v>20</v>
      </c>
      <c r="Q97">
        <v>132.119</v>
      </c>
      <c r="R97" t="s">
        <v>20</v>
      </c>
      <c r="S97" t="s">
        <v>20</v>
      </c>
      <c r="T97">
        <v>699</v>
      </c>
      <c r="U97" t="s">
        <v>1313</v>
      </c>
      <c r="V97" t="s">
        <v>20</v>
      </c>
      <c r="W97" t="s">
        <v>1352</v>
      </c>
      <c r="X97" t="s">
        <v>20</v>
      </c>
      <c r="Y97">
        <v>146.14599999999999</v>
      </c>
      <c r="Z97" t="s">
        <v>20</v>
      </c>
      <c r="AA97" t="s">
        <v>20</v>
      </c>
      <c r="AB97">
        <v>740</v>
      </c>
      <c r="AC97" t="s">
        <v>1314</v>
      </c>
      <c r="AD97" t="s">
        <v>20</v>
      </c>
      <c r="AE97" t="s">
        <v>1353</v>
      </c>
      <c r="AF97" t="s">
        <v>20</v>
      </c>
      <c r="AG97">
        <v>174.203</v>
      </c>
      <c r="AH97" t="s">
        <v>20</v>
      </c>
      <c r="AI97" t="s">
        <v>20</v>
      </c>
      <c r="AJ97">
        <v>865</v>
      </c>
      <c r="AK97" t="s">
        <v>1315</v>
      </c>
      <c r="AL97" t="s">
        <v>20</v>
      </c>
      <c r="AM97" t="s">
        <v>1354</v>
      </c>
      <c r="AN97" t="s">
        <v>20</v>
      </c>
      <c r="AO97">
        <v>119.119</v>
      </c>
      <c r="AP97" t="s">
        <v>20</v>
      </c>
      <c r="AQ97" t="s">
        <v>20</v>
      </c>
    </row>
    <row r="98" spans="1:43" x14ac:dyDescent="0.25">
      <c r="A98">
        <v>6</v>
      </c>
      <c r="B98" t="s">
        <v>18</v>
      </c>
      <c r="C98" t="str">
        <f>HYPERLINK("http://www.ncbi.nlm.nih.gov/protein/XP_028625865.1","XP_028625865.1")</f>
        <v>XP_028625865.1</v>
      </c>
      <c r="D98">
        <v>38217</v>
      </c>
      <c r="E98" t="str">
        <f>HYPERLINK("http://www.ncbi.nlm.nih.gov/Taxonomy/Browser/wwwtax.cgi?mode=Info&amp;id=491861&amp;lvl=3&amp;lin=f&amp;keep=1&amp;srchmode=1&amp;unlock","491861")</f>
        <v>491861</v>
      </c>
      <c r="F98" t="s">
        <v>18</v>
      </c>
      <c r="G98" t="str">
        <f>HYPERLINK("http://www.ncbi.nlm.nih.gov/Taxonomy/Browser/wwwtax.cgi?mode=Info&amp;id=491861&amp;lvl=3&amp;lin=f&amp;keep=1&amp;srchmode=1&amp;unlock","Grammomys surdaster")</f>
        <v>Grammomys surdaster</v>
      </c>
      <c r="H98" t="s">
        <v>133</v>
      </c>
      <c r="I98" t="str">
        <f>HYPERLINK("http://www.ncbi.nlm.nih.gov/protein/XP_028625865.1","androgen receptor")</f>
        <v>androgen receptor</v>
      </c>
      <c r="J98" t="s">
        <v>1312</v>
      </c>
      <c r="K98" t="s">
        <v>20</v>
      </c>
      <c r="L98">
        <v>685</v>
      </c>
      <c r="M98" t="s">
        <v>25</v>
      </c>
      <c r="N98" t="s">
        <v>20</v>
      </c>
      <c r="O98" t="s">
        <v>1352</v>
      </c>
      <c r="P98" t="s">
        <v>20</v>
      </c>
      <c r="Q98">
        <v>132.119</v>
      </c>
      <c r="R98" t="s">
        <v>20</v>
      </c>
      <c r="S98" t="s">
        <v>20</v>
      </c>
      <c r="T98">
        <v>691</v>
      </c>
      <c r="U98" t="s">
        <v>1313</v>
      </c>
      <c r="V98" t="s">
        <v>20</v>
      </c>
      <c r="W98" t="s">
        <v>1352</v>
      </c>
      <c r="X98" t="s">
        <v>20</v>
      </c>
      <c r="Y98">
        <v>146.14599999999999</v>
      </c>
      <c r="Z98" t="s">
        <v>20</v>
      </c>
      <c r="AA98" t="s">
        <v>20</v>
      </c>
      <c r="AB98">
        <v>732</v>
      </c>
      <c r="AC98" t="s">
        <v>1314</v>
      </c>
      <c r="AD98" t="s">
        <v>20</v>
      </c>
      <c r="AE98" t="s">
        <v>1353</v>
      </c>
      <c r="AF98" t="s">
        <v>20</v>
      </c>
      <c r="AG98">
        <v>174.203</v>
      </c>
      <c r="AH98" t="s">
        <v>20</v>
      </c>
      <c r="AI98" t="s">
        <v>20</v>
      </c>
      <c r="AJ98">
        <v>857</v>
      </c>
      <c r="AK98" t="s">
        <v>1315</v>
      </c>
      <c r="AL98" t="s">
        <v>20</v>
      </c>
      <c r="AM98" t="s">
        <v>1354</v>
      </c>
      <c r="AN98" t="s">
        <v>20</v>
      </c>
      <c r="AO98">
        <v>119.119</v>
      </c>
      <c r="AP98" t="s">
        <v>20</v>
      </c>
      <c r="AQ98" t="s">
        <v>20</v>
      </c>
    </row>
    <row r="99" spans="1:43" x14ac:dyDescent="0.25">
      <c r="A99">
        <v>6</v>
      </c>
      <c r="B99" t="s">
        <v>18</v>
      </c>
      <c r="C99" t="str">
        <f>HYPERLINK("http://www.ncbi.nlm.nih.gov/protein/NP_036634.2","NP_036634.2")</f>
        <v>NP_036634.2</v>
      </c>
      <c r="D99">
        <v>157817</v>
      </c>
      <c r="E99" t="str">
        <f>HYPERLINK("http://www.ncbi.nlm.nih.gov/Taxonomy/Browser/wwwtax.cgi?mode=Info&amp;id=10116&amp;lvl=3&amp;lin=f&amp;keep=1&amp;srchmode=1&amp;unlock","10116")</f>
        <v>10116</v>
      </c>
      <c r="F99" t="s">
        <v>18</v>
      </c>
      <c r="G99" t="str">
        <f>HYPERLINK("http://www.ncbi.nlm.nih.gov/Taxonomy/Browser/wwwtax.cgi?mode=Info&amp;id=10116&amp;lvl=3&amp;lin=f&amp;keep=1&amp;srchmode=1&amp;unlock","Rattus norvegicus")</f>
        <v>Rattus norvegicus</v>
      </c>
      <c r="H99" t="s">
        <v>136</v>
      </c>
      <c r="I99" t="str">
        <f>HYPERLINK("http://www.ncbi.nlm.nih.gov/protein/NP_036634.2","androgen receptor")</f>
        <v>androgen receptor</v>
      </c>
      <c r="J99" t="s">
        <v>1312</v>
      </c>
      <c r="K99" t="s">
        <v>20</v>
      </c>
      <c r="L99">
        <v>688</v>
      </c>
      <c r="M99" t="s">
        <v>25</v>
      </c>
      <c r="N99" t="s">
        <v>20</v>
      </c>
      <c r="O99" t="s">
        <v>1352</v>
      </c>
      <c r="P99" t="s">
        <v>20</v>
      </c>
      <c r="Q99">
        <v>132.119</v>
      </c>
      <c r="R99" t="s">
        <v>20</v>
      </c>
      <c r="S99" t="s">
        <v>20</v>
      </c>
      <c r="T99">
        <v>694</v>
      </c>
      <c r="U99" t="s">
        <v>1313</v>
      </c>
      <c r="V99" t="s">
        <v>20</v>
      </c>
      <c r="W99" t="s">
        <v>1352</v>
      </c>
      <c r="X99" t="s">
        <v>20</v>
      </c>
      <c r="Y99">
        <v>146.14599999999999</v>
      </c>
      <c r="Z99" t="s">
        <v>20</v>
      </c>
      <c r="AA99" t="s">
        <v>20</v>
      </c>
      <c r="AB99">
        <v>735</v>
      </c>
      <c r="AC99" t="s">
        <v>1314</v>
      </c>
      <c r="AD99" t="s">
        <v>20</v>
      </c>
      <c r="AE99" t="s">
        <v>1353</v>
      </c>
      <c r="AF99" t="s">
        <v>20</v>
      </c>
      <c r="AG99">
        <v>174.203</v>
      </c>
      <c r="AH99" t="s">
        <v>20</v>
      </c>
      <c r="AI99" t="s">
        <v>20</v>
      </c>
      <c r="AJ99">
        <v>860</v>
      </c>
      <c r="AK99" t="s">
        <v>1315</v>
      </c>
      <c r="AL99" t="s">
        <v>20</v>
      </c>
      <c r="AM99" t="s">
        <v>1354</v>
      </c>
      <c r="AN99" t="s">
        <v>20</v>
      </c>
      <c r="AO99">
        <v>119.119</v>
      </c>
      <c r="AP99" t="s">
        <v>20</v>
      </c>
      <c r="AQ99" t="s">
        <v>20</v>
      </c>
    </row>
    <row r="100" spans="1:43" x14ac:dyDescent="0.25">
      <c r="A100">
        <v>6</v>
      </c>
      <c r="B100" t="s">
        <v>18</v>
      </c>
      <c r="C100" t="str">
        <f>HYPERLINK("http://www.ncbi.nlm.nih.gov/protein/XP_016059359.1","XP_016059359.1")</f>
        <v>XP_016059359.1</v>
      </c>
      <c r="D100">
        <v>29863</v>
      </c>
      <c r="E100" t="str">
        <f>HYPERLINK("http://www.ncbi.nlm.nih.gov/Taxonomy/Browser/wwwtax.cgi?mode=Info&amp;id=291302&amp;lvl=3&amp;lin=f&amp;keep=1&amp;srchmode=1&amp;unlock","291302")</f>
        <v>291302</v>
      </c>
      <c r="F100" t="s">
        <v>18</v>
      </c>
      <c r="G100" t="str">
        <f>HYPERLINK("http://www.ncbi.nlm.nih.gov/Taxonomy/Browser/wwwtax.cgi?mode=Info&amp;id=291302&amp;lvl=3&amp;lin=f&amp;keep=1&amp;srchmode=1&amp;unlock","Miniopterus natalensis")</f>
        <v>Miniopterus natalensis</v>
      </c>
      <c r="H100" t="s">
        <v>77</v>
      </c>
      <c r="I100" t="str">
        <f>HYPERLINK("http://www.ncbi.nlm.nih.gov/protein/XP_016059359.1","PREDICTED: androgen receptor isoform X3")</f>
        <v>PREDICTED: androgen receptor isoform X3</v>
      </c>
      <c r="J100" t="s">
        <v>1312</v>
      </c>
      <c r="K100" t="s">
        <v>20</v>
      </c>
      <c r="L100">
        <v>690</v>
      </c>
      <c r="M100" t="s">
        <v>25</v>
      </c>
      <c r="N100" t="s">
        <v>20</v>
      </c>
      <c r="O100" t="s">
        <v>1352</v>
      </c>
      <c r="P100" t="s">
        <v>20</v>
      </c>
      <c r="Q100">
        <v>132.119</v>
      </c>
      <c r="R100" t="s">
        <v>20</v>
      </c>
      <c r="S100" t="s">
        <v>20</v>
      </c>
      <c r="T100">
        <v>696</v>
      </c>
      <c r="U100" t="s">
        <v>1313</v>
      </c>
      <c r="V100" t="s">
        <v>20</v>
      </c>
      <c r="W100" t="s">
        <v>1352</v>
      </c>
      <c r="X100" t="s">
        <v>20</v>
      </c>
      <c r="Y100">
        <v>146.14599999999999</v>
      </c>
      <c r="Z100" t="s">
        <v>20</v>
      </c>
      <c r="AA100" t="s">
        <v>20</v>
      </c>
      <c r="AB100">
        <v>737</v>
      </c>
      <c r="AC100" t="s">
        <v>1314</v>
      </c>
      <c r="AD100" t="s">
        <v>20</v>
      </c>
      <c r="AE100" t="s">
        <v>1353</v>
      </c>
      <c r="AF100" t="s">
        <v>20</v>
      </c>
      <c r="AG100">
        <v>174.203</v>
      </c>
      <c r="AH100" t="s">
        <v>20</v>
      </c>
      <c r="AI100" t="s">
        <v>20</v>
      </c>
      <c r="AJ100">
        <v>862</v>
      </c>
      <c r="AK100" t="s">
        <v>1315</v>
      </c>
      <c r="AL100" t="s">
        <v>20</v>
      </c>
      <c r="AM100" t="s">
        <v>1354</v>
      </c>
      <c r="AN100" t="s">
        <v>20</v>
      </c>
      <c r="AO100">
        <v>119.119</v>
      </c>
      <c r="AP100" t="s">
        <v>20</v>
      </c>
      <c r="AQ100" t="s">
        <v>20</v>
      </c>
    </row>
    <row r="101" spans="1:43" x14ac:dyDescent="0.25">
      <c r="A101">
        <v>6</v>
      </c>
      <c r="B101" t="s">
        <v>18</v>
      </c>
      <c r="C101" t="str">
        <f>HYPERLINK("http://www.ncbi.nlm.nih.gov/protein/XP_024411091.1","XP_024411091.1")</f>
        <v>XP_024411091.1</v>
      </c>
      <c r="D101">
        <v>30698</v>
      </c>
      <c r="E101" t="str">
        <f>HYPERLINK("http://www.ncbi.nlm.nih.gov/Taxonomy/Browser/wwwtax.cgi?mode=Info&amp;id=9430&amp;lvl=3&amp;lin=f&amp;keep=1&amp;srchmode=1&amp;unlock","9430")</f>
        <v>9430</v>
      </c>
      <c r="F101" t="s">
        <v>18</v>
      </c>
      <c r="G101" t="str">
        <f>HYPERLINK("http://www.ncbi.nlm.nih.gov/Taxonomy/Browser/wwwtax.cgi?mode=Info&amp;id=9430&amp;lvl=3&amp;lin=f&amp;keep=1&amp;srchmode=1&amp;unlock","Desmodus rotundus")</f>
        <v>Desmodus rotundus</v>
      </c>
      <c r="H101" t="s">
        <v>131</v>
      </c>
      <c r="I101" t="str">
        <f>HYPERLINK("http://www.ncbi.nlm.nih.gov/protein/XP_024411091.1","androgen receptor isoform X1")</f>
        <v>androgen receptor isoform X1</v>
      </c>
      <c r="J101" t="s">
        <v>1312</v>
      </c>
      <c r="K101" t="s">
        <v>20</v>
      </c>
      <c r="L101">
        <v>671</v>
      </c>
      <c r="M101" t="s">
        <v>25</v>
      </c>
      <c r="N101" t="s">
        <v>20</v>
      </c>
      <c r="O101" t="s">
        <v>1352</v>
      </c>
      <c r="P101" t="s">
        <v>20</v>
      </c>
      <c r="Q101">
        <v>132.119</v>
      </c>
      <c r="R101" t="s">
        <v>20</v>
      </c>
      <c r="S101" t="s">
        <v>20</v>
      </c>
      <c r="T101">
        <v>677</v>
      </c>
      <c r="U101" t="s">
        <v>1313</v>
      </c>
      <c r="V101" t="s">
        <v>20</v>
      </c>
      <c r="W101" t="s">
        <v>1352</v>
      </c>
      <c r="X101" t="s">
        <v>20</v>
      </c>
      <c r="Y101">
        <v>146.14599999999999</v>
      </c>
      <c r="Z101" t="s">
        <v>20</v>
      </c>
      <c r="AA101" t="s">
        <v>20</v>
      </c>
      <c r="AB101">
        <v>718</v>
      </c>
      <c r="AC101" t="s">
        <v>1314</v>
      </c>
      <c r="AD101" t="s">
        <v>20</v>
      </c>
      <c r="AE101" t="s">
        <v>1353</v>
      </c>
      <c r="AF101" t="s">
        <v>20</v>
      </c>
      <c r="AG101">
        <v>174.203</v>
      </c>
      <c r="AH101" t="s">
        <v>20</v>
      </c>
      <c r="AI101" t="s">
        <v>20</v>
      </c>
      <c r="AJ101">
        <v>843</v>
      </c>
      <c r="AK101" t="s">
        <v>1315</v>
      </c>
      <c r="AL101" t="s">
        <v>20</v>
      </c>
      <c r="AM101" t="s">
        <v>1354</v>
      </c>
      <c r="AN101" t="s">
        <v>20</v>
      </c>
      <c r="AO101">
        <v>119.119</v>
      </c>
      <c r="AP101" t="s">
        <v>20</v>
      </c>
      <c r="AQ101" t="s">
        <v>20</v>
      </c>
    </row>
    <row r="102" spans="1:43" x14ac:dyDescent="0.25">
      <c r="A102">
        <v>6</v>
      </c>
      <c r="B102" t="s">
        <v>18</v>
      </c>
      <c r="C102" t="str">
        <f>HYPERLINK("http://www.ncbi.nlm.nih.gov/protein/XP_007113487.1","XP_007113487.1")</f>
        <v>XP_007113487.1</v>
      </c>
      <c r="D102">
        <v>51265</v>
      </c>
      <c r="E102" t="str">
        <f>HYPERLINK("http://www.ncbi.nlm.nih.gov/Taxonomy/Browser/wwwtax.cgi?mode=Info&amp;id=9755&amp;lvl=3&amp;lin=f&amp;keep=1&amp;srchmode=1&amp;unlock","9755")</f>
        <v>9755</v>
      </c>
      <c r="F102" t="s">
        <v>18</v>
      </c>
      <c r="G102" t="str">
        <f>HYPERLINK("http://www.ncbi.nlm.nih.gov/Taxonomy/Browser/wwwtax.cgi?mode=Info&amp;id=9755&amp;lvl=3&amp;lin=f&amp;keep=1&amp;srchmode=1&amp;unlock","Physeter catodon")</f>
        <v>Physeter catodon</v>
      </c>
      <c r="H102" t="s">
        <v>139</v>
      </c>
      <c r="I102" t="str">
        <f>HYPERLINK("http://www.ncbi.nlm.nih.gov/protein/XP_007113487.1","androgen receptor isoform X1")</f>
        <v>androgen receptor isoform X1</v>
      </c>
      <c r="J102" t="s">
        <v>1312</v>
      </c>
      <c r="K102" t="s">
        <v>20</v>
      </c>
      <c r="L102">
        <v>679</v>
      </c>
      <c r="M102" t="s">
        <v>25</v>
      </c>
      <c r="N102" t="s">
        <v>20</v>
      </c>
      <c r="O102" t="s">
        <v>1352</v>
      </c>
      <c r="P102" t="s">
        <v>20</v>
      </c>
      <c r="Q102">
        <v>132.119</v>
      </c>
      <c r="R102" t="s">
        <v>20</v>
      </c>
      <c r="S102" t="s">
        <v>20</v>
      </c>
      <c r="T102">
        <v>685</v>
      </c>
      <c r="U102" t="s">
        <v>1313</v>
      </c>
      <c r="V102" t="s">
        <v>20</v>
      </c>
      <c r="W102" t="s">
        <v>1352</v>
      </c>
      <c r="X102" t="s">
        <v>20</v>
      </c>
      <c r="Y102">
        <v>146.14599999999999</v>
      </c>
      <c r="Z102" t="s">
        <v>20</v>
      </c>
      <c r="AA102" t="s">
        <v>20</v>
      </c>
      <c r="AB102">
        <v>726</v>
      </c>
      <c r="AC102" t="s">
        <v>1314</v>
      </c>
      <c r="AD102" t="s">
        <v>20</v>
      </c>
      <c r="AE102" t="s">
        <v>1353</v>
      </c>
      <c r="AF102" t="s">
        <v>20</v>
      </c>
      <c r="AG102">
        <v>174.203</v>
      </c>
      <c r="AH102" t="s">
        <v>20</v>
      </c>
      <c r="AI102" t="s">
        <v>20</v>
      </c>
      <c r="AJ102">
        <v>851</v>
      </c>
      <c r="AK102" t="s">
        <v>1315</v>
      </c>
      <c r="AL102" t="s">
        <v>20</v>
      </c>
      <c r="AM102" t="s">
        <v>1354</v>
      </c>
      <c r="AN102" t="s">
        <v>20</v>
      </c>
      <c r="AO102">
        <v>119.119</v>
      </c>
      <c r="AP102" t="s">
        <v>20</v>
      </c>
      <c r="AQ102" t="s">
        <v>20</v>
      </c>
    </row>
    <row r="103" spans="1:43" x14ac:dyDescent="0.25">
      <c r="A103">
        <v>6</v>
      </c>
      <c r="B103" t="s">
        <v>18</v>
      </c>
      <c r="C103" t="str">
        <f>HYPERLINK("http://www.ncbi.nlm.nih.gov/protein/XP_007185523.1","XP_007185523.1")</f>
        <v>XP_007185523.1</v>
      </c>
      <c r="D103">
        <v>37624</v>
      </c>
      <c r="E103" t="str">
        <f>HYPERLINK("http://www.ncbi.nlm.nih.gov/Taxonomy/Browser/wwwtax.cgi?mode=Info&amp;id=310752&amp;lvl=3&amp;lin=f&amp;keep=1&amp;srchmode=1&amp;unlock","310752")</f>
        <v>310752</v>
      </c>
      <c r="F103" t="s">
        <v>18</v>
      </c>
      <c r="G103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03" t="s">
        <v>241</v>
      </c>
      <c r="I103" t="str">
        <f>HYPERLINK("http://www.ncbi.nlm.nih.gov/protein/XP_007185523.1","androgen receptor isoform X1")</f>
        <v>androgen receptor isoform X1</v>
      </c>
      <c r="J103" t="s">
        <v>1312</v>
      </c>
      <c r="K103" t="s">
        <v>20</v>
      </c>
      <c r="L103">
        <v>681</v>
      </c>
      <c r="M103" t="s">
        <v>25</v>
      </c>
      <c r="N103" t="s">
        <v>20</v>
      </c>
      <c r="O103" t="s">
        <v>1352</v>
      </c>
      <c r="P103" t="s">
        <v>20</v>
      </c>
      <c r="Q103">
        <v>132.119</v>
      </c>
      <c r="R103" t="s">
        <v>20</v>
      </c>
      <c r="S103" t="s">
        <v>20</v>
      </c>
      <c r="T103">
        <v>687</v>
      </c>
      <c r="U103" t="s">
        <v>1313</v>
      </c>
      <c r="V103" t="s">
        <v>20</v>
      </c>
      <c r="W103" t="s">
        <v>1352</v>
      </c>
      <c r="X103" t="s">
        <v>20</v>
      </c>
      <c r="Y103">
        <v>146.14599999999999</v>
      </c>
      <c r="Z103" t="s">
        <v>20</v>
      </c>
      <c r="AA103" t="s">
        <v>20</v>
      </c>
      <c r="AB103">
        <v>728</v>
      </c>
      <c r="AC103" t="s">
        <v>1314</v>
      </c>
      <c r="AD103" t="s">
        <v>20</v>
      </c>
      <c r="AE103" t="s">
        <v>1353</v>
      </c>
      <c r="AF103" t="s">
        <v>20</v>
      </c>
      <c r="AG103">
        <v>174.203</v>
      </c>
      <c r="AH103" t="s">
        <v>20</v>
      </c>
      <c r="AI103" t="s">
        <v>20</v>
      </c>
      <c r="AJ103">
        <v>853</v>
      </c>
      <c r="AK103" t="s">
        <v>1315</v>
      </c>
      <c r="AL103" t="s">
        <v>20</v>
      </c>
      <c r="AM103" t="s">
        <v>1354</v>
      </c>
      <c r="AN103" t="s">
        <v>20</v>
      </c>
      <c r="AO103">
        <v>119.119</v>
      </c>
      <c r="AP103" t="s">
        <v>20</v>
      </c>
      <c r="AQ103" t="s">
        <v>20</v>
      </c>
    </row>
    <row r="104" spans="1:43" x14ac:dyDescent="0.25">
      <c r="A104">
        <v>6</v>
      </c>
      <c r="B104" t="s">
        <v>18</v>
      </c>
      <c r="C104" t="str">
        <f>HYPERLINK("http://www.ncbi.nlm.nih.gov/protein/XP_012887093.1","XP_012887093.1")</f>
        <v>XP_012887093.1</v>
      </c>
      <c r="D104">
        <v>29406</v>
      </c>
      <c r="E104" t="str">
        <f>HYPERLINK("http://www.ncbi.nlm.nih.gov/Taxonomy/Browser/wwwtax.cgi?mode=Info&amp;id=10020&amp;lvl=3&amp;lin=f&amp;keep=1&amp;srchmode=1&amp;unlock","10020")</f>
        <v>10020</v>
      </c>
      <c r="F104" t="s">
        <v>18</v>
      </c>
      <c r="G104" t="str">
        <f>HYPERLINK("http://www.ncbi.nlm.nih.gov/Taxonomy/Browser/wwwtax.cgi?mode=Info&amp;id=10020&amp;lvl=3&amp;lin=f&amp;keep=1&amp;srchmode=1&amp;unlock","Dipodomys ordii")</f>
        <v>Dipodomys ordii</v>
      </c>
      <c r="H104" t="s">
        <v>107</v>
      </c>
      <c r="I104" t="str">
        <f>HYPERLINK("http://www.ncbi.nlm.nih.gov/protein/XP_012887093.1","PREDICTED: androgen receptor")</f>
        <v>PREDICTED: androgen receptor</v>
      </c>
      <c r="J104" t="s">
        <v>1312</v>
      </c>
      <c r="K104" t="s">
        <v>20</v>
      </c>
      <c r="L104">
        <v>675</v>
      </c>
      <c r="M104" t="s">
        <v>25</v>
      </c>
      <c r="N104" t="s">
        <v>20</v>
      </c>
      <c r="O104" t="s">
        <v>1352</v>
      </c>
      <c r="P104" t="s">
        <v>20</v>
      </c>
      <c r="Q104">
        <v>132.119</v>
      </c>
      <c r="R104" t="s">
        <v>20</v>
      </c>
      <c r="S104" t="s">
        <v>20</v>
      </c>
      <c r="T104">
        <v>681</v>
      </c>
      <c r="U104" t="s">
        <v>1313</v>
      </c>
      <c r="V104" t="s">
        <v>20</v>
      </c>
      <c r="W104" t="s">
        <v>1352</v>
      </c>
      <c r="X104" t="s">
        <v>20</v>
      </c>
      <c r="Y104">
        <v>146.14599999999999</v>
      </c>
      <c r="Z104" t="s">
        <v>20</v>
      </c>
      <c r="AA104" t="s">
        <v>20</v>
      </c>
      <c r="AB104">
        <v>722</v>
      </c>
      <c r="AC104" t="s">
        <v>1314</v>
      </c>
      <c r="AD104" t="s">
        <v>20</v>
      </c>
      <c r="AE104" t="s">
        <v>1353</v>
      </c>
      <c r="AF104" t="s">
        <v>20</v>
      </c>
      <c r="AG104">
        <v>174.203</v>
      </c>
      <c r="AH104" t="s">
        <v>20</v>
      </c>
      <c r="AI104" t="s">
        <v>20</v>
      </c>
      <c r="AJ104">
        <v>847</v>
      </c>
      <c r="AK104" t="s">
        <v>1315</v>
      </c>
      <c r="AL104" t="s">
        <v>20</v>
      </c>
      <c r="AM104" t="s">
        <v>1354</v>
      </c>
      <c r="AN104" t="s">
        <v>20</v>
      </c>
      <c r="AO104">
        <v>119.119</v>
      </c>
      <c r="AP104" t="s">
        <v>20</v>
      </c>
      <c r="AQ104" t="s">
        <v>20</v>
      </c>
    </row>
    <row r="105" spans="1:43" x14ac:dyDescent="0.25">
      <c r="A105">
        <v>6</v>
      </c>
      <c r="B105" t="s">
        <v>18</v>
      </c>
      <c r="C105" t="str">
        <f>HYPERLINK("http://www.ncbi.nlm.nih.gov/protein/XP_021009144.1","XP_021009144.1")</f>
        <v>XP_021009144.1</v>
      </c>
      <c r="D105">
        <v>47716</v>
      </c>
      <c r="E105" t="str">
        <f>HYPERLINK("http://www.ncbi.nlm.nih.gov/Taxonomy/Browser/wwwtax.cgi?mode=Info&amp;id=10089&amp;lvl=3&amp;lin=f&amp;keep=1&amp;srchmode=1&amp;unlock","10089")</f>
        <v>10089</v>
      </c>
      <c r="F105" t="s">
        <v>18</v>
      </c>
      <c r="G105" t="str">
        <f>HYPERLINK("http://www.ncbi.nlm.nih.gov/Taxonomy/Browser/wwwtax.cgi?mode=Info&amp;id=10089&amp;lvl=3&amp;lin=f&amp;keep=1&amp;srchmode=1&amp;unlock","Mus caroli")</f>
        <v>Mus caroli</v>
      </c>
      <c r="H105" t="s">
        <v>126</v>
      </c>
      <c r="I105" t="str">
        <f>HYPERLINK("http://www.ncbi.nlm.nih.gov/protein/XP_021009144.1","androgen receptor")</f>
        <v>androgen receptor</v>
      </c>
      <c r="J105" t="s">
        <v>1312</v>
      </c>
      <c r="K105" t="s">
        <v>20</v>
      </c>
      <c r="L105">
        <v>680</v>
      </c>
      <c r="M105" t="s">
        <v>25</v>
      </c>
      <c r="N105" t="s">
        <v>20</v>
      </c>
      <c r="O105" t="s">
        <v>1352</v>
      </c>
      <c r="P105" t="s">
        <v>20</v>
      </c>
      <c r="Q105">
        <v>132.119</v>
      </c>
      <c r="R105" t="s">
        <v>20</v>
      </c>
      <c r="S105" t="s">
        <v>20</v>
      </c>
      <c r="T105">
        <v>686</v>
      </c>
      <c r="U105" t="s">
        <v>1313</v>
      </c>
      <c r="V105" t="s">
        <v>20</v>
      </c>
      <c r="W105" t="s">
        <v>1352</v>
      </c>
      <c r="X105" t="s">
        <v>20</v>
      </c>
      <c r="Y105">
        <v>146.14599999999999</v>
      </c>
      <c r="Z105" t="s">
        <v>20</v>
      </c>
      <c r="AA105" t="s">
        <v>20</v>
      </c>
      <c r="AB105">
        <v>727</v>
      </c>
      <c r="AC105" t="s">
        <v>1314</v>
      </c>
      <c r="AD105" t="s">
        <v>20</v>
      </c>
      <c r="AE105" t="s">
        <v>1353</v>
      </c>
      <c r="AF105" t="s">
        <v>20</v>
      </c>
      <c r="AG105">
        <v>174.203</v>
      </c>
      <c r="AH105" t="s">
        <v>20</v>
      </c>
      <c r="AI105" t="s">
        <v>20</v>
      </c>
      <c r="AJ105">
        <v>852</v>
      </c>
      <c r="AK105" t="s">
        <v>1315</v>
      </c>
      <c r="AL105" t="s">
        <v>20</v>
      </c>
      <c r="AM105" t="s">
        <v>1354</v>
      </c>
      <c r="AN105" t="s">
        <v>20</v>
      </c>
      <c r="AO105">
        <v>119.119</v>
      </c>
      <c r="AP105" t="s">
        <v>20</v>
      </c>
      <c r="AQ105" t="s">
        <v>20</v>
      </c>
    </row>
    <row r="106" spans="1:43" x14ac:dyDescent="0.25">
      <c r="A106">
        <v>6</v>
      </c>
      <c r="B106" t="s">
        <v>18</v>
      </c>
      <c r="C106" t="str">
        <f>HYPERLINK("http://www.ncbi.nlm.nih.gov/protein/XP_036872999.1","XP_036872999.1")</f>
        <v>XP_036872999.1</v>
      </c>
      <c r="D106">
        <v>56038</v>
      </c>
      <c r="E106" t="str">
        <f>HYPERLINK("http://www.ncbi.nlm.nih.gov/Taxonomy/Browser/wwwtax.cgi?mode=Info&amp;id=9974&amp;lvl=3&amp;lin=f&amp;keep=1&amp;srchmode=1&amp;unlock","9974")</f>
        <v>9974</v>
      </c>
      <c r="F106" t="s">
        <v>18</v>
      </c>
      <c r="G106" t="str">
        <f>HYPERLINK("http://www.ncbi.nlm.nih.gov/Taxonomy/Browser/wwwtax.cgi?mode=Info&amp;id=9974&amp;lvl=3&amp;lin=f&amp;keep=1&amp;srchmode=1&amp;unlock","Manis javanica")</f>
        <v>Manis javanica</v>
      </c>
      <c r="H106" t="s">
        <v>87</v>
      </c>
      <c r="I106" t="str">
        <f>HYPERLINK("http://www.ncbi.nlm.nih.gov/protein/XP_036872999.1","androgen receptor")</f>
        <v>androgen receptor</v>
      </c>
      <c r="J106" t="s">
        <v>1312</v>
      </c>
      <c r="K106" t="s">
        <v>20</v>
      </c>
      <c r="L106">
        <v>669</v>
      </c>
      <c r="M106" t="s">
        <v>25</v>
      </c>
      <c r="N106" t="s">
        <v>20</v>
      </c>
      <c r="O106" t="s">
        <v>1352</v>
      </c>
      <c r="P106" t="s">
        <v>20</v>
      </c>
      <c r="Q106">
        <v>132.119</v>
      </c>
      <c r="R106" t="s">
        <v>20</v>
      </c>
      <c r="S106" t="s">
        <v>20</v>
      </c>
      <c r="T106">
        <v>675</v>
      </c>
      <c r="U106" t="s">
        <v>1313</v>
      </c>
      <c r="V106" t="s">
        <v>20</v>
      </c>
      <c r="W106" t="s">
        <v>1352</v>
      </c>
      <c r="X106" t="s">
        <v>20</v>
      </c>
      <c r="Y106">
        <v>146.14599999999999</v>
      </c>
      <c r="Z106" t="s">
        <v>20</v>
      </c>
      <c r="AA106" t="s">
        <v>20</v>
      </c>
      <c r="AB106">
        <v>716</v>
      </c>
      <c r="AC106" t="s">
        <v>1314</v>
      </c>
      <c r="AD106" t="s">
        <v>20</v>
      </c>
      <c r="AE106" t="s">
        <v>1353</v>
      </c>
      <c r="AF106" t="s">
        <v>20</v>
      </c>
      <c r="AG106">
        <v>174.203</v>
      </c>
      <c r="AH106" t="s">
        <v>20</v>
      </c>
      <c r="AI106" t="s">
        <v>20</v>
      </c>
      <c r="AJ106">
        <v>841</v>
      </c>
      <c r="AK106" t="s">
        <v>1315</v>
      </c>
      <c r="AL106" t="s">
        <v>20</v>
      </c>
      <c r="AM106" t="s">
        <v>1354</v>
      </c>
      <c r="AN106" t="s">
        <v>20</v>
      </c>
      <c r="AO106">
        <v>119.119</v>
      </c>
      <c r="AP106" t="s">
        <v>20</v>
      </c>
      <c r="AQ106" t="s">
        <v>20</v>
      </c>
    </row>
    <row r="107" spans="1:43" x14ac:dyDescent="0.25">
      <c r="A107">
        <v>6</v>
      </c>
      <c r="B107" t="s">
        <v>18</v>
      </c>
      <c r="C107" t="str">
        <f>HYPERLINK("http://www.ncbi.nlm.nih.gov/protein/XP_038171936.1","XP_038171936.1")</f>
        <v>XP_038171936.1</v>
      </c>
      <c r="D107">
        <v>40931</v>
      </c>
      <c r="E107" t="str">
        <f>HYPERLINK("http://www.ncbi.nlm.nih.gov/Taxonomy/Browser/wwwtax.cgi?mode=Info&amp;id=1047088&amp;lvl=3&amp;lin=f&amp;keep=1&amp;srchmode=1&amp;unlock","1047088")</f>
        <v>1047088</v>
      </c>
      <c r="F107" t="s">
        <v>18</v>
      </c>
      <c r="G107" t="str">
        <f>HYPERLINK("http://www.ncbi.nlm.nih.gov/Taxonomy/Browser/wwwtax.cgi?mode=Info&amp;id=1047088&amp;lvl=3&amp;lin=f&amp;keep=1&amp;srchmode=1&amp;unlock","Arvicola amphibius")</f>
        <v>Arvicola amphibius</v>
      </c>
      <c r="H107" t="s">
        <v>145</v>
      </c>
      <c r="I107" t="str">
        <f>HYPERLINK("http://www.ncbi.nlm.nih.gov/protein/XP_038171936.1","androgen receptor")</f>
        <v>androgen receptor</v>
      </c>
      <c r="J107" t="s">
        <v>1312</v>
      </c>
      <c r="K107" t="s">
        <v>20</v>
      </c>
      <c r="L107">
        <v>681</v>
      </c>
      <c r="M107" t="s">
        <v>25</v>
      </c>
      <c r="N107" t="s">
        <v>20</v>
      </c>
      <c r="O107" t="s">
        <v>1352</v>
      </c>
      <c r="P107" t="s">
        <v>20</v>
      </c>
      <c r="Q107">
        <v>132.119</v>
      </c>
      <c r="R107" t="s">
        <v>20</v>
      </c>
      <c r="S107" t="s">
        <v>20</v>
      </c>
      <c r="T107">
        <v>687</v>
      </c>
      <c r="U107" t="s">
        <v>1313</v>
      </c>
      <c r="V107" t="s">
        <v>20</v>
      </c>
      <c r="W107" t="s">
        <v>1352</v>
      </c>
      <c r="X107" t="s">
        <v>20</v>
      </c>
      <c r="Y107">
        <v>146.14599999999999</v>
      </c>
      <c r="Z107" t="s">
        <v>20</v>
      </c>
      <c r="AA107" t="s">
        <v>20</v>
      </c>
      <c r="AB107">
        <v>728</v>
      </c>
      <c r="AC107" t="s">
        <v>1314</v>
      </c>
      <c r="AD107" t="s">
        <v>20</v>
      </c>
      <c r="AE107" t="s">
        <v>1353</v>
      </c>
      <c r="AF107" t="s">
        <v>20</v>
      </c>
      <c r="AG107">
        <v>174.203</v>
      </c>
      <c r="AH107" t="s">
        <v>20</v>
      </c>
      <c r="AI107" t="s">
        <v>20</v>
      </c>
      <c r="AJ107">
        <v>853</v>
      </c>
      <c r="AK107" t="s">
        <v>1315</v>
      </c>
      <c r="AL107" t="s">
        <v>20</v>
      </c>
      <c r="AM107" t="s">
        <v>1354</v>
      </c>
      <c r="AN107" t="s">
        <v>20</v>
      </c>
      <c r="AO107">
        <v>119.119</v>
      </c>
      <c r="AP107" t="s">
        <v>20</v>
      </c>
      <c r="AQ107" t="s">
        <v>20</v>
      </c>
    </row>
    <row r="108" spans="1:43" x14ac:dyDescent="0.25">
      <c r="A108">
        <v>6</v>
      </c>
      <c r="B108" t="s">
        <v>18</v>
      </c>
      <c r="C108" t="str">
        <f>HYPERLINK("http://www.ncbi.nlm.nih.gov/protein/XP_007954476.1","XP_007954476.1")</f>
        <v>XP_007954476.1</v>
      </c>
      <c r="D108">
        <v>25532</v>
      </c>
      <c r="E108" t="str">
        <f>HYPERLINK("http://www.ncbi.nlm.nih.gov/Taxonomy/Browser/wwwtax.cgi?mode=Info&amp;id=1230840&amp;lvl=3&amp;lin=f&amp;keep=1&amp;srchmode=1&amp;unlock","1230840")</f>
        <v>1230840</v>
      </c>
      <c r="F108" t="s">
        <v>18</v>
      </c>
      <c r="G108" t="str">
        <f>HYPERLINK("http://www.ncbi.nlm.nih.gov/Taxonomy/Browser/wwwtax.cgi?mode=Info&amp;id=1230840&amp;lvl=3&amp;lin=f&amp;keep=1&amp;srchmode=1&amp;unlock","Orycteropus afer afer")</f>
        <v>Orycteropus afer afer</v>
      </c>
      <c r="H108" t="s">
        <v>90</v>
      </c>
      <c r="I108" t="str">
        <f>HYPERLINK("http://www.ncbi.nlm.nih.gov/protein/XP_007954476.1","PREDICTED: androgen receptor isoform X1")</f>
        <v>PREDICTED: androgen receptor isoform X1</v>
      </c>
      <c r="J108" t="s">
        <v>1312</v>
      </c>
      <c r="K108" t="s">
        <v>20</v>
      </c>
      <c r="L108">
        <v>714</v>
      </c>
      <c r="M108" t="s">
        <v>25</v>
      </c>
      <c r="N108" t="s">
        <v>20</v>
      </c>
      <c r="O108" t="s">
        <v>1352</v>
      </c>
      <c r="P108" t="s">
        <v>20</v>
      </c>
      <c r="Q108">
        <v>132.119</v>
      </c>
      <c r="R108" t="s">
        <v>20</v>
      </c>
      <c r="S108" t="s">
        <v>20</v>
      </c>
      <c r="T108">
        <v>720</v>
      </c>
      <c r="U108" t="s">
        <v>1313</v>
      </c>
      <c r="V108" t="s">
        <v>20</v>
      </c>
      <c r="W108" t="s">
        <v>1352</v>
      </c>
      <c r="X108" t="s">
        <v>20</v>
      </c>
      <c r="Y108">
        <v>146.14599999999999</v>
      </c>
      <c r="Z108" t="s">
        <v>20</v>
      </c>
      <c r="AA108" t="s">
        <v>20</v>
      </c>
      <c r="AB108">
        <v>761</v>
      </c>
      <c r="AC108" t="s">
        <v>1314</v>
      </c>
      <c r="AD108" t="s">
        <v>20</v>
      </c>
      <c r="AE108" t="s">
        <v>1353</v>
      </c>
      <c r="AF108" t="s">
        <v>20</v>
      </c>
      <c r="AG108">
        <v>174.203</v>
      </c>
      <c r="AH108" t="s">
        <v>20</v>
      </c>
      <c r="AI108" t="s">
        <v>20</v>
      </c>
      <c r="AJ108">
        <v>886</v>
      </c>
      <c r="AK108" t="s">
        <v>1315</v>
      </c>
      <c r="AL108" t="s">
        <v>20</v>
      </c>
      <c r="AM108" t="s">
        <v>1354</v>
      </c>
      <c r="AN108" t="s">
        <v>20</v>
      </c>
      <c r="AO108">
        <v>119.119</v>
      </c>
      <c r="AP108" t="s">
        <v>20</v>
      </c>
      <c r="AQ108" t="s">
        <v>20</v>
      </c>
    </row>
    <row r="109" spans="1:43" x14ac:dyDescent="0.25">
      <c r="A109">
        <v>6</v>
      </c>
      <c r="B109" t="s">
        <v>18</v>
      </c>
      <c r="C109" t="str">
        <f>HYPERLINK("http://www.ncbi.nlm.nih.gov/protein/XP_036161321.1","XP_036161321.1")</f>
        <v>XP_036161321.1</v>
      </c>
      <c r="D109">
        <v>106885</v>
      </c>
      <c r="E109" t="str">
        <f>HYPERLINK("http://www.ncbi.nlm.nih.gov/Taxonomy/Browser/wwwtax.cgi?mode=Info&amp;id=51298&amp;lvl=3&amp;lin=f&amp;keep=1&amp;srchmode=1&amp;unlock","51298")</f>
        <v>51298</v>
      </c>
      <c r="F109" t="s">
        <v>18</v>
      </c>
      <c r="G109" t="str">
        <f>HYPERLINK("http://www.ncbi.nlm.nih.gov/Taxonomy/Browser/wwwtax.cgi?mode=Info&amp;id=51298&amp;lvl=3&amp;lin=f&amp;keep=1&amp;srchmode=1&amp;unlock","Myotis myotis")</f>
        <v>Myotis myotis</v>
      </c>
      <c r="H109" t="s">
        <v>77</v>
      </c>
      <c r="I109" t="str">
        <f>HYPERLINK("http://www.ncbi.nlm.nih.gov/protein/XP_036161321.1","androgen receptor")</f>
        <v>androgen receptor</v>
      </c>
      <c r="J109" t="s">
        <v>1312</v>
      </c>
      <c r="K109" t="s">
        <v>20</v>
      </c>
      <c r="L109">
        <v>679</v>
      </c>
      <c r="M109" t="s">
        <v>25</v>
      </c>
      <c r="N109" t="s">
        <v>20</v>
      </c>
      <c r="O109" t="s">
        <v>1352</v>
      </c>
      <c r="P109" t="s">
        <v>20</v>
      </c>
      <c r="Q109">
        <v>132.119</v>
      </c>
      <c r="R109" t="s">
        <v>20</v>
      </c>
      <c r="S109" t="s">
        <v>20</v>
      </c>
      <c r="T109">
        <v>685</v>
      </c>
      <c r="U109" t="s">
        <v>1313</v>
      </c>
      <c r="V109" t="s">
        <v>20</v>
      </c>
      <c r="W109" t="s">
        <v>1352</v>
      </c>
      <c r="X109" t="s">
        <v>20</v>
      </c>
      <c r="Y109">
        <v>146.14599999999999</v>
      </c>
      <c r="Z109" t="s">
        <v>20</v>
      </c>
      <c r="AA109" t="s">
        <v>20</v>
      </c>
      <c r="AB109">
        <v>726</v>
      </c>
      <c r="AC109" t="s">
        <v>1314</v>
      </c>
      <c r="AD109" t="s">
        <v>20</v>
      </c>
      <c r="AE109" t="s">
        <v>1353</v>
      </c>
      <c r="AF109" t="s">
        <v>20</v>
      </c>
      <c r="AG109">
        <v>174.203</v>
      </c>
      <c r="AH109" t="s">
        <v>20</v>
      </c>
      <c r="AI109" t="s">
        <v>20</v>
      </c>
      <c r="AJ109">
        <v>851</v>
      </c>
      <c r="AK109" t="s">
        <v>1315</v>
      </c>
      <c r="AL109" t="s">
        <v>20</v>
      </c>
      <c r="AM109" t="s">
        <v>1354</v>
      </c>
      <c r="AN109" t="s">
        <v>20</v>
      </c>
      <c r="AO109">
        <v>119.119</v>
      </c>
      <c r="AP109" t="s">
        <v>20</v>
      </c>
      <c r="AQ109" t="s">
        <v>20</v>
      </c>
    </row>
    <row r="110" spans="1:43" x14ac:dyDescent="0.25">
      <c r="A110">
        <v>6</v>
      </c>
      <c r="B110" t="s">
        <v>18</v>
      </c>
      <c r="C110" t="str">
        <f>HYPERLINK("http://www.ncbi.nlm.nih.gov/protein/XP_005000186.1","XP_005000186.1")</f>
        <v>XP_005000186.1</v>
      </c>
      <c r="D110">
        <v>49097</v>
      </c>
      <c r="E110" t="str">
        <f>HYPERLINK("http://www.ncbi.nlm.nih.gov/Taxonomy/Browser/wwwtax.cgi?mode=Info&amp;id=10141&amp;lvl=3&amp;lin=f&amp;keep=1&amp;srchmode=1&amp;unlock","10141")</f>
        <v>10141</v>
      </c>
      <c r="F110" t="s">
        <v>18</v>
      </c>
      <c r="G110" t="str">
        <f>HYPERLINK("http://www.ncbi.nlm.nih.gov/Taxonomy/Browser/wwwtax.cgi?mode=Info&amp;id=10141&amp;lvl=3&amp;lin=f&amp;keep=1&amp;srchmode=1&amp;unlock","Cavia porcellus")</f>
        <v>Cavia porcellus</v>
      </c>
      <c r="H110" t="s">
        <v>142</v>
      </c>
      <c r="I110" t="str">
        <f>HYPERLINK("http://www.ncbi.nlm.nih.gov/protein/XP_005000186.1","androgen receptor")</f>
        <v>androgen receptor</v>
      </c>
      <c r="J110" t="s">
        <v>1312</v>
      </c>
      <c r="K110" t="s">
        <v>20</v>
      </c>
      <c r="L110">
        <v>684</v>
      </c>
      <c r="M110" t="s">
        <v>25</v>
      </c>
      <c r="N110" t="s">
        <v>20</v>
      </c>
      <c r="O110" t="s">
        <v>1352</v>
      </c>
      <c r="P110" t="s">
        <v>20</v>
      </c>
      <c r="Q110">
        <v>132.119</v>
      </c>
      <c r="R110" t="s">
        <v>20</v>
      </c>
      <c r="S110" t="s">
        <v>20</v>
      </c>
      <c r="T110">
        <v>690</v>
      </c>
      <c r="U110" t="s">
        <v>1313</v>
      </c>
      <c r="V110" t="s">
        <v>20</v>
      </c>
      <c r="W110" t="s">
        <v>1352</v>
      </c>
      <c r="X110" t="s">
        <v>20</v>
      </c>
      <c r="Y110">
        <v>146.14599999999999</v>
      </c>
      <c r="Z110" t="s">
        <v>20</v>
      </c>
      <c r="AA110" t="s">
        <v>20</v>
      </c>
      <c r="AB110">
        <v>731</v>
      </c>
      <c r="AC110" t="s">
        <v>1314</v>
      </c>
      <c r="AD110" t="s">
        <v>20</v>
      </c>
      <c r="AE110" t="s">
        <v>1353</v>
      </c>
      <c r="AF110" t="s">
        <v>20</v>
      </c>
      <c r="AG110">
        <v>174.203</v>
      </c>
      <c r="AH110" t="s">
        <v>20</v>
      </c>
      <c r="AI110" t="s">
        <v>20</v>
      </c>
      <c r="AJ110">
        <v>856</v>
      </c>
      <c r="AK110" t="s">
        <v>1315</v>
      </c>
      <c r="AL110" t="s">
        <v>20</v>
      </c>
      <c r="AM110" t="s">
        <v>1354</v>
      </c>
      <c r="AN110" t="s">
        <v>20</v>
      </c>
      <c r="AO110">
        <v>119.119</v>
      </c>
      <c r="AP110" t="s">
        <v>20</v>
      </c>
      <c r="AQ110" t="s">
        <v>20</v>
      </c>
    </row>
    <row r="111" spans="1:43" x14ac:dyDescent="0.25">
      <c r="A111">
        <v>6</v>
      </c>
      <c r="B111" t="s">
        <v>18</v>
      </c>
      <c r="C111" t="str">
        <f>HYPERLINK("http://www.ncbi.nlm.nih.gov/protein/XP_004473341.1","XP_004473341.1")</f>
        <v>XP_004473341.1</v>
      </c>
      <c r="D111">
        <v>38769</v>
      </c>
      <c r="E111" t="str">
        <f>HYPERLINK("http://www.ncbi.nlm.nih.gov/Taxonomy/Browser/wwwtax.cgi?mode=Info&amp;id=9361&amp;lvl=3&amp;lin=f&amp;keep=1&amp;srchmode=1&amp;unlock","9361")</f>
        <v>9361</v>
      </c>
      <c r="F111" t="s">
        <v>18</v>
      </c>
      <c r="G111" t="str">
        <f>HYPERLINK("http://www.ncbi.nlm.nih.gov/Taxonomy/Browser/wwwtax.cgi?mode=Info&amp;id=9361&amp;lvl=3&amp;lin=f&amp;keep=1&amp;srchmode=1&amp;unlock","Dasypus novemcinctus")</f>
        <v>Dasypus novemcinctus</v>
      </c>
      <c r="H111" t="s">
        <v>162</v>
      </c>
      <c r="I111" t="str">
        <f>HYPERLINK("http://www.ncbi.nlm.nih.gov/protein/XP_004473341.1","androgen receptor isoform X1")</f>
        <v>androgen receptor isoform X1</v>
      </c>
      <c r="J111" t="s">
        <v>1312</v>
      </c>
      <c r="K111" t="s">
        <v>20</v>
      </c>
      <c r="L111">
        <v>696</v>
      </c>
      <c r="M111" t="s">
        <v>25</v>
      </c>
      <c r="N111" t="s">
        <v>20</v>
      </c>
      <c r="O111" t="s">
        <v>1352</v>
      </c>
      <c r="P111" t="s">
        <v>20</v>
      </c>
      <c r="Q111">
        <v>132.119</v>
      </c>
      <c r="R111" t="s">
        <v>20</v>
      </c>
      <c r="S111" t="s">
        <v>20</v>
      </c>
      <c r="T111">
        <v>702</v>
      </c>
      <c r="U111" t="s">
        <v>1313</v>
      </c>
      <c r="V111" t="s">
        <v>20</v>
      </c>
      <c r="W111" t="s">
        <v>1352</v>
      </c>
      <c r="X111" t="s">
        <v>20</v>
      </c>
      <c r="Y111">
        <v>146.14599999999999</v>
      </c>
      <c r="Z111" t="s">
        <v>20</v>
      </c>
      <c r="AA111" t="s">
        <v>20</v>
      </c>
      <c r="AB111">
        <v>743</v>
      </c>
      <c r="AC111" t="s">
        <v>1314</v>
      </c>
      <c r="AD111" t="s">
        <v>20</v>
      </c>
      <c r="AE111" t="s">
        <v>1353</v>
      </c>
      <c r="AF111" t="s">
        <v>20</v>
      </c>
      <c r="AG111">
        <v>174.203</v>
      </c>
      <c r="AH111" t="s">
        <v>20</v>
      </c>
      <c r="AI111" t="s">
        <v>20</v>
      </c>
      <c r="AJ111">
        <v>868</v>
      </c>
      <c r="AK111" t="s">
        <v>1315</v>
      </c>
      <c r="AL111" t="s">
        <v>20</v>
      </c>
      <c r="AM111" t="s">
        <v>1354</v>
      </c>
      <c r="AN111" t="s">
        <v>20</v>
      </c>
      <c r="AO111">
        <v>119.119</v>
      </c>
      <c r="AP111" t="s">
        <v>20</v>
      </c>
      <c r="AQ111" t="s">
        <v>20</v>
      </c>
    </row>
    <row r="112" spans="1:43" x14ac:dyDescent="0.25">
      <c r="A112">
        <v>6</v>
      </c>
      <c r="B112" t="s">
        <v>18</v>
      </c>
      <c r="C112" t="str">
        <f>HYPERLINK("http://www.ncbi.nlm.nih.gov/protein/XP_037678266.1","XP_037678266.1")</f>
        <v>XP_037678266.1</v>
      </c>
      <c r="D112">
        <v>54609</v>
      </c>
      <c r="E112" t="str">
        <f>HYPERLINK("http://www.ncbi.nlm.nih.gov/Taxonomy/Browser/wwwtax.cgi?mode=Info&amp;id=27675&amp;lvl=3&amp;lin=f&amp;keep=1&amp;srchmode=1&amp;unlock","27675")</f>
        <v>27675</v>
      </c>
      <c r="F112" t="s">
        <v>18</v>
      </c>
      <c r="G112" t="str">
        <f>HYPERLINK("http://www.ncbi.nlm.nih.gov/Taxonomy/Browser/wwwtax.cgi?mode=Info&amp;id=27675&amp;lvl=3&amp;lin=f&amp;keep=1&amp;srchmode=1&amp;unlock","Choloepus didactylus")</f>
        <v>Choloepus didactylus</v>
      </c>
      <c r="H112" t="s">
        <v>147</v>
      </c>
      <c r="I112" t="str">
        <f>HYPERLINK("http://www.ncbi.nlm.nih.gov/protein/XP_037678266.1","androgen receptor")</f>
        <v>androgen receptor</v>
      </c>
      <c r="J112" t="s">
        <v>1312</v>
      </c>
      <c r="K112" t="s">
        <v>20</v>
      </c>
      <c r="L112">
        <v>676</v>
      </c>
      <c r="M112" t="s">
        <v>25</v>
      </c>
      <c r="N112" t="s">
        <v>20</v>
      </c>
      <c r="O112" t="s">
        <v>1352</v>
      </c>
      <c r="P112" t="s">
        <v>20</v>
      </c>
      <c r="Q112">
        <v>132.119</v>
      </c>
      <c r="R112" t="s">
        <v>20</v>
      </c>
      <c r="S112" t="s">
        <v>20</v>
      </c>
      <c r="T112">
        <v>682</v>
      </c>
      <c r="U112" t="s">
        <v>1316</v>
      </c>
      <c r="V112" t="s">
        <v>25</v>
      </c>
      <c r="W112" t="s">
        <v>1353</v>
      </c>
      <c r="X112" t="s">
        <v>25</v>
      </c>
      <c r="Y112">
        <v>155.15600000000001</v>
      </c>
      <c r="Z112" t="s">
        <v>20</v>
      </c>
      <c r="AA112" t="s">
        <v>20</v>
      </c>
      <c r="AB112">
        <v>723</v>
      </c>
      <c r="AC112" t="s">
        <v>1314</v>
      </c>
      <c r="AD112" t="s">
        <v>20</v>
      </c>
      <c r="AE112" t="s">
        <v>1353</v>
      </c>
      <c r="AF112" t="s">
        <v>20</v>
      </c>
      <c r="AG112">
        <v>174.203</v>
      </c>
      <c r="AH112" t="s">
        <v>20</v>
      </c>
      <c r="AI112" t="s">
        <v>20</v>
      </c>
      <c r="AJ112">
        <v>848</v>
      </c>
      <c r="AK112" t="s">
        <v>1315</v>
      </c>
      <c r="AL112" t="s">
        <v>20</v>
      </c>
      <c r="AM112" t="s">
        <v>1354</v>
      </c>
      <c r="AN112" t="s">
        <v>20</v>
      </c>
      <c r="AO112">
        <v>119.119</v>
      </c>
      <c r="AP112" t="s">
        <v>20</v>
      </c>
      <c r="AQ112" t="s">
        <v>20</v>
      </c>
    </row>
    <row r="113" spans="1:43" x14ac:dyDescent="0.25">
      <c r="A113">
        <v>6</v>
      </c>
      <c r="B113" t="s">
        <v>18</v>
      </c>
      <c r="C113" t="str">
        <f>HYPERLINK("http://www.ncbi.nlm.nih.gov/protein/XP_027621790.1","XP_027621790.1")</f>
        <v>XP_027621790.1</v>
      </c>
      <c r="D113">
        <v>59503</v>
      </c>
      <c r="E113" t="str">
        <f>HYPERLINK("http://www.ncbi.nlm.nih.gov/Taxonomy/Browser/wwwtax.cgi?mode=Info&amp;id=246437&amp;lvl=3&amp;lin=f&amp;keep=1&amp;srchmode=1&amp;unlock","246437")</f>
        <v>246437</v>
      </c>
      <c r="F113" t="s">
        <v>18</v>
      </c>
      <c r="G113" t="str">
        <f>HYPERLINK("http://www.ncbi.nlm.nih.gov/Taxonomy/Browser/wwwtax.cgi?mode=Info&amp;id=246437&amp;lvl=3&amp;lin=f&amp;keep=1&amp;srchmode=1&amp;unlock","Tupaia chinensis")</f>
        <v>Tupaia chinensis</v>
      </c>
      <c r="H113" t="s">
        <v>70</v>
      </c>
      <c r="I113" t="str">
        <f>HYPERLINK("http://www.ncbi.nlm.nih.gov/protein/XP_027621790.1","androgen receptor")</f>
        <v>androgen receptor</v>
      </c>
      <c r="J113" t="s">
        <v>1312</v>
      </c>
      <c r="K113" t="s">
        <v>20</v>
      </c>
      <c r="L113">
        <v>692</v>
      </c>
      <c r="M113" t="s">
        <v>25</v>
      </c>
      <c r="N113" t="s">
        <v>20</v>
      </c>
      <c r="O113" t="s">
        <v>1352</v>
      </c>
      <c r="P113" t="s">
        <v>20</v>
      </c>
      <c r="Q113">
        <v>132.119</v>
      </c>
      <c r="R113" t="s">
        <v>20</v>
      </c>
      <c r="S113" t="s">
        <v>20</v>
      </c>
      <c r="T113">
        <v>698</v>
      </c>
      <c r="U113" t="s">
        <v>1313</v>
      </c>
      <c r="V113" t="s">
        <v>20</v>
      </c>
      <c r="W113" t="s">
        <v>1352</v>
      </c>
      <c r="X113" t="s">
        <v>20</v>
      </c>
      <c r="Y113">
        <v>146.14599999999999</v>
      </c>
      <c r="Z113" t="s">
        <v>20</v>
      </c>
      <c r="AA113" t="s">
        <v>20</v>
      </c>
      <c r="AB113">
        <v>739</v>
      </c>
      <c r="AC113" t="s">
        <v>1314</v>
      </c>
      <c r="AD113" t="s">
        <v>20</v>
      </c>
      <c r="AE113" t="s">
        <v>1353</v>
      </c>
      <c r="AF113" t="s">
        <v>20</v>
      </c>
      <c r="AG113">
        <v>174.203</v>
      </c>
      <c r="AH113" t="s">
        <v>20</v>
      </c>
      <c r="AI113" t="s">
        <v>20</v>
      </c>
      <c r="AJ113">
        <v>864</v>
      </c>
      <c r="AK113" t="s">
        <v>1315</v>
      </c>
      <c r="AL113" t="s">
        <v>20</v>
      </c>
      <c r="AM113" t="s">
        <v>1354</v>
      </c>
      <c r="AN113" t="s">
        <v>20</v>
      </c>
      <c r="AO113">
        <v>119.119</v>
      </c>
      <c r="AP113" t="s">
        <v>20</v>
      </c>
      <c r="AQ113" t="s">
        <v>20</v>
      </c>
    </row>
    <row r="114" spans="1:43" x14ac:dyDescent="0.25">
      <c r="A114">
        <v>6</v>
      </c>
      <c r="B114" t="s">
        <v>18</v>
      </c>
      <c r="C114" t="str">
        <f>HYPERLINK("http://www.ncbi.nlm.nih.gov/protein/XP_014399122.1","XP_014399122.1")</f>
        <v>XP_014399122.1</v>
      </c>
      <c r="D114">
        <v>60288</v>
      </c>
      <c r="E114" t="str">
        <f>HYPERLINK("http://www.ncbi.nlm.nih.gov/Taxonomy/Browser/wwwtax.cgi?mode=Info&amp;id=109478&amp;lvl=3&amp;lin=f&amp;keep=1&amp;srchmode=1&amp;unlock","109478")</f>
        <v>109478</v>
      </c>
      <c r="F114" t="s">
        <v>18</v>
      </c>
      <c r="G114" t="str">
        <f>HYPERLINK("http://www.ncbi.nlm.nih.gov/Taxonomy/Browser/wwwtax.cgi?mode=Info&amp;id=109478&amp;lvl=3&amp;lin=f&amp;keep=1&amp;srchmode=1&amp;unlock","Myotis brandtii")</f>
        <v>Myotis brandtii</v>
      </c>
      <c r="H114" t="s">
        <v>95</v>
      </c>
      <c r="I114" t="str">
        <f>HYPERLINK("http://www.ncbi.nlm.nih.gov/protein/XP_014399122.1","PREDICTED: androgen receptor isoform X2")</f>
        <v>PREDICTED: androgen receptor isoform X2</v>
      </c>
      <c r="J114" t="s">
        <v>1312</v>
      </c>
      <c r="K114" t="s">
        <v>20</v>
      </c>
      <c r="L114">
        <v>674</v>
      </c>
      <c r="M114" t="s">
        <v>25</v>
      </c>
      <c r="N114" t="s">
        <v>20</v>
      </c>
      <c r="O114" t="s">
        <v>1352</v>
      </c>
      <c r="P114" t="s">
        <v>20</v>
      </c>
      <c r="Q114">
        <v>132.119</v>
      </c>
      <c r="R114" t="s">
        <v>20</v>
      </c>
      <c r="S114" t="s">
        <v>20</v>
      </c>
      <c r="T114">
        <v>680</v>
      </c>
      <c r="U114" t="s">
        <v>1313</v>
      </c>
      <c r="V114" t="s">
        <v>20</v>
      </c>
      <c r="W114" t="s">
        <v>1352</v>
      </c>
      <c r="X114" t="s">
        <v>20</v>
      </c>
      <c r="Y114">
        <v>146.14599999999999</v>
      </c>
      <c r="Z114" t="s">
        <v>20</v>
      </c>
      <c r="AA114" t="s">
        <v>20</v>
      </c>
      <c r="AB114">
        <v>721</v>
      </c>
      <c r="AC114" t="s">
        <v>1314</v>
      </c>
      <c r="AD114" t="s">
        <v>20</v>
      </c>
      <c r="AE114" t="s">
        <v>1353</v>
      </c>
      <c r="AF114" t="s">
        <v>20</v>
      </c>
      <c r="AG114">
        <v>174.203</v>
      </c>
      <c r="AH114" t="s">
        <v>20</v>
      </c>
      <c r="AI114" t="s">
        <v>20</v>
      </c>
      <c r="AJ114">
        <v>846</v>
      </c>
      <c r="AK114" t="s">
        <v>1315</v>
      </c>
      <c r="AL114" t="s">
        <v>20</v>
      </c>
      <c r="AM114" t="s">
        <v>1354</v>
      </c>
      <c r="AN114" t="s">
        <v>20</v>
      </c>
      <c r="AO114">
        <v>119.119</v>
      </c>
      <c r="AP114" t="s">
        <v>20</v>
      </c>
      <c r="AQ114" t="s">
        <v>20</v>
      </c>
    </row>
    <row r="115" spans="1:43" x14ac:dyDescent="0.25">
      <c r="A115">
        <v>6</v>
      </c>
      <c r="B115" t="s">
        <v>18</v>
      </c>
      <c r="C115" t="str">
        <f>HYPERLINK("http://www.ncbi.nlm.nih.gov/protein/XP_004661062.1","XP_004661062.1")</f>
        <v>XP_004661062.1</v>
      </c>
      <c r="D115">
        <v>25744</v>
      </c>
      <c r="E115" t="str">
        <f>HYPERLINK("http://www.ncbi.nlm.nih.gov/Taxonomy/Browser/wwwtax.cgi?mode=Info&amp;id=51337&amp;lvl=3&amp;lin=f&amp;keep=1&amp;srchmode=1&amp;unlock","51337")</f>
        <v>51337</v>
      </c>
      <c r="F115" t="s">
        <v>18</v>
      </c>
      <c r="G115" t="str">
        <f>HYPERLINK("http://www.ncbi.nlm.nih.gov/Taxonomy/Browser/wwwtax.cgi?mode=Info&amp;id=51337&amp;lvl=3&amp;lin=f&amp;keep=1&amp;srchmode=1&amp;unlock","Jaculus jaculus")</f>
        <v>Jaculus jaculus</v>
      </c>
      <c r="H115" t="s">
        <v>91</v>
      </c>
      <c r="I115" t="str">
        <f>HYPERLINK("http://www.ncbi.nlm.nih.gov/protein/XP_004661062.1","PREDICTED: androgen receptor")</f>
        <v>PREDICTED: androgen receptor</v>
      </c>
      <c r="J115" t="s">
        <v>1312</v>
      </c>
      <c r="K115" t="s">
        <v>20</v>
      </c>
      <c r="L115">
        <v>705</v>
      </c>
      <c r="M115" t="s">
        <v>25</v>
      </c>
      <c r="N115" t="s">
        <v>20</v>
      </c>
      <c r="O115" t="s">
        <v>1352</v>
      </c>
      <c r="P115" t="s">
        <v>20</v>
      </c>
      <c r="Q115">
        <v>132.119</v>
      </c>
      <c r="R115" t="s">
        <v>20</v>
      </c>
      <c r="S115" t="s">
        <v>20</v>
      </c>
      <c r="T115">
        <v>711</v>
      </c>
      <c r="U115" t="s">
        <v>1313</v>
      </c>
      <c r="V115" t="s">
        <v>20</v>
      </c>
      <c r="W115" t="s">
        <v>1352</v>
      </c>
      <c r="X115" t="s">
        <v>20</v>
      </c>
      <c r="Y115">
        <v>146.14599999999999</v>
      </c>
      <c r="Z115" t="s">
        <v>20</v>
      </c>
      <c r="AA115" t="s">
        <v>20</v>
      </c>
      <c r="AB115">
        <v>752</v>
      </c>
      <c r="AC115" t="s">
        <v>1314</v>
      </c>
      <c r="AD115" t="s">
        <v>20</v>
      </c>
      <c r="AE115" t="s">
        <v>1353</v>
      </c>
      <c r="AF115" t="s">
        <v>20</v>
      </c>
      <c r="AG115">
        <v>174.203</v>
      </c>
      <c r="AH115" t="s">
        <v>20</v>
      </c>
      <c r="AI115" t="s">
        <v>20</v>
      </c>
      <c r="AJ115">
        <v>877</v>
      </c>
      <c r="AK115" t="s">
        <v>1315</v>
      </c>
      <c r="AL115" t="s">
        <v>20</v>
      </c>
      <c r="AM115" t="s">
        <v>1354</v>
      </c>
      <c r="AN115" t="s">
        <v>20</v>
      </c>
      <c r="AO115">
        <v>119.119</v>
      </c>
      <c r="AP115" t="s">
        <v>20</v>
      </c>
      <c r="AQ115" t="s">
        <v>20</v>
      </c>
    </row>
    <row r="116" spans="1:43" x14ac:dyDescent="0.25">
      <c r="A116">
        <v>6</v>
      </c>
      <c r="B116" t="s">
        <v>18</v>
      </c>
      <c r="C116" t="str">
        <f>HYPERLINK("http://www.ncbi.nlm.nih.gov/protein/XP_006082997.1","XP_006082997.1")</f>
        <v>XP_006082997.1</v>
      </c>
      <c r="D116">
        <v>44006</v>
      </c>
      <c r="E116" t="str">
        <f>HYPERLINK("http://www.ncbi.nlm.nih.gov/Taxonomy/Browser/wwwtax.cgi?mode=Info&amp;id=59463&amp;lvl=3&amp;lin=f&amp;keep=1&amp;srchmode=1&amp;unlock","59463")</f>
        <v>59463</v>
      </c>
      <c r="F116" t="s">
        <v>18</v>
      </c>
      <c r="G116" t="str">
        <f>HYPERLINK("http://www.ncbi.nlm.nih.gov/Taxonomy/Browser/wwwtax.cgi?mode=Info&amp;id=59463&amp;lvl=3&amp;lin=f&amp;keep=1&amp;srchmode=1&amp;unlock","Myotis lucifugus")</f>
        <v>Myotis lucifugus</v>
      </c>
      <c r="H116" t="s">
        <v>94</v>
      </c>
      <c r="I116" t="str">
        <f>HYPERLINK("http://www.ncbi.nlm.nih.gov/protein/XP_006082997.1","androgen receptor isoform X1")</f>
        <v>androgen receptor isoform X1</v>
      </c>
      <c r="J116" t="s">
        <v>1312</v>
      </c>
      <c r="K116" t="s">
        <v>20</v>
      </c>
      <c r="L116">
        <v>678</v>
      </c>
      <c r="M116" t="s">
        <v>25</v>
      </c>
      <c r="N116" t="s">
        <v>20</v>
      </c>
      <c r="O116" t="s">
        <v>1352</v>
      </c>
      <c r="P116" t="s">
        <v>20</v>
      </c>
      <c r="Q116">
        <v>132.119</v>
      </c>
      <c r="R116" t="s">
        <v>20</v>
      </c>
      <c r="S116" t="s">
        <v>20</v>
      </c>
      <c r="T116">
        <v>684</v>
      </c>
      <c r="U116" t="s">
        <v>1313</v>
      </c>
      <c r="V116" t="s">
        <v>20</v>
      </c>
      <c r="W116" t="s">
        <v>1352</v>
      </c>
      <c r="X116" t="s">
        <v>20</v>
      </c>
      <c r="Y116">
        <v>146.14599999999999</v>
      </c>
      <c r="Z116" t="s">
        <v>20</v>
      </c>
      <c r="AA116" t="s">
        <v>20</v>
      </c>
      <c r="AB116">
        <v>725</v>
      </c>
      <c r="AC116" t="s">
        <v>1314</v>
      </c>
      <c r="AD116" t="s">
        <v>20</v>
      </c>
      <c r="AE116" t="s">
        <v>1353</v>
      </c>
      <c r="AF116" t="s">
        <v>20</v>
      </c>
      <c r="AG116">
        <v>174.203</v>
      </c>
      <c r="AH116" t="s">
        <v>20</v>
      </c>
      <c r="AI116" t="s">
        <v>20</v>
      </c>
      <c r="AJ116">
        <v>850</v>
      </c>
      <c r="AK116" t="s">
        <v>1315</v>
      </c>
      <c r="AL116" t="s">
        <v>20</v>
      </c>
      <c r="AM116" t="s">
        <v>1354</v>
      </c>
      <c r="AN116" t="s">
        <v>20</v>
      </c>
      <c r="AO116">
        <v>119.119</v>
      </c>
      <c r="AP116" t="s">
        <v>20</v>
      </c>
      <c r="AQ116" t="s">
        <v>20</v>
      </c>
    </row>
    <row r="117" spans="1:43" x14ac:dyDescent="0.25">
      <c r="A117">
        <v>6</v>
      </c>
      <c r="B117" t="s">
        <v>18</v>
      </c>
      <c r="C117" t="str">
        <f>HYPERLINK("http://www.ncbi.nlm.nih.gov/protein/XP_006215299.1","XP_006215299.1")</f>
        <v>XP_006215299.1</v>
      </c>
      <c r="D117">
        <v>44961</v>
      </c>
      <c r="E117" t="str">
        <f>HYPERLINK("http://www.ncbi.nlm.nih.gov/Taxonomy/Browser/wwwtax.cgi?mode=Info&amp;id=30538&amp;lvl=3&amp;lin=f&amp;keep=1&amp;srchmode=1&amp;unlock","30538")</f>
        <v>30538</v>
      </c>
      <c r="F117" t="s">
        <v>18</v>
      </c>
      <c r="G117" t="str">
        <f>HYPERLINK("http://www.ncbi.nlm.nih.gov/Taxonomy/Browser/wwwtax.cgi?mode=Info&amp;id=30538&amp;lvl=3&amp;lin=f&amp;keep=1&amp;srchmode=1&amp;unlock","Vicugna pacos")</f>
        <v>Vicugna pacos</v>
      </c>
      <c r="H117" t="s">
        <v>971</v>
      </c>
      <c r="I117" t="str">
        <f>HYPERLINK("http://www.ncbi.nlm.nih.gov/protein/XP_006215299.1","androgen receptor")</f>
        <v>androgen receptor</v>
      </c>
      <c r="J117" t="s">
        <v>1312</v>
      </c>
      <c r="K117" t="s">
        <v>20</v>
      </c>
      <c r="L117">
        <v>684</v>
      </c>
      <c r="M117" t="s">
        <v>25</v>
      </c>
      <c r="N117" t="s">
        <v>20</v>
      </c>
      <c r="O117" t="s">
        <v>1352</v>
      </c>
      <c r="P117" t="s">
        <v>20</v>
      </c>
      <c r="Q117">
        <v>132.119</v>
      </c>
      <c r="R117" t="s">
        <v>20</v>
      </c>
      <c r="S117" t="s">
        <v>20</v>
      </c>
      <c r="T117">
        <v>690</v>
      </c>
      <c r="U117" t="s">
        <v>1313</v>
      </c>
      <c r="V117" t="s">
        <v>20</v>
      </c>
      <c r="W117" t="s">
        <v>1352</v>
      </c>
      <c r="X117" t="s">
        <v>20</v>
      </c>
      <c r="Y117">
        <v>146.14599999999999</v>
      </c>
      <c r="Z117" t="s">
        <v>20</v>
      </c>
      <c r="AA117" t="s">
        <v>20</v>
      </c>
      <c r="AB117">
        <v>731</v>
      </c>
      <c r="AC117" t="s">
        <v>1314</v>
      </c>
      <c r="AD117" t="s">
        <v>20</v>
      </c>
      <c r="AE117" t="s">
        <v>1353</v>
      </c>
      <c r="AF117" t="s">
        <v>20</v>
      </c>
      <c r="AG117">
        <v>174.203</v>
      </c>
      <c r="AH117" t="s">
        <v>20</v>
      </c>
      <c r="AI117" t="s">
        <v>20</v>
      </c>
      <c r="AJ117">
        <v>856</v>
      </c>
      <c r="AK117" t="s">
        <v>1315</v>
      </c>
      <c r="AL117" t="s">
        <v>20</v>
      </c>
      <c r="AM117" t="s">
        <v>1354</v>
      </c>
      <c r="AN117" t="s">
        <v>20</v>
      </c>
      <c r="AO117">
        <v>119.119</v>
      </c>
      <c r="AP117" t="s">
        <v>20</v>
      </c>
      <c r="AQ117" t="s">
        <v>20</v>
      </c>
    </row>
    <row r="118" spans="1:43" x14ac:dyDescent="0.25">
      <c r="A118">
        <v>6</v>
      </c>
      <c r="B118" t="s">
        <v>18</v>
      </c>
      <c r="C118" t="str">
        <f>HYPERLINK("http://www.ncbi.nlm.nih.gov/protein/XP_008157993.1","XP_008157993.1")</f>
        <v>XP_008157993.1</v>
      </c>
      <c r="D118">
        <v>50025</v>
      </c>
      <c r="E118" t="str">
        <f>HYPERLINK("http://www.ncbi.nlm.nih.gov/Taxonomy/Browser/wwwtax.cgi?mode=Info&amp;id=29078&amp;lvl=3&amp;lin=f&amp;keep=1&amp;srchmode=1&amp;unlock","29078")</f>
        <v>29078</v>
      </c>
      <c r="F118" t="s">
        <v>18</v>
      </c>
      <c r="G118" t="str">
        <f>HYPERLINK("http://www.ncbi.nlm.nih.gov/Taxonomy/Browser/wwwtax.cgi?mode=Info&amp;id=29078&amp;lvl=3&amp;lin=f&amp;keep=1&amp;srchmode=1&amp;unlock","Eptesicus fuscus")</f>
        <v>Eptesicus fuscus</v>
      </c>
      <c r="H118" t="s">
        <v>99</v>
      </c>
      <c r="I118" t="str">
        <f>HYPERLINK("http://www.ncbi.nlm.nih.gov/protein/XP_008157993.1","androgen receptor")</f>
        <v>androgen receptor</v>
      </c>
      <c r="J118" t="s">
        <v>1312</v>
      </c>
      <c r="K118" t="s">
        <v>20</v>
      </c>
      <c r="L118">
        <v>677</v>
      </c>
      <c r="M118" t="s">
        <v>25</v>
      </c>
      <c r="N118" t="s">
        <v>20</v>
      </c>
      <c r="O118" t="s">
        <v>1352</v>
      </c>
      <c r="P118" t="s">
        <v>20</v>
      </c>
      <c r="Q118">
        <v>132.119</v>
      </c>
      <c r="R118" t="s">
        <v>20</v>
      </c>
      <c r="S118" t="s">
        <v>20</v>
      </c>
      <c r="T118">
        <v>683</v>
      </c>
      <c r="U118" t="s">
        <v>1313</v>
      </c>
      <c r="V118" t="s">
        <v>20</v>
      </c>
      <c r="W118" t="s">
        <v>1352</v>
      </c>
      <c r="X118" t="s">
        <v>20</v>
      </c>
      <c r="Y118">
        <v>146.14599999999999</v>
      </c>
      <c r="Z118" t="s">
        <v>20</v>
      </c>
      <c r="AA118" t="s">
        <v>20</v>
      </c>
      <c r="AB118">
        <v>724</v>
      </c>
      <c r="AC118" t="s">
        <v>1314</v>
      </c>
      <c r="AD118" t="s">
        <v>20</v>
      </c>
      <c r="AE118" t="s">
        <v>1353</v>
      </c>
      <c r="AF118" t="s">
        <v>20</v>
      </c>
      <c r="AG118">
        <v>174.203</v>
      </c>
      <c r="AH118" t="s">
        <v>20</v>
      </c>
      <c r="AI118" t="s">
        <v>20</v>
      </c>
      <c r="AJ118">
        <v>849</v>
      </c>
      <c r="AK118" t="s">
        <v>1315</v>
      </c>
      <c r="AL118" t="s">
        <v>20</v>
      </c>
      <c r="AM118" t="s">
        <v>1354</v>
      </c>
      <c r="AN118" t="s">
        <v>20</v>
      </c>
      <c r="AO118">
        <v>119.119</v>
      </c>
      <c r="AP118" t="s">
        <v>20</v>
      </c>
      <c r="AQ118" t="s">
        <v>20</v>
      </c>
    </row>
    <row r="119" spans="1:43" x14ac:dyDescent="0.25">
      <c r="A119">
        <v>6</v>
      </c>
      <c r="B119" t="s">
        <v>18</v>
      </c>
      <c r="C119" t="str">
        <f>HYPERLINK("http://www.ncbi.nlm.nih.gov/protein/XP_006902051.1","XP_006902051.1")</f>
        <v>XP_006902051.1</v>
      </c>
      <c r="D119">
        <v>25292</v>
      </c>
      <c r="E119" t="str">
        <f>HYPERLINK("http://www.ncbi.nlm.nih.gov/Taxonomy/Browser/wwwtax.cgi?mode=Info&amp;id=28737&amp;lvl=3&amp;lin=f&amp;keep=1&amp;srchmode=1&amp;unlock","28737")</f>
        <v>28737</v>
      </c>
      <c r="F119" t="s">
        <v>18</v>
      </c>
      <c r="G119" t="str">
        <f>HYPERLINK("http://www.ncbi.nlm.nih.gov/Taxonomy/Browser/wwwtax.cgi?mode=Info&amp;id=28737&amp;lvl=3&amp;lin=f&amp;keep=1&amp;srchmode=1&amp;unlock","Elephantulus edwardii")</f>
        <v>Elephantulus edwardii</v>
      </c>
      <c r="H119" t="s">
        <v>151</v>
      </c>
      <c r="I119" t="str">
        <f>HYPERLINK("http://www.ncbi.nlm.nih.gov/protein/XP_006902051.1","PREDICTED: androgen receptor-like")</f>
        <v>PREDICTED: androgen receptor-like</v>
      </c>
      <c r="J119" t="s">
        <v>1312</v>
      </c>
      <c r="K119" t="s">
        <v>20</v>
      </c>
      <c r="L119">
        <v>689</v>
      </c>
      <c r="M119" t="s">
        <v>25</v>
      </c>
      <c r="N119" t="s">
        <v>20</v>
      </c>
      <c r="O119" t="s">
        <v>1352</v>
      </c>
      <c r="P119" t="s">
        <v>20</v>
      </c>
      <c r="Q119">
        <v>132.119</v>
      </c>
      <c r="R119" t="s">
        <v>20</v>
      </c>
      <c r="S119" t="s">
        <v>20</v>
      </c>
      <c r="T119">
        <v>695</v>
      </c>
      <c r="U119" t="s">
        <v>1313</v>
      </c>
      <c r="V119" t="s">
        <v>20</v>
      </c>
      <c r="W119" t="s">
        <v>1352</v>
      </c>
      <c r="X119" t="s">
        <v>20</v>
      </c>
      <c r="Y119">
        <v>146.14599999999999</v>
      </c>
      <c r="Z119" t="s">
        <v>20</v>
      </c>
      <c r="AA119" t="s">
        <v>20</v>
      </c>
      <c r="AB119">
        <v>736</v>
      </c>
      <c r="AC119" t="s">
        <v>1314</v>
      </c>
      <c r="AD119" t="s">
        <v>20</v>
      </c>
      <c r="AE119" t="s">
        <v>1353</v>
      </c>
      <c r="AF119" t="s">
        <v>20</v>
      </c>
      <c r="AG119">
        <v>174.203</v>
      </c>
      <c r="AH119" t="s">
        <v>20</v>
      </c>
      <c r="AI119" t="s">
        <v>20</v>
      </c>
      <c r="AJ119">
        <v>861</v>
      </c>
      <c r="AK119" t="s">
        <v>1315</v>
      </c>
      <c r="AL119" t="s">
        <v>20</v>
      </c>
      <c r="AM119" t="s">
        <v>1354</v>
      </c>
      <c r="AN119" t="s">
        <v>20</v>
      </c>
      <c r="AO119">
        <v>119.119</v>
      </c>
      <c r="AP119" t="s">
        <v>20</v>
      </c>
      <c r="AQ119" t="s">
        <v>20</v>
      </c>
    </row>
    <row r="120" spans="1:43" x14ac:dyDescent="0.25">
      <c r="A120">
        <v>6</v>
      </c>
      <c r="B120" t="s">
        <v>18</v>
      </c>
      <c r="C120" t="str">
        <f>HYPERLINK("http://www.ncbi.nlm.nih.gov/protein/XP_031302354.1","XP_031302354.1")</f>
        <v>XP_031302354.1</v>
      </c>
      <c r="D120">
        <v>86974</v>
      </c>
      <c r="E120" t="str">
        <f>HYPERLINK("http://www.ncbi.nlm.nih.gov/Taxonomy/Browser/wwwtax.cgi?mode=Info&amp;id=9838&amp;lvl=3&amp;lin=f&amp;keep=1&amp;srchmode=1&amp;unlock","9838")</f>
        <v>9838</v>
      </c>
      <c r="F120" t="s">
        <v>18</v>
      </c>
      <c r="G120" t="str">
        <f>HYPERLINK("http://www.ncbi.nlm.nih.gov/Taxonomy/Browser/wwwtax.cgi?mode=Info&amp;id=9838&amp;lvl=3&amp;lin=f&amp;keep=1&amp;srchmode=1&amp;unlock","Camelus dromedarius")</f>
        <v>Camelus dromedarius</v>
      </c>
      <c r="H120" t="s">
        <v>115</v>
      </c>
      <c r="I120" t="str">
        <f>HYPERLINK("http://www.ncbi.nlm.nih.gov/protein/XP_031302354.1","androgen receptor")</f>
        <v>androgen receptor</v>
      </c>
      <c r="J120" t="s">
        <v>1312</v>
      </c>
      <c r="K120" t="s">
        <v>20</v>
      </c>
      <c r="L120">
        <v>691</v>
      </c>
      <c r="M120" t="s">
        <v>25</v>
      </c>
      <c r="N120" t="s">
        <v>20</v>
      </c>
      <c r="O120" t="s">
        <v>1352</v>
      </c>
      <c r="P120" t="s">
        <v>20</v>
      </c>
      <c r="Q120">
        <v>132.119</v>
      </c>
      <c r="R120" t="s">
        <v>20</v>
      </c>
      <c r="S120" t="s">
        <v>20</v>
      </c>
      <c r="T120">
        <v>697</v>
      </c>
      <c r="U120" t="s">
        <v>1313</v>
      </c>
      <c r="V120" t="s">
        <v>20</v>
      </c>
      <c r="W120" t="s">
        <v>1352</v>
      </c>
      <c r="X120" t="s">
        <v>20</v>
      </c>
      <c r="Y120">
        <v>146.14599999999999</v>
      </c>
      <c r="Z120" t="s">
        <v>20</v>
      </c>
      <c r="AA120" t="s">
        <v>20</v>
      </c>
      <c r="AB120">
        <v>738</v>
      </c>
      <c r="AC120" t="s">
        <v>1314</v>
      </c>
      <c r="AD120" t="s">
        <v>20</v>
      </c>
      <c r="AE120" t="s">
        <v>1353</v>
      </c>
      <c r="AF120" t="s">
        <v>20</v>
      </c>
      <c r="AG120">
        <v>174.203</v>
      </c>
      <c r="AH120" t="s">
        <v>20</v>
      </c>
      <c r="AI120" t="s">
        <v>20</v>
      </c>
      <c r="AJ120">
        <v>863</v>
      </c>
      <c r="AK120" t="s">
        <v>1315</v>
      </c>
      <c r="AL120" t="s">
        <v>20</v>
      </c>
      <c r="AM120" t="s">
        <v>1354</v>
      </c>
      <c r="AN120" t="s">
        <v>20</v>
      </c>
      <c r="AO120">
        <v>119.119</v>
      </c>
      <c r="AP120" t="s">
        <v>20</v>
      </c>
      <c r="AQ120" t="s">
        <v>20</v>
      </c>
    </row>
    <row r="121" spans="1:43" x14ac:dyDescent="0.25">
      <c r="A121">
        <v>6</v>
      </c>
      <c r="B121" t="s">
        <v>18</v>
      </c>
      <c r="C121" t="str">
        <f>HYPERLINK("http://www.ncbi.nlm.nih.gov/protein/XP_032330272.1","XP_032330272.1")</f>
        <v>XP_032330272.1</v>
      </c>
      <c r="D121">
        <v>74736</v>
      </c>
      <c r="E121" t="str">
        <f>HYPERLINK("http://www.ncbi.nlm.nih.gov/Taxonomy/Browser/wwwtax.cgi?mode=Info&amp;id=419612&amp;lvl=3&amp;lin=f&amp;keep=1&amp;srchmode=1&amp;unlock","419612")</f>
        <v>419612</v>
      </c>
      <c r="F121" t="s">
        <v>18</v>
      </c>
      <c r="G121" t="str">
        <f>HYPERLINK("http://www.ncbi.nlm.nih.gov/Taxonomy/Browser/wwwtax.cgi?mode=Info&amp;id=419612&amp;lvl=3&amp;lin=f&amp;keep=1&amp;srchmode=1&amp;unlock","Camelus ferus")</f>
        <v>Camelus ferus</v>
      </c>
      <c r="H121" t="s">
        <v>96</v>
      </c>
      <c r="I121" t="str">
        <f>HYPERLINK("http://www.ncbi.nlm.nih.gov/protein/XP_032330272.1","androgen receptor")</f>
        <v>androgen receptor</v>
      </c>
      <c r="J121" t="s">
        <v>1312</v>
      </c>
      <c r="K121" t="s">
        <v>20</v>
      </c>
      <c r="L121">
        <v>690</v>
      </c>
      <c r="M121" t="s">
        <v>25</v>
      </c>
      <c r="N121" t="s">
        <v>20</v>
      </c>
      <c r="O121" t="s">
        <v>1352</v>
      </c>
      <c r="P121" t="s">
        <v>20</v>
      </c>
      <c r="Q121">
        <v>132.119</v>
      </c>
      <c r="R121" t="s">
        <v>20</v>
      </c>
      <c r="S121" t="s">
        <v>20</v>
      </c>
      <c r="T121">
        <v>696</v>
      </c>
      <c r="U121" t="s">
        <v>1313</v>
      </c>
      <c r="V121" t="s">
        <v>20</v>
      </c>
      <c r="W121" t="s">
        <v>1352</v>
      </c>
      <c r="X121" t="s">
        <v>20</v>
      </c>
      <c r="Y121">
        <v>146.14599999999999</v>
      </c>
      <c r="Z121" t="s">
        <v>20</v>
      </c>
      <c r="AA121" t="s">
        <v>20</v>
      </c>
      <c r="AB121">
        <v>737</v>
      </c>
      <c r="AC121" t="s">
        <v>1314</v>
      </c>
      <c r="AD121" t="s">
        <v>20</v>
      </c>
      <c r="AE121" t="s">
        <v>1353</v>
      </c>
      <c r="AF121" t="s">
        <v>20</v>
      </c>
      <c r="AG121">
        <v>174.203</v>
      </c>
      <c r="AH121" t="s">
        <v>20</v>
      </c>
      <c r="AI121" t="s">
        <v>20</v>
      </c>
      <c r="AJ121">
        <v>862</v>
      </c>
      <c r="AK121" t="s">
        <v>1315</v>
      </c>
      <c r="AL121" t="s">
        <v>20</v>
      </c>
      <c r="AM121" t="s">
        <v>1354</v>
      </c>
      <c r="AN121" t="s">
        <v>20</v>
      </c>
      <c r="AO121">
        <v>119.119</v>
      </c>
      <c r="AP121" t="s">
        <v>20</v>
      </c>
      <c r="AQ121" t="s">
        <v>20</v>
      </c>
    </row>
    <row r="122" spans="1:43" x14ac:dyDescent="0.25">
      <c r="A122">
        <v>6</v>
      </c>
      <c r="B122" t="s">
        <v>18</v>
      </c>
      <c r="C122" t="str">
        <f>HYPERLINK("http://www.ncbi.nlm.nih.gov/protein/XP_005401638.1","XP_005401638.1")</f>
        <v>XP_005401638.1</v>
      </c>
      <c r="D122">
        <v>45556</v>
      </c>
      <c r="E122" t="str">
        <f>HYPERLINK("http://www.ncbi.nlm.nih.gov/Taxonomy/Browser/wwwtax.cgi?mode=Info&amp;id=34839&amp;lvl=3&amp;lin=f&amp;keep=1&amp;srchmode=1&amp;unlock","34839")</f>
        <v>34839</v>
      </c>
      <c r="F122" t="s">
        <v>18</v>
      </c>
      <c r="G122" t="str">
        <f>HYPERLINK("http://www.ncbi.nlm.nih.gov/Taxonomy/Browser/wwwtax.cgi?mode=Info&amp;id=34839&amp;lvl=3&amp;lin=f&amp;keep=1&amp;srchmode=1&amp;unlock","Chinchilla lanigera")</f>
        <v>Chinchilla lanigera</v>
      </c>
      <c r="H122" t="s">
        <v>156</v>
      </c>
      <c r="I122" t="str">
        <f>HYPERLINK("http://www.ncbi.nlm.nih.gov/protein/XP_005401638.1","PREDICTED: androgen receptor")</f>
        <v>PREDICTED: androgen receptor</v>
      </c>
      <c r="J122" t="s">
        <v>1312</v>
      </c>
      <c r="K122" t="s">
        <v>20</v>
      </c>
      <c r="L122">
        <v>681</v>
      </c>
      <c r="M122" t="s">
        <v>25</v>
      </c>
      <c r="N122" t="s">
        <v>20</v>
      </c>
      <c r="O122" t="s">
        <v>1352</v>
      </c>
      <c r="P122" t="s">
        <v>20</v>
      </c>
      <c r="Q122">
        <v>132.119</v>
      </c>
      <c r="R122" t="s">
        <v>20</v>
      </c>
      <c r="S122" t="s">
        <v>20</v>
      </c>
      <c r="T122">
        <v>687</v>
      </c>
      <c r="U122" t="s">
        <v>1313</v>
      </c>
      <c r="V122" t="s">
        <v>20</v>
      </c>
      <c r="W122" t="s">
        <v>1352</v>
      </c>
      <c r="X122" t="s">
        <v>20</v>
      </c>
      <c r="Y122">
        <v>146.14599999999999</v>
      </c>
      <c r="Z122" t="s">
        <v>20</v>
      </c>
      <c r="AA122" t="s">
        <v>20</v>
      </c>
      <c r="AB122">
        <v>728</v>
      </c>
      <c r="AC122" t="s">
        <v>1314</v>
      </c>
      <c r="AD122" t="s">
        <v>20</v>
      </c>
      <c r="AE122" t="s">
        <v>1353</v>
      </c>
      <c r="AF122" t="s">
        <v>20</v>
      </c>
      <c r="AG122">
        <v>174.203</v>
      </c>
      <c r="AH122" t="s">
        <v>20</v>
      </c>
      <c r="AI122" t="s">
        <v>20</v>
      </c>
      <c r="AJ122">
        <v>853</v>
      </c>
      <c r="AK122" t="s">
        <v>1315</v>
      </c>
      <c r="AL122" t="s">
        <v>20</v>
      </c>
      <c r="AM122" t="s">
        <v>1354</v>
      </c>
      <c r="AN122" t="s">
        <v>20</v>
      </c>
      <c r="AO122">
        <v>119.119</v>
      </c>
      <c r="AP122" t="s">
        <v>20</v>
      </c>
      <c r="AQ122" t="s">
        <v>20</v>
      </c>
    </row>
    <row r="123" spans="1:43" x14ac:dyDescent="0.25">
      <c r="A123">
        <v>6</v>
      </c>
      <c r="B123" t="s">
        <v>18</v>
      </c>
      <c r="C123" t="str">
        <f>HYPERLINK("http://www.ncbi.nlm.nih.gov/protein/XP_036268512.1","XP_036268512.1")</f>
        <v>XP_036268512.1</v>
      </c>
      <c r="D123">
        <v>93471</v>
      </c>
      <c r="E123" t="str">
        <f>HYPERLINK("http://www.ncbi.nlm.nih.gov/Taxonomy/Browser/wwwtax.cgi?mode=Info&amp;id=59472&amp;lvl=3&amp;lin=f&amp;keep=1&amp;srchmode=1&amp;unlock","59472")</f>
        <v>59472</v>
      </c>
      <c r="F123" t="s">
        <v>18</v>
      </c>
      <c r="G123" t="str">
        <f>HYPERLINK("http://www.ncbi.nlm.nih.gov/Taxonomy/Browser/wwwtax.cgi?mode=Info&amp;id=59472&amp;lvl=3&amp;lin=f&amp;keep=1&amp;srchmode=1&amp;unlock","Pipistrellus kuhlii")</f>
        <v>Pipistrellus kuhlii</v>
      </c>
      <c r="H123" t="s">
        <v>92</v>
      </c>
      <c r="I123" t="str">
        <f>HYPERLINK("http://www.ncbi.nlm.nih.gov/protein/XP_036268512.1","androgen receptor isoform X1")</f>
        <v>androgen receptor isoform X1</v>
      </c>
      <c r="J123" t="s">
        <v>1312</v>
      </c>
      <c r="K123" t="s">
        <v>20</v>
      </c>
      <c r="L123">
        <v>678</v>
      </c>
      <c r="M123" t="s">
        <v>25</v>
      </c>
      <c r="N123" t="s">
        <v>20</v>
      </c>
      <c r="O123" t="s">
        <v>1352</v>
      </c>
      <c r="P123" t="s">
        <v>20</v>
      </c>
      <c r="Q123">
        <v>132.119</v>
      </c>
      <c r="R123" t="s">
        <v>20</v>
      </c>
      <c r="S123" t="s">
        <v>20</v>
      </c>
      <c r="T123">
        <v>684</v>
      </c>
      <c r="U123" t="s">
        <v>1313</v>
      </c>
      <c r="V123" t="s">
        <v>20</v>
      </c>
      <c r="W123" t="s">
        <v>1352</v>
      </c>
      <c r="X123" t="s">
        <v>20</v>
      </c>
      <c r="Y123">
        <v>146.14599999999999</v>
      </c>
      <c r="Z123" t="s">
        <v>20</v>
      </c>
      <c r="AA123" t="s">
        <v>20</v>
      </c>
      <c r="AB123">
        <v>725</v>
      </c>
      <c r="AC123" t="s">
        <v>1314</v>
      </c>
      <c r="AD123" t="s">
        <v>20</v>
      </c>
      <c r="AE123" t="s">
        <v>1353</v>
      </c>
      <c r="AF123" t="s">
        <v>20</v>
      </c>
      <c r="AG123">
        <v>174.203</v>
      </c>
      <c r="AH123" t="s">
        <v>20</v>
      </c>
      <c r="AI123" t="s">
        <v>20</v>
      </c>
      <c r="AJ123">
        <v>850</v>
      </c>
      <c r="AK123" t="s">
        <v>1315</v>
      </c>
      <c r="AL123" t="s">
        <v>20</v>
      </c>
      <c r="AM123" t="s">
        <v>1354</v>
      </c>
      <c r="AN123" t="s">
        <v>20</v>
      </c>
      <c r="AO123">
        <v>119.119</v>
      </c>
      <c r="AP123" t="s">
        <v>20</v>
      </c>
      <c r="AQ123" t="s">
        <v>20</v>
      </c>
    </row>
    <row r="124" spans="1:43" x14ac:dyDescent="0.25">
      <c r="A124">
        <v>6</v>
      </c>
      <c r="B124" t="s">
        <v>18</v>
      </c>
      <c r="C124" t="str">
        <f>HYPERLINK("http://www.ncbi.nlm.nih.gov/protein/XP_016013685.2","XP_016013685.2")</f>
        <v>XP_016013685.2</v>
      </c>
      <c r="D124">
        <v>117130</v>
      </c>
      <c r="E124" t="str">
        <f>HYPERLINK("http://www.ncbi.nlm.nih.gov/Taxonomy/Browser/wwwtax.cgi?mode=Info&amp;id=9407&amp;lvl=3&amp;lin=f&amp;keep=1&amp;srchmode=1&amp;unlock","9407")</f>
        <v>9407</v>
      </c>
      <c r="F124" t="s">
        <v>18</v>
      </c>
      <c r="G124" t="str">
        <f>HYPERLINK("http://www.ncbi.nlm.nih.gov/Taxonomy/Browser/wwwtax.cgi?mode=Info&amp;id=9407&amp;lvl=3&amp;lin=f&amp;keep=1&amp;srchmode=1&amp;unlock","Rousettus aegyptiacus")</f>
        <v>Rousettus aegyptiacus</v>
      </c>
      <c r="H124" t="s">
        <v>170</v>
      </c>
      <c r="I124" t="str">
        <f>HYPERLINK("http://www.ncbi.nlm.nih.gov/protein/XP_016013685.2","androgen receptor")</f>
        <v>androgen receptor</v>
      </c>
      <c r="J124" t="s">
        <v>1312</v>
      </c>
      <c r="K124" t="s">
        <v>20</v>
      </c>
      <c r="L124">
        <v>688</v>
      </c>
      <c r="M124" t="s">
        <v>25</v>
      </c>
      <c r="N124" t="s">
        <v>20</v>
      </c>
      <c r="O124" t="s">
        <v>1352</v>
      </c>
      <c r="P124" t="s">
        <v>20</v>
      </c>
      <c r="Q124">
        <v>132.119</v>
      </c>
      <c r="R124" t="s">
        <v>20</v>
      </c>
      <c r="S124" t="s">
        <v>20</v>
      </c>
      <c r="T124">
        <v>694</v>
      </c>
      <c r="U124" t="s">
        <v>1313</v>
      </c>
      <c r="V124" t="s">
        <v>20</v>
      </c>
      <c r="W124" t="s">
        <v>1352</v>
      </c>
      <c r="X124" t="s">
        <v>20</v>
      </c>
      <c r="Y124">
        <v>146.14599999999999</v>
      </c>
      <c r="Z124" t="s">
        <v>20</v>
      </c>
      <c r="AA124" t="s">
        <v>20</v>
      </c>
      <c r="AB124">
        <v>735</v>
      </c>
      <c r="AC124" t="s">
        <v>1314</v>
      </c>
      <c r="AD124" t="s">
        <v>20</v>
      </c>
      <c r="AE124" t="s">
        <v>1353</v>
      </c>
      <c r="AF124" t="s">
        <v>20</v>
      </c>
      <c r="AG124">
        <v>174.203</v>
      </c>
      <c r="AH124" t="s">
        <v>20</v>
      </c>
      <c r="AI124" t="s">
        <v>20</v>
      </c>
      <c r="AJ124">
        <v>860</v>
      </c>
      <c r="AK124" t="s">
        <v>1315</v>
      </c>
      <c r="AL124" t="s">
        <v>20</v>
      </c>
      <c r="AM124" t="s">
        <v>1354</v>
      </c>
      <c r="AN124" t="s">
        <v>20</v>
      </c>
      <c r="AO124">
        <v>119.119</v>
      </c>
      <c r="AP124" t="s">
        <v>20</v>
      </c>
      <c r="AQ124" t="s">
        <v>20</v>
      </c>
    </row>
    <row r="125" spans="1:43" x14ac:dyDescent="0.25">
      <c r="A125">
        <v>6</v>
      </c>
      <c r="B125" t="s">
        <v>18</v>
      </c>
      <c r="C125" t="str">
        <f>HYPERLINK("http://www.ncbi.nlm.nih.gov/protein/XP_032475571.1","XP_032475571.1")</f>
        <v>XP_032475571.1</v>
      </c>
      <c r="D125">
        <v>52375</v>
      </c>
      <c r="E125" t="str">
        <f>HYPERLINK("http://www.ncbi.nlm.nih.gov/Taxonomy/Browser/wwwtax.cgi?mode=Info&amp;id=42100&amp;lvl=3&amp;lin=f&amp;keep=1&amp;srchmode=1&amp;unlock","42100")</f>
        <v>42100</v>
      </c>
      <c r="F125" t="s">
        <v>18</v>
      </c>
      <c r="G125" t="str">
        <f>HYPERLINK("http://www.ncbi.nlm.nih.gov/Taxonomy/Browser/wwwtax.cgi?mode=Info&amp;id=42100&amp;lvl=3&amp;lin=f&amp;keep=1&amp;srchmode=1&amp;unlock","Phocoena sinus")</f>
        <v>Phocoena sinus</v>
      </c>
      <c r="H125" t="s">
        <v>177</v>
      </c>
      <c r="I125" t="str">
        <f>HYPERLINK("http://www.ncbi.nlm.nih.gov/protein/XP_032475571.1","androgen receptor isoform X1")</f>
        <v>androgen receptor isoform X1</v>
      </c>
      <c r="J125" t="s">
        <v>1312</v>
      </c>
      <c r="K125" t="s">
        <v>20</v>
      </c>
      <c r="L125">
        <v>679</v>
      </c>
      <c r="M125" t="s">
        <v>25</v>
      </c>
      <c r="N125" t="s">
        <v>20</v>
      </c>
      <c r="O125" t="s">
        <v>1352</v>
      </c>
      <c r="P125" t="s">
        <v>20</v>
      </c>
      <c r="Q125">
        <v>132.119</v>
      </c>
      <c r="R125" t="s">
        <v>20</v>
      </c>
      <c r="S125" t="s">
        <v>20</v>
      </c>
      <c r="T125">
        <v>685</v>
      </c>
      <c r="U125" t="s">
        <v>1313</v>
      </c>
      <c r="V125" t="s">
        <v>20</v>
      </c>
      <c r="W125" t="s">
        <v>1352</v>
      </c>
      <c r="X125" t="s">
        <v>20</v>
      </c>
      <c r="Y125">
        <v>146.14599999999999</v>
      </c>
      <c r="Z125" t="s">
        <v>20</v>
      </c>
      <c r="AA125" t="s">
        <v>20</v>
      </c>
      <c r="AB125">
        <v>726</v>
      </c>
      <c r="AC125" t="s">
        <v>1314</v>
      </c>
      <c r="AD125" t="s">
        <v>20</v>
      </c>
      <c r="AE125" t="s">
        <v>1353</v>
      </c>
      <c r="AF125" t="s">
        <v>20</v>
      </c>
      <c r="AG125">
        <v>174.203</v>
      </c>
      <c r="AH125" t="s">
        <v>20</v>
      </c>
      <c r="AI125" t="s">
        <v>20</v>
      </c>
      <c r="AJ125">
        <v>851</v>
      </c>
      <c r="AK125" t="s">
        <v>1315</v>
      </c>
      <c r="AL125" t="s">
        <v>20</v>
      </c>
      <c r="AM125" t="s">
        <v>1354</v>
      </c>
      <c r="AN125" t="s">
        <v>20</v>
      </c>
      <c r="AO125">
        <v>119.119</v>
      </c>
      <c r="AP125" t="s">
        <v>20</v>
      </c>
      <c r="AQ125" t="s">
        <v>20</v>
      </c>
    </row>
    <row r="126" spans="1:43" x14ac:dyDescent="0.25">
      <c r="A126">
        <v>6</v>
      </c>
      <c r="B126" t="s">
        <v>18</v>
      </c>
      <c r="C126" t="str">
        <f>HYPERLINK("http://www.ncbi.nlm.nih.gov/protein/XP_029096398.1","XP_029096398.1")</f>
        <v>XP_029096398.1</v>
      </c>
      <c r="D126">
        <v>65835</v>
      </c>
      <c r="E126" t="str">
        <f>HYPERLINK("http://www.ncbi.nlm.nih.gov/Taxonomy/Browser/wwwtax.cgi?mode=Info&amp;id=40151&amp;lvl=3&amp;lin=f&amp;keep=1&amp;srchmode=1&amp;unlock","40151")</f>
        <v>40151</v>
      </c>
      <c r="F126" t="s">
        <v>18</v>
      </c>
      <c r="G126" t="str">
        <f>HYPERLINK("http://www.ncbi.nlm.nih.gov/Taxonomy/Browser/wwwtax.cgi?mode=Info&amp;id=40151&amp;lvl=3&amp;lin=f&amp;keep=1&amp;srchmode=1&amp;unlock","Monodon monoceros")</f>
        <v>Monodon monoceros</v>
      </c>
      <c r="H126" t="s">
        <v>153</v>
      </c>
      <c r="I126" t="str">
        <f>HYPERLINK("http://www.ncbi.nlm.nih.gov/protein/XP_029096398.1","androgen receptor isoform X1")</f>
        <v>androgen receptor isoform X1</v>
      </c>
      <c r="J126" t="s">
        <v>1312</v>
      </c>
      <c r="K126" t="s">
        <v>20</v>
      </c>
      <c r="L126">
        <v>679</v>
      </c>
      <c r="M126" t="s">
        <v>25</v>
      </c>
      <c r="N126" t="s">
        <v>20</v>
      </c>
      <c r="O126" t="s">
        <v>1352</v>
      </c>
      <c r="P126" t="s">
        <v>20</v>
      </c>
      <c r="Q126">
        <v>132.119</v>
      </c>
      <c r="R126" t="s">
        <v>20</v>
      </c>
      <c r="S126" t="s">
        <v>20</v>
      </c>
      <c r="T126">
        <v>685</v>
      </c>
      <c r="U126" t="s">
        <v>1313</v>
      </c>
      <c r="V126" t="s">
        <v>20</v>
      </c>
      <c r="W126" t="s">
        <v>1352</v>
      </c>
      <c r="X126" t="s">
        <v>20</v>
      </c>
      <c r="Y126">
        <v>146.14599999999999</v>
      </c>
      <c r="Z126" t="s">
        <v>20</v>
      </c>
      <c r="AA126" t="s">
        <v>20</v>
      </c>
      <c r="AB126">
        <v>726</v>
      </c>
      <c r="AC126" t="s">
        <v>1314</v>
      </c>
      <c r="AD126" t="s">
        <v>20</v>
      </c>
      <c r="AE126" t="s">
        <v>1353</v>
      </c>
      <c r="AF126" t="s">
        <v>20</v>
      </c>
      <c r="AG126">
        <v>174.203</v>
      </c>
      <c r="AH126" t="s">
        <v>20</v>
      </c>
      <c r="AI126" t="s">
        <v>20</v>
      </c>
      <c r="AJ126">
        <v>851</v>
      </c>
      <c r="AK126" t="s">
        <v>1315</v>
      </c>
      <c r="AL126" t="s">
        <v>20</v>
      </c>
      <c r="AM126" t="s">
        <v>1354</v>
      </c>
      <c r="AN126" t="s">
        <v>20</v>
      </c>
      <c r="AO126">
        <v>119.119</v>
      </c>
      <c r="AP126" t="s">
        <v>20</v>
      </c>
      <c r="AQ126" t="s">
        <v>20</v>
      </c>
    </row>
    <row r="127" spans="1:43" x14ac:dyDescent="0.25">
      <c r="A127">
        <v>6</v>
      </c>
      <c r="B127" t="s">
        <v>18</v>
      </c>
      <c r="C127" t="str">
        <f>HYPERLINK("http://www.ncbi.nlm.nih.gov/protein/XP_004275845.1","XP_004275845.1")</f>
        <v>XP_004275845.1</v>
      </c>
      <c r="D127">
        <v>59479</v>
      </c>
      <c r="E127" t="str">
        <f>HYPERLINK("http://www.ncbi.nlm.nih.gov/Taxonomy/Browser/wwwtax.cgi?mode=Info&amp;id=9733&amp;lvl=3&amp;lin=f&amp;keep=1&amp;srchmode=1&amp;unlock","9733")</f>
        <v>9733</v>
      </c>
      <c r="F127" t="s">
        <v>18</v>
      </c>
      <c r="G127" t="str">
        <f>HYPERLINK("http://www.ncbi.nlm.nih.gov/Taxonomy/Browser/wwwtax.cgi?mode=Info&amp;id=9733&amp;lvl=3&amp;lin=f&amp;keep=1&amp;srchmode=1&amp;unlock","Orcinus orca")</f>
        <v>Orcinus orca</v>
      </c>
      <c r="H127" t="s">
        <v>155</v>
      </c>
      <c r="I127" t="str">
        <f>HYPERLINK("http://www.ncbi.nlm.nih.gov/protein/XP_004275845.1","androgen receptor")</f>
        <v>androgen receptor</v>
      </c>
      <c r="J127" t="s">
        <v>1312</v>
      </c>
      <c r="K127" t="s">
        <v>20</v>
      </c>
      <c r="L127">
        <v>679</v>
      </c>
      <c r="M127" t="s">
        <v>25</v>
      </c>
      <c r="N127" t="s">
        <v>20</v>
      </c>
      <c r="O127" t="s">
        <v>1352</v>
      </c>
      <c r="P127" t="s">
        <v>20</v>
      </c>
      <c r="Q127">
        <v>132.119</v>
      </c>
      <c r="R127" t="s">
        <v>20</v>
      </c>
      <c r="S127" t="s">
        <v>20</v>
      </c>
      <c r="T127">
        <v>685</v>
      </c>
      <c r="U127" t="s">
        <v>1313</v>
      </c>
      <c r="V127" t="s">
        <v>20</v>
      </c>
      <c r="W127" t="s">
        <v>1352</v>
      </c>
      <c r="X127" t="s">
        <v>20</v>
      </c>
      <c r="Y127">
        <v>146.14599999999999</v>
      </c>
      <c r="Z127" t="s">
        <v>20</v>
      </c>
      <c r="AA127" t="s">
        <v>20</v>
      </c>
      <c r="AB127">
        <v>726</v>
      </c>
      <c r="AC127" t="s">
        <v>1314</v>
      </c>
      <c r="AD127" t="s">
        <v>20</v>
      </c>
      <c r="AE127" t="s">
        <v>1353</v>
      </c>
      <c r="AF127" t="s">
        <v>20</v>
      </c>
      <c r="AG127">
        <v>174.203</v>
      </c>
      <c r="AH127" t="s">
        <v>20</v>
      </c>
      <c r="AI127" t="s">
        <v>20</v>
      </c>
      <c r="AJ127">
        <v>851</v>
      </c>
      <c r="AK127" t="s">
        <v>1315</v>
      </c>
      <c r="AL127" t="s">
        <v>20</v>
      </c>
      <c r="AM127" t="s">
        <v>1354</v>
      </c>
      <c r="AN127" t="s">
        <v>20</v>
      </c>
      <c r="AO127">
        <v>119.119</v>
      </c>
      <c r="AP127" t="s">
        <v>20</v>
      </c>
      <c r="AQ127" t="s">
        <v>20</v>
      </c>
    </row>
    <row r="128" spans="1:43" x14ac:dyDescent="0.25">
      <c r="A128">
        <v>6</v>
      </c>
      <c r="B128" t="s">
        <v>18</v>
      </c>
      <c r="C128" t="str">
        <f>HYPERLINK("http://www.ncbi.nlm.nih.gov/protein/XP_026949412.1","XP_026949412.1")</f>
        <v>XP_026949412.1</v>
      </c>
      <c r="D128">
        <v>54700</v>
      </c>
      <c r="E128" t="str">
        <f>HYPERLINK("http://www.ncbi.nlm.nih.gov/Taxonomy/Browser/wwwtax.cgi?mode=Info&amp;id=90247&amp;lvl=3&amp;lin=f&amp;keep=1&amp;srchmode=1&amp;unlock","90247")</f>
        <v>90247</v>
      </c>
      <c r="F128" t="s">
        <v>18</v>
      </c>
      <c r="G128" t="str">
        <f>HYPERLINK("http://www.ncbi.nlm.nih.gov/Taxonomy/Browser/wwwtax.cgi?mode=Info&amp;id=90247&amp;lvl=3&amp;lin=f&amp;keep=1&amp;srchmode=1&amp;unlock","Lagenorhynchus obliquidens")</f>
        <v>Lagenorhynchus obliquidens</v>
      </c>
      <c r="H128" t="s">
        <v>159</v>
      </c>
      <c r="I128" t="str">
        <f>HYPERLINK("http://www.ncbi.nlm.nih.gov/protein/XP_026949412.1","androgen receptor isoform X1")</f>
        <v>androgen receptor isoform X1</v>
      </c>
      <c r="J128" t="s">
        <v>1312</v>
      </c>
      <c r="K128" t="s">
        <v>20</v>
      </c>
      <c r="L128">
        <v>679</v>
      </c>
      <c r="M128" t="s">
        <v>25</v>
      </c>
      <c r="N128" t="s">
        <v>20</v>
      </c>
      <c r="O128" t="s">
        <v>1352</v>
      </c>
      <c r="P128" t="s">
        <v>20</v>
      </c>
      <c r="Q128">
        <v>132.119</v>
      </c>
      <c r="R128" t="s">
        <v>20</v>
      </c>
      <c r="S128" t="s">
        <v>20</v>
      </c>
      <c r="T128">
        <v>685</v>
      </c>
      <c r="U128" t="s">
        <v>1313</v>
      </c>
      <c r="V128" t="s">
        <v>20</v>
      </c>
      <c r="W128" t="s">
        <v>1352</v>
      </c>
      <c r="X128" t="s">
        <v>20</v>
      </c>
      <c r="Y128">
        <v>146.14599999999999</v>
      </c>
      <c r="Z128" t="s">
        <v>20</v>
      </c>
      <c r="AA128" t="s">
        <v>20</v>
      </c>
      <c r="AB128">
        <v>726</v>
      </c>
      <c r="AC128" t="s">
        <v>1314</v>
      </c>
      <c r="AD128" t="s">
        <v>20</v>
      </c>
      <c r="AE128" t="s">
        <v>1353</v>
      </c>
      <c r="AF128" t="s">
        <v>20</v>
      </c>
      <c r="AG128">
        <v>174.203</v>
      </c>
      <c r="AH128" t="s">
        <v>20</v>
      </c>
      <c r="AI128" t="s">
        <v>20</v>
      </c>
      <c r="AJ128">
        <v>851</v>
      </c>
      <c r="AK128" t="s">
        <v>1315</v>
      </c>
      <c r="AL128" t="s">
        <v>20</v>
      </c>
      <c r="AM128" t="s">
        <v>1354</v>
      </c>
      <c r="AN128" t="s">
        <v>20</v>
      </c>
      <c r="AO128">
        <v>119.119</v>
      </c>
      <c r="AP128" t="s">
        <v>20</v>
      </c>
      <c r="AQ128" t="s">
        <v>20</v>
      </c>
    </row>
    <row r="129" spans="1:43" x14ac:dyDescent="0.25">
      <c r="A129">
        <v>6</v>
      </c>
      <c r="B129" t="s">
        <v>18</v>
      </c>
      <c r="C129" t="str">
        <f>HYPERLINK("http://www.ncbi.nlm.nih.gov/protein/XP_004316835.2","XP_004316835.2")</f>
        <v>XP_004316835.2</v>
      </c>
      <c r="D129">
        <v>57007</v>
      </c>
      <c r="E129" t="str">
        <f>HYPERLINK("http://www.ncbi.nlm.nih.gov/Taxonomy/Browser/wwwtax.cgi?mode=Info&amp;id=9739&amp;lvl=3&amp;lin=f&amp;keep=1&amp;srchmode=1&amp;unlock","9739")</f>
        <v>9739</v>
      </c>
      <c r="F129" t="s">
        <v>18</v>
      </c>
      <c r="G129" t="str">
        <f>HYPERLINK("http://www.ncbi.nlm.nih.gov/Taxonomy/Browser/wwwtax.cgi?mode=Info&amp;id=9739&amp;lvl=3&amp;lin=f&amp;keep=1&amp;srchmode=1&amp;unlock","Tursiops truncatus")</f>
        <v>Tursiops truncatus</v>
      </c>
      <c r="H129" t="s">
        <v>154</v>
      </c>
      <c r="I129" t="str">
        <f>HYPERLINK("http://www.ncbi.nlm.nih.gov/protein/XP_004316835.2","androgen receptor isoform X1")</f>
        <v>androgen receptor isoform X1</v>
      </c>
      <c r="J129" t="s">
        <v>1312</v>
      </c>
      <c r="K129" t="s">
        <v>20</v>
      </c>
      <c r="L129">
        <v>679</v>
      </c>
      <c r="M129" t="s">
        <v>25</v>
      </c>
      <c r="N129" t="s">
        <v>20</v>
      </c>
      <c r="O129" t="s">
        <v>1352</v>
      </c>
      <c r="P129" t="s">
        <v>20</v>
      </c>
      <c r="Q129">
        <v>132.119</v>
      </c>
      <c r="R129" t="s">
        <v>20</v>
      </c>
      <c r="S129" t="s">
        <v>20</v>
      </c>
      <c r="T129">
        <v>685</v>
      </c>
      <c r="U129" t="s">
        <v>1313</v>
      </c>
      <c r="V129" t="s">
        <v>20</v>
      </c>
      <c r="W129" t="s">
        <v>1352</v>
      </c>
      <c r="X129" t="s">
        <v>20</v>
      </c>
      <c r="Y129">
        <v>146.14599999999999</v>
      </c>
      <c r="Z129" t="s">
        <v>20</v>
      </c>
      <c r="AA129" t="s">
        <v>20</v>
      </c>
      <c r="AB129">
        <v>726</v>
      </c>
      <c r="AC129" t="s">
        <v>1314</v>
      </c>
      <c r="AD129" t="s">
        <v>20</v>
      </c>
      <c r="AE129" t="s">
        <v>1353</v>
      </c>
      <c r="AF129" t="s">
        <v>20</v>
      </c>
      <c r="AG129">
        <v>174.203</v>
      </c>
      <c r="AH129" t="s">
        <v>20</v>
      </c>
      <c r="AI129" t="s">
        <v>20</v>
      </c>
      <c r="AJ129">
        <v>851</v>
      </c>
      <c r="AK129" t="s">
        <v>1315</v>
      </c>
      <c r="AL129" t="s">
        <v>20</v>
      </c>
      <c r="AM129" t="s">
        <v>1354</v>
      </c>
      <c r="AN129" t="s">
        <v>20</v>
      </c>
      <c r="AO129">
        <v>119.119</v>
      </c>
      <c r="AP129" t="s">
        <v>20</v>
      </c>
      <c r="AQ129" t="s">
        <v>20</v>
      </c>
    </row>
    <row r="130" spans="1:43" x14ac:dyDescent="0.25">
      <c r="A130">
        <v>6</v>
      </c>
      <c r="B130" t="s">
        <v>18</v>
      </c>
      <c r="C130" t="str">
        <f>HYPERLINK("http://www.ncbi.nlm.nih.gov/protein/XP_030705966.1","XP_030705966.1")</f>
        <v>XP_030705966.1</v>
      </c>
      <c r="D130">
        <v>54641</v>
      </c>
      <c r="E130" t="str">
        <f>HYPERLINK("http://www.ncbi.nlm.nih.gov/Taxonomy/Browser/wwwtax.cgi?mode=Info&amp;id=9731&amp;lvl=3&amp;lin=f&amp;keep=1&amp;srchmode=1&amp;unlock","9731")</f>
        <v>9731</v>
      </c>
      <c r="F130" t="s">
        <v>18</v>
      </c>
      <c r="G130" t="str">
        <f>HYPERLINK("http://www.ncbi.nlm.nih.gov/Taxonomy/Browser/wwwtax.cgi?mode=Info&amp;id=9731&amp;lvl=3&amp;lin=f&amp;keep=1&amp;srchmode=1&amp;unlock","Globicephala melas")</f>
        <v>Globicephala melas</v>
      </c>
      <c r="H130" t="s">
        <v>158</v>
      </c>
      <c r="I130" t="str">
        <f>HYPERLINK("http://www.ncbi.nlm.nih.gov/protein/XP_030705966.1","androgen receptor isoform X1")</f>
        <v>androgen receptor isoform X1</v>
      </c>
      <c r="J130" t="s">
        <v>1312</v>
      </c>
      <c r="K130" t="s">
        <v>20</v>
      </c>
      <c r="L130">
        <v>679</v>
      </c>
      <c r="M130" t="s">
        <v>25</v>
      </c>
      <c r="N130" t="s">
        <v>20</v>
      </c>
      <c r="O130" t="s">
        <v>1352</v>
      </c>
      <c r="P130" t="s">
        <v>20</v>
      </c>
      <c r="Q130">
        <v>132.119</v>
      </c>
      <c r="R130" t="s">
        <v>20</v>
      </c>
      <c r="S130" t="s">
        <v>20</v>
      </c>
      <c r="T130">
        <v>685</v>
      </c>
      <c r="U130" t="s">
        <v>1313</v>
      </c>
      <c r="V130" t="s">
        <v>20</v>
      </c>
      <c r="W130" t="s">
        <v>1352</v>
      </c>
      <c r="X130" t="s">
        <v>20</v>
      </c>
      <c r="Y130">
        <v>146.14599999999999</v>
      </c>
      <c r="Z130" t="s">
        <v>20</v>
      </c>
      <c r="AA130" t="s">
        <v>20</v>
      </c>
      <c r="AB130">
        <v>726</v>
      </c>
      <c r="AC130" t="s">
        <v>1314</v>
      </c>
      <c r="AD130" t="s">
        <v>20</v>
      </c>
      <c r="AE130" t="s">
        <v>1353</v>
      </c>
      <c r="AF130" t="s">
        <v>20</v>
      </c>
      <c r="AG130">
        <v>174.203</v>
      </c>
      <c r="AH130" t="s">
        <v>20</v>
      </c>
      <c r="AI130" t="s">
        <v>20</v>
      </c>
      <c r="AJ130">
        <v>851</v>
      </c>
      <c r="AK130" t="s">
        <v>1315</v>
      </c>
      <c r="AL130" t="s">
        <v>20</v>
      </c>
      <c r="AM130" t="s">
        <v>1354</v>
      </c>
      <c r="AN130" t="s">
        <v>20</v>
      </c>
      <c r="AO130">
        <v>119.119</v>
      </c>
      <c r="AP130" t="s">
        <v>20</v>
      </c>
      <c r="AQ130" t="s">
        <v>20</v>
      </c>
    </row>
    <row r="131" spans="1:43" x14ac:dyDescent="0.25">
      <c r="A131">
        <v>6</v>
      </c>
      <c r="B131" t="s">
        <v>18</v>
      </c>
      <c r="C131" t="str">
        <f>HYPERLINK("http://www.ncbi.nlm.nih.gov/protein/XP_022416760.1","XP_022416760.1")</f>
        <v>XP_022416760.1</v>
      </c>
      <c r="D131">
        <v>51113</v>
      </c>
      <c r="E131" t="str">
        <f>HYPERLINK("http://www.ncbi.nlm.nih.gov/Taxonomy/Browser/wwwtax.cgi?mode=Info&amp;id=9749&amp;lvl=3&amp;lin=f&amp;keep=1&amp;srchmode=1&amp;unlock","9749")</f>
        <v>9749</v>
      </c>
      <c r="F131" t="s">
        <v>18</v>
      </c>
      <c r="G131" t="str">
        <f>HYPERLINK("http://www.ncbi.nlm.nih.gov/Taxonomy/Browser/wwwtax.cgi?mode=Info&amp;id=9749&amp;lvl=3&amp;lin=f&amp;keep=1&amp;srchmode=1&amp;unlock","Delphinapterus leucas")</f>
        <v>Delphinapterus leucas</v>
      </c>
      <c r="H131" t="s">
        <v>152</v>
      </c>
      <c r="I131" t="str">
        <f>HYPERLINK("http://www.ncbi.nlm.nih.gov/protein/XP_022416760.1","androgen receptor")</f>
        <v>androgen receptor</v>
      </c>
      <c r="J131" t="s">
        <v>1312</v>
      </c>
      <c r="K131" t="s">
        <v>20</v>
      </c>
      <c r="L131">
        <v>679</v>
      </c>
      <c r="M131" t="s">
        <v>25</v>
      </c>
      <c r="N131" t="s">
        <v>20</v>
      </c>
      <c r="O131" t="s">
        <v>1352</v>
      </c>
      <c r="P131" t="s">
        <v>20</v>
      </c>
      <c r="Q131">
        <v>132.119</v>
      </c>
      <c r="R131" t="s">
        <v>20</v>
      </c>
      <c r="S131" t="s">
        <v>20</v>
      </c>
      <c r="T131">
        <v>685</v>
      </c>
      <c r="U131" t="s">
        <v>1313</v>
      </c>
      <c r="V131" t="s">
        <v>20</v>
      </c>
      <c r="W131" t="s">
        <v>1352</v>
      </c>
      <c r="X131" t="s">
        <v>20</v>
      </c>
      <c r="Y131">
        <v>146.14599999999999</v>
      </c>
      <c r="Z131" t="s">
        <v>20</v>
      </c>
      <c r="AA131" t="s">
        <v>20</v>
      </c>
      <c r="AB131">
        <v>726</v>
      </c>
      <c r="AC131" t="s">
        <v>1314</v>
      </c>
      <c r="AD131" t="s">
        <v>20</v>
      </c>
      <c r="AE131" t="s">
        <v>1353</v>
      </c>
      <c r="AF131" t="s">
        <v>20</v>
      </c>
      <c r="AG131">
        <v>174.203</v>
      </c>
      <c r="AH131" t="s">
        <v>20</v>
      </c>
      <c r="AI131" t="s">
        <v>20</v>
      </c>
      <c r="AJ131">
        <v>851</v>
      </c>
      <c r="AK131" t="s">
        <v>1315</v>
      </c>
      <c r="AL131" t="s">
        <v>20</v>
      </c>
      <c r="AM131" t="s">
        <v>1354</v>
      </c>
      <c r="AN131" t="s">
        <v>20</v>
      </c>
      <c r="AO131">
        <v>119.119</v>
      </c>
      <c r="AP131" t="s">
        <v>20</v>
      </c>
      <c r="AQ131" t="s">
        <v>20</v>
      </c>
    </row>
    <row r="132" spans="1:43" x14ac:dyDescent="0.25">
      <c r="A132">
        <v>6</v>
      </c>
      <c r="B132" t="s">
        <v>18</v>
      </c>
      <c r="C132" t="str">
        <f>HYPERLINK("http://www.ncbi.nlm.nih.gov/protein/XP_024607628.1","XP_024607628.1")</f>
        <v>XP_024607628.1</v>
      </c>
      <c r="D132">
        <v>38184</v>
      </c>
      <c r="E132" t="str">
        <f>HYPERLINK("http://www.ncbi.nlm.nih.gov/Taxonomy/Browser/wwwtax.cgi?mode=Info&amp;id=1706337&amp;lvl=3&amp;lin=f&amp;keep=1&amp;srchmode=1&amp;unlock","1706337")</f>
        <v>1706337</v>
      </c>
      <c r="F132" t="s">
        <v>18</v>
      </c>
      <c r="G132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32" t="s">
        <v>175</v>
      </c>
      <c r="I132" t="str">
        <f>HYPERLINK("http://www.ncbi.nlm.nih.gov/protein/XP_024607628.1","androgen receptor isoform X1")</f>
        <v>androgen receptor isoform X1</v>
      </c>
      <c r="J132" t="s">
        <v>1312</v>
      </c>
      <c r="K132" t="s">
        <v>20</v>
      </c>
      <c r="L132">
        <v>679</v>
      </c>
      <c r="M132" t="s">
        <v>25</v>
      </c>
      <c r="N132" t="s">
        <v>20</v>
      </c>
      <c r="O132" t="s">
        <v>1352</v>
      </c>
      <c r="P132" t="s">
        <v>20</v>
      </c>
      <c r="Q132">
        <v>132.119</v>
      </c>
      <c r="R132" t="s">
        <v>20</v>
      </c>
      <c r="S132" t="s">
        <v>20</v>
      </c>
      <c r="T132">
        <v>685</v>
      </c>
      <c r="U132" t="s">
        <v>1313</v>
      </c>
      <c r="V132" t="s">
        <v>20</v>
      </c>
      <c r="W132" t="s">
        <v>1352</v>
      </c>
      <c r="X132" t="s">
        <v>20</v>
      </c>
      <c r="Y132">
        <v>146.14599999999999</v>
      </c>
      <c r="Z132" t="s">
        <v>20</v>
      </c>
      <c r="AA132" t="s">
        <v>20</v>
      </c>
      <c r="AB132">
        <v>726</v>
      </c>
      <c r="AC132" t="s">
        <v>1314</v>
      </c>
      <c r="AD132" t="s">
        <v>20</v>
      </c>
      <c r="AE132" t="s">
        <v>1353</v>
      </c>
      <c r="AF132" t="s">
        <v>20</v>
      </c>
      <c r="AG132">
        <v>174.203</v>
      </c>
      <c r="AH132" t="s">
        <v>20</v>
      </c>
      <c r="AI132" t="s">
        <v>20</v>
      </c>
      <c r="AJ132">
        <v>851</v>
      </c>
      <c r="AK132" t="s">
        <v>1315</v>
      </c>
      <c r="AL132" t="s">
        <v>20</v>
      </c>
      <c r="AM132" t="s">
        <v>1354</v>
      </c>
      <c r="AN132" t="s">
        <v>20</v>
      </c>
      <c r="AO132">
        <v>119.119</v>
      </c>
      <c r="AP132" t="s">
        <v>20</v>
      </c>
      <c r="AQ132" t="s">
        <v>20</v>
      </c>
    </row>
    <row r="133" spans="1:43" x14ac:dyDescent="0.25">
      <c r="A133">
        <v>6</v>
      </c>
      <c r="B133" t="s">
        <v>18</v>
      </c>
      <c r="C133" t="str">
        <f>HYPERLINK("http://www.ncbi.nlm.nih.gov/protein/XP_040487359.1","XP_040487359.1")</f>
        <v>XP_040487359.1</v>
      </c>
      <c r="D133">
        <v>41699</v>
      </c>
      <c r="E133" t="str">
        <f>HYPERLINK("http://www.ncbi.nlm.nih.gov/Taxonomy/Browser/wwwtax.cgi?mode=Info&amp;id=29073&amp;lvl=3&amp;lin=f&amp;keep=1&amp;srchmode=1&amp;unlock","29073")</f>
        <v>29073</v>
      </c>
      <c r="F133" t="s">
        <v>18</v>
      </c>
      <c r="G133" t="str">
        <f>HYPERLINK("http://www.ncbi.nlm.nih.gov/Taxonomy/Browser/wwwtax.cgi?mode=Info&amp;id=29073&amp;lvl=3&amp;lin=f&amp;keep=1&amp;srchmode=1&amp;unlock","Ursus maritimus")</f>
        <v>Ursus maritimus</v>
      </c>
      <c r="H133" t="s">
        <v>161</v>
      </c>
      <c r="I133" t="str">
        <f>HYPERLINK("http://www.ncbi.nlm.nih.gov/protein/XP_040487359.1","androgen receptor")</f>
        <v>androgen receptor</v>
      </c>
      <c r="J133" t="s">
        <v>1312</v>
      </c>
      <c r="K133" t="s">
        <v>20</v>
      </c>
      <c r="L133">
        <v>661</v>
      </c>
      <c r="M133" t="s">
        <v>25</v>
      </c>
      <c r="N133" t="s">
        <v>20</v>
      </c>
      <c r="O133" t="s">
        <v>1352</v>
      </c>
      <c r="P133" t="s">
        <v>20</v>
      </c>
      <c r="Q133">
        <v>132.119</v>
      </c>
      <c r="R133" t="s">
        <v>20</v>
      </c>
      <c r="S133" t="s">
        <v>20</v>
      </c>
      <c r="T133">
        <v>667</v>
      </c>
      <c r="U133" t="s">
        <v>1313</v>
      </c>
      <c r="V133" t="s">
        <v>20</v>
      </c>
      <c r="W133" t="s">
        <v>1352</v>
      </c>
      <c r="X133" t="s">
        <v>20</v>
      </c>
      <c r="Y133">
        <v>146.14599999999999</v>
      </c>
      <c r="Z133" t="s">
        <v>20</v>
      </c>
      <c r="AA133" t="s">
        <v>20</v>
      </c>
      <c r="AB133">
        <v>708</v>
      </c>
      <c r="AC133" t="s">
        <v>1314</v>
      </c>
      <c r="AD133" t="s">
        <v>20</v>
      </c>
      <c r="AE133" t="s">
        <v>1353</v>
      </c>
      <c r="AF133" t="s">
        <v>20</v>
      </c>
      <c r="AG133">
        <v>174.203</v>
      </c>
      <c r="AH133" t="s">
        <v>20</v>
      </c>
      <c r="AI133" t="s">
        <v>20</v>
      </c>
      <c r="AJ133">
        <v>833</v>
      </c>
      <c r="AK133" t="s">
        <v>1315</v>
      </c>
      <c r="AL133" t="s">
        <v>20</v>
      </c>
      <c r="AM133" t="s">
        <v>1354</v>
      </c>
      <c r="AN133" t="s">
        <v>20</v>
      </c>
      <c r="AO133">
        <v>119.119</v>
      </c>
      <c r="AP133" t="s">
        <v>20</v>
      </c>
      <c r="AQ133" t="s">
        <v>20</v>
      </c>
    </row>
    <row r="134" spans="1:43" x14ac:dyDescent="0.25">
      <c r="A134">
        <v>6</v>
      </c>
      <c r="B134" t="s">
        <v>18</v>
      </c>
      <c r="C134" t="str">
        <f>HYPERLINK("http://www.ncbi.nlm.nih.gov/protein/XP_010630488.1","XP_010630488.1")</f>
        <v>XP_010630488.1</v>
      </c>
      <c r="D134">
        <v>67680</v>
      </c>
      <c r="E134" t="str">
        <f>HYPERLINK("http://www.ncbi.nlm.nih.gov/Taxonomy/Browser/wwwtax.cgi?mode=Info&amp;id=885580&amp;lvl=3&amp;lin=f&amp;keep=1&amp;srchmode=1&amp;unlock","885580")</f>
        <v>885580</v>
      </c>
      <c r="F134" t="s">
        <v>18</v>
      </c>
      <c r="G134" t="str">
        <f>HYPERLINK("http://www.ncbi.nlm.nih.gov/Taxonomy/Browser/wwwtax.cgi?mode=Info&amp;id=885580&amp;lvl=3&amp;lin=f&amp;keep=1&amp;srchmode=1&amp;unlock","Fukomys damarensis")</f>
        <v>Fukomys damarensis</v>
      </c>
      <c r="H134" t="s">
        <v>163</v>
      </c>
      <c r="I134" t="str">
        <f>HYPERLINK("http://www.ncbi.nlm.nih.gov/protein/XP_010630488.1","androgen receptor")</f>
        <v>androgen receptor</v>
      </c>
      <c r="J134" t="s">
        <v>1312</v>
      </c>
      <c r="K134" t="s">
        <v>20</v>
      </c>
      <c r="L134">
        <v>685</v>
      </c>
      <c r="M134" t="s">
        <v>25</v>
      </c>
      <c r="N134" t="s">
        <v>20</v>
      </c>
      <c r="O134" t="s">
        <v>1352</v>
      </c>
      <c r="P134" t="s">
        <v>20</v>
      </c>
      <c r="Q134">
        <v>132.119</v>
      </c>
      <c r="R134" t="s">
        <v>20</v>
      </c>
      <c r="S134" t="s">
        <v>20</v>
      </c>
      <c r="T134">
        <v>691</v>
      </c>
      <c r="U134" t="s">
        <v>1313</v>
      </c>
      <c r="V134" t="s">
        <v>20</v>
      </c>
      <c r="W134" t="s">
        <v>1352</v>
      </c>
      <c r="X134" t="s">
        <v>20</v>
      </c>
      <c r="Y134">
        <v>146.14599999999999</v>
      </c>
      <c r="Z134" t="s">
        <v>20</v>
      </c>
      <c r="AA134" t="s">
        <v>20</v>
      </c>
      <c r="AB134">
        <v>732</v>
      </c>
      <c r="AC134" t="s">
        <v>1314</v>
      </c>
      <c r="AD134" t="s">
        <v>20</v>
      </c>
      <c r="AE134" t="s">
        <v>1353</v>
      </c>
      <c r="AF134" t="s">
        <v>20</v>
      </c>
      <c r="AG134">
        <v>174.203</v>
      </c>
      <c r="AH134" t="s">
        <v>20</v>
      </c>
      <c r="AI134" t="s">
        <v>20</v>
      </c>
      <c r="AJ134">
        <v>857</v>
      </c>
      <c r="AK134" t="s">
        <v>1315</v>
      </c>
      <c r="AL134" t="s">
        <v>20</v>
      </c>
      <c r="AM134" t="s">
        <v>1354</v>
      </c>
      <c r="AN134" t="s">
        <v>20</v>
      </c>
      <c r="AO134">
        <v>119.119</v>
      </c>
      <c r="AP134" t="s">
        <v>20</v>
      </c>
      <c r="AQ134" t="s">
        <v>20</v>
      </c>
    </row>
    <row r="135" spans="1:43" x14ac:dyDescent="0.25">
      <c r="A135">
        <v>6</v>
      </c>
      <c r="B135" t="s">
        <v>18</v>
      </c>
      <c r="C135" t="str">
        <f>HYPERLINK("http://www.ncbi.nlm.nih.gov/protein/XP_004615825.1","XP_004615825.1")</f>
        <v>XP_004615825.1</v>
      </c>
      <c r="D135">
        <v>24236</v>
      </c>
      <c r="E135" t="str">
        <f>HYPERLINK("http://www.ncbi.nlm.nih.gov/Taxonomy/Browser/wwwtax.cgi?mode=Info&amp;id=42254&amp;lvl=3&amp;lin=f&amp;keep=1&amp;srchmode=1&amp;unlock","42254")</f>
        <v>42254</v>
      </c>
      <c r="F135" t="s">
        <v>18</v>
      </c>
      <c r="G135" t="str">
        <f>HYPERLINK("http://www.ncbi.nlm.nih.gov/Taxonomy/Browser/wwwtax.cgi?mode=Info&amp;id=42254&amp;lvl=3&amp;lin=f&amp;keep=1&amp;srchmode=1&amp;unlock","Sorex araneus")</f>
        <v>Sorex araneus</v>
      </c>
      <c r="H135" t="s">
        <v>195</v>
      </c>
      <c r="I135" t="str">
        <f>HYPERLINK("http://www.ncbi.nlm.nih.gov/protein/XP_004615825.1","PREDICTED: androgen receptor")</f>
        <v>PREDICTED: androgen receptor</v>
      </c>
      <c r="J135" t="s">
        <v>1312</v>
      </c>
      <c r="K135" t="s">
        <v>20</v>
      </c>
      <c r="L135">
        <v>669</v>
      </c>
      <c r="M135" t="s">
        <v>25</v>
      </c>
      <c r="N135" t="s">
        <v>20</v>
      </c>
      <c r="O135" t="s">
        <v>1352</v>
      </c>
      <c r="P135" t="s">
        <v>20</v>
      </c>
      <c r="Q135">
        <v>132.119</v>
      </c>
      <c r="R135" t="s">
        <v>20</v>
      </c>
      <c r="S135" t="s">
        <v>20</v>
      </c>
      <c r="T135">
        <v>675</v>
      </c>
      <c r="U135" t="s">
        <v>1313</v>
      </c>
      <c r="V135" t="s">
        <v>20</v>
      </c>
      <c r="W135" t="s">
        <v>1352</v>
      </c>
      <c r="X135" t="s">
        <v>20</v>
      </c>
      <c r="Y135">
        <v>146.14599999999999</v>
      </c>
      <c r="Z135" t="s">
        <v>20</v>
      </c>
      <c r="AA135" t="s">
        <v>20</v>
      </c>
      <c r="AB135">
        <v>716</v>
      </c>
      <c r="AC135" t="s">
        <v>1314</v>
      </c>
      <c r="AD135" t="s">
        <v>20</v>
      </c>
      <c r="AE135" t="s">
        <v>1353</v>
      </c>
      <c r="AF135" t="s">
        <v>20</v>
      </c>
      <c r="AG135">
        <v>174.203</v>
      </c>
      <c r="AH135" t="s">
        <v>20</v>
      </c>
      <c r="AI135" t="s">
        <v>20</v>
      </c>
      <c r="AJ135">
        <v>841</v>
      </c>
      <c r="AK135" t="s">
        <v>1315</v>
      </c>
      <c r="AL135" t="s">
        <v>20</v>
      </c>
      <c r="AM135" t="s">
        <v>1354</v>
      </c>
      <c r="AN135" t="s">
        <v>20</v>
      </c>
      <c r="AO135">
        <v>119.119</v>
      </c>
      <c r="AP135" t="s">
        <v>20</v>
      </c>
      <c r="AQ135" t="s">
        <v>20</v>
      </c>
    </row>
    <row r="136" spans="1:43" x14ac:dyDescent="0.25">
      <c r="A136">
        <v>6</v>
      </c>
      <c r="B136" t="s">
        <v>18</v>
      </c>
      <c r="C136" t="str">
        <f>HYPERLINK("http://www.ncbi.nlm.nih.gov/protein/XP_008579122.1","XP_008579122.1")</f>
        <v>XP_008579122.1</v>
      </c>
      <c r="D136">
        <v>32194</v>
      </c>
      <c r="E136" t="str">
        <f>HYPERLINK("http://www.ncbi.nlm.nih.gov/Taxonomy/Browser/wwwtax.cgi?mode=Info&amp;id=482537&amp;lvl=3&amp;lin=f&amp;keep=1&amp;srchmode=1&amp;unlock","482537")</f>
        <v>482537</v>
      </c>
      <c r="F136" t="s">
        <v>18</v>
      </c>
      <c r="G136" t="str">
        <f>HYPERLINK("http://www.ncbi.nlm.nih.gov/Taxonomy/Browser/wwwtax.cgi?mode=Info&amp;id=482537&amp;lvl=3&amp;lin=f&amp;keep=1&amp;srchmode=1&amp;unlock","Galeopterus variegatus")</f>
        <v>Galeopterus variegatus</v>
      </c>
      <c r="H136" t="s">
        <v>648</v>
      </c>
      <c r="I136" t="str">
        <f>HYPERLINK("http://www.ncbi.nlm.nih.gov/protein/XP_008579122.1","PREDICTED: androgen receptor")</f>
        <v>PREDICTED: androgen receptor</v>
      </c>
      <c r="J136" t="s">
        <v>1312</v>
      </c>
      <c r="K136" t="s">
        <v>25</v>
      </c>
      <c r="L136">
        <v>623</v>
      </c>
      <c r="M136" t="s">
        <v>25</v>
      </c>
      <c r="N136" t="s">
        <v>20</v>
      </c>
      <c r="O136" t="s">
        <v>1352</v>
      </c>
      <c r="P136" t="s">
        <v>20</v>
      </c>
      <c r="Q136">
        <v>132.119</v>
      </c>
      <c r="R136" t="s">
        <v>20</v>
      </c>
      <c r="S136" t="s">
        <v>20</v>
      </c>
      <c r="T136">
        <v>629</v>
      </c>
      <c r="U136" t="s">
        <v>1313</v>
      </c>
      <c r="V136" t="s">
        <v>20</v>
      </c>
      <c r="W136" t="s">
        <v>1352</v>
      </c>
      <c r="X136" t="s">
        <v>20</v>
      </c>
      <c r="Y136">
        <v>146.14599999999999</v>
      </c>
      <c r="Z136" t="s">
        <v>20</v>
      </c>
      <c r="AA136" t="s">
        <v>20</v>
      </c>
      <c r="AB136">
        <v>670</v>
      </c>
      <c r="AC136" t="s">
        <v>1314</v>
      </c>
      <c r="AD136" t="s">
        <v>20</v>
      </c>
      <c r="AE136" t="s">
        <v>1353</v>
      </c>
      <c r="AF136" t="s">
        <v>20</v>
      </c>
      <c r="AG136">
        <v>174.203</v>
      </c>
      <c r="AH136" t="s">
        <v>20</v>
      </c>
      <c r="AI136" t="s">
        <v>20</v>
      </c>
      <c r="AJ136" t="s">
        <v>1317</v>
      </c>
      <c r="AK136" t="s">
        <v>1317</v>
      </c>
      <c r="AL136" t="s">
        <v>25</v>
      </c>
      <c r="AM136" t="s">
        <v>1317</v>
      </c>
      <c r="AN136" t="s">
        <v>25</v>
      </c>
      <c r="AO136" t="s">
        <v>1317</v>
      </c>
      <c r="AP136" t="s">
        <v>25</v>
      </c>
      <c r="AQ136" t="s">
        <v>25</v>
      </c>
    </row>
    <row r="137" spans="1:43" x14ac:dyDescent="0.25">
      <c r="A137">
        <v>6</v>
      </c>
      <c r="B137" t="s">
        <v>18</v>
      </c>
      <c r="C137" t="str">
        <f>HYPERLINK("http://www.ncbi.nlm.nih.gov/protein/XP_019503520.1","XP_019503520.1")</f>
        <v>XP_019503520.1</v>
      </c>
      <c r="D137">
        <v>46132</v>
      </c>
      <c r="E137" t="str">
        <f>HYPERLINK("http://www.ncbi.nlm.nih.gov/Taxonomy/Browser/wwwtax.cgi?mode=Info&amp;id=186990&amp;lvl=3&amp;lin=f&amp;keep=1&amp;srchmode=1&amp;unlock","186990")</f>
        <v>186990</v>
      </c>
      <c r="F137" t="s">
        <v>18</v>
      </c>
      <c r="G137" t="str">
        <f>HYPERLINK("http://www.ncbi.nlm.nih.gov/Taxonomy/Browser/wwwtax.cgi?mode=Info&amp;id=186990&amp;lvl=3&amp;lin=f&amp;keep=1&amp;srchmode=1&amp;unlock","Hipposideros armiger")</f>
        <v>Hipposideros armiger</v>
      </c>
      <c r="H137" t="s">
        <v>82</v>
      </c>
      <c r="I137" t="str">
        <f>HYPERLINK("http://www.ncbi.nlm.nih.gov/protein/XP_019503520.1","PREDICTED: androgen receptor")</f>
        <v>PREDICTED: androgen receptor</v>
      </c>
      <c r="J137" t="s">
        <v>1312</v>
      </c>
      <c r="K137" t="s">
        <v>25</v>
      </c>
      <c r="L137">
        <v>678</v>
      </c>
      <c r="M137" t="s">
        <v>25</v>
      </c>
      <c r="N137" t="s">
        <v>20</v>
      </c>
      <c r="O137" t="s">
        <v>1352</v>
      </c>
      <c r="P137" t="s">
        <v>20</v>
      </c>
      <c r="Q137">
        <v>132.119</v>
      </c>
      <c r="R137" t="s">
        <v>20</v>
      </c>
      <c r="S137" t="s">
        <v>20</v>
      </c>
      <c r="T137">
        <v>684</v>
      </c>
      <c r="U137" t="s">
        <v>1313</v>
      </c>
      <c r="V137" t="s">
        <v>20</v>
      </c>
      <c r="W137" t="s">
        <v>1352</v>
      </c>
      <c r="X137" t="s">
        <v>20</v>
      </c>
      <c r="Y137">
        <v>146.14599999999999</v>
      </c>
      <c r="Z137" t="s">
        <v>20</v>
      </c>
      <c r="AA137" t="s">
        <v>20</v>
      </c>
      <c r="AB137">
        <v>728</v>
      </c>
      <c r="AC137" t="s">
        <v>1318</v>
      </c>
      <c r="AD137" t="s">
        <v>25</v>
      </c>
      <c r="AE137" t="s">
        <v>1355</v>
      </c>
      <c r="AF137" t="s">
        <v>25</v>
      </c>
      <c r="AG137">
        <v>89.093999999999994</v>
      </c>
      <c r="AH137" t="s">
        <v>25</v>
      </c>
      <c r="AI137" t="s">
        <v>25</v>
      </c>
      <c r="AJ137">
        <v>851</v>
      </c>
      <c r="AK137" t="s">
        <v>1315</v>
      </c>
      <c r="AL137" t="s">
        <v>20</v>
      </c>
      <c r="AM137" t="s">
        <v>1354</v>
      </c>
      <c r="AN137" t="s">
        <v>20</v>
      </c>
      <c r="AO137">
        <v>119.119</v>
      </c>
      <c r="AP137" t="s">
        <v>20</v>
      </c>
      <c r="AQ137" t="s">
        <v>20</v>
      </c>
    </row>
    <row r="138" spans="1:43" x14ac:dyDescent="0.25">
      <c r="A138">
        <v>6</v>
      </c>
      <c r="B138" t="s">
        <v>18</v>
      </c>
      <c r="C138" t="str">
        <f>HYPERLINK("http://www.ncbi.nlm.nih.gov/protein/XP_036596279.1","XP_036596279.1")</f>
        <v>XP_036596279.1</v>
      </c>
      <c r="D138">
        <v>35972</v>
      </c>
      <c r="E138" t="str">
        <f>HYPERLINK("http://www.ncbi.nlm.nih.gov/Taxonomy/Browser/wwwtax.cgi?mode=Info&amp;id=9337&amp;lvl=3&amp;lin=f&amp;keep=1&amp;srchmode=1&amp;unlock","9337")</f>
        <v>9337</v>
      </c>
      <c r="F138" t="s">
        <v>18</v>
      </c>
      <c r="G138" t="str">
        <f>HYPERLINK("http://www.ncbi.nlm.nih.gov/Taxonomy/Browser/wwwtax.cgi?mode=Info&amp;id=9337&amp;lvl=3&amp;lin=f&amp;keep=1&amp;srchmode=1&amp;unlock","Trichosurus vulpecula")</f>
        <v>Trichosurus vulpecula</v>
      </c>
      <c r="H138" t="s">
        <v>150</v>
      </c>
      <c r="I138" t="str">
        <f>HYPERLINK("http://www.ncbi.nlm.nih.gov/protein/XP_036596279.1","androgen receptor")</f>
        <v>androgen receptor</v>
      </c>
      <c r="J138" t="s">
        <v>1312</v>
      </c>
      <c r="K138" t="s">
        <v>20</v>
      </c>
      <c r="L138">
        <v>743</v>
      </c>
      <c r="M138" t="s">
        <v>25</v>
      </c>
      <c r="N138" t="s">
        <v>20</v>
      </c>
      <c r="O138" t="s">
        <v>1352</v>
      </c>
      <c r="P138" t="s">
        <v>20</v>
      </c>
      <c r="Q138">
        <v>132.119</v>
      </c>
      <c r="R138" t="s">
        <v>20</v>
      </c>
      <c r="S138" t="s">
        <v>20</v>
      </c>
      <c r="T138">
        <v>749</v>
      </c>
      <c r="U138" t="s">
        <v>1313</v>
      </c>
      <c r="V138" t="s">
        <v>20</v>
      </c>
      <c r="W138" t="s">
        <v>1352</v>
      </c>
      <c r="X138" t="s">
        <v>20</v>
      </c>
      <c r="Y138">
        <v>146.14599999999999</v>
      </c>
      <c r="Z138" t="s">
        <v>20</v>
      </c>
      <c r="AA138" t="s">
        <v>20</v>
      </c>
      <c r="AB138">
        <v>790</v>
      </c>
      <c r="AC138" t="s">
        <v>1314</v>
      </c>
      <c r="AD138" t="s">
        <v>20</v>
      </c>
      <c r="AE138" t="s">
        <v>1353</v>
      </c>
      <c r="AF138" t="s">
        <v>20</v>
      </c>
      <c r="AG138">
        <v>174.203</v>
      </c>
      <c r="AH138" t="s">
        <v>20</v>
      </c>
      <c r="AI138" t="s">
        <v>20</v>
      </c>
      <c r="AJ138">
        <v>915</v>
      </c>
      <c r="AK138" t="s">
        <v>1315</v>
      </c>
      <c r="AL138" t="s">
        <v>20</v>
      </c>
      <c r="AM138" t="s">
        <v>1354</v>
      </c>
      <c r="AN138" t="s">
        <v>20</v>
      </c>
      <c r="AO138">
        <v>119.119</v>
      </c>
      <c r="AP138" t="s">
        <v>20</v>
      </c>
      <c r="AQ138" t="s">
        <v>20</v>
      </c>
    </row>
    <row r="139" spans="1:43" x14ac:dyDescent="0.25">
      <c r="A139">
        <v>6</v>
      </c>
      <c r="B139" t="s">
        <v>18</v>
      </c>
      <c r="C139" t="str">
        <f>HYPERLINK("http://www.ncbi.nlm.nih.gov/protein/XP_031800701.1","XP_031800701.1")</f>
        <v>XP_031800701.1</v>
      </c>
      <c r="D139">
        <v>46282</v>
      </c>
      <c r="E139" t="str">
        <f>HYPERLINK("http://www.ncbi.nlm.nih.gov/Taxonomy/Browser/wwwtax.cgi?mode=Info&amp;id=9305&amp;lvl=3&amp;lin=f&amp;keep=1&amp;srchmode=1&amp;unlock","9305")</f>
        <v>9305</v>
      </c>
      <c r="F139" t="s">
        <v>18</v>
      </c>
      <c r="G139" t="str">
        <f>HYPERLINK("http://www.ncbi.nlm.nih.gov/Taxonomy/Browser/wwwtax.cgi?mode=Info&amp;id=9305&amp;lvl=3&amp;lin=f&amp;keep=1&amp;srchmode=1&amp;unlock","Sarcophilus harrisii")</f>
        <v>Sarcophilus harrisii</v>
      </c>
      <c r="H139" t="s">
        <v>122</v>
      </c>
      <c r="I139" t="str">
        <f>HYPERLINK("http://www.ncbi.nlm.nih.gov/protein/XP_031800701.1","androgen receptor")</f>
        <v>androgen receptor</v>
      </c>
      <c r="J139" t="s">
        <v>1312</v>
      </c>
      <c r="K139" t="s">
        <v>20</v>
      </c>
      <c r="L139">
        <v>742</v>
      </c>
      <c r="M139" t="s">
        <v>25</v>
      </c>
      <c r="N139" t="s">
        <v>20</v>
      </c>
      <c r="O139" t="s">
        <v>1352</v>
      </c>
      <c r="P139" t="s">
        <v>20</v>
      </c>
      <c r="Q139">
        <v>132.119</v>
      </c>
      <c r="R139" t="s">
        <v>20</v>
      </c>
      <c r="S139" t="s">
        <v>20</v>
      </c>
      <c r="T139">
        <v>748</v>
      </c>
      <c r="U139" t="s">
        <v>1313</v>
      </c>
      <c r="V139" t="s">
        <v>20</v>
      </c>
      <c r="W139" t="s">
        <v>1352</v>
      </c>
      <c r="X139" t="s">
        <v>20</v>
      </c>
      <c r="Y139">
        <v>146.14599999999999</v>
      </c>
      <c r="Z139" t="s">
        <v>20</v>
      </c>
      <c r="AA139" t="s">
        <v>20</v>
      </c>
      <c r="AB139">
        <v>789</v>
      </c>
      <c r="AC139" t="s">
        <v>1314</v>
      </c>
      <c r="AD139" t="s">
        <v>20</v>
      </c>
      <c r="AE139" t="s">
        <v>1353</v>
      </c>
      <c r="AF139" t="s">
        <v>20</v>
      </c>
      <c r="AG139">
        <v>174.203</v>
      </c>
      <c r="AH139" t="s">
        <v>20</v>
      </c>
      <c r="AI139" t="s">
        <v>20</v>
      </c>
      <c r="AJ139">
        <v>914</v>
      </c>
      <c r="AK139" t="s">
        <v>1315</v>
      </c>
      <c r="AL139" t="s">
        <v>20</v>
      </c>
      <c r="AM139" t="s">
        <v>1354</v>
      </c>
      <c r="AN139" t="s">
        <v>20</v>
      </c>
      <c r="AO139">
        <v>119.119</v>
      </c>
      <c r="AP139" t="s">
        <v>20</v>
      </c>
      <c r="AQ139" t="s">
        <v>20</v>
      </c>
    </row>
    <row r="140" spans="1:43" x14ac:dyDescent="0.25">
      <c r="A140">
        <v>6</v>
      </c>
      <c r="B140" t="s">
        <v>18</v>
      </c>
      <c r="C140" t="str">
        <f>HYPERLINK("http://www.ncbi.nlm.nih.gov/protein/XP_007507022.1","XP_007507022.1")</f>
        <v>XP_007507022.1</v>
      </c>
      <c r="D140">
        <v>51257</v>
      </c>
      <c r="E140" t="str">
        <f>HYPERLINK("http://www.ncbi.nlm.nih.gov/Taxonomy/Browser/wwwtax.cgi?mode=Info&amp;id=13616&amp;lvl=3&amp;lin=f&amp;keep=1&amp;srchmode=1&amp;unlock","13616")</f>
        <v>13616</v>
      </c>
      <c r="F140" t="s">
        <v>18</v>
      </c>
      <c r="G140" t="str">
        <f>HYPERLINK("http://www.ncbi.nlm.nih.gov/Taxonomy/Browser/wwwtax.cgi?mode=Info&amp;id=13616&amp;lvl=3&amp;lin=f&amp;keep=1&amp;srchmode=1&amp;unlock","Monodelphis domestica")</f>
        <v>Monodelphis domestica</v>
      </c>
      <c r="H140" t="s">
        <v>638</v>
      </c>
      <c r="I140" t="str">
        <f>HYPERLINK("http://www.ncbi.nlm.nih.gov/protein/XP_007507022.1","PREDICTED: androgen receptor")</f>
        <v>PREDICTED: androgen receptor</v>
      </c>
      <c r="J140" t="s">
        <v>1312</v>
      </c>
      <c r="K140" t="s">
        <v>20</v>
      </c>
      <c r="L140">
        <v>746</v>
      </c>
      <c r="M140" t="s">
        <v>25</v>
      </c>
      <c r="N140" t="s">
        <v>20</v>
      </c>
      <c r="O140" t="s">
        <v>1352</v>
      </c>
      <c r="P140" t="s">
        <v>20</v>
      </c>
      <c r="Q140">
        <v>132.119</v>
      </c>
      <c r="R140" t="s">
        <v>20</v>
      </c>
      <c r="S140" t="s">
        <v>20</v>
      </c>
      <c r="T140">
        <v>752</v>
      </c>
      <c r="U140" t="s">
        <v>1313</v>
      </c>
      <c r="V140" t="s">
        <v>20</v>
      </c>
      <c r="W140" t="s">
        <v>1352</v>
      </c>
      <c r="X140" t="s">
        <v>20</v>
      </c>
      <c r="Y140">
        <v>146.14599999999999</v>
      </c>
      <c r="Z140" t="s">
        <v>20</v>
      </c>
      <c r="AA140" t="s">
        <v>20</v>
      </c>
      <c r="AB140">
        <v>793</v>
      </c>
      <c r="AC140" t="s">
        <v>1314</v>
      </c>
      <c r="AD140" t="s">
        <v>20</v>
      </c>
      <c r="AE140" t="s">
        <v>1353</v>
      </c>
      <c r="AF140" t="s">
        <v>20</v>
      </c>
      <c r="AG140">
        <v>174.203</v>
      </c>
      <c r="AH140" t="s">
        <v>20</v>
      </c>
      <c r="AI140" t="s">
        <v>20</v>
      </c>
      <c r="AJ140">
        <v>918</v>
      </c>
      <c r="AK140" t="s">
        <v>1315</v>
      </c>
      <c r="AL140" t="s">
        <v>20</v>
      </c>
      <c r="AM140" t="s">
        <v>1354</v>
      </c>
      <c r="AN140" t="s">
        <v>20</v>
      </c>
      <c r="AO140">
        <v>119.119</v>
      </c>
      <c r="AP140" t="s">
        <v>20</v>
      </c>
      <c r="AQ140" t="s">
        <v>20</v>
      </c>
    </row>
    <row r="141" spans="1:43" x14ac:dyDescent="0.25">
      <c r="A141">
        <v>6</v>
      </c>
      <c r="B141" t="s">
        <v>18</v>
      </c>
      <c r="C141" t="str">
        <f>HYPERLINK("http://www.ncbi.nlm.nih.gov/protein/XP_038604381.1","XP_038604381.1")</f>
        <v>XP_038604381.1</v>
      </c>
      <c r="D141">
        <v>33527</v>
      </c>
      <c r="E141" t="str">
        <f>HYPERLINK("http://www.ncbi.nlm.nih.gov/Taxonomy/Browser/wwwtax.cgi?mode=Info&amp;id=9261&amp;lvl=3&amp;lin=f&amp;keep=1&amp;srchmode=1&amp;unlock","9261")</f>
        <v>9261</v>
      </c>
      <c r="F141" t="s">
        <v>18</v>
      </c>
      <c r="G141" t="str">
        <f>HYPERLINK("http://www.ncbi.nlm.nih.gov/Taxonomy/Browser/wwwtax.cgi?mode=Info&amp;id=9261&amp;lvl=3&amp;lin=f&amp;keep=1&amp;srchmode=1&amp;unlock","Tachyglossus aculeatus")</f>
        <v>Tachyglossus aculeatus</v>
      </c>
      <c r="H141" t="s">
        <v>166</v>
      </c>
      <c r="I141" t="str">
        <f>HYPERLINK("http://www.ncbi.nlm.nih.gov/protein/XP_038604381.1","androgen receptor isoform X1")</f>
        <v>androgen receptor isoform X1</v>
      </c>
      <c r="J141" t="s">
        <v>1312</v>
      </c>
      <c r="K141" t="s">
        <v>20</v>
      </c>
      <c r="L141">
        <v>605</v>
      </c>
      <c r="M141" t="s">
        <v>25</v>
      </c>
      <c r="N141" t="s">
        <v>20</v>
      </c>
      <c r="O141" t="s">
        <v>1352</v>
      </c>
      <c r="P141" t="s">
        <v>20</v>
      </c>
      <c r="Q141">
        <v>132.119</v>
      </c>
      <c r="R141" t="s">
        <v>20</v>
      </c>
      <c r="S141" t="s">
        <v>20</v>
      </c>
      <c r="T141">
        <v>611</v>
      </c>
      <c r="U141" t="s">
        <v>1313</v>
      </c>
      <c r="V141" t="s">
        <v>20</v>
      </c>
      <c r="W141" t="s">
        <v>1352</v>
      </c>
      <c r="X141" t="s">
        <v>20</v>
      </c>
      <c r="Y141">
        <v>146.14599999999999</v>
      </c>
      <c r="Z141" t="s">
        <v>20</v>
      </c>
      <c r="AA141" t="s">
        <v>20</v>
      </c>
      <c r="AB141">
        <v>652</v>
      </c>
      <c r="AC141" t="s">
        <v>1314</v>
      </c>
      <c r="AD141" t="s">
        <v>20</v>
      </c>
      <c r="AE141" t="s">
        <v>1353</v>
      </c>
      <c r="AF141" t="s">
        <v>20</v>
      </c>
      <c r="AG141">
        <v>174.203</v>
      </c>
      <c r="AH141" t="s">
        <v>20</v>
      </c>
      <c r="AI141" t="s">
        <v>20</v>
      </c>
      <c r="AJ141">
        <v>777</v>
      </c>
      <c r="AK141" t="s">
        <v>1315</v>
      </c>
      <c r="AL141" t="s">
        <v>20</v>
      </c>
      <c r="AM141" t="s">
        <v>1354</v>
      </c>
      <c r="AN141" t="s">
        <v>20</v>
      </c>
      <c r="AO141">
        <v>119.119</v>
      </c>
      <c r="AP141" t="s">
        <v>20</v>
      </c>
      <c r="AQ141" t="s">
        <v>20</v>
      </c>
    </row>
    <row r="142" spans="1:43" x14ac:dyDescent="0.25">
      <c r="A142">
        <v>6</v>
      </c>
      <c r="B142" t="s">
        <v>18</v>
      </c>
      <c r="C142" t="str">
        <f>HYPERLINK("http://www.ncbi.nlm.nih.gov/protein/XP_007077225.1","XP_007077225.1")</f>
        <v>XP_007077225.1</v>
      </c>
      <c r="D142">
        <v>29960</v>
      </c>
      <c r="E142" t="str">
        <f>HYPERLINK("http://www.ncbi.nlm.nih.gov/Taxonomy/Browser/wwwtax.cgi?mode=Info&amp;id=74533&amp;lvl=3&amp;lin=f&amp;keep=1&amp;srchmode=1&amp;unlock","74533")</f>
        <v>74533</v>
      </c>
      <c r="F142" t="s">
        <v>18</v>
      </c>
      <c r="G142" t="str">
        <f>HYPERLINK("http://www.ncbi.nlm.nih.gov/Taxonomy/Browser/wwwtax.cgi?mode=Info&amp;id=74533&amp;lvl=3&amp;lin=f&amp;keep=1&amp;srchmode=1&amp;unlock","Panthera tigris altaica")</f>
        <v>Panthera tigris altaica</v>
      </c>
      <c r="H142" t="s">
        <v>74</v>
      </c>
      <c r="I142" t="str">
        <f>HYPERLINK("http://www.ncbi.nlm.nih.gov/protein/XP_007077225.1","PREDICTED: androgen receptor")</f>
        <v>PREDICTED: androgen receptor</v>
      </c>
      <c r="J142" t="s">
        <v>1312</v>
      </c>
      <c r="K142" t="s">
        <v>20</v>
      </c>
      <c r="L142">
        <v>422</v>
      </c>
      <c r="M142" t="s">
        <v>25</v>
      </c>
      <c r="N142" t="s">
        <v>20</v>
      </c>
      <c r="O142" t="s">
        <v>1352</v>
      </c>
      <c r="P142" t="s">
        <v>20</v>
      </c>
      <c r="Q142">
        <v>132.119</v>
      </c>
      <c r="R142" t="s">
        <v>20</v>
      </c>
      <c r="S142" t="s">
        <v>20</v>
      </c>
      <c r="T142">
        <v>428</v>
      </c>
      <c r="U142" t="s">
        <v>1313</v>
      </c>
      <c r="V142" t="s">
        <v>20</v>
      </c>
      <c r="W142" t="s">
        <v>1352</v>
      </c>
      <c r="X142" t="s">
        <v>20</v>
      </c>
      <c r="Y142">
        <v>146.14599999999999</v>
      </c>
      <c r="Z142" t="s">
        <v>20</v>
      </c>
      <c r="AA142" t="s">
        <v>20</v>
      </c>
      <c r="AB142">
        <v>469</v>
      </c>
      <c r="AC142" t="s">
        <v>1314</v>
      </c>
      <c r="AD142" t="s">
        <v>20</v>
      </c>
      <c r="AE142" t="s">
        <v>1353</v>
      </c>
      <c r="AF142" t="s">
        <v>20</v>
      </c>
      <c r="AG142">
        <v>174.203</v>
      </c>
      <c r="AH142" t="s">
        <v>20</v>
      </c>
      <c r="AI142" t="s">
        <v>20</v>
      </c>
      <c r="AJ142">
        <v>594</v>
      </c>
      <c r="AK142" t="s">
        <v>1315</v>
      </c>
      <c r="AL142" t="s">
        <v>20</v>
      </c>
      <c r="AM142" t="s">
        <v>1354</v>
      </c>
      <c r="AN142" t="s">
        <v>20</v>
      </c>
      <c r="AO142">
        <v>119.119</v>
      </c>
      <c r="AP142" t="s">
        <v>20</v>
      </c>
      <c r="AQ142" t="s">
        <v>20</v>
      </c>
    </row>
    <row r="143" spans="1:43" x14ac:dyDescent="0.25">
      <c r="A143">
        <v>6</v>
      </c>
      <c r="B143" t="s">
        <v>18</v>
      </c>
      <c r="C143" t="str">
        <f>HYPERLINK("http://www.ncbi.nlm.nih.gov/protein/VFV46928.1","VFV46928.1")</f>
        <v>VFV46928.1</v>
      </c>
      <c r="D143">
        <v>31243</v>
      </c>
      <c r="E143" t="str">
        <f>HYPERLINK("http://www.ncbi.nlm.nih.gov/Taxonomy/Browser/wwwtax.cgi?mode=Info&amp;id=191816&amp;lvl=3&amp;lin=f&amp;keep=1&amp;srchmode=1&amp;unlock","191816")</f>
        <v>191816</v>
      </c>
      <c r="F143" t="s">
        <v>18</v>
      </c>
      <c r="G143" t="str">
        <f>HYPERLINK("http://www.ncbi.nlm.nih.gov/Taxonomy/Browser/wwwtax.cgi?mode=Info&amp;id=191816&amp;lvl=3&amp;lin=f&amp;keep=1&amp;srchmode=1&amp;unlock","Lynx pardinus")</f>
        <v>Lynx pardinus</v>
      </c>
      <c r="H143" t="s">
        <v>72</v>
      </c>
      <c r="I143" t="str">
        <f>HYPERLINK("http://www.ncbi.nlm.nih.gov/protein/VFV46928.1","androgen receptor")</f>
        <v>androgen receptor</v>
      </c>
      <c r="J143" t="s">
        <v>1312</v>
      </c>
      <c r="K143" t="s">
        <v>20</v>
      </c>
      <c r="L143">
        <v>660</v>
      </c>
      <c r="M143" t="s">
        <v>25</v>
      </c>
      <c r="N143" t="s">
        <v>20</v>
      </c>
      <c r="O143" t="s">
        <v>1352</v>
      </c>
      <c r="P143" t="s">
        <v>20</v>
      </c>
      <c r="Q143">
        <v>132.119</v>
      </c>
      <c r="R143" t="s">
        <v>20</v>
      </c>
      <c r="S143" t="s">
        <v>20</v>
      </c>
      <c r="T143">
        <v>666</v>
      </c>
      <c r="U143" t="s">
        <v>1313</v>
      </c>
      <c r="V143" t="s">
        <v>20</v>
      </c>
      <c r="W143" t="s">
        <v>1352</v>
      </c>
      <c r="X143" t="s">
        <v>20</v>
      </c>
      <c r="Y143">
        <v>146.14599999999999</v>
      </c>
      <c r="Z143" t="s">
        <v>20</v>
      </c>
      <c r="AA143" t="s">
        <v>20</v>
      </c>
      <c r="AB143">
        <v>707</v>
      </c>
      <c r="AC143" t="s">
        <v>1314</v>
      </c>
      <c r="AD143" t="s">
        <v>20</v>
      </c>
      <c r="AE143" t="s">
        <v>1353</v>
      </c>
      <c r="AF143" t="s">
        <v>20</v>
      </c>
      <c r="AG143">
        <v>174.203</v>
      </c>
      <c r="AH143" t="s">
        <v>20</v>
      </c>
      <c r="AI143" t="s">
        <v>20</v>
      </c>
      <c r="AJ143">
        <v>832</v>
      </c>
      <c r="AK143" t="s">
        <v>1315</v>
      </c>
      <c r="AL143" t="s">
        <v>20</v>
      </c>
      <c r="AM143" t="s">
        <v>1354</v>
      </c>
      <c r="AN143" t="s">
        <v>20</v>
      </c>
      <c r="AO143">
        <v>119.119</v>
      </c>
      <c r="AP143" t="s">
        <v>20</v>
      </c>
      <c r="AQ143" t="s">
        <v>20</v>
      </c>
    </row>
    <row r="144" spans="1:43" x14ac:dyDescent="0.25">
      <c r="A144">
        <v>6</v>
      </c>
      <c r="B144" t="s">
        <v>18</v>
      </c>
      <c r="C144" t="str">
        <f>HYPERLINK("http://www.ncbi.nlm.nih.gov/protein/XP_031224355.1","XP_031224355.1")</f>
        <v>XP_031224355.1</v>
      </c>
      <c r="D144">
        <v>54478</v>
      </c>
      <c r="E144" t="str">
        <f>HYPERLINK("http://www.ncbi.nlm.nih.gov/Taxonomy/Browser/wwwtax.cgi?mode=Info&amp;id=35658&amp;lvl=3&amp;lin=f&amp;keep=1&amp;srchmode=1&amp;unlock","35658")</f>
        <v>35658</v>
      </c>
      <c r="F144" t="s">
        <v>18</v>
      </c>
      <c r="G144" t="str">
        <f>HYPERLINK("http://www.ncbi.nlm.nih.gov/Taxonomy/Browser/wwwtax.cgi?mode=Info&amp;id=35658&amp;lvl=3&amp;lin=f&amp;keep=1&amp;srchmode=1&amp;unlock","Mastomys coucha")</f>
        <v>Mastomys coucha</v>
      </c>
      <c r="H144" t="s">
        <v>127</v>
      </c>
      <c r="I144" t="str">
        <f>HYPERLINK("http://www.ncbi.nlm.nih.gov/protein/XP_031224355.1","androgen receptor")</f>
        <v>androgen receptor</v>
      </c>
      <c r="J144" t="s">
        <v>1312</v>
      </c>
      <c r="K144" t="s">
        <v>20</v>
      </c>
      <c r="L144">
        <v>305</v>
      </c>
      <c r="M144" t="s">
        <v>25</v>
      </c>
      <c r="N144" t="s">
        <v>20</v>
      </c>
      <c r="O144" t="s">
        <v>1352</v>
      </c>
      <c r="P144" t="s">
        <v>20</v>
      </c>
      <c r="Q144">
        <v>132.119</v>
      </c>
      <c r="R144" t="s">
        <v>20</v>
      </c>
      <c r="S144" t="s">
        <v>20</v>
      </c>
      <c r="T144">
        <v>311</v>
      </c>
      <c r="U144" t="s">
        <v>1313</v>
      </c>
      <c r="V144" t="s">
        <v>20</v>
      </c>
      <c r="W144" t="s">
        <v>1352</v>
      </c>
      <c r="X144" t="s">
        <v>20</v>
      </c>
      <c r="Y144">
        <v>146.14599999999999</v>
      </c>
      <c r="Z144" t="s">
        <v>20</v>
      </c>
      <c r="AA144" t="s">
        <v>20</v>
      </c>
      <c r="AB144">
        <v>352</v>
      </c>
      <c r="AC144" t="s">
        <v>1314</v>
      </c>
      <c r="AD144" t="s">
        <v>20</v>
      </c>
      <c r="AE144" t="s">
        <v>1353</v>
      </c>
      <c r="AF144" t="s">
        <v>20</v>
      </c>
      <c r="AG144">
        <v>174.203</v>
      </c>
      <c r="AH144" t="s">
        <v>20</v>
      </c>
      <c r="AI144" t="s">
        <v>20</v>
      </c>
      <c r="AJ144">
        <v>477</v>
      </c>
      <c r="AK144" t="s">
        <v>1315</v>
      </c>
      <c r="AL144" t="s">
        <v>20</v>
      </c>
      <c r="AM144" t="s">
        <v>1354</v>
      </c>
      <c r="AN144" t="s">
        <v>20</v>
      </c>
      <c r="AO144">
        <v>119.119</v>
      </c>
      <c r="AP144" t="s">
        <v>20</v>
      </c>
      <c r="AQ144" t="s">
        <v>20</v>
      </c>
    </row>
    <row r="145" spans="1:43" x14ac:dyDescent="0.25">
      <c r="A145">
        <v>6</v>
      </c>
      <c r="B145" t="s">
        <v>18</v>
      </c>
      <c r="C145" t="str">
        <f>HYPERLINK("http://www.ncbi.nlm.nih.gov/protein/XP_030886033.1","XP_030886033.1")</f>
        <v>XP_030886033.1</v>
      </c>
      <c r="D145">
        <v>40472</v>
      </c>
      <c r="E145" t="str">
        <f>HYPERLINK("http://www.ncbi.nlm.nih.gov/Taxonomy/Browser/wwwtax.cgi?mode=Info&amp;id=9713&amp;lvl=3&amp;lin=f&amp;keep=1&amp;srchmode=1&amp;unlock","9713")</f>
        <v>9713</v>
      </c>
      <c r="F145" t="s">
        <v>18</v>
      </c>
      <c r="G145" t="str">
        <f>HYPERLINK("http://www.ncbi.nlm.nih.gov/Taxonomy/Browser/wwwtax.cgi?mode=Info&amp;id=9713&amp;lvl=3&amp;lin=f&amp;keep=1&amp;srchmode=1&amp;unlock","Leptonychotes weddellii")</f>
        <v>Leptonychotes weddellii</v>
      </c>
      <c r="H145" t="s">
        <v>49</v>
      </c>
      <c r="I145" t="str">
        <f>HYPERLINK("http://www.ncbi.nlm.nih.gov/protein/XP_030886033.1","androgen receptor-like")</f>
        <v>androgen receptor-like</v>
      </c>
      <c r="J145" t="s">
        <v>1312</v>
      </c>
      <c r="K145" t="s">
        <v>25</v>
      </c>
      <c r="L145" t="s">
        <v>1317</v>
      </c>
      <c r="M145" t="s">
        <v>1317</v>
      </c>
      <c r="N145" t="s">
        <v>25</v>
      </c>
      <c r="O145" t="s">
        <v>1317</v>
      </c>
      <c r="P145" t="s">
        <v>25</v>
      </c>
      <c r="Q145" t="s">
        <v>1317</v>
      </c>
      <c r="R145" t="s">
        <v>25</v>
      </c>
      <c r="S145" t="s">
        <v>25</v>
      </c>
      <c r="T145" t="s">
        <v>1317</v>
      </c>
      <c r="U145" t="s">
        <v>1317</v>
      </c>
      <c r="V145" t="s">
        <v>25</v>
      </c>
      <c r="W145" t="s">
        <v>1317</v>
      </c>
      <c r="X145" t="s">
        <v>25</v>
      </c>
      <c r="Y145" t="s">
        <v>1317</v>
      </c>
      <c r="Z145" t="s">
        <v>25</v>
      </c>
      <c r="AA145" t="s">
        <v>25</v>
      </c>
      <c r="AB145" t="s">
        <v>1317</v>
      </c>
      <c r="AC145" t="s">
        <v>1317</v>
      </c>
      <c r="AD145" t="s">
        <v>25</v>
      </c>
      <c r="AE145" t="s">
        <v>1317</v>
      </c>
      <c r="AF145" t="s">
        <v>25</v>
      </c>
      <c r="AG145" t="s">
        <v>1317</v>
      </c>
      <c r="AH145" t="s">
        <v>25</v>
      </c>
      <c r="AI145" t="s">
        <v>25</v>
      </c>
      <c r="AJ145" t="s">
        <v>1317</v>
      </c>
      <c r="AK145" t="s">
        <v>1317</v>
      </c>
      <c r="AL145" t="s">
        <v>25</v>
      </c>
      <c r="AM145" t="s">
        <v>1317</v>
      </c>
      <c r="AN145" t="s">
        <v>25</v>
      </c>
      <c r="AO145" t="s">
        <v>1317</v>
      </c>
      <c r="AP145" t="s">
        <v>25</v>
      </c>
      <c r="AQ145" t="s">
        <v>25</v>
      </c>
    </row>
    <row r="146" spans="1:43" x14ac:dyDescent="0.25">
      <c r="A146">
        <v>6</v>
      </c>
      <c r="B146" t="s">
        <v>18</v>
      </c>
      <c r="C146" t="str">
        <f>HYPERLINK("http://www.ncbi.nlm.nih.gov/protein/XP_007534618.1","XP_007534618.1")</f>
        <v>XP_007534618.1</v>
      </c>
      <c r="D146">
        <v>29636</v>
      </c>
      <c r="E146" t="str">
        <f>HYPERLINK("http://www.ncbi.nlm.nih.gov/Taxonomy/Browser/wwwtax.cgi?mode=Info&amp;id=9365&amp;lvl=3&amp;lin=f&amp;keep=1&amp;srchmode=1&amp;unlock","9365")</f>
        <v>9365</v>
      </c>
      <c r="F146" t="s">
        <v>18</v>
      </c>
      <c r="G146" t="str">
        <f>HYPERLINK("http://www.ncbi.nlm.nih.gov/Taxonomy/Browser/wwwtax.cgi?mode=Info&amp;id=9365&amp;lvl=3&amp;lin=f&amp;keep=1&amp;srchmode=1&amp;unlock","Erinaceus europaeus")</f>
        <v>Erinaceus europaeus</v>
      </c>
      <c r="H146" t="s">
        <v>105</v>
      </c>
      <c r="I146" t="str">
        <f>HYPERLINK("http://www.ncbi.nlm.nih.gov/protein/XP_007534618.1","PREDICTED: androgen receptor")</f>
        <v>PREDICTED: androgen receptor</v>
      </c>
      <c r="J146" t="s">
        <v>1312</v>
      </c>
      <c r="K146" t="s">
        <v>20</v>
      </c>
      <c r="L146">
        <v>178</v>
      </c>
      <c r="M146" t="s">
        <v>25</v>
      </c>
      <c r="N146" t="s">
        <v>20</v>
      </c>
      <c r="O146" t="s">
        <v>1352</v>
      </c>
      <c r="P146" t="s">
        <v>20</v>
      </c>
      <c r="Q146">
        <v>132.119</v>
      </c>
      <c r="R146" t="s">
        <v>20</v>
      </c>
      <c r="S146" t="s">
        <v>20</v>
      </c>
      <c r="T146">
        <v>184</v>
      </c>
      <c r="U146" t="s">
        <v>1313</v>
      </c>
      <c r="V146" t="s">
        <v>20</v>
      </c>
      <c r="W146" t="s">
        <v>1352</v>
      </c>
      <c r="X146" t="s">
        <v>20</v>
      </c>
      <c r="Y146">
        <v>146.14599999999999</v>
      </c>
      <c r="Z146" t="s">
        <v>20</v>
      </c>
      <c r="AA146" t="s">
        <v>20</v>
      </c>
      <c r="AB146">
        <v>225</v>
      </c>
      <c r="AC146" t="s">
        <v>1314</v>
      </c>
      <c r="AD146" t="s">
        <v>20</v>
      </c>
      <c r="AE146" t="s">
        <v>1353</v>
      </c>
      <c r="AF146" t="s">
        <v>20</v>
      </c>
      <c r="AG146">
        <v>174.203</v>
      </c>
      <c r="AH146" t="s">
        <v>20</v>
      </c>
      <c r="AI146" t="s">
        <v>20</v>
      </c>
      <c r="AJ146">
        <v>350</v>
      </c>
      <c r="AK146" t="s">
        <v>1315</v>
      </c>
      <c r="AL146" t="s">
        <v>20</v>
      </c>
      <c r="AM146" t="s">
        <v>1354</v>
      </c>
      <c r="AN146" t="s">
        <v>20</v>
      </c>
      <c r="AO146">
        <v>119.119</v>
      </c>
      <c r="AP146" t="s">
        <v>20</v>
      </c>
      <c r="AQ146" t="s">
        <v>20</v>
      </c>
    </row>
    <row r="147" spans="1:43" x14ac:dyDescent="0.25">
      <c r="A147">
        <v>6</v>
      </c>
      <c r="B147" t="s">
        <v>18</v>
      </c>
      <c r="C147" t="str">
        <f>HYPERLINK("http://www.ncbi.nlm.nih.gov/protein/XP_025715214.1","XP_025715214.1")</f>
        <v>XP_025715214.1</v>
      </c>
      <c r="D147">
        <v>46265</v>
      </c>
      <c r="E147" t="str">
        <f>HYPERLINK("http://www.ncbi.nlm.nih.gov/Taxonomy/Browser/wwwtax.cgi?mode=Info&amp;id=34884&amp;lvl=3&amp;lin=f&amp;keep=1&amp;srchmode=1&amp;unlock","34884")</f>
        <v>34884</v>
      </c>
      <c r="F147" t="s">
        <v>18</v>
      </c>
      <c r="G147" t="str">
        <f>HYPERLINK("http://www.ncbi.nlm.nih.gov/Taxonomy/Browser/wwwtax.cgi?mode=Info&amp;id=34884&amp;lvl=3&amp;lin=f&amp;keep=1&amp;srchmode=1&amp;unlock","Callorhinus ursinus")</f>
        <v>Callorhinus ursinus</v>
      </c>
      <c r="H147" t="s">
        <v>59</v>
      </c>
      <c r="I147" t="str">
        <f>HYPERLINK("http://www.ncbi.nlm.nih.gov/protein/XP_025715214.1","androgen receptor-like")</f>
        <v>androgen receptor-like</v>
      </c>
      <c r="J147" t="s">
        <v>1312</v>
      </c>
      <c r="K147" t="s">
        <v>20</v>
      </c>
      <c r="L147">
        <v>211</v>
      </c>
      <c r="M147" t="s">
        <v>25</v>
      </c>
      <c r="N147" t="s">
        <v>20</v>
      </c>
      <c r="O147" t="s">
        <v>1352</v>
      </c>
      <c r="P147" t="s">
        <v>20</v>
      </c>
      <c r="Q147">
        <v>132.119</v>
      </c>
      <c r="R147" t="s">
        <v>20</v>
      </c>
      <c r="S147" t="s">
        <v>20</v>
      </c>
      <c r="T147">
        <v>217</v>
      </c>
      <c r="U147" t="s">
        <v>1313</v>
      </c>
      <c r="V147" t="s">
        <v>20</v>
      </c>
      <c r="W147" t="s">
        <v>1352</v>
      </c>
      <c r="X147" t="s">
        <v>20</v>
      </c>
      <c r="Y147">
        <v>146.14599999999999</v>
      </c>
      <c r="Z147" t="s">
        <v>20</v>
      </c>
      <c r="AA147" t="s">
        <v>20</v>
      </c>
      <c r="AB147">
        <v>258</v>
      </c>
      <c r="AC147" t="s">
        <v>1314</v>
      </c>
      <c r="AD147" t="s">
        <v>20</v>
      </c>
      <c r="AE147" t="s">
        <v>1353</v>
      </c>
      <c r="AF147" t="s">
        <v>20</v>
      </c>
      <c r="AG147">
        <v>174.203</v>
      </c>
      <c r="AH147" t="s">
        <v>20</v>
      </c>
      <c r="AI147" t="s">
        <v>20</v>
      </c>
      <c r="AJ147">
        <v>383</v>
      </c>
      <c r="AK147" t="s">
        <v>1315</v>
      </c>
      <c r="AL147" t="s">
        <v>20</v>
      </c>
      <c r="AM147" t="s">
        <v>1354</v>
      </c>
      <c r="AN147" t="s">
        <v>20</v>
      </c>
      <c r="AO147">
        <v>119.119</v>
      </c>
      <c r="AP147" t="s">
        <v>20</v>
      </c>
      <c r="AQ147" t="s">
        <v>20</v>
      </c>
    </row>
    <row r="148" spans="1:43" x14ac:dyDescent="0.25">
      <c r="A148">
        <v>6</v>
      </c>
      <c r="B148" t="s">
        <v>18</v>
      </c>
      <c r="C148" t="str">
        <f>HYPERLINK("http://www.ncbi.nlm.nih.gov/protein/XP_025789612.1","XP_025789612.1")</f>
        <v>XP_025789612.1</v>
      </c>
      <c r="D148">
        <v>23617</v>
      </c>
      <c r="E148" t="str">
        <f>HYPERLINK("http://www.ncbi.nlm.nih.gov/Taxonomy/Browser/wwwtax.cgi?mode=Info&amp;id=9696&amp;lvl=3&amp;lin=f&amp;keep=1&amp;srchmode=1&amp;unlock","9696")</f>
        <v>9696</v>
      </c>
      <c r="F148" t="s">
        <v>18</v>
      </c>
      <c r="G148" t="str">
        <f>HYPERLINK("http://www.ncbi.nlm.nih.gov/Taxonomy/Browser/wwwtax.cgi?mode=Info&amp;id=9696&amp;lvl=3&amp;lin=f&amp;keep=1&amp;srchmode=1&amp;unlock","Puma concolor")</f>
        <v>Puma concolor</v>
      </c>
      <c r="H148" t="s">
        <v>64</v>
      </c>
      <c r="I148" t="str">
        <f>HYPERLINK("http://www.ncbi.nlm.nih.gov/protein/XP_025789612.1","androgen receptor")</f>
        <v>androgen receptor</v>
      </c>
      <c r="J148" t="s">
        <v>1312</v>
      </c>
      <c r="K148" t="s">
        <v>20</v>
      </c>
      <c r="L148">
        <v>177</v>
      </c>
      <c r="M148" t="s">
        <v>25</v>
      </c>
      <c r="N148" t="s">
        <v>20</v>
      </c>
      <c r="O148" t="s">
        <v>1352</v>
      </c>
      <c r="P148" t="s">
        <v>20</v>
      </c>
      <c r="Q148">
        <v>132.119</v>
      </c>
      <c r="R148" t="s">
        <v>20</v>
      </c>
      <c r="S148" t="s">
        <v>20</v>
      </c>
      <c r="T148">
        <v>183</v>
      </c>
      <c r="U148" t="s">
        <v>1313</v>
      </c>
      <c r="V148" t="s">
        <v>20</v>
      </c>
      <c r="W148" t="s">
        <v>1352</v>
      </c>
      <c r="X148" t="s">
        <v>20</v>
      </c>
      <c r="Y148">
        <v>146.14599999999999</v>
      </c>
      <c r="Z148" t="s">
        <v>20</v>
      </c>
      <c r="AA148" t="s">
        <v>20</v>
      </c>
      <c r="AB148">
        <v>224</v>
      </c>
      <c r="AC148" t="s">
        <v>1314</v>
      </c>
      <c r="AD148" t="s">
        <v>20</v>
      </c>
      <c r="AE148" t="s">
        <v>1353</v>
      </c>
      <c r="AF148" t="s">
        <v>20</v>
      </c>
      <c r="AG148">
        <v>174.203</v>
      </c>
      <c r="AH148" t="s">
        <v>20</v>
      </c>
      <c r="AI148" t="s">
        <v>20</v>
      </c>
      <c r="AJ148">
        <v>349</v>
      </c>
      <c r="AK148" t="s">
        <v>1315</v>
      </c>
      <c r="AL148" t="s">
        <v>20</v>
      </c>
      <c r="AM148" t="s">
        <v>1354</v>
      </c>
      <c r="AN148" t="s">
        <v>20</v>
      </c>
      <c r="AO148">
        <v>119.119</v>
      </c>
      <c r="AP148" t="s">
        <v>20</v>
      </c>
      <c r="AQ148" t="s">
        <v>20</v>
      </c>
    </row>
    <row r="149" spans="1:43" x14ac:dyDescent="0.25">
      <c r="A149">
        <v>6</v>
      </c>
      <c r="B149" t="s">
        <v>18</v>
      </c>
      <c r="C149" t="str">
        <f>HYPERLINK("http://www.ncbi.nlm.nih.gov/protein/XP_020762611.1","XP_020762611.1")</f>
        <v>XP_020762611.1</v>
      </c>
      <c r="D149">
        <v>48218</v>
      </c>
      <c r="E149" t="str">
        <f>HYPERLINK("http://www.ncbi.nlm.nih.gov/Taxonomy/Browser/wwwtax.cgi?mode=Info&amp;id=9880&amp;lvl=3&amp;lin=f&amp;keep=1&amp;srchmode=1&amp;unlock","9880")</f>
        <v>9880</v>
      </c>
      <c r="F149" t="s">
        <v>18</v>
      </c>
      <c r="G149" t="str">
        <f>HYPERLINK("http://www.ncbi.nlm.nih.gov/Taxonomy/Browser/wwwtax.cgi?mode=Info&amp;id=9880&amp;lvl=3&amp;lin=f&amp;keep=1&amp;srchmode=1&amp;unlock","Odocoileus virginianus texanus")</f>
        <v>Odocoileus virginianus texanus</v>
      </c>
      <c r="H149" t="s">
        <v>101</v>
      </c>
      <c r="I149" t="str">
        <f>HYPERLINK("http://www.ncbi.nlm.nih.gov/protein/XP_020762611.1","androgen receptor")</f>
        <v>androgen receptor</v>
      </c>
      <c r="J149" t="s">
        <v>1312</v>
      </c>
      <c r="K149" t="s">
        <v>20</v>
      </c>
      <c r="L149">
        <v>198</v>
      </c>
      <c r="M149" t="s">
        <v>25</v>
      </c>
      <c r="N149" t="s">
        <v>20</v>
      </c>
      <c r="O149" t="s">
        <v>1352</v>
      </c>
      <c r="P149" t="s">
        <v>20</v>
      </c>
      <c r="Q149">
        <v>132.119</v>
      </c>
      <c r="R149" t="s">
        <v>20</v>
      </c>
      <c r="S149" t="s">
        <v>20</v>
      </c>
      <c r="T149">
        <v>204</v>
      </c>
      <c r="U149" t="s">
        <v>1313</v>
      </c>
      <c r="V149" t="s">
        <v>20</v>
      </c>
      <c r="W149" t="s">
        <v>1352</v>
      </c>
      <c r="X149" t="s">
        <v>20</v>
      </c>
      <c r="Y149">
        <v>146.14599999999999</v>
      </c>
      <c r="Z149" t="s">
        <v>20</v>
      </c>
      <c r="AA149" t="s">
        <v>20</v>
      </c>
      <c r="AB149">
        <v>245</v>
      </c>
      <c r="AC149" t="s">
        <v>1314</v>
      </c>
      <c r="AD149" t="s">
        <v>20</v>
      </c>
      <c r="AE149" t="s">
        <v>1353</v>
      </c>
      <c r="AF149" t="s">
        <v>20</v>
      </c>
      <c r="AG149">
        <v>174.203</v>
      </c>
      <c r="AH149" t="s">
        <v>20</v>
      </c>
      <c r="AI149" t="s">
        <v>20</v>
      </c>
      <c r="AJ149">
        <v>370</v>
      </c>
      <c r="AK149" t="s">
        <v>1315</v>
      </c>
      <c r="AL149" t="s">
        <v>20</v>
      </c>
      <c r="AM149" t="s">
        <v>1354</v>
      </c>
      <c r="AN149" t="s">
        <v>20</v>
      </c>
      <c r="AO149">
        <v>119.119</v>
      </c>
      <c r="AP149" t="s">
        <v>20</v>
      </c>
      <c r="AQ149" t="s">
        <v>20</v>
      </c>
    </row>
    <row r="150" spans="1:43" x14ac:dyDescent="0.25">
      <c r="A150">
        <v>6</v>
      </c>
      <c r="B150" t="s">
        <v>18</v>
      </c>
      <c r="C150" t="str">
        <f>HYPERLINK("http://www.ncbi.nlm.nih.gov/protein/XP_006774533.1","XP_006774533.1")</f>
        <v>XP_006774533.1</v>
      </c>
      <c r="D150">
        <v>48733</v>
      </c>
      <c r="E150" t="str">
        <f>HYPERLINK("http://www.ncbi.nlm.nih.gov/Taxonomy/Browser/wwwtax.cgi?mode=Info&amp;id=225400&amp;lvl=3&amp;lin=f&amp;keep=1&amp;srchmode=1&amp;unlock","225400")</f>
        <v>225400</v>
      </c>
      <c r="F150" t="s">
        <v>18</v>
      </c>
      <c r="G150" t="str">
        <f>HYPERLINK("http://www.ncbi.nlm.nih.gov/Taxonomy/Browser/wwwtax.cgi?mode=Info&amp;id=225400&amp;lvl=3&amp;lin=f&amp;keep=1&amp;srchmode=1&amp;unlock","Myotis davidii")</f>
        <v>Myotis davidii</v>
      </c>
      <c r="H150" t="s">
        <v>77</v>
      </c>
      <c r="I150" t="str">
        <f>HYPERLINK("http://www.ncbi.nlm.nih.gov/protein/XP_006774533.1","PREDICTED: androgen receptor")</f>
        <v>PREDICTED: androgen receptor</v>
      </c>
      <c r="J150" t="s">
        <v>1312</v>
      </c>
      <c r="K150" t="s">
        <v>20</v>
      </c>
      <c r="L150">
        <v>179</v>
      </c>
      <c r="M150" t="s">
        <v>25</v>
      </c>
      <c r="N150" t="s">
        <v>20</v>
      </c>
      <c r="O150" t="s">
        <v>1352</v>
      </c>
      <c r="P150" t="s">
        <v>20</v>
      </c>
      <c r="Q150">
        <v>132.119</v>
      </c>
      <c r="R150" t="s">
        <v>20</v>
      </c>
      <c r="S150" t="s">
        <v>20</v>
      </c>
      <c r="T150">
        <v>185</v>
      </c>
      <c r="U150" t="s">
        <v>1313</v>
      </c>
      <c r="V150" t="s">
        <v>20</v>
      </c>
      <c r="W150" t="s">
        <v>1352</v>
      </c>
      <c r="X150" t="s">
        <v>20</v>
      </c>
      <c r="Y150">
        <v>146.14599999999999</v>
      </c>
      <c r="Z150" t="s">
        <v>20</v>
      </c>
      <c r="AA150" t="s">
        <v>20</v>
      </c>
      <c r="AB150">
        <v>226</v>
      </c>
      <c r="AC150" t="s">
        <v>1314</v>
      </c>
      <c r="AD150" t="s">
        <v>20</v>
      </c>
      <c r="AE150" t="s">
        <v>1353</v>
      </c>
      <c r="AF150" t="s">
        <v>20</v>
      </c>
      <c r="AG150">
        <v>174.203</v>
      </c>
      <c r="AH150" t="s">
        <v>20</v>
      </c>
      <c r="AI150" t="s">
        <v>20</v>
      </c>
      <c r="AJ150">
        <v>351</v>
      </c>
      <c r="AK150" t="s">
        <v>1315</v>
      </c>
      <c r="AL150" t="s">
        <v>20</v>
      </c>
      <c r="AM150" t="s">
        <v>1354</v>
      </c>
      <c r="AN150" t="s">
        <v>20</v>
      </c>
      <c r="AO150">
        <v>119.119</v>
      </c>
      <c r="AP150" t="s">
        <v>20</v>
      </c>
      <c r="AQ150" t="s">
        <v>20</v>
      </c>
    </row>
    <row r="151" spans="1:43" x14ac:dyDescent="0.25">
      <c r="A151">
        <v>6</v>
      </c>
      <c r="B151" t="s">
        <v>18</v>
      </c>
      <c r="C151" t="str">
        <f>HYPERLINK("http://www.ncbi.nlm.nih.gov/protein/XP_027694876.1","XP_027694876.1")</f>
        <v>XP_027694876.1</v>
      </c>
      <c r="D151">
        <v>42741</v>
      </c>
      <c r="E151" t="str">
        <f>HYPERLINK("http://www.ncbi.nlm.nih.gov/Taxonomy/Browser/wwwtax.cgi?mode=Info&amp;id=29139&amp;lvl=3&amp;lin=f&amp;keep=1&amp;srchmode=1&amp;unlock","29139")</f>
        <v>29139</v>
      </c>
      <c r="F151" t="s">
        <v>18</v>
      </c>
      <c r="G151" t="str">
        <f>HYPERLINK("http://www.ncbi.nlm.nih.gov/Taxonomy/Browser/wwwtax.cgi?mode=Info&amp;id=29139&amp;lvl=3&amp;lin=f&amp;keep=1&amp;srchmode=1&amp;unlock","Vombatus ursinus")</f>
        <v>Vombatus ursinus</v>
      </c>
      <c r="H151" t="s">
        <v>181</v>
      </c>
      <c r="I151" t="str">
        <f>HYPERLINK("http://www.ncbi.nlm.nih.gov/protein/XP_027694876.1","androgen receptor")</f>
        <v>androgen receptor</v>
      </c>
      <c r="J151" t="s">
        <v>1312</v>
      </c>
      <c r="K151" t="s">
        <v>20</v>
      </c>
      <c r="L151">
        <v>169</v>
      </c>
      <c r="M151" t="s">
        <v>25</v>
      </c>
      <c r="N151" t="s">
        <v>20</v>
      </c>
      <c r="O151" t="s">
        <v>1352</v>
      </c>
      <c r="P151" t="s">
        <v>20</v>
      </c>
      <c r="Q151">
        <v>132.119</v>
      </c>
      <c r="R151" t="s">
        <v>20</v>
      </c>
      <c r="S151" t="s">
        <v>20</v>
      </c>
      <c r="T151">
        <v>175</v>
      </c>
      <c r="U151" t="s">
        <v>1313</v>
      </c>
      <c r="V151" t="s">
        <v>20</v>
      </c>
      <c r="W151" t="s">
        <v>1352</v>
      </c>
      <c r="X151" t="s">
        <v>20</v>
      </c>
      <c r="Y151">
        <v>146.14599999999999</v>
      </c>
      <c r="Z151" t="s">
        <v>20</v>
      </c>
      <c r="AA151" t="s">
        <v>20</v>
      </c>
      <c r="AB151">
        <v>216</v>
      </c>
      <c r="AC151" t="s">
        <v>1314</v>
      </c>
      <c r="AD151" t="s">
        <v>20</v>
      </c>
      <c r="AE151" t="s">
        <v>1353</v>
      </c>
      <c r="AF151" t="s">
        <v>20</v>
      </c>
      <c r="AG151">
        <v>174.203</v>
      </c>
      <c r="AH151" t="s">
        <v>20</v>
      </c>
      <c r="AI151" t="s">
        <v>20</v>
      </c>
      <c r="AJ151">
        <v>341</v>
      </c>
      <c r="AK151" t="s">
        <v>1315</v>
      </c>
      <c r="AL151" t="s">
        <v>20</v>
      </c>
      <c r="AM151" t="s">
        <v>1354</v>
      </c>
      <c r="AN151" t="s">
        <v>20</v>
      </c>
      <c r="AO151">
        <v>119.119</v>
      </c>
      <c r="AP151" t="s">
        <v>20</v>
      </c>
      <c r="AQ151" t="s">
        <v>20</v>
      </c>
    </row>
    <row r="152" spans="1:43" x14ac:dyDescent="0.25">
      <c r="A152">
        <v>6</v>
      </c>
      <c r="B152" t="s">
        <v>18</v>
      </c>
      <c r="C152" t="str">
        <f>HYPERLINK("http://www.ncbi.nlm.nih.gov/protein/XP_015442220.1","XP_015442220.1")</f>
        <v>XP_015442220.1</v>
      </c>
      <c r="D152">
        <v>59367</v>
      </c>
      <c r="E152" t="str">
        <f>HYPERLINK("http://www.ncbi.nlm.nih.gov/Taxonomy/Browser/wwwtax.cgi?mode=Info&amp;id=9402&amp;lvl=3&amp;lin=f&amp;keep=1&amp;srchmode=1&amp;unlock","9402")</f>
        <v>9402</v>
      </c>
      <c r="F152" t="s">
        <v>18</v>
      </c>
      <c r="G152" t="str">
        <f>HYPERLINK("http://www.ncbi.nlm.nih.gov/Taxonomy/Browser/wwwtax.cgi?mode=Info&amp;id=9402&amp;lvl=3&amp;lin=f&amp;keep=1&amp;srchmode=1&amp;unlock","Pteropus alecto")</f>
        <v>Pteropus alecto</v>
      </c>
      <c r="H152" t="s">
        <v>100</v>
      </c>
      <c r="I152" t="str">
        <f>HYPERLINK("http://www.ncbi.nlm.nih.gov/protein/XP_015442220.1","androgen receptor")</f>
        <v>androgen receptor</v>
      </c>
      <c r="J152" t="s">
        <v>1312</v>
      </c>
      <c r="K152" t="s">
        <v>20</v>
      </c>
      <c r="L152">
        <v>291</v>
      </c>
      <c r="M152" t="s">
        <v>25</v>
      </c>
      <c r="N152" t="s">
        <v>20</v>
      </c>
      <c r="O152" t="s">
        <v>1352</v>
      </c>
      <c r="P152" t="s">
        <v>20</v>
      </c>
      <c r="Q152">
        <v>132.119</v>
      </c>
      <c r="R152" t="s">
        <v>20</v>
      </c>
      <c r="S152" t="s">
        <v>20</v>
      </c>
      <c r="T152">
        <v>297</v>
      </c>
      <c r="U152" t="s">
        <v>1313</v>
      </c>
      <c r="V152" t="s">
        <v>20</v>
      </c>
      <c r="W152" t="s">
        <v>1352</v>
      </c>
      <c r="X152" t="s">
        <v>20</v>
      </c>
      <c r="Y152">
        <v>146.14599999999999</v>
      </c>
      <c r="Z152" t="s">
        <v>20</v>
      </c>
      <c r="AA152" t="s">
        <v>20</v>
      </c>
      <c r="AB152">
        <v>338</v>
      </c>
      <c r="AC152" t="s">
        <v>1314</v>
      </c>
      <c r="AD152" t="s">
        <v>20</v>
      </c>
      <c r="AE152" t="s">
        <v>1353</v>
      </c>
      <c r="AF152" t="s">
        <v>20</v>
      </c>
      <c r="AG152">
        <v>174.203</v>
      </c>
      <c r="AH152" t="s">
        <v>20</v>
      </c>
      <c r="AI152" t="s">
        <v>20</v>
      </c>
      <c r="AJ152">
        <v>463</v>
      </c>
      <c r="AK152" t="s">
        <v>1315</v>
      </c>
      <c r="AL152" t="s">
        <v>20</v>
      </c>
      <c r="AM152" t="s">
        <v>1354</v>
      </c>
      <c r="AN152" t="s">
        <v>20</v>
      </c>
      <c r="AO152">
        <v>119.119</v>
      </c>
      <c r="AP152" t="s">
        <v>20</v>
      </c>
      <c r="AQ152" t="s">
        <v>20</v>
      </c>
    </row>
    <row r="153" spans="1:43" x14ac:dyDescent="0.25">
      <c r="A153">
        <v>6</v>
      </c>
      <c r="B153" t="s">
        <v>18</v>
      </c>
      <c r="C153" t="str">
        <f>HYPERLINK("http://www.ncbi.nlm.nih.gov/protein/XP_036891293.1","XP_036891293.1")</f>
        <v>XP_036891293.1</v>
      </c>
      <c r="D153">
        <v>43557</v>
      </c>
      <c r="E153" t="str">
        <f>HYPERLINK("http://www.ncbi.nlm.nih.gov/Taxonomy/Browser/wwwtax.cgi?mode=Info&amp;id=192404&amp;lvl=3&amp;lin=f&amp;keep=1&amp;srchmode=1&amp;unlock","192404")</f>
        <v>192404</v>
      </c>
      <c r="F153" t="s">
        <v>18</v>
      </c>
      <c r="G153" t="str">
        <f>HYPERLINK("http://www.ncbi.nlm.nih.gov/Taxonomy/Browser/wwwtax.cgi?mode=Info&amp;id=192404&amp;lvl=3&amp;lin=f&amp;keep=1&amp;srchmode=1&amp;unlock","Sturnira hondurensis")</f>
        <v>Sturnira hondurensis</v>
      </c>
      <c r="H153" t="s">
        <v>111</v>
      </c>
      <c r="I153" t="str">
        <f>HYPERLINK("http://www.ncbi.nlm.nih.gov/protein/XP_036891293.1","androgen receptor-like isoform X1")</f>
        <v>androgen receptor-like isoform X1</v>
      </c>
      <c r="J153" t="s">
        <v>1312</v>
      </c>
      <c r="K153" t="s">
        <v>25</v>
      </c>
      <c r="L153" t="s">
        <v>1317</v>
      </c>
      <c r="M153" t="s">
        <v>1317</v>
      </c>
      <c r="N153" t="s">
        <v>25</v>
      </c>
      <c r="O153" t="s">
        <v>1317</v>
      </c>
      <c r="P153" t="s">
        <v>25</v>
      </c>
      <c r="Q153" t="s">
        <v>1317</v>
      </c>
      <c r="R153" t="s">
        <v>25</v>
      </c>
      <c r="S153" t="s">
        <v>25</v>
      </c>
      <c r="T153" t="s">
        <v>1317</v>
      </c>
      <c r="U153" t="s">
        <v>1317</v>
      </c>
      <c r="V153" t="s">
        <v>25</v>
      </c>
      <c r="W153" t="s">
        <v>1317</v>
      </c>
      <c r="X153" t="s">
        <v>25</v>
      </c>
      <c r="Y153" t="s">
        <v>1317</v>
      </c>
      <c r="Z153" t="s">
        <v>25</v>
      </c>
      <c r="AA153" t="s">
        <v>25</v>
      </c>
      <c r="AB153" t="s">
        <v>1317</v>
      </c>
      <c r="AC153" t="s">
        <v>1317</v>
      </c>
      <c r="AD153" t="s">
        <v>25</v>
      </c>
      <c r="AE153" t="s">
        <v>1317</v>
      </c>
      <c r="AF153" t="s">
        <v>25</v>
      </c>
      <c r="AG153" t="s">
        <v>1317</v>
      </c>
      <c r="AH153" t="s">
        <v>25</v>
      </c>
      <c r="AI153" t="s">
        <v>25</v>
      </c>
      <c r="AJ153" t="s">
        <v>1317</v>
      </c>
      <c r="AK153" t="s">
        <v>1317</v>
      </c>
      <c r="AL153" t="s">
        <v>25</v>
      </c>
      <c r="AM153" t="s">
        <v>1317</v>
      </c>
      <c r="AN153" t="s">
        <v>25</v>
      </c>
      <c r="AO153" t="s">
        <v>1317</v>
      </c>
      <c r="AP153" t="s">
        <v>25</v>
      </c>
      <c r="AQ153" t="s">
        <v>25</v>
      </c>
    </row>
    <row r="154" spans="1:43" x14ac:dyDescent="0.25">
      <c r="A154">
        <v>6</v>
      </c>
      <c r="B154" t="s">
        <v>18</v>
      </c>
      <c r="C154" t="str">
        <f>HYPERLINK("http://www.ncbi.nlm.nih.gov/protein/XP_036987592.1","XP_036987592.1")</f>
        <v>XP_036987592.1</v>
      </c>
      <c r="D154">
        <v>43356</v>
      </c>
      <c r="E154" t="str">
        <f>HYPERLINK("http://www.ncbi.nlm.nih.gov/Taxonomy/Browser/wwwtax.cgi?mode=Info&amp;id=9417&amp;lvl=3&amp;lin=f&amp;keep=1&amp;srchmode=1&amp;unlock","9417")</f>
        <v>9417</v>
      </c>
      <c r="F154" t="s">
        <v>18</v>
      </c>
      <c r="G154" t="str">
        <f>HYPERLINK("http://www.ncbi.nlm.nih.gov/Taxonomy/Browser/wwwtax.cgi?mode=Info&amp;id=9417&amp;lvl=3&amp;lin=f&amp;keep=1&amp;srchmode=1&amp;unlock","Artibeus jamaicensis")</f>
        <v>Artibeus jamaicensis</v>
      </c>
      <c r="H154" t="s">
        <v>109</v>
      </c>
      <c r="I154" t="str">
        <f>HYPERLINK("http://www.ncbi.nlm.nih.gov/protein/XP_036987592.1","androgen receptor-like isoform X2")</f>
        <v>androgen receptor-like isoform X2</v>
      </c>
      <c r="J154" t="s">
        <v>1312</v>
      </c>
      <c r="K154" t="s">
        <v>25</v>
      </c>
      <c r="L154" t="s">
        <v>1317</v>
      </c>
      <c r="M154" t="s">
        <v>1317</v>
      </c>
      <c r="N154" t="s">
        <v>25</v>
      </c>
      <c r="O154" t="s">
        <v>1317</v>
      </c>
      <c r="P154" t="s">
        <v>25</v>
      </c>
      <c r="Q154" t="s">
        <v>1317</v>
      </c>
      <c r="R154" t="s">
        <v>25</v>
      </c>
      <c r="S154" t="s">
        <v>25</v>
      </c>
      <c r="T154" t="s">
        <v>1317</v>
      </c>
      <c r="U154" t="s">
        <v>1317</v>
      </c>
      <c r="V154" t="s">
        <v>25</v>
      </c>
      <c r="W154" t="s">
        <v>1317</v>
      </c>
      <c r="X154" t="s">
        <v>25</v>
      </c>
      <c r="Y154" t="s">
        <v>1317</v>
      </c>
      <c r="Z154" t="s">
        <v>25</v>
      </c>
      <c r="AA154" t="s">
        <v>25</v>
      </c>
      <c r="AB154" t="s">
        <v>1317</v>
      </c>
      <c r="AC154" t="s">
        <v>1317</v>
      </c>
      <c r="AD154" t="s">
        <v>25</v>
      </c>
      <c r="AE154" t="s">
        <v>1317</v>
      </c>
      <c r="AF154" t="s">
        <v>25</v>
      </c>
      <c r="AG154" t="s">
        <v>1317</v>
      </c>
      <c r="AH154" t="s">
        <v>25</v>
      </c>
      <c r="AI154" t="s">
        <v>25</v>
      </c>
      <c r="AJ154" t="s">
        <v>1317</v>
      </c>
      <c r="AK154" t="s">
        <v>1317</v>
      </c>
      <c r="AL154" t="s">
        <v>25</v>
      </c>
      <c r="AM154" t="s">
        <v>1317</v>
      </c>
      <c r="AN154" t="s">
        <v>25</v>
      </c>
      <c r="AO154" t="s">
        <v>1317</v>
      </c>
      <c r="AP154" t="s">
        <v>25</v>
      </c>
      <c r="AQ154" t="s">
        <v>25</v>
      </c>
    </row>
    <row r="155" spans="1:43" x14ac:dyDescent="0.25">
      <c r="A155">
        <v>6</v>
      </c>
      <c r="B155" t="s">
        <v>18</v>
      </c>
      <c r="C155" t="str">
        <f>HYPERLINK("http://www.ncbi.nlm.nih.gov/protein/XP_017728340.1","XP_017728340.1")</f>
        <v>XP_017728340.1</v>
      </c>
      <c r="D155">
        <v>49685</v>
      </c>
      <c r="E155" t="str">
        <f>HYPERLINK("http://www.ncbi.nlm.nih.gov/Taxonomy/Browser/wwwtax.cgi?mode=Info&amp;id=61621&amp;lvl=3&amp;lin=f&amp;keep=1&amp;srchmode=1&amp;unlock","61621")</f>
        <v>61621</v>
      </c>
      <c r="F155" t="s">
        <v>18</v>
      </c>
      <c r="G155" t="str">
        <f>HYPERLINK("http://www.ncbi.nlm.nih.gov/Taxonomy/Browser/wwwtax.cgi?mode=Info&amp;id=61621&amp;lvl=3&amp;lin=f&amp;keep=1&amp;srchmode=1&amp;unlock","Rhinopithecus bieti")</f>
        <v>Rhinopithecus bieti</v>
      </c>
      <c r="H155" t="s">
        <v>34</v>
      </c>
      <c r="I155" t="str">
        <f>HYPERLINK("http://www.ncbi.nlm.nih.gov/protein/XP_017728340.1","PREDICTED: androgen receptor")</f>
        <v>PREDICTED: androgen receptor</v>
      </c>
      <c r="J155" t="s">
        <v>1312</v>
      </c>
      <c r="K155" t="s">
        <v>25</v>
      </c>
      <c r="L155" t="s">
        <v>1317</v>
      </c>
      <c r="M155" t="s">
        <v>1317</v>
      </c>
      <c r="N155" t="s">
        <v>25</v>
      </c>
      <c r="O155" t="s">
        <v>1317</v>
      </c>
      <c r="P155" t="s">
        <v>25</v>
      </c>
      <c r="Q155" t="s">
        <v>1317</v>
      </c>
      <c r="R155" t="s">
        <v>25</v>
      </c>
      <c r="S155" t="s">
        <v>25</v>
      </c>
      <c r="T155" t="s">
        <v>1317</v>
      </c>
      <c r="U155" t="s">
        <v>1317</v>
      </c>
      <c r="V155" t="s">
        <v>25</v>
      </c>
      <c r="W155" t="s">
        <v>1317</v>
      </c>
      <c r="X155" t="s">
        <v>25</v>
      </c>
      <c r="Y155" t="s">
        <v>1317</v>
      </c>
      <c r="Z155" t="s">
        <v>25</v>
      </c>
      <c r="AA155" t="s">
        <v>25</v>
      </c>
      <c r="AB155" t="s">
        <v>1317</v>
      </c>
      <c r="AC155" t="s">
        <v>1317</v>
      </c>
      <c r="AD155" t="s">
        <v>25</v>
      </c>
      <c r="AE155" t="s">
        <v>1317</v>
      </c>
      <c r="AF155" t="s">
        <v>25</v>
      </c>
      <c r="AG155" t="s">
        <v>1317</v>
      </c>
      <c r="AH155" t="s">
        <v>25</v>
      </c>
      <c r="AI155" t="s">
        <v>25</v>
      </c>
      <c r="AJ155" t="s">
        <v>1317</v>
      </c>
      <c r="AK155" t="s">
        <v>1317</v>
      </c>
      <c r="AL155" t="s">
        <v>25</v>
      </c>
      <c r="AM155" t="s">
        <v>1317</v>
      </c>
      <c r="AN155" t="s">
        <v>25</v>
      </c>
      <c r="AO155" t="s">
        <v>1317</v>
      </c>
      <c r="AP155" t="s">
        <v>25</v>
      </c>
      <c r="AQ155" t="s">
        <v>25</v>
      </c>
    </row>
    <row r="156" spans="1:43" x14ac:dyDescent="0.25">
      <c r="A156">
        <v>6</v>
      </c>
      <c r="B156" t="s">
        <v>18</v>
      </c>
      <c r="C156" t="str">
        <f>HYPERLINK("http://www.ncbi.nlm.nih.gov/protein/XP_037368210.1","XP_037368210.1")</f>
        <v>XP_037368210.1</v>
      </c>
      <c r="D156">
        <v>39570</v>
      </c>
      <c r="E156" t="str">
        <f>HYPERLINK("http://www.ncbi.nlm.nih.gov/Taxonomy/Browser/wwwtax.cgi?mode=Info&amp;id=50954&amp;lvl=3&amp;lin=f&amp;keep=1&amp;srchmode=1&amp;unlock","50954")</f>
        <v>50954</v>
      </c>
      <c r="F156" t="s">
        <v>18</v>
      </c>
      <c r="G156" t="str">
        <f>HYPERLINK("http://www.ncbi.nlm.nih.gov/Taxonomy/Browser/wwwtax.cgi?mode=Info&amp;id=50954&amp;lvl=3&amp;lin=f&amp;keep=1&amp;srchmode=1&amp;unlock","Talpa occidentalis")</f>
        <v>Talpa occidentalis</v>
      </c>
      <c r="H156" t="s">
        <v>143</v>
      </c>
      <c r="I156" t="str">
        <f>HYPERLINK("http://www.ncbi.nlm.nih.gov/protein/XP_037368210.1","androgen receptor-like")</f>
        <v>androgen receptor-like</v>
      </c>
      <c r="J156" t="s">
        <v>1312</v>
      </c>
      <c r="K156" t="s">
        <v>25</v>
      </c>
      <c r="L156" t="s">
        <v>1317</v>
      </c>
      <c r="M156" t="s">
        <v>1317</v>
      </c>
      <c r="N156" t="s">
        <v>25</v>
      </c>
      <c r="O156" t="s">
        <v>1317</v>
      </c>
      <c r="P156" t="s">
        <v>25</v>
      </c>
      <c r="Q156" t="s">
        <v>1317</v>
      </c>
      <c r="R156" t="s">
        <v>25</v>
      </c>
      <c r="S156" t="s">
        <v>25</v>
      </c>
      <c r="T156" t="s">
        <v>1317</v>
      </c>
      <c r="U156" t="s">
        <v>1317</v>
      </c>
      <c r="V156" t="s">
        <v>25</v>
      </c>
      <c r="W156" t="s">
        <v>1317</v>
      </c>
      <c r="X156" t="s">
        <v>25</v>
      </c>
      <c r="Y156" t="s">
        <v>1317</v>
      </c>
      <c r="Z156" t="s">
        <v>25</v>
      </c>
      <c r="AA156" t="s">
        <v>25</v>
      </c>
      <c r="AB156" t="s">
        <v>1317</v>
      </c>
      <c r="AC156" t="s">
        <v>1317</v>
      </c>
      <c r="AD156" t="s">
        <v>25</v>
      </c>
      <c r="AE156" t="s">
        <v>1317</v>
      </c>
      <c r="AF156" t="s">
        <v>25</v>
      </c>
      <c r="AG156" t="s">
        <v>1317</v>
      </c>
      <c r="AH156" t="s">
        <v>25</v>
      </c>
      <c r="AI156" t="s">
        <v>25</v>
      </c>
      <c r="AJ156" t="s">
        <v>1317</v>
      </c>
      <c r="AK156" t="s">
        <v>1317</v>
      </c>
      <c r="AL156" t="s">
        <v>25</v>
      </c>
      <c r="AM156" t="s">
        <v>1317</v>
      </c>
      <c r="AN156" t="s">
        <v>25</v>
      </c>
      <c r="AO156" t="s">
        <v>1317</v>
      </c>
      <c r="AP156" t="s">
        <v>25</v>
      </c>
      <c r="AQ156" t="s">
        <v>25</v>
      </c>
    </row>
    <row r="157" spans="1:43" x14ac:dyDescent="0.25">
      <c r="A157">
        <v>6</v>
      </c>
      <c r="B157" t="s">
        <v>18</v>
      </c>
      <c r="C157" t="str">
        <f>HYPERLINK("http://www.ncbi.nlm.nih.gov/protein/XP_035960286.1","XP_035960286.1")</f>
        <v>XP_035960286.1</v>
      </c>
      <c r="D157">
        <v>60330</v>
      </c>
      <c r="E157" t="str">
        <f>HYPERLINK("http://www.ncbi.nlm.nih.gov/Taxonomy/Browser/wwwtax.cgi?mode=Info&amp;id=9711&amp;lvl=3&amp;lin=f&amp;keep=1&amp;srchmode=1&amp;unlock","9711")</f>
        <v>9711</v>
      </c>
      <c r="F157" t="s">
        <v>18</v>
      </c>
      <c r="G157" t="str">
        <f>HYPERLINK("http://www.ncbi.nlm.nih.gov/Taxonomy/Browser/wwwtax.cgi?mode=Info&amp;id=9711&amp;lvl=3&amp;lin=f&amp;keep=1&amp;srchmode=1&amp;unlock","Halichoerus grypus")</f>
        <v>Halichoerus grypus</v>
      </c>
      <c r="H157" t="s">
        <v>68</v>
      </c>
      <c r="I157" t="str">
        <f>HYPERLINK("http://www.ncbi.nlm.nih.gov/protein/XP_035960286.1","androgen receptor-like")</f>
        <v>androgen receptor-like</v>
      </c>
      <c r="J157" t="s">
        <v>1312</v>
      </c>
      <c r="K157" t="s">
        <v>25</v>
      </c>
      <c r="L157" t="s">
        <v>1317</v>
      </c>
      <c r="M157" t="s">
        <v>1317</v>
      </c>
      <c r="N157" t="s">
        <v>25</v>
      </c>
      <c r="O157" t="s">
        <v>1317</v>
      </c>
      <c r="P157" t="s">
        <v>25</v>
      </c>
      <c r="Q157" t="s">
        <v>1317</v>
      </c>
      <c r="R157" t="s">
        <v>25</v>
      </c>
      <c r="S157" t="s">
        <v>25</v>
      </c>
      <c r="T157" t="s">
        <v>1317</v>
      </c>
      <c r="U157" t="s">
        <v>1317</v>
      </c>
      <c r="V157" t="s">
        <v>25</v>
      </c>
      <c r="W157" t="s">
        <v>1317</v>
      </c>
      <c r="X157" t="s">
        <v>25</v>
      </c>
      <c r="Y157" t="s">
        <v>1317</v>
      </c>
      <c r="Z157" t="s">
        <v>25</v>
      </c>
      <c r="AA157" t="s">
        <v>25</v>
      </c>
      <c r="AB157" t="s">
        <v>1317</v>
      </c>
      <c r="AC157" t="s">
        <v>1317</v>
      </c>
      <c r="AD157" t="s">
        <v>25</v>
      </c>
      <c r="AE157" t="s">
        <v>1317</v>
      </c>
      <c r="AF157" t="s">
        <v>25</v>
      </c>
      <c r="AG157" t="s">
        <v>1317</v>
      </c>
      <c r="AH157" t="s">
        <v>25</v>
      </c>
      <c r="AI157" t="s">
        <v>25</v>
      </c>
      <c r="AJ157" t="s">
        <v>1317</v>
      </c>
      <c r="AK157" t="s">
        <v>1317</v>
      </c>
      <c r="AL157" t="s">
        <v>25</v>
      </c>
      <c r="AM157" t="s">
        <v>1317</v>
      </c>
      <c r="AN157" t="s">
        <v>25</v>
      </c>
      <c r="AO157" t="s">
        <v>1317</v>
      </c>
      <c r="AP157" t="s">
        <v>25</v>
      </c>
      <c r="AQ157" t="s">
        <v>25</v>
      </c>
    </row>
    <row r="158" spans="1:43" x14ac:dyDescent="0.25">
      <c r="A158">
        <v>6</v>
      </c>
      <c r="B158" t="s">
        <v>18</v>
      </c>
      <c r="C158" t="str">
        <f>HYPERLINK("http://www.ncbi.nlm.nih.gov/protein/XP_008526172.1","XP_008526172.1")</f>
        <v>XP_008526172.1</v>
      </c>
      <c r="D158">
        <v>38543</v>
      </c>
      <c r="E158" t="str">
        <f>HYPERLINK("http://www.ncbi.nlm.nih.gov/Taxonomy/Browser/wwwtax.cgi?mode=Info&amp;id=9798&amp;lvl=3&amp;lin=f&amp;keep=1&amp;srchmode=1&amp;unlock","9798")</f>
        <v>9798</v>
      </c>
      <c r="F158" t="s">
        <v>18</v>
      </c>
      <c r="G158" t="str">
        <f>HYPERLINK("http://www.ncbi.nlm.nih.gov/Taxonomy/Browser/wwwtax.cgi?mode=Info&amp;id=9798&amp;lvl=3&amp;lin=f&amp;keep=1&amp;srchmode=1&amp;unlock","Equus przewalskii")</f>
        <v>Equus przewalskii</v>
      </c>
      <c r="H158" t="s">
        <v>382</v>
      </c>
      <c r="I158" t="str">
        <f>HYPERLINK("http://www.ncbi.nlm.nih.gov/protein/XP_008526172.1","PREDICTED: androgen receptor-like")</f>
        <v>PREDICTED: androgen receptor-like</v>
      </c>
      <c r="J158" t="s">
        <v>1312</v>
      </c>
      <c r="K158" t="s">
        <v>25</v>
      </c>
      <c r="L158" t="s">
        <v>1317</v>
      </c>
      <c r="M158" t="s">
        <v>1317</v>
      </c>
      <c r="N158" t="s">
        <v>25</v>
      </c>
      <c r="O158" t="s">
        <v>1317</v>
      </c>
      <c r="P158" t="s">
        <v>25</v>
      </c>
      <c r="Q158" t="s">
        <v>1317</v>
      </c>
      <c r="R158" t="s">
        <v>25</v>
      </c>
      <c r="S158" t="s">
        <v>25</v>
      </c>
      <c r="T158" t="s">
        <v>1317</v>
      </c>
      <c r="U158" t="s">
        <v>1317</v>
      </c>
      <c r="V158" t="s">
        <v>25</v>
      </c>
      <c r="W158" t="s">
        <v>1317</v>
      </c>
      <c r="X158" t="s">
        <v>25</v>
      </c>
      <c r="Y158" t="s">
        <v>1317</v>
      </c>
      <c r="Z158" t="s">
        <v>25</v>
      </c>
      <c r="AA158" t="s">
        <v>25</v>
      </c>
      <c r="AB158" t="s">
        <v>1317</v>
      </c>
      <c r="AC158" t="s">
        <v>1317</v>
      </c>
      <c r="AD158" t="s">
        <v>25</v>
      </c>
      <c r="AE158" t="s">
        <v>1317</v>
      </c>
      <c r="AF158" t="s">
        <v>25</v>
      </c>
      <c r="AG158" t="s">
        <v>1317</v>
      </c>
      <c r="AH158" t="s">
        <v>25</v>
      </c>
      <c r="AI158" t="s">
        <v>25</v>
      </c>
      <c r="AJ158" t="s">
        <v>1317</v>
      </c>
      <c r="AK158" t="s">
        <v>1317</v>
      </c>
      <c r="AL158" t="s">
        <v>25</v>
      </c>
      <c r="AM158" t="s">
        <v>1317</v>
      </c>
      <c r="AN158" t="s">
        <v>25</v>
      </c>
      <c r="AO158" t="s">
        <v>1317</v>
      </c>
      <c r="AP158" t="s">
        <v>25</v>
      </c>
      <c r="AQ158" t="s">
        <v>25</v>
      </c>
    </row>
    <row r="159" spans="1:43" x14ac:dyDescent="0.25">
      <c r="A159">
        <v>6</v>
      </c>
      <c r="B159" t="s">
        <v>18</v>
      </c>
      <c r="C159" t="str">
        <f>HYPERLINK("http://www.ncbi.nlm.nih.gov/protein/OWJ99637.1","OWJ99637.1")</f>
        <v>OWJ99637.1</v>
      </c>
      <c r="D159">
        <v>19277</v>
      </c>
      <c r="E159" t="str">
        <f>HYPERLINK("http://www.ncbi.nlm.nih.gov/Taxonomy/Browser/wwwtax.cgi?mode=Info&amp;id=46360&amp;lvl=3&amp;lin=f&amp;keep=1&amp;srchmode=1&amp;unlock","46360")</f>
        <v>46360</v>
      </c>
      <c r="F159" t="s">
        <v>18</v>
      </c>
      <c r="G159" t="str">
        <f>HYPERLINK("http://www.ncbi.nlm.nih.gov/Taxonomy/Browser/wwwtax.cgi?mode=Info&amp;id=46360&amp;lvl=3&amp;lin=f&amp;keep=1&amp;srchmode=1&amp;unlock","Cervus elaphus hippelaphus")</f>
        <v>Cervus elaphus hippelaphus</v>
      </c>
      <c r="H159" t="s">
        <v>1122</v>
      </c>
      <c r="I159" t="str">
        <f>HYPERLINK("http://www.ncbi.nlm.nih.gov/protein/OWJ99637.1","AR")</f>
        <v>AR</v>
      </c>
      <c r="J159" t="s">
        <v>1312</v>
      </c>
      <c r="K159" t="s">
        <v>25</v>
      </c>
      <c r="L159" t="s">
        <v>1317</v>
      </c>
      <c r="M159" t="s">
        <v>1317</v>
      </c>
      <c r="N159" t="s">
        <v>25</v>
      </c>
      <c r="O159" t="s">
        <v>1317</v>
      </c>
      <c r="P159" t="s">
        <v>25</v>
      </c>
      <c r="Q159" t="s">
        <v>1317</v>
      </c>
      <c r="R159" t="s">
        <v>25</v>
      </c>
      <c r="S159" t="s">
        <v>25</v>
      </c>
      <c r="T159" t="s">
        <v>1317</v>
      </c>
      <c r="U159" t="s">
        <v>1317</v>
      </c>
      <c r="V159" t="s">
        <v>25</v>
      </c>
      <c r="W159" t="s">
        <v>1317</v>
      </c>
      <c r="X159" t="s">
        <v>25</v>
      </c>
      <c r="Y159" t="s">
        <v>1317</v>
      </c>
      <c r="Z159" t="s">
        <v>25</v>
      </c>
      <c r="AA159" t="s">
        <v>25</v>
      </c>
      <c r="AB159" t="s">
        <v>1317</v>
      </c>
      <c r="AC159" t="s">
        <v>1317</v>
      </c>
      <c r="AD159" t="s">
        <v>25</v>
      </c>
      <c r="AE159" t="s">
        <v>1317</v>
      </c>
      <c r="AF159" t="s">
        <v>25</v>
      </c>
      <c r="AG159" t="s">
        <v>1317</v>
      </c>
      <c r="AH159" t="s">
        <v>25</v>
      </c>
      <c r="AI159" t="s">
        <v>25</v>
      </c>
      <c r="AJ159" t="s">
        <v>1317</v>
      </c>
      <c r="AK159" t="s">
        <v>1317</v>
      </c>
      <c r="AL159" t="s">
        <v>25</v>
      </c>
      <c r="AM159" t="s">
        <v>1317</v>
      </c>
      <c r="AN159" t="s">
        <v>25</v>
      </c>
      <c r="AO159" t="s">
        <v>1317</v>
      </c>
      <c r="AP159" t="s">
        <v>25</v>
      </c>
      <c r="AQ159" t="s">
        <v>25</v>
      </c>
    </row>
    <row r="160" spans="1:43" x14ac:dyDescent="0.25">
      <c r="A160">
        <v>6</v>
      </c>
      <c r="B160" t="s">
        <v>18</v>
      </c>
      <c r="C160" t="str">
        <f>HYPERLINK("http://www.ncbi.nlm.nih.gov/protein/NIG61673.1","NIG61673.1")</f>
        <v>NIG61673.1</v>
      </c>
      <c r="D160">
        <v>4395</v>
      </c>
      <c r="E160" t="str">
        <f>HYPERLINK("http://www.ncbi.nlm.nih.gov/Taxonomy/Browser/wwwtax.cgi?mode=Info&amp;id=48723&amp;lvl=3&amp;lin=f&amp;keep=1&amp;srchmode=1&amp;unlock","48723")</f>
        <v>48723</v>
      </c>
      <c r="F160" t="s">
        <v>18</v>
      </c>
      <c r="G160" t="str">
        <f>HYPERLINK("http://www.ncbi.nlm.nih.gov/Taxonomy/Browser/wwwtax.cgi?mode=Info&amp;id=48723&amp;lvl=3&amp;lin=f&amp;keep=1&amp;srchmode=1&amp;unlock","Pontoporia blainvillei")</f>
        <v>Pontoporia blainvillei</v>
      </c>
      <c r="H160" t="s">
        <v>1319</v>
      </c>
      <c r="I160" t="str">
        <f>HYPERLINK("http://www.ncbi.nlm.nih.gov/protein/NIG61673.1","androgen receptor-like")</f>
        <v>androgen receptor-like</v>
      </c>
      <c r="J160" t="s">
        <v>1312</v>
      </c>
      <c r="K160" t="s">
        <v>25</v>
      </c>
      <c r="L160" t="s">
        <v>1317</v>
      </c>
      <c r="M160" t="s">
        <v>1317</v>
      </c>
      <c r="N160" t="s">
        <v>25</v>
      </c>
      <c r="O160" t="s">
        <v>1317</v>
      </c>
      <c r="P160" t="s">
        <v>25</v>
      </c>
      <c r="Q160" t="s">
        <v>1317</v>
      </c>
      <c r="R160" t="s">
        <v>25</v>
      </c>
      <c r="S160" t="s">
        <v>25</v>
      </c>
      <c r="T160" t="s">
        <v>1317</v>
      </c>
      <c r="U160" t="s">
        <v>1317</v>
      </c>
      <c r="V160" t="s">
        <v>25</v>
      </c>
      <c r="W160" t="s">
        <v>1317</v>
      </c>
      <c r="X160" t="s">
        <v>25</v>
      </c>
      <c r="Y160" t="s">
        <v>1317</v>
      </c>
      <c r="Z160" t="s">
        <v>25</v>
      </c>
      <c r="AA160" t="s">
        <v>25</v>
      </c>
      <c r="AB160" t="s">
        <v>1317</v>
      </c>
      <c r="AC160" t="s">
        <v>1317</v>
      </c>
      <c r="AD160" t="s">
        <v>25</v>
      </c>
      <c r="AE160" t="s">
        <v>1317</v>
      </c>
      <c r="AF160" t="s">
        <v>25</v>
      </c>
      <c r="AG160" t="s">
        <v>1317</v>
      </c>
      <c r="AH160" t="s">
        <v>25</v>
      </c>
      <c r="AI160" t="s">
        <v>25</v>
      </c>
      <c r="AJ160" t="s">
        <v>1317</v>
      </c>
      <c r="AK160" t="s">
        <v>1317</v>
      </c>
      <c r="AL160" t="s">
        <v>25</v>
      </c>
      <c r="AM160" t="s">
        <v>1317</v>
      </c>
      <c r="AN160" t="s">
        <v>25</v>
      </c>
      <c r="AO160" t="s">
        <v>1317</v>
      </c>
      <c r="AP160" t="s">
        <v>25</v>
      </c>
      <c r="AQ160" t="s">
        <v>25</v>
      </c>
    </row>
    <row r="161" spans="1:43" x14ac:dyDescent="0.25">
      <c r="A161">
        <v>6</v>
      </c>
      <c r="B161" t="s">
        <v>134</v>
      </c>
      <c r="C161" t="str">
        <f>HYPERLINK("http://www.ncbi.nlm.nih.gov/protein/XP_002941888.3","XP_002941888.3")</f>
        <v>XP_002941888.3</v>
      </c>
      <c r="D161">
        <v>122938</v>
      </c>
      <c r="E161" t="str">
        <f>HYPERLINK("http://www.ncbi.nlm.nih.gov/Taxonomy/Browser/wwwtax.cgi?mode=Info&amp;id=8364&amp;lvl=3&amp;lin=f&amp;keep=1&amp;srchmode=1&amp;unlock","8364")</f>
        <v>8364</v>
      </c>
      <c r="F161" t="s">
        <v>134</v>
      </c>
      <c r="G161" t="str">
        <f>HYPERLINK("http://www.ncbi.nlm.nih.gov/Taxonomy/Browser/wwwtax.cgi?mode=Info&amp;id=8364&amp;lvl=3&amp;lin=f&amp;keep=1&amp;srchmode=1&amp;unlock","Xenopus tropicalis")</f>
        <v>Xenopus tropicalis</v>
      </c>
      <c r="H161" t="s">
        <v>468</v>
      </c>
      <c r="I161" t="str">
        <f>HYPERLINK("http://www.ncbi.nlm.nih.gov/protein/XP_002941888.3","androgen receptor")</f>
        <v>androgen receptor</v>
      </c>
      <c r="J161" t="s">
        <v>1320</v>
      </c>
      <c r="K161" t="s">
        <v>20</v>
      </c>
      <c r="L161">
        <v>574</v>
      </c>
      <c r="M161" t="s">
        <v>25</v>
      </c>
      <c r="N161" t="s">
        <v>20</v>
      </c>
      <c r="O161" t="s">
        <v>1352</v>
      </c>
      <c r="P161" t="s">
        <v>20</v>
      </c>
      <c r="Q161">
        <v>132.119</v>
      </c>
      <c r="R161" t="s">
        <v>20</v>
      </c>
      <c r="S161" t="s">
        <v>20</v>
      </c>
      <c r="T161">
        <v>580</v>
      </c>
      <c r="U161" t="s">
        <v>1313</v>
      </c>
      <c r="V161" t="s">
        <v>20</v>
      </c>
      <c r="W161" t="s">
        <v>1352</v>
      </c>
      <c r="X161" t="s">
        <v>20</v>
      </c>
      <c r="Y161">
        <v>146.14599999999999</v>
      </c>
      <c r="Z161" t="s">
        <v>20</v>
      </c>
      <c r="AA161" t="s">
        <v>20</v>
      </c>
      <c r="AB161">
        <v>621</v>
      </c>
      <c r="AC161" t="s">
        <v>1314</v>
      </c>
      <c r="AD161" t="s">
        <v>20</v>
      </c>
      <c r="AE161" t="s">
        <v>1353</v>
      </c>
      <c r="AF161" t="s">
        <v>20</v>
      </c>
      <c r="AG161">
        <v>174.203</v>
      </c>
      <c r="AH161" t="s">
        <v>20</v>
      </c>
      <c r="AI161" t="s">
        <v>20</v>
      </c>
      <c r="AJ161">
        <v>746</v>
      </c>
      <c r="AK161" t="s">
        <v>1315</v>
      </c>
      <c r="AL161" t="s">
        <v>20</v>
      </c>
      <c r="AM161" t="s">
        <v>1354</v>
      </c>
      <c r="AN161" t="s">
        <v>20</v>
      </c>
      <c r="AO161">
        <v>119.119</v>
      </c>
      <c r="AP161" t="s">
        <v>20</v>
      </c>
      <c r="AQ161" t="s">
        <v>20</v>
      </c>
    </row>
    <row r="162" spans="1:43" x14ac:dyDescent="0.25">
      <c r="A162">
        <v>6</v>
      </c>
      <c r="B162" t="s">
        <v>134</v>
      </c>
      <c r="C162" t="str">
        <f>HYPERLINK("http://www.ncbi.nlm.nih.gov/protein/AAC97386.1","AAC97386.1")</f>
        <v>AAC97386.1</v>
      </c>
      <c r="D162">
        <v>129058</v>
      </c>
      <c r="E162" t="str">
        <f>HYPERLINK("http://www.ncbi.nlm.nih.gov/Taxonomy/Browser/wwwtax.cgi?mode=Info&amp;id=8355&amp;lvl=3&amp;lin=f&amp;keep=1&amp;srchmode=1&amp;unlock","8355")</f>
        <v>8355</v>
      </c>
      <c r="F162" t="s">
        <v>134</v>
      </c>
      <c r="G162" t="str">
        <f>HYPERLINK("http://www.ncbi.nlm.nih.gov/Taxonomy/Browser/wwwtax.cgi?mode=Info&amp;id=8355&amp;lvl=3&amp;lin=f&amp;keep=1&amp;srchmode=1&amp;unlock","Xenopus laevis")</f>
        <v>Xenopus laevis</v>
      </c>
      <c r="H162" t="s">
        <v>473</v>
      </c>
      <c r="I162" t="str">
        <f>HYPERLINK("http://www.ncbi.nlm.nih.gov/protein/AAC97386.1","androgen receptor alpha isoform")</f>
        <v>androgen receptor alpha isoform</v>
      </c>
      <c r="J162" t="s">
        <v>1320</v>
      </c>
      <c r="K162" t="s">
        <v>20</v>
      </c>
      <c r="L162">
        <v>576</v>
      </c>
      <c r="M162" t="s">
        <v>25</v>
      </c>
      <c r="N162" t="s">
        <v>20</v>
      </c>
      <c r="O162" t="s">
        <v>1352</v>
      </c>
      <c r="P162" t="s">
        <v>20</v>
      </c>
      <c r="Q162">
        <v>132.119</v>
      </c>
      <c r="R162" t="s">
        <v>20</v>
      </c>
      <c r="S162" t="s">
        <v>20</v>
      </c>
      <c r="T162">
        <v>582</v>
      </c>
      <c r="U162" t="s">
        <v>1313</v>
      </c>
      <c r="V162" t="s">
        <v>20</v>
      </c>
      <c r="W162" t="s">
        <v>1352</v>
      </c>
      <c r="X162" t="s">
        <v>20</v>
      </c>
      <c r="Y162">
        <v>146.14599999999999</v>
      </c>
      <c r="Z162" t="s">
        <v>20</v>
      </c>
      <c r="AA162" t="s">
        <v>20</v>
      </c>
      <c r="AB162">
        <v>623</v>
      </c>
      <c r="AC162" t="s">
        <v>1314</v>
      </c>
      <c r="AD162" t="s">
        <v>20</v>
      </c>
      <c r="AE162" t="s">
        <v>1353</v>
      </c>
      <c r="AF162" t="s">
        <v>20</v>
      </c>
      <c r="AG162">
        <v>174.203</v>
      </c>
      <c r="AH162" t="s">
        <v>20</v>
      </c>
      <c r="AI162" t="s">
        <v>20</v>
      </c>
      <c r="AJ162">
        <v>748</v>
      </c>
      <c r="AK162" t="s">
        <v>1315</v>
      </c>
      <c r="AL162" t="s">
        <v>20</v>
      </c>
      <c r="AM162" t="s">
        <v>1354</v>
      </c>
      <c r="AN162" t="s">
        <v>20</v>
      </c>
      <c r="AO162">
        <v>119.119</v>
      </c>
      <c r="AP162" t="s">
        <v>20</v>
      </c>
      <c r="AQ162" t="s">
        <v>20</v>
      </c>
    </row>
    <row r="163" spans="1:43" x14ac:dyDescent="0.25">
      <c r="A163">
        <v>6</v>
      </c>
      <c r="B163" t="s">
        <v>134</v>
      </c>
      <c r="C163" t="str">
        <f>HYPERLINK("http://www.ncbi.nlm.nih.gov/protein/BAI87835.1","BAI87835.1")</f>
        <v>BAI87835.1</v>
      </c>
      <c r="D163">
        <v>233</v>
      </c>
      <c r="E163" t="str">
        <f>HYPERLINK("http://www.ncbi.nlm.nih.gov/Taxonomy/Browser/wwwtax.cgi?mode=Info&amp;id=8410&amp;lvl=3&amp;lin=f&amp;keep=1&amp;srchmode=1&amp;unlock","8410")</f>
        <v>8410</v>
      </c>
      <c r="F163" t="s">
        <v>134</v>
      </c>
      <c r="G163" t="str">
        <f>HYPERLINK("http://www.ncbi.nlm.nih.gov/Taxonomy/Browser/wwwtax.cgi?mode=Info&amp;id=8410&amp;lvl=3&amp;lin=f&amp;keep=1&amp;srchmode=1&amp;unlock","Glandirana rugosa")</f>
        <v>Glandirana rugosa</v>
      </c>
      <c r="H163" t="s">
        <v>975</v>
      </c>
      <c r="I163" t="str">
        <f>HYPERLINK("http://www.ncbi.nlm.nih.gov/protein/BAI87835.1","androgen receptor")</f>
        <v>androgen receptor</v>
      </c>
      <c r="J163" t="s">
        <v>1320</v>
      </c>
      <c r="K163" t="s">
        <v>20</v>
      </c>
      <c r="L163">
        <v>560</v>
      </c>
      <c r="M163" t="s">
        <v>25</v>
      </c>
      <c r="N163" t="s">
        <v>20</v>
      </c>
      <c r="O163" t="s">
        <v>1352</v>
      </c>
      <c r="P163" t="s">
        <v>20</v>
      </c>
      <c r="Q163">
        <v>132.119</v>
      </c>
      <c r="R163" t="s">
        <v>20</v>
      </c>
      <c r="S163" t="s">
        <v>20</v>
      </c>
      <c r="T163">
        <v>566</v>
      </c>
      <c r="U163" t="s">
        <v>1313</v>
      </c>
      <c r="V163" t="s">
        <v>20</v>
      </c>
      <c r="W163" t="s">
        <v>1352</v>
      </c>
      <c r="X163" t="s">
        <v>20</v>
      </c>
      <c r="Y163">
        <v>146.14599999999999</v>
      </c>
      <c r="Z163" t="s">
        <v>20</v>
      </c>
      <c r="AA163" t="s">
        <v>20</v>
      </c>
      <c r="AB163">
        <v>607</v>
      </c>
      <c r="AC163" t="s">
        <v>1314</v>
      </c>
      <c r="AD163" t="s">
        <v>20</v>
      </c>
      <c r="AE163" t="s">
        <v>1353</v>
      </c>
      <c r="AF163" t="s">
        <v>20</v>
      </c>
      <c r="AG163">
        <v>174.203</v>
      </c>
      <c r="AH163" t="s">
        <v>20</v>
      </c>
      <c r="AI163" t="s">
        <v>20</v>
      </c>
      <c r="AJ163">
        <v>732</v>
      </c>
      <c r="AK163" t="s">
        <v>1315</v>
      </c>
      <c r="AL163" t="s">
        <v>20</v>
      </c>
      <c r="AM163" t="s">
        <v>1354</v>
      </c>
      <c r="AN163" t="s">
        <v>20</v>
      </c>
      <c r="AO163">
        <v>119.119</v>
      </c>
      <c r="AP163" t="s">
        <v>20</v>
      </c>
      <c r="AQ163" t="s">
        <v>20</v>
      </c>
    </row>
    <row r="164" spans="1:43" x14ac:dyDescent="0.25">
      <c r="A164">
        <v>6</v>
      </c>
      <c r="B164" t="s">
        <v>134</v>
      </c>
      <c r="C164" t="str">
        <f>HYPERLINK("http://www.ncbi.nlm.nih.gov/protein/XP_018410253.1","XP_018410253.1")</f>
        <v>XP_018410253.1</v>
      </c>
      <c r="D164">
        <v>24944</v>
      </c>
      <c r="E164" t="str">
        <f>HYPERLINK("http://www.ncbi.nlm.nih.gov/Taxonomy/Browser/wwwtax.cgi?mode=Info&amp;id=125878&amp;lvl=3&amp;lin=f&amp;keep=1&amp;srchmode=1&amp;unlock","125878")</f>
        <v>125878</v>
      </c>
      <c r="F164" t="s">
        <v>134</v>
      </c>
      <c r="G164" t="str">
        <f>HYPERLINK("http://www.ncbi.nlm.nih.gov/Taxonomy/Browser/wwwtax.cgi?mode=Info&amp;id=125878&amp;lvl=3&amp;lin=f&amp;keep=1&amp;srchmode=1&amp;unlock","Nanorana parkeri")</f>
        <v>Nanorana parkeri</v>
      </c>
      <c r="H164" t="s">
        <v>642</v>
      </c>
      <c r="I164" t="str">
        <f>HYPERLINK("http://www.ncbi.nlm.nih.gov/protein/XP_018410253.1","PREDICTED: androgen receptor")</f>
        <v>PREDICTED: androgen receptor</v>
      </c>
      <c r="J164" t="s">
        <v>1320</v>
      </c>
      <c r="K164" t="s">
        <v>20</v>
      </c>
      <c r="L164">
        <v>563</v>
      </c>
      <c r="M164" t="s">
        <v>25</v>
      </c>
      <c r="N164" t="s">
        <v>20</v>
      </c>
      <c r="O164" t="s">
        <v>1352</v>
      </c>
      <c r="P164" t="s">
        <v>20</v>
      </c>
      <c r="Q164">
        <v>132.119</v>
      </c>
      <c r="R164" t="s">
        <v>20</v>
      </c>
      <c r="S164" t="s">
        <v>20</v>
      </c>
      <c r="T164">
        <v>569</v>
      </c>
      <c r="U164" t="s">
        <v>1313</v>
      </c>
      <c r="V164" t="s">
        <v>20</v>
      </c>
      <c r="W164" t="s">
        <v>1352</v>
      </c>
      <c r="X164" t="s">
        <v>20</v>
      </c>
      <c r="Y164">
        <v>146.14599999999999</v>
      </c>
      <c r="Z164" t="s">
        <v>20</v>
      </c>
      <c r="AA164" t="s">
        <v>20</v>
      </c>
      <c r="AB164">
        <v>610</v>
      </c>
      <c r="AC164" t="s">
        <v>1314</v>
      </c>
      <c r="AD164" t="s">
        <v>20</v>
      </c>
      <c r="AE164" t="s">
        <v>1353</v>
      </c>
      <c r="AF164" t="s">
        <v>20</v>
      </c>
      <c r="AG164">
        <v>174.203</v>
      </c>
      <c r="AH164" t="s">
        <v>20</v>
      </c>
      <c r="AI164" t="s">
        <v>20</v>
      </c>
      <c r="AJ164">
        <v>735</v>
      </c>
      <c r="AK164" t="s">
        <v>1315</v>
      </c>
      <c r="AL164" t="s">
        <v>20</v>
      </c>
      <c r="AM164" t="s">
        <v>1354</v>
      </c>
      <c r="AN164" t="s">
        <v>20</v>
      </c>
      <c r="AO164">
        <v>119.119</v>
      </c>
      <c r="AP164" t="s">
        <v>20</v>
      </c>
      <c r="AQ164" t="s">
        <v>20</v>
      </c>
    </row>
    <row r="165" spans="1:43" x14ac:dyDescent="0.25">
      <c r="A165">
        <v>6</v>
      </c>
      <c r="B165" t="s">
        <v>134</v>
      </c>
      <c r="C165" t="str">
        <f>HYPERLINK("http://www.ncbi.nlm.nih.gov/protein/XP_040178839.1","XP_040178839.1")</f>
        <v>XP_040178839.1</v>
      </c>
      <c r="D165">
        <v>42547</v>
      </c>
      <c r="E165" t="str">
        <f>HYPERLINK("http://www.ncbi.nlm.nih.gov/Taxonomy/Browser/wwwtax.cgi?mode=Info&amp;id=8407&amp;lvl=3&amp;lin=f&amp;keep=1&amp;srchmode=1&amp;unlock","8407")</f>
        <v>8407</v>
      </c>
      <c r="F165" t="s">
        <v>134</v>
      </c>
      <c r="G165" t="str">
        <f>HYPERLINK("http://www.ncbi.nlm.nih.gov/Taxonomy/Browser/wwwtax.cgi?mode=Info&amp;id=8407&amp;lvl=3&amp;lin=f&amp;keep=1&amp;srchmode=1&amp;unlock","Rana temporaria")</f>
        <v>Rana temporaria</v>
      </c>
      <c r="H165" t="s">
        <v>607</v>
      </c>
      <c r="I165" t="str">
        <f>HYPERLINK("http://www.ncbi.nlm.nih.gov/protein/XP_040178839.1","androgen receptor")</f>
        <v>androgen receptor</v>
      </c>
      <c r="J165" t="s">
        <v>1320</v>
      </c>
      <c r="K165" t="s">
        <v>20</v>
      </c>
      <c r="L165">
        <v>562</v>
      </c>
      <c r="M165" t="s">
        <v>25</v>
      </c>
      <c r="N165" t="s">
        <v>20</v>
      </c>
      <c r="O165" t="s">
        <v>1352</v>
      </c>
      <c r="P165" t="s">
        <v>20</v>
      </c>
      <c r="Q165">
        <v>132.119</v>
      </c>
      <c r="R165" t="s">
        <v>20</v>
      </c>
      <c r="S165" t="s">
        <v>20</v>
      </c>
      <c r="T165">
        <v>568</v>
      </c>
      <c r="U165" t="s">
        <v>1313</v>
      </c>
      <c r="V165" t="s">
        <v>20</v>
      </c>
      <c r="W165" t="s">
        <v>1352</v>
      </c>
      <c r="X165" t="s">
        <v>20</v>
      </c>
      <c r="Y165">
        <v>146.14599999999999</v>
      </c>
      <c r="Z165" t="s">
        <v>20</v>
      </c>
      <c r="AA165" t="s">
        <v>20</v>
      </c>
      <c r="AB165">
        <v>609</v>
      </c>
      <c r="AC165" t="s">
        <v>1314</v>
      </c>
      <c r="AD165" t="s">
        <v>20</v>
      </c>
      <c r="AE165" t="s">
        <v>1353</v>
      </c>
      <c r="AF165" t="s">
        <v>20</v>
      </c>
      <c r="AG165">
        <v>174.203</v>
      </c>
      <c r="AH165" t="s">
        <v>20</v>
      </c>
      <c r="AI165" t="s">
        <v>20</v>
      </c>
      <c r="AJ165">
        <v>734</v>
      </c>
      <c r="AK165" t="s">
        <v>1315</v>
      </c>
      <c r="AL165" t="s">
        <v>20</v>
      </c>
      <c r="AM165" t="s">
        <v>1354</v>
      </c>
      <c r="AN165" t="s">
        <v>20</v>
      </c>
      <c r="AO165">
        <v>119.119</v>
      </c>
      <c r="AP165" t="s">
        <v>20</v>
      </c>
      <c r="AQ165" t="s">
        <v>20</v>
      </c>
    </row>
    <row r="166" spans="1:43" x14ac:dyDescent="0.25">
      <c r="A166">
        <v>6</v>
      </c>
      <c r="B166" t="s">
        <v>134</v>
      </c>
      <c r="C166" t="str">
        <f>HYPERLINK("http://www.ncbi.nlm.nih.gov/protein/XP_040262119.1","XP_040262119.1")</f>
        <v>XP_040262119.1</v>
      </c>
      <c r="D166">
        <v>38439</v>
      </c>
      <c r="E166" t="str">
        <f>HYPERLINK("http://www.ncbi.nlm.nih.gov/Taxonomy/Browser/wwwtax.cgi?mode=Info&amp;id=8384&amp;lvl=3&amp;lin=f&amp;keep=1&amp;srchmode=1&amp;unlock","8384")</f>
        <v>8384</v>
      </c>
      <c r="F166" t="s">
        <v>134</v>
      </c>
      <c r="G166" t="str">
        <f>HYPERLINK("http://www.ncbi.nlm.nih.gov/Taxonomy/Browser/wwwtax.cgi?mode=Info&amp;id=8384&amp;lvl=3&amp;lin=f&amp;keep=1&amp;srchmode=1&amp;unlock","Bufo bufo")</f>
        <v>Bufo bufo</v>
      </c>
      <c r="H166" t="s">
        <v>579</v>
      </c>
      <c r="I166" t="str">
        <f>HYPERLINK("http://www.ncbi.nlm.nih.gov/protein/XP_040262119.1","androgen receptor")</f>
        <v>androgen receptor</v>
      </c>
      <c r="J166" t="s">
        <v>1320</v>
      </c>
      <c r="K166" t="s">
        <v>20</v>
      </c>
      <c r="L166">
        <v>553</v>
      </c>
      <c r="M166" t="s">
        <v>25</v>
      </c>
      <c r="N166" t="s">
        <v>20</v>
      </c>
      <c r="O166" t="s">
        <v>1352</v>
      </c>
      <c r="P166" t="s">
        <v>20</v>
      </c>
      <c r="Q166">
        <v>132.119</v>
      </c>
      <c r="R166" t="s">
        <v>20</v>
      </c>
      <c r="S166" t="s">
        <v>20</v>
      </c>
      <c r="T166">
        <v>559</v>
      </c>
      <c r="U166" t="s">
        <v>1313</v>
      </c>
      <c r="V166" t="s">
        <v>20</v>
      </c>
      <c r="W166" t="s">
        <v>1352</v>
      </c>
      <c r="X166" t="s">
        <v>20</v>
      </c>
      <c r="Y166">
        <v>146.14599999999999</v>
      </c>
      <c r="Z166" t="s">
        <v>20</v>
      </c>
      <c r="AA166" t="s">
        <v>20</v>
      </c>
      <c r="AB166">
        <v>600</v>
      </c>
      <c r="AC166" t="s">
        <v>1314</v>
      </c>
      <c r="AD166" t="s">
        <v>20</v>
      </c>
      <c r="AE166" t="s">
        <v>1353</v>
      </c>
      <c r="AF166" t="s">
        <v>20</v>
      </c>
      <c r="AG166">
        <v>174.203</v>
      </c>
      <c r="AH166" t="s">
        <v>20</v>
      </c>
      <c r="AI166" t="s">
        <v>20</v>
      </c>
      <c r="AJ166">
        <v>725</v>
      </c>
      <c r="AK166" t="s">
        <v>1315</v>
      </c>
      <c r="AL166" t="s">
        <v>20</v>
      </c>
      <c r="AM166" t="s">
        <v>1354</v>
      </c>
      <c r="AN166" t="s">
        <v>20</v>
      </c>
      <c r="AO166">
        <v>119.119</v>
      </c>
      <c r="AP166" t="s">
        <v>20</v>
      </c>
      <c r="AQ166" t="s">
        <v>20</v>
      </c>
    </row>
    <row r="167" spans="1:43" x14ac:dyDescent="0.25">
      <c r="A167">
        <v>6</v>
      </c>
      <c r="B167" t="s">
        <v>134</v>
      </c>
      <c r="C167" t="str">
        <f>HYPERLINK("http://www.ncbi.nlm.nih.gov/protein/XP_029463146.1","XP_029463146.1")</f>
        <v>XP_029463146.1</v>
      </c>
      <c r="D167">
        <v>49320</v>
      </c>
      <c r="E167" t="str">
        <f>HYPERLINK("http://www.ncbi.nlm.nih.gov/Taxonomy/Browser/wwwtax.cgi?mode=Info&amp;id=194408&amp;lvl=3&amp;lin=f&amp;keep=1&amp;srchmode=1&amp;unlock","194408")</f>
        <v>194408</v>
      </c>
      <c r="F167" t="s">
        <v>134</v>
      </c>
      <c r="G167" t="str">
        <f>HYPERLINK("http://www.ncbi.nlm.nih.gov/Taxonomy/Browser/wwwtax.cgi?mode=Info&amp;id=194408&amp;lvl=3&amp;lin=f&amp;keep=1&amp;srchmode=1&amp;unlock","Rhinatrema bivittatum")</f>
        <v>Rhinatrema bivittatum</v>
      </c>
      <c r="H167" t="s">
        <v>393</v>
      </c>
      <c r="I167" t="str">
        <f>HYPERLINK("http://www.ncbi.nlm.nih.gov/protein/XP_029463146.1","androgen receptor")</f>
        <v>androgen receptor</v>
      </c>
      <c r="J167" t="s">
        <v>1320</v>
      </c>
      <c r="K167" t="s">
        <v>20</v>
      </c>
      <c r="L167">
        <v>533</v>
      </c>
      <c r="M167" t="s">
        <v>25</v>
      </c>
      <c r="N167" t="s">
        <v>20</v>
      </c>
      <c r="O167" t="s">
        <v>1352</v>
      </c>
      <c r="P167" t="s">
        <v>20</v>
      </c>
      <c r="Q167">
        <v>132.119</v>
      </c>
      <c r="R167" t="s">
        <v>20</v>
      </c>
      <c r="S167" t="s">
        <v>20</v>
      </c>
      <c r="T167">
        <v>539</v>
      </c>
      <c r="U167" t="s">
        <v>1313</v>
      </c>
      <c r="V167" t="s">
        <v>20</v>
      </c>
      <c r="W167" t="s">
        <v>1352</v>
      </c>
      <c r="X167" t="s">
        <v>20</v>
      </c>
      <c r="Y167">
        <v>146.14599999999999</v>
      </c>
      <c r="Z167" t="s">
        <v>20</v>
      </c>
      <c r="AA167" t="s">
        <v>20</v>
      </c>
      <c r="AB167">
        <v>580</v>
      </c>
      <c r="AC167" t="s">
        <v>1314</v>
      </c>
      <c r="AD167" t="s">
        <v>20</v>
      </c>
      <c r="AE167" t="s">
        <v>1353</v>
      </c>
      <c r="AF167" t="s">
        <v>20</v>
      </c>
      <c r="AG167">
        <v>174.203</v>
      </c>
      <c r="AH167" t="s">
        <v>20</v>
      </c>
      <c r="AI167" t="s">
        <v>20</v>
      </c>
      <c r="AJ167">
        <v>705</v>
      </c>
      <c r="AK167" t="s">
        <v>1315</v>
      </c>
      <c r="AL167" t="s">
        <v>20</v>
      </c>
      <c r="AM167" t="s">
        <v>1354</v>
      </c>
      <c r="AN167" t="s">
        <v>20</v>
      </c>
      <c r="AO167">
        <v>119.119</v>
      </c>
      <c r="AP167" t="s">
        <v>20</v>
      </c>
      <c r="AQ167" t="s">
        <v>20</v>
      </c>
    </row>
    <row r="168" spans="1:43" x14ac:dyDescent="0.25">
      <c r="A168">
        <v>6</v>
      </c>
      <c r="B168" t="s">
        <v>134</v>
      </c>
      <c r="C168" t="str">
        <f>HYPERLINK("http://www.ncbi.nlm.nih.gov/protein/QIS93408.1","QIS93408.1")</f>
        <v>QIS93408.1</v>
      </c>
      <c r="D168">
        <v>162</v>
      </c>
      <c r="E168" t="str">
        <f>HYPERLINK("http://www.ncbi.nlm.nih.gov/Taxonomy/Browser/wwwtax.cgi?mode=Info&amp;id=137245&amp;lvl=3&amp;lin=f&amp;keep=1&amp;srchmode=1&amp;unlock","137245")</f>
        <v>137245</v>
      </c>
      <c r="F168" t="s">
        <v>134</v>
      </c>
      <c r="G168" t="str">
        <f>HYPERLINK("http://www.ncbi.nlm.nih.gov/Taxonomy/Browser/wwwtax.cgi?mode=Info&amp;id=137245&amp;lvl=3&amp;lin=f&amp;keep=1&amp;srchmode=1&amp;unlock","Cynops orientalis")</f>
        <v>Cynops orientalis</v>
      </c>
      <c r="H168" t="s">
        <v>979</v>
      </c>
      <c r="I168" t="str">
        <f>HYPERLINK("http://www.ncbi.nlm.nih.gov/protein/QIS93408.1","androgen receptor AR")</f>
        <v>androgen receptor AR</v>
      </c>
      <c r="J168" t="s">
        <v>1320</v>
      </c>
      <c r="K168" t="s">
        <v>20</v>
      </c>
      <c r="L168">
        <v>509</v>
      </c>
      <c r="M168" t="s">
        <v>25</v>
      </c>
      <c r="N168" t="s">
        <v>20</v>
      </c>
      <c r="O168" t="s">
        <v>1352</v>
      </c>
      <c r="P168" t="s">
        <v>20</v>
      </c>
      <c r="Q168">
        <v>132.119</v>
      </c>
      <c r="R168" t="s">
        <v>20</v>
      </c>
      <c r="S168" t="s">
        <v>20</v>
      </c>
      <c r="T168">
        <v>515</v>
      </c>
      <c r="U168" t="s">
        <v>1313</v>
      </c>
      <c r="V168" t="s">
        <v>20</v>
      </c>
      <c r="W168" t="s">
        <v>1352</v>
      </c>
      <c r="X168" t="s">
        <v>20</v>
      </c>
      <c r="Y168">
        <v>146.14599999999999</v>
      </c>
      <c r="Z168" t="s">
        <v>20</v>
      </c>
      <c r="AA168" t="s">
        <v>20</v>
      </c>
      <c r="AB168">
        <v>556</v>
      </c>
      <c r="AC168" t="s">
        <v>1314</v>
      </c>
      <c r="AD168" t="s">
        <v>20</v>
      </c>
      <c r="AE168" t="s">
        <v>1353</v>
      </c>
      <c r="AF168" t="s">
        <v>20</v>
      </c>
      <c r="AG168">
        <v>174.203</v>
      </c>
      <c r="AH168" t="s">
        <v>20</v>
      </c>
      <c r="AI168" t="s">
        <v>20</v>
      </c>
      <c r="AJ168">
        <v>681</v>
      </c>
      <c r="AK168" t="s">
        <v>1315</v>
      </c>
      <c r="AL168" t="s">
        <v>20</v>
      </c>
      <c r="AM168" t="s">
        <v>1354</v>
      </c>
      <c r="AN168" t="s">
        <v>20</v>
      </c>
      <c r="AO168">
        <v>119.119</v>
      </c>
      <c r="AP168" t="s">
        <v>20</v>
      </c>
      <c r="AQ168" t="s">
        <v>20</v>
      </c>
    </row>
    <row r="169" spans="1:43" x14ac:dyDescent="0.25">
      <c r="A169">
        <v>6</v>
      </c>
      <c r="B169" t="s">
        <v>134</v>
      </c>
      <c r="C169" t="str">
        <f>HYPERLINK("http://www.ncbi.nlm.nih.gov/protein/XP_033801389.1","XP_033801389.1")</f>
        <v>XP_033801389.1</v>
      </c>
      <c r="D169">
        <v>50058</v>
      </c>
      <c r="E169" t="str">
        <f>HYPERLINK("http://www.ncbi.nlm.nih.gov/Taxonomy/Browser/wwwtax.cgi?mode=Info&amp;id=260995&amp;lvl=3&amp;lin=f&amp;keep=1&amp;srchmode=1&amp;unlock","260995")</f>
        <v>260995</v>
      </c>
      <c r="F169" t="s">
        <v>134</v>
      </c>
      <c r="G169" t="str">
        <f>HYPERLINK("http://www.ncbi.nlm.nih.gov/Taxonomy/Browser/wwwtax.cgi?mode=Info&amp;id=260995&amp;lvl=3&amp;lin=f&amp;keep=1&amp;srchmode=1&amp;unlock","Geotrypetes seraphini")</f>
        <v>Geotrypetes seraphini</v>
      </c>
      <c r="H169" t="s">
        <v>649</v>
      </c>
      <c r="I169" t="str">
        <f>HYPERLINK("http://www.ncbi.nlm.nih.gov/protein/XP_033801389.1","androgen receptor")</f>
        <v>androgen receptor</v>
      </c>
      <c r="J169" t="s">
        <v>1320</v>
      </c>
      <c r="K169" t="s">
        <v>20</v>
      </c>
      <c r="L169">
        <v>505</v>
      </c>
      <c r="M169" t="s">
        <v>25</v>
      </c>
      <c r="N169" t="s">
        <v>20</v>
      </c>
      <c r="O169" t="s">
        <v>1352</v>
      </c>
      <c r="P169" t="s">
        <v>20</v>
      </c>
      <c r="Q169">
        <v>132.119</v>
      </c>
      <c r="R169" t="s">
        <v>20</v>
      </c>
      <c r="S169" t="s">
        <v>20</v>
      </c>
      <c r="T169">
        <v>511</v>
      </c>
      <c r="U169" t="s">
        <v>1313</v>
      </c>
      <c r="V169" t="s">
        <v>20</v>
      </c>
      <c r="W169" t="s">
        <v>1352</v>
      </c>
      <c r="X169" t="s">
        <v>20</v>
      </c>
      <c r="Y169">
        <v>146.14599999999999</v>
      </c>
      <c r="Z169" t="s">
        <v>20</v>
      </c>
      <c r="AA169" t="s">
        <v>20</v>
      </c>
      <c r="AB169">
        <v>552</v>
      </c>
      <c r="AC169" t="s">
        <v>1314</v>
      </c>
      <c r="AD169" t="s">
        <v>20</v>
      </c>
      <c r="AE169" t="s">
        <v>1353</v>
      </c>
      <c r="AF169" t="s">
        <v>20</v>
      </c>
      <c r="AG169">
        <v>174.203</v>
      </c>
      <c r="AH169" t="s">
        <v>20</v>
      </c>
      <c r="AI169" t="s">
        <v>20</v>
      </c>
      <c r="AJ169">
        <v>677</v>
      </c>
      <c r="AK169" t="s">
        <v>1315</v>
      </c>
      <c r="AL169" t="s">
        <v>20</v>
      </c>
      <c r="AM169" t="s">
        <v>1354</v>
      </c>
      <c r="AN169" t="s">
        <v>20</v>
      </c>
      <c r="AO169">
        <v>119.119</v>
      </c>
      <c r="AP169" t="s">
        <v>20</v>
      </c>
      <c r="AQ169" t="s">
        <v>20</v>
      </c>
    </row>
    <row r="170" spans="1:43" x14ac:dyDescent="0.25">
      <c r="A170">
        <v>6</v>
      </c>
      <c r="B170" t="s">
        <v>134</v>
      </c>
      <c r="C170" t="str">
        <f>HYPERLINK("http://www.ncbi.nlm.nih.gov/protein/Q7T1K4.1","Q7T1K4.1")</f>
        <v>Q7T1K4.1</v>
      </c>
      <c r="D170">
        <v>30167</v>
      </c>
      <c r="E170" t="str">
        <f>HYPERLINK("http://www.ncbi.nlm.nih.gov/Taxonomy/Browser/wwwtax.cgi?mode=Info&amp;id=8400&amp;lvl=3&amp;lin=f&amp;keep=1&amp;srchmode=1&amp;unlock","8400")</f>
        <v>8400</v>
      </c>
      <c r="F170" t="s">
        <v>134</v>
      </c>
      <c r="G170" t="str">
        <f>HYPERLINK("http://www.ncbi.nlm.nih.gov/Taxonomy/Browser/wwwtax.cgi?mode=Info&amp;id=8400&amp;lvl=3&amp;lin=f&amp;keep=1&amp;srchmode=1&amp;unlock","Lithobates catesbeianus")</f>
        <v>Lithobates catesbeianus</v>
      </c>
      <c r="H170" t="s">
        <v>578</v>
      </c>
      <c r="I170" t="str">
        <f>HYPERLINK("http://www.ncbi.nlm.nih.gov/protein/Q7T1K4.1","RecName: Full=Androgen receptor; Short=bfAR; AltName: Full=Dihydrotestosterone receptor; AltName: Full=Nuclear receptor subfamily 3 group C member 4")</f>
        <v>RecName: Full=Androgen receptor; Short=bfAR; AltName: Full=Dihydrotestosterone receptor; AltName: Full=Nuclear receptor subfamily 3 group C member 4</v>
      </c>
      <c r="J170" t="s">
        <v>1320</v>
      </c>
      <c r="K170" t="s">
        <v>20</v>
      </c>
      <c r="L170">
        <v>563</v>
      </c>
      <c r="M170" t="s">
        <v>25</v>
      </c>
      <c r="N170" t="s">
        <v>20</v>
      </c>
      <c r="O170" t="s">
        <v>1352</v>
      </c>
      <c r="P170" t="s">
        <v>20</v>
      </c>
      <c r="Q170">
        <v>132.119</v>
      </c>
      <c r="R170" t="s">
        <v>20</v>
      </c>
      <c r="S170" t="s">
        <v>20</v>
      </c>
      <c r="T170">
        <v>569</v>
      </c>
      <c r="U170" t="s">
        <v>1313</v>
      </c>
      <c r="V170" t="s">
        <v>20</v>
      </c>
      <c r="W170" t="s">
        <v>1352</v>
      </c>
      <c r="X170" t="s">
        <v>20</v>
      </c>
      <c r="Y170">
        <v>146.14599999999999</v>
      </c>
      <c r="Z170" t="s">
        <v>20</v>
      </c>
      <c r="AA170" t="s">
        <v>20</v>
      </c>
      <c r="AB170">
        <v>610</v>
      </c>
      <c r="AC170" t="s">
        <v>1314</v>
      </c>
      <c r="AD170" t="s">
        <v>20</v>
      </c>
      <c r="AE170" t="s">
        <v>1353</v>
      </c>
      <c r="AF170" t="s">
        <v>20</v>
      </c>
      <c r="AG170">
        <v>174.203</v>
      </c>
      <c r="AH170" t="s">
        <v>20</v>
      </c>
      <c r="AI170" t="s">
        <v>20</v>
      </c>
      <c r="AJ170">
        <v>735</v>
      </c>
      <c r="AK170" t="s">
        <v>1315</v>
      </c>
      <c r="AL170" t="s">
        <v>20</v>
      </c>
      <c r="AM170" t="s">
        <v>1354</v>
      </c>
      <c r="AN170" t="s">
        <v>20</v>
      </c>
      <c r="AO170">
        <v>119.119</v>
      </c>
      <c r="AP170" t="s">
        <v>20</v>
      </c>
      <c r="AQ170" t="s">
        <v>20</v>
      </c>
    </row>
    <row r="171" spans="1:43" x14ac:dyDescent="0.25">
      <c r="A171">
        <v>6</v>
      </c>
      <c r="B171" t="s">
        <v>236</v>
      </c>
      <c r="C171" t="str">
        <f>HYPERLINK("http://www.ncbi.nlm.nih.gov/protein/XP_026558883.1","XP_026558883.1")</f>
        <v>XP_026558883.1</v>
      </c>
      <c r="D171">
        <v>31816</v>
      </c>
      <c r="E171" t="str">
        <f>HYPERLINK("http://www.ncbi.nlm.nih.gov/Taxonomy/Browser/wwwtax.cgi?mode=Info&amp;id=8673&amp;lvl=3&amp;lin=f&amp;keep=1&amp;srchmode=1&amp;unlock","8673")</f>
        <v>8673</v>
      </c>
      <c r="F171" t="s">
        <v>236</v>
      </c>
      <c r="G171" t="str">
        <f>HYPERLINK("http://www.ncbi.nlm.nih.gov/Taxonomy/Browser/wwwtax.cgi?mode=Info&amp;id=8673&amp;lvl=3&amp;lin=f&amp;keep=1&amp;srchmode=1&amp;unlock","Pseudonaja textilis")</f>
        <v>Pseudonaja textilis</v>
      </c>
      <c r="H171" t="s">
        <v>657</v>
      </c>
      <c r="I171" t="str">
        <f>HYPERLINK("http://www.ncbi.nlm.nih.gov/protein/XP_026558883.1","androgen receptor")</f>
        <v>androgen receptor</v>
      </c>
      <c r="J171" t="s">
        <v>1321</v>
      </c>
      <c r="K171" t="s">
        <v>20</v>
      </c>
      <c r="L171">
        <v>574</v>
      </c>
      <c r="M171" t="s">
        <v>25</v>
      </c>
      <c r="N171" t="s">
        <v>20</v>
      </c>
      <c r="O171" t="s">
        <v>1352</v>
      </c>
      <c r="P171" t="s">
        <v>20</v>
      </c>
      <c r="Q171">
        <v>132.119</v>
      </c>
      <c r="R171" t="s">
        <v>20</v>
      </c>
      <c r="S171" t="s">
        <v>20</v>
      </c>
      <c r="T171">
        <v>580</v>
      </c>
      <c r="U171" t="s">
        <v>1316</v>
      </c>
      <c r="V171" t="s">
        <v>25</v>
      </c>
      <c r="W171" t="s">
        <v>1353</v>
      </c>
      <c r="X171" t="s">
        <v>25</v>
      </c>
      <c r="Y171">
        <v>155.15600000000001</v>
      </c>
      <c r="Z171" t="s">
        <v>20</v>
      </c>
      <c r="AA171" t="s">
        <v>20</v>
      </c>
      <c r="AB171">
        <v>621</v>
      </c>
      <c r="AC171" t="s">
        <v>1314</v>
      </c>
      <c r="AD171" t="s">
        <v>20</v>
      </c>
      <c r="AE171" t="s">
        <v>1353</v>
      </c>
      <c r="AF171" t="s">
        <v>20</v>
      </c>
      <c r="AG171">
        <v>174.203</v>
      </c>
      <c r="AH171" t="s">
        <v>20</v>
      </c>
      <c r="AI171" t="s">
        <v>20</v>
      </c>
      <c r="AJ171">
        <v>746</v>
      </c>
      <c r="AK171" t="s">
        <v>1315</v>
      </c>
      <c r="AL171" t="s">
        <v>20</v>
      </c>
      <c r="AM171" t="s">
        <v>1354</v>
      </c>
      <c r="AN171" t="s">
        <v>20</v>
      </c>
      <c r="AO171">
        <v>119.119</v>
      </c>
      <c r="AP171" t="s">
        <v>20</v>
      </c>
      <c r="AQ171" t="s">
        <v>20</v>
      </c>
    </row>
    <row r="172" spans="1:43" x14ac:dyDescent="0.25">
      <c r="A172">
        <v>6</v>
      </c>
      <c r="B172" t="s">
        <v>236</v>
      </c>
      <c r="C172" t="str">
        <f>HYPERLINK("http://www.ncbi.nlm.nih.gov/protein/XP_026540690.1","XP_026540690.1")</f>
        <v>XP_026540690.1</v>
      </c>
      <c r="D172">
        <v>31324</v>
      </c>
      <c r="E172" t="str">
        <f>HYPERLINK("http://www.ncbi.nlm.nih.gov/Taxonomy/Browser/wwwtax.cgi?mode=Info&amp;id=8663&amp;lvl=3&amp;lin=f&amp;keep=1&amp;srchmode=1&amp;unlock","8663")</f>
        <v>8663</v>
      </c>
      <c r="F172" t="s">
        <v>236</v>
      </c>
      <c r="G172" t="str">
        <f>HYPERLINK("http://www.ncbi.nlm.nih.gov/Taxonomy/Browser/wwwtax.cgi?mode=Info&amp;id=8663&amp;lvl=3&amp;lin=f&amp;keep=1&amp;srchmode=1&amp;unlock","Notechis scutatus")</f>
        <v>Notechis scutatus</v>
      </c>
      <c r="H172" t="s">
        <v>656</v>
      </c>
      <c r="I172" t="str">
        <f>HYPERLINK("http://www.ncbi.nlm.nih.gov/protein/XP_026540690.1","androgen receptor")</f>
        <v>androgen receptor</v>
      </c>
      <c r="J172" t="s">
        <v>1321</v>
      </c>
      <c r="K172" t="s">
        <v>20</v>
      </c>
      <c r="L172">
        <v>575</v>
      </c>
      <c r="M172" t="s">
        <v>25</v>
      </c>
      <c r="N172" t="s">
        <v>20</v>
      </c>
      <c r="O172" t="s">
        <v>1352</v>
      </c>
      <c r="P172" t="s">
        <v>20</v>
      </c>
      <c r="Q172">
        <v>132.119</v>
      </c>
      <c r="R172" t="s">
        <v>20</v>
      </c>
      <c r="S172" t="s">
        <v>20</v>
      </c>
      <c r="T172">
        <v>581</v>
      </c>
      <c r="U172" t="s">
        <v>1316</v>
      </c>
      <c r="V172" t="s">
        <v>25</v>
      </c>
      <c r="W172" t="s">
        <v>1353</v>
      </c>
      <c r="X172" t="s">
        <v>25</v>
      </c>
      <c r="Y172">
        <v>155.15600000000001</v>
      </c>
      <c r="Z172" t="s">
        <v>20</v>
      </c>
      <c r="AA172" t="s">
        <v>20</v>
      </c>
      <c r="AB172">
        <v>622</v>
      </c>
      <c r="AC172" t="s">
        <v>1314</v>
      </c>
      <c r="AD172" t="s">
        <v>20</v>
      </c>
      <c r="AE172" t="s">
        <v>1353</v>
      </c>
      <c r="AF172" t="s">
        <v>20</v>
      </c>
      <c r="AG172">
        <v>174.203</v>
      </c>
      <c r="AH172" t="s">
        <v>20</v>
      </c>
      <c r="AI172" t="s">
        <v>20</v>
      </c>
      <c r="AJ172">
        <v>747</v>
      </c>
      <c r="AK172" t="s">
        <v>1315</v>
      </c>
      <c r="AL172" t="s">
        <v>20</v>
      </c>
      <c r="AM172" t="s">
        <v>1354</v>
      </c>
      <c r="AN172" t="s">
        <v>20</v>
      </c>
      <c r="AO172">
        <v>119.119</v>
      </c>
      <c r="AP172" t="s">
        <v>20</v>
      </c>
      <c r="AQ172" t="s">
        <v>20</v>
      </c>
    </row>
    <row r="173" spans="1:43" x14ac:dyDescent="0.25">
      <c r="A173">
        <v>6</v>
      </c>
      <c r="B173" t="s">
        <v>236</v>
      </c>
      <c r="C173" t="str">
        <f>HYPERLINK("http://www.ncbi.nlm.nih.gov/protein/XP_039221307.1","XP_039221307.1")</f>
        <v>XP_039221307.1</v>
      </c>
      <c r="D173">
        <v>51713</v>
      </c>
      <c r="E173" t="str">
        <f>HYPERLINK("http://www.ncbi.nlm.nih.gov/Taxonomy/Browser/wwwtax.cgi?mode=Info&amp;id=88082&amp;lvl=3&amp;lin=f&amp;keep=1&amp;srchmode=1&amp;unlock","88082")</f>
        <v>88082</v>
      </c>
      <c r="F173" t="s">
        <v>236</v>
      </c>
      <c r="G173" t="str">
        <f>HYPERLINK("http://www.ncbi.nlm.nih.gov/Taxonomy/Browser/wwwtax.cgi?mode=Info&amp;id=88082&amp;lvl=3&amp;lin=f&amp;keep=1&amp;srchmode=1&amp;unlock","Crotalus tigris")</f>
        <v>Crotalus tigris</v>
      </c>
      <c r="H173" t="s">
        <v>660</v>
      </c>
      <c r="I173" t="str">
        <f>HYPERLINK("http://www.ncbi.nlm.nih.gov/protein/XP_039221307.1","androgen receptor")</f>
        <v>androgen receptor</v>
      </c>
      <c r="J173" t="s">
        <v>1321</v>
      </c>
      <c r="K173" t="s">
        <v>20</v>
      </c>
      <c r="L173">
        <v>573</v>
      </c>
      <c r="M173" t="s">
        <v>25</v>
      </c>
      <c r="N173" t="s">
        <v>20</v>
      </c>
      <c r="O173" t="s">
        <v>1352</v>
      </c>
      <c r="P173" t="s">
        <v>20</v>
      </c>
      <c r="Q173">
        <v>132.119</v>
      </c>
      <c r="R173" t="s">
        <v>20</v>
      </c>
      <c r="S173" t="s">
        <v>20</v>
      </c>
      <c r="T173">
        <v>579</v>
      </c>
      <c r="U173" t="s">
        <v>1316</v>
      </c>
      <c r="V173" t="s">
        <v>25</v>
      </c>
      <c r="W173" t="s">
        <v>1353</v>
      </c>
      <c r="X173" t="s">
        <v>25</v>
      </c>
      <c r="Y173">
        <v>155.15600000000001</v>
      </c>
      <c r="Z173" t="s">
        <v>20</v>
      </c>
      <c r="AA173" t="s">
        <v>20</v>
      </c>
      <c r="AB173">
        <v>620</v>
      </c>
      <c r="AC173" t="s">
        <v>1314</v>
      </c>
      <c r="AD173" t="s">
        <v>20</v>
      </c>
      <c r="AE173" t="s">
        <v>1353</v>
      </c>
      <c r="AF173" t="s">
        <v>20</v>
      </c>
      <c r="AG173">
        <v>174.203</v>
      </c>
      <c r="AH173" t="s">
        <v>20</v>
      </c>
      <c r="AI173" t="s">
        <v>20</v>
      </c>
      <c r="AJ173">
        <v>745</v>
      </c>
      <c r="AK173" t="s">
        <v>1315</v>
      </c>
      <c r="AL173" t="s">
        <v>20</v>
      </c>
      <c r="AM173" t="s">
        <v>1354</v>
      </c>
      <c r="AN173" t="s">
        <v>20</v>
      </c>
      <c r="AO173">
        <v>119.119</v>
      </c>
      <c r="AP173" t="s">
        <v>20</v>
      </c>
      <c r="AQ173" t="s">
        <v>20</v>
      </c>
    </row>
    <row r="174" spans="1:43" x14ac:dyDescent="0.25">
      <c r="A174">
        <v>6</v>
      </c>
      <c r="B174" t="s">
        <v>236</v>
      </c>
      <c r="C174" t="str">
        <f>HYPERLINK("http://www.ncbi.nlm.nih.gov/protein/XP_015668197.1","XP_015668197.1")</f>
        <v>XP_015668197.1</v>
      </c>
      <c r="D174">
        <v>23978</v>
      </c>
      <c r="E174" t="str">
        <f>HYPERLINK("http://www.ncbi.nlm.nih.gov/Taxonomy/Browser/wwwtax.cgi?mode=Info&amp;id=103944&amp;lvl=3&amp;lin=f&amp;keep=1&amp;srchmode=1&amp;unlock","103944")</f>
        <v>103944</v>
      </c>
      <c r="F174" t="s">
        <v>236</v>
      </c>
      <c r="G174" t="str">
        <f>HYPERLINK("http://www.ncbi.nlm.nih.gov/Taxonomy/Browser/wwwtax.cgi?mode=Info&amp;id=103944&amp;lvl=3&amp;lin=f&amp;keep=1&amp;srchmode=1&amp;unlock","Protobothrops mucrosquamatus")</f>
        <v>Protobothrops mucrosquamatus</v>
      </c>
      <c r="H174" t="s">
        <v>655</v>
      </c>
      <c r="I174" t="str">
        <f>HYPERLINK("http://www.ncbi.nlm.nih.gov/protein/XP_015668197.1","androgen receptor isoform X1")</f>
        <v>androgen receptor isoform X1</v>
      </c>
      <c r="J174" t="s">
        <v>1321</v>
      </c>
      <c r="K174" t="s">
        <v>20</v>
      </c>
      <c r="L174">
        <v>581</v>
      </c>
      <c r="M174" t="s">
        <v>25</v>
      </c>
      <c r="N174" t="s">
        <v>20</v>
      </c>
      <c r="O174" t="s">
        <v>1352</v>
      </c>
      <c r="P174" t="s">
        <v>20</v>
      </c>
      <c r="Q174">
        <v>132.119</v>
      </c>
      <c r="R174" t="s">
        <v>20</v>
      </c>
      <c r="S174" t="s">
        <v>20</v>
      </c>
      <c r="T174">
        <v>587</v>
      </c>
      <c r="U174" t="s">
        <v>1316</v>
      </c>
      <c r="V174" t="s">
        <v>25</v>
      </c>
      <c r="W174" t="s">
        <v>1353</v>
      </c>
      <c r="X174" t="s">
        <v>25</v>
      </c>
      <c r="Y174">
        <v>155.15600000000001</v>
      </c>
      <c r="Z174" t="s">
        <v>20</v>
      </c>
      <c r="AA174" t="s">
        <v>20</v>
      </c>
      <c r="AB174">
        <v>628</v>
      </c>
      <c r="AC174" t="s">
        <v>1314</v>
      </c>
      <c r="AD174" t="s">
        <v>20</v>
      </c>
      <c r="AE174" t="s">
        <v>1353</v>
      </c>
      <c r="AF174" t="s">
        <v>20</v>
      </c>
      <c r="AG174">
        <v>174.203</v>
      </c>
      <c r="AH174" t="s">
        <v>20</v>
      </c>
      <c r="AI174" t="s">
        <v>20</v>
      </c>
      <c r="AJ174">
        <v>753</v>
      </c>
      <c r="AK174" t="s">
        <v>1315</v>
      </c>
      <c r="AL174" t="s">
        <v>20</v>
      </c>
      <c r="AM174" t="s">
        <v>1354</v>
      </c>
      <c r="AN174" t="s">
        <v>20</v>
      </c>
      <c r="AO174">
        <v>119.119</v>
      </c>
      <c r="AP174" t="s">
        <v>20</v>
      </c>
      <c r="AQ174" t="s">
        <v>20</v>
      </c>
    </row>
    <row r="175" spans="1:43" x14ac:dyDescent="0.25">
      <c r="A175">
        <v>6</v>
      </c>
      <c r="B175" t="s">
        <v>236</v>
      </c>
      <c r="C175" t="str">
        <f>HYPERLINK("http://www.ncbi.nlm.nih.gov/protein/XP_034969101.1","XP_034969101.1")</f>
        <v>XP_034969101.1</v>
      </c>
      <c r="D175">
        <v>44583</v>
      </c>
      <c r="E175" t="str">
        <f>HYPERLINK("http://www.ncbi.nlm.nih.gov/Taxonomy/Browser/wwwtax.cgi?mode=Info&amp;id=8524&amp;lvl=3&amp;lin=f&amp;keep=1&amp;srchmode=1&amp;unlock","8524")</f>
        <v>8524</v>
      </c>
      <c r="F175" t="s">
        <v>236</v>
      </c>
      <c r="G175" t="str">
        <f>HYPERLINK("http://www.ncbi.nlm.nih.gov/Taxonomy/Browser/wwwtax.cgi?mode=Info&amp;id=8524&amp;lvl=3&amp;lin=f&amp;keep=1&amp;srchmode=1&amp;unlock","Zootoca vivipara")</f>
        <v>Zootoca vivipara</v>
      </c>
      <c r="H175" t="s">
        <v>401</v>
      </c>
      <c r="I175" t="str">
        <f>HYPERLINK("http://www.ncbi.nlm.nih.gov/protein/XP_034969101.1","androgen receptor")</f>
        <v>androgen receptor</v>
      </c>
      <c r="J175" t="s">
        <v>1321</v>
      </c>
      <c r="K175" t="s">
        <v>20</v>
      </c>
      <c r="L175">
        <v>560</v>
      </c>
      <c r="M175" t="s">
        <v>25</v>
      </c>
      <c r="N175" t="s">
        <v>20</v>
      </c>
      <c r="O175" t="s">
        <v>1352</v>
      </c>
      <c r="P175" t="s">
        <v>20</v>
      </c>
      <c r="Q175">
        <v>132.119</v>
      </c>
      <c r="R175" t="s">
        <v>20</v>
      </c>
      <c r="S175" t="s">
        <v>20</v>
      </c>
      <c r="T175">
        <v>566</v>
      </c>
      <c r="U175" t="s">
        <v>1316</v>
      </c>
      <c r="V175" t="s">
        <v>25</v>
      </c>
      <c r="W175" t="s">
        <v>1353</v>
      </c>
      <c r="X175" t="s">
        <v>25</v>
      </c>
      <c r="Y175">
        <v>155.15600000000001</v>
      </c>
      <c r="Z175" t="s">
        <v>20</v>
      </c>
      <c r="AA175" t="s">
        <v>20</v>
      </c>
      <c r="AB175">
        <v>607</v>
      </c>
      <c r="AC175" t="s">
        <v>1314</v>
      </c>
      <c r="AD175" t="s">
        <v>20</v>
      </c>
      <c r="AE175" t="s">
        <v>1353</v>
      </c>
      <c r="AF175" t="s">
        <v>20</v>
      </c>
      <c r="AG175">
        <v>174.203</v>
      </c>
      <c r="AH175" t="s">
        <v>20</v>
      </c>
      <c r="AI175" t="s">
        <v>20</v>
      </c>
      <c r="AJ175">
        <v>732</v>
      </c>
      <c r="AK175" t="s">
        <v>1315</v>
      </c>
      <c r="AL175" t="s">
        <v>20</v>
      </c>
      <c r="AM175" t="s">
        <v>1354</v>
      </c>
      <c r="AN175" t="s">
        <v>20</v>
      </c>
      <c r="AO175">
        <v>119.119</v>
      </c>
      <c r="AP175" t="s">
        <v>20</v>
      </c>
      <c r="AQ175" t="s">
        <v>20</v>
      </c>
    </row>
    <row r="176" spans="1:43" x14ac:dyDescent="0.25">
      <c r="A176">
        <v>6</v>
      </c>
      <c r="B176" t="s">
        <v>236</v>
      </c>
      <c r="C176" t="str">
        <f>HYPERLINK("http://www.ncbi.nlm.nih.gov/protein/XP_034291047.1","XP_034291047.1")</f>
        <v>XP_034291047.1</v>
      </c>
      <c r="D176">
        <v>41827</v>
      </c>
      <c r="E176" t="str">
        <f>HYPERLINK("http://www.ncbi.nlm.nih.gov/Taxonomy/Browser/wwwtax.cgi?mode=Info&amp;id=94885&amp;lvl=3&amp;lin=f&amp;keep=1&amp;srchmode=1&amp;unlock","94885")</f>
        <v>94885</v>
      </c>
      <c r="F176" t="s">
        <v>236</v>
      </c>
      <c r="G176" t="str">
        <f>HYPERLINK("http://www.ncbi.nlm.nih.gov/Taxonomy/Browser/wwwtax.cgi?mode=Info&amp;id=94885&amp;lvl=3&amp;lin=f&amp;keep=1&amp;srchmode=1&amp;unlock","Pantherophis guttatus")</f>
        <v>Pantherophis guttatus</v>
      </c>
      <c r="H176" t="s">
        <v>653</v>
      </c>
      <c r="I176" t="str">
        <f>HYPERLINK("http://www.ncbi.nlm.nih.gov/protein/XP_034291047.1","androgen receptor")</f>
        <v>androgen receptor</v>
      </c>
      <c r="J176" t="s">
        <v>1321</v>
      </c>
      <c r="K176" t="s">
        <v>20</v>
      </c>
      <c r="L176">
        <v>566</v>
      </c>
      <c r="M176" t="s">
        <v>25</v>
      </c>
      <c r="N176" t="s">
        <v>20</v>
      </c>
      <c r="O176" t="s">
        <v>1352</v>
      </c>
      <c r="P176" t="s">
        <v>20</v>
      </c>
      <c r="Q176">
        <v>132.119</v>
      </c>
      <c r="R176" t="s">
        <v>20</v>
      </c>
      <c r="S176" t="s">
        <v>20</v>
      </c>
      <c r="T176">
        <v>572</v>
      </c>
      <c r="U176" t="s">
        <v>1316</v>
      </c>
      <c r="V176" t="s">
        <v>25</v>
      </c>
      <c r="W176" t="s">
        <v>1353</v>
      </c>
      <c r="X176" t="s">
        <v>25</v>
      </c>
      <c r="Y176">
        <v>155.15600000000001</v>
      </c>
      <c r="Z176" t="s">
        <v>20</v>
      </c>
      <c r="AA176" t="s">
        <v>20</v>
      </c>
      <c r="AB176">
        <v>613</v>
      </c>
      <c r="AC176" t="s">
        <v>1314</v>
      </c>
      <c r="AD176" t="s">
        <v>20</v>
      </c>
      <c r="AE176" t="s">
        <v>1353</v>
      </c>
      <c r="AF176" t="s">
        <v>20</v>
      </c>
      <c r="AG176">
        <v>174.203</v>
      </c>
      <c r="AH176" t="s">
        <v>20</v>
      </c>
      <c r="AI176" t="s">
        <v>20</v>
      </c>
      <c r="AJ176">
        <v>738</v>
      </c>
      <c r="AK176" t="s">
        <v>1315</v>
      </c>
      <c r="AL176" t="s">
        <v>20</v>
      </c>
      <c r="AM176" t="s">
        <v>1354</v>
      </c>
      <c r="AN176" t="s">
        <v>20</v>
      </c>
      <c r="AO176">
        <v>119.119</v>
      </c>
      <c r="AP176" t="s">
        <v>20</v>
      </c>
      <c r="AQ176" t="s">
        <v>20</v>
      </c>
    </row>
    <row r="177" spans="1:43" x14ac:dyDescent="0.25">
      <c r="A177">
        <v>6</v>
      </c>
      <c r="B177" t="s">
        <v>236</v>
      </c>
      <c r="C177" t="str">
        <f>HYPERLINK("http://www.ncbi.nlm.nih.gov/protein/XP_032993019.1","XP_032993019.1")</f>
        <v>XP_032993019.1</v>
      </c>
      <c r="D177">
        <v>39496</v>
      </c>
      <c r="E177" t="str">
        <f>HYPERLINK("http://www.ncbi.nlm.nih.gov/Taxonomy/Browser/wwwtax.cgi?mode=Info&amp;id=80427&amp;lvl=3&amp;lin=f&amp;keep=1&amp;srchmode=1&amp;unlock","80427")</f>
        <v>80427</v>
      </c>
      <c r="F177" t="s">
        <v>236</v>
      </c>
      <c r="G177" t="str">
        <f>HYPERLINK("http://www.ncbi.nlm.nih.gov/Taxonomy/Browser/wwwtax.cgi?mode=Info&amp;id=80427&amp;lvl=3&amp;lin=f&amp;keep=1&amp;srchmode=1&amp;unlock","Lacerta agilis")</f>
        <v>Lacerta agilis</v>
      </c>
      <c r="H177" t="s">
        <v>392</v>
      </c>
      <c r="I177" t="str">
        <f>HYPERLINK("http://www.ncbi.nlm.nih.gov/protein/XP_032993019.1","androgen receptor")</f>
        <v>androgen receptor</v>
      </c>
      <c r="J177" t="s">
        <v>1321</v>
      </c>
      <c r="K177" t="s">
        <v>20</v>
      </c>
      <c r="L177">
        <v>561</v>
      </c>
      <c r="M177" t="s">
        <v>25</v>
      </c>
      <c r="N177" t="s">
        <v>20</v>
      </c>
      <c r="O177" t="s">
        <v>1352</v>
      </c>
      <c r="P177" t="s">
        <v>20</v>
      </c>
      <c r="Q177">
        <v>132.119</v>
      </c>
      <c r="R177" t="s">
        <v>20</v>
      </c>
      <c r="S177" t="s">
        <v>20</v>
      </c>
      <c r="T177">
        <v>567</v>
      </c>
      <c r="U177" t="s">
        <v>1313</v>
      </c>
      <c r="V177" t="s">
        <v>20</v>
      </c>
      <c r="W177" t="s">
        <v>1352</v>
      </c>
      <c r="X177" t="s">
        <v>20</v>
      </c>
      <c r="Y177">
        <v>146.14599999999999</v>
      </c>
      <c r="Z177" t="s">
        <v>20</v>
      </c>
      <c r="AA177" t="s">
        <v>20</v>
      </c>
      <c r="AB177">
        <v>608</v>
      </c>
      <c r="AC177" t="s">
        <v>1314</v>
      </c>
      <c r="AD177" t="s">
        <v>20</v>
      </c>
      <c r="AE177" t="s">
        <v>1353</v>
      </c>
      <c r="AF177" t="s">
        <v>20</v>
      </c>
      <c r="AG177">
        <v>174.203</v>
      </c>
      <c r="AH177" t="s">
        <v>20</v>
      </c>
      <c r="AI177" t="s">
        <v>20</v>
      </c>
      <c r="AJ177">
        <v>733</v>
      </c>
      <c r="AK177" t="s">
        <v>1315</v>
      </c>
      <c r="AL177" t="s">
        <v>20</v>
      </c>
      <c r="AM177" t="s">
        <v>1354</v>
      </c>
      <c r="AN177" t="s">
        <v>20</v>
      </c>
      <c r="AO177">
        <v>119.119</v>
      </c>
      <c r="AP177" t="s">
        <v>20</v>
      </c>
      <c r="AQ177" t="s">
        <v>20</v>
      </c>
    </row>
    <row r="178" spans="1:43" x14ac:dyDescent="0.25">
      <c r="A178">
        <v>6</v>
      </c>
      <c r="B178" t="s">
        <v>236</v>
      </c>
      <c r="C178" t="str">
        <f>HYPERLINK("http://www.ncbi.nlm.nih.gov/protein/XP_032083684.1","XP_032083684.1")</f>
        <v>XP_032083684.1</v>
      </c>
      <c r="D178">
        <v>30930</v>
      </c>
      <c r="E178" t="str">
        <f>HYPERLINK("http://www.ncbi.nlm.nih.gov/Taxonomy/Browser/wwwtax.cgi?mode=Info&amp;id=35005&amp;lvl=3&amp;lin=f&amp;keep=1&amp;srchmode=1&amp;unlock","35005")</f>
        <v>35005</v>
      </c>
      <c r="F178" t="s">
        <v>236</v>
      </c>
      <c r="G178" t="str">
        <f>HYPERLINK("http://www.ncbi.nlm.nih.gov/Taxonomy/Browser/wwwtax.cgi?mode=Info&amp;id=35005&amp;lvl=3&amp;lin=f&amp;keep=1&amp;srchmode=1&amp;unlock","Thamnophis elegans")</f>
        <v>Thamnophis elegans</v>
      </c>
      <c r="H178" t="s">
        <v>654</v>
      </c>
      <c r="I178" t="str">
        <f>HYPERLINK("http://www.ncbi.nlm.nih.gov/protein/XP_032083684.1","androgen receptor")</f>
        <v>androgen receptor</v>
      </c>
      <c r="J178" t="s">
        <v>1321</v>
      </c>
      <c r="K178" t="s">
        <v>20</v>
      </c>
      <c r="L178">
        <v>575</v>
      </c>
      <c r="M178" t="s">
        <v>25</v>
      </c>
      <c r="N178" t="s">
        <v>20</v>
      </c>
      <c r="O178" t="s">
        <v>1352</v>
      </c>
      <c r="P178" t="s">
        <v>20</v>
      </c>
      <c r="Q178">
        <v>132.119</v>
      </c>
      <c r="R178" t="s">
        <v>20</v>
      </c>
      <c r="S178" t="s">
        <v>20</v>
      </c>
      <c r="T178">
        <v>581</v>
      </c>
      <c r="U178" t="s">
        <v>1316</v>
      </c>
      <c r="V178" t="s">
        <v>25</v>
      </c>
      <c r="W178" t="s">
        <v>1353</v>
      </c>
      <c r="X178" t="s">
        <v>25</v>
      </c>
      <c r="Y178">
        <v>155.15600000000001</v>
      </c>
      <c r="Z178" t="s">
        <v>20</v>
      </c>
      <c r="AA178" t="s">
        <v>20</v>
      </c>
      <c r="AB178">
        <v>622</v>
      </c>
      <c r="AC178" t="s">
        <v>1314</v>
      </c>
      <c r="AD178" t="s">
        <v>20</v>
      </c>
      <c r="AE178" t="s">
        <v>1353</v>
      </c>
      <c r="AF178" t="s">
        <v>20</v>
      </c>
      <c r="AG178">
        <v>174.203</v>
      </c>
      <c r="AH178" t="s">
        <v>20</v>
      </c>
      <c r="AI178" t="s">
        <v>20</v>
      </c>
      <c r="AJ178">
        <v>747</v>
      </c>
      <c r="AK178" t="s">
        <v>1315</v>
      </c>
      <c r="AL178" t="s">
        <v>20</v>
      </c>
      <c r="AM178" t="s">
        <v>1354</v>
      </c>
      <c r="AN178" t="s">
        <v>20</v>
      </c>
      <c r="AO178">
        <v>119.119</v>
      </c>
      <c r="AP178" t="s">
        <v>20</v>
      </c>
      <c r="AQ178" t="s">
        <v>20</v>
      </c>
    </row>
    <row r="179" spans="1:43" x14ac:dyDescent="0.25">
      <c r="A179">
        <v>6</v>
      </c>
      <c r="B179" t="s">
        <v>236</v>
      </c>
      <c r="C179" t="str">
        <f>HYPERLINK("http://www.ncbi.nlm.nih.gov/protein/XP_020640105.1","XP_020640105.1")</f>
        <v>XP_020640105.1</v>
      </c>
      <c r="D179">
        <v>38807</v>
      </c>
      <c r="E179" t="str">
        <f>HYPERLINK("http://www.ncbi.nlm.nih.gov/Taxonomy/Browser/wwwtax.cgi?mode=Info&amp;id=103695&amp;lvl=3&amp;lin=f&amp;keep=1&amp;srchmode=1&amp;unlock","103695")</f>
        <v>103695</v>
      </c>
      <c r="F179" t="s">
        <v>236</v>
      </c>
      <c r="G179" t="str">
        <f>HYPERLINK("http://www.ncbi.nlm.nih.gov/Taxonomy/Browser/wwwtax.cgi?mode=Info&amp;id=103695&amp;lvl=3&amp;lin=f&amp;keep=1&amp;srchmode=1&amp;unlock","Pogona vitticeps")</f>
        <v>Pogona vitticeps</v>
      </c>
      <c r="H179" t="s">
        <v>618</v>
      </c>
      <c r="I179" t="str">
        <f>HYPERLINK("http://www.ncbi.nlm.nih.gov/protein/XP_020640105.1","androgen receptor-like")</f>
        <v>androgen receptor-like</v>
      </c>
      <c r="J179" t="s">
        <v>1321</v>
      </c>
      <c r="K179" t="s">
        <v>20</v>
      </c>
      <c r="L179">
        <v>234</v>
      </c>
      <c r="M179" t="s">
        <v>25</v>
      </c>
      <c r="N179" t="s">
        <v>20</v>
      </c>
      <c r="O179" t="s">
        <v>1352</v>
      </c>
      <c r="P179" t="s">
        <v>20</v>
      </c>
      <c r="Q179">
        <v>132.119</v>
      </c>
      <c r="R179" t="s">
        <v>20</v>
      </c>
      <c r="S179" t="s">
        <v>20</v>
      </c>
      <c r="T179">
        <v>240</v>
      </c>
      <c r="U179" t="s">
        <v>1313</v>
      </c>
      <c r="V179" t="s">
        <v>20</v>
      </c>
      <c r="W179" t="s">
        <v>1352</v>
      </c>
      <c r="X179" t="s">
        <v>20</v>
      </c>
      <c r="Y179">
        <v>146.14599999999999</v>
      </c>
      <c r="Z179" t="s">
        <v>20</v>
      </c>
      <c r="AA179" t="s">
        <v>20</v>
      </c>
      <c r="AB179">
        <v>281</v>
      </c>
      <c r="AC179" t="s">
        <v>1314</v>
      </c>
      <c r="AD179" t="s">
        <v>20</v>
      </c>
      <c r="AE179" t="s">
        <v>1353</v>
      </c>
      <c r="AF179" t="s">
        <v>20</v>
      </c>
      <c r="AG179">
        <v>174.203</v>
      </c>
      <c r="AH179" t="s">
        <v>20</v>
      </c>
      <c r="AI179" t="s">
        <v>20</v>
      </c>
      <c r="AJ179">
        <v>406</v>
      </c>
      <c r="AK179" t="s">
        <v>1315</v>
      </c>
      <c r="AL179" t="s">
        <v>20</v>
      </c>
      <c r="AM179" t="s">
        <v>1354</v>
      </c>
      <c r="AN179" t="s">
        <v>20</v>
      </c>
      <c r="AO179">
        <v>119.119</v>
      </c>
      <c r="AP179" t="s">
        <v>20</v>
      </c>
      <c r="AQ179" t="s">
        <v>20</v>
      </c>
    </row>
    <row r="180" spans="1:43" x14ac:dyDescent="0.25">
      <c r="A180">
        <v>6</v>
      </c>
      <c r="B180" t="s">
        <v>236</v>
      </c>
      <c r="C180" t="str">
        <f>HYPERLINK("http://www.ncbi.nlm.nih.gov/protein/XP_015275174.1","XP_015275174.1")</f>
        <v>XP_015275174.1</v>
      </c>
      <c r="D180">
        <v>24675</v>
      </c>
      <c r="E180" t="str">
        <f>HYPERLINK("http://www.ncbi.nlm.nih.gov/Taxonomy/Browser/wwwtax.cgi?mode=Info&amp;id=146911&amp;lvl=3&amp;lin=f&amp;keep=1&amp;srchmode=1&amp;unlock","146911")</f>
        <v>146911</v>
      </c>
      <c r="F180" t="s">
        <v>236</v>
      </c>
      <c r="G180" t="str">
        <f>HYPERLINK("http://www.ncbi.nlm.nih.gov/Taxonomy/Browser/wwwtax.cgi?mode=Info&amp;id=146911&amp;lvl=3&amp;lin=f&amp;keep=1&amp;srchmode=1&amp;unlock","Gekko japonicus")</f>
        <v>Gekko japonicus</v>
      </c>
      <c r="H180" t="s">
        <v>650</v>
      </c>
      <c r="I180" t="str">
        <f>HYPERLINK("http://www.ncbi.nlm.nih.gov/protein/XP_015275174.1","PREDICTED: androgen receptor")</f>
        <v>PREDICTED: androgen receptor</v>
      </c>
      <c r="J180" t="s">
        <v>1321</v>
      </c>
      <c r="K180" t="s">
        <v>20</v>
      </c>
      <c r="L180">
        <v>231</v>
      </c>
      <c r="M180" t="s">
        <v>25</v>
      </c>
      <c r="N180" t="s">
        <v>20</v>
      </c>
      <c r="O180" t="s">
        <v>1352</v>
      </c>
      <c r="P180" t="s">
        <v>20</v>
      </c>
      <c r="Q180">
        <v>132.119</v>
      </c>
      <c r="R180" t="s">
        <v>20</v>
      </c>
      <c r="S180" t="s">
        <v>20</v>
      </c>
      <c r="T180">
        <v>237</v>
      </c>
      <c r="U180" t="s">
        <v>1313</v>
      </c>
      <c r="V180" t="s">
        <v>20</v>
      </c>
      <c r="W180" t="s">
        <v>1352</v>
      </c>
      <c r="X180" t="s">
        <v>20</v>
      </c>
      <c r="Y180">
        <v>146.14599999999999</v>
      </c>
      <c r="Z180" t="s">
        <v>20</v>
      </c>
      <c r="AA180" t="s">
        <v>20</v>
      </c>
      <c r="AB180">
        <v>278</v>
      </c>
      <c r="AC180" t="s">
        <v>1314</v>
      </c>
      <c r="AD180" t="s">
        <v>20</v>
      </c>
      <c r="AE180" t="s">
        <v>1353</v>
      </c>
      <c r="AF180" t="s">
        <v>20</v>
      </c>
      <c r="AG180">
        <v>174.203</v>
      </c>
      <c r="AH180" t="s">
        <v>20</v>
      </c>
      <c r="AI180" t="s">
        <v>20</v>
      </c>
      <c r="AJ180">
        <v>403</v>
      </c>
      <c r="AK180" t="s">
        <v>1315</v>
      </c>
      <c r="AL180" t="s">
        <v>20</v>
      </c>
      <c r="AM180" t="s">
        <v>1354</v>
      </c>
      <c r="AN180" t="s">
        <v>20</v>
      </c>
      <c r="AO180">
        <v>119.119</v>
      </c>
      <c r="AP180" t="s">
        <v>20</v>
      </c>
      <c r="AQ180" t="s">
        <v>20</v>
      </c>
    </row>
    <row r="181" spans="1:43" x14ac:dyDescent="0.25">
      <c r="A181">
        <v>6</v>
      </c>
      <c r="B181" t="s">
        <v>236</v>
      </c>
      <c r="C181" t="str">
        <f>HYPERLINK("http://www.ncbi.nlm.nih.gov/protein/XP_028571620.1","XP_028571620.1")</f>
        <v>XP_028571620.1</v>
      </c>
      <c r="D181">
        <v>51243</v>
      </c>
      <c r="E181" t="str">
        <f>HYPERLINK("http://www.ncbi.nlm.nih.gov/Taxonomy/Browser/wwwtax.cgi?mode=Info&amp;id=64176&amp;lvl=3&amp;lin=f&amp;keep=1&amp;srchmode=1&amp;unlock","64176")</f>
        <v>64176</v>
      </c>
      <c r="F181" t="s">
        <v>236</v>
      </c>
      <c r="G181" t="str">
        <f>HYPERLINK("http://www.ncbi.nlm.nih.gov/Taxonomy/Browser/wwwtax.cgi?mode=Info&amp;id=64176&amp;lvl=3&amp;lin=f&amp;keep=1&amp;srchmode=1&amp;unlock","Podarcis muralis")</f>
        <v>Podarcis muralis</v>
      </c>
      <c r="H181" t="s">
        <v>420</v>
      </c>
      <c r="I181" t="str">
        <f>HYPERLINK("http://www.ncbi.nlm.nih.gov/protein/XP_028571620.1","androgen receptor")</f>
        <v>androgen receptor</v>
      </c>
      <c r="J181" t="s">
        <v>1321</v>
      </c>
      <c r="K181" t="s">
        <v>20</v>
      </c>
      <c r="L181">
        <v>174</v>
      </c>
      <c r="M181" t="s">
        <v>25</v>
      </c>
      <c r="N181" t="s">
        <v>20</v>
      </c>
      <c r="O181" t="s">
        <v>1352</v>
      </c>
      <c r="P181" t="s">
        <v>20</v>
      </c>
      <c r="Q181">
        <v>132.119</v>
      </c>
      <c r="R181" t="s">
        <v>20</v>
      </c>
      <c r="S181" t="s">
        <v>20</v>
      </c>
      <c r="T181">
        <v>180</v>
      </c>
      <c r="U181" t="s">
        <v>1316</v>
      </c>
      <c r="V181" t="s">
        <v>25</v>
      </c>
      <c r="W181" t="s">
        <v>1353</v>
      </c>
      <c r="X181" t="s">
        <v>25</v>
      </c>
      <c r="Y181">
        <v>155.15600000000001</v>
      </c>
      <c r="Z181" t="s">
        <v>20</v>
      </c>
      <c r="AA181" t="s">
        <v>20</v>
      </c>
      <c r="AB181">
        <v>221</v>
      </c>
      <c r="AC181" t="s">
        <v>1314</v>
      </c>
      <c r="AD181" t="s">
        <v>20</v>
      </c>
      <c r="AE181" t="s">
        <v>1353</v>
      </c>
      <c r="AF181" t="s">
        <v>20</v>
      </c>
      <c r="AG181">
        <v>174.203</v>
      </c>
      <c r="AH181" t="s">
        <v>20</v>
      </c>
      <c r="AI181" t="s">
        <v>20</v>
      </c>
      <c r="AJ181">
        <v>346</v>
      </c>
      <c r="AK181" t="s">
        <v>1315</v>
      </c>
      <c r="AL181" t="s">
        <v>20</v>
      </c>
      <c r="AM181" t="s">
        <v>1354</v>
      </c>
      <c r="AN181" t="s">
        <v>20</v>
      </c>
      <c r="AO181">
        <v>119.119</v>
      </c>
      <c r="AP181" t="s">
        <v>20</v>
      </c>
      <c r="AQ181" t="s">
        <v>20</v>
      </c>
    </row>
    <row r="182" spans="1:43" x14ac:dyDescent="0.25">
      <c r="A182">
        <v>6</v>
      </c>
      <c r="B182" t="s">
        <v>236</v>
      </c>
      <c r="C182" t="str">
        <f>HYPERLINK("http://www.ncbi.nlm.nih.gov/protein/BAJ15431.1","BAJ15431.1")</f>
        <v>BAJ15431.1</v>
      </c>
      <c r="D182">
        <v>688</v>
      </c>
      <c r="E182" t="str">
        <f>HYPERLINK("http://www.ncbi.nlm.nih.gov/Taxonomy/Browser/wwwtax.cgi?mode=Info&amp;id=88087&amp;lvl=3&amp;lin=f&amp;keep=1&amp;srchmode=1&amp;unlock","88087")</f>
        <v>88087</v>
      </c>
      <c r="F182" t="s">
        <v>236</v>
      </c>
      <c r="G182" t="str">
        <f>HYPERLINK("http://www.ncbi.nlm.nih.gov/Taxonomy/Browser/wwwtax.cgi?mode=Info&amp;id=88087&amp;lvl=3&amp;lin=f&amp;keep=1&amp;srchmode=1&amp;unlock","Protobothrops flavoviridis")</f>
        <v>Protobothrops flavoviridis</v>
      </c>
      <c r="H182" t="s">
        <v>983</v>
      </c>
      <c r="I182" t="str">
        <f>HYPERLINK("http://www.ncbi.nlm.nih.gov/protein/BAJ15431.1","androgen receptor")</f>
        <v>androgen receptor</v>
      </c>
      <c r="J182" t="s">
        <v>1321</v>
      </c>
      <c r="K182" t="s">
        <v>20</v>
      </c>
      <c r="L182">
        <v>169</v>
      </c>
      <c r="M182" t="s">
        <v>25</v>
      </c>
      <c r="N182" t="s">
        <v>20</v>
      </c>
      <c r="O182" t="s">
        <v>1352</v>
      </c>
      <c r="P182" t="s">
        <v>20</v>
      </c>
      <c r="Q182">
        <v>132.119</v>
      </c>
      <c r="R182" t="s">
        <v>20</v>
      </c>
      <c r="S182" t="s">
        <v>20</v>
      </c>
      <c r="T182">
        <v>175</v>
      </c>
      <c r="U182" t="s">
        <v>1316</v>
      </c>
      <c r="V182" t="s">
        <v>25</v>
      </c>
      <c r="W182" t="s">
        <v>1353</v>
      </c>
      <c r="X182" t="s">
        <v>25</v>
      </c>
      <c r="Y182">
        <v>155.15600000000001</v>
      </c>
      <c r="Z182" t="s">
        <v>20</v>
      </c>
      <c r="AA182" t="s">
        <v>20</v>
      </c>
      <c r="AB182">
        <v>216</v>
      </c>
      <c r="AC182" t="s">
        <v>1314</v>
      </c>
      <c r="AD182" t="s">
        <v>20</v>
      </c>
      <c r="AE182" t="s">
        <v>1353</v>
      </c>
      <c r="AF182" t="s">
        <v>20</v>
      </c>
      <c r="AG182">
        <v>174.203</v>
      </c>
      <c r="AH182" t="s">
        <v>20</v>
      </c>
      <c r="AI182" t="s">
        <v>20</v>
      </c>
      <c r="AJ182">
        <v>341</v>
      </c>
      <c r="AK182" t="s">
        <v>1315</v>
      </c>
      <c r="AL182" t="s">
        <v>20</v>
      </c>
      <c r="AM182" t="s">
        <v>1354</v>
      </c>
      <c r="AN182" t="s">
        <v>20</v>
      </c>
      <c r="AO182">
        <v>119.119</v>
      </c>
      <c r="AP182" t="s">
        <v>20</v>
      </c>
      <c r="AQ182" t="s">
        <v>20</v>
      </c>
    </row>
    <row r="183" spans="1:43" x14ac:dyDescent="0.25">
      <c r="A183">
        <v>6</v>
      </c>
      <c r="B183" t="s">
        <v>236</v>
      </c>
      <c r="C183" t="str">
        <f>HYPERLINK("http://www.ncbi.nlm.nih.gov/protein/XP_008118585.1","XP_008118585.1")</f>
        <v>XP_008118585.1</v>
      </c>
      <c r="D183">
        <v>35704</v>
      </c>
      <c r="E183" t="str">
        <f>HYPERLINK("http://www.ncbi.nlm.nih.gov/Taxonomy/Browser/wwwtax.cgi?mode=Info&amp;id=28377&amp;lvl=3&amp;lin=f&amp;keep=1&amp;srchmode=1&amp;unlock","28377")</f>
        <v>28377</v>
      </c>
      <c r="F183" t="s">
        <v>236</v>
      </c>
      <c r="G183" t="str">
        <f>HYPERLINK("http://www.ncbi.nlm.nih.gov/Taxonomy/Browser/wwwtax.cgi?mode=Info&amp;id=28377&amp;lvl=3&amp;lin=f&amp;keep=1&amp;srchmode=1&amp;unlock","Anolis carolinensis")</f>
        <v>Anolis carolinensis</v>
      </c>
      <c r="H183" t="s">
        <v>474</v>
      </c>
      <c r="I183" t="str">
        <f>HYPERLINK("http://www.ncbi.nlm.nih.gov/protein/XP_008118585.1","PREDICTED: androgen receptor")</f>
        <v>PREDICTED: androgen receptor</v>
      </c>
      <c r="J183" t="s">
        <v>1321</v>
      </c>
      <c r="K183" t="s">
        <v>20</v>
      </c>
      <c r="L183">
        <v>229</v>
      </c>
      <c r="M183" t="s">
        <v>25</v>
      </c>
      <c r="N183" t="s">
        <v>20</v>
      </c>
      <c r="O183" t="s">
        <v>1352</v>
      </c>
      <c r="P183" t="s">
        <v>20</v>
      </c>
      <c r="Q183">
        <v>132.119</v>
      </c>
      <c r="R183" t="s">
        <v>20</v>
      </c>
      <c r="S183" t="s">
        <v>20</v>
      </c>
      <c r="T183">
        <v>235</v>
      </c>
      <c r="U183" t="s">
        <v>1313</v>
      </c>
      <c r="V183" t="s">
        <v>20</v>
      </c>
      <c r="W183" t="s">
        <v>1352</v>
      </c>
      <c r="X183" t="s">
        <v>20</v>
      </c>
      <c r="Y183">
        <v>146.14599999999999</v>
      </c>
      <c r="Z183" t="s">
        <v>20</v>
      </c>
      <c r="AA183" t="s">
        <v>20</v>
      </c>
      <c r="AB183">
        <v>276</v>
      </c>
      <c r="AC183" t="s">
        <v>1314</v>
      </c>
      <c r="AD183" t="s">
        <v>20</v>
      </c>
      <c r="AE183" t="s">
        <v>1353</v>
      </c>
      <c r="AF183" t="s">
        <v>20</v>
      </c>
      <c r="AG183">
        <v>174.203</v>
      </c>
      <c r="AH183" t="s">
        <v>20</v>
      </c>
      <c r="AI183" t="s">
        <v>20</v>
      </c>
      <c r="AJ183">
        <v>401</v>
      </c>
      <c r="AK183" t="s">
        <v>1315</v>
      </c>
      <c r="AL183" t="s">
        <v>20</v>
      </c>
      <c r="AM183" t="s">
        <v>1354</v>
      </c>
      <c r="AN183" t="s">
        <v>20</v>
      </c>
      <c r="AO183">
        <v>119.119</v>
      </c>
      <c r="AP183" t="s">
        <v>20</v>
      </c>
      <c r="AQ183" t="s">
        <v>20</v>
      </c>
    </row>
    <row r="184" spans="1:43" x14ac:dyDescent="0.25">
      <c r="A184">
        <v>6</v>
      </c>
      <c r="B184" t="s">
        <v>236</v>
      </c>
      <c r="C184" t="str">
        <f>HYPERLINK("http://www.ncbi.nlm.nih.gov/protein/BAJ15432.1","BAJ15432.1")</f>
        <v>BAJ15432.1</v>
      </c>
      <c r="D184">
        <v>216</v>
      </c>
      <c r="E184" t="str">
        <f>HYPERLINK("http://www.ncbi.nlm.nih.gov/Taxonomy/Browser/wwwtax.cgi?mode=Info&amp;id=86195&amp;lvl=3&amp;lin=f&amp;keep=1&amp;srchmode=1&amp;unlock","86195")</f>
        <v>86195</v>
      </c>
      <c r="F184" t="s">
        <v>236</v>
      </c>
      <c r="G184" t="str">
        <f>HYPERLINK("http://www.ncbi.nlm.nih.gov/Taxonomy/Browser/wwwtax.cgi?mode=Info&amp;id=86195&amp;lvl=3&amp;lin=f&amp;keep=1&amp;srchmode=1&amp;unlock","Elaphe quadrivirgata")</f>
        <v>Elaphe quadrivirgata</v>
      </c>
      <c r="H184" t="s">
        <v>990</v>
      </c>
      <c r="I184" t="str">
        <f>HYPERLINK("http://www.ncbi.nlm.nih.gov/protein/BAJ15432.1","androgen receptor")</f>
        <v>androgen receptor</v>
      </c>
      <c r="J184" t="s">
        <v>1321</v>
      </c>
      <c r="K184" t="s">
        <v>20</v>
      </c>
      <c r="L184">
        <v>169</v>
      </c>
      <c r="M184" t="s">
        <v>25</v>
      </c>
      <c r="N184" t="s">
        <v>20</v>
      </c>
      <c r="O184" t="s">
        <v>1352</v>
      </c>
      <c r="P184" t="s">
        <v>20</v>
      </c>
      <c r="Q184">
        <v>132.119</v>
      </c>
      <c r="R184" t="s">
        <v>20</v>
      </c>
      <c r="S184" t="s">
        <v>20</v>
      </c>
      <c r="T184">
        <v>175</v>
      </c>
      <c r="U184" t="s">
        <v>1316</v>
      </c>
      <c r="V184" t="s">
        <v>25</v>
      </c>
      <c r="W184" t="s">
        <v>1353</v>
      </c>
      <c r="X184" t="s">
        <v>25</v>
      </c>
      <c r="Y184">
        <v>155.15600000000001</v>
      </c>
      <c r="Z184" t="s">
        <v>20</v>
      </c>
      <c r="AA184" t="s">
        <v>20</v>
      </c>
      <c r="AB184">
        <v>216</v>
      </c>
      <c r="AC184" t="s">
        <v>1314</v>
      </c>
      <c r="AD184" t="s">
        <v>20</v>
      </c>
      <c r="AE184" t="s">
        <v>1353</v>
      </c>
      <c r="AF184" t="s">
        <v>20</v>
      </c>
      <c r="AG184">
        <v>174.203</v>
      </c>
      <c r="AH184" t="s">
        <v>20</v>
      </c>
      <c r="AI184" t="s">
        <v>20</v>
      </c>
      <c r="AJ184">
        <v>341</v>
      </c>
      <c r="AK184" t="s">
        <v>1315</v>
      </c>
      <c r="AL184" t="s">
        <v>20</v>
      </c>
      <c r="AM184" t="s">
        <v>1354</v>
      </c>
      <c r="AN184" t="s">
        <v>20</v>
      </c>
      <c r="AO184">
        <v>119.119</v>
      </c>
      <c r="AP184" t="s">
        <v>20</v>
      </c>
      <c r="AQ184" t="s">
        <v>20</v>
      </c>
    </row>
    <row r="185" spans="1:43" x14ac:dyDescent="0.25">
      <c r="A185">
        <v>6</v>
      </c>
      <c r="B185" t="s">
        <v>236</v>
      </c>
      <c r="C185" t="str">
        <f>HYPERLINK("http://www.ncbi.nlm.nih.gov/protein/XP_007435613.1","XP_007435613.1")</f>
        <v>XP_007435613.1</v>
      </c>
      <c r="D185">
        <v>32860</v>
      </c>
      <c r="E185" t="str">
        <f>HYPERLINK("http://www.ncbi.nlm.nih.gov/Taxonomy/Browser/wwwtax.cgi?mode=Info&amp;id=176946&amp;lvl=3&amp;lin=f&amp;keep=1&amp;srchmode=1&amp;unlock","176946")</f>
        <v>176946</v>
      </c>
      <c r="F185" t="s">
        <v>236</v>
      </c>
      <c r="G185" t="str">
        <f>HYPERLINK("http://www.ncbi.nlm.nih.gov/Taxonomy/Browser/wwwtax.cgi?mode=Info&amp;id=176946&amp;lvl=3&amp;lin=f&amp;keep=1&amp;srchmode=1&amp;unlock","Python bivittatus")</f>
        <v>Python bivittatus</v>
      </c>
      <c r="H185" t="s">
        <v>237</v>
      </c>
      <c r="I185" t="str">
        <f>HYPERLINK("http://www.ncbi.nlm.nih.gov/protein/XP_007435613.1","androgen receptor")</f>
        <v>androgen receptor</v>
      </c>
      <c r="J185" t="s">
        <v>1321</v>
      </c>
      <c r="K185" t="s">
        <v>20</v>
      </c>
      <c r="L185">
        <v>235</v>
      </c>
      <c r="M185" t="s">
        <v>25</v>
      </c>
      <c r="N185" t="s">
        <v>20</v>
      </c>
      <c r="O185" t="s">
        <v>1352</v>
      </c>
      <c r="P185" t="s">
        <v>20</v>
      </c>
      <c r="Q185">
        <v>132.119</v>
      </c>
      <c r="R185" t="s">
        <v>20</v>
      </c>
      <c r="S185" t="s">
        <v>20</v>
      </c>
      <c r="T185">
        <v>241</v>
      </c>
      <c r="U185" t="s">
        <v>1316</v>
      </c>
      <c r="V185" t="s">
        <v>25</v>
      </c>
      <c r="W185" t="s">
        <v>1353</v>
      </c>
      <c r="X185" t="s">
        <v>25</v>
      </c>
      <c r="Y185">
        <v>155.15600000000001</v>
      </c>
      <c r="Z185" t="s">
        <v>20</v>
      </c>
      <c r="AA185" t="s">
        <v>20</v>
      </c>
      <c r="AB185">
        <v>282</v>
      </c>
      <c r="AC185" t="s">
        <v>1314</v>
      </c>
      <c r="AD185" t="s">
        <v>20</v>
      </c>
      <c r="AE185" t="s">
        <v>1353</v>
      </c>
      <c r="AF185" t="s">
        <v>20</v>
      </c>
      <c r="AG185">
        <v>174.203</v>
      </c>
      <c r="AH185" t="s">
        <v>20</v>
      </c>
      <c r="AI185" t="s">
        <v>20</v>
      </c>
      <c r="AJ185">
        <v>407</v>
      </c>
      <c r="AK185" t="s">
        <v>1315</v>
      </c>
      <c r="AL185" t="s">
        <v>20</v>
      </c>
      <c r="AM185" t="s">
        <v>1354</v>
      </c>
      <c r="AN185" t="s">
        <v>20</v>
      </c>
      <c r="AO185">
        <v>119.119</v>
      </c>
      <c r="AP185" t="s">
        <v>20</v>
      </c>
      <c r="AQ185" t="s">
        <v>20</v>
      </c>
    </row>
    <row r="186" spans="1:43" x14ac:dyDescent="0.25">
      <c r="A186">
        <v>6</v>
      </c>
      <c r="B186" t="s">
        <v>236</v>
      </c>
      <c r="C186" t="str">
        <f>HYPERLINK("http://www.ncbi.nlm.nih.gov/protein/XP_013927643.1","XP_013927643.1")</f>
        <v>XP_013927643.1</v>
      </c>
      <c r="D186">
        <v>25644</v>
      </c>
      <c r="E186" t="str">
        <f>HYPERLINK("http://www.ncbi.nlm.nih.gov/Taxonomy/Browser/wwwtax.cgi?mode=Info&amp;id=35019&amp;lvl=3&amp;lin=f&amp;keep=1&amp;srchmode=1&amp;unlock","35019")</f>
        <v>35019</v>
      </c>
      <c r="F186" t="s">
        <v>236</v>
      </c>
      <c r="G186" t="str">
        <f>HYPERLINK("http://www.ncbi.nlm.nih.gov/Taxonomy/Browser/wwwtax.cgi?mode=Info&amp;id=35019&amp;lvl=3&amp;lin=f&amp;keep=1&amp;srchmode=1&amp;unlock","Thamnophis sirtalis")</f>
        <v>Thamnophis sirtalis</v>
      </c>
      <c r="H186" t="s">
        <v>653</v>
      </c>
      <c r="I186" t="str">
        <f>HYPERLINK("http://www.ncbi.nlm.nih.gov/protein/XP_013927643.1","PREDICTED: androgen receptor")</f>
        <v>PREDICTED: androgen receptor</v>
      </c>
      <c r="J186" t="s">
        <v>1321</v>
      </c>
      <c r="K186" t="s">
        <v>25</v>
      </c>
      <c r="L186" t="s">
        <v>1317</v>
      </c>
      <c r="M186" t="s">
        <v>1317</v>
      </c>
      <c r="N186" t="s">
        <v>25</v>
      </c>
      <c r="O186" t="s">
        <v>1317</v>
      </c>
      <c r="P186" t="s">
        <v>25</v>
      </c>
      <c r="Q186" t="s">
        <v>1317</v>
      </c>
      <c r="R186" t="s">
        <v>25</v>
      </c>
      <c r="S186" t="s">
        <v>25</v>
      </c>
      <c r="T186" t="s">
        <v>1317</v>
      </c>
      <c r="U186" t="s">
        <v>1317</v>
      </c>
      <c r="V186" t="s">
        <v>25</v>
      </c>
      <c r="W186" t="s">
        <v>1317</v>
      </c>
      <c r="X186" t="s">
        <v>25</v>
      </c>
      <c r="Y186" t="s">
        <v>1317</v>
      </c>
      <c r="Z186" t="s">
        <v>25</v>
      </c>
      <c r="AA186" t="s">
        <v>25</v>
      </c>
      <c r="AB186">
        <v>19</v>
      </c>
      <c r="AC186" t="s">
        <v>1314</v>
      </c>
      <c r="AD186" t="s">
        <v>20</v>
      </c>
      <c r="AE186" t="s">
        <v>1353</v>
      </c>
      <c r="AF186" t="s">
        <v>20</v>
      </c>
      <c r="AG186">
        <v>174.203</v>
      </c>
      <c r="AH186" t="s">
        <v>20</v>
      </c>
      <c r="AI186" t="s">
        <v>20</v>
      </c>
      <c r="AJ186">
        <v>144</v>
      </c>
      <c r="AK186" t="s">
        <v>1315</v>
      </c>
      <c r="AL186" t="s">
        <v>20</v>
      </c>
      <c r="AM186" t="s">
        <v>1354</v>
      </c>
      <c r="AN186" t="s">
        <v>20</v>
      </c>
      <c r="AO186">
        <v>119.119</v>
      </c>
      <c r="AP186" t="s">
        <v>20</v>
      </c>
      <c r="AQ186" t="s">
        <v>20</v>
      </c>
    </row>
    <row r="187" spans="1:43" x14ac:dyDescent="0.25">
      <c r="A187">
        <v>6</v>
      </c>
      <c r="B187" t="s">
        <v>236</v>
      </c>
      <c r="C187" t="str">
        <f>HYPERLINK("http://www.ncbi.nlm.nih.gov/protein/KAF7241998.1","KAF7241998.1")</f>
        <v>KAF7241998.1</v>
      </c>
      <c r="D187">
        <v>18342</v>
      </c>
      <c r="E187" t="str">
        <f>HYPERLINK("http://www.ncbi.nlm.nih.gov/Taxonomy/Browser/wwwtax.cgi?mode=Info&amp;id=61221&amp;lvl=3&amp;lin=f&amp;keep=1&amp;srchmode=1&amp;unlock","61221")</f>
        <v>61221</v>
      </c>
      <c r="F187" t="s">
        <v>236</v>
      </c>
      <c r="G187" t="str">
        <f>HYPERLINK("http://www.ncbi.nlm.nih.gov/Taxonomy/Browser/wwwtax.cgi?mode=Info&amp;id=61221&amp;lvl=3&amp;lin=f&amp;keep=1&amp;srchmode=1&amp;unlock","Varanus komodoensis")</f>
        <v>Varanus komodoensis</v>
      </c>
      <c r="H187" t="s">
        <v>333</v>
      </c>
      <c r="I187" t="str">
        <f>HYPERLINK("http://www.ncbi.nlm.nih.gov/protein/KAF7241998.1","Androgen receptor")</f>
        <v>Androgen receptor</v>
      </c>
      <c r="J187" t="s">
        <v>1321</v>
      </c>
      <c r="K187" t="s">
        <v>25</v>
      </c>
      <c r="L187" t="s">
        <v>1317</v>
      </c>
      <c r="M187" t="s">
        <v>1317</v>
      </c>
      <c r="N187" t="s">
        <v>25</v>
      </c>
      <c r="O187" t="s">
        <v>1317</v>
      </c>
      <c r="P187" t="s">
        <v>25</v>
      </c>
      <c r="Q187" t="s">
        <v>1317</v>
      </c>
      <c r="R187" t="s">
        <v>25</v>
      </c>
      <c r="S187" t="s">
        <v>25</v>
      </c>
      <c r="T187" t="s">
        <v>1317</v>
      </c>
      <c r="U187" t="s">
        <v>1317</v>
      </c>
      <c r="V187" t="s">
        <v>25</v>
      </c>
      <c r="W187" t="s">
        <v>1317</v>
      </c>
      <c r="X187" t="s">
        <v>25</v>
      </c>
      <c r="Y187" t="s">
        <v>1317</v>
      </c>
      <c r="Z187" t="s">
        <v>25</v>
      </c>
      <c r="AA187" t="s">
        <v>25</v>
      </c>
      <c r="AB187">
        <v>19</v>
      </c>
      <c r="AC187" t="s">
        <v>1314</v>
      </c>
      <c r="AD187" t="s">
        <v>20</v>
      </c>
      <c r="AE187" t="s">
        <v>1353</v>
      </c>
      <c r="AF187" t="s">
        <v>20</v>
      </c>
      <c r="AG187">
        <v>174.203</v>
      </c>
      <c r="AH187" t="s">
        <v>20</v>
      </c>
      <c r="AI187" t="s">
        <v>20</v>
      </c>
      <c r="AJ187">
        <v>144</v>
      </c>
      <c r="AK187" t="s">
        <v>1315</v>
      </c>
      <c r="AL187" t="s">
        <v>20</v>
      </c>
      <c r="AM187" t="s">
        <v>1354</v>
      </c>
      <c r="AN187" t="s">
        <v>20</v>
      </c>
      <c r="AO187">
        <v>119.119</v>
      </c>
      <c r="AP187" t="s">
        <v>20</v>
      </c>
      <c r="AQ187" t="s">
        <v>20</v>
      </c>
    </row>
    <row r="188" spans="1:43" x14ac:dyDescent="0.25">
      <c r="A188">
        <v>6</v>
      </c>
      <c r="B188" t="s">
        <v>321</v>
      </c>
      <c r="C188" t="str">
        <f>HYPERLINK("http://www.ncbi.nlm.nih.gov/protein/XP_039344727.1","XP_039344727.1")</f>
        <v>XP_039344727.1</v>
      </c>
      <c r="D188">
        <v>67728</v>
      </c>
      <c r="E188" t="str">
        <f>HYPERLINK("http://www.ncbi.nlm.nih.gov/Taxonomy/Browser/wwwtax.cgi?mode=Info&amp;id=260615&amp;lvl=3&amp;lin=f&amp;keep=1&amp;srchmode=1&amp;unlock","260615")</f>
        <v>260615</v>
      </c>
      <c r="F188" t="s">
        <v>321</v>
      </c>
      <c r="G188" t="str">
        <f>HYPERLINK("http://www.ncbi.nlm.nih.gov/Taxonomy/Browser/wwwtax.cgi?mode=Info&amp;id=260615&amp;lvl=3&amp;lin=f&amp;keep=1&amp;srchmode=1&amp;unlock","Mauremys reevesii")</f>
        <v>Mauremys reevesii</v>
      </c>
      <c r="H188" t="s">
        <v>362</v>
      </c>
      <c r="I188" t="str">
        <f>HYPERLINK("http://www.ncbi.nlm.nih.gov/protein/XP_039344727.1","androgen receptor")</f>
        <v>androgen receptor</v>
      </c>
      <c r="J188" t="s">
        <v>1322</v>
      </c>
      <c r="K188" t="s">
        <v>20</v>
      </c>
      <c r="L188">
        <v>576</v>
      </c>
      <c r="M188" t="s">
        <v>25</v>
      </c>
      <c r="N188" t="s">
        <v>20</v>
      </c>
      <c r="O188" t="s">
        <v>1352</v>
      </c>
      <c r="P188" t="s">
        <v>20</v>
      </c>
      <c r="Q188">
        <v>132.119</v>
      </c>
      <c r="R188" t="s">
        <v>20</v>
      </c>
      <c r="S188" t="s">
        <v>20</v>
      </c>
      <c r="T188">
        <v>582</v>
      </c>
      <c r="U188" t="s">
        <v>1313</v>
      </c>
      <c r="V188" t="s">
        <v>20</v>
      </c>
      <c r="W188" t="s">
        <v>1352</v>
      </c>
      <c r="X188" t="s">
        <v>20</v>
      </c>
      <c r="Y188">
        <v>146.14599999999999</v>
      </c>
      <c r="Z188" t="s">
        <v>20</v>
      </c>
      <c r="AA188" t="s">
        <v>20</v>
      </c>
      <c r="AB188">
        <v>623</v>
      </c>
      <c r="AC188" t="s">
        <v>1314</v>
      </c>
      <c r="AD188" t="s">
        <v>20</v>
      </c>
      <c r="AE188" t="s">
        <v>1353</v>
      </c>
      <c r="AF188" t="s">
        <v>20</v>
      </c>
      <c r="AG188">
        <v>174.203</v>
      </c>
      <c r="AH188" t="s">
        <v>20</v>
      </c>
      <c r="AI188" t="s">
        <v>20</v>
      </c>
      <c r="AJ188">
        <v>748</v>
      </c>
      <c r="AK188" t="s">
        <v>1315</v>
      </c>
      <c r="AL188" t="s">
        <v>20</v>
      </c>
      <c r="AM188" t="s">
        <v>1354</v>
      </c>
      <c r="AN188" t="s">
        <v>20</v>
      </c>
      <c r="AO188">
        <v>119.119</v>
      </c>
      <c r="AP188" t="s">
        <v>20</v>
      </c>
      <c r="AQ188" t="s">
        <v>20</v>
      </c>
    </row>
    <row r="189" spans="1:43" x14ac:dyDescent="0.25">
      <c r="A189">
        <v>6</v>
      </c>
      <c r="B189" t="s">
        <v>321</v>
      </c>
      <c r="C189" t="str">
        <f>HYPERLINK("http://www.ncbi.nlm.nih.gov/protein/XP_030431532.1","XP_030431532.1")</f>
        <v>XP_030431532.1</v>
      </c>
      <c r="D189">
        <v>50866</v>
      </c>
      <c r="E189" t="str">
        <f>HYPERLINK("http://www.ncbi.nlm.nih.gov/Taxonomy/Browser/wwwtax.cgi?mode=Info&amp;id=1825980&amp;lvl=3&amp;lin=f&amp;keep=1&amp;srchmode=1&amp;unlock","1825980")</f>
        <v>1825980</v>
      </c>
      <c r="F189" t="s">
        <v>321</v>
      </c>
      <c r="G189" t="str">
        <f>HYPERLINK("http://www.ncbi.nlm.nih.gov/Taxonomy/Browser/wwwtax.cgi?mode=Info&amp;id=1825980&amp;lvl=3&amp;lin=f&amp;keep=1&amp;srchmode=1&amp;unlock","Gopherus evgoodei")</f>
        <v>Gopherus evgoodei</v>
      </c>
      <c r="H189" t="s">
        <v>398</v>
      </c>
      <c r="I189" t="str">
        <f>HYPERLINK("http://www.ncbi.nlm.nih.gov/protein/XP_030431532.1","androgen receptor isoform X2")</f>
        <v>androgen receptor isoform X2</v>
      </c>
      <c r="J189" t="s">
        <v>1322</v>
      </c>
      <c r="K189" t="s">
        <v>20</v>
      </c>
      <c r="L189">
        <v>576</v>
      </c>
      <c r="M189" t="s">
        <v>25</v>
      </c>
      <c r="N189" t="s">
        <v>20</v>
      </c>
      <c r="O189" t="s">
        <v>1352</v>
      </c>
      <c r="P189" t="s">
        <v>20</v>
      </c>
      <c r="Q189">
        <v>132.119</v>
      </c>
      <c r="R189" t="s">
        <v>20</v>
      </c>
      <c r="S189" t="s">
        <v>20</v>
      </c>
      <c r="T189">
        <v>582</v>
      </c>
      <c r="U189" t="s">
        <v>1313</v>
      </c>
      <c r="V189" t="s">
        <v>20</v>
      </c>
      <c r="W189" t="s">
        <v>1352</v>
      </c>
      <c r="X189" t="s">
        <v>20</v>
      </c>
      <c r="Y189">
        <v>146.14599999999999</v>
      </c>
      <c r="Z189" t="s">
        <v>20</v>
      </c>
      <c r="AA189" t="s">
        <v>20</v>
      </c>
      <c r="AB189">
        <v>623</v>
      </c>
      <c r="AC189" t="s">
        <v>1314</v>
      </c>
      <c r="AD189" t="s">
        <v>20</v>
      </c>
      <c r="AE189" t="s">
        <v>1353</v>
      </c>
      <c r="AF189" t="s">
        <v>20</v>
      </c>
      <c r="AG189">
        <v>174.203</v>
      </c>
      <c r="AH189" t="s">
        <v>20</v>
      </c>
      <c r="AI189" t="s">
        <v>20</v>
      </c>
      <c r="AJ189">
        <v>748</v>
      </c>
      <c r="AK189" t="s">
        <v>1315</v>
      </c>
      <c r="AL189" t="s">
        <v>20</v>
      </c>
      <c r="AM189" t="s">
        <v>1354</v>
      </c>
      <c r="AN189" t="s">
        <v>20</v>
      </c>
      <c r="AO189">
        <v>119.119</v>
      </c>
      <c r="AP189" t="s">
        <v>20</v>
      </c>
      <c r="AQ189" t="s">
        <v>20</v>
      </c>
    </row>
    <row r="190" spans="1:43" x14ac:dyDescent="0.25">
      <c r="A190">
        <v>6</v>
      </c>
      <c r="B190" t="s">
        <v>321</v>
      </c>
      <c r="C190" t="str">
        <f>HYPERLINK("http://www.ncbi.nlm.nih.gov/protein/XP_032619939.1","XP_032619939.1")</f>
        <v>XP_032619939.1</v>
      </c>
      <c r="D190">
        <v>44406</v>
      </c>
      <c r="E190" t="str">
        <f>HYPERLINK("http://www.ncbi.nlm.nih.gov/Taxonomy/Browser/wwwtax.cgi?mode=Info&amp;id=106734&amp;lvl=3&amp;lin=f&amp;keep=1&amp;srchmode=1&amp;unlock","106734")</f>
        <v>106734</v>
      </c>
      <c r="F190" t="s">
        <v>321</v>
      </c>
      <c r="G190" t="str">
        <f>HYPERLINK("http://www.ncbi.nlm.nih.gov/Taxonomy/Browser/wwwtax.cgi?mode=Info&amp;id=106734&amp;lvl=3&amp;lin=f&amp;keep=1&amp;srchmode=1&amp;unlock","Chelonoidis abingdonii")</f>
        <v>Chelonoidis abingdonii</v>
      </c>
      <c r="H190" t="s">
        <v>330</v>
      </c>
      <c r="I190" t="str">
        <f>HYPERLINK("http://www.ncbi.nlm.nih.gov/protein/XP_032619939.1","androgen receptor")</f>
        <v>androgen receptor</v>
      </c>
      <c r="J190" t="s">
        <v>1322</v>
      </c>
      <c r="K190" t="s">
        <v>20</v>
      </c>
      <c r="L190">
        <v>576</v>
      </c>
      <c r="M190" t="s">
        <v>25</v>
      </c>
      <c r="N190" t="s">
        <v>20</v>
      </c>
      <c r="O190" t="s">
        <v>1352</v>
      </c>
      <c r="P190" t="s">
        <v>20</v>
      </c>
      <c r="Q190">
        <v>132.119</v>
      </c>
      <c r="R190" t="s">
        <v>20</v>
      </c>
      <c r="S190" t="s">
        <v>20</v>
      </c>
      <c r="T190">
        <v>582</v>
      </c>
      <c r="U190" t="s">
        <v>1313</v>
      </c>
      <c r="V190" t="s">
        <v>20</v>
      </c>
      <c r="W190" t="s">
        <v>1352</v>
      </c>
      <c r="X190" t="s">
        <v>20</v>
      </c>
      <c r="Y190">
        <v>146.14599999999999</v>
      </c>
      <c r="Z190" t="s">
        <v>20</v>
      </c>
      <c r="AA190" t="s">
        <v>20</v>
      </c>
      <c r="AB190">
        <v>623</v>
      </c>
      <c r="AC190" t="s">
        <v>1314</v>
      </c>
      <c r="AD190" t="s">
        <v>20</v>
      </c>
      <c r="AE190" t="s">
        <v>1353</v>
      </c>
      <c r="AF190" t="s">
        <v>20</v>
      </c>
      <c r="AG190">
        <v>174.203</v>
      </c>
      <c r="AH190" t="s">
        <v>20</v>
      </c>
      <c r="AI190" t="s">
        <v>20</v>
      </c>
      <c r="AJ190">
        <v>748</v>
      </c>
      <c r="AK190" t="s">
        <v>1315</v>
      </c>
      <c r="AL190" t="s">
        <v>20</v>
      </c>
      <c r="AM190" t="s">
        <v>1354</v>
      </c>
      <c r="AN190" t="s">
        <v>20</v>
      </c>
      <c r="AO190">
        <v>119.119</v>
      </c>
      <c r="AP190" t="s">
        <v>20</v>
      </c>
      <c r="AQ190" t="s">
        <v>20</v>
      </c>
    </row>
    <row r="191" spans="1:43" x14ac:dyDescent="0.25">
      <c r="A191">
        <v>6</v>
      </c>
      <c r="B191" t="s">
        <v>321</v>
      </c>
      <c r="C191" t="str">
        <f>HYPERLINK("http://www.ncbi.nlm.nih.gov/protein/XP_024053085.1","XP_024053085.1")</f>
        <v>XP_024053085.1</v>
      </c>
      <c r="D191">
        <v>34224</v>
      </c>
      <c r="E191" t="str">
        <f>HYPERLINK("http://www.ncbi.nlm.nih.gov/Taxonomy/Browser/wwwtax.cgi?mode=Info&amp;id=2587831&amp;lvl=3&amp;lin=f&amp;keep=1&amp;srchmode=1&amp;unlock","2587831")</f>
        <v>2587831</v>
      </c>
      <c r="F191" t="s">
        <v>321</v>
      </c>
      <c r="G191" t="str">
        <f>HYPERLINK("http://www.ncbi.nlm.nih.gov/Taxonomy/Browser/wwwtax.cgi?mode=Info&amp;id=2587831&amp;lvl=3&amp;lin=f&amp;keep=1&amp;srchmode=1&amp;unlock","Terrapene carolina triunguis")</f>
        <v>Terrapene carolina triunguis</v>
      </c>
      <c r="H191" t="s">
        <v>322</v>
      </c>
      <c r="I191" t="str">
        <f>HYPERLINK("http://www.ncbi.nlm.nih.gov/protein/XP_024053085.1","androgen receptor")</f>
        <v>androgen receptor</v>
      </c>
      <c r="J191" t="s">
        <v>1322</v>
      </c>
      <c r="K191" t="s">
        <v>20</v>
      </c>
      <c r="L191">
        <v>576</v>
      </c>
      <c r="M191" t="s">
        <v>25</v>
      </c>
      <c r="N191" t="s">
        <v>20</v>
      </c>
      <c r="O191" t="s">
        <v>1352</v>
      </c>
      <c r="P191" t="s">
        <v>20</v>
      </c>
      <c r="Q191">
        <v>132.119</v>
      </c>
      <c r="R191" t="s">
        <v>20</v>
      </c>
      <c r="S191" t="s">
        <v>20</v>
      </c>
      <c r="T191">
        <v>582</v>
      </c>
      <c r="U191" t="s">
        <v>1313</v>
      </c>
      <c r="V191" t="s">
        <v>20</v>
      </c>
      <c r="W191" t="s">
        <v>1352</v>
      </c>
      <c r="X191" t="s">
        <v>20</v>
      </c>
      <c r="Y191">
        <v>146.14599999999999</v>
      </c>
      <c r="Z191" t="s">
        <v>20</v>
      </c>
      <c r="AA191" t="s">
        <v>20</v>
      </c>
      <c r="AB191">
        <v>623</v>
      </c>
      <c r="AC191" t="s">
        <v>1314</v>
      </c>
      <c r="AD191" t="s">
        <v>20</v>
      </c>
      <c r="AE191" t="s">
        <v>1353</v>
      </c>
      <c r="AF191" t="s">
        <v>20</v>
      </c>
      <c r="AG191">
        <v>174.203</v>
      </c>
      <c r="AH191" t="s">
        <v>20</v>
      </c>
      <c r="AI191" t="s">
        <v>20</v>
      </c>
      <c r="AJ191">
        <v>748</v>
      </c>
      <c r="AK191" t="s">
        <v>1315</v>
      </c>
      <c r="AL191" t="s">
        <v>20</v>
      </c>
      <c r="AM191" t="s">
        <v>1354</v>
      </c>
      <c r="AN191" t="s">
        <v>20</v>
      </c>
      <c r="AO191">
        <v>119.119</v>
      </c>
      <c r="AP191" t="s">
        <v>20</v>
      </c>
      <c r="AQ191" t="s">
        <v>20</v>
      </c>
    </row>
    <row r="192" spans="1:43" x14ac:dyDescent="0.25">
      <c r="A192">
        <v>6</v>
      </c>
      <c r="B192" t="s">
        <v>321</v>
      </c>
      <c r="C192" t="str">
        <f>HYPERLINK("http://www.ncbi.nlm.nih.gov/protein/BAF91192.1","BAF91192.1")</f>
        <v>BAF91192.1</v>
      </c>
      <c r="D192">
        <v>54</v>
      </c>
      <c r="E192" t="str">
        <f>HYPERLINK("http://www.ncbi.nlm.nih.gov/Taxonomy/Browser/wwwtax.cgi?mode=Info&amp;id=301539&amp;lvl=3&amp;lin=f&amp;keep=1&amp;srchmode=1&amp;unlock","301539")</f>
        <v>301539</v>
      </c>
      <c r="F192" t="s">
        <v>321</v>
      </c>
      <c r="G192" t="str">
        <f>HYPERLINK("http://www.ncbi.nlm.nih.gov/Taxonomy/Browser/wwwtax.cgi?mode=Info&amp;id=301539&amp;lvl=3&amp;lin=f&amp;keep=1&amp;srchmode=1&amp;unlock","Pseudemys nelsoni")</f>
        <v>Pseudemys nelsoni</v>
      </c>
      <c r="H192" t="s">
        <v>974</v>
      </c>
      <c r="I192" t="str">
        <f>HYPERLINK("http://www.ncbi.nlm.nih.gov/protein/BAF91192.1","androgen receptor")</f>
        <v>androgen receptor</v>
      </c>
      <c r="J192" t="s">
        <v>1322</v>
      </c>
      <c r="K192" t="s">
        <v>20</v>
      </c>
      <c r="L192">
        <v>576</v>
      </c>
      <c r="M192" t="s">
        <v>25</v>
      </c>
      <c r="N192" t="s">
        <v>20</v>
      </c>
      <c r="O192" t="s">
        <v>1352</v>
      </c>
      <c r="P192" t="s">
        <v>20</v>
      </c>
      <c r="Q192">
        <v>132.119</v>
      </c>
      <c r="R192" t="s">
        <v>20</v>
      </c>
      <c r="S192" t="s">
        <v>20</v>
      </c>
      <c r="T192">
        <v>582</v>
      </c>
      <c r="U192" t="s">
        <v>1313</v>
      </c>
      <c r="V192" t="s">
        <v>20</v>
      </c>
      <c r="W192" t="s">
        <v>1352</v>
      </c>
      <c r="X192" t="s">
        <v>20</v>
      </c>
      <c r="Y192">
        <v>146.14599999999999</v>
      </c>
      <c r="Z192" t="s">
        <v>20</v>
      </c>
      <c r="AA192" t="s">
        <v>20</v>
      </c>
      <c r="AB192">
        <v>623</v>
      </c>
      <c r="AC192" t="s">
        <v>1314</v>
      </c>
      <c r="AD192" t="s">
        <v>20</v>
      </c>
      <c r="AE192" t="s">
        <v>1353</v>
      </c>
      <c r="AF192" t="s">
        <v>20</v>
      </c>
      <c r="AG192">
        <v>174.203</v>
      </c>
      <c r="AH192" t="s">
        <v>20</v>
      </c>
      <c r="AI192" t="s">
        <v>20</v>
      </c>
      <c r="AJ192">
        <v>748</v>
      </c>
      <c r="AK192" t="s">
        <v>1315</v>
      </c>
      <c r="AL192" t="s">
        <v>20</v>
      </c>
      <c r="AM192" t="s">
        <v>1354</v>
      </c>
      <c r="AN192" t="s">
        <v>20</v>
      </c>
      <c r="AO192">
        <v>119.119</v>
      </c>
      <c r="AP192" t="s">
        <v>20</v>
      </c>
      <c r="AQ192" t="s">
        <v>20</v>
      </c>
    </row>
    <row r="193" spans="1:43" x14ac:dyDescent="0.25">
      <c r="A193">
        <v>6</v>
      </c>
      <c r="B193" t="s">
        <v>321</v>
      </c>
      <c r="C193" t="str">
        <f>HYPERLINK("http://www.ncbi.nlm.nih.gov/protein/XP_005279584.1","XP_005279584.1")</f>
        <v>XP_005279584.1</v>
      </c>
      <c r="D193">
        <v>46669</v>
      </c>
      <c r="E193" t="str">
        <f>HYPERLINK("http://www.ncbi.nlm.nih.gov/Taxonomy/Browser/wwwtax.cgi?mode=Info&amp;id=8478&amp;lvl=3&amp;lin=f&amp;keep=1&amp;srchmode=1&amp;unlock","8478")</f>
        <v>8478</v>
      </c>
      <c r="F193" t="s">
        <v>321</v>
      </c>
      <c r="G193" t="str">
        <f>HYPERLINK("http://www.ncbi.nlm.nih.gov/Taxonomy/Browser/wwwtax.cgi?mode=Info&amp;id=8478&amp;lvl=3&amp;lin=f&amp;keep=1&amp;srchmode=1&amp;unlock","Chrysemys picta bellii")</f>
        <v>Chrysemys picta bellii</v>
      </c>
      <c r="H193" t="s">
        <v>342</v>
      </c>
      <c r="I193" t="str">
        <f>HYPERLINK("http://www.ncbi.nlm.nih.gov/protein/XP_005279584.1","androgen receptor")</f>
        <v>androgen receptor</v>
      </c>
      <c r="J193" t="s">
        <v>1322</v>
      </c>
      <c r="K193" t="s">
        <v>20</v>
      </c>
      <c r="L193">
        <v>576</v>
      </c>
      <c r="M193" t="s">
        <v>25</v>
      </c>
      <c r="N193" t="s">
        <v>20</v>
      </c>
      <c r="O193" t="s">
        <v>1352</v>
      </c>
      <c r="P193" t="s">
        <v>20</v>
      </c>
      <c r="Q193">
        <v>132.119</v>
      </c>
      <c r="R193" t="s">
        <v>20</v>
      </c>
      <c r="S193" t="s">
        <v>20</v>
      </c>
      <c r="T193">
        <v>582</v>
      </c>
      <c r="U193" t="s">
        <v>1313</v>
      </c>
      <c r="V193" t="s">
        <v>20</v>
      </c>
      <c r="W193" t="s">
        <v>1352</v>
      </c>
      <c r="X193" t="s">
        <v>20</v>
      </c>
      <c r="Y193">
        <v>146.14599999999999</v>
      </c>
      <c r="Z193" t="s">
        <v>20</v>
      </c>
      <c r="AA193" t="s">
        <v>20</v>
      </c>
      <c r="AB193">
        <v>623</v>
      </c>
      <c r="AC193" t="s">
        <v>1314</v>
      </c>
      <c r="AD193" t="s">
        <v>20</v>
      </c>
      <c r="AE193" t="s">
        <v>1353</v>
      </c>
      <c r="AF193" t="s">
        <v>20</v>
      </c>
      <c r="AG193">
        <v>174.203</v>
      </c>
      <c r="AH193" t="s">
        <v>20</v>
      </c>
      <c r="AI193" t="s">
        <v>20</v>
      </c>
      <c r="AJ193">
        <v>748</v>
      </c>
      <c r="AK193" t="s">
        <v>1315</v>
      </c>
      <c r="AL193" t="s">
        <v>20</v>
      </c>
      <c r="AM193" t="s">
        <v>1354</v>
      </c>
      <c r="AN193" t="s">
        <v>20</v>
      </c>
      <c r="AO193">
        <v>119.119</v>
      </c>
      <c r="AP193" t="s">
        <v>20</v>
      </c>
      <c r="AQ193" t="s">
        <v>20</v>
      </c>
    </row>
    <row r="194" spans="1:43" x14ac:dyDescent="0.25">
      <c r="A194">
        <v>6</v>
      </c>
      <c r="B194" t="s">
        <v>321</v>
      </c>
      <c r="C194" t="str">
        <f>HYPERLINK("http://www.ncbi.nlm.nih.gov/protein/XP_034637801.1","XP_034637801.1")</f>
        <v>XP_034637801.1</v>
      </c>
      <c r="D194">
        <v>42365</v>
      </c>
      <c r="E194" t="str">
        <f>HYPERLINK("http://www.ncbi.nlm.nih.gov/Taxonomy/Browser/wwwtax.cgi?mode=Info&amp;id=31138&amp;lvl=3&amp;lin=f&amp;keep=1&amp;srchmode=1&amp;unlock","31138")</f>
        <v>31138</v>
      </c>
      <c r="F194" t="s">
        <v>321</v>
      </c>
      <c r="G194" t="str">
        <f>HYPERLINK("http://www.ncbi.nlm.nih.gov/Taxonomy/Browser/wwwtax.cgi?mode=Info&amp;id=31138&amp;lvl=3&amp;lin=f&amp;keep=1&amp;srchmode=1&amp;unlock","Trachemys scripta elegans")</f>
        <v>Trachemys scripta elegans</v>
      </c>
      <c r="H194" t="s">
        <v>343</v>
      </c>
      <c r="I194" t="str">
        <f>HYPERLINK("http://www.ncbi.nlm.nih.gov/protein/XP_034637801.1","androgen receptor")</f>
        <v>androgen receptor</v>
      </c>
      <c r="J194" t="s">
        <v>1322</v>
      </c>
      <c r="K194" t="s">
        <v>20</v>
      </c>
      <c r="L194">
        <v>576</v>
      </c>
      <c r="M194" t="s">
        <v>25</v>
      </c>
      <c r="N194" t="s">
        <v>20</v>
      </c>
      <c r="O194" t="s">
        <v>1352</v>
      </c>
      <c r="P194" t="s">
        <v>20</v>
      </c>
      <c r="Q194">
        <v>132.119</v>
      </c>
      <c r="R194" t="s">
        <v>20</v>
      </c>
      <c r="S194" t="s">
        <v>20</v>
      </c>
      <c r="T194">
        <v>582</v>
      </c>
      <c r="U194" t="s">
        <v>1313</v>
      </c>
      <c r="V194" t="s">
        <v>20</v>
      </c>
      <c r="W194" t="s">
        <v>1352</v>
      </c>
      <c r="X194" t="s">
        <v>20</v>
      </c>
      <c r="Y194">
        <v>146.14599999999999</v>
      </c>
      <c r="Z194" t="s">
        <v>20</v>
      </c>
      <c r="AA194" t="s">
        <v>20</v>
      </c>
      <c r="AB194">
        <v>623</v>
      </c>
      <c r="AC194" t="s">
        <v>1314</v>
      </c>
      <c r="AD194" t="s">
        <v>20</v>
      </c>
      <c r="AE194" t="s">
        <v>1353</v>
      </c>
      <c r="AF194" t="s">
        <v>20</v>
      </c>
      <c r="AG194">
        <v>174.203</v>
      </c>
      <c r="AH194" t="s">
        <v>20</v>
      </c>
      <c r="AI194" t="s">
        <v>20</v>
      </c>
      <c r="AJ194">
        <v>748</v>
      </c>
      <c r="AK194" t="s">
        <v>1315</v>
      </c>
      <c r="AL194" t="s">
        <v>20</v>
      </c>
      <c r="AM194" t="s">
        <v>1354</v>
      </c>
      <c r="AN194" t="s">
        <v>20</v>
      </c>
      <c r="AO194">
        <v>119.119</v>
      </c>
      <c r="AP194" t="s">
        <v>20</v>
      </c>
      <c r="AQ194" t="s">
        <v>20</v>
      </c>
    </row>
    <row r="195" spans="1:43" x14ac:dyDescent="0.25">
      <c r="A195">
        <v>6</v>
      </c>
      <c r="B195" t="s">
        <v>321</v>
      </c>
      <c r="C195" t="str">
        <f>HYPERLINK("http://www.ncbi.nlm.nih.gov/protein/XP_027678463.2","XP_027678463.2")</f>
        <v>XP_027678463.2</v>
      </c>
      <c r="D195">
        <v>69371</v>
      </c>
      <c r="E195" t="str">
        <f>HYPERLINK("http://www.ncbi.nlm.nih.gov/Taxonomy/Browser/wwwtax.cgi?mode=Info&amp;id=8469&amp;lvl=3&amp;lin=f&amp;keep=1&amp;srchmode=1&amp;unlock","8469")</f>
        <v>8469</v>
      </c>
      <c r="F195" t="s">
        <v>321</v>
      </c>
      <c r="G195" t="str">
        <f>HYPERLINK("http://www.ncbi.nlm.nih.gov/Taxonomy/Browser/wwwtax.cgi?mode=Info&amp;id=8469&amp;lvl=3&amp;lin=f&amp;keep=1&amp;srchmode=1&amp;unlock","Chelonia mydas")</f>
        <v>Chelonia mydas</v>
      </c>
      <c r="H195" t="s">
        <v>349</v>
      </c>
      <c r="I195" t="str">
        <f>HYPERLINK("http://www.ncbi.nlm.nih.gov/protein/XP_027678463.2","androgen receptor")</f>
        <v>androgen receptor</v>
      </c>
      <c r="J195" t="s">
        <v>1322</v>
      </c>
      <c r="K195" t="s">
        <v>20</v>
      </c>
      <c r="L195">
        <v>576</v>
      </c>
      <c r="M195" t="s">
        <v>25</v>
      </c>
      <c r="N195" t="s">
        <v>20</v>
      </c>
      <c r="O195" t="s">
        <v>1352</v>
      </c>
      <c r="P195" t="s">
        <v>20</v>
      </c>
      <c r="Q195">
        <v>132.119</v>
      </c>
      <c r="R195" t="s">
        <v>20</v>
      </c>
      <c r="S195" t="s">
        <v>20</v>
      </c>
      <c r="T195">
        <v>582</v>
      </c>
      <c r="U195" t="s">
        <v>1313</v>
      </c>
      <c r="V195" t="s">
        <v>20</v>
      </c>
      <c r="W195" t="s">
        <v>1352</v>
      </c>
      <c r="X195" t="s">
        <v>20</v>
      </c>
      <c r="Y195">
        <v>146.14599999999999</v>
      </c>
      <c r="Z195" t="s">
        <v>20</v>
      </c>
      <c r="AA195" t="s">
        <v>20</v>
      </c>
      <c r="AB195">
        <v>623</v>
      </c>
      <c r="AC195" t="s">
        <v>1314</v>
      </c>
      <c r="AD195" t="s">
        <v>20</v>
      </c>
      <c r="AE195" t="s">
        <v>1353</v>
      </c>
      <c r="AF195" t="s">
        <v>20</v>
      </c>
      <c r="AG195">
        <v>174.203</v>
      </c>
      <c r="AH195" t="s">
        <v>20</v>
      </c>
      <c r="AI195" t="s">
        <v>20</v>
      </c>
      <c r="AJ195">
        <v>748</v>
      </c>
      <c r="AK195" t="s">
        <v>1315</v>
      </c>
      <c r="AL195" t="s">
        <v>20</v>
      </c>
      <c r="AM195" t="s">
        <v>1354</v>
      </c>
      <c r="AN195" t="s">
        <v>20</v>
      </c>
      <c r="AO195">
        <v>119.119</v>
      </c>
      <c r="AP195" t="s">
        <v>20</v>
      </c>
      <c r="AQ195" t="s">
        <v>20</v>
      </c>
    </row>
    <row r="196" spans="1:43" x14ac:dyDescent="0.25">
      <c r="A196">
        <v>6</v>
      </c>
      <c r="B196" t="s">
        <v>321</v>
      </c>
      <c r="C196" t="str">
        <f>HYPERLINK("http://www.ncbi.nlm.nih.gov/protein/XP_038273484.1","XP_038273484.1")</f>
        <v>XP_038273484.1</v>
      </c>
      <c r="D196">
        <v>55267</v>
      </c>
      <c r="E196" t="str">
        <f>HYPERLINK("http://www.ncbi.nlm.nih.gov/Taxonomy/Browser/wwwtax.cgi?mode=Info&amp;id=27794&amp;lvl=3&amp;lin=f&amp;keep=1&amp;srchmode=1&amp;unlock","27794")</f>
        <v>27794</v>
      </c>
      <c r="F196" t="s">
        <v>321</v>
      </c>
      <c r="G196" t="str">
        <f>HYPERLINK("http://www.ncbi.nlm.nih.gov/Taxonomy/Browser/wwwtax.cgi?mode=Info&amp;id=27794&amp;lvl=3&amp;lin=f&amp;keep=1&amp;srchmode=1&amp;unlock","Dermochelys coriacea")</f>
        <v>Dermochelys coriacea</v>
      </c>
      <c r="H196" t="s">
        <v>361</v>
      </c>
      <c r="I196" t="str">
        <f>HYPERLINK("http://www.ncbi.nlm.nih.gov/protein/XP_038273484.1","androgen receptor isoform X1")</f>
        <v>androgen receptor isoform X1</v>
      </c>
      <c r="J196" t="s">
        <v>1322</v>
      </c>
      <c r="K196" t="s">
        <v>20</v>
      </c>
      <c r="L196">
        <v>576</v>
      </c>
      <c r="M196" t="s">
        <v>25</v>
      </c>
      <c r="N196" t="s">
        <v>20</v>
      </c>
      <c r="O196" t="s">
        <v>1352</v>
      </c>
      <c r="P196" t="s">
        <v>20</v>
      </c>
      <c r="Q196">
        <v>132.119</v>
      </c>
      <c r="R196" t="s">
        <v>20</v>
      </c>
      <c r="S196" t="s">
        <v>20</v>
      </c>
      <c r="T196">
        <v>582</v>
      </c>
      <c r="U196" t="s">
        <v>1313</v>
      </c>
      <c r="V196" t="s">
        <v>20</v>
      </c>
      <c r="W196" t="s">
        <v>1352</v>
      </c>
      <c r="X196" t="s">
        <v>20</v>
      </c>
      <c r="Y196">
        <v>146.14599999999999</v>
      </c>
      <c r="Z196" t="s">
        <v>20</v>
      </c>
      <c r="AA196" t="s">
        <v>20</v>
      </c>
      <c r="AB196">
        <v>623</v>
      </c>
      <c r="AC196" t="s">
        <v>1314</v>
      </c>
      <c r="AD196" t="s">
        <v>20</v>
      </c>
      <c r="AE196" t="s">
        <v>1353</v>
      </c>
      <c r="AF196" t="s">
        <v>20</v>
      </c>
      <c r="AG196">
        <v>174.203</v>
      </c>
      <c r="AH196" t="s">
        <v>20</v>
      </c>
      <c r="AI196" t="s">
        <v>20</v>
      </c>
      <c r="AJ196">
        <v>748</v>
      </c>
      <c r="AK196" t="s">
        <v>1315</v>
      </c>
      <c r="AL196" t="s">
        <v>20</v>
      </c>
      <c r="AM196" t="s">
        <v>1354</v>
      </c>
      <c r="AN196" t="s">
        <v>20</v>
      </c>
      <c r="AO196">
        <v>119.119</v>
      </c>
      <c r="AP196" t="s">
        <v>20</v>
      </c>
      <c r="AQ196" t="s">
        <v>20</v>
      </c>
    </row>
    <row r="197" spans="1:43" x14ac:dyDescent="0.25">
      <c r="A197">
        <v>6</v>
      </c>
      <c r="B197" t="s">
        <v>167</v>
      </c>
      <c r="C197" t="str">
        <f>HYPERLINK("http://www.ncbi.nlm.nih.gov/protein/XP_021261575.1","XP_021261575.1")</f>
        <v>XP_021261575.1</v>
      </c>
      <c r="D197">
        <v>43424</v>
      </c>
      <c r="E197" t="str">
        <f>HYPERLINK("http://www.ncbi.nlm.nih.gov/Taxonomy/Browser/wwwtax.cgi?mode=Info&amp;id=8996&amp;lvl=3&amp;lin=f&amp;keep=1&amp;srchmode=1&amp;unlock","8996")</f>
        <v>8996</v>
      </c>
      <c r="F197" t="s">
        <v>167</v>
      </c>
      <c r="G197" t="str">
        <f>HYPERLINK("http://www.ncbi.nlm.nih.gov/Taxonomy/Browser/wwwtax.cgi?mode=Info&amp;id=8996&amp;lvl=3&amp;lin=f&amp;keep=1&amp;srchmode=1&amp;unlock","Numida meleagris")</f>
        <v>Numida meleagris</v>
      </c>
      <c r="H197" t="s">
        <v>454</v>
      </c>
      <c r="I197" t="str">
        <f>HYPERLINK("http://www.ncbi.nlm.nih.gov/protein/XP_021261575.1","androgen receptor")</f>
        <v>androgen receptor</v>
      </c>
      <c r="J197" t="s">
        <v>1323</v>
      </c>
      <c r="K197" t="s">
        <v>20</v>
      </c>
      <c r="L197">
        <v>493</v>
      </c>
      <c r="M197" t="s">
        <v>25</v>
      </c>
      <c r="N197" t="s">
        <v>20</v>
      </c>
      <c r="O197" t="s">
        <v>1352</v>
      </c>
      <c r="P197" t="s">
        <v>20</v>
      </c>
      <c r="Q197">
        <v>132.119</v>
      </c>
      <c r="R197" t="s">
        <v>20</v>
      </c>
      <c r="S197" t="s">
        <v>20</v>
      </c>
      <c r="T197">
        <v>499</v>
      </c>
      <c r="U197" t="s">
        <v>1313</v>
      </c>
      <c r="V197" t="s">
        <v>20</v>
      </c>
      <c r="W197" t="s">
        <v>1352</v>
      </c>
      <c r="X197" t="s">
        <v>20</v>
      </c>
      <c r="Y197">
        <v>146.14599999999999</v>
      </c>
      <c r="Z197" t="s">
        <v>20</v>
      </c>
      <c r="AA197" t="s">
        <v>20</v>
      </c>
      <c r="AB197">
        <v>540</v>
      </c>
      <c r="AC197" t="s">
        <v>1314</v>
      </c>
      <c r="AD197" t="s">
        <v>20</v>
      </c>
      <c r="AE197" t="s">
        <v>1353</v>
      </c>
      <c r="AF197" t="s">
        <v>20</v>
      </c>
      <c r="AG197">
        <v>174.203</v>
      </c>
      <c r="AH197" t="s">
        <v>20</v>
      </c>
      <c r="AI197" t="s">
        <v>20</v>
      </c>
      <c r="AJ197">
        <v>665</v>
      </c>
      <c r="AK197" t="s">
        <v>1315</v>
      </c>
      <c r="AL197" t="s">
        <v>20</v>
      </c>
      <c r="AM197" t="s">
        <v>1354</v>
      </c>
      <c r="AN197" t="s">
        <v>20</v>
      </c>
      <c r="AO197">
        <v>119.119</v>
      </c>
      <c r="AP197" t="s">
        <v>20</v>
      </c>
      <c r="AQ197" t="s">
        <v>20</v>
      </c>
    </row>
    <row r="198" spans="1:43" x14ac:dyDescent="0.25">
      <c r="A198">
        <v>6</v>
      </c>
      <c r="B198" t="s">
        <v>167</v>
      </c>
      <c r="C198" t="str">
        <f>HYPERLINK("http://www.ncbi.nlm.nih.gov/protein/XP_035397716.1","XP_035397716.1")</f>
        <v>XP_035397716.1</v>
      </c>
      <c r="D198">
        <v>36022</v>
      </c>
      <c r="E198" t="str">
        <f>HYPERLINK("http://www.ncbi.nlm.nih.gov/Taxonomy/Browser/wwwtax.cgi?mode=Info&amp;id=8868&amp;lvl=3&amp;lin=f&amp;keep=1&amp;srchmode=1&amp;unlock","8868")</f>
        <v>8868</v>
      </c>
      <c r="F198" t="s">
        <v>167</v>
      </c>
      <c r="G198" t="str">
        <f>HYPERLINK("http://www.ncbi.nlm.nih.gov/Taxonomy/Browser/wwwtax.cgi?mode=Info&amp;id=8868&amp;lvl=3&amp;lin=f&amp;keep=1&amp;srchmode=1&amp;unlock","Cygnus atratus")</f>
        <v>Cygnus atratus</v>
      </c>
      <c r="H198" t="s">
        <v>356</v>
      </c>
      <c r="I198" t="str">
        <f>HYPERLINK("http://www.ncbi.nlm.nih.gov/protein/XP_035397716.1","LOW QUALITY PROTEIN: androgen receptor")</f>
        <v>LOW QUALITY PROTEIN: androgen receptor</v>
      </c>
      <c r="J198" t="s">
        <v>1323</v>
      </c>
      <c r="K198" t="s">
        <v>20</v>
      </c>
      <c r="L198">
        <v>519</v>
      </c>
      <c r="M198" t="s">
        <v>25</v>
      </c>
      <c r="N198" t="s">
        <v>20</v>
      </c>
      <c r="O198" t="s">
        <v>1352</v>
      </c>
      <c r="P198" t="s">
        <v>20</v>
      </c>
      <c r="Q198">
        <v>132.119</v>
      </c>
      <c r="R198" t="s">
        <v>20</v>
      </c>
      <c r="S198" t="s">
        <v>20</v>
      </c>
      <c r="T198">
        <v>525</v>
      </c>
      <c r="U198" t="s">
        <v>1313</v>
      </c>
      <c r="V198" t="s">
        <v>20</v>
      </c>
      <c r="W198" t="s">
        <v>1352</v>
      </c>
      <c r="X198" t="s">
        <v>20</v>
      </c>
      <c r="Y198">
        <v>146.14599999999999</v>
      </c>
      <c r="Z198" t="s">
        <v>20</v>
      </c>
      <c r="AA198" t="s">
        <v>20</v>
      </c>
      <c r="AB198">
        <v>566</v>
      </c>
      <c r="AC198" t="s">
        <v>1314</v>
      </c>
      <c r="AD198" t="s">
        <v>20</v>
      </c>
      <c r="AE198" t="s">
        <v>1353</v>
      </c>
      <c r="AF198" t="s">
        <v>20</v>
      </c>
      <c r="AG198">
        <v>174.203</v>
      </c>
      <c r="AH198" t="s">
        <v>20</v>
      </c>
      <c r="AI198" t="s">
        <v>20</v>
      </c>
      <c r="AJ198">
        <v>691</v>
      </c>
      <c r="AK198" t="s">
        <v>1315</v>
      </c>
      <c r="AL198" t="s">
        <v>20</v>
      </c>
      <c r="AM198" t="s">
        <v>1354</v>
      </c>
      <c r="AN198" t="s">
        <v>20</v>
      </c>
      <c r="AO198">
        <v>119.119</v>
      </c>
      <c r="AP198" t="s">
        <v>20</v>
      </c>
      <c r="AQ198" t="s">
        <v>20</v>
      </c>
    </row>
    <row r="199" spans="1:43" x14ac:dyDescent="0.25">
      <c r="A199">
        <v>6</v>
      </c>
      <c r="B199" t="s">
        <v>167</v>
      </c>
      <c r="C199" t="str">
        <f>HYPERLINK("http://www.ncbi.nlm.nih.gov/protein/XP_038039951.1","XP_038039951.1")</f>
        <v>XP_038039951.1</v>
      </c>
      <c r="D199">
        <v>63920</v>
      </c>
      <c r="E199" t="str">
        <f>HYPERLINK("http://www.ncbi.nlm.nih.gov/Taxonomy/Browser/wwwtax.cgi?mode=Info&amp;id=8839&amp;lvl=3&amp;lin=f&amp;keep=1&amp;srchmode=1&amp;unlock","8839")</f>
        <v>8839</v>
      </c>
      <c r="F199" t="s">
        <v>167</v>
      </c>
      <c r="G199" t="str">
        <f>HYPERLINK("http://www.ncbi.nlm.nih.gov/Taxonomy/Browser/wwwtax.cgi?mode=Info&amp;id=8839&amp;lvl=3&amp;lin=f&amp;keep=1&amp;srchmode=1&amp;unlock","Anas platyrhynchos")</f>
        <v>Anas platyrhynchos</v>
      </c>
      <c r="H199" t="s">
        <v>358</v>
      </c>
      <c r="I199" t="str">
        <f>HYPERLINK("http://www.ncbi.nlm.nih.gov/protein/XP_038039951.1","androgen receptor")</f>
        <v>androgen receptor</v>
      </c>
      <c r="J199" t="s">
        <v>1323</v>
      </c>
      <c r="K199" t="s">
        <v>20</v>
      </c>
      <c r="L199">
        <v>520</v>
      </c>
      <c r="M199" t="s">
        <v>25</v>
      </c>
      <c r="N199" t="s">
        <v>20</v>
      </c>
      <c r="O199" t="s">
        <v>1352</v>
      </c>
      <c r="P199" t="s">
        <v>20</v>
      </c>
      <c r="Q199">
        <v>132.119</v>
      </c>
      <c r="R199" t="s">
        <v>20</v>
      </c>
      <c r="S199" t="s">
        <v>20</v>
      </c>
      <c r="T199">
        <v>526</v>
      </c>
      <c r="U199" t="s">
        <v>1313</v>
      </c>
      <c r="V199" t="s">
        <v>20</v>
      </c>
      <c r="W199" t="s">
        <v>1352</v>
      </c>
      <c r="X199" t="s">
        <v>20</v>
      </c>
      <c r="Y199">
        <v>146.14599999999999</v>
      </c>
      <c r="Z199" t="s">
        <v>20</v>
      </c>
      <c r="AA199" t="s">
        <v>20</v>
      </c>
      <c r="AB199">
        <v>567</v>
      </c>
      <c r="AC199" t="s">
        <v>1314</v>
      </c>
      <c r="AD199" t="s">
        <v>20</v>
      </c>
      <c r="AE199" t="s">
        <v>1353</v>
      </c>
      <c r="AF199" t="s">
        <v>20</v>
      </c>
      <c r="AG199">
        <v>174.203</v>
      </c>
      <c r="AH199" t="s">
        <v>20</v>
      </c>
      <c r="AI199" t="s">
        <v>20</v>
      </c>
      <c r="AJ199">
        <v>692</v>
      </c>
      <c r="AK199" t="s">
        <v>1315</v>
      </c>
      <c r="AL199" t="s">
        <v>20</v>
      </c>
      <c r="AM199" t="s">
        <v>1354</v>
      </c>
      <c r="AN199" t="s">
        <v>20</v>
      </c>
      <c r="AO199">
        <v>119.119</v>
      </c>
      <c r="AP199" t="s">
        <v>20</v>
      </c>
      <c r="AQ199" t="s">
        <v>20</v>
      </c>
    </row>
    <row r="200" spans="1:43" x14ac:dyDescent="0.25">
      <c r="A200">
        <v>6</v>
      </c>
      <c r="B200" t="s">
        <v>167</v>
      </c>
      <c r="C200" t="str">
        <f>HYPERLINK("http://www.ncbi.nlm.nih.gov/protein/XP_040427846.1","XP_040427846.1")</f>
        <v>XP_040427846.1</v>
      </c>
      <c r="D200">
        <v>47842</v>
      </c>
      <c r="E200" t="str">
        <f>HYPERLINK("http://www.ncbi.nlm.nih.gov/Taxonomy/Browser/wwwtax.cgi?mode=Info&amp;id=8869&amp;lvl=3&amp;lin=f&amp;keep=1&amp;srchmode=1&amp;unlock","8869")</f>
        <v>8869</v>
      </c>
      <c r="F200" t="s">
        <v>167</v>
      </c>
      <c r="G200" t="str">
        <f>HYPERLINK("http://www.ncbi.nlm.nih.gov/Taxonomy/Browser/wwwtax.cgi?mode=Info&amp;id=8869&amp;lvl=3&amp;lin=f&amp;keep=1&amp;srchmode=1&amp;unlock","Cygnus olor")</f>
        <v>Cygnus olor</v>
      </c>
      <c r="H200" t="s">
        <v>328</v>
      </c>
      <c r="I200" t="str">
        <f>HYPERLINK("http://www.ncbi.nlm.nih.gov/protein/XP_040427846.1","androgen receptor")</f>
        <v>androgen receptor</v>
      </c>
      <c r="J200" t="s">
        <v>1323</v>
      </c>
      <c r="K200" t="s">
        <v>20</v>
      </c>
      <c r="L200">
        <v>519</v>
      </c>
      <c r="M200" t="s">
        <v>25</v>
      </c>
      <c r="N200" t="s">
        <v>20</v>
      </c>
      <c r="O200" t="s">
        <v>1352</v>
      </c>
      <c r="P200" t="s">
        <v>20</v>
      </c>
      <c r="Q200">
        <v>132.119</v>
      </c>
      <c r="R200" t="s">
        <v>20</v>
      </c>
      <c r="S200" t="s">
        <v>20</v>
      </c>
      <c r="T200">
        <v>525</v>
      </c>
      <c r="U200" t="s">
        <v>1313</v>
      </c>
      <c r="V200" t="s">
        <v>20</v>
      </c>
      <c r="W200" t="s">
        <v>1352</v>
      </c>
      <c r="X200" t="s">
        <v>20</v>
      </c>
      <c r="Y200">
        <v>146.14599999999999</v>
      </c>
      <c r="Z200" t="s">
        <v>20</v>
      </c>
      <c r="AA200" t="s">
        <v>20</v>
      </c>
      <c r="AB200">
        <v>566</v>
      </c>
      <c r="AC200" t="s">
        <v>1314</v>
      </c>
      <c r="AD200" t="s">
        <v>20</v>
      </c>
      <c r="AE200" t="s">
        <v>1353</v>
      </c>
      <c r="AF200" t="s">
        <v>20</v>
      </c>
      <c r="AG200">
        <v>174.203</v>
      </c>
      <c r="AH200" t="s">
        <v>20</v>
      </c>
      <c r="AI200" t="s">
        <v>20</v>
      </c>
      <c r="AJ200">
        <v>691</v>
      </c>
      <c r="AK200" t="s">
        <v>1315</v>
      </c>
      <c r="AL200" t="s">
        <v>20</v>
      </c>
      <c r="AM200" t="s">
        <v>1354</v>
      </c>
      <c r="AN200" t="s">
        <v>20</v>
      </c>
      <c r="AO200">
        <v>119.119</v>
      </c>
      <c r="AP200" t="s">
        <v>20</v>
      </c>
      <c r="AQ200" t="s">
        <v>20</v>
      </c>
    </row>
    <row r="201" spans="1:43" x14ac:dyDescent="0.25">
      <c r="A201">
        <v>6</v>
      </c>
      <c r="B201" t="s">
        <v>167</v>
      </c>
      <c r="C201" t="str">
        <f>HYPERLINK("http://www.ncbi.nlm.nih.gov/protein/XP_032051997.1","XP_032051997.1")</f>
        <v>XP_032051997.1</v>
      </c>
      <c r="D201">
        <v>27813</v>
      </c>
      <c r="E201" t="str">
        <f>HYPERLINK("http://www.ncbi.nlm.nih.gov/Taxonomy/Browser/wwwtax.cgi?mode=Info&amp;id=219594&amp;lvl=3&amp;lin=f&amp;keep=1&amp;srchmode=1&amp;unlock","219594")</f>
        <v>219594</v>
      </c>
      <c r="F201" t="s">
        <v>167</v>
      </c>
      <c r="G201" t="str">
        <f>HYPERLINK("http://www.ncbi.nlm.nih.gov/Taxonomy/Browser/wwwtax.cgi?mode=Info&amp;id=219594&amp;lvl=3&amp;lin=f&amp;keep=1&amp;srchmode=1&amp;unlock","Aythya fuligula")</f>
        <v>Aythya fuligula</v>
      </c>
      <c r="H201" t="s">
        <v>319</v>
      </c>
      <c r="I201" t="str">
        <f>HYPERLINK("http://www.ncbi.nlm.nih.gov/protein/XP_032051997.1","androgen receptor isoform X1")</f>
        <v>androgen receptor isoform X1</v>
      </c>
      <c r="J201" t="s">
        <v>1323</v>
      </c>
      <c r="K201" t="s">
        <v>20</v>
      </c>
      <c r="L201">
        <v>519</v>
      </c>
      <c r="M201" t="s">
        <v>25</v>
      </c>
      <c r="N201" t="s">
        <v>20</v>
      </c>
      <c r="O201" t="s">
        <v>1352</v>
      </c>
      <c r="P201" t="s">
        <v>20</v>
      </c>
      <c r="Q201">
        <v>132.119</v>
      </c>
      <c r="R201" t="s">
        <v>20</v>
      </c>
      <c r="S201" t="s">
        <v>20</v>
      </c>
      <c r="T201">
        <v>525</v>
      </c>
      <c r="U201" t="s">
        <v>1313</v>
      </c>
      <c r="V201" t="s">
        <v>20</v>
      </c>
      <c r="W201" t="s">
        <v>1352</v>
      </c>
      <c r="X201" t="s">
        <v>20</v>
      </c>
      <c r="Y201">
        <v>146.14599999999999</v>
      </c>
      <c r="Z201" t="s">
        <v>20</v>
      </c>
      <c r="AA201" t="s">
        <v>20</v>
      </c>
      <c r="AB201">
        <v>566</v>
      </c>
      <c r="AC201" t="s">
        <v>1314</v>
      </c>
      <c r="AD201" t="s">
        <v>20</v>
      </c>
      <c r="AE201" t="s">
        <v>1353</v>
      </c>
      <c r="AF201" t="s">
        <v>20</v>
      </c>
      <c r="AG201">
        <v>174.203</v>
      </c>
      <c r="AH201" t="s">
        <v>20</v>
      </c>
      <c r="AI201" t="s">
        <v>20</v>
      </c>
      <c r="AJ201">
        <v>691</v>
      </c>
      <c r="AK201" t="s">
        <v>1315</v>
      </c>
      <c r="AL201" t="s">
        <v>20</v>
      </c>
      <c r="AM201" t="s">
        <v>1354</v>
      </c>
      <c r="AN201" t="s">
        <v>20</v>
      </c>
      <c r="AO201">
        <v>119.119</v>
      </c>
      <c r="AP201" t="s">
        <v>20</v>
      </c>
      <c r="AQ201" t="s">
        <v>20</v>
      </c>
    </row>
    <row r="202" spans="1:43" x14ac:dyDescent="0.25">
      <c r="A202">
        <v>6</v>
      </c>
      <c r="B202" t="s">
        <v>167</v>
      </c>
      <c r="C202" t="str">
        <f>HYPERLINK("http://www.ncbi.nlm.nih.gov/protein/NWZ19633.1","NWZ19633.1")</f>
        <v>NWZ19633.1</v>
      </c>
      <c r="D202">
        <v>14748</v>
      </c>
      <c r="E202" t="str">
        <f>HYPERLINK("http://www.ncbi.nlm.nih.gov/Taxonomy/Browser/wwwtax.cgi?mode=Info&amp;id=75869&amp;lvl=3&amp;lin=f&amp;keep=1&amp;srchmode=1&amp;unlock","75869")</f>
        <v>75869</v>
      </c>
      <c r="F202" t="s">
        <v>167</v>
      </c>
      <c r="G202" t="str">
        <f>HYPERLINK("http://www.ncbi.nlm.nih.gov/Taxonomy/Browser/wwwtax.cgi?mode=Info&amp;id=75869&amp;lvl=3&amp;lin=f&amp;keep=1&amp;srchmode=1&amp;unlock","Asarcornis scutulata")</f>
        <v>Asarcornis scutulata</v>
      </c>
      <c r="H202" t="s">
        <v>317</v>
      </c>
      <c r="I202" t="str">
        <f>HYPERLINK("http://www.ncbi.nlm.nih.gov/protein/NWZ19633.1","ANDR protein")</f>
        <v>ANDR protein</v>
      </c>
      <c r="J202" t="s">
        <v>1323</v>
      </c>
      <c r="K202" t="s">
        <v>20</v>
      </c>
      <c r="L202">
        <v>434</v>
      </c>
      <c r="M202" t="s">
        <v>25</v>
      </c>
      <c r="N202" t="s">
        <v>20</v>
      </c>
      <c r="O202" t="s">
        <v>1352</v>
      </c>
      <c r="P202" t="s">
        <v>20</v>
      </c>
      <c r="Q202">
        <v>132.119</v>
      </c>
      <c r="R202" t="s">
        <v>20</v>
      </c>
      <c r="S202" t="s">
        <v>20</v>
      </c>
      <c r="T202">
        <v>440</v>
      </c>
      <c r="U202" t="s">
        <v>1313</v>
      </c>
      <c r="V202" t="s">
        <v>20</v>
      </c>
      <c r="W202" t="s">
        <v>1352</v>
      </c>
      <c r="X202" t="s">
        <v>20</v>
      </c>
      <c r="Y202">
        <v>146.14599999999999</v>
      </c>
      <c r="Z202" t="s">
        <v>20</v>
      </c>
      <c r="AA202" t="s">
        <v>20</v>
      </c>
      <c r="AB202">
        <v>481</v>
      </c>
      <c r="AC202" t="s">
        <v>1314</v>
      </c>
      <c r="AD202" t="s">
        <v>20</v>
      </c>
      <c r="AE202" t="s">
        <v>1353</v>
      </c>
      <c r="AF202" t="s">
        <v>20</v>
      </c>
      <c r="AG202">
        <v>174.203</v>
      </c>
      <c r="AH202" t="s">
        <v>20</v>
      </c>
      <c r="AI202" t="s">
        <v>20</v>
      </c>
      <c r="AJ202">
        <v>606</v>
      </c>
      <c r="AK202" t="s">
        <v>1315</v>
      </c>
      <c r="AL202" t="s">
        <v>20</v>
      </c>
      <c r="AM202" t="s">
        <v>1354</v>
      </c>
      <c r="AN202" t="s">
        <v>20</v>
      </c>
      <c r="AO202">
        <v>119.119</v>
      </c>
      <c r="AP202" t="s">
        <v>20</v>
      </c>
      <c r="AQ202" t="s">
        <v>20</v>
      </c>
    </row>
    <row r="203" spans="1:43" x14ac:dyDescent="0.25">
      <c r="A203">
        <v>6</v>
      </c>
      <c r="B203" t="s">
        <v>167</v>
      </c>
      <c r="C203" t="str">
        <f>HYPERLINK("http://www.ncbi.nlm.nih.gov/protein/XP_015715505.1","XP_015715505.1")</f>
        <v>XP_015715505.1</v>
      </c>
      <c r="D203">
        <v>41813</v>
      </c>
      <c r="E203" t="str">
        <f>HYPERLINK("http://www.ncbi.nlm.nih.gov/Taxonomy/Browser/wwwtax.cgi?mode=Info&amp;id=93934&amp;lvl=3&amp;lin=f&amp;keep=1&amp;srchmode=1&amp;unlock","93934")</f>
        <v>93934</v>
      </c>
      <c r="F203" t="s">
        <v>167</v>
      </c>
      <c r="G203" t="str">
        <f>HYPERLINK("http://www.ncbi.nlm.nih.gov/Taxonomy/Browser/wwwtax.cgi?mode=Info&amp;id=93934&amp;lvl=3&amp;lin=f&amp;keep=1&amp;srchmode=1&amp;unlock","Coturnix japonica")</f>
        <v>Coturnix japonica</v>
      </c>
      <c r="H203" t="s">
        <v>367</v>
      </c>
      <c r="I203" t="str">
        <f>HYPERLINK("http://www.ncbi.nlm.nih.gov/protein/XP_015715505.1","androgen receptor")</f>
        <v>androgen receptor</v>
      </c>
      <c r="J203" t="s">
        <v>1323</v>
      </c>
      <c r="K203" t="s">
        <v>20</v>
      </c>
      <c r="L203">
        <v>489</v>
      </c>
      <c r="M203" t="s">
        <v>25</v>
      </c>
      <c r="N203" t="s">
        <v>20</v>
      </c>
      <c r="O203" t="s">
        <v>1352</v>
      </c>
      <c r="P203" t="s">
        <v>20</v>
      </c>
      <c r="Q203">
        <v>132.119</v>
      </c>
      <c r="R203" t="s">
        <v>20</v>
      </c>
      <c r="S203" t="s">
        <v>20</v>
      </c>
      <c r="T203">
        <v>495</v>
      </c>
      <c r="U203" t="s">
        <v>1313</v>
      </c>
      <c r="V203" t="s">
        <v>20</v>
      </c>
      <c r="W203" t="s">
        <v>1352</v>
      </c>
      <c r="X203" t="s">
        <v>20</v>
      </c>
      <c r="Y203">
        <v>146.14599999999999</v>
      </c>
      <c r="Z203" t="s">
        <v>20</v>
      </c>
      <c r="AA203" t="s">
        <v>20</v>
      </c>
      <c r="AB203">
        <v>536</v>
      </c>
      <c r="AC203" t="s">
        <v>1314</v>
      </c>
      <c r="AD203" t="s">
        <v>20</v>
      </c>
      <c r="AE203" t="s">
        <v>1353</v>
      </c>
      <c r="AF203" t="s">
        <v>20</v>
      </c>
      <c r="AG203">
        <v>174.203</v>
      </c>
      <c r="AH203" t="s">
        <v>20</v>
      </c>
      <c r="AI203" t="s">
        <v>20</v>
      </c>
      <c r="AJ203">
        <v>661</v>
      </c>
      <c r="AK203" t="s">
        <v>1315</v>
      </c>
      <c r="AL203" t="s">
        <v>20</v>
      </c>
      <c r="AM203" t="s">
        <v>1354</v>
      </c>
      <c r="AN203" t="s">
        <v>20</v>
      </c>
      <c r="AO203">
        <v>119.119</v>
      </c>
      <c r="AP203" t="s">
        <v>20</v>
      </c>
      <c r="AQ203" t="s">
        <v>20</v>
      </c>
    </row>
    <row r="204" spans="1:43" x14ac:dyDescent="0.25">
      <c r="A204">
        <v>6</v>
      </c>
      <c r="B204" t="s">
        <v>167</v>
      </c>
      <c r="C204" t="str">
        <f>HYPERLINK("http://www.ncbi.nlm.nih.gov/protein/NP_001035179.1","NP_001035179.1")</f>
        <v>NP_001035179.1</v>
      </c>
      <c r="D204">
        <v>115665</v>
      </c>
      <c r="E204" t="str">
        <f>HYPERLINK("http://www.ncbi.nlm.nih.gov/Taxonomy/Browser/wwwtax.cgi?mode=Info&amp;id=9031&amp;lvl=3&amp;lin=f&amp;keep=1&amp;srchmode=1&amp;unlock","9031")</f>
        <v>9031</v>
      </c>
      <c r="F204" t="s">
        <v>167</v>
      </c>
      <c r="G204" t="str">
        <f>HYPERLINK("http://www.ncbi.nlm.nih.gov/Taxonomy/Browser/wwwtax.cgi?mode=Info&amp;id=9031&amp;lvl=3&amp;lin=f&amp;keep=1&amp;srchmode=1&amp;unlock","Gallus gallus")</f>
        <v>Gallus gallus</v>
      </c>
      <c r="H204" t="s">
        <v>387</v>
      </c>
      <c r="I204" t="str">
        <f>HYPERLINK("http://www.ncbi.nlm.nih.gov/protein/NP_001035179.1","androgen receptor")</f>
        <v>androgen receptor</v>
      </c>
      <c r="J204" t="s">
        <v>1323</v>
      </c>
      <c r="K204" t="s">
        <v>20</v>
      </c>
      <c r="L204">
        <v>489</v>
      </c>
      <c r="M204" t="s">
        <v>25</v>
      </c>
      <c r="N204" t="s">
        <v>20</v>
      </c>
      <c r="O204" t="s">
        <v>1352</v>
      </c>
      <c r="P204" t="s">
        <v>20</v>
      </c>
      <c r="Q204">
        <v>132.119</v>
      </c>
      <c r="R204" t="s">
        <v>20</v>
      </c>
      <c r="S204" t="s">
        <v>20</v>
      </c>
      <c r="T204">
        <v>495</v>
      </c>
      <c r="U204" t="s">
        <v>1313</v>
      </c>
      <c r="V204" t="s">
        <v>20</v>
      </c>
      <c r="W204" t="s">
        <v>1352</v>
      </c>
      <c r="X204" t="s">
        <v>20</v>
      </c>
      <c r="Y204">
        <v>146.14599999999999</v>
      </c>
      <c r="Z204" t="s">
        <v>20</v>
      </c>
      <c r="AA204" t="s">
        <v>20</v>
      </c>
      <c r="AB204">
        <v>536</v>
      </c>
      <c r="AC204" t="s">
        <v>1314</v>
      </c>
      <c r="AD204" t="s">
        <v>20</v>
      </c>
      <c r="AE204" t="s">
        <v>1353</v>
      </c>
      <c r="AF204" t="s">
        <v>20</v>
      </c>
      <c r="AG204">
        <v>174.203</v>
      </c>
      <c r="AH204" t="s">
        <v>20</v>
      </c>
      <c r="AI204" t="s">
        <v>20</v>
      </c>
      <c r="AJ204">
        <v>661</v>
      </c>
      <c r="AK204" t="s">
        <v>1315</v>
      </c>
      <c r="AL204" t="s">
        <v>20</v>
      </c>
      <c r="AM204" t="s">
        <v>1354</v>
      </c>
      <c r="AN204" t="s">
        <v>20</v>
      </c>
      <c r="AO204">
        <v>119.119</v>
      </c>
      <c r="AP204" t="s">
        <v>20</v>
      </c>
      <c r="AQ204" t="s">
        <v>20</v>
      </c>
    </row>
    <row r="205" spans="1:43" x14ac:dyDescent="0.25">
      <c r="A205">
        <v>6</v>
      </c>
      <c r="B205" t="s">
        <v>167</v>
      </c>
      <c r="C205" t="str">
        <f>HYPERLINK("http://www.ncbi.nlm.nih.gov/protein/XP_031449825.1","XP_031449825.1")</f>
        <v>XP_031449825.1</v>
      </c>
      <c r="D205">
        <v>29368</v>
      </c>
      <c r="E205" t="str">
        <f>HYPERLINK("http://www.ncbi.nlm.nih.gov/Taxonomy/Browser/wwwtax.cgi?mode=Info&amp;id=9054&amp;lvl=3&amp;lin=f&amp;keep=1&amp;srchmode=1&amp;unlock","9054")</f>
        <v>9054</v>
      </c>
      <c r="F205" t="s">
        <v>167</v>
      </c>
      <c r="G205" t="str">
        <f>HYPERLINK("http://www.ncbi.nlm.nih.gov/Taxonomy/Browser/wwwtax.cgi?mode=Info&amp;id=9054&amp;lvl=3&amp;lin=f&amp;keep=1&amp;srchmode=1&amp;unlock","Phasianus colchicus")</f>
        <v>Phasianus colchicus</v>
      </c>
      <c r="H205" t="s">
        <v>397</v>
      </c>
      <c r="I205" t="str">
        <f>HYPERLINK("http://www.ncbi.nlm.nih.gov/protein/XP_031449825.1","androgen receptor")</f>
        <v>androgen receptor</v>
      </c>
      <c r="J205" t="s">
        <v>1323</v>
      </c>
      <c r="K205" t="s">
        <v>20</v>
      </c>
      <c r="L205">
        <v>491</v>
      </c>
      <c r="M205" t="s">
        <v>25</v>
      </c>
      <c r="N205" t="s">
        <v>20</v>
      </c>
      <c r="O205" t="s">
        <v>1352</v>
      </c>
      <c r="P205" t="s">
        <v>20</v>
      </c>
      <c r="Q205">
        <v>132.119</v>
      </c>
      <c r="R205" t="s">
        <v>20</v>
      </c>
      <c r="S205" t="s">
        <v>20</v>
      </c>
      <c r="T205">
        <v>497</v>
      </c>
      <c r="U205" t="s">
        <v>1313</v>
      </c>
      <c r="V205" t="s">
        <v>20</v>
      </c>
      <c r="W205" t="s">
        <v>1352</v>
      </c>
      <c r="X205" t="s">
        <v>20</v>
      </c>
      <c r="Y205">
        <v>146.14599999999999</v>
      </c>
      <c r="Z205" t="s">
        <v>20</v>
      </c>
      <c r="AA205" t="s">
        <v>20</v>
      </c>
      <c r="AB205">
        <v>538</v>
      </c>
      <c r="AC205" t="s">
        <v>1314</v>
      </c>
      <c r="AD205" t="s">
        <v>20</v>
      </c>
      <c r="AE205" t="s">
        <v>1353</v>
      </c>
      <c r="AF205" t="s">
        <v>20</v>
      </c>
      <c r="AG205">
        <v>174.203</v>
      </c>
      <c r="AH205" t="s">
        <v>20</v>
      </c>
      <c r="AI205" t="s">
        <v>20</v>
      </c>
      <c r="AJ205">
        <v>663</v>
      </c>
      <c r="AK205" t="s">
        <v>1315</v>
      </c>
      <c r="AL205" t="s">
        <v>20</v>
      </c>
      <c r="AM205" t="s">
        <v>1354</v>
      </c>
      <c r="AN205" t="s">
        <v>20</v>
      </c>
      <c r="AO205">
        <v>119.119</v>
      </c>
      <c r="AP205" t="s">
        <v>20</v>
      </c>
      <c r="AQ205" t="s">
        <v>20</v>
      </c>
    </row>
    <row r="206" spans="1:43" x14ac:dyDescent="0.25">
      <c r="A206">
        <v>6</v>
      </c>
      <c r="B206" t="s">
        <v>167</v>
      </c>
      <c r="C206" t="str">
        <f>HYPERLINK("http://www.ncbi.nlm.nih.gov/protein/NWX03039.1","NWX03039.1")</f>
        <v>NWX03039.1</v>
      </c>
      <c r="D206">
        <v>14125</v>
      </c>
      <c r="E206" t="str">
        <f>HYPERLINK("http://www.ncbi.nlm.nih.gov/Taxonomy/Browser/wwwtax.cgi?mode=Info&amp;id=187106&amp;lvl=3&amp;lin=f&amp;keep=1&amp;srchmode=1&amp;unlock","187106")</f>
        <v>187106</v>
      </c>
      <c r="F206" t="s">
        <v>167</v>
      </c>
      <c r="G206" t="str">
        <f>HYPERLINK("http://www.ncbi.nlm.nih.gov/Taxonomy/Browser/wwwtax.cgi?mode=Info&amp;id=187106&amp;lvl=3&amp;lin=f&amp;keep=1&amp;srchmode=1&amp;unlock","Caloenas nicobarica")</f>
        <v>Caloenas nicobarica</v>
      </c>
      <c r="H206" t="s">
        <v>223</v>
      </c>
      <c r="I206" t="str">
        <f>HYPERLINK("http://www.ncbi.nlm.nih.gov/protein/NWX03039.1","ANDR protein")</f>
        <v>ANDR protein</v>
      </c>
      <c r="J206" t="s">
        <v>1323</v>
      </c>
      <c r="K206" t="s">
        <v>20</v>
      </c>
      <c r="L206">
        <v>494</v>
      </c>
      <c r="M206" t="s">
        <v>25</v>
      </c>
      <c r="N206" t="s">
        <v>20</v>
      </c>
      <c r="O206" t="s">
        <v>1352</v>
      </c>
      <c r="P206" t="s">
        <v>20</v>
      </c>
      <c r="Q206">
        <v>132.119</v>
      </c>
      <c r="R206" t="s">
        <v>20</v>
      </c>
      <c r="S206" t="s">
        <v>20</v>
      </c>
      <c r="T206">
        <v>500</v>
      </c>
      <c r="U206" t="s">
        <v>1313</v>
      </c>
      <c r="V206" t="s">
        <v>20</v>
      </c>
      <c r="W206" t="s">
        <v>1352</v>
      </c>
      <c r="X206" t="s">
        <v>20</v>
      </c>
      <c r="Y206">
        <v>146.14599999999999</v>
      </c>
      <c r="Z206" t="s">
        <v>20</v>
      </c>
      <c r="AA206" t="s">
        <v>20</v>
      </c>
      <c r="AB206">
        <v>541</v>
      </c>
      <c r="AC206" t="s">
        <v>1314</v>
      </c>
      <c r="AD206" t="s">
        <v>20</v>
      </c>
      <c r="AE206" t="s">
        <v>1353</v>
      </c>
      <c r="AF206" t="s">
        <v>20</v>
      </c>
      <c r="AG206">
        <v>174.203</v>
      </c>
      <c r="AH206" t="s">
        <v>20</v>
      </c>
      <c r="AI206" t="s">
        <v>20</v>
      </c>
      <c r="AJ206">
        <v>666</v>
      </c>
      <c r="AK206" t="s">
        <v>1315</v>
      </c>
      <c r="AL206" t="s">
        <v>20</v>
      </c>
      <c r="AM206" t="s">
        <v>1354</v>
      </c>
      <c r="AN206" t="s">
        <v>20</v>
      </c>
      <c r="AO206">
        <v>119.119</v>
      </c>
      <c r="AP206" t="s">
        <v>20</v>
      </c>
      <c r="AQ206" t="s">
        <v>20</v>
      </c>
    </row>
    <row r="207" spans="1:43" x14ac:dyDescent="0.25">
      <c r="A207">
        <v>6</v>
      </c>
      <c r="B207" t="s">
        <v>167</v>
      </c>
      <c r="C207" t="str">
        <f>HYPERLINK("http://www.ncbi.nlm.nih.gov/protein/NWR66110.1","NWR66110.1")</f>
        <v>NWR66110.1</v>
      </c>
      <c r="D207">
        <v>14438</v>
      </c>
      <c r="E207" t="str">
        <f>HYPERLINK("http://www.ncbi.nlm.nih.gov/Taxonomy/Browser/wwwtax.cgi?mode=Info&amp;id=153643&amp;lvl=3&amp;lin=f&amp;keep=1&amp;srchmode=1&amp;unlock","153643")</f>
        <v>153643</v>
      </c>
      <c r="F207" t="s">
        <v>167</v>
      </c>
      <c r="G207" t="str">
        <f>HYPERLINK("http://www.ncbi.nlm.nih.gov/Taxonomy/Browser/wwwtax.cgi?mode=Info&amp;id=153643&amp;lvl=3&amp;lin=f&amp;keep=1&amp;srchmode=1&amp;unlock","Bucorvus abyssinicus")</f>
        <v>Bucorvus abyssinicus</v>
      </c>
      <c r="H207" t="s">
        <v>310</v>
      </c>
      <c r="I207" t="str">
        <f>HYPERLINK("http://www.ncbi.nlm.nih.gov/protein/NWR66110.1","ANDR protein")</f>
        <v>ANDR protein</v>
      </c>
      <c r="J207" t="s">
        <v>1323</v>
      </c>
      <c r="K207" t="s">
        <v>20</v>
      </c>
      <c r="L207">
        <v>280</v>
      </c>
      <c r="M207" t="s">
        <v>25</v>
      </c>
      <c r="N207" t="s">
        <v>20</v>
      </c>
      <c r="O207" t="s">
        <v>1352</v>
      </c>
      <c r="P207" t="s">
        <v>20</v>
      </c>
      <c r="Q207">
        <v>132.119</v>
      </c>
      <c r="R207" t="s">
        <v>20</v>
      </c>
      <c r="S207" t="s">
        <v>20</v>
      </c>
      <c r="T207">
        <v>286</v>
      </c>
      <c r="U207" t="s">
        <v>1313</v>
      </c>
      <c r="V207" t="s">
        <v>20</v>
      </c>
      <c r="W207" t="s">
        <v>1352</v>
      </c>
      <c r="X207" t="s">
        <v>20</v>
      </c>
      <c r="Y207">
        <v>146.14599999999999</v>
      </c>
      <c r="Z207" t="s">
        <v>20</v>
      </c>
      <c r="AA207" t="s">
        <v>20</v>
      </c>
      <c r="AB207">
        <v>327</v>
      </c>
      <c r="AC207" t="s">
        <v>1314</v>
      </c>
      <c r="AD207" t="s">
        <v>20</v>
      </c>
      <c r="AE207" t="s">
        <v>1353</v>
      </c>
      <c r="AF207" t="s">
        <v>20</v>
      </c>
      <c r="AG207">
        <v>174.203</v>
      </c>
      <c r="AH207" t="s">
        <v>20</v>
      </c>
      <c r="AI207" t="s">
        <v>20</v>
      </c>
      <c r="AJ207">
        <v>452</v>
      </c>
      <c r="AK207" t="s">
        <v>1315</v>
      </c>
      <c r="AL207" t="s">
        <v>20</v>
      </c>
      <c r="AM207" t="s">
        <v>1354</v>
      </c>
      <c r="AN207" t="s">
        <v>20</v>
      </c>
      <c r="AO207">
        <v>119.119</v>
      </c>
      <c r="AP207" t="s">
        <v>20</v>
      </c>
      <c r="AQ207" t="s">
        <v>20</v>
      </c>
    </row>
    <row r="208" spans="1:43" x14ac:dyDescent="0.25">
      <c r="A208">
        <v>6</v>
      </c>
      <c r="B208" t="s">
        <v>167</v>
      </c>
      <c r="C208" t="str">
        <f>HYPERLINK("http://www.ncbi.nlm.nih.gov/protein/NWZ49946.1","NWZ49946.1")</f>
        <v>NWZ49946.1</v>
      </c>
      <c r="D208">
        <v>45028</v>
      </c>
      <c r="E208" t="str">
        <f>HYPERLINK("http://www.ncbi.nlm.nih.gov/Taxonomy/Browser/wwwtax.cgi?mode=Info&amp;id=8969&amp;lvl=3&amp;lin=f&amp;keep=1&amp;srchmode=1&amp;unlock","8969")</f>
        <v>8969</v>
      </c>
      <c r="F208" t="s">
        <v>167</v>
      </c>
      <c r="G208" t="str">
        <f>HYPERLINK("http://www.ncbi.nlm.nih.gov/Taxonomy/Browser/wwwtax.cgi?mode=Info&amp;id=8969&amp;lvl=3&amp;lin=f&amp;keep=1&amp;srchmode=1&amp;unlock","Haliaeetus albicilla")</f>
        <v>Haliaeetus albicilla</v>
      </c>
      <c r="H208" t="s">
        <v>337</v>
      </c>
      <c r="I208" t="str">
        <f>HYPERLINK("http://www.ncbi.nlm.nih.gov/protein/NWZ49946.1","ANDR protein")</f>
        <v>ANDR protein</v>
      </c>
      <c r="J208" t="s">
        <v>1323</v>
      </c>
      <c r="K208" t="s">
        <v>20</v>
      </c>
      <c r="L208">
        <v>501</v>
      </c>
      <c r="M208" t="s">
        <v>25</v>
      </c>
      <c r="N208" t="s">
        <v>20</v>
      </c>
      <c r="O208" t="s">
        <v>1352</v>
      </c>
      <c r="P208" t="s">
        <v>20</v>
      </c>
      <c r="Q208">
        <v>132.119</v>
      </c>
      <c r="R208" t="s">
        <v>20</v>
      </c>
      <c r="S208" t="s">
        <v>20</v>
      </c>
      <c r="T208">
        <v>507</v>
      </c>
      <c r="U208" t="s">
        <v>1313</v>
      </c>
      <c r="V208" t="s">
        <v>20</v>
      </c>
      <c r="W208" t="s">
        <v>1352</v>
      </c>
      <c r="X208" t="s">
        <v>20</v>
      </c>
      <c r="Y208">
        <v>146.14599999999999</v>
      </c>
      <c r="Z208" t="s">
        <v>20</v>
      </c>
      <c r="AA208" t="s">
        <v>20</v>
      </c>
      <c r="AB208">
        <v>548</v>
      </c>
      <c r="AC208" t="s">
        <v>1314</v>
      </c>
      <c r="AD208" t="s">
        <v>20</v>
      </c>
      <c r="AE208" t="s">
        <v>1353</v>
      </c>
      <c r="AF208" t="s">
        <v>20</v>
      </c>
      <c r="AG208">
        <v>174.203</v>
      </c>
      <c r="AH208" t="s">
        <v>20</v>
      </c>
      <c r="AI208" t="s">
        <v>20</v>
      </c>
      <c r="AJ208">
        <v>673</v>
      </c>
      <c r="AK208" t="s">
        <v>1315</v>
      </c>
      <c r="AL208" t="s">
        <v>20</v>
      </c>
      <c r="AM208" t="s">
        <v>1354</v>
      </c>
      <c r="AN208" t="s">
        <v>20</v>
      </c>
      <c r="AO208">
        <v>119.119</v>
      </c>
      <c r="AP208" t="s">
        <v>20</v>
      </c>
      <c r="AQ208" t="s">
        <v>20</v>
      </c>
    </row>
    <row r="209" spans="1:43" x14ac:dyDescent="0.25">
      <c r="A209">
        <v>6</v>
      </c>
      <c r="B209" t="s">
        <v>167</v>
      </c>
      <c r="C209" t="str">
        <f>HYPERLINK("http://www.ncbi.nlm.nih.gov/protein/NXV33950.1","NXV33950.1")</f>
        <v>NXV33950.1</v>
      </c>
      <c r="D209">
        <v>14938</v>
      </c>
      <c r="E209" t="str">
        <f>HYPERLINK("http://www.ncbi.nlm.nih.gov/Taxonomy/Browser/wwwtax.cgi?mode=Info&amp;id=75485&amp;lvl=3&amp;lin=f&amp;keep=1&amp;srchmode=1&amp;unlock","75485")</f>
        <v>75485</v>
      </c>
      <c r="F209" t="s">
        <v>167</v>
      </c>
      <c r="G209" t="str">
        <f>HYPERLINK("http://www.ncbi.nlm.nih.gov/Taxonomy/Browser/wwwtax.cgi?mode=Info&amp;id=75485&amp;lvl=3&amp;lin=f&amp;keep=1&amp;srchmode=1&amp;unlock","Rissa tridactyla")</f>
        <v>Rissa tridactyla</v>
      </c>
      <c r="H209" t="s">
        <v>320</v>
      </c>
      <c r="I209" t="str">
        <f>HYPERLINK("http://www.ncbi.nlm.nih.gov/protein/NXV33950.1","ANDR protein")</f>
        <v>ANDR protein</v>
      </c>
      <c r="J209" t="s">
        <v>1323</v>
      </c>
      <c r="K209" t="s">
        <v>20</v>
      </c>
      <c r="L209">
        <v>500</v>
      </c>
      <c r="M209" t="s">
        <v>25</v>
      </c>
      <c r="N209" t="s">
        <v>20</v>
      </c>
      <c r="O209" t="s">
        <v>1352</v>
      </c>
      <c r="P209" t="s">
        <v>20</v>
      </c>
      <c r="Q209">
        <v>132.119</v>
      </c>
      <c r="R209" t="s">
        <v>20</v>
      </c>
      <c r="S209" t="s">
        <v>20</v>
      </c>
      <c r="T209">
        <v>506</v>
      </c>
      <c r="U209" t="s">
        <v>1313</v>
      </c>
      <c r="V209" t="s">
        <v>20</v>
      </c>
      <c r="W209" t="s">
        <v>1352</v>
      </c>
      <c r="X209" t="s">
        <v>20</v>
      </c>
      <c r="Y209">
        <v>146.14599999999999</v>
      </c>
      <c r="Z209" t="s">
        <v>20</v>
      </c>
      <c r="AA209" t="s">
        <v>20</v>
      </c>
      <c r="AB209">
        <v>547</v>
      </c>
      <c r="AC209" t="s">
        <v>1314</v>
      </c>
      <c r="AD209" t="s">
        <v>20</v>
      </c>
      <c r="AE209" t="s">
        <v>1353</v>
      </c>
      <c r="AF209" t="s">
        <v>20</v>
      </c>
      <c r="AG209">
        <v>174.203</v>
      </c>
      <c r="AH209" t="s">
        <v>20</v>
      </c>
      <c r="AI209" t="s">
        <v>20</v>
      </c>
      <c r="AJ209">
        <v>672</v>
      </c>
      <c r="AK209" t="s">
        <v>1315</v>
      </c>
      <c r="AL209" t="s">
        <v>20</v>
      </c>
      <c r="AM209" t="s">
        <v>1354</v>
      </c>
      <c r="AN209" t="s">
        <v>20</v>
      </c>
      <c r="AO209">
        <v>119.119</v>
      </c>
      <c r="AP209" t="s">
        <v>20</v>
      </c>
      <c r="AQ209" t="s">
        <v>20</v>
      </c>
    </row>
    <row r="210" spans="1:43" x14ac:dyDescent="0.25">
      <c r="A210">
        <v>6</v>
      </c>
      <c r="B210" t="s">
        <v>167</v>
      </c>
      <c r="C210" t="str">
        <f>HYPERLINK("http://www.ncbi.nlm.nih.gov/protein/NXS52613.1","NXS52613.1")</f>
        <v>NXS52613.1</v>
      </c>
      <c r="D210">
        <v>13462</v>
      </c>
      <c r="E210" t="str">
        <f>HYPERLINK("http://www.ncbi.nlm.nih.gov/Taxonomy/Browser/wwwtax.cgi?mode=Info&amp;id=135165&amp;lvl=3&amp;lin=f&amp;keep=1&amp;srchmode=1&amp;unlock","135165")</f>
        <v>135165</v>
      </c>
      <c r="F210" t="s">
        <v>167</v>
      </c>
      <c r="G210" t="str">
        <f>HYPERLINK("http://www.ncbi.nlm.nih.gov/Taxonomy/Browser/wwwtax.cgi?mode=Info&amp;id=135165&amp;lvl=3&amp;lin=f&amp;keep=1&amp;srchmode=1&amp;unlock","Brachypteracias leptosomus")</f>
        <v>Brachypteracias leptosomus</v>
      </c>
      <c r="H210" t="s">
        <v>235</v>
      </c>
      <c r="I210" t="str">
        <f>HYPERLINK("http://www.ncbi.nlm.nih.gov/protein/NXS52613.1","ANDR protein")</f>
        <v>ANDR protein</v>
      </c>
      <c r="J210" t="s">
        <v>1323</v>
      </c>
      <c r="K210" t="s">
        <v>20</v>
      </c>
      <c r="L210">
        <v>279</v>
      </c>
      <c r="M210" t="s">
        <v>25</v>
      </c>
      <c r="N210" t="s">
        <v>20</v>
      </c>
      <c r="O210" t="s">
        <v>1352</v>
      </c>
      <c r="P210" t="s">
        <v>20</v>
      </c>
      <c r="Q210">
        <v>132.119</v>
      </c>
      <c r="R210" t="s">
        <v>20</v>
      </c>
      <c r="S210" t="s">
        <v>20</v>
      </c>
      <c r="T210">
        <v>285</v>
      </c>
      <c r="U210" t="s">
        <v>1313</v>
      </c>
      <c r="V210" t="s">
        <v>20</v>
      </c>
      <c r="W210" t="s">
        <v>1352</v>
      </c>
      <c r="X210" t="s">
        <v>20</v>
      </c>
      <c r="Y210">
        <v>146.14599999999999</v>
      </c>
      <c r="Z210" t="s">
        <v>20</v>
      </c>
      <c r="AA210" t="s">
        <v>20</v>
      </c>
      <c r="AB210">
        <v>326</v>
      </c>
      <c r="AC210" t="s">
        <v>1314</v>
      </c>
      <c r="AD210" t="s">
        <v>20</v>
      </c>
      <c r="AE210" t="s">
        <v>1353</v>
      </c>
      <c r="AF210" t="s">
        <v>20</v>
      </c>
      <c r="AG210">
        <v>174.203</v>
      </c>
      <c r="AH210" t="s">
        <v>20</v>
      </c>
      <c r="AI210" t="s">
        <v>20</v>
      </c>
      <c r="AJ210">
        <v>451</v>
      </c>
      <c r="AK210" t="s">
        <v>1315</v>
      </c>
      <c r="AL210" t="s">
        <v>20</v>
      </c>
      <c r="AM210" t="s">
        <v>1354</v>
      </c>
      <c r="AN210" t="s">
        <v>20</v>
      </c>
      <c r="AO210">
        <v>119.119</v>
      </c>
      <c r="AP210" t="s">
        <v>20</v>
      </c>
      <c r="AQ210" t="s">
        <v>20</v>
      </c>
    </row>
    <row r="211" spans="1:43" x14ac:dyDescent="0.25">
      <c r="A211">
        <v>6</v>
      </c>
      <c r="B211" t="s">
        <v>167</v>
      </c>
      <c r="C211" t="str">
        <f>HYPERLINK("http://www.ncbi.nlm.nih.gov/protein/XP_014810446.1","XP_014810446.1")</f>
        <v>XP_014810446.1</v>
      </c>
      <c r="D211">
        <v>30960</v>
      </c>
      <c r="E211" t="str">
        <f>HYPERLINK("http://www.ncbi.nlm.nih.gov/Taxonomy/Browser/wwwtax.cgi?mode=Info&amp;id=198806&amp;lvl=3&amp;lin=f&amp;keep=1&amp;srchmode=1&amp;unlock","198806")</f>
        <v>198806</v>
      </c>
      <c r="F211" t="s">
        <v>167</v>
      </c>
      <c r="G211" t="str">
        <f>HYPERLINK("http://www.ncbi.nlm.nih.gov/Taxonomy/Browser/wwwtax.cgi?mode=Info&amp;id=198806&amp;lvl=3&amp;lin=f&amp;keep=1&amp;srchmode=1&amp;unlock","Calidris pugnax")</f>
        <v>Calidris pugnax</v>
      </c>
      <c r="H211" t="s">
        <v>201</v>
      </c>
      <c r="I211" t="str">
        <f>HYPERLINK("http://www.ncbi.nlm.nih.gov/protein/XP_014810446.1","PREDICTED: androgen receptor")</f>
        <v>PREDICTED: androgen receptor</v>
      </c>
      <c r="J211" t="s">
        <v>1323</v>
      </c>
      <c r="K211" t="s">
        <v>20</v>
      </c>
      <c r="L211">
        <v>498</v>
      </c>
      <c r="M211" t="s">
        <v>25</v>
      </c>
      <c r="N211" t="s">
        <v>20</v>
      </c>
      <c r="O211" t="s">
        <v>1352</v>
      </c>
      <c r="P211" t="s">
        <v>20</v>
      </c>
      <c r="Q211">
        <v>132.119</v>
      </c>
      <c r="R211" t="s">
        <v>20</v>
      </c>
      <c r="S211" t="s">
        <v>20</v>
      </c>
      <c r="T211">
        <v>504</v>
      </c>
      <c r="U211" t="s">
        <v>1313</v>
      </c>
      <c r="V211" t="s">
        <v>20</v>
      </c>
      <c r="W211" t="s">
        <v>1352</v>
      </c>
      <c r="X211" t="s">
        <v>20</v>
      </c>
      <c r="Y211">
        <v>146.14599999999999</v>
      </c>
      <c r="Z211" t="s">
        <v>20</v>
      </c>
      <c r="AA211" t="s">
        <v>20</v>
      </c>
      <c r="AB211">
        <v>545</v>
      </c>
      <c r="AC211" t="s">
        <v>1314</v>
      </c>
      <c r="AD211" t="s">
        <v>20</v>
      </c>
      <c r="AE211" t="s">
        <v>1353</v>
      </c>
      <c r="AF211" t="s">
        <v>20</v>
      </c>
      <c r="AG211">
        <v>174.203</v>
      </c>
      <c r="AH211" t="s">
        <v>20</v>
      </c>
      <c r="AI211" t="s">
        <v>20</v>
      </c>
      <c r="AJ211">
        <v>670</v>
      </c>
      <c r="AK211" t="s">
        <v>1315</v>
      </c>
      <c r="AL211" t="s">
        <v>20</v>
      </c>
      <c r="AM211" t="s">
        <v>1354</v>
      </c>
      <c r="AN211" t="s">
        <v>20</v>
      </c>
      <c r="AO211">
        <v>119.119</v>
      </c>
      <c r="AP211" t="s">
        <v>20</v>
      </c>
      <c r="AQ211" t="s">
        <v>20</v>
      </c>
    </row>
    <row r="212" spans="1:43" x14ac:dyDescent="0.25">
      <c r="A212">
        <v>6</v>
      </c>
      <c r="B212" t="s">
        <v>167</v>
      </c>
      <c r="C212" t="str">
        <f>HYPERLINK("http://www.ncbi.nlm.nih.gov/protein/NXV96327.1","NXV96327.1")</f>
        <v>NXV96327.1</v>
      </c>
      <c r="D212">
        <v>14439</v>
      </c>
      <c r="E212" t="str">
        <f>HYPERLINK("http://www.ncbi.nlm.nih.gov/Taxonomy/Browser/wwwtax.cgi?mode=Info&amp;id=1323832&amp;lvl=3&amp;lin=f&amp;keep=1&amp;srchmode=1&amp;unlock","1323832")</f>
        <v>1323832</v>
      </c>
      <c r="F212" t="s">
        <v>167</v>
      </c>
      <c r="G212" t="str">
        <f>HYPERLINK("http://www.ncbi.nlm.nih.gov/Taxonomy/Browser/wwwtax.cgi?mode=Info&amp;id=1323832&amp;lvl=3&amp;lin=f&amp;keep=1&amp;srchmode=1&amp;unlock","Calonectris borealis")</f>
        <v>Calonectris borealis</v>
      </c>
      <c r="H212" t="s">
        <v>186</v>
      </c>
      <c r="I212" t="str">
        <f>HYPERLINK("http://www.ncbi.nlm.nih.gov/protein/NXV96327.1","ANDR protein")</f>
        <v>ANDR protein</v>
      </c>
      <c r="J212" t="s">
        <v>1323</v>
      </c>
      <c r="K212" t="s">
        <v>20</v>
      </c>
      <c r="L212">
        <v>504</v>
      </c>
      <c r="M212" t="s">
        <v>25</v>
      </c>
      <c r="N212" t="s">
        <v>20</v>
      </c>
      <c r="O212" t="s">
        <v>1352</v>
      </c>
      <c r="P212" t="s">
        <v>20</v>
      </c>
      <c r="Q212">
        <v>132.119</v>
      </c>
      <c r="R212" t="s">
        <v>20</v>
      </c>
      <c r="S212" t="s">
        <v>20</v>
      </c>
      <c r="T212">
        <v>510</v>
      </c>
      <c r="U212" t="s">
        <v>1313</v>
      </c>
      <c r="V212" t="s">
        <v>20</v>
      </c>
      <c r="W212" t="s">
        <v>1352</v>
      </c>
      <c r="X212" t="s">
        <v>20</v>
      </c>
      <c r="Y212">
        <v>146.14599999999999</v>
      </c>
      <c r="Z212" t="s">
        <v>20</v>
      </c>
      <c r="AA212" t="s">
        <v>20</v>
      </c>
      <c r="AB212">
        <v>551</v>
      </c>
      <c r="AC212" t="s">
        <v>1314</v>
      </c>
      <c r="AD212" t="s">
        <v>20</v>
      </c>
      <c r="AE212" t="s">
        <v>1353</v>
      </c>
      <c r="AF212" t="s">
        <v>20</v>
      </c>
      <c r="AG212">
        <v>174.203</v>
      </c>
      <c r="AH212" t="s">
        <v>20</v>
      </c>
      <c r="AI212" t="s">
        <v>20</v>
      </c>
      <c r="AJ212">
        <v>676</v>
      </c>
      <c r="AK212" t="s">
        <v>1315</v>
      </c>
      <c r="AL212" t="s">
        <v>20</v>
      </c>
      <c r="AM212" t="s">
        <v>1354</v>
      </c>
      <c r="AN212" t="s">
        <v>20</v>
      </c>
      <c r="AO212">
        <v>119.119</v>
      </c>
      <c r="AP212" t="s">
        <v>20</v>
      </c>
      <c r="AQ212" t="s">
        <v>20</v>
      </c>
    </row>
    <row r="213" spans="1:43" x14ac:dyDescent="0.25">
      <c r="A213">
        <v>6</v>
      </c>
      <c r="B213" t="s">
        <v>167</v>
      </c>
      <c r="C213" t="str">
        <f>HYPERLINK("http://www.ncbi.nlm.nih.gov/protein/XP_030354066.1","XP_030354066.1")</f>
        <v>XP_030354066.1</v>
      </c>
      <c r="D213">
        <v>43730</v>
      </c>
      <c r="E213" t="str">
        <f>HYPERLINK("http://www.ncbi.nlm.nih.gov/Taxonomy/Browser/wwwtax.cgi?mode=Info&amp;id=2489341&amp;lvl=3&amp;lin=f&amp;keep=1&amp;srchmode=1&amp;unlock","2489341")</f>
        <v>2489341</v>
      </c>
      <c r="F213" t="s">
        <v>167</v>
      </c>
      <c r="G213" t="str">
        <f>HYPERLINK("http://www.ncbi.nlm.nih.gov/Taxonomy/Browser/wwwtax.cgi?mode=Info&amp;id=2489341&amp;lvl=3&amp;lin=f&amp;keep=1&amp;srchmode=1&amp;unlock","Strigops habroptila")</f>
        <v>Strigops habroptila</v>
      </c>
      <c r="H213" t="s">
        <v>396</v>
      </c>
      <c r="I213" t="str">
        <f>HYPERLINK("http://www.ncbi.nlm.nih.gov/protein/XP_030354066.1","androgen receptor")</f>
        <v>androgen receptor</v>
      </c>
      <c r="J213" t="s">
        <v>1323</v>
      </c>
      <c r="K213" t="s">
        <v>20</v>
      </c>
      <c r="L213">
        <v>495</v>
      </c>
      <c r="M213" t="s">
        <v>25</v>
      </c>
      <c r="N213" t="s">
        <v>20</v>
      </c>
      <c r="O213" t="s">
        <v>1352</v>
      </c>
      <c r="P213" t="s">
        <v>20</v>
      </c>
      <c r="Q213">
        <v>132.119</v>
      </c>
      <c r="R213" t="s">
        <v>20</v>
      </c>
      <c r="S213" t="s">
        <v>20</v>
      </c>
      <c r="T213">
        <v>501</v>
      </c>
      <c r="U213" t="s">
        <v>1313</v>
      </c>
      <c r="V213" t="s">
        <v>20</v>
      </c>
      <c r="W213" t="s">
        <v>1352</v>
      </c>
      <c r="X213" t="s">
        <v>20</v>
      </c>
      <c r="Y213">
        <v>146.14599999999999</v>
      </c>
      <c r="Z213" t="s">
        <v>20</v>
      </c>
      <c r="AA213" t="s">
        <v>20</v>
      </c>
      <c r="AB213">
        <v>542</v>
      </c>
      <c r="AC213" t="s">
        <v>1314</v>
      </c>
      <c r="AD213" t="s">
        <v>20</v>
      </c>
      <c r="AE213" t="s">
        <v>1353</v>
      </c>
      <c r="AF213" t="s">
        <v>20</v>
      </c>
      <c r="AG213">
        <v>174.203</v>
      </c>
      <c r="AH213" t="s">
        <v>20</v>
      </c>
      <c r="AI213" t="s">
        <v>20</v>
      </c>
      <c r="AJ213">
        <v>667</v>
      </c>
      <c r="AK213" t="s">
        <v>1315</v>
      </c>
      <c r="AL213" t="s">
        <v>20</v>
      </c>
      <c r="AM213" t="s">
        <v>1354</v>
      </c>
      <c r="AN213" t="s">
        <v>20</v>
      </c>
      <c r="AO213">
        <v>119.119</v>
      </c>
      <c r="AP213" t="s">
        <v>20</v>
      </c>
      <c r="AQ213" t="s">
        <v>20</v>
      </c>
    </row>
    <row r="214" spans="1:43" x14ac:dyDescent="0.25">
      <c r="A214">
        <v>6</v>
      </c>
      <c r="B214" t="s">
        <v>167</v>
      </c>
      <c r="C214" t="str">
        <f>HYPERLINK("http://www.ncbi.nlm.nih.gov/protein/NXV15777.1","NXV15777.1")</f>
        <v>NXV15777.1</v>
      </c>
      <c r="D214">
        <v>14788</v>
      </c>
      <c r="E214" t="str">
        <f>HYPERLINK("http://www.ncbi.nlm.nih.gov/Taxonomy/Browser/wwwtax.cgi?mode=Info&amp;id=28697&amp;lvl=3&amp;lin=f&amp;keep=1&amp;srchmode=1&amp;unlock","28697")</f>
        <v>28697</v>
      </c>
      <c r="F214" t="s">
        <v>167</v>
      </c>
      <c r="G214" t="str">
        <f>HYPERLINK("http://www.ncbi.nlm.nih.gov/Taxonomy/Browser/wwwtax.cgi?mode=Info&amp;id=28697&amp;lvl=3&amp;lin=f&amp;keep=1&amp;srchmode=1&amp;unlock","Cepphus grylle")</f>
        <v>Cepphus grylle</v>
      </c>
      <c r="H214" t="s">
        <v>185</v>
      </c>
      <c r="I214" t="str">
        <f>HYPERLINK("http://www.ncbi.nlm.nih.gov/protein/NXV15777.1","ANDR protein")</f>
        <v>ANDR protein</v>
      </c>
      <c r="J214" t="s">
        <v>1323</v>
      </c>
      <c r="K214" t="s">
        <v>20</v>
      </c>
      <c r="L214">
        <v>501</v>
      </c>
      <c r="M214" t="s">
        <v>25</v>
      </c>
      <c r="N214" t="s">
        <v>20</v>
      </c>
      <c r="O214" t="s">
        <v>1352</v>
      </c>
      <c r="P214" t="s">
        <v>20</v>
      </c>
      <c r="Q214">
        <v>132.119</v>
      </c>
      <c r="R214" t="s">
        <v>20</v>
      </c>
      <c r="S214" t="s">
        <v>20</v>
      </c>
      <c r="T214">
        <v>507</v>
      </c>
      <c r="U214" t="s">
        <v>1313</v>
      </c>
      <c r="V214" t="s">
        <v>20</v>
      </c>
      <c r="W214" t="s">
        <v>1352</v>
      </c>
      <c r="X214" t="s">
        <v>20</v>
      </c>
      <c r="Y214">
        <v>146.14599999999999</v>
      </c>
      <c r="Z214" t="s">
        <v>20</v>
      </c>
      <c r="AA214" t="s">
        <v>20</v>
      </c>
      <c r="AB214">
        <v>548</v>
      </c>
      <c r="AC214" t="s">
        <v>1314</v>
      </c>
      <c r="AD214" t="s">
        <v>20</v>
      </c>
      <c r="AE214" t="s">
        <v>1353</v>
      </c>
      <c r="AF214" t="s">
        <v>20</v>
      </c>
      <c r="AG214">
        <v>174.203</v>
      </c>
      <c r="AH214" t="s">
        <v>20</v>
      </c>
      <c r="AI214" t="s">
        <v>20</v>
      </c>
      <c r="AJ214">
        <v>673</v>
      </c>
      <c r="AK214" t="s">
        <v>1315</v>
      </c>
      <c r="AL214" t="s">
        <v>20</v>
      </c>
      <c r="AM214" t="s">
        <v>1354</v>
      </c>
      <c r="AN214" t="s">
        <v>20</v>
      </c>
      <c r="AO214">
        <v>119.119</v>
      </c>
      <c r="AP214" t="s">
        <v>20</v>
      </c>
      <c r="AQ214" t="s">
        <v>20</v>
      </c>
    </row>
    <row r="215" spans="1:43" x14ac:dyDescent="0.25">
      <c r="A215">
        <v>6</v>
      </c>
      <c r="B215" t="s">
        <v>167</v>
      </c>
      <c r="C215" t="str">
        <f>HYPERLINK("http://www.ncbi.nlm.nih.gov/protein/NXV50066.1","NXV50066.1")</f>
        <v>NXV50066.1</v>
      </c>
      <c r="D215">
        <v>14270</v>
      </c>
      <c r="E215" t="str">
        <f>HYPERLINK("http://www.ncbi.nlm.nih.gov/Taxonomy/Browser/wwwtax.cgi?mode=Info&amp;id=13746&amp;lvl=3&amp;lin=f&amp;keep=1&amp;srchmode=1&amp;unlock","13746")</f>
        <v>13746</v>
      </c>
      <c r="F215" t="s">
        <v>167</v>
      </c>
      <c r="G215" t="str">
        <f>HYPERLINK("http://www.ncbi.nlm.nih.gov/Taxonomy/Browser/wwwtax.cgi?mode=Info&amp;id=13746&amp;lvl=3&amp;lin=f&amp;keep=1&amp;srchmode=1&amp;unlock","Uria aalge")</f>
        <v>Uria aalge</v>
      </c>
      <c r="H215" t="s">
        <v>203</v>
      </c>
      <c r="I215" t="str">
        <f>HYPERLINK("http://www.ncbi.nlm.nih.gov/protein/NXV50066.1","ANDR protein")</f>
        <v>ANDR protein</v>
      </c>
      <c r="J215" t="s">
        <v>1323</v>
      </c>
      <c r="K215" t="s">
        <v>20</v>
      </c>
      <c r="L215">
        <v>502</v>
      </c>
      <c r="M215" t="s">
        <v>25</v>
      </c>
      <c r="N215" t="s">
        <v>20</v>
      </c>
      <c r="O215" t="s">
        <v>1352</v>
      </c>
      <c r="P215" t="s">
        <v>20</v>
      </c>
      <c r="Q215">
        <v>132.119</v>
      </c>
      <c r="R215" t="s">
        <v>20</v>
      </c>
      <c r="S215" t="s">
        <v>20</v>
      </c>
      <c r="T215">
        <v>508</v>
      </c>
      <c r="U215" t="s">
        <v>1313</v>
      </c>
      <c r="V215" t="s">
        <v>20</v>
      </c>
      <c r="W215" t="s">
        <v>1352</v>
      </c>
      <c r="X215" t="s">
        <v>20</v>
      </c>
      <c r="Y215">
        <v>146.14599999999999</v>
      </c>
      <c r="Z215" t="s">
        <v>20</v>
      </c>
      <c r="AA215" t="s">
        <v>20</v>
      </c>
      <c r="AB215">
        <v>549</v>
      </c>
      <c r="AC215" t="s">
        <v>1314</v>
      </c>
      <c r="AD215" t="s">
        <v>20</v>
      </c>
      <c r="AE215" t="s">
        <v>1353</v>
      </c>
      <c r="AF215" t="s">
        <v>20</v>
      </c>
      <c r="AG215">
        <v>174.203</v>
      </c>
      <c r="AH215" t="s">
        <v>20</v>
      </c>
      <c r="AI215" t="s">
        <v>20</v>
      </c>
      <c r="AJ215">
        <v>674</v>
      </c>
      <c r="AK215" t="s">
        <v>1315</v>
      </c>
      <c r="AL215" t="s">
        <v>20</v>
      </c>
      <c r="AM215" t="s">
        <v>1354</v>
      </c>
      <c r="AN215" t="s">
        <v>20</v>
      </c>
      <c r="AO215">
        <v>119.119</v>
      </c>
      <c r="AP215" t="s">
        <v>20</v>
      </c>
      <c r="AQ215" t="s">
        <v>20</v>
      </c>
    </row>
    <row r="216" spans="1:43" x14ac:dyDescent="0.25">
      <c r="A216">
        <v>6</v>
      </c>
      <c r="B216" t="s">
        <v>167</v>
      </c>
      <c r="C216" t="str">
        <f>HYPERLINK("http://www.ncbi.nlm.nih.gov/protein/XP_029852782.1","XP_029852782.1")</f>
        <v>XP_029852782.1</v>
      </c>
      <c r="D216">
        <v>48151</v>
      </c>
      <c r="E216" t="str">
        <f>HYPERLINK("http://www.ncbi.nlm.nih.gov/Taxonomy/Browser/wwwtax.cgi?mode=Info&amp;id=223781&amp;lvl=3&amp;lin=f&amp;keep=1&amp;srchmode=1&amp;unlock","223781")</f>
        <v>223781</v>
      </c>
      <c r="F216" t="s">
        <v>167</v>
      </c>
      <c r="G216" t="str">
        <f>HYPERLINK("http://www.ncbi.nlm.nih.gov/Taxonomy/Browser/wwwtax.cgi?mode=Info&amp;id=223781&amp;lvl=3&amp;lin=f&amp;keep=1&amp;srchmode=1&amp;unlock","Aquila chrysaetos chrysaetos")</f>
        <v>Aquila chrysaetos chrysaetos</v>
      </c>
      <c r="H216" t="s">
        <v>291</v>
      </c>
      <c r="I216" t="str">
        <f>HYPERLINK("http://www.ncbi.nlm.nih.gov/protein/XP_029852782.1","androgen receptor")</f>
        <v>androgen receptor</v>
      </c>
      <c r="J216" t="s">
        <v>1323</v>
      </c>
      <c r="K216" t="s">
        <v>20</v>
      </c>
      <c r="L216">
        <v>499</v>
      </c>
      <c r="M216" t="s">
        <v>25</v>
      </c>
      <c r="N216" t="s">
        <v>20</v>
      </c>
      <c r="O216" t="s">
        <v>1352</v>
      </c>
      <c r="P216" t="s">
        <v>20</v>
      </c>
      <c r="Q216">
        <v>132.119</v>
      </c>
      <c r="R216" t="s">
        <v>20</v>
      </c>
      <c r="S216" t="s">
        <v>20</v>
      </c>
      <c r="T216">
        <v>505</v>
      </c>
      <c r="U216" t="s">
        <v>1313</v>
      </c>
      <c r="V216" t="s">
        <v>20</v>
      </c>
      <c r="W216" t="s">
        <v>1352</v>
      </c>
      <c r="X216" t="s">
        <v>20</v>
      </c>
      <c r="Y216">
        <v>146.14599999999999</v>
      </c>
      <c r="Z216" t="s">
        <v>20</v>
      </c>
      <c r="AA216" t="s">
        <v>20</v>
      </c>
      <c r="AB216">
        <v>546</v>
      </c>
      <c r="AC216" t="s">
        <v>1314</v>
      </c>
      <c r="AD216" t="s">
        <v>20</v>
      </c>
      <c r="AE216" t="s">
        <v>1353</v>
      </c>
      <c r="AF216" t="s">
        <v>20</v>
      </c>
      <c r="AG216">
        <v>174.203</v>
      </c>
      <c r="AH216" t="s">
        <v>20</v>
      </c>
      <c r="AI216" t="s">
        <v>20</v>
      </c>
      <c r="AJ216">
        <v>671</v>
      </c>
      <c r="AK216" t="s">
        <v>1315</v>
      </c>
      <c r="AL216" t="s">
        <v>20</v>
      </c>
      <c r="AM216" t="s">
        <v>1354</v>
      </c>
      <c r="AN216" t="s">
        <v>20</v>
      </c>
      <c r="AO216">
        <v>119.119</v>
      </c>
      <c r="AP216" t="s">
        <v>20</v>
      </c>
      <c r="AQ216" t="s">
        <v>20</v>
      </c>
    </row>
    <row r="217" spans="1:43" x14ac:dyDescent="0.25">
      <c r="A217">
        <v>6</v>
      </c>
      <c r="B217" t="s">
        <v>167</v>
      </c>
      <c r="C217" t="str">
        <f>HYPERLINK("http://www.ncbi.nlm.nih.gov/protein/NWW87198.1","NWW87198.1")</f>
        <v>NWW87198.1</v>
      </c>
      <c r="D217">
        <v>13756</v>
      </c>
      <c r="E217" t="str">
        <f>HYPERLINK("http://www.ncbi.nlm.nih.gov/Taxonomy/Browser/wwwtax.cgi?mode=Info&amp;id=54386&amp;lvl=3&amp;lin=f&amp;keep=1&amp;srchmode=1&amp;unlock","54386")</f>
        <v>54386</v>
      </c>
      <c r="F217" t="s">
        <v>167</v>
      </c>
      <c r="G217" t="str">
        <f>HYPERLINK("http://www.ncbi.nlm.nih.gov/Taxonomy/Browser/wwwtax.cgi?mode=Info&amp;id=54386&amp;lvl=3&amp;lin=f&amp;keep=1&amp;srchmode=1&amp;unlock","Rhynochetos jubatus")</f>
        <v>Rhynochetos jubatus</v>
      </c>
      <c r="H217" t="s">
        <v>290</v>
      </c>
      <c r="I217" t="str">
        <f>HYPERLINK("http://www.ncbi.nlm.nih.gov/protein/NWW87198.1","ANDR protein")</f>
        <v>ANDR protein</v>
      </c>
      <c r="J217" t="s">
        <v>1323</v>
      </c>
      <c r="K217" t="s">
        <v>20</v>
      </c>
      <c r="L217">
        <v>246</v>
      </c>
      <c r="M217" t="s">
        <v>25</v>
      </c>
      <c r="N217" t="s">
        <v>20</v>
      </c>
      <c r="O217" t="s">
        <v>1352</v>
      </c>
      <c r="P217" t="s">
        <v>20</v>
      </c>
      <c r="Q217">
        <v>132.119</v>
      </c>
      <c r="R217" t="s">
        <v>20</v>
      </c>
      <c r="S217" t="s">
        <v>20</v>
      </c>
      <c r="T217">
        <v>252</v>
      </c>
      <c r="U217" t="s">
        <v>1313</v>
      </c>
      <c r="V217" t="s">
        <v>20</v>
      </c>
      <c r="W217" t="s">
        <v>1352</v>
      </c>
      <c r="X217" t="s">
        <v>20</v>
      </c>
      <c r="Y217">
        <v>146.14599999999999</v>
      </c>
      <c r="Z217" t="s">
        <v>20</v>
      </c>
      <c r="AA217" t="s">
        <v>20</v>
      </c>
      <c r="AB217">
        <v>293</v>
      </c>
      <c r="AC217" t="s">
        <v>1314</v>
      </c>
      <c r="AD217" t="s">
        <v>20</v>
      </c>
      <c r="AE217" t="s">
        <v>1353</v>
      </c>
      <c r="AF217" t="s">
        <v>20</v>
      </c>
      <c r="AG217">
        <v>174.203</v>
      </c>
      <c r="AH217" t="s">
        <v>20</v>
      </c>
      <c r="AI217" t="s">
        <v>20</v>
      </c>
      <c r="AJ217">
        <v>418</v>
      </c>
      <c r="AK217" t="s">
        <v>1315</v>
      </c>
      <c r="AL217" t="s">
        <v>20</v>
      </c>
      <c r="AM217" t="s">
        <v>1354</v>
      </c>
      <c r="AN217" t="s">
        <v>20</v>
      </c>
      <c r="AO217">
        <v>119.119</v>
      </c>
      <c r="AP217" t="s">
        <v>20</v>
      </c>
      <c r="AQ217" t="s">
        <v>20</v>
      </c>
    </row>
    <row r="218" spans="1:43" x14ac:dyDescent="0.25">
      <c r="A218">
        <v>6</v>
      </c>
      <c r="B218" t="s">
        <v>167</v>
      </c>
      <c r="C218" t="str">
        <f>HYPERLINK("http://www.ncbi.nlm.nih.gov/protein/APQ40569.1","APQ40569.1")</f>
        <v>APQ40569.1</v>
      </c>
      <c r="D218">
        <v>11521</v>
      </c>
      <c r="E218" t="str">
        <f>HYPERLINK("http://www.ncbi.nlm.nih.gov/Taxonomy/Browser/wwwtax.cgi?mode=Info&amp;id=56313&amp;lvl=3&amp;lin=f&amp;keep=1&amp;srchmode=1&amp;unlock","56313")</f>
        <v>56313</v>
      </c>
      <c r="F218" t="s">
        <v>167</v>
      </c>
      <c r="G218" t="str">
        <f>HYPERLINK("http://www.ncbi.nlm.nih.gov/Taxonomy/Browser/wwwtax.cgi?mode=Info&amp;id=56313&amp;lvl=3&amp;lin=f&amp;keep=1&amp;srchmode=1&amp;unlock","Tyto alba")</f>
        <v>Tyto alba</v>
      </c>
      <c r="H218" t="s">
        <v>250</v>
      </c>
      <c r="I218" t="str">
        <f>HYPERLINK("http://www.ncbi.nlm.nih.gov/protein/APQ40569.1","androgen receptor")</f>
        <v>androgen receptor</v>
      </c>
      <c r="J218" t="s">
        <v>1323</v>
      </c>
      <c r="K218" t="s">
        <v>20</v>
      </c>
      <c r="L218">
        <v>502</v>
      </c>
      <c r="M218" t="s">
        <v>25</v>
      </c>
      <c r="N218" t="s">
        <v>20</v>
      </c>
      <c r="O218" t="s">
        <v>1352</v>
      </c>
      <c r="P218" t="s">
        <v>20</v>
      </c>
      <c r="Q218">
        <v>132.119</v>
      </c>
      <c r="R218" t="s">
        <v>20</v>
      </c>
      <c r="S218" t="s">
        <v>20</v>
      </c>
      <c r="T218">
        <v>508</v>
      </c>
      <c r="U218" t="s">
        <v>1313</v>
      </c>
      <c r="V218" t="s">
        <v>20</v>
      </c>
      <c r="W218" t="s">
        <v>1352</v>
      </c>
      <c r="X218" t="s">
        <v>20</v>
      </c>
      <c r="Y218">
        <v>146.14599999999999</v>
      </c>
      <c r="Z218" t="s">
        <v>20</v>
      </c>
      <c r="AA218" t="s">
        <v>20</v>
      </c>
      <c r="AB218">
        <v>549</v>
      </c>
      <c r="AC218" t="s">
        <v>1314</v>
      </c>
      <c r="AD218" t="s">
        <v>20</v>
      </c>
      <c r="AE218" t="s">
        <v>1353</v>
      </c>
      <c r="AF218" t="s">
        <v>20</v>
      </c>
      <c r="AG218">
        <v>174.203</v>
      </c>
      <c r="AH218" t="s">
        <v>20</v>
      </c>
      <c r="AI218" t="s">
        <v>20</v>
      </c>
      <c r="AJ218">
        <v>674</v>
      </c>
      <c r="AK218" t="s">
        <v>1315</v>
      </c>
      <c r="AL218" t="s">
        <v>20</v>
      </c>
      <c r="AM218" t="s">
        <v>1354</v>
      </c>
      <c r="AN218" t="s">
        <v>20</v>
      </c>
      <c r="AO218">
        <v>119.119</v>
      </c>
      <c r="AP218" t="s">
        <v>20</v>
      </c>
      <c r="AQ218" t="s">
        <v>20</v>
      </c>
    </row>
    <row r="219" spans="1:43" x14ac:dyDescent="0.25">
      <c r="A219">
        <v>6</v>
      </c>
      <c r="B219" t="s">
        <v>167</v>
      </c>
      <c r="C219" t="str">
        <f>HYPERLINK("http://www.ncbi.nlm.nih.gov/protein/NWT41840.1","NWT41840.1")</f>
        <v>NWT41840.1</v>
      </c>
      <c r="D219">
        <v>13971</v>
      </c>
      <c r="E219" t="str">
        <f>HYPERLINK("http://www.ncbi.nlm.nih.gov/Taxonomy/Browser/wwwtax.cgi?mode=Info&amp;id=287016&amp;lvl=3&amp;lin=f&amp;keep=1&amp;srchmode=1&amp;unlock","287016")</f>
        <v>287016</v>
      </c>
      <c r="F219" t="s">
        <v>167</v>
      </c>
      <c r="G219" t="str">
        <f>HYPERLINK("http://www.ncbi.nlm.nih.gov/Taxonomy/Browser/wwwtax.cgi?mode=Info&amp;id=287016&amp;lvl=3&amp;lin=f&amp;keep=1&amp;srchmode=1&amp;unlock","Chroicocephalus maculipennis")</f>
        <v>Chroicocephalus maculipennis</v>
      </c>
      <c r="H219" t="s">
        <v>210</v>
      </c>
      <c r="I219" t="str">
        <f>HYPERLINK("http://www.ncbi.nlm.nih.gov/protein/NWT41840.1","ANDR protein")</f>
        <v>ANDR protein</v>
      </c>
      <c r="J219" t="s">
        <v>1323</v>
      </c>
      <c r="K219" t="s">
        <v>20</v>
      </c>
      <c r="L219">
        <v>502</v>
      </c>
      <c r="M219" t="s">
        <v>25</v>
      </c>
      <c r="N219" t="s">
        <v>20</v>
      </c>
      <c r="O219" t="s">
        <v>1352</v>
      </c>
      <c r="P219" t="s">
        <v>20</v>
      </c>
      <c r="Q219">
        <v>132.119</v>
      </c>
      <c r="R219" t="s">
        <v>20</v>
      </c>
      <c r="S219" t="s">
        <v>20</v>
      </c>
      <c r="T219">
        <v>508</v>
      </c>
      <c r="U219" t="s">
        <v>1313</v>
      </c>
      <c r="V219" t="s">
        <v>20</v>
      </c>
      <c r="W219" t="s">
        <v>1352</v>
      </c>
      <c r="X219" t="s">
        <v>20</v>
      </c>
      <c r="Y219">
        <v>146.14599999999999</v>
      </c>
      <c r="Z219" t="s">
        <v>20</v>
      </c>
      <c r="AA219" t="s">
        <v>20</v>
      </c>
      <c r="AB219">
        <v>549</v>
      </c>
      <c r="AC219" t="s">
        <v>1314</v>
      </c>
      <c r="AD219" t="s">
        <v>20</v>
      </c>
      <c r="AE219" t="s">
        <v>1353</v>
      </c>
      <c r="AF219" t="s">
        <v>20</v>
      </c>
      <c r="AG219">
        <v>174.203</v>
      </c>
      <c r="AH219" t="s">
        <v>20</v>
      </c>
      <c r="AI219" t="s">
        <v>20</v>
      </c>
      <c r="AJ219">
        <v>674</v>
      </c>
      <c r="AK219" t="s">
        <v>1315</v>
      </c>
      <c r="AL219" t="s">
        <v>20</v>
      </c>
      <c r="AM219" t="s">
        <v>1354</v>
      </c>
      <c r="AN219" t="s">
        <v>20</v>
      </c>
      <c r="AO219">
        <v>119.119</v>
      </c>
      <c r="AP219" t="s">
        <v>20</v>
      </c>
      <c r="AQ219" t="s">
        <v>20</v>
      </c>
    </row>
    <row r="220" spans="1:43" x14ac:dyDescent="0.25">
      <c r="A220">
        <v>6</v>
      </c>
      <c r="B220" t="s">
        <v>167</v>
      </c>
      <c r="C220" t="str">
        <f>HYPERLINK("http://www.ncbi.nlm.nih.gov/protein/XP_030304719.1","XP_030304719.1")</f>
        <v>XP_030304719.1</v>
      </c>
      <c r="D220">
        <v>42941</v>
      </c>
      <c r="E220" t="str">
        <f>HYPERLINK("http://www.ncbi.nlm.nih.gov/Taxonomy/Browser/wwwtax.cgi?mode=Info&amp;id=9244&amp;lvl=3&amp;lin=f&amp;keep=1&amp;srchmode=1&amp;unlock","9244")</f>
        <v>9244</v>
      </c>
      <c r="F220" t="s">
        <v>167</v>
      </c>
      <c r="G220" t="str">
        <f>HYPERLINK("http://www.ncbi.nlm.nih.gov/Taxonomy/Browser/wwwtax.cgi?mode=Info&amp;id=9244&amp;lvl=3&amp;lin=f&amp;keep=1&amp;srchmode=1&amp;unlock","Calypte anna")</f>
        <v>Calypte anna</v>
      </c>
      <c r="H220" t="s">
        <v>219</v>
      </c>
      <c r="I220" t="str">
        <f>HYPERLINK("http://www.ncbi.nlm.nih.gov/protein/XP_030304719.1","androgen receptor")</f>
        <v>androgen receptor</v>
      </c>
      <c r="J220" t="s">
        <v>1323</v>
      </c>
      <c r="K220" t="s">
        <v>20</v>
      </c>
      <c r="L220">
        <v>490</v>
      </c>
      <c r="M220" t="s">
        <v>25</v>
      </c>
      <c r="N220" t="s">
        <v>20</v>
      </c>
      <c r="O220" t="s">
        <v>1352</v>
      </c>
      <c r="P220" t="s">
        <v>20</v>
      </c>
      <c r="Q220">
        <v>132.119</v>
      </c>
      <c r="R220" t="s">
        <v>20</v>
      </c>
      <c r="S220" t="s">
        <v>20</v>
      </c>
      <c r="T220">
        <v>496</v>
      </c>
      <c r="U220" t="s">
        <v>1313</v>
      </c>
      <c r="V220" t="s">
        <v>20</v>
      </c>
      <c r="W220" t="s">
        <v>1352</v>
      </c>
      <c r="X220" t="s">
        <v>20</v>
      </c>
      <c r="Y220">
        <v>146.14599999999999</v>
      </c>
      <c r="Z220" t="s">
        <v>20</v>
      </c>
      <c r="AA220" t="s">
        <v>20</v>
      </c>
      <c r="AB220">
        <v>537</v>
      </c>
      <c r="AC220" t="s">
        <v>1314</v>
      </c>
      <c r="AD220" t="s">
        <v>20</v>
      </c>
      <c r="AE220" t="s">
        <v>1353</v>
      </c>
      <c r="AF220" t="s">
        <v>20</v>
      </c>
      <c r="AG220">
        <v>174.203</v>
      </c>
      <c r="AH220" t="s">
        <v>20</v>
      </c>
      <c r="AI220" t="s">
        <v>20</v>
      </c>
      <c r="AJ220">
        <v>662</v>
      </c>
      <c r="AK220" t="s">
        <v>1315</v>
      </c>
      <c r="AL220" t="s">
        <v>20</v>
      </c>
      <c r="AM220" t="s">
        <v>1354</v>
      </c>
      <c r="AN220" t="s">
        <v>20</v>
      </c>
      <c r="AO220">
        <v>119.119</v>
      </c>
      <c r="AP220" t="s">
        <v>20</v>
      </c>
      <c r="AQ220" t="s">
        <v>20</v>
      </c>
    </row>
    <row r="221" spans="1:43" x14ac:dyDescent="0.25">
      <c r="A221">
        <v>6</v>
      </c>
      <c r="B221" t="s">
        <v>167</v>
      </c>
      <c r="C221" t="str">
        <f>HYPERLINK("http://www.ncbi.nlm.nih.gov/protein/NXX03535.1","NXX03535.1")</f>
        <v>NXX03535.1</v>
      </c>
      <c r="D221">
        <v>14087</v>
      </c>
      <c r="E221" t="str">
        <f>HYPERLINK("http://www.ncbi.nlm.nih.gov/Taxonomy/Browser/wwwtax.cgi?mode=Info&amp;id=243888&amp;lvl=3&amp;lin=f&amp;keep=1&amp;srchmode=1&amp;unlock","243888")</f>
        <v>243888</v>
      </c>
      <c r="F221" t="s">
        <v>167</v>
      </c>
      <c r="G221" t="str">
        <f>HYPERLINK("http://www.ncbi.nlm.nih.gov/Taxonomy/Browser/wwwtax.cgi?mode=Info&amp;id=243888&amp;lvl=3&amp;lin=f&amp;keep=1&amp;srchmode=1&amp;unlock","Larus smithsonianus")</f>
        <v>Larus smithsonianus</v>
      </c>
      <c r="H221" t="s">
        <v>218</v>
      </c>
      <c r="I221" t="str">
        <f>HYPERLINK("http://www.ncbi.nlm.nih.gov/protein/NXX03535.1","ANDR protein")</f>
        <v>ANDR protein</v>
      </c>
      <c r="J221" t="s">
        <v>1323</v>
      </c>
      <c r="K221" t="s">
        <v>20</v>
      </c>
      <c r="L221">
        <v>502</v>
      </c>
      <c r="M221" t="s">
        <v>25</v>
      </c>
      <c r="N221" t="s">
        <v>20</v>
      </c>
      <c r="O221" t="s">
        <v>1352</v>
      </c>
      <c r="P221" t="s">
        <v>20</v>
      </c>
      <c r="Q221">
        <v>132.119</v>
      </c>
      <c r="R221" t="s">
        <v>20</v>
      </c>
      <c r="S221" t="s">
        <v>20</v>
      </c>
      <c r="T221">
        <v>508</v>
      </c>
      <c r="U221" t="s">
        <v>1313</v>
      </c>
      <c r="V221" t="s">
        <v>20</v>
      </c>
      <c r="W221" t="s">
        <v>1352</v>
      </c>
      <c r="X221" t="s">
        <v>20</v>
      </c>
      <c r="Y221">
        <v>146.14599999999999</v>
      </c>
      <c r="Z221" t="s">
        <v>20</v>
      </c>
      <c r="AA221" t="s">
        <v>20</v>
      </c>
      <c r="AB221">
        <v>549</v>
      </c>
      <c r="AC221" t="s">
        <v>1314</v>
      </c>
      <c r="AD221" t="s">
        <v>20</v>
      </c>
      <c r="AE221" t="s">
        <v>1353</v>
      </c>
      <c r="AF221" t="s">
        <v>20</v>
      </c>
      <c r="AG221">
        <v>174.203</v>
      </c>
      <c r="AH221" t="s">
        <v>20</v>
      </c>
      <c r="AI221" t="s">
        <v>20</v>
      </c>
      <c r="AJ221">
        <v>674</v>
      </c>
      <c r="AK221" t="s">
        <v>1315</v>
      </c>
      <c r="AL221" t="s">
        <v>20</v>
      </c>
      <c r="AM221" t="s">
        <v>1354</v>
      </c>
      <c r="AN221" t="s">
        <v>20</v>
      </c>
      <c r="AO221">
        <v>119.119</v>
      </c>
      <c r="AP221" t="s">
        <v>20</v>
      </c>
      <c r="AQ221" t="s">
        <v>20</v>
      </c>
    </row>
    <row r="222" spans="1:43" x14ac:dyDescent="0.25">
      <c r="A222">
        <v>6</v>
      </c>
      <c r="B222" t="s">
        <v>167</v>
      </c>
      <c r="C222" t="str">
        <f>HYPERLINK("http://www.ncbi.nlm.nih.gov/protein/NXQ86415.1","NXQ86415.1")</f>
        <v>NXQ86415.1</v>
      </c>
      <c r="D222">
        <v>14112</v>
      </c>
      <c r="E222" t="str">
        <f>HYPERLINK("http://www.ncbi.nlm.nih.gov/Taxonomy/Browser/wwwtax.cgi?mode=Info&amp;id=48427&amp;lvl=3&amp;lin=f&amp;keep=1&amp;srchmode=1&amp;unlock","48427")</f>
        <v>48427</v>
      </c>
      <c r="F222" t="s">
        <v>167</v>
      </c>
      <c r="G222" t="str">
        <f>HYPERLINK("http://www.ncbi.nlm.nih.gov/Taxonomy/Browser/wwwtax.cgi?mode=Info&amp;id=48427&amp;lvl=3&amp;lin=f&amp;keep=1&amp;srchmode=1&amp;unlock","Nyctibius grandis")</f>
        <v>Nyctibius grandis</v>
      </c>
      <c r="H222" t="s">
        <v>233</v>
      </c>
      <c r="I222" t="str">
        <f>HYPERLINK("http://www.ncbi.nlm.nih.gov/protein/NXQ86415.1","ANDR protein")</f>
        <v>ANDR protein</v>
      </c>
      <c r="J222" t="s">
        <v>1323</v>
      </c>
      <c r="K222" t="s">
        <v>20</v>
      </c>
      <c r="L222">
        <v>236</v>
      </c>
      <c r="M222" t="s">
        <v>25</v>
      </c>
      <c r="N222" t="s">
        <v>20</v>
      </c>
      <c r="O222" t="s">
        <v>1352</v>
      </c>
      <c r="P222" t="s">
        <v>20</v>
      </c>
      <c r="Q222">
        <v>132.119</v>
      </c>
      <c r="R222" t="s">
        <v>20</v>
      </c>
      <c r="S222" t="s">
        <v>20</v>
      </c>
      <c r="T222">
        <v>242</v>
      </c>
      <c r="U222" t="s">
        <v>1313</v>
      </c>
      <c r="V222" t="s">
        <v>20</v>
      </c>
      <c r="W222" t="s">
        <v>1352</v>
      </c>
      <c r="X222" t="s">
        <v>20</v>
      </c>
      <c r="Y222">
        <v>146.14599999999999</v>
      </c>
      <c r="Z222" t="s">
        <v>20</v>
      </c>
      <c r="AA222" t="s">
        <v>20</v>
      </c>
      <c r="AB222">
        <v>283</v>
      </c>
      <c r="AC222" t="s">
        <v>1314</v>
      </c>
      <c r="AD222" t="s">
        <v>20</v>
      </c>
      <c r="AE222" t="s">
        <v>1353</v>
      </c>
      <c r="AF222" t="s">
        <v>20</v>
      </c>
      <c r="AG222">
        <v>174.203</v>
      </c>
      <c r="AH222" t="s">
        <v>20</v>
      </c>
      <c r="AI222" t="s">
        <v>20</v>
      </c>
      <c r="AJ222">
        <v>408</v>
      </c>
      <c r="AK222" t="s">
        <v>1315</v>
      </c>
      <c r="AL222" t="s">
        <v>20</v>
      </c>
      <c r="AM222" t="s">
        <v>1354</v>
      </c>
      <c r="AN222" t="s">
        <v>20</v>
      </c>
      <c r="AO222">
        <v>119.119</v>
      </c>
      <c r="AP222" t="s">
        <v>20</v>
      </c>
      <c r="AQ222" t="s">
        <v>20</v>
      </c>
    </row>
    <row r="223" spans="1:43" x14ac:dyDescent="0.25">
      <c r="A223">
        <v>6</v>
      </c>
      <c r="B223" t="s">
        <v>167</v>
      </c>
      <c r="C223" t="str">
        <f>HYPERLINK("http://www.ncbi.nlm.nih.gov/protein/NXX82758.1","NXX82758.1")</f>
        <v>NXX82758.1</v>
      </c>
      <c r="D223">
        <v>14124</v>
      </c>
      <c r="E223" t="str">
        <f>HYPERLINK("http://www.ncbi.nlm.nih.gov/Taxonomy/Browser/wwwtax.cgi?mode=Info&amp;id=458196&amp;lvl=3&amp;lin=f&amp;keep=1&amp;srchmode=1&amp;unlock","458196")</f>
        <v>458196</v>
      </c>
      <c r="F223" t="s">
        <v>167</v>
      </c>
      <c r="G223" t="str">
        <f>HYPERLINK("http://www.ncbi.nlm.nih.gov/Taxonomy/Browser/wwwtax.cgi?mode=Info&amp;id=458196&amp;lvl=3&amp;lin=f&amp;keep=1&amp;srchmode=1&amp;unlock","Urocolius indicus")</f>
        <v>Urocolius indicus</v>
      </c>
      <c r="H223" t="s">
        <v>228</v>
      </c>
      <c r="I223" t="str">
        <f>HYPERLINK("http://www.ncbi.nlm.nih.gov/protein/NXX82758.1","ANDR protein")</f>
        <v>ANDR protein</v>
      </c>
      <c r="J223" t="s">
        <v>1323</v>
      </c>
      <c r="K223" t="s">
        <v>20</v>
      </c>
      <c r="L223">
        <v>305</v>
      </c>
      <c r="M223" t="s">
        <v>25</v>
      </c>
      <c r="N223" t="s">
        <v>20</v>
      </c>
      <c r="O223" t="s">
        <v>1352</v>
      </c>
      <c r="P223" t="s">
        <v>20</v>
      </c>
      <c r="Q223">
        <v>132.119</v>
      </c>
      <c r="R223" t="s">
        <v>20</v>
      </c>
      <c r="S223" t="s">
        <v>20</v>
      </c>
      <c r="T223">
        <v>311</v>
      </c>
      <c r="U223" t="s">
        <v>1313</v>
      </c>
      <c r="V223" t="s">
        <v>20</v>
      </c>
      <c r="W223" t="s">
        <v>1352</v>
      </c>
      <c r="X223" t="s">
        <v>20</v>
      </c>
      <c r="Y223">
        <v>146.14599999999999</v>
      </c>
      <c r="Z223" t="s">
        <v>20</v>
      </c>
      <c r="AA223" t="s">
        <v>20</v>
      </c>
      <c r="AB223">
        <v>352</v>
      </c>
      <c r="AC223" t="s">
        <v>1314</v>
      </c>
      <c r="AD223" t="s">
        <v>20</v>
      </c>
      <c r="AE223" t="s">
        <v>1353</v>
      </c>
      <c r="AF223" t="s">
        <v>20</v>
      </c>
      <c r="AG223">
        <v>174.203</v>
      </c>
      <c r="AH223" t="s">
        <v>20</v>
      </c>
      <c r="AI223" t="s">
        <v>20</v>
      </c>
      <c r="AJ223">
        <v>477</v>
      </c>
      <c r="AK223" t="s">
        <v>1315</v>
      </c>
      <c r="AL223" t="s">
        <v>20</v>
      </c>
      <c r="AM223" t="s">
        <v>1354</v>
      </c>
      <c r="AN223" t="s">
        <v>20</v>
      </c>
      <c r="AO223">
        <v>119.119</v>
      </c>
      <c r="AP223" t="s">
        <v>20</v>
      </c>
      <c r="AQ223" t="s">
        <v>20</v>
      </c>
    </row>
    <row r="224" spans="1:43" x14ac:dyDescent="0.25">
      <c r="A224">
        <v>6</v>
      </c>
      <c r="B224" t="s">
        <v>167</v>
      </c>
      <c r="C224" t="str">
        <f>HYPERLINK("http://www.ncbi.nlm.nih.gov/protein/NXJ09376.1","NXJ09376.1")</f>
        <v>NXJ09376.1</v>
      </c>
      <c r="D224">
        <v>13852</v>
      </c>
      <c r="E224" t="str">
        <f>HYPERLINK("http://www.ncbi.nlm.nih.gov/Taxonomy/Browser/wwwtax.cgi?mode=Info&amp;id=886794&amp;lvl=3&amp;lin=f&amp;keep=1&amp;srchmode=1&amp;unlock","886794")</f>
        <v>886794</v>
      </c>
      <c r="F224" t="s">
        <v>167</v>
      </c>
      <c r="G224" t="str">
        <f>HYPERLINK("http://www.ncbi.nlm.nih.gov/Taxonomy/Browser/wwwtax.cgi?mode=Info&amp;id=886794&amp;lvl=3&amp;lin=f&amp;keep=1&amp;srchmode=1&amp;unlock","Odontophorus gujanensis")</f>
        <v>Odontophorus gujanensis</v>
      </c>
      <c r="H224" t="s">
        <v>407</v>
      </c>
      <c r="I224" t="str">
        <f>HYPERLINK("http://www.ncbi.nlm.nih.gov/protein/NXJ09376.1","ANDR protein")</f>
        <v>ANDR protein</v>
      </c>
      <c r="J224" t="s">
        <v>1323</v>
      </c>
      <c r="K224" t="s">
        <v>20</v>
      </c>
      <c r="L224">
        <v>321</v>
      </c>
      <c r="M224" t="s">
        <v>25</v>
      </c>
      <c r="N224" t="s">
        <v>20</v>
      </c>
      <c r="O224" t="s">
        <v>1352</v>
      </c>
      <c r="P224" t="s">
        <v>20</v>
      </c>
      <c r="Q224">
        <v>132.119</v>
      </c>
      <c r="R224" t="s">
        <v>20</v>
      </c>
      <c r="S224" t="s">
        <v>20</v>
      </c>
      <c r="T224">
        <v>327</v>
      </c>
      <c r="U224" t="s">
        <v>1313</v>
      </c>
      <c r="V224" t="s">
        <v>20</v>
      </c>
      <c r="W224" t="s">
        <v>1352</v>
      </c>
      <c r="X224" t="s">
        <v>20</v>
      </c>
      <c r="Y224">
        <v>146.14599999999999</v>
      </c>
      <c r="Z224" t="s">
        <v>20</v>
      </c>
      <c r="AA224" t="s">
        <v>20</v>
      </c>
      <c r="AB224">
        <v>368</v>
      </c>
      <c r="AC224" t="s">
        <v>1314</v>
      </c>
      <c r="AD224" t="s">
        <v>20</v>
      </c>
      <c r="AE224" t="s">
        <v>1353</v>
      </c>
      <c r="AF224" t="s">
        <v>20</v>
      </c>
      <c r="AG224">
        <v>174.203</v>
      </c>
      <c r="AH224" t="s">
        <v>20</v>
      </c>
      <c r="AI224" t="s">
        <v>20</v>
      </c>
      <c r="AJ224">
        <v>493</v>
      </c>
      <c r="AK224" t="s">
        <v>1315</v>
      </c>
      <c r="AL224" t="s">
        <v>20</v>
      </c>
      <c r="AM224" t="s">
        <v>1354</v>
      </c>
      <c r="AN224" t="s">
        <v>20</v>
      </c>
      <c r="AO224">
        <v>119.119</v>
      </c>
      <c r="AP224" t="s">
        <v>20</v>
      </c>
      <c r="AQ224" t="s">
        <v>20</v>
      </c>
    </row>
    <row r="225" spans="1:43" x14ac:dyDescent="0.25">
      <c r="A225">
        <v>6</v>
      </c>
      <c r="B225" t="s">
        <v>167</v>
      </c>
      <c r="C225" t="str">
        <f>HYPERLINK("http://www.ncbi.nlm.nih.gov/protein/NXW34714.1","NXW34714.1")</f>
        <v>NXW34714.1</v>
      </c>
      <c r="D225">
        <v>13259</v>
      </c>
      <c r="E225" t="str">
        <f>HYPERLINK("http://www.ncbi.nlm.nih.gov/Taxonomy/Browser/wwwtax.cgi?mode=Info&amp;id=297813&amp;lvl=3&amp;lin=f&amp;keep=1&amp;srchmode=1&amp;unlock","297813")</f>
        <v>297813</v>
      </c>
      <c r="F225" t="s">
        <v>167</v>
      </c>
      <c r="G225" t="str">
        <f>HYPERLINK("http://www.ncbi.nlm.nih.gov/Taxonomy/Browser/wwwtax.cgi?mode=Info&amp;id=297813&amp;lvl=3&amp;lin=f&amp;keep=1&amp;srchmode=1&amp;unlock","Phaetusa simplex")</f>
        <v>Phaetusa simplex</v>
      </c>
      <c r="H225" t="s">
        <v>270</v>
      </c>
      <c r="I225" t="str">
        <f>HYPERLINK("http://www.ncbi.nlm.nih.gov/protein/NXW34714.1","ANDR protein")</f>
        <v>ANDR protein</v>
      </c>
      <c r="J225" t="s">
        <v>1323</v>
      </c>
      <c r="K225" t="s">
        <v>20</v>
      </c>
      <c r="L225">
        <v>248</v>
      </c>
      <c r="M225" t="s">
        <v>25</v>
      </c>
      <c r="N225" t="s">
        <v>20</v>
      </c>
      <c r="O225" t="s">
        <v>1352</v>
      </c>
      <c r="P225" t="s">
        <v>20</v>
      </c>
      <c r="Q225">
        <v>132.119</v>
      </c>
      <c r="R225" t="s">
        <v>20</v>
      </c>
      <c r="S225" t="s">
        <v>20</v>
      </c>
      <c r="T225">
        <v>254</v>
      </c>
      <c r="U225" t="s">
        <v>1313</v>
      </c>
      <c r="V225" t="s">
        <v>20</v>
      </c>
      <c r="W225" t="s">
        <v>1352</v>
      </c>
      <c r="X225" t="s">
        <v>20</v>
      </c>
      <c r="Y225">
        <v>146.14599999999999</v>
      </c>
      <c r="Z225" t="s">
        <v>20</v>
      </c>
      <c r="AA225" t="s">
        <v>20</v>
      </c>
      <c r="AB225">
        <v>295</v>
      </c>
      <c r="AC225" t="s">
        <v>1314</v>
      </c>
      <c r="AD225" t="s">
        <v>20</v>
      </c>
      <c r="AE225" t="s">
        <v>1353</v>
      </c>
      <c r="AF225" t="s">
        <v>20</v>
      </c>
      <c r="AG225">
        <v>174.203</v>
      </c>
      <c r="AH225" t="s">
        <v>20</v>
      </c>
      <c r="AI225" t="s">
        <v>20</v>
      </c>
      <c r="AJ225">
        <v>420</v>
      </c>
      <c r="AK225" t="s">
        <v>1315</v>
      </c>
      <c r="AL225" t="s">
        <v>20</v>
      </c>
      <c r="AM225" t="s">
        <v>1354</v>
      </c>
      <c r="AN225" t="s">
        <v>20</v>
      </c>
      <c r="AO225">
        <v>119.119</v>
      </c>
      <c r="AP225" t="s">
        <v>20</v>
      </c>
      <c r="AQ225" t="s">
        <v>20</v>
      </c>
    </row>
    <row r="226" spans="1:43" x14ac:dyDescent="0.25">
      <c r="A226">
        <v>6</v>
      </c>
      <c r="B226" t="s">
        <v>167</v>
      </c>
      <c r="C226" t="str">
        <f>HYPERLINK("http://www.ncbi.nlm.nih.gov/protein/NXW86351.1","NXW86351.1")</f>
        <v>NXW86351.1</v>
      </c>
      <c r="D226">
        <v>14612</v>
      </c>
      <c r="E226" t="str">
        <f>HYPERLINK("http://www.ncbi.nlm.nih.gov/Taxonomy/Browser/wwwtax.cgi?mode=Info&amp;id=262131&amp;lvl=3&amp;lin=f&amp;keep=1&amp;srchmode=1&amp;unlock","262131")</f>
        <v>262131</v>
      </c>
      <c r="F226" t="s">
        <v>167</v>
      </c>
      <c r="G226" t="str">
        <f>HYPERLINK("http://www.ncbi.nlm.nih.gov/Taxonomy/Browser/wwwtax.cgi?mode=Info&amp;id=262131&amp;lvl=3&amp;lin=f&amp;keep=1&amp;srchmode=1&amp;unlock","Alopecoenas beccarii")</f>
        <v>Alopecoenas beccarii</v>
      </c>
      <c r="H226" t="s">
        <v>314</v>
      </c>
      <c r="I226" t="str">
        <f>HYPERLINK("http://www.ncbi.nlm.nih.gov/protein/NXW86351.1","ANDR protein")</f>
        <v>ANDR protein</v>
      </c>
      <c r="J226" t="s">
        <v>1323</v>
      </c>
      <c r="K226" t="s">
        <v>20</v>
      </c>
      <c r="L226">
        <v>222</v>
      </c>
      <c r="M226" t="s">
        <v>25</v>
      </c>
      <c r="N226" t="s">
        <v>20</v>
      </c>
      <c r="O226" t="s">
        <v>1352</v>
      </c>
      <c r="P226" t="s">
        <v>20</v>
      </c>
      <c r="Q226">
        <v>132.119</v>
      </c>
      <c r="R226" t="s">
        <v>20</v>
      </c>
      <c r="S226" t="s">
        <v>20</v>
      </c>
      <c r="T226">
        <v>228</v>
      </c>
      <c r="U226" t="s">
        <v>1313</v>
      </c>
      <c r="V226" t="s">
        <v>20</v>
      </c>
      <c r="W226" t="s">
        <v>1352</v>
      </c>
      <c r="X226" t="s">
        <v>20</v>
      </c>
      <c r="Y226">
        <v>146.14599999999999</v>
      </c>
      <c r="Z226" t="s">
        <v>20</v>
      </c>
      <c r="AA226" t="s">
        <v>20</v>
      </c>
      <c r="AB226">
        <v>269</v>
      </c>
      <c r="AC226" t="s">
        <v>1314</v>
      </c>
      <c r="AD226" t="s">
        <v>20</v>
      </c>
      <c r="AE226" t="s">
        <v>1353</v>
      </c>
      <c r="AF226" t="s">
        <v>20</v>
      </c>
      <c r="AG226">
        <v>174.203</v>
      </c>
      <c r="AH226" t="s">
        <v>20</v>
      </c>
      <c r="AI226" t="s">
        <v>20</v>
      </c>
      <c r="AJ226">
        <v>394</v>
      </c>
      <c r="AK226" t="s">
        <v>1315</v>
      </c>
      <c r="AL226" t="s">
        <v>20</v>
      </c>
      <c r="AM226" t="s">
        <v>1354</v>
      </c>
      <c r="AN226" t="s">
        <v>20</v>
      </c>
      <c r="AO226">
        <v>119.119</v>
      </c>
      <c r="AP226" t="s">
        <v>20</v>
      </c>
      <c r="AQ226" t="s">
        <v>20</v>
      </c>
    </row>
    <row r="227" spans="1:43" x14ac:dyDescent="0.25">
      <c r="A227">
        <v>6</v>
      </c>
      <c r="B227" t="s">
        <v>167</v>
      </c>
      <c r="C227" t="str">
        <f>HYPERLINK("http://www.ncbi.nlm.nih.gov/protein/NWY60891.1","NWY60891.1")</f>
        <v>NWY60891.1</v>
      </c>
      <c r="D227">
        <v>14315</v>
      </c>
      <c r="E227" t="str">
        <f>HYPERLINK("http://www.ncbi.nlm.nih.gov/Taxonomy/Browser/wwwtax.cgi?mode=Info&amp;id=227182&amp;lvl=3&amp;lin=f&amp;keep=1&amp;srchmode=1&amp;unlock","227182")</f>
        <v>227182</v>
      </c>
      <c r="F227" t="s">
        <v>167</v>
      </c>
      <c r="G227" t="str">
        <f>HYPERLINK("http://www.ncbi.nlm.nih.gov/Taxonomy/Browser/wwwtax.cgi?mode=Info&amp;id=227182&amp;lvl=3&amp;lin=f&amp;keep=1&amp;srchmode=1&amp;unlock","Chionis minor")</f>
        <v>Chionis minor</v>
      </c>
      <c r="H227" t="s">
        <v>977</v>
      </c>
      <c r="I227" t="str">
        <f>HYPERLINK("http://www.ncbi.nlm.nih.gov/protein/NWY60891.1","ANDR protein")</f>
        <v>ANDR protein</v>
      </c>
      <c r="J227" t="s">
        <v>1323</v>
      </c>
      <c r="K227" t="s">
        <v>20</v>
      </c>
      <c r="L227">
        <v>248</v>
      </c>
      <c r="M227" t="s">
        <v>25</v>
      </c>
      <c r="N227" t="s">
        <v>20</v>
      </c>
      <c r="O227" t="s">
        <v>1352</v>
      </c>
      <c r="P227" t="s">
        <v>20</v>
      </c>
      <c r="Q227">
        <v>132.119</v>
      </c>
      <c r="R227" t="s">
        <v>20</v>
      </c>
      <c r="S227" t="s">
        <v>20</v>
      </c>
      <c r="T227">
        <v>254</v>
      </c>
      <c r="U227" t="s">
        <v>1313</v>
      </c>
      <c r="V227" t="s">
        <v>20</v>
      </c>
      <c r="W227" t="s">
        <v>1352</v>
      </c>
      <c r="X227" t="s">
        <v>20</v>
      </c>
      <c r="Y227">
        <v>146.14599999999999</v>
      </c>
      <c r="Z227" t="s">
        <v>20</v>
      </c>
      <c r="AA227" t="s">
        <v>20</v>
      </c>
      <c r="AB227">
        <v>295</v>
      </c>
      <c r="AC227" t="s">
        <v>1314</v>
      </c>
      <c r="AD227" t="s">
        <v>20</v>
      </c>
      <c r="AE227" t="s">
        <v>1353</v>
      </c>
      <c r="AF227" t="s">
        <v>20</v>
      </c>
      <c r="AG227">
        <v>174.203</v>
      </c>
      <c r="AH227" t="s">
        <v>20</v>
      </c>
      <c r="AI227" t="s">
        <v>20</v>
      </c>
      <c r="AJ227">
        <v>420</v>
      </c>
      <c r="AK227" t="s">
        <v>1315</v>
      </c>
      <c r="AL227" t="s">
        <v>20</v>
      </c>
      <c r="AM227" t="s">
        <v>1354</v>
      </c>
      <c r="AN227" t="s">
        <v>20</v>
      </c>
      <c r="AO227">
        <v>119.119</v>
      </c>
      <c r="AP227" t="s">
        <v>20</v>
      </c>
      <c r="AQ227" t="s">
        <v>20</v>
      </c>
    </row>
    <row r="228" spans="1:43" x14ac:dyDescent="0.25">
      <c r="A228">
        <v>6</v>
      </c>
      <c r="B228" t="s">
        <v>167</v>
      </c>
      <c r="C228" t="str">
        <f>HYPERLINK("http://www.ncbi.nlm.nih.gov/protein/NXW17840.1","NXW17840.1")</f>
        <v>NXW17840.1</v>
      </c>
      <c r="D228">
        <v>14176</v>
      </c>
      <c r="E228" t="str">
        <f>HYPERLINK("http://www.ncbi.nlm.nih.gov/Taxonomy/Browser/wwwtax.cgi?mode=Info&amp;id=321084&amp;lvl=3&amp;lin=f&amp;keep=1&amp;srchmode=1&amp;unlock","321084")</f>
        <v>321084</v>
      </c>
      <c r="F228" t="s">
        <v>167</v>
      </c>
      <c r="G228" t="str">
        <f>HYPERLINK("http://www.ncbi.nlm.nih.gov/Taxonomy/Browser/wwwtax.cgi?mode=Info&amp;id=321084&amp;lvl=3&amp;lin=f&amp;keep=1&amp;srchmode=1&amp;unlock","Circaetus pectoralis")</f>
        <v>Circaetus pectoralis</v>
      </c>
      <c r="H228" t="s">
        <v>304</v>
      </c>
      <c r="I228" t="str">
        <f>HYPERLINK("http://www.ncbi.nlm.nih.gov/protein/NXW17840.1","ANDR protein")</f>
        <v>ANDR protein</v>
      </c>
      <c r="J228" t="s">
        <v>1323</v>
      </c>
      <c r="K228" t="s">
        <v>20</v>
      </c>
      <c r="L228">
        <v>248</v>
      </c>
      <c r="M228" t="s">
        <v>25</v>
      </c>
      <c r="N228" t="s">
        <v>20</v>
      </c>
      <c r="O228" t="s">
        <v>1352</v>
      </c>
      <c r="P228" t="s">
        <v>20</v>
      </c>
      <c r="Q228">
        <v>132.119</v>
      </c>
      <c r="R228" t="s">
        <v>20</v>
      </c>
      <c r="S228" t="s">
        <v>20</v>
      </c>
      <c r="T228">
        <v>254</v>
      </c>
      <c r="U228" t="s">
        <v>1313</v>
      </c>
      <c r="V228" t="s">
        <v>20</v>
      </c>
      <c r="W228" t="s">
        <v>1352</v>
      </c>
      <c r="X228" t="s">
        <v>20</v>
      </c>
      <c r="Y228">
        <v>146.14599999999999</v>
      </c>
      <c r="Z228" t="s">
        <v>20</v>
      </c>
      <c r="AA228" t="s">
        <v>20</v>
      </c>
      <c r="AB228">
        <v>295</v>
      </c>
      <c r="AC228" t="s">
        <v>1314</v>
      </c>
      <c r="AD228" t="s">
        <v>20</v>
      </c>
      <c r="AE228" t="s">
        <v>1353</v>
      </c>
      <c r="AF228" t="s">
        <v>20</v>
      </c>
      <c r="AG228">
        <v>174.203</v>
      </c>
      <c r="AH228" t="s">
        <v>20</v>
      </c>
      <c r="AI228" t="s">
        <v>20</v>
      </c>
      <c r="AJ228">
        <v>420</v>
      </c>
      <c r="AK228" t="s">
        <v>1315</v>
      </c>
      <c r="AL228" t="s">
        <v>20</v>
      </c>
      <c r="AM228" t="s">
        <v>1354</v>
      </c>
      <c r="AN228" t="s">
        <v>20</v>
      </c>
      <c r="AO228">
        <v>119.119</v>
      </c>
      <c r="AP228" t="s">
        <v>20</v>
      </c>
      <c r="AQ228" t="s">
        <v>20</v>
      </c>
    </row>
    <row r="229" spans="1:43" x14ac:dyDescent="0.25">
      <c r="A229">
        <v>6</v>
      </c>
      <c r="B229" t="s">
        <v>167</v>
      </c>
      <c r="C229" t="str">
        <f>HYPERLINK("http://www.ncbi.nlm.nih.gov/protein/NXE95941.1","NXE95941.1")</f>
        <v>NXE95941.1</v>
      </c>
      <c r="D229">
        <v>14528</v>
      </c>
      <c r="E229" t="str">
        <f>HYPERLINK("http://www.ncbi.nlm.nih.gov/Taxonomy/Browser/wwwtax.cgi?mode=Info&amp;id=47692&amp;lvl=3&amp;lin=f&amp;keep=1&amp;srchmode=1&amp;unlock","47692")</f>
        <v>47692</v>
      </c>
      <c r="F229" t="s">
        <v>167</v>
      </c>
      <c r="G229" t="str">
        <f>HYPERLINK("http://www.ncbi.nlm.nih.gov/Taxonomy/Browser/wwwtax.cgi?mode=Info&amp;id=47692&amp;lvl=3&amp;lin=f&amp;keep=1&amp;srchmode=1&amp;unlock","Menura novaehollandiae")</f>
        <v>Menura novaehollandiae</v>
      </c>
      <c r="H229" t="s">
        <v>329</v>
      </c>
      <c r="I229" t="str">
        <f>HYPERLINK("http://www.ncbi.nlm.nih.gov/protein/NXE95941.1","ANDR protein")</f>
        <v>ANDR protein</v>
      </c>
      <c r="J229" t="s">
        <v>1323</v>
      </c>
      <c r="K229" t="s">
        <v>20</v>
      </c>
      <c r="L229">
        <v>237</v>
      </c>
      <c r="M229" t="s">
        <v>25</v>
      </c>
      <c r="N229" t="s">
        <v>20</v>
      </c>
      <c r="O229" t="s">
        <v>1352</v>
      </c>
      <c r="P229" t="s">
        <v>20</v>
      </c>
      <c r="Q229">
        <v>132.119</v>
      </c>
      <c r="R229" t="s">
        <v>20</v>
      </c>
      <c r="S229" t="s">
        <v>20</v>
      </c>
      <c r="T229">
        <v>243</v>
      </c>
      <c r="U229" t="s">
        <v>1313</v>
      </c>
      <c r="V229" t="s">
        <v>20</v>
      </c>
      <c r="W229" t="s">
        <v>1352</v>
      </c>
      <c r="X229" t="s">
        <v>20</v>
      </c>
      <c r="Y229">
        <v>146.14599999999999</v>
      </c>
      <c r="Z229" t="s">
        <v>20</v>
      </c>
      <c r="AA229" t="s">
        <v>20</v>
      </c>
      <c r="AB229">
        <v>284</v>
      </c>
      <c r="AC229" t="s">
        <v>1314</v>
      </c>
      <c r="AD229" t="s">
        <v>20</v>
      </c>
      <c r="AE229" t="s">
        <v>1353</v>
      </c>
      <c r="AF229" t="s">
        <v>20</v>
      </c>
      <c r="AG229">
        <v>174.203</v>
      </c>
      <c r="AH229" t="s">
        <v>20</v>
      </c>
      <c r="AI229" t="s">
        <v>20</v>
      </c>
      <c r="AJ229">
        <v>409</v>
      </c>
      <c r="AK229" t="s">
        <v>1315</v>
      </c>
      <c r="AL229" t="s">
        <v>20</v>
      </c>
      <c r="AM229" t="s">
        <v>1354</v>
      </c>
      <c r="AN229" t="s">
        <v>20</v>
      </c>
      <c r="AO229">
        <v>119.119</v>
      </c>
      <c r="AP229" t="s">
        <v>20</v>
      </c>
      <c r="AQ229" t="s">
        <v>20</v>
      </c>
    </row>
    <row r="230" spans="1:43" x14ac:dyDescent="0.25">
      <c r="A230">
        <v>6</v>
      </c>
      <c r="B230" t="s">
        <v>167</v>
      </c>
      <c r="C230" t="str">
        <f>HYPERLINK("http://www.ncbi.nlm.nih.gov/protein/NXN72835.1","NXN72835.1")</f>
        <v>NXN72835.1</v>
      </c>
      <c r="D230">
        <v>14348</v>
      </c>
      <c r="E230" t="str">
        <f>HYPERLINK("http://www.ncbi.nlm.nih.gov/Taxonomy/Browser/wwwtax.cgi?mode=Info&amp;id=225398&amp;lvl=3&amp;lin=f&amp;keep=1&amp;srchmode=1&amp;unlock","225398")</f>
        <v>225398</v>
      </c>
      <c r="F230" t="s">
        <v>167</v>
      </c>
      <c r="G230" t="str">
        <f>HYPERLINK("http://www.ncbi.nlm.nih.gov/Taxonomy/Browser/wwwtax.cgi?mode=Info&amp;id=225398&amp;lvl=3&amp;lin=f&amp;keep=1&amp;srchmode=1&amp;unlock","Himantopus himantopus")</f>
        <v>Himantopus himantopus</v>
      </c>
      <c r="H230" t="s">
        <v>589</v>
      </c>
      <c r="I230" t="str">
        <f>HYPERLINK("http://www.ncbi.nlm.nih.gov/protein/NXN72835.1","ANDR protein")</f>
        <v>ANDR protein</v>
      </c>
      <c r="J230" t="s">
        <v>1323</v>
      </c>
      <c r="K230" t="s">
        <v>20</v>
      </c>
      <c r="L230">
        <v>218</v>
      </c>
      <c r="M230" t="s">
        <v>25</v>
      </c>
      <c r="N230" t="s">
        <v>20</v>
      </c>
      <c r="O230" t="s">
        <v>1352</v>
      </c>
      <c r="P230" t="s">
        <v>20</v>
      </c>
      <c r="Q230">
        <v>132.119</v>
      </c>
      <c r="R230" t="s">
        <v>20</v>
      </c>
      <c r="S230" t="s">
        <v>20</v>
      </c>
      <c r="T230">
        <v>224</v>
      </c>
      <c r="U230" t="s">
        <v>1313</v>
      </c>
      <c r="V230" t="s">
        <v>20</v>
      </c>
      <c r="W230" t="s">
        <v>1352</v>
      </c>
      <c r="X230" t="s">
        <v>20</v>
      </c>
      <c r="Y230">
        <v>146.14599999999999</v>
      </c>
      <c r="Z230" t="s">
        <v>20</v>
      </c>
      <c r="AA230" t="s">
        <v>20</v>
      </c>
      <c r="AB230">
        <v>265</v>
      </c>
      <c r="AC230" t="s">
        <v>1314</v>
      </c>
      <c r="AD230" t="s">
        <v>20</v>
      </c>
      <c r="AE230" t="s">
        <v>1353</v>
      </c>
      <c r="AF230" t="s">
        <v>20</v>
      </c>
      <c r="AG230">
        <v>174.203</v>
      </c>
      <c r="AH230" t="s">
        <v>20</v>
      </c>
      <c r="AI230" t="s">
        <v>20</v>
      </c>
      <c r="AJ230">
        <v>390</v>
      </c>
      <c r="AK230" t="s">
        <v>1315</v>
      </c>
      <c r="AL230" t="s">
        <v>20</v>
      </c>
      <c r="AM230" t="s">
        <v>1354</v>
      </c>
      <c r="AN230" t="s">
        <v>20</v>
      </c>
      <c r="AO230">
        <v>119.119</v>
      </c>
      <c r="AP230" t="s">
        <v>20</v>
      </c>
      <c r="AQ230" t="s">
        <v>20</v>
      </c>
    </row>
    <row r="231" spans="1:43" x14ac:dyDescent="0.25">
      <c r="A231">
        <v>6</v>
      </c>
      <c r="B231" t="s">
        <v>167</v>
      </c>
      <c r="C231" t="str">
        <f>HYPERLINK("http://www.ncbi.nlm.nih.gov/protein/XP_035180057.1","XP_035180057.1")</f>
        <v>XP_035180057.1</v>
      </c>
      <c r="D231">
        <v>39822</v>
      </c>
      <c r="E231" t="str">
        <f>HYPERLINK("http://www.ncbi.nlm.nih.gov/Taxonomy/Browser/wwwtax.cgi?mode=Info&amp;id=8884&amp;lvl=3&amp;lin=f&amp;keep=1&amp;srchmode=1&amp;unlock","8884")</f>
        <v>8884</v>
      </c>
      <c r="F231" t="s">
        <v>167</v>
      </c>
      <c r="G231" t="str">
        <f>HYPERLINK("http://www.ncbi.nlm.nih.gov/Taxonomy/Browser/wwwtax.cgi?mode=Info&amp;id=8884&amp;lvl=3&amp;lin=f&amp;keep=1&amp;srchmode=1&amp;unlock","Oxyura jamaicensis")</f>
        <v>Oxyura jamaicensis</v>
      </c>
      <c r="H231" t="s">
        <v>273</v>
      </c>
      <c r="I231" t="str">
        <f>HYPERLINK("http://www.ncbi.nlm.nih.gov/protein/XP_035180057.1","androgen receptor")</f>
        <v>androgen receptor</v>
      </c>
      <c r="J231" t="s">
        <v>1323</v>
      </c>
      <c r="K231" t="s">
        <v>20</v>
      </c>
      <c r="L231">
        <v>258</v>
      </c>
      <c r="M231" t="s">
        <v>25</v>
      </c>
      <c r="N231" t="s">
        <v>20</v>
      </c>
      <c r="O231" t="s">
        <v>1352</v>
      </c>
      <c r="P231" t="s">
        <v>20</v>
      </c>
      <c r="Q231">
        <v>132.119</v>
      </c>
      <c r="R231" t="s">
        <v>20</v>
      </c>
      <c r="S231" t="s">
        <v>20</v>
      </c>
      <c r="T231">
        <v>264</v>
      </c>
      <c r="U231" t="s">
        <v>1313</v>
      </c>
      <c r="V231" t="s">
        <v>20</v>
      </c>
      <c r="W231" t="s">
        <v>1352</v>
      </c>
      <c r="X231" t="s">
        <v>20</v>
      </c>
      <c r="Y231">
        <v>146.14599999999999</v>
      </c>
      <c r="Z231" t="s">
        <v>20</v>
      </c>
      <c r="AA231" t="s">
        <v>20</v>
      </c>
      <c r="AB231">
        <v>305</v>
      </c>
      <c r="AC231" t="s">
        <v>1314</v>
      </c>
      <c r="AD231" t="s">
        <v>20</v>
      </c>
      <c r="AE231" t="s">
        <v>1353</v>
      </c>
      <c r="AF231" t="s">
        <v>20</v>
      </c>
      <c r="AG231">
        <v>174.203</v>
      </c>
      <c r="AH231" t="s">
        <v>20</v>
      </c>
      <c r="AI231" t="s">
        <v>20</v>
      </c>
      <c r="AJ231">
        <v>430</v>
      </c>
      <c r="AK231" t="s">
        <v>1315</v>
      </c>
      <c r="AL231" t="s">
        <v>20</v>
      </c>
      <c r="AM231" t="s">
        <v>1354</v>
      </c>
      <c r="AN231" t="s">
        <v>20</v>
      </c>
      <c r="AO231">
        <v>119.119</v>
      </c>
      <c r="AP231" t="s">
        <v>20</v>
      </c>
      <c r="AQ231" t="s">
        <v>20</v>
      </c>
    </row>
    <row r="232" spans="1:43" x14ac:dyDescent="0.25">
      <c r="A232">
        <v>6</v>
      </c>
      <c r="B232" t="s">
        <v>167</v>
      </c>
      <c r="C232" t="str">
        <f>HYPERLINK("http://www.ncbi.nlm.nih.gov/protein/NXE39462.1","NXE39462.1")</f>
        <v>NXE39462.1</v>
      </c>
      <c r="D232">
        <v>13533</v>
      </c>
      <c r="E232" t="str">
        <f>HYPERLINK("http://www.ncbi.nlm.nih.gov/Taxonomy/Browser/wwwtax.cgi?mode=Info&amp;id=449384&amp;lvl=3&amp;lin=f&amp;keep=1&amp;srchmode=1&amp;unlock","449384")</f>
        <v>449384</v>
      </c>
      <c r="F232" t="s">
        <v>167</v>
      </c>
      <c r="G232" t="str">
        <f>HYPERLINK("http://www.ncbi.nlm.nih.gov/Taxonomy/Browser/wwwtax.cgi?mode=Info&amp;id=449384&amp;lvl=3&amp;lin=f&amp;keep=1&amp;srchmode=1&amp;unlock","Ptilorrhoa leucosticta")</f>
        <v>Ptilorrhoa leucosticta</v>
      </c>
      <c r="H232" t="s">
        <v>206</v>
      </c>
      <c r="I232" t="str">
        <f>HYPERLINK("http://www.ncbi.nlm.nih.gov/protein/NXE39462.1","ANDR protein")</f>
        <v>ANDR protein</v>
      </c>
      <c r="J232" t="s">
        <v>1323</v>
      </c>
      <c r="K232" t="s">
        <v>20</v>
      </c>
      <c r="L232">
        <v>470</v>
      </c>
      <c r="M232" t="s">
        <v>25</v>
      </c>
      <c r="N232" t="s">
        <v>20</v>
      </c>
      <c r="O232" t="s">
        <v>1352</v>
      </c>
      <c r="P232" t="s">
        <v>20</v>
      </c>
      <c r="Q232">
        <v>132.119</v>
      </c>
      <c r="R232" t="s">
        <v>20</v>
      </c>
      <c r="S232" t="s">
        <v>20</v>
      </c>
      <c r="T232">
        <v>476</v>
      </c>
      <c r="U232" t="s">
        <v>1313</v>
      </c>
      <c r="V232" t="s">
        <v>20</v>
      </c>
      <c r="W232" t="s">
        <v>1352</v>
      </c>
      <c r="X232" t="s">
        <v>20</v>
      </c>
      <c r="Y232">
        <v>146.14599999999999</v>
      </c>
      <c r="Z232" t="s">
        <v>20</v>
      </c>
      <c r="AA232" t="s">
        <v>20</v>
      </c>
      <c r="AB232">
        <v>517</v>
      </c>
      <c r="AC232" t="s">
        <v>1314</v>
      </c>
      <c r="AD232" t="s">
        <v>20</v>
      </c>
      <c r="AE232" t="s">
        <v>1353</v>
      </c>
      <c r="AF232" t="s">
        <v>20</v>
      </c>
      <c r="AG232">
        <v>174.203</v>
      </c>
      <c r="AH232" t="s">
        <v>20</v>
      </c>
      <c r="AI232" t="s">
        <v>20</v>
      </c>
      <c r="AJ232">
        <v>642</v>
      </c>
      <c r="AK232" t="s">
        <v>1315</v>
      </c>
      <c r="AL232" t="s">
        <v>20</v>
      </c>
      <c r="AM232" t="s">
        <v>1354</v>
      </c>
      <c r="AN232" t="s">
        <v>20</v>
      </c>
      <c r="AO232">
        <v>119.119</v>
      </c>
      <c r="AP232" t="s">
        <v>20</v>
      </c>
      <c r="AQ232" t="s">
        <v>20</v>
      </c>
    </row>
    <row r="233" spans="1:43" x14ac:dyDescent="0.25">
      <c r="A233">
        <v>6</v>
      </c>
      <c r="B233" t="s">
        <v>167</v>
      </c>
      <c r="C233" t="str">
        <f>HYPERLINK("http://www.ncbi.nlm.nih.gov/protein/NXG00117.1","NXG00117.1")</f>
        <v>NXG00117.1</v>
      </c>
      <c r="D233">
        <v>14155</v>
      </c>
      <c r="E233" t="str">
        <f>HYPERLINK("http://www.ncbi.nlm.nih.gov/Taxonomy/Browser/wwwtax.cgi?mode=Info&amp;id=419690&amp;lvl=3&amp;lin=f&amp;keep=1&amp;srchmode=1&amp;unlock","419690")</f>
        <v>419690</v>
      </c>
      <c r="F233" t="s">
        <v>167</v>
      </c>
      <c r="G233" t="str">
        <f>HYPERLINK("http://www.ncbi.nlm.nih.gov/Taxonomy/Browser/wwwtax.cgi?mode=Info&amp;id=419690&amp;lvl=3&amp;lin=f&amp;keep=1&amp;srchmode=1&amp;unlock","Sakesphorus luctuosus")</f>
        <v>Sakesphorus luctuosus</v>
      </c>
      <c r="H233" t="s">
        <v>206</v>
      </c>
      <c r="I233" t="str">
        <f>HYPERLINK("http://www.ncbi.nlm.nih.gov/protein/NXG00117.1","ANDR protein")</f>
        <v>ANDR protein</v>
      </c>
      <c r="J233" t="s">
        <v>1323</v>
      </c>
      <c r="K233" t="s">
        <v>20</v>
      </c>
      <c r="L233">
        <v>237</v>
      </c>
      <c r="M233" t="s">
        <v>25</v>
      </c>
      <c r="N233" t="s">
        <v>20</v>
      </c>
      <c r="O233" t="s">
        <v>1352</v>
      </c>
      <c r="P233" t="s">
        <v>20</v>
      </c>
      <c r="Q233">
        <v>132.119</v>
      </c>
      <c r="R233" t="s">
        <v>20</v>
      </c>
      <c r="S233" t="s">
        <v>20</v>
      </c>
      <c r="T233">
        <v>243</v>
      </c>
      <c r="U233" t="s">
        <v>1313</v>
      </c>
      <c r="V233" t="s">
        <v>20</v>
      </c>
      <c r="W233" t="s">
        <v>1352</v>
      </c>
      <c r="X233" t="s">
        <v>20</v>
      </c>
      <c r="Y233">
        <v>146.14599999999999</v>
      </c>
      <c r="Z233" t="s">
        <v>20</v>
      </c>
      <c r="AA233" t="s">
        <v>20</v>
      </c>
      <c r="AB233">
        <v>284</v>
      </c>
      <c r="AC233" t="s">
        <v>1314</v>
      </c>
      <c r="AD233" t="s">
        <v>20</v>
      </c>
      <c r="AE233" t="s">
        <v>1353</v>
      </c>
      <c r="AF233" t="s">
        <v>20</v>
      </c>
      <c r="AG233">
        <v>174.203</v>
      </c>
      <c r="AH233" t="s">
        <v>20</v>
      </c>
      <c r="AI233" t="s">
        <v>20</v>
      </c>
      <c r="AJ233">
        <v>409</v>
      </c>
      <c r="AK233" t="s">
        <v>1315</v>
      </c>
      <c r="AL233" t="s">
        <v>20</v>
      </c>
      <c r="AM233" t="s">
        <v>1354</v>
      </c>
      <c r="AN233" t="s">
        <v>20</v>
      </c>
      <c r="AO233">
        <v>119.119</v>
      </c>
      <c r="AP233" t="s">
        <v>20</v>
      </c>
      <c r="AQ233" t="s">
        <v>20</v>
      </c>
    </row>
    <row r="234" spans="1:43" x14ac:dyDescent="0.25">
      <c r="A234">
        <v>6</v>
      </c>
      <c r="B234" t="s">
        <v>167</v>
      </c>
      <c r="C234" t="str">
        <f>HYPERLINK("http://www.ncbi.nlm.nih.gov/protein/NXF32167.1","NXF32167.1")</f>
        <v>NXF32167.1</v>
      </c>
      <c r="D234">
        <v>13974</v>
      </c>
      <c r="E234" t="str">
        <f>HYPERLINK("http://www.ncbi.nlm.nih.gov/Taxonomy/Browser/wwwtax.cgi?mode=Info&amp;id=48426&amp;lvl=3&amp;lin=f&amp;keep=1&amp;srchmode=1&amp;unlock","48426")</f>
        <v>48426</v>
      </c>
      <c r="F234" t="s">
        <v>167</v>
      </c>
      <c r="G234" t="str">
        <f>HYPERLINK("http://www.ncbi.nlm.nih.gov/Taxonomy/Browser/wwwtax.cgi?mode=Info&amp;id=48426&amp;lvl=3&amp;lin=f&amp;keep=1&amp;srchmode=1&amp;unlock","Nyctibius bracteatus")</f>
        <v>Nyctibius bracteatus</v>
      </c>
      <c r="H234" t="s">
        <v>232</v>
      </c>
      <c r="I234" t="str">
        <f>HYPERLINK("http://www.ncbi.nlm.nih.gov/protein/NXF32167.1","ANDR protein")</f>
        <v>ANDR protein</v>
      </c>
      <c r="J234" t="s">
        <v>1323</v>
      </c>
      <c r="K234" t="s">
        <v>20</v>
      </c>
      <c r="L234">
        <v>211</v>
      </c>
      <c r="M234" t="s">
        <v>25</v>
      </c>
      <c r="N234" t="s">
        <v>20</v>
      </c>
      <c r="O234" t="s">
        <v>1352</v>
      </c>
      <c r="P234" t="s">
        <v>20</v>
      </c>
      <c r="Q234">
        <v>132.119</v>
      </c>
      <c r="R234" t="s">
        <v>20</v>
      </c>
      <c r="S234" t="s">
        <v>20</v>
      </c>
      <c r="T234">
        <v>217</v>
      </c>
      <c r="U234" t="s">
        <v>1313</v>
      </c>
      <c r="V234" t="s">
        <v>20</v>
      </c>
      <c r="W234" t="s">
        <v>1352</v>
      </c>
      <c r="X234" t="s">
        <v>20</v>
      </c>
      <c r="Y234">
        <v>146.14599999999999</v>
      </c>
      <c r="Z234" t="s">
        <v>20</v>
      </c>
      <c r="AA234" t="s">
        <v>20</v>
      </c>
      <c r="AB234">
        <v>258</v>
      </c>
      <c r="AC234" t="s">
        <v>1314</v>
      </c>
      <c r="AD234" t="s">
        <v>20</v>
      </c>
      <c r="AE234" t="s">
        <v>1353</v>
      </c>
      <c r="AF234" t="s">
        <v>20</v>
      </c>
      <c r="AG234">
        <v>174.203</v>
      </c>
      <c r="AH234" t="s">
        <v>20</v>
      </c>
      <c r="AI234" t="s">
        <v>20</v>
      </c>
      <c r="AJ234">
        <v>383</v>
      </c>
      <c r="AK234" t="s">
        <v>1315</v>
      </c>
      <c r="AL234" t="s">
        <v>20</v>
      </c>
      <c r="AM234" t="s">
        <v>1354</v>
      </c>
      <c r="AN234" t="s">
        <v>20</v>
      </c>
      <c r="AO234">
        <v>119.119</v>
      </c>
      <c r="AP234" t="s">
        <v>20</v>
      </c>
      <c r="AQ234" t="s">
        <v>20</v>
      </c>
    </row>
    <row r="235" spans="1:43" x14ac:dyDescent="0.25">
      <c r="A235">
        <v>6</v>
      </c>
      <c r="B235" t="s">
        <v>167</v>
      </c>
      <c r="C235" t="str">
        <f>HYPERLINK("http://www.ncbi.nlm.nih.gov/protein/NWV83023.1","NWV83023.1")</f>
        <v>NWV83023.1</v>
      </c>
      <c r="D235">
        <v>14411</v>
      </c>
      <c r="E235" t="str">
        <f>HYPERLINK("http://www.ncbi.nlm.nih.gov/Taxonomy/Browser/wwwtax.cgi?mode=Info&amp;id=243059&amp;lvl=3&amp;lin=f&amp;keep=1&amp;srchmode=1&amp;unlock","243059")</f>
        <v>243059</v>
      </c>
      <c r="F235" t="s">
        <v>167</v>
      </c>
      <c r="G235" t="str">
        <f>HYPERLINK("http://www.ncbi.nlm.nih.gov/Taxonomy/Browser/wwwtax.cgi?mode=Info&amp;id=243059&amp;lvl=3&amp;lin=f&amp;keep=1&amp;srchmode=1&amp;unlock","Dasyornis broadbenti")</f>
        <v>Dasyornis broadbenti</v>
      </c>
      <c r="H235" t="s">
        <v>505</v>
      </c>
      <c r="I235" t="str">
        <f>HYPERLINK("http://www.ncbi.nlm.nih.gov/protein/NWV83023.1","ANDR protein")</f>
        <v>ANDR protein</v>
      </c>
      <c r="J235" t="s">
        <v>1323</v>
      </c>
      <c r="K235" t="s">
        <v>20</v>
      </c>
      <c r="L235">
        <v>264</v>
      </c>
      <c r="M235" t="s">
        <v>25</v>
      </c>
      <c r="N235" t="s">
        <v>20</v>
      </c>
      <c r="O235" t="s">
        <v>1352</v>
      </c>
      <c r="P235" t="s">
        <v>20</v>
      </c>
      <c r="Q235">
        <v>132.119</v>
      </c>
      <c r="R235" t="s">
        <v>20</v>
      </c>
      <c r="S235" t="s">
        <v>20</v>
      </c>
      <c r="T235">
        <v>270</v>
      </c>
      <c r="U235" t="s">
        <v>1313</v>
      </c>
      <c r="V235" t="s">
        <v>20</v>
      </c>
      <c r="W235" t="s">
        <v>1352</v>
      </c>
      <c r="X235" t="s">
        <v>20</v>
      </c>
      <c r="Y235">
        <v>146.14599999999999</v>
      </c>
      <c r="Z235" t="s">
        <v>20</v>
      </c>
      <c r="AA235" t="s">
        <v>20</v>
      </c>
      <c r="AB235">
        <v>311</v>
      </c>
      <c r="AC235" t="s">
        <v>1314</v>
      </c>
      <c r="AD235" t="s">
        <v>20</v>
      </c>
      <c r="AE235" t="s">
        <v>1353</v>
      </c>
      <c r="AF235" t="s">
        <v>20</v>
      </c>
      <c r="AG235">
        <v>174.203</v>
      </c>
      <c r="AH235" t="s">
        <v>20</v>
      </c>
      <c r="AI235" t="s">
        <v>20</v>
      </c>
      <c r="AJ235">
        <v>436</v>
      </c>
      <c r="AK235" t="s">
        <v>1315</v>
      </c>
      <c r="AL235" t="s">
        <v>20</v>
      </c>
      <c r="AM235" t="s">
        <v>1354</v>
      </c>
      <c r="AN235" t="s">
        <v>20</v>
      </c>
      <c r="AO235">
        <v>119.119</v>
      </c>
      <c r="AP235" t="s">
        <v>20</v>
      </c>
      <c r="AQ235" t="s">
        <v>20</v>
      </c>
    </row>
    <row r="236" spans="1:43" x14ac:dyDescent="0.25">
      <c r="A236">
        <v>6</v>
      </c>
      <c r="B236" t="s">
        <v>167</v>
      </c>
      <c r="C236" t="str">
        <f>HYPERLINK("http://www.ncbi.nlm.nih.gov/protein/NXL59281.1","NXL59281.1")</f>
        <v>NXL59281.1</v>
      </c>
      <c r="D236">
        <v>14052</v>
      </c>
      <c r="E236" t="str">
        <f>HYPERLINK("http://www.ncbi.nlm.nih.gov/Taxonomy/Browser/wwwtax.cgi?mode=Info&amp;id=118183&amp;lvl=3&amp;lin=f&amp;keep=1&amp;srchmode=1&amp;unlock","118183")</f>
        <v>118183</v>
      </c>
      <c r="F236" t="s">
        <v>167</v>
      </c>
      <c r="G236" t="str">
        <f>HYPERLINK("http://www.ncbi.nlm.nih.gov/Taxonomy/Browser/wwwtax.cgi?mode=Info&amp;id=118183&amp;lvl=3&amp;lin=f&amp;keep=1&amp;srchmode=1&amp;unlock","Chordeiles acutipennis")</f>
        <v>Chordeiles acutipennis</v>
      </c>
      <c r="H236" t="s">
        <v>610</v>
      </c>
      <c r="I236" t="str">
        <f>HYPERLINK("http://www.ncbi.nlm.nih.gov/protein/NXL59281.1","ANDR protein")</f>
        <v>ANDR protein</v>
      </c>
      <c r="J236" t="s">
        <v>1323</v>
      </c>
      <c r="K236" t="s">
        <v>20</v>
      </c>
      <c r="L236">
        <v>245</v>
      </c>
      <c r="M236" t="s">
        <v>25</v>
      </c>
      <c r="N236" t="s">
        <v>20</v>
      </c>
      <c r="O236" t="s">
        <v>1352</v>
      </c>
      <c r="P236" t="s">
        <v>20</v>
      </c>
      <c r="Q236">
        <v>132.119</v>
      </c>
      <c r="R236" t="s">
        <v>20</v>
      </c>
      <c r="S236" t="s">
        <v>20</v>
      </c>
      <c r="T236">
        <v>251</v>
      </c>
      <c r="U236" t="s">
        <v>1313</v>
      </c>
      <c r="V236" t="s">
        <v>20</v>
      </c>
      <c r="W236" t="s">
        <v>1352</v>
      </c>
      <c r="X236" t="s">
        <v>20</v>
      </c>
      <c r="Y236">
        <v>146.14599999999999</v>
      </c>
      <c r="Z236" t="s">
        <v>20</v>
      </c>
      <c r="AA236" t="s">
        <v>20</v>
      </c>
      <c r="AB236">
        <v>292</v>
      </c>
      <c r="AC236" t="s">
        <v>1314</v>
      </c>
      <c r="AD236" t="s">
        <v>20</v>
      </c>
      <c r="AE236" t="s">
        <v>1353</v>
      </c>
      <c r="AF236" t="s">
        <v>20</v>
      </c>
      <c r="AG236">
        <v>174.203</v>
      </c>
      <c r="AH236" t="s">
        <v>20</v>
      </c>
      <c r="AI236" t="s">
        <v>20</v>
      </c>
      <c r="AJ236">
        <v>417</v>
      </c>
      <c r="AK236" t="s">
        <v>1315</v>
      </c>
      <c r="AL236" t="s">
        <v>20</v>
      </c>
      <c r="AM236" t="s">
        <v>1354</v>
      </c>
      <c r="AN236" t="s">
        <v>20</v>
      </c>
      <c r="AO236">
        <v>119.119</v>
      </c>
      <c r="AP236" t="s">
        <v>20</v>
      </c>
      <c r="AQ236" t="s">
        <v>20</v>
      </c>
    </row>
    <row r="237" spans="1:43" x14ac:dyDescent="0.25">
      <c r="A237">
        <v>6</v>
      </c>
      <c r="B237" t="s">
        <v>167</v>
      </c>
      <c r="C237" t="str">
        <f>HYPERLINK("http://www.ncbi.nlm.nih.gov/protein/NP_001070156.1","NP_001070156.1")</f>
        <v>NP_001070156.1</v>
      </c>
      <c r="D237">
        <v>45119</v>
      </c>
      <c r="E237" t="str">
        <f>HYPERLINK("http://www.ncbi.nlm.nih.gov/Taxonomy/Browser/wwwtax.cgi?mode=Info&amp;id=59729&amp;lvl=3&amp;lin=f&amp;keep=1&amp;srchmode=1&amp;unlock","59729")</f>
        <v>59729</v>
      </c>
      <c r="F237" t="s">
        <v>167</v>
      </c>
      <c r="G237" t="str">
        <f>HYPERLINK("http://www.ncbi.nlm.nih.gov/Taxonomy/Browser/wwwtax.cgi?mode=Info&amp;id=59729&amp;lvl=3&amp;lin=f&amp;keep=1&amp;srchmode=1&amp;unlock","Taeniopygia guttata")</f>
        <v>Taeniopygia guttata</v>
      </c>
      <c r="H237" t="s">
        <v>446</v>
      </c>
      <c r="I237" t="str">
        <f>HYPERLINK("http://www.ncbi.nlm.nih.gov/protein/NP_001070156.1","androgen receptor")</f>
        <v>androgen receptor</v>
      </c>
      <c r="J237" t="s">
        <v>1323</v>
      </c>
      <c r="K237" t="s">
        <v>20</v>
      </c>
      <c r="L237">
        <v>470</v>
      </c>
      <c r="M237" t="s">
        <v>25</v>
      </c>
      <c r="N237" t="s">
        <v>20</v>
      </c>
      <c r="O237" t="s">
        <v>1352</v>
      </c>
      <c r="P237" t="s">
        <v>20</v>
      </c>
      <c r="Q237">
        <v>132.119</v>
      </c>
      <c r="R237" t="s">
        <v>20</v>
      </c>
      <c r="S237" t="s">
        <v>20</v>
      </c>
      <c r="T237">
        <v>476</v>
      </c>
      <c r="U237" t="s">
        <v>1313</v>
      </c>
      <c r="V237" t="s">
        <v>20</v>
      </c>
      <c r="W237" t="s">
        <v>1352</v>
      </c>
      <c r="X237" t="s">
        <v>20</v>
      </c>
      <c r="Y237">
        <v>146.14599999999999</v>
      </c>
      <c r="Z237" t="s">
        <v>20</v>
      </c>
      <c r="AA237" t="s">
        <v>20</v>
      </c>
      <c r="AB237">
        <v>517</v>
      </c>
      <c r="AC237" t="s">
        <v>1314</v>
      </c>
      <c r="AD237" t="s">
        <v>20</v>
      </c>
      <c r="AE237" t="s">
        <v>1353</v>
      </c>
      <c r="AF237" t="s">
        <v>20</v>
      </c>
      <c r="AG237">
        <v>174.203</v>
      </c>
      <c r="AH237" t="s">
        <v>20</v>
      </c>
      <c r="AI237" t="s">
        <v>20</v>
      </c>
      <c r="AJ237">
        <v>642</v>
      </c>
      <c r="AK237" t="s">
        <v>1315</v>
      </c>
      <c r="AL237" t="s">
        <v>20</v>
      </c>
      <c r="AM237" t="s">
        <v>1354</v>
      </c>
      <c r="AN237" t="s">
        <v>20</v>
      </c>
      <c r="AO237">
        <v>119.119</v>
      </c>
      <c r="AP237" t="s">
        <v>20</v>
      </c>
      <c r="AQ237" t="s">
        <v>20</v>
      </c>
    </row>
    <row r="238" spans="1:43" x14ac:dyDescent="0.25">
      <c r="A238">
        <v>6</v>
      </c>
      <c r="B238" t="s">
        <v>167</v>
      </c>
      <c r="C238" t="str">
        <f>HYPERLINK("http://www.ncbi.nlm.nih.gov/protein/NWV26475.1","NWV26475.1")</f>
        <v>NWV26475.1</v>
      </c>
      <c r="D238">
        <v>14487</v>
      </c>
      <c r="E238" t="str">
        <f>HYPERLINK("http://www.ncbi.nlm.nih.gov/Taxonomy/Browser/wwwtax.cgi?mode=Info&amp;id=720586&amp;lvl=3&amp;lin=f&amp;keep=1&amp;srchmode=1&amp;unlock","720586")</f>
        <v>720586</v>
      </c>
      <c r="F238" t="s">
        <v>167</v>
      </c>
      <c r="G238" t="str">
        <f>HYPERLINK("http://www.ncbi.nlm.nih.gov/Taxonomy/Browser/wwwtax.cgi?mode=Info&amp;id=720586&amp;lvl=3&amp;lin=f&amp;keep=1&amp;srchmode=1&amp;unlock","Origma solitaria")</f>
        <v>Origma solitaria</v>
      </c>
      <c r="H238" t="s">
        <v>206</v>
      </c>
      <c r="I238" t="str">
        <f>HYPERLINK("http://www.ncbi.nlm.nih.gov/protein/NWV26475.1","ANDR protein")</f>
        <v>ANDR protein</v>
      </c>
      <c r="J238" t="s">
        <v>1323</v>
      </c>
      <c r="K238" t="s">
        <v>20</v>
      </c>
      <c r="L238">
        <v>264</v>
      </c>
      <c r="M238" t="s">
        <v>25</v>
      </c>
      <c r="N238" t="s">
        <v>20</v>
      </c>
      <c r="O238" t="s">
        <v>1352</v>
      </c>
      <c r="P238" t="s">
        <v>20</v>
      </c>
      <c r="Q238">
        <v>132.119</v>
      </c>
      <c r="R238" t="s">
        <v>20</v>
      </c>
      <c r="S238" t="s">
        <v>20</v>
      </c>
      <c r="T238">
        <v>270</v>
      </c>
      <c r="U238" t="s">
        <v>1313</v>
      </c>
      <c r="V238" t="s">
        <v>20</v>
      </c>
      <c r="W238" t="s">
        <v>1352</v>
      </c>
      <c r="X238" t="s">
        <v>20</v>
      </c>
      <c r="Y238">
        <v>146.14599999999999</v>
      </c>
      <c r="Z238" t="s">
        <v>20</v>
      </c>
      <c r="AA238" t="s">
        <v>20</v>
      </c>
      <c r="AB238">
        <v>311</v>
      </c>
      <c r="AC238" t="s">
        <v>1314</v>
      </c>
      <c r="AD238" t="s">
        <v>20</v>
      </c>
      <c r="AE238" t="s">
        <v>1353</v>
      </c>
      <c r="AF238" t="s">
        <v>20</v>
      </c>
      <c r="AG238">
        <v>174.203</v>
      </c>
      <c r="AH238" t="s">
        <v>20</v>
      </c>
      <c r="AI238" t="s">
        <v>20</v>
      </c>
      <c r="AJ238">
        <v>436</v>
      </c>
      <c r="AK238" t="s">
        <v>1315</v>
      </c>
      <c r="AL238" t="s">
        <v>20</v>
      </c>
      <c r="AM238" t="s">
        <v>1354</v>
      </c>
      <c r="AN238" t="s">
        <v>20</v>
      </c>
      <c r="AO238">
        <v>119.119</v>
      </c>
      <c r="AP238" t="s">
        <v>20</v>
      </c>
      <c r="AQ238" t="s">
        <v>20</v>
      </c>
    </row>
    <row r="239" spans="1:43" x14ac:dyDescent="0.25">
      <c r="A239">
        <v>6</v>
      </c>
      <c r="B239" t="s">
        <v>167</v>
      </c>
      <c r="C239" t="str">
        <f>HYPERLINK("http://www.ncbi.nlm.nih.gov/protein/NWI38923.1","NWI38923.1")</f>
        <v>NWI38923.1</v>
      </c>
      <c r="D239">
        <v>13590</v>
      </c>
      <c r="E239" t="str">
        <f>HYPERLINK("http://www.ncbi.nlm.nih.gov/Taxonomy/Browser/wwwtax.cgi?mode=Info&amp;id=175131&amp;lvl=3&amp;lin=f&amp;keep=1&amp;srchmode=1&amp;unlock","175131")</f>
        <v>175131</v>
      </c>
      <c r="F239" t="s">
        <v>167</v>
      </c>
      <c r="G239" t="str">
        <f>HYPERLINK("http://www.ncbi.nlm.nih.gov/Taxonomy/Browser/wwwtax.cgi?mode=Info&amp;id=175131&amp;lvl=3&amp;lin=f&amp;keep=1&amp;srchmode=1&amp;unlock","Picathartes gymnocephalus")</f>
        <v>Picathartes gymnocephalus</v>
      </c>
      <c r="H239" t="s">
        <v>206</v>
      </c>
      <c r="I239" t="str">
        <f>HYPERLINK("http://www.ncbi.nlm.nih.gov/protein/NWI38923.1","ANDR protein")</f>
        <v>ANDR protein</v>
      </c>
      <c r="J239" t="s">
        <v>1323</v>
      </c>
      <c r="K239" t="s">
        <v>20</v>
      </c>
      <c r="L239">
        <v>263</v>
      </c>
      <c r="M239" t="s">
        <v>25</v>
      </c>
      <c r="N239" t="s">
        <v>20</v>
      </c>
      <c r="O239" t="s">
        <v>1352</v>
      </c>
      <c r="P239" t="s">
        <v>20</v>
      </c>
      <c r="Q239">
        <v>132.119</v>
      </c>
      <c r="R239" t="s">
        <v>20</v>
      </c>
      <c r="S239" t="s">
        <v>20</v>
      </c>
      <c r="T239">
        <v>269</v>
      </c>
      <c r="U239" t="s">
        <v>1313</v>
      </c>
      <c r="V239" t="s">
        <v>20</v>
      </c>
      <c r="W239" t="s">
        <v>1352</v>
      </c>
      <c r="X239" t="s">
        <v>20</v>
      </c>
      <c r="Y239">
        <v>146.14599999999999</v>
      </c>
      <c r="Z239" t="s">
        <v>20</v>
      </c>
      <c r="AA239" t="s">
        <v>20</v>
      </c>
      <c r="AB239">
        <v>310</v>
      </c>
      <c r="AC239" t="s">
        <v>1314</v>
      </c>
      <c r="AD239" t="s">
        <v>20</v>
      </c>
      <c r="AE239" t="s">
        <v>1353</v>
      </c>
      <c r="AF239" t="s">
        <v>20</v>
      </c>
      <c r="AG239">
        <v>174.203</v>
      </c>
      <c r="AH239" t="s">
        <v>20</v>
      </c>
      <c r="AI239" t="s">
        <v>20</v>
      </c>
      <c r="AJ239">
        <v>435</v>
      </c>
      <c r="AK239" t="s">
        <v>1315</v>
      </c>
      <c r="AL239" t="s">
        <v>20</v>
      </c>
      <c r="AM239" t="s">
        <v>1354</v>
      </c>
      <c r="AN239" t="s">
        <v>20</v>
      </c>
      <c r="AO239">
        <v>119.119</v>
      </c>
      <c r="AP239" t="s">
        <v>20</v>
      </c>
      <c r="AQ239" t="s">
        <v>20</v>
      </c>
    </row>
    <row r="240" spans="1:43" x14ac:dyDescent="0.25">
      <c r="A240">
        <v>6</v>
      </c>
      <c r="B240" t="s">
        <v>167</v>
      </c>
      <c r="C240" t="str">
        <f>HYPERLINK("http://www.ncbi.nlm.nih.gov/protein/NXW44450.1","NXW44450.1")</f>
        <v>NXW44450.1</v>
      </c>
      <c r="D240">
        <v>13396</v>
      </c>
      <c r="E240" t="str">
        <f>HYPERLINK("http://www.ncbi.nlm.nih.gov/Taxonomy/Browser/wwwtax.cgi?mode=Info&amp;id=382315&amp;lvl=3&amp;lin=f&amp;keep=1&amp;srchmode=1&amp;unlock","382315")</f>
        <v>382315</v>
      </c>
      <c r="F240" t="s">
        <v>167</v>
      </c>
      <c r="G240" t="str">
        <f>HYPERLINK("http://www.ncbi.nlm.nih.gov/Taxonomy/Browser/wwwtax.cgi?mode=Info&amp;id=382315&amp;lvl=3&amp;lin=f&amp;keep=1&amp;srchmode=1&amp;unlock","Nyctiprogne leucopyga")</f>
        <v>Nyctiprogne leucopyga</v>
      </c>
      <c r="H240" t="s">
        <v>233</v>
      </c>
      <c r="I240" t="str">
        <f>HYPERLINK("http://www.ncbi.nlm.nih.gov/protein/NXW44450.1","ANDR protein")</f>
        <v>ANDR protein</v>
      </c>
      <c r="J240" t="s">
        <v>1323</v>
      </c>
      <c r="K240" t="s">
        <v>20</v>
      </c>
      <c r="L240">
        <v>388</v>
      </c>
      <c r="M240" t="s">
        <v>25</v>
      </c>
      <c r="N240" t="s">
        <v>20</v>
      </c>
      <c r="O240" t="s">
        <v>1352</v>
      </c>
      <c r="P240" t="s">
        <v>20</v>
      </c>
      <c r="Q240">
        <v>132.119</v>
      </c>
      <c r="R240" t="s">
        <v>20</v>
      </c>
      <c r="S240" t="s">
        <v>20</v>
      </c>
      <c r="T240">
        <v>394</v>
      </c>
      <c r="U240" t="s">
        <v>1313</v>
      </c>
      <c r="V240" t="s">
        <v>20</v>
      </c>
      <c r="W240" t="s">
        <v>1352</v>
      </c>
      <c r="X240" t="s">
        <v>20</v>
      </c>
      <c r="Y240">
        <v>146.14599999999999</v>
      </c>
      <c r="Z240" t="s">
        <v>20</v>
      </c>
      <c r="AA240" t="s">
        <v>20</v>
      </c>
      <c r="AB240">
        <v>435</v>
      </c>
      <c r="AC240" t="s">
        <v>1314</v>
      </c>
      <c r="AD240" t="s">
        <v>20</v>
      </c>
      <c r="AE240" t="s">
        <v>1353</v>
      </c>
      <c r="AF240" t="s">
        <v>20</v>
      </c>
      <c r="AG240">
        <v>174.203</v>
      </c>
      <c r="AH240" t="s">
        <v>20</v>
      </c>
      <c r="AI240" t="s">
        <v>20</v>
      </c>
      <c r="AJ240">
        <v>560</v>
      </c>
      <c r="AK240" t="s">
        <v>1315</v>
      </c>
      <c r="AL240" t="s">
        <v>20</v>
      </c>
      <c r="AM240" t="s">
        <v>1354</v>
      </c>
      <c r="AN240" t="s">
        <v>20</v>
      </c>
      <c r="AO240">
        <v>119.119</v>
      </c>
      <c r="AP240" t="s">
        <v>20</v>
      </c>
      <c r="AQ240" t="s">
        <v>20</v>
      </c>
    </row>
    <row r="241" spans="1:43" x14ac:dyDescent="0.25">
      <c r="A241">
        <v>6</v>
      </c>
      <c r="B241" t="s">
        <v>167</v>
      </c>
      <c r="C241" t="str">
        <f>HYPERLINK("http://www.ncbi.nlm.nih.gov/protein/NWQ62781.1","NWQ62781.1")</f>
        <v>NWQ62781.1</v>
      </c>
      <c r="D241">
        <v>14028</v>
      </c>
      <c r="E241" t="str">
        <f>HYPERLINK("http://www.ncbi.nlm.nih.gov/Taxonomy/Browser/wwwtax.cgi?mode=Info&amp;id=456388&amp;lvl=3&amp;lin=f&amp;keep=1&amp;srchmode=1&amp;unlock","456388")</f>
        <v>456388</v>
      </c>
      <c r="F241" t="s">
        <v>167</v>
      </c>
      <c r="G241" t="str">
        <f>HYPERLINK("http://www.ncbi.nlm.nih.gov/Taxonomy/Browser/wwwtax.cgi?mode=Info&amp;id=456388&amp;lvl=3&amp;lin=f&amp;keep=1&amp;srchmode=1&amp;unlock","Neopipo cinnamomea")</f>
        <v>Neopipo cinnamomea</v>
      </c>
      <c r="H241" t="s">
        <v>206</v>
      </c>
      <c r="I241" t="str">
        <f>HYPERLINK("http://www.ncbi.nlm.nih.gov/protein/NWQ62781.1","ANDR protein")</f>
        <v>ANDR protein</v>
      </c>
      <c r="J241" t="s">
        <v>1323</v>
      </c>
      <c r="K241" t="s">
        <v>20</v>
      </c>
      <c r="L241">
        <v>235</v>
      </c>
      <c r="M241" t="s">
        <v>25</v>
      </c>
      <c r="N241" t="s">
        <v>20</v>
      </c>
      <c r="O241" t="s">
        <v>1352</v>
      </c>
      <c r="P241" t="s">
        <v>20</v>
      </c>
      <c r="Q241">
        <v>132.119</v>
      </c>
      <c r="R241" t="s">
        <v>20</v>
      </c>
      <c r="S241" t="s">
        <v>20</v>
      </c>
      <c r="T241">
        <v>241</v>
      </c>
      <c r="U241" t="s">
        <v>1313</v>
      </c>
      <c r="V241" t="s">
        <v>20</v>
      </c>
      <c r="W241" t="s">
        <v>1352</v>
      </c>
      <c r="X241" t="s">
        <v>20</v>
      </c>
      <c r="Y241">
        <v>146.14599999999999</v>
      </c>
      <c r="Z241" t="s">
        <v>20</v>
      </c>
      <c r="AA241" t="s">
        <v>20</v>
      </c>
      <c r="AB241">
        <v>282</v>
      </c>
      <c r="AC241" t="s">
        <v>1314</v>
      </c>
      <c r="AD241" t="s">
        <v>20</v>
      </c>
      <c r="AE241" t="s">
        <v>1353</v>
      </c>
      <c r="AF241" t="s">
        <v>20</v>
      </c>
      <c r="AG241">
        <v>174.203</v>
      </c>
      <c r="AH241" t="s">
        <v>20</v>
      </c>
      <c r="AI241" t="s">
        <v>20</v>
      </c>
      <c r="AJ241">
        <v>407</v>
      </c>
      <c r="AK241" t="s">
        <v>1315</v>
      </c>
      <c r="AL241" t="s">
        <v>20</v>
      </c>
      <c r="AM241" t="s">
        <v>1354</v>
      </c>
      <c r="AN241" t="s">
        <v>20</v>
      </c>
      <c r="AO241">
        <v>119.119</v>
      </c>
      <c r="AP241" t="s">
        <v>20</v>
      </c>
      <c r="AQ241" t="s">
        <v>20</v>
      </c>
    </row>
    <row r="242" spans="1:43" x14ac:dyDescent="0.25">
      <c r="A242">
        <v>6</v>
      </c>
      <c r="B242" t="s">
        <v>167</v>
      </c>
      <c r="C242" t="str">
        <f>HYPERLINK("http://www.ncbi.nlm.nih.gov/protein/NXL01257.1","NXL01257.1")</f>
        <v>NXL01257.1</v>
      </c>
      <c r="D242">
        <v>13893</v>
      </c>
      <c r="E242" t="str">
        <f>HYPERLINK("http://www.ncbi.nlm.nih.gov/Taxonomy/Browser/wwwtax.cgi?mode=Info&amp;id=1118748&amp;lvl=3&amp;lin=f&amp;keep=1&amp;srchmode=1&amp;unlock","1118748")</f>
        <v>1118748</v>
      </c>
      <c r="F242" t="s">
        <v>167</v>
      </c>
      <c r="G242" t="str">
        <f>HYPERLINK("http://www.ncbi.nlm.nih.gov/Taxonomy/Browser/wwwtax.cgi?mode=Info&amp;id=1118748&amp;lvl=3&amp;lin=f&amp;keep=1&amp;srchmode=1&amp;unlock","Mesembrinibis cayennensis")</f>
        <v>Mesembrinibis cayennensis</v>
      </c>
      <c r="H242" t="s">
        <v>980</v>
      </c>
      <c r="I242" t="str">
        <f>HYPERLINK("http://www.ncbi.nlm.nih.gov/protein/NXL01257.1","ANDR protein")</f>
        <v>ANDR protein</v>
      </c>
      <c r="J242" t="s">
        <v>1323</v>
      </c>
      <c r="K242" t="s">
        <v>20</v>
      </c>
      <c r="L242">
        <v>220</v>
      </c>
      <c r="M242" t="s">
        <v>25</v>
      </c>
      <c r="N242" t="s">
        <v>20</v>
      </c>
      <c r="O242" t="s">
        <v>1352</v>
      </c>
      <c r="P242" t="s">
        <v>20</v>
      </c>
      <c r="Q242">
        <v>132.119</v>
      </c>
      <c r="R242" t="s">
        <v>20</v>
      </c>
      <c r="S242" t="s">
        <v>20</v>
      </c>
      <c r="T242">
        <v>226</v>
      </c>
      <c r="U242" t="s">
        <v>1313</v>
      </c>
      <c r="V242" t="s">
        <v>20</v>
      </c>
      <c r="W242" t="s">
        <v>1352</v>
      </c>
      <c r="X242" t="s">
        <v>20</v>
      </c>
      <c r="Y242">
        <v>146.14599999999999</v>
      </c>
      <c r="Z242" t="s">
        <v>20</v>
      </c>
      <c r="AA242" t="s">
        <v>20</v>
      </c>
      <c r="AB242">
        <v>267</v>
      </c>
      <c r="AC242" t="s">
        <v>1314</v>
      </c>
      <c r="AD242" t="s">
        <v>20</v>
      </c>
      <c r="AE242" t="s">
        <v>1353</v>
      </c>
      <c r="AF242" t="s">
        <v>20</v>
      </c>
      <c r="AG242">
        <v>174.203</v>
      </c>
      <c r="AH242" t="s">
        <v>20</v>
      </c>
      <c r="AI242" t="s">
        <v>20</v>
      </c>
      <c r="AJ242">
        <v>392</v>
      </c>
      <c r="AK242" t="s">
        <v>1315</v>
      </c>
      <c r="AL242" t="s">
        <v>20</v>
      </c>
      <c r="AM242" t="s">
        <v>1354</v>
      </c>
      <c r="AN242" t="s">
        <v>20</v>
      </c>
      <c r="AO242">
        <v>119.119</v>
      </c>
      <c r="AP242" t="s">
        <v>20</v>
      </c>
      <c r="AQ242" t="s">
        <v>20</v>
      </c>
    </row>
    <row r="243" spans="1:43" x14ac:dyDescent="0.25">
      <c r="A243">
        <v>6</v>
      </c>
      <c r="B243" t="s">
        <v>167</v>
      </c>
      <c r="C243" t="str">
        <f>HYPERLINK("http://www.ncbi.nlm.nih.gov/protein/XP_030901415.2","XP_030901415.2")</f>
        <v>XP_030901415.2</v>
      </c>
      <c r="D243">
        <v>29316</v>
      </c>
      <c r="E243" t="str">
        <f>HYPERLINK("http://www.ncbi.nlm.nih.gov/Taxonomy/Browser/wwwtax.cgi?mode=Info&amp;id=13146&amp;lvl=3&amp;lin=f&amp;keep=1&amp;srchmode=1&amp;unlock","13146")</f>
        <v>13146</v>
      </c>
      <c r="F243" t="s">
        <v>167</v>
      </c>
      <c r="G243" t="str">
        <f>HYPERLINK("http://www.ncbi.nlm.nih.gov/Taxonomy/Browser/wwwtax.cgi?mode=Info&amp;id=13146&amp;lvl=3&amp;lin=f&amp;keep=1&amp;srchmode=1&amp;unlock","Melopsittacus undulatus")</f>
        <v>Melopsittacus undulatus</v>
      </c>
      <c r="H243" t="s">
        <v>415</v>
      </c>
      <c r="I243" t="str">
        <f>HYPERLINK("http://www.ncbi.nlm.nih.gov/protein/XP_030901415.2","androgen receptor isoform X1")</f>
        <v>androgen receptor isoform X1</v>
      </c>
      <c r="J243" t="s">
        <v>1323</v>
      </c>
      <c r="K243" t="s">
        <v>20</v>
      </c>
      <c r="L243">
        <v>491</v>
      </c>
      <c r="M243" t="s">
        <v>25</v>
      </c>
      <c r="N243" t="s">
        <v>20</v>
      </c>
      <c r="O243" t="s">
        <v>1352</v>
      </c>
      <c r="P243" t="s">
        <v>20</v>
      </c>
      <c r="Q243">
        <v>132.119</v>
      </c>
      <c r="R243" t="s">
        <v>20</v>
      </c>
      <c r="S243" t="s">
        <v>20</v>
      </c>
      <c r="T243">
        <v>497</v>
      </c>
      <c r="U243" t="s">
        <v>1313</v>
      </c>
      <c r="V243" t="s">
        <v>20</v>
      </c>
      <c r="W243" t="s">
        <v>1352</v>
      </c>
      <c r="X243" t="s">
        <v>20</v>
      </c>
      <c r="Y243">
        <v>146.14599999999999</v>
      </c>
      <c r="Z243" t="s">
        <v>20</v>
      </c>
      <c r="AA243" t="s">
        <v>20</v>
      </c>
      <c r="AB243">
        <v>538</v>
      </c>
      <c r="AC243" t="s">
        <v>1314</v>
      </c>
      <c r="AD243" t="s">
        <v>20</v>
      </c>
      <c r="AE243" t="s">
        <v>1353</v>
      </c>
      <c r="AF243" t="s">
        <v>20</v>
      </c>
      <c r="AG243">
        <v>174.203</v>
      </c>
      <c r="AH243" t="s">
        <v>20</v>
      </c>
      <c r="AI243" t="s">
        <v>20</v>
      </c>
      <c r="AJ243">
        <v>663</v>
      </c>
      <c r="AK243" t="s">
        <v>1315</v>
      </c>
      <c r="AL243" t="s">
        <v>20</v>
      </c>
      <c r="AM243" t="s">
        <v>1354</v>
      </c>
      <c r="AN243" t="s">
        <v>20</v>
      </c>
      <c r="AO243">
        <v>119.119</v>
      </c>
      <c r="AP243" t="s">
        <v>20</v>
      </c>
      <c r="AQ243" t="s">
        <v>20</v>
      </c>
    </row>
    <row r="244" spans="1:43" x14ac:dyDescent="0.25">
      <c r="A244">
        <v>6</v>
      </c>
      <c r="B244" t="s">
        <v>167</v>
      </c>
      <c r="C244" t="str">
        <f>HYPERLINK("http://www.ncbi.nlm.nih.gov/protein/NXT82985.1","NXT82985.1")</f>
        <v>NXT82985.1</v>
      </c>
      <c r="D244">
        <v>13359</v>
      </c>
      <c r="E244" t="str">
        <f>HYPERLINK("http://www.ncbi.nlm.nih.gov/Taxonomy/Browser/wwwtax.cgi?mode=Info&amp;id=2585822&amp;lvl=3&amp;lin=f&amp;keep=1&amp;srchmode=1&amp;unlock","2585822")</f>
        <v>2585822</v>
      </c>
      <c r="F244" t="s">
        <v>167</v>
      </c>
      <c r="G244" t="str">
        <f>HYPERLINK("http://www.ncbi.nlm.nih.gov/Taxonomy/Browser/wwwtax.cgi?mode=Info&amp;id=2585822&amp;lvl=3&amp;lin=f&amp;keep=1&amp;srchmode=1&amp;unlock","Zapornia atra")</f>
        <v>Zapornia atra</v>
      </c>
      <c r="H244" t="s">
        <v>208</v>
      </c>
      <c r="I244" t="str">
        <f>HYPERLINK("http://www.ncbi.nlm.nih.gov/protein/NXT82985.1","ANDR protein")</f>
        <v>ANDR protein</v>
      </c>
      <c r="J244" t="s">
        <v>1323</v>
      </c>
      <c r="K244" t="s">
        <v>20</v>
      </c>
      <c r="L244">
        <v>220</v>
      </c>
      <c r="M244" t="s">
        <v>25</v>
      </c>
      <c r="N244" t="s">
        <v>20</v>
      </c>
      <c r="O244" t="s">
        <v>1352</v>
      </c>
      <c r="P244" t="s">
        <v>20</v>
      </c>
      <c r="Q244">
        <v>132.119</v>
      </c>
      <c r="R244" t="s">
        <v>20</v>
      </c>
      <c r="S244" t="s">
        <v>20</v>
      </c>
      <c r="T244">
        <v>226</v>
      </c>
      <c r="U244" t="s">
        <v>1313</v>
      </c>
      <c r="V244" t="s">
        <v>20</v>
      </c>
      <c r="W244" t="s">
        <v>1352</v>
      </c>
      <c r="X244" t="s">
        <v>20</v>
      </c>
      <c r="Y244">
        <v>146.14599999999999</v>
      </c>
      <c r="Z244" t="s">
        <v>20</v>
      </c>
      <c r="AA244" t="s">
        <v>20</v>
      </c>
      <c r="AB244">
        <v>267</v>
      </c>
      <c r="AC244" t="s">
        <v>1314</v>
      </c>
      <c r="AD244" t="s">
        <v>20</v>
      </c>
      <c r="AE244" t="s">
        <v>1353</v>
      </c>
      <c r="AF244" t="s">
        <v>20</v>
      </c>
      <c r="AG244">
        <v>174.203</v>
      </c>
      <c r="AH244" t="s">
        <v>20</v>
      </c>
      <c r="AI244" t="s">
        <v>20</v>
      </c>
      <c r="AJ244">
        <v>392</v>
      </c>
      <c r="AK244" t="s">
        <v>1315</v>
      </c>
      <c r="AL244" t="s">
        <v>20</v>
      </c>
      <c r="AM244" t="s">
        <v>1354</v>
      </c>
      <c r="AN244" t="s">
        <v>20</v>
      </c>
      <c r="AO244">
        <v>119.119</v>
      </c>
      <c r="AP244" t="s">
        <v>20</v>
      </c>
      <c r="AQ244" t="s">
        <v>20</v>
      </c>
    </row>
    <row r="245" spans="1:43" x14ac:dyDescent="0.25">
      <c r="A245">
        <v>6</v>
      </c>
      <c r="B245" t="s">
        <v>167</v>
      </c>
      <c r="C245" t="str">
        <f>HYPERLINK("http://www.ncbi.nlm.nih.gov/protein/NXA64517.1","NXA64517.1")</f>
        <v>NXA64517.1</v>
      </c>
      <c r="D245">
        <v>13619</v>
      </c>
      <c r="E245" t="str">
        <f>HYPERLINK("http://www.ncbi.nlm.nih.gov/Taxonomy/Browser/wwwtax.cgi?mode=Info&amp;id=874463&amp;lvl=3&amp;lin=f&amp;keep=1&amp;srchmode=1&amp;unlock","874463")</f>
        <v>874463</v>
      </c>
      <c r="F245" t="s">
        <v>167</v>
      </c>
      <c r="G245" t="str">
        <f>HYPERLINK("http://www.ncbi.nlm.nih.gov/Taxonomy/Browser/wwwtax.cgi?mode=Info&amp;id=874463&amp;lvl=3&amp;lin=f&amp;keep=1&amp;srchmode=1&amp;unlock","Mohoua ochrocephala")</f>
        <v>Mohoua ochrocephala</v>
      </c>
      <c r="H245" t="s">
        <v>206</v>
      </c>
      <c r="I245" t="str">
        <f>HYPERLINK("http://www.ncbi.nlm.nih.gov/protein/NXA64517.1","ANDR protein")</f>
        <v>ANDR protein</v>
      </c>
      <c r="J245" t="s">
        <v>1323</v>
      </c>
      <c r="K245" t="s">
        <v>20</v>
      </c>
      <c r="L245">
        <v>237</v>
      </c>
      <c r="M245" t="s">
        <v>25</v>
      </c>
      <c r="N245" t="s">
        <v>20</v>
      </c>
      <c r="O245" t="s">
        <v>1352</v>
      </c>
      <c r="P245" t="s">
        <v>20</v>
      </c>
      <c r="Q245">
        <v>132.119</v>
      </c>
      <c r="R245" t="s">
        <v>20</v>
      </c>
      <c r="S245" t="s">
        <v>20</v>
      </c>
      <c r="T245">
        <v>243</v>
      </c>
      <c r="U245" t="s">
        <v>1313</v>
      </c>
      <c r="V245" t="s">
        <v>20</v>
      </c>
      <c r="W245" t="s">
        <v>1352</v>
      </c>
      <c r="X245" t="s">
        <v>20</v>
      </c>
      <c r="Y245">
        <v>146.14599999999999</v>
      </c>
      <c r="Z245" t="s">
        <v>20</v>
      </c>
      <c r="AA245" t="s">
        <v>20</v>
      </c>
      <c r="AB245">
        <v>284</v>
      </c>
      <c r="AC245" t="s">
        <v>1314</v>
      </c>
      <c r="AD245" t="s">
        <v>20</v>
      </c>
      <c r="AE245" t="s">
        <v>1353</v>
      </c>
      <c r="AF245" t="s">
        <v>20</v>
      </c>
      <c r="AG245">
        <v>174.203</v>
      </c>
      <c r="AH245" t="s">
        <v>20</v>
      </c>
      <c r="AI245" t="s">
        <v>20</v>
      </c>
      <c r="AJ245">
        <v>409</v>
      </c>
      <c r="AK245" t="s">
        <v>1315</v>
      </c>
      <c r="AL245" t="s">
        <v>20</v>
      </c>
      <c r="AM245" t="s">
        <v>1354</v>
      </c>
      <c r="AN245" t="s">
        <v>20</v>
      </c>
      <c r="AO245">
        <v>119.119</v>
      </c>
      <c r="AP245" t="s">
        <v>20</v>
      </c>
      <c r="AQ245" t="s">
        <v>20</v>
      </c>
    </row>
    <row r="246" spans="1:43" x14ac:dyDescent="0.25">
      <c r="A246">
        <v>6</v>
      </c>
      <c r="B246" t="s">
        <v>167</v>
      </c>
      <c r="C246" t="str">
        <f>HYPERLINK("http://www.ncbi.nlm.nih.gov/protein/NWT00953.1","NWT00953.1")</f>
        <v>NWT00953.1</v>
      </c>
      <c r="D246">
        <v>14226</v>
      </c>
      <c r="E246" t="str">
        <f>HYPERLINK("http://www.ncbi.nlm.nih.gov/Taxonomy/Browser/wwwtax.cgi?mode=Info&amp;id=254557&amp;lvl=3&amp;lin=f&amp;keep=1&amp;srchmode=1&amp;unlock","254557")</f>
        <v>254557</v>
      </c>
      <c r="F246" t="s">
        <v>167</v>
      </c>
      <c r="G246" t="str">
        <f>HYPERLINK("http://www.ncbi.nlm.nih.gov/Taxonomy/Browser/wwwtax.cgi?mode=Info&amp;id=254557&amp;lvl=3&amp;lin=f&amp;keep=1&amp;srchmode=1&amp;unlock","Mionectes macconnelli")</f>
        <v>Mionectes macconnelli</v>
      </c>
      <c r="H246" t="s">
        <v>323</v>
      </c>
      <c r="I246" t="str">
        <f>HYPERLINK("http://www.ncbi.nlm.nih.gov/protein/NWT00953.1","ANDR protein")</f>
        <v>ANDR protein</v>
      </c>
      <c r="J246" t="s">
        <v>1323</v>
      </c>
      <c r="K246" t="s">
        <v>20</v>
      </c>
      <c r="L246">
        <v>467</v>
      </c>
      <c r="M246" t="s">
        <v>25</v>
      </c>
      <c r="N246" t="s">
        <v>20</v>
      </c>
      <c r="O246" t="s">
        <v>1352</v>
      </c>
      <c r="P246" t="s">
        <v>20</v>
      </c>
      <c r="Q246">
        <v>132.119</v>
      </c>
      <c r="R246" t="s">
        <v>20</v>
      </c>
      <c r="S246" t="s">
        <v>20</v>
      </c>
      <c r="T246">
        <v>473</v>
      </c>
      <c r="U246" t="s">
        <v>1313</v>
      </c>
      <c r="V246" t="s">
        <v>20</v>
      </c>
      <c r="W246" t="s">
        <v>1352</v>
      </c>
      <c r="X246" t="s">
        <v>20</v>
      </c>
      <c r="Y246">
        <v>146.14599999999999</v>
      </c>
      <c r="Z246" t="s">
        <v>20</v>
      </c>
      <c r="AA246" t="s">
        <v>20</v>
      </c>
      <c r="AB246">
        <v>514</v>
      </c>
      <c r="AC246" t="s">
        <v>1314</v>
      </c>
      <c r="AD246" t="s">
        <v>20</v>
      </c>
      <c r="AE246" t="s">
        <v>1353</v>
      </c>
      <c r="AF246" t="s">
        <v>20</v>
      </c>
      <c r="AG246">
        <v>174.203</v>
      </c>
      <c r="AH246" t="s">
        <v>20</v>
      </c>
      <c r="AI246" t="s">
        <v>20</v>
      </c>
      <c r="AJ246">
        <v>639</v>
      </c>
      <c r="AK246" t="s">
        <v>1315</v>
      </c>
      <c r="AL246" t="s">
        <v>20</v>
      </c>
      <c r="AM246" t="s">
        <v>1354</v>
      </c>
      <c r="AN246" t="s">
        <v>20</v>
      </c>
      <c r="AO246">
        <v>119.119</v>
      </c>
      <c r="AP246" t="s">
        <v>20</v>
      </c>
      <c r="AQ246" t="s">
        <v>20</v>
      </c>
    </row>
    <row r="247" spans="1:43" x14ac:dyDescent="0.25">
      <c r="A247">
        <v>6</v>
      </c>
      <c r="B247" t="s">
        <v>167</v>
      </c>
      <c r="C247" t="str">
        <f>HYPERLINK("http://www.ncbi.nlm.nih.gov/protein/XP_027761078.1","XP_027761078.1")</f>
        <v>XP_027761078.1</v>
      </c>
      <c r="D247">
        <v>34050</v>
      </c>
      <c r="E247" t="str">
        <f>HYPERLINK("http://www.ncbi.nlm.nih.gov/Taxonomy/Browser/wwwtax.cgi?mode=Info&amp;id=164674&amp;lvl=3&amp;lin=f&amp;keep=1&amp;srchmode=1&amp;unlock","164674")</f>
        <v>164674</v>
      </c>
      <c r="F247" t="s">
        <v>167</v>
      </c>
      <c r="G247" t="str">
        <f>HYPERLINK("http://www.ncbi.nlm.nih.gov/Taxonomy/Browser/wwwtax.cgi?mode=Info&amp;id=164674&amp;lvl=3&amp;lin=f&amp;keep=1&amp;srchmode=1&amp;unlock","Empidonax traillii")</f>
        <v>Empidonax traillii</v>
      </c>
      <c r="H247" t="s">
        <v>403</v>
      </c>
      <c r="I247" t="str">
        <f>HYPERLINK("http://www.ncbi.nlm.nih.gov/protein/XP_027761078.1","androgen receptor")</f>
        <v>androgen receptor</v>
      </c>
      <c r="J247" t="s">
        <v>1323</v>
      </c>
      <c r="K247" t="s">
        <v>20</v>
      </c>
      <c r="L247">
        <v>465</v>
      </c>
      <c r="M247" t="s">
        <v>25</v>
      </c>
      <c r="N247" t="s">
        <v>20</v>
      </c>
      <c r="O247" t="s">
        <v>1352</v>
      </c>
      <c r="P247" t="s">
        <v>20</v>
      </c>
      <c r="Q247">
        <v>132.119</v>
      </c>
      <c r="R247" t="s">
        <v>20</v>
      </c>
      <c r="S247" t="s">
        <v>20</v>
      </c>
      <c r="T247">
        <v>471</v>
      </c>
      <c r="U247" t="s">
        <v>1313</v>
      </c>
      <c r="V247" t="s">
        <v>20</v>
      </c>
      <c r="W247" t="s">
        <v>1352</v>
      </c>
      <c r="X247" t="s">
        <v>20</v>
      </c>
      <c r="Y247">
        <v>146.14599999999999</v>
      </c>
      <c r="Z247" t="s">
        <v>20</v>
      </c>
      <c r="AA247" t="s">
        <v>20</v>
      </c>
      <c r="AB247">
        <v>512</v>
      </c>
      <c r="AC247" t="s">
        <v>1314</v>
      </c>
      <c r="AD247" t="s">
        <v>20</v>
      </c>
      <c r="AE247" t="s">
        <v>1353</v>
      </c>
      <c r="AF247" t="s">
        <v>20</v>
      </c>
      <c r="AG247">
        <v>174.203</v>
      </c>
      <c r="AH247" t="s">
        <v>20</v>
      </c>
      <c r="AI247" t="s">
        <v>20</v>
      </c>
      <c r="AJ247">
        <v>637</v>
      </c>
      <c r="AK247" t="s">
        <v>1315</v>
      </c>
      <c r="AL247" t="s">
        <v>20</v>
      </c>
      <c r="AM247" t="s">
        <v>1354</v>
      </c>
      <c r="AN247" t="s">
        <v>20</v>
      </c>
      <c r="AO247">
        <v>119.119</v>
      </c>
      <c r="AP247" t="s">
        <v>20</v>
      </c>
      <c r="AQ247" t="s">
        <v>20</v>
      </c>
    </row>
    <row r="248" spans="1:43" x14ac:dyDescent="0.25">
      <c r="A248">
        <v>6</v>
      </c>
      <c r="B248" t="s">
        <v>167</v>
      </c>
      <c r="C248" t="str">
        <f>HYPERLINK("http://www.ncbi.nlm.nih.gov/protein/NXM34828.1","NXM34828.1")</f>
        <v>NXM34828.1</v>
      </c>
      <c r="D248">
        <v>14068</v>
      </c>
      <c r="E248" t="str">
        <f>HYPERLINK("http://www.ncbi.nlm.nih.gov/Taxonomy/Browser/wwwtax.cgi?mode=Info&amp;id=114331&amp;lvl=3&amp;lin=f&amp;keep=1&amp;srchmode=1&amp;unlock","114331")</f>
        <v>114331</v>
      </c>
      <c r="F248" t="s">
        <v>167</v>
      </c>
      <c r="G248" t="str">
        <f>HYPERLINK("http://www.ncbi.nlm.nih.gov/Taxonomy/Browser/wwwtax.cgi?mode=Info&amp;id=114331&amp;lvl=3&amp;lin=f&amp;keep=1&amp;srchmode=1&amp;unlock","Oxyruncus cristatus")</f>
        <v>Oxyruncus cristatus</v>
      </c>
      <c r="H248" t="s">
        <v>466</v>
      </c>
      <c r="I248" t="str">
        <f>HYPERLINK("http://www.ncbi.nlm.nih.gov/protein/NXM34828.1","ANDR protein")</f>
        <v>ANDR protein</v>
      </c>
      <c r="J248" t="s">
        <v>1323</v>
      </c>
      <c r="K248" t="s">
        <v>20</v>
      </c>
      <c r="L248">
        <v>237</v>
      </c>
      <c r="M248" t="s">
        <v>25</v>
      </c>
      <c r="N248" t="s">
        <v>20</v>
      </c>
      <c r="O248" t="s">
        <v>1352</v>
      </c>
      <c r="P248" t="s">
        <v>20</v>
      </c>
      <c r="Q248">
        <v>132.119</v>
      </c>
      <c r="R248" t="s">
        <v>20</v>
      </c>
      <c r="S248" t="s">
        <v>20</v>
      </c>
      <c r="T248">
        <v>243</v>
      </c>
      <c r="U248" t="s">
        <v>1313</v>
      </c>
      <c r="V248" t="s">
        <v>20</v>
      </c>
      <c r="W248" t="s">
        <v>1352</v>
      </c>
      <c r="X248" t="s">
        <v>20</v>
      </c>
      <c r="Y248">
        <v>146.14599999999999</v>
      </c>
      <c r="Z248" t="s">
        <v>20</v>
      </c>
      <c r="AA248" t="s">
        <v>20</v>
      </c>
      <c r="AB248">
        <v>284</v>
      </c>
      <c r="AC248" t="s">
        <v>1314</v>
      </c>
      <c r="AD248" t="s">
        <v>20</v>
      </c>
      <c r="AE248" t="s">
        <v>1353</v>
      </c>
      <c r="AF248" t="s">
        <v>20</v>
      </c>
      <c r="AG248">
        <v>174.203</v>
      </c>
      <c r="AH248" t="s">
        <v>20</v>
      </c>
      <c r="AI248" t="s">
        <v>20</v>
      </c>
      <c r="AJ248">
        <v>409</v>
      </c>
      <c r="AK248" t="s">
        <v>1315</v>
      </c>
      <c r="AL248" t="s">
        <v>20</v>
      </c>
      <c r="AM248" t="s">
        <v>1354</v>
      </c>
      <c r="AN248" t="s">
        <v>20</v>
      </c>
      <c r="AO248">
        <v>119.119</v>
      </c>
      <c r="AP248" t="s">
        <v>20</v>
      </c>
      <c r="AQ248" t="s">
        <v>20</v>
      </c>
    </row>
    <row r="249" spans="1:43" x14ac:dyDescent="0.25">
      <c r="A249">
        <v>6</v>
      </c>
      <c r="B249" t="s">
        <v>167</v>
      </c>
      <c r="C249" t="str">
        <f>HYPERLINK("http://www.ncbi.nlm.nih.gov/protein/XP_027586750.1","XP_027586750.1")</f>
        <v>XP_027586750.1</v>
      </c>
      <c r="D249">
        <v>35867</v>
      </c>
      <c r="E249" t="str">
        <f>HYPERLINK("http://www.ncbi.nlm.nih.gov/Taxonomy/Browser/wwwtax.cgi?mode=Info&amp;id=649802&amp;lvl=3&amp;lin=f&amp;keep=1&amp;srchmode=1&amp;unlock","649802")</f>
        <v>649802</v>
      </c>
      <c r="F249" t="s">
        <v>167</v>
      </c>
      <c r="G249" t="str">
        <f>HYPERLINK("http://www.ncbi.nlm.nih.gov/Taxonomy/Browser/wwwtax.cgi?mode=Info&amp;id=649802&amp;lvl=3&amp;lin=f&amp;keep=1&amp;srchmode=1&amp;unlock","Pipra filicauda")</f>
        <v>Pipra filicauda</v>
      </c>
      <c r="H249" t="s">
        <v>478</v>
      </c>
      <c r="I249" t="str">
        <f>HYPERLINK("http://www.ncbi.nlm.nih.gov/protein/XP_027586750.1","androgen receptor isoform X1")</f>
        <v>androgen receptor isoform X1</v>
      </c>
      <c r="J249" t="s">
        <v>1323</v>
      </c>
      <c r="K249" t="s">
        <v>20</v>
      </c>
      <c r="L249">
        <v>462</v>
      </c>
      <c r="M249" t="s">
        <v>25</v>
      </c>
      <c r="N249" t="s">
        <v>20</v>
      </c>
      <c r="O249" t="s">
        <v>1352</v>
      </c>
      <c r="P249" t="s">
        <v>20</v>
      </c>
      <c r="Q249">
        <v>132.119</v>
      </c>
      <c r="R249" t="s">
        <v>20</v>
      </c>
      <c r="S249" t="s">
        <v>20</v>
      </c>
      <c r="T249">
        <v>468</v>
      </c>
      <c r="U249" t="s">
        <v>1313</v>
      </c>
      <c r="V249" t="s">
        <v>20</v>
      </c>
      <c r="W249" t="s">
        <v>1352</v>
      </c>
      <c r="X249" t="s">
        <v>20</v>
      </c>
      <c r="Y249">
        <v>146.14599999999999</v>
      </c>
      <c r="Z249" t="s">
        <v>20</v>
      </c>
      <c r="AA249" t="s">
        <v>20</v>
      </c>
      <c r="AB249">
        <v>509</v>
      </c>
      <c r="AC249" t="s">
        <v>1314</v>
      </c>
      <c r="AD249" t="s">
        <v>20</v>
      </c>
      <c r="AE249" t="s">
        <v>1353</v>
      </c>
      <c r="AF249" t="s">
        <v>20</v>
      </c>
      <c r="AG249">
        <v>174.203</v>
      </c>
      <c r="AH249" t="s">
        <v>20</v>
      </c>
      <c r="AI249" t="s">
        <v>20</v>
      </c>
      <c r="AJ249">
        <v>634</v>
      </c>
      <c r="AK249" t="s">
        <v>1315</v>
      </c>
      <c r="AL249" t="s">
        <v>20</v>
      </c>
      <c r="AM249" t="s">
        <v>1354</v>
      </c>
      <c r="AN249" t="s">
        <v>20</v>
      </c>
      <c r="AO249">
        <v>119.119</v>
      </c>
      <c r="AP249" t="s">
        <v>20</v>
      </c>
      <c r="AQ249" t="s">
        <v>20</v>
      </c>
    </row>
    <row r="250" spans="1:43" x14ac:dyDescent="0.25">
      <c r="A250">
        <v>6</v>
      </c>
      <c r="B250" t="s">
        <v>167</v>
      </c>
      <c r="C250" t="str">
        <f>HYPERLINK("http://www.ncbi.nlm.nih.gov/protein/NWU83853.1","NWU83853.1")</f>
        <v>NWU83853.1</v>
      </c>
      <c r="D250">
        <v>14404</v>
      </c>
      <c r="E250" t="str">
        <f>HYPERLINK("http://www.ncbi.nlm.nih.gov/Taxonomy/Browser/wwwtax.cgi?mode=Info&amp;id=360224&amp;lvl=3&amp;lin=f&amp;keep=1&amp;srchmode=1&amp;unlock","360224")</f>
        <v>360224</v>
      </c>
      <c r="F250" t="s">
        <v>167</v>
      </c>
      <c r="G250" t="str">
        <f>HYPERLINK("http://www.ncbi.nlm.nih.gov/Taxonomy/Browser/wwwtax.cgi?mode=Info&amp;id=360224&amp;lvl=3&amp;lin=f&amp;keep=1&amp;srchmode=1&amp;unlock","Onychorhynchus coronatus")</f>
        <v>Onychorhynchus coronatus</v>
      </c>
      <c r="H250" t="s">
        <v>206</v>
      </c>
      <c r="I250" t="str">
        <f>HYPERLINK("http://www.ncbi.nlm.nih.gov/protein/NWU83853.1","ANDR protein")</f>
        <v>ANDR protein</v>
      </c>
      <c r="J250" t="s">
        <v>1323</v>
      </c>
      <c r="K250" t="s">
        <v>20</v>
      </c>
      <c r="L250">
        <v>237</v>
      </c>
      <c r="M250" t="s">
        <v>25</v>
      </c>
      <c r="N250" t="s">
        <v>20</v>
      </c>
      <c r="O250" t="s">
        <v>1352</v>
      </c>
      <c r="P250" t="s">
        <v>20</v>
      </c>
      <c r="Q250">
        <v>132.119</v>
      </c>
      <c r="R250" t="s">
        <v>20</v>
      </c>
      <c r="S250" t="s">
        <v>20</v>
      </c>
      <c r="T250">
        <v>243</v>
      </c>
      <c r="U250" t="s">
        <v>1313</v>
      </c>
      <c r="V250" t="s">
        <v>20</v>
      </c>
      <c r="W250" t="s">
        <v>1352</v>
      </c>
      <c r="X250" t="s">
        <v>20</v>
      </c>
      <c r="Y250">
        <v>146.14599999999999</v>
      </c>
      <c r="Z250" t="s">
        <v>20</v>
      </c>
      <c r="AA250" t="s">
        <v>20</v>
      </c>
      <c r="AB250">
        <v>284</v>
      </c>
      <c r="AC250" t="s">
        <v>1314</v>
      </c>
      <c r="AD250" t="s">
        <v>20</v>
      </c>
      <c r="AE250" t="s">
        <v>1353</v>
      </c>
      <c r="AF250" t="s">
        <v>20</v>
      </c>
      <c r="AG250">
        <v>174.203</v>
      </c>
      <c r="AH250" t="s">
        <v>20</v>
      </c>
      <c r="AI250" t="s">
        <v>20</v>
      </c>
      <c r="AJ250">
        <v>409</v>
      </c>
      <c r="AK250" t="s">
        <v>1315</v>
      </c>
      <c r="AL250" t="s">
        <v>20</v>
      </c>
      <c r="AM250" t="s">
        <v>1354</v>
      </c>
      <c r="AN250" t="s">
        <v>20</v>
      </c>
      <c r="AO250">
        <v>119.119</v>
      </c>
      <c r="AP250" t="s">
        <v>20</v>
      </c>
      <c r="AQ250" t="s">
        <v>20</v>
      </c>
    </row>
    <row r="251" spans="1:43" x14ac:dyDescent="0.25">
      <c r="A251">
        <v>6</v>
      </c>
      <c r="B251" t="s">
        <v>167</v>
      </c>
      <c r="C251" t="str">
        <f>HYPERLINK("http://www.ncbi.nlm.nih.gov/protein/XP_032928056.1","XP_032928056.1")</f>
        <v>XP_032928056.1</v>
      </c>
      <c r="D251">
        <v>36100</v>
      </c>
      <c r="E251" t="str">
        <f>HYPERLINK("http://www.ncbi.nlm.nih.gov/Taxonomy/Browser/wwwtax.cgi?mode=Info&amp;id=91951&amp;lvl=3&amp;lin=f&amp;keep=1&amp;srchmode=1&amp;unlock","91951")</f>
        <v>91951</v>
      </c>
      <c r="F251" t="s">
        <v>167</v>
      </c>
      <c r="G251" t="str">
        <f>HYPERLINK("http://www.ncbi.nlm.nih.gov/Taxonomy/Browser/wwwtax.cgi?mode=Info&amp;id=91951&amp;lvl=3&amp;lin=f&amp;keep=1&amp;srchmode=1&amp;unlock","Catharus ustulatus")</f>
        <v>Catharus ustulatus</v>
      </c>
      <c r="H251" t="s">
        <v>306</v>
      </c>
      <c r="I251" t="str">
        <f>HYPERLINK("http://www.ncbi.nlm.nih.gov/protein/XP_032928056.1","androgen receptor")</f>
        <v>androgen receptor</v>
      </c>
      <c r="J251" t="s">
        <v>1323</v>
      </c>
      <c r="K251" t="s">
        <v>20</v>
      </c>
      <c r="L251">
        <v>474</v>
      </c>
      <c r="M251" t="s">
        <v>25</v>
      </c>
      <c r="N251" t="s">
        <v>20</v>
      </c>
      <c r="O251" t="s">
        <v>1352</v>
      </c>
      <c r="P251" t="s">
        <v>20</v>
      </c>
      <c r="Q251">
        <v>132.119</v>
      </c>
      <c r="R251" t="s">
        <v>20</v>
      </c>
      <c r="S251" t="s">
        <v>20</v>
      </c>
      <c r="T251">
        <v>480</v>
      </c>
      <c r="U251" t="s">
        <v>1313</v>
      </c>
      <c r="V251" t="s">
        <v>20</v>
      </c>
      <c r="W251" t="s">
        <v>1352</v>
      </c>
      <c r="X251" t="s">
        <v>20</v>
      </c>
      <c r="Y251">
        <v>146.14599999999999</v>
      </c>
      <c r="Z251" t="s">
        <v>20</v>
      </c>
      <c r="AA251" t="s">
        <v>20</v>
      </c>
      <c r="AB251">
        <v>521</v>
      </c>
      <c r="AC251" t="s">
        <v>1314</v>
      </c>
      <c r="AD251" t="s">
        <v>20</v>
      </c>
      <c r="AE251" t="s">
        <v>1353</v>
      </c>
      <c r="AF251" t="s">
        <v>20</v>
      </c>
      <c r="AG251">
        <v>174.203</v>
      </c>
      <c r="AH251" t="s">
        <v>20</v>
      </c>
      <c r="AI251" t="s">
        <v>20</v>
      </c>
      <c r="AJ251">
        <v>646</v>
      </c>
      <c r="AK251" t="s">
        <v>1315</v>
      </c>
      <c r="AL251" t="s">
        <v>20</v>
      </c>
      <c r="AM251" t="s">
        <v>1354</v>
      </c>
      <c r="AN251" t="s">
        <v>20</v>
      </c>
      <c r="AO251">
        <v>119.119</v>
      </c>
      <c r="AP251" t="s">
        <v>20</v>
      </c>
      <c r="AQ251" t="s">
        <v>20</v>
      </c>
    </row>
    <row r="252" spans="1:43" x14ac:dyDescent="0.25">
      <c r="A252">
        <v>6</v>
      </c>
      <c r="B252" t="s">
        <v>167</v>
      </c>
      <c r="C252" t="str">
        <f>HYPERLINK("http://www.ncbi.nlm.nih.gov/protein/NXB85914.1","NXB85914.1")</f>
        <v>NXB85914.1</v>
      </c>
      <c r="D252">
        <v>14691</v>
      </c>
      <c r="E252" t="str">
        <f>HYPERLINK("http://www.ncbi.nlm.nih.gov/Taxonomy/Browser/wwwtax.cgi?mode=Info&amp;id=81927&amp;lvl=3&amp;lin=f&amp;keep=1&amp;srchmode=1&amp;unlock","81927")</f>
        <v>81927</v>
      </c>
      <c r="F252" t="s">
        <v>167</v>
      </c>
      <c r="G252" t="str">
        <f>HYPERLINK("http://www.ncbi.nlm.nih.gov/Taxonomy/Browser/wwwtax.cgi?mode=Info&amp;id=81927&amp;lvl=3&amp;lin=f&amp;keep=1&amp;srchmode=1&amp;unlock","Vidua chalybeata")</f>
        <v>Vidua chalybeata</v>
      </c>
      <c r="H252" t="s">
        <v>206</v>
      </c>
      <c r="I252" t="str">
        <f>HYPERLINK("http://www.ncbi.nlm.nih.gov/protein/NXB85914.1","ANDR protein")</f>
        <v>ANDR protein</v>
      </c>
      <c r="J252" t="s">
        <v>1323</v>
      </c>
      <c r="K252" t="s">
        <v>20</v>
      </c>
      <c r="L252">
        <v>470</v>
      </c>
      <c r="M252" t="s">
        <v>25</v>
      </c>
      <c r="N252" t="s">
        <v>20</v>
      </c>
      <c r="O252" t="s">
        <v>1352</v>
      </c>
      <c r="P252" t="s">
        <v>20</v>
      </c>
      <c r="Q252">
        <v>132.119</v>
      </c>
      <c r="R252" t="s">
        <v>20</v>
      </c>
      <c r="S252" t="s">
        <v>20</v>
      </c>
      <c r="T252">
        <v>476</v>
      </c>
      <c r="U252" t="s">
        <v>1313</v>
      </c>
      <c r="V252" t="s">
        <v>20</v>
      </c>
      <c r="W252" t="s">
        <v>1352</v>
      </c>
      <c r="X252" t="s">
        <v>20</v>
      </c>
      <c r="Y252">
        <v>146.14599999999999</v>
      </c>
      <c r="Z252" t="s">
        <v>20</v>
      </c>
      <c r="AA252" t="s">
        <v>20</v>
      </c>
      <c r="AB252">
        <v>517</v>
      </c>
      <c r="AC252" t="s">
        <v>1314</v>
      </c>
      <c r="AD252" t="s">
        <v>20</v>
      </c>
      <c r="AE252" t="s">
        <v>1353</v>
      </c>
      <c r="AF252" t="s">
        <v>20</v>
      </c>
      <c r="AG252">
        <v>174.203</v>
      </c>
      <c r="AH252" t="s">
        <v>20</v>
      </c>
      <c r="AI252" t="s">
        <v>20</v>
      </c>
      <c r="AJ252">
        <v>642</v>
      </c>
      <c r="AK252" t="s">
        <v>1315</v>
      </c>
      <c r="AL252" t="s">
        <v>20</v>
      </c>
      <c r="AM252" t="s">
        <v>1354</v>
      </c>
      <c r="AN252" t="s">
        <v>20</v>
      </c>
      <c r="AO252">
        <v>119.119</v>
      </c>
      <c r="AP252" t="s">
        <v>20</v>
      </c>
      <c r="AQ252" t="s">
        <v>20</v>
      </c>
    </row>
    <row r="253" spans="1:43" x14ac:dyDescent="0.25">
      <c r="A253">
        <v>6</v>
      </c>
      <c r="B253" t="s">
        <v>167</v>
      </c>
      <c r="C253" t="str">
        <f>HYPERLINK("http://www.ncbi.nlm.nih.gov/protein/NXT61193.1","NXT61193.1")</f>
        <v>NXT61193.1</v>
      </c>
      <c r="D253">
        <v>13266</v>
      </c>
      <c r="E253" t="str">
        <f>HYPERLINK("http://www.ncbi.nlm.nih.gov/Taxonomy/Browser/wwwtax.cgi?mode=Info&amp;id=221966&amp;lvl=3&amp;lin=f&amp;keep=1&amp;srchmode=1&amp;unlock","221966")</f>
        <v>221966</v>
      </c>
      <c r="F253" t="s">
        <v>167</v>
      </c>
      <c r="G253" t="str">
        <f>HYPERLINK("http://www.ncbi.nlm.nih.gov/Taxonomy/Browser/wwwtax.cgi?mode=Info&amp;id=221966&amp;lvl=3&amp;lin=f&amp;keep=1&amp;srchmode=1&amp;unlock","Chaetops frenatus")</f>
        <v>Chaetops frenatus</v>
      </c>
      <c r="H253" t="s">
        <v>438</v>
      </c>
      <c r="I253" t="str">
        <f>HYPERLINK("http://www.ncbi.nlm.nih.gov/protein/NXT61193.1","ANDR protein")</f>
        <v>ANDR protein</v>
      </c>
      <c r="J253" t="s">
        <v>1323</v>
      </c>
      <c r="K253" t="s">
        <v>20</v>
      </c>
      <c r="L253">
        <v>235</v>
      </c>
      <c r="M253" t="s">
        <v>25</v>
      </c>
      <c r="N253" t="s">
        <v>20</v>
      </c>
      <c r="O253" t="s">
        <v>1352</v>
      </c>
      <c r="P253" t="s">
        <v>20</v>
      </c>
      <c r="Q253">
        <v>132.119</v>
      </c>
      <c r="R253" t="s">
        <v>20</v>
      </c>
      <c r="S253" t="s">
        <v>20</v>
      </c>
      <c r="T253">
        <v>241</v>
      </c>
      <c r="U253" t="s">
        <v>1313</v>
      </c>
      <c r="V253" t="s">
        <v>20</v>
      </c>
      <c r="W253" t="s">
        <v>1352</v>
      </c>
      <c r="X253" t="s">
        <v>20</v>
      </c>
      <c r="Y253">
        <v>146.14599999999999</v>
      </c>
      <c r="Z253" t="s">
        <v>20</v>
      </c>
      <c r="AA253" t="s">
        <v>20</v>
      </c>
      <c r="AB253">
        <v>282</v>
      </c>
      <c r="AC253" t="s">
        <v>1314</v>
      </c>
      <c r="AD253" t="s">
        <v>20</v>
      </c>
      <c r="AE253" t="s">
        <v>1353</v>
      </c>
      <c r="AF253" t="s">
        <v>20</v>
      </c>
      <c r="AG253">
        <v>174.203</v>
      </c>
      <c r="AH253" t="s">
        <v>20</v>
      </c>
      <c r="AI253" t="s">
        <v>20</v>
      </c>
      <c r="AJ253">
        <v>407</v>
      </c>
      <c r="AK253" t="s">
        <v>1315</v>
      </c>
      <c r="AL253" t="s">
        <v>20</v>
      </c>
      <c r="AM253" t="s">
        <v>1354</v>
      </c>
      <c r="AN253" t="s">
        <v>20</v>
      </c>
      <c r="AO253">
        <v>119.119</v>
      </c>
      <c r="AP253" t="s">
        <v>20</v>
      </c>
      <c r="AQ253" t="s">
        <v>20</v>
      </c>
    </row>
    <row r="254" spans="1:43" x14ac:dyDescent="0.25">
      <c r="A254">
        <v>6</v>
      </c>
      <c r="B254" t="s">
        <v>167</v>
      </c>
      <c r="C254" t="str">
        <f>HYPERLINK("http://www.ncbi.nlm.nih.gov/protein/NXB67985.1","NXB67985.1")</f>
        <v>NXB67985.1</v>
      </c>
      <c r="D254">
        <v>14168</v>
      </c>
      <c r="E254" t="str">
        <f>HYPERLINK("http://www.ncbi.nlm.nih.gov/Taxonomy/Browser/wwwtax.cgi?mode=Info&amp;id=181839&amp;lvl=3&amp;lin=f&amp;keep=1&amp;srchmode=1&amp;unlock","181839")</f>
        <v>181839</v>
      </c>
      <c r="F254" t="s">
        <v>167</v>
      </c>
      <c r="G254" t="str">
        <f>HYPERLINK("http://www.ncbi.nlm.nih.gov/Taxonomy/Browser/wwwtax.cgi?mode=Info&amp;id=181839&amp;lvl=3&amp;lin=f&amp;keep=1&amp;srchmode=1&amp;unlock","Struthidea cinerea")</f>
        <v>Struthidea cinerea</v>
      </c>
      <c r="H254" t="s">
        <v>318</v>
      </c>
      <c r="I254" t="str">
        <f>HYPERLINK("http://www.ncbi.nlm.nih.gov/protein/NXB67985.1","ANDR protein")</f>
        <v>ANDR protein</v>
      </c>
      <c r="J254" t="s">
        <v>1323</v>
      </c>
      <c r="K254" t="s">
        <v>20</v>
      </c>
      <c r="L254">
        <v>237</v>
      </c>
      <c r="M254" t="s">
        <v>25</v>
      </c>
      <c r="N254" t="s">
        <v>20</v>
      </c>
      <c r="O254" t="s">
        <v>1352</v>
      </c>
      <c r="P254" t="s">
        <v>20</v>
      </c>
      <c r="Q254">
        <v>132.119</v>
      </c>
      <c r="R254" t="s">
        <v>20</v>
      </c>
      <c r="S254" t="s">
        <v>20</v>
      </c>
      <c r="T254">
        <v>243</v>
      </c>
      <c r="U254" t="s">
        <v>1313</v>
      </c>
      <c r="V254" t="s">
        <v>20</v>
      </c>
      <c r="W254" t="s">
        <v>1352</v>
      </c>
      <c r="X254" t="s">
        <v>20</v>
      </c>
      <c r="Y254">
        <v>146.14599999999999</v>
      </c>
      <c r="Z254" t="s">
        <v>20</v>
      </c>
      <c r="AA254" t="s">
        <v>20</v>
      </c>
      <c r="AB254">
        <v>284</v>
      </c>
      <c r="AC254" t="s">
        <v>1314</v>
      </c>
      <c r="AD254" t="s">
        <v>20</v>
      </c>
      <c r="AE254" t="s">
        <v>1353</v>
      </c>
      <c r="AF254" t="s">
        <v>20</v>
      </c>
      <c r="AG254">
        <v>174.203</v>
      </c>
      <c r="AH254" t="s">
        <v>20</v>
      </c>
      <c r="AI254" t="s">
        <v>20</v>
      </c>
      <c r="AJ254">
        <v>409</v>
      </c>
      <c r="AK254" t="s">
        <v>1315</v>
      </c>
      <c r="AL254" t="s">
        <v>20</v>
      </c>
      <c r="AM254" t="s">
        <v>1354</v>
      </c>
      <c r="AN254" t="s">
        <v>20</v>
      </c>
      <c r="AO254">
        <v>119.119</v>
      </c>
      <c r="AP254" t="s">
        <v>20</v>
      </c>
      <c r="AQ254" t="s">
        <v>20</v>
      </c>
    </row>
    <row r="255" spans="1:43" x14ac:dyDescent="0.25">
      <c r="A255">
        <v>6</v>
      </c>
      <c r="B255" t="s">
        <v>167</v>
      </c>
      <c r="C255" t="str">
        <f>HYPERLINK("http://www.ncbi.nlm.nih.gov/protein/NXB31053.1","NXB31053.1")</f>
        <v>NXB31053.1</v>
      </c>
      <c r="D255">
        <v>14343</v>
      </c>
      <c r="E255" t="str">
        <f>HYPERLINK("http://www.ncbi.nlm.nih.gov/Taxonomy/Browser/wwwtax.cgi?mode=Info&amp;id=461239&amp;lvl=3&amp;lin=f&amp;keep=1&amp;srchmode=1&amp;unlock","461239")</f>
        <v>461239</v>
      </c>
      <c r="F255" t="s">
        <v>167</v>
      </c>
      <c r="G255" t="str">
        <f>HYPERLINK("http://www.ncbi.nlm.nih.gov/Taxonomy/Browser/wwwtax.cgi?mode=Info&amp;id=461239&amp;lvl=3&amp;lin=f&amp;keep=1&amp;srchmode=1&amp;unlock","Eulacestoma nigropectus")</f>
        <v>Eulacestoma nigropectus</v>
      </c>
      <c r="H255" t="s">
        <v>366</v>
      </c>
      <c r="I255" t="str">
        <f>HYPERLINK("http://www.ncbi.nlm.nih.gov/protein/NXB31053.1","ANDR protein")</f>
        <v>ANDR protein</v>
      </c>
      <c r="J255" t="s">
        <v>1323</v>
      </c>
      <c r="K255" t="s">
        <v>20</v>
      </c>
      <c r="L255">
        <v>237</v>
      </c>
      <c r="M255" t="s">
        <v>25</v>
      </c>
      <c r="N255" t="s">
        <v>20</v>
      </c>
      <c r="O255" t="s">
        <v>1352</v>
      </c>
      <c r="P255" t="s">
        <v>20</v>
      </c>
      <c r="Q255">
        <v>132.119</v>
      </c>
      <c r="R255" t="s">
        <v>20</v>
      </c>
      <c r="S255" t="s">
        <v>20</v>
      </c>
      <c r="T255">
        <v>243</v>
      </c>
      <c r="U255" t="s">
        <v>1313</v>
      </c>
      <c r="V255" t="s">
        <v>20</v>
      </c>
      <c r="W255" t="s">
        <v>1352</v>
      </c>
      <c r="X255" t="s">
        <v>20</v>
      </c>
      <c r="Y255">
        <v>146.14599999999999</v>
      </c>
      <c r="Z255" t="s">
        <v>20</v>
      </c>
      <c r="AA255" t="s">
        <v>20</v>
      </c>
      <c r="AB255">
        <v>284</v>
      </c>
      <c r="AC255" t="s">
        <v>1314</v>
      </c>
      <c r="AD255" t="s">
        <v>20</v>
      </c>
      <c r="AE255" t="s">
        <v>1353</v>
      </c>
      <c r="AF255" t="s">
        <v>20</v>
      </c>
      <c r="AG255">
        <v>174.203</v>
      </c>
      <c r="AH255" t="s">
        <v>20</v>
      </c>
      <c r="AI255" t="s">
        <v>20</v>
      </c>
      <c r="AJ255">
        <v>409</v>
      </c>
      <c r="AK255" t="s">
        <v>1315</v>
      </c>
      <c r="AL255" t="s">
        <v>20</v>
      </c>
      <c r="AM255" t="s">
        <v>1354</v>
      </c>
      <c r="AN255" t="s">
        <v>20</v>
      </c>
      <c r="AO255">
        <v>119.119</v>
      </c>
      <c r="AP255" t="s">
        <v>20</v>
      </c>
      <c r="AQ255" t="s">
        <v>20</v>
      </c>
    </row>
    <row r="256" spans="1:43" x14ac:dyDescent="0.25">
      <c r="A256">
        <v>6</v>
      </c>
      <c r="B256" t="s">
        <v>167</v>
      </c>
      <c r="C256" t="str">
        <f>HYPERLINK("http://www.ncbi.nlm.nih.gov/protein/NWV62349.1","NWV62349.1")</f>
        <v>NWV62349.1</v>
      </c>
      <c r="D256">
        <v>14078</v>
      </c>
      <c r="E256" t="str">
        <f>HYPERLINK("http://www.ncbi.nlm.nih.gov/Taxonomy/Browser/wwwtax.cgi?mode=Info&amp;id=720584&amp;lvl=3&amp;lin=f&amp;keep=1&amp;srchmode=1&amp;unlock","720584")</f>
        <v>720584</v>
      </c>
      <c r="F256" t="s">
        <v>167</v>
      </c>
      <c r="G256" t="str">
        <f>HYPERLINK("http://www.ncbi.nlm.nih.gov/Taxonomy/Browser/wwwtax.cgi?mode=Info&amp;id=720584&amp;lvl=3&amp;lin=f&amp;keep=1&amp;srchmode=1&amp;unlock","Malurus elegans")</f>
        <v>Malurus elegans</v>
      </c>
      <c r="H256" t="s">
        <v>548</v>
      </c>
      <c r="I256" t="str">
        <f>HYPERLINK("http://www.ncbi.nlm.nih.gov/protein/NWV62349.1","ANDR protein")</f>
        <v>ANDR protein</v>
      </c>
      <c r="J256" t="s">
        <v>1323</v>
      </c>
      <c r="K256" t="s">
        <v>20</v>
      </c>
      <c r="L256">
        <v>252</v>
      </c>
      <c r="M256" t="s">
        <v>25</v>
      </c>
      <c r="N256" t="s">
        <v>20</v>
      </c>
      <c r="O256" t="s">
        <v>1352</v>
      </c>
      <c r="P256" t="s">
        <v>20</v>
      </c>
      <c r="Q256">
        <v>132.119</v>
      </c>
      <c r="R256" t="s">
        <v>20</v>
      </c>
      <c r="S256" t="s">
        <v>20</v>
      </c>
      <c r="T256">
        <v>258</v>
      </c>
      <c r="U256" t="s">
        <v>1313</v>
      </c>
      <c r="V256" t="s">
        <v>20</v>
      </c>
      <c r="W256" t="s">
        <v>1352</v>
      </c>
      <c r="X256" t="s">
        <v>20</v>
      </c>
      <c r="Y256">
        <v>146.14599999999999</v>
      </c>
      <c r="Z256" t="s">
        <v>20</v>
      </c>
      <c r="AA256" t="s">
        <v>20</v>
      </c>
      <c r="AB256">
        <v>299</v>
      </c>
      <c r="AC256" t="s">
        <v>1314</v>
      </c>
      <c r="AD256" t="s">
        <v>20</v>
      </c>
      <c r="AE256" t="s">
        <v>1353</v>
      </c>
      <c r="AF256" t="s">
        <v>20</v>
      </c>
      <c r="AG256">
        <v>174.203</v>
      </c>
      <c r="AH256" t="s">
        <v>20</v>
      </c>
      <c r="AI256" t="s">
        <v>20</v>
      </c>
      <c r="AJ256">
        <v>424</v>
      </c>
      <c r="AK256" t="s">
        <v>1315</v>
      </c>
      <c r="AL256" t="s">
        <v>20</v>
      </c>
      <c r="AM256" t="s">
        <v>1354</v>
      </c>
      <c r="AN256" t="s">
        <v>20</v>
      </c>
      <c r="AO256">
        <v>119.119</v>
      </c>
      <c r="AP256" t="s">
        <v>20</v>
      </c>
      <c r="AQ256" t="s">
        <v>20</v>
      </c>
    </row>
    <row r="257" spans="1:43" x14ac:dyDescent="0.25">
      <c r="A257">
        <v>6</v>
      </c>
      <c r="B257" t="s">
        <v>167</v>
      </c>
      <c r="C257" t="str">
        <f>HYPERLINK("http://www.ncbi.nlm.nih.gov/protein/NXY24002.1","NXY24002.1")</f>
        <v>NXY24002.1</v>
      </c>
      <c r="D257">
        <v>14622</v>
      </c>
      <c r="E257" t="str">
        <f>HYPERLINK("http://www.ncbi.nlm.nih.gov/Taxonomy/Browser/wwwtax.cgi?mode=Info&amp;id=449594&amp;lvl=3&amp;lin=f&amp;keep=1&amp;srchmode=1&amp;unlock","449594")</f>
        <v>449594</v>
      </c>
      <c r="F257" t="s">
        <v>167</v>
      </c>
      <c r="G257" t="str">
        <f>HYPERLINK("http://www.ncbi.nlm.nih.gov/Taxonomy/Browser/wwwtax.cgi?mode=Info&amp;id=449594&amp;lvl=3&amp;lin=f&amp;keep=1&amp;srchmode=1&amp;unlock","Atrichornis clamosus")</f>
        <v>Atrichornis clamosus</v>
      </c>
      <c r="H257" t="s">
        <v>206</v>
      </c>
      <c r="I257" t="str">
        <f>HYPERLINK("http://www.ncbi.nlm.nih.gov/protein/NXY24002.1","ANDR protein")</f>
        <v>ANDR protein</v>
      </c>
      <c r="J257" t="s">
        <v>1323</v>
      </c>
      <c r="K257" t="s">
        <v>20</v>
      </c>
      <c r="L257">
        <v>237</v>
      </c>
      <c r="M257" t="s">
        <v>25</v>
      </c>
      <c r="N257" t="s">
        <v>20</v>
      </c>
      <c r="O257" t="s">
        <v>1352</v>
      </c>
      <c r="P257" t="s">
        <v>20</v>
      </c>
      <c r="Q257">
        <v>132.119</v>
      </c>
      <c r="R257" t="s">
        <v>20</v>
      </c>
      <c r="S257" t="s">
        <v>20</v>
      </c>
      <c r="T257">
        <v>243</v>
      </c>
      <c r="U257" t="s">
        <v>1313</v>
      </c>
      <c r="V257" t="s">
        <v>20</v>
      </c>
      <c r="W257" t="s">
        <v>1352</v>
      </c>
      <c r="X257" t="s">
        <v>20</v>
      </c>
      <c r="Y257">
        <v>146.14599999999999</v>
      </c>
      <c r="Z257" t="s">
        <v>20</v>
      </c>
      <c r="AA257" t="s">
        <v>20</v>
      </c>
      <c r="AB257">
        <v>284</v>
      </c>
      <c r="AC257" t="s">
        <v>1314</v>
      </c>
      <c r="AD257" t="s">
        <v>20</v>
      </c>
      <c r="AE257" t="s">
        <v>1353</v>
      </c>
      <c r="AF257" t="s">
        <v>20</v>
      </c>
      <c r="AG257">
        <v>174.203</v>
      </c>
      <c r="AH257" t="s">
        <v>20</v>
      </c>
      <c r="AI257" t="s">
        <v>20</v>
      </c>
      <c r="AJ257">
        <v>409</v>
      </c>
      <c r="AK257" t="s">
        <v>1315</v>
      </c>
      <c r="AL257" t="s">
        <v>20</v>
      </c>
      <c r="AM257" t="s">
        <v>1354</v>
      </c>
      <c r="AN257" t="s">
        <v>20</v>
      </c>
      <c r="AO257">
        <v>119.119</v>
      </c>
      <c r="AP257" t="s">
        <v>20</v>
      </c>
      <c r="AQ257" t="s">
        <v>20</v>
      </c>
    </row>
    <row r="258" spans="1:43" x14ac:dyDescent="0.25">
      <c r="A258">
        <v>6</v>
      </c>
      <c r="B258" t="s">
        <v>167</v>
      </c>
      <c r="C258" t="str">
        <f>HYPERLINK("http://www.ncbi.nlm.nih.gov/protein/NXJ22781.1","NXJ22781.1")</f>
        <v>NXJ22781.1</v>
      </c>
      <c r="D258">
        <v>14261</v>
      </c>
      <c r="E258" t="str">
        <f>HYPERLINK("http://www.ncbi.nlm.nih.gov/Taxonomy/Browser/wwwtax.cgi?mode=Info&amp;id=450177&amp;lvl=3&amp;lin=f&amp;keep=1&amp;srchmode=1&amp;unlock","450177")</f>
        <v>450177</v>
      </c>
      <c r="F258" t="s">
        <v>167</v>
      </c>
      <c r="G258" t="str">
        <f>HYPERLINK("http://www.ncbi.nlm.nih.gov/Taxonomy/Browser/wwwtax.cgi?mode=Info&amp;id=450177&amp;lvl=3&amp;lin=f&amp;keep=1&amp;srchmode=1&amp;unlock","Dicrurus megarhynchus")</f>
        <v>Dicrurus megarhynchus</v>
      </c>
      <c r="H258" t="s">
        <v>206</v>
      </c>
      <c r="I258" t="str">
        <f>HYPERLINK("http://www.ncbi.nlm.nih.gov/protein/NXJ22781.1","ANDR protein")</f>
        <v>ANDR protein</v>
      </c>
      <c r="J258" t="s">
        <v>1323</v>
      </c>
      <c r="K258" t="s">
        <v>20</v>
      </c>
      <c r="L258">
        <v>237</v>
      </c>
      <c r="M258" t="s">
        <v>25</v>
      </c>
      <c r="N258" t="s">
        <v>20</v>
      </c>
      <c r="O258" t="s">
        <v>1352</v>
      </c>
      <c r="P258" t="s">
        <v>20</v>
      </c>
      <c r="Q258">
        <v>132.119</v>
      </c>
      <c r="R258" t="s">
        <v>20</v>
      </c>
      <c r="S258" t="s">
        <v>20</v>
      </c>
      <c r="T258">
        <v>243</v>
      </c>
      <c r="U258" t="s">
        <v>1313</v>
      </c>
      <c r="V258" t="s">
        <v>20</v>
      </c>
      <c r="W258" t="s">
        <v>1352</v>
      </c>
      <c r="X258" t="s">
        <v>20</v>
      </c>
      <c r="Y258">
        <v>146.14599999999999</v>
      </c>
      <c r="Z258" t="s">
        <v>20</v>
      </c>
      <c r="AA258" t="s">
        <v>20</v>
      </c>
      <c r="AB258">
        <v>284</v>
      </c>
      <c r="AC258" t="s">
        <v>1314</v>
      </c>
      <c r="AD258" t="s">
        <v>20</v>
      </c>
      <c r="AE258" t="s">
        <v>1353</v>
      </c>
      <c r="AF258" t="s">
        <v>20</v>
      </c>
      <c r="AG258">
        <v>174.203</v>
      </c>
      <c r="AH258" t="s">
        <v>20</v>
      </c>
      <c r="AI258" t="s">
        <v>20</v>
      </c>
      <c r="AJ258">
        <v>409</v>
      </c>
      <c r="AK258" t="s">
        <v>1315</v>
      </c>
      <c r="AL258" t="s">
        <v>20</v>
      </c>
      <c r="AM258" t="s">
        <v>1354</v>
      </c>
      <c r="AN258" t="s">
        <v>20</v>
      </c>
      <c r="AO258">
        <v>119.119</v>
      </c>
      <c r="AP258" t="s">
        <v>20</v>
      </c>
      <c r="AQ258" t="s">
        <v>20</v>
      </c>
    </row>
    <row r="259" spans="1:43" x14ac:dyDescent="0.25">
      <c r="A259">
        <v>6</v>
      </c>
      <c r="B259" t="s">
        <v>167</v>
      </c>
      <c r="C259" t="str">
        <f>HYPERLINK("http://www.ncbi.nlm.nih.gov/protein/NWW26771.1","NWW26771.1")</f>
        <v>NWW26771.1</v>
      </c>
      <c r="D259">
        <v>14502</v>
      </c>
      <c r="E259" t="str">
        <f>HYPERLINK("http://www.ncbi.nlm.nih.gov/Taxonomy/Browser/wwwtax.cgi?mode=Info&amp;id=254539&amp;lvl=3&amp;lin=f&amp;keep=1&amp;srchmode=1&amp;unlock","254539")</f>
        <v>254539</v>
      </c>
      <c r="F259" t="s">
        <v>167</v>
      </c>
      <c r="G259" t="str">
        <f>HYPERLINK("http://www.ncbi.nlm.nih.gov/Taxonomy/Browser/wwwtax.cgi?mode=Info&amp;id=254539&amp;lvl=3&amp;lin=f&amp;keep=1&amp;srchmode=1&amp;unlock","Falcunculus frontatus")</f>
        <v>Falcunculus frontatus</v>
      </c>
      <c r="H259" t="s">
        <v>312</v>
      </c>
      <c r="I259" t="str">
        <f>HYPERLINK("http://www.ncbi.nlm.nih.gov/protein/NWW26771.1","ANDR protein")</f>
        <v>ANDR protein</v>
      </c>
      <c r="J259" t="s">
        <v>1323</v>
      </c>
      <c r="K259" t="s">
        <v>20</v>
      </c>
      <c r="L259">
        <v>237</v>
      </c>
      <c r="M259" t="s">
        <v>25</v>
      </c>
      <c r="N259" t="s">
        <v>20</v>
      </c>
      <c r="O259" t="s">
        <v>1352</v>
      </c>
      <c r="P259" t="s">
        <v>20</v>
      </c>
      <c r="Q259">
        <v>132.119</v>
      </c>
      <c r="R259" t="s">
        <v>20</v>
      </c>
      <c r="S259" t="s">
        <v>20</v>
      </c>
      <c r="T259">
        <v>243</v>
      </c>
      <c r="U259" t="s">
        <v>1313</v>
      </c>
      <c r="V259" t="s">
        <v>20</v>
      </c>
      <c r="W259" t="s">
        <v>1352</v>
      </c>
      <c r="X259" t="s">
        <v>20</v>
      </c>
      <c r="Y259">
        <v>146.14599999999999</v>
      </c>
      <c r="Z259" t="s">
        <v>20</v>
      </c>
      <c r="AA259" t="s">
        <v>20</v>
      </c>
      <c r="AB259">
        <v>284</v>
      </c>
      <c r="AC259" t="s">
        <v>1314</v>
      </c>
      <c r="AD259" t="s">
        <v>20</v>
      </c>
      <c r="AE259" t="s">
        <v>1353</v>
      </c>
      <c r="AF259" t="s">
        <v>20</v>
      </c>
      <c r="AG259">
        <v>174.203</v>
      </c>
      <c r="AH259" t="s">
        <v>20</v>
      </c>
      <c r="AI259" t="s">
        <v>20</v>
      </c>
      <c r="AJ259">
        <v>409</v>
      </c>
      <c r="AK259" t="s">
        <v>1315</v>
      </c>
      <c r="AL259" t="s">
        <v>20</v>
      </c>
      <c r="AM259" t="s">
        <v>1354</v>
      </c>
      <c r="AN259" t="s">
        <v>20</v>
      </c>
      <c r="AO259">
        <v>119.119</v>
      </c>
      <c r="AP259" t="s">
        <v>20</v>
      </c>
      <c r="AQ259" t="s">
        <v>20</v>
      </c>
    </row>
    <row r="260" spans="1:43" x14ac:dyDescent="0.25">
      <c r="A260">
        <v>6</v>
      </c>
      <c r="B260" t="s">
        <v>167</v>
      </c>
      <c r="C260" t="str">
        <f>HYPERLINK("http://www.ncbi.nlm.nih.gov/protein/XP_017674811.1","XP_017674811.1")</f>
        <v>XP_017674811.1</v>
      </c>
      <c r="D260">
        <v>36957</v>
      </c>
      <c r="E260" t="str">
        <f>HYPERLINK("http://www.ncbi.nlm.nih.gov/Taxonomy/Browser/wwwtax.cgi?mode=Info&amp;id=321398&amp;lvl=3&amp;lin=f&amp;keep=1&amp;srchmode=1&amp;unlock","321398")</f>
        <v>321398</v>
      </c>
      <c r="F260" t="s">
        <v>167</v>
      </c>
      <c r="G260" t="str">
        <f>HYPERLINK("http://www.ncbi.nlm.nih.gov/Taxonomy/Browser/wwwtax.cgi?mode=Info&amp;id=321398&amp;lvl=3&amp;lin=f&amp;keep=1&amp;srchmode=1&amp;unlock","Lepidothrix coronata")</f>
        <v>Lepidothrix coronata</v>
      </c>
      <c r="H260" t="s">
        <v>462</v>
      </c>
      <c r="I260" t="str">
        <f>HYPERLINK("http://www.ncbi.nlm.nih.gov/protein/XP_017674811.1","PREDICTED: androgen receptor")</f>
        <v>PREDICTED: androgen receptor</v>
      </c>
      <c r="J260" t="s">
        <v>1323</v>
      </c>
      <c r="K260" t="s">
        <v>20</v>
      </c>
      <c r="L260">
        <v>462</v>
      </c>
      <c r="M260" t="s">
        <v>25</v>
      </c>
      <c r="N260" t="s">
        <v>20</v>
      </c>
      <c r="O260" t="s">
        <v>1352</v>
      </c>
      <c r="P260" t="s">
        <v>20</v>
      </c>
      <c r="Q260">
        <v>132.119</v>
      </c>
      <c r="R260" t="s">
        <v>20</v>
      </c>
      <c r="S260" t="s">
        <v>20</v>
      </c>
      <c r="T260">
        <v>468</v>
      </c>
      <c r="U260" t="s">
        <v>1313</v>
      </c>
      <c r="V260" t="s">
        <v>20</v>
      </c>
      <c r="W260" t="s">
        <v>1352</v>
      </c>
      <c r="X260" t="s">
        <v>20</v>
      </c>
      <c r="Y260">
        <v>146.14599999999999</v>
      </c>
      <c r="Z260" t="s">
        <v>20</v>
      </c>
      <c r="AA260" t="s">
        <v>20</v>
      </c>
      <c r="AB260">
        <v>509</v>
      </c>
      <c r="AC260" t="s">
        <v>1314</v>
      </c>
      <c r="AD260" t="s">
        <v>20</v>
      </c>
      <c r="AE260" t="s">
        <v>1353</v>
      </c>
      <c r="AF260" t="s">
        <v>20</v>
      </c>
      <c r="AG260">
        <v>174.203</v>
      </c>
      <c r="AH260" t="s">
        <v>20</v>
      </c>
      <c r="AI260" t="s">
        <v>20</v>
      </c>
      <c r="AJ260">
        <v>634</v>
      </c>
      <c r="AK260" t="s">
        <v>1315</v>
      </c>
      <c r="AL260" t="s">
        <v>20</v>
      </c>
      <c r="AM260" t="s">
        <v>1354</v>
      </c>
      <c r="AN260" t="s">
        <v>20</v>
      </c>
      <c r="AO260">
        <v>119.119</v>
      </c>
      <c r="AP260" t="s">
        <v>20</v>
      </c>
      <c r="AQ260" t="s">
        <v>20</v>
      </c>
    </row>
    <row r="261" spans="1:43" x14ac:dyDescent="0.25">
      <c r="A261">
        <v>6</v>
      </c>
      <c r="B261" t="s">
        <v>167</v>
      </c>
      <c r="C261" t="str">
        <f>HYPERLINK("http://www.ncbi.nlm.nih.gov/protein/NXM46696.1","NXM46696.1")</f>
        <v>NXM46696.1</v>
      </c>
      <c r="D261">
        <v>14416</v>
      </c>
      <c r="E261" t="str">
        <f>HYPERLINK("http://www.ncbi.nlm.nih.gov/Taxonomy/Browser/wwwtax.cgi?mode=Info&amp;id=9132&amp;lvl=3&amp;lin=f&amp;keep=1&amp;srchmode=1&amp;unlock","9132")</f>
        <v>9132</v>
      </c>
      <c r="F261" t="s">
        <v>167</v>
      </c>
      <c r="G261" t="str">
        <f>HYPERLINK("http://www.ncbi.nlm.nih.gov/Taxonomy/Browser/wwwtax.cgi?mode=Info&amp;id=9132&amp;lvl=3&amp;lin=f&amp;keep=1&amp;srchmode=1&amp;unlock","Gymnorhina tibicen")</f>
        <v>Gymnorhina tibicen</v>
      </c>
      <c r="H261" t="s">
        <v>326</v>
      </c>
      <c r="I261" t="str">
        <f>HYPERLINK("http://www.ncbi.nlm.nih.gov/protein/NXM46696.1","ANDR protein")</f>
        <v>ANDR protein</v>
      </c>
      <c r="J261" t="s">
        <v>1323</v>
      </c>
      <c r="K261" t="s">
        <v>20</v>
      </c>
      <c r="L261">
        <v>237</v>
      </c>
      <c r="M261" t="s">
        <v>25</v>
      </c>
      <c r="N261" t="s">
        <v>20</v>
      </c>
      <c r="O261" t="s">
        <v>1352</v>
      </c>
      <c r="P261" t="s">
        <v>20</v>
      </c>
      <c r="Q261">
        <v>132.119</v>
      </c>
      <c r="R261" t="s">
        <v>20</v>
      </c>
      <c r="S261" t="s">
        <v>20</v>
      </c>
      <c r="T261">
        <v>243</v>
      </c>
      <c r="U261" t="s">
        <v>1313</v>
      </c>
      <c r="V261" t="s">
        <v>20</v>
      </c>
      <c r="W261" t="s">
        <v>1352</v>
      </c>
      <c r="X261" t="s">
        <v>20</v>
      </c>
      <c r="Y261">
        <v>146.14599999999999</v>
      </c>
      <c r="Z261" t="s">
        <v>20</v>
      </c>
      <c r="AA261" t="s">
        <v>20</v>
      </c>
      <c r="AB261">
        <v>284</v>
      </c>
      <c r="AC261" t="s">
        <v>1314</v>
      </c>
      <c r="AD261" t="s">
        <v>20</v>
      </c>
      <c r="AE261" t="s">
        <v>1353</v>
      </c>
      <c r="AF261" t="s">
        <v>20</v>
      </c>
      <c r="AG261">
        <v>174.203</v>
      </c>
      <c r="AH261" t="s">
        <v>20</v>
      </c>
      <c r="AI261" t="s">
        <v>20</v>
      </c>
      <c r="AJ261">
        <v>409</v>
      </c>
      <c r="AK261" t="s">
        <v>1315</v>
      </c>
      <c r="AL261" t="s">
        <v>20</v>
      </c>
      <c r="AM261" t="s">
        <v>1354</v>
      </c>
      <c r="AN261" t="s">
        <v>20</v>
      </c>
      <c r="AO261">
        <v>119.119</v>
      </c>
      <c r="AP261" t="s">
        <v>20</v>
      </c>
      <c r="AQ261" t="s">
        <v>20</v>
      </c>
    </row>
    <row r="262" spans="1:43" x14ac:dyDescent="0.25">
      <c r="A262">
        <v>6</v>
      </c>
      <c r="B262" t="s">
        <v>167</v>
      </c>
      <c r="C262" t="str">
        <f>HYPERLINK("http://www.ncbi.nlm.nih.gov/protein/NXC80958.1","NXC80958.1")</f>
        <v>NXC80958.1</v>
      </c>
      <c r="D262">
        <v>13604</v>
      </c>
      <c r="E262" t="str">
        <f>HYPERLINK("http://www.ncbi.nlm.nih.gov/Taxonomy/Browser/wwwtax.cgi?mode=Info&amp;id=614051&amp;lvl=3&amp;lin=f&amp;keep=1&amp;srchmode=1&amp;unlock","614051")</f>
        <v>614051</v>
      </c>
      <c r="F262" t="s">
        <v>167</v>
      </c>
      <c r="G262" t="str">
        <f>HYPERLINK("http://www.ncbi.nlm.nih.gov/Taxonomy/Browser/wwwtax.cgi?mode=Info&amp;id=614051&amp;lvl=3&amp;lin=f&amp;keep=1&amp;srchmode=1&amp;unlock","Cercotrichas coryphoeus")</f>
        <v>Cercotrichas coryphoeus</v>
      </c>
      <c r="H262" t="s">
        <v>373</v>
      </c>
      <c r="I262" t="str">
        <f>HYPERLINK("http://www.ncbi.nlm.nih.gov/protein/NXC80958.1","ANDR protein")</f>
        <v>ANDR protein</v>
      </c>
      <c r="J262" t="s">
        <v>1323</v>
      </c>
      <c r="K262" t="s">
        <v>20</v>
      </c>
      <c r="L262">
        <v>468</v>
      </c>
      <c r="M262" t="s">
        <v>25</v>
      </c>
      <c r="N262" t="s">
        <v>20</v>
      </c>
      <c r="O262" t="s">
        <v>1352</v>
      </c>
      <c r="P262" t="s">
        <v>20</v>
      </c>
      <c r="Q262">
        <v>132.119</v>
      </c>
      <c r="R262" t="s">
        <v>20</v>
      </c>
      <c r="S262" t="s">
        <v>20</v>
      </c>
      <c r="T262">
        <v>474</v>
      </c>
      <c r="U262" t="s">
        <v>1313</v>
      </c>
      <c r="V262" t="s">
        <v>20</v>
      </c>
      <c r="W262" t="s">
        <v>1352</v>
      </c>
      <c r="X262" t="s">
        <v>20</v>
      </c>
      <c r="Y262">
        <v>146.14599999999999</v>
      </c>
      <c r="Z262" t="s">
        <v>20</v>
      </c>
      <c r="AA262" t="s">
        <v>20</v>
      </c>
      <c r="AB262">
        <v>515</v>
      </c>
      <c r="AC262" t="s">
        <v>1314</v>
      </c>
      <c r="AD262" t="s">
        <v>20</v>
      </c>
      <c r="AE262" t="s">
        <v>1353</v>
      </c>
      <c r="AF262" t="s">
        <v>20</v>
      </c>
      <c r="AG262">
        <v>174.203</v>
      </c>
      <c r="AH262" t="s">
        <v>20</v>
      </c>
      <c r="AI262" t="s">
        <v>20</v>
      </c>
      <c r="AJ262">
        <v>640</v>
      </c>
      <c r="AK262" t="s">
        <v>1315</v>
      </c>
      <c r="AL262" t="s">
        <v>20</v>
      </c>
      <c r="AM262" t="s">
        <v>1354</v>
      </c>
      <c r="AN262" t="s">
        <v>20</v>
      </c>
      <c r="AO262">
        <v>119.119</v>
      </c>
      <c r="AP262" t="s">
        <v>20</v>
      </c>
      <c r="AQ262" t="s">
        <v>20</v>
      </c>
    </row>
    <row r="263" spans="1:43" x14ac:dyDescent="0.25">
      <c r="A263">
        <v>6</v>
      </c>
      <c r="B263" t="s">
        <v>167</v>
      </c>
      <c r="C263" t="str">
        <f>HYPERLINK("http://www.ncbi.nlm.nih.gov/protein/NWT18796.1","NWT18796.1")</f>
        <v>NWT18796.1</v>
      </c>
      <c r="D263">
        <v>14153</v>
      </c>
      <c r="E263" t="str">
        <f>HYPERLINK("http://www.ncbi.nlm.nih.gov/Taxonomy/Browser/wwwtax.cgi?mode=Info&amp;id=34956&amp;lvl=3&amp;lin=f&amp;keep=1&amp;srchmode=1&amp;unlock","34956")</f>
        <v>34956</v>
      </c>
      <c r="F263" t="s">
        <v>167</v>
      </c>
      <c r="G263" t="str">
        <f>HYPERLINK("http://www.ncbi.nlm.nih.gov/Taxonomy/Browser/wwwtax.cgi?mode=Info&amp;id=34956&amp;lvl=3&amp;lin=f&amp;keep=1&amp;srchmode=1&amp;unlock","Vireo altiloquus")</f>
        <v>Vireo altiloquus</v>
      </c>
      <c r="H263" t="s">
        <v>302</v>
      </c>
      <c r="I263" t="str">
        <f>HYPERLINK("http://www.ncbi.nlm.nih.gov/protein/NWT18796.1","ANDR protein")</f>
        <v>ANDR protein</v>
      </c>
      <c r="J263" t="s">
        <v>1323</v>
      </c>
      <c r="K263" t="s">
        <v>20</v>
      </c>
      <c r="L263">
        <v>237</v>
      </c>
      <c r="M263" t="s">
        <v>25</v>
      </c>
      <c r="N263" t="s">
        <v>20</v>
      </c>
      <c r="O263" t="s">
        <v>1352</v>
      </c>
      <c r="P263" t="s">
        <v>20</v>
      </c>
      <c r="Q263">
        <v>132.119</v>
      </c>
      <c r="R263" t="s">
        <v>20</v>
      </c>
      <c r="S263" t="s">
        <v>20</v>
      </c>
      <c r="T263">
        <v>243</v>
      </c>
      <c r="U263" t="s">
        <v>1313</v>
      </c>
      <c r="V263" t="s">
        <v>20</v>
      </c>
      <c r="W263" t="s">
        <v>1352</v>
      </c>
      <c r="X263" t="s">
        <v>20</v>
      </c>
      <c r="Y263">
        <v>146.14599999999999</v>
      </c>
      <c r="Z263" t="s">
        <v>20</v>
      </c>
      <c r="AA263" t="s">
        <v>20</v>
      </c>
      <c r="AB263">
        <v>284</v>
      </c>
      <c r="AC263" t="s">
        <v>1314</v>
      </c>
      <c r="AD263" t="s">
        <v>20</v>
      </c>
      <c r="AE263" t="s">
        <v>1353</v>
      </c>
      <c r="AF263" t="s">
        <v>20</v>
      </c>
      <c r="AG263">
        <v>174.203</v>
      </c>
      <c r="AH263" t="s">
        <v>20</v>
      </c>
      <c r="AI263" t="s">
        <v>20</v>
      </c>
      <c r="AJ263">
        <v>409</v>
      </c>
      <c r="AK263" t="s">
        <v>1315</v>
      </c>
      <c r="AL263" t="s">
        <v>20</v>
      </c>
      <c r="AM263" t="s">
        <v>1354</v>
      </c>
      <c r="AN263" t="s">
        <v>20</v>
      </c>
      <c r="AO263">
        <v>119.119</v>
      </c>
      <c r="AP263" t="s">
        <v>20</v>
      </c>
      <c r="AQ263" t="s">
        <v>20</v>
      </c>
    </row>
    <row r="264" spans="1:43" x14ac:dyDescent="0.25">
      <c r="A264">
        <v>6</v>
      </c>
      <c r="B264" t="s">
        <v>167</v>
      </c>
      <c r="C264" t="str">
        <f>HYPERLINK("http://www.ncbi.nlm.nih.gov/protein/NXS72487.1","NXS72487.1")</f>
        <v>NXS72487.1</v>
      </c>
      <c r="D264">
        <v>12873</v>
      </c>
      <c r="E264" t="str">
        <f>HYPERLINK("http://www.ncbi.nlm.nih.gov/Taxonomy/Browser/wwwtax.cgi?mode=Info&amp;id=56262&amp;lvl=3&amp;lin=f&amp;keep=1&amp;srchmode=1&amp;unlock","56262")</f>
        <v>56262</v>
      </c>
      <c r="F264" t="s">
        <v>167</v>
      </c>
      <c r="G264" t="str">
        <f>HYPERLINK("http://www.ncbi.nlm.nih.gov/Taxonomy/Browser/wwwtax.cgi?mode=Info&amp;id=56262&amp;lvl=3&amp;lin=f&amp;keep=1&amp;srchmode=1&amp;unlock","Pandion haliaetus")</f>
        <v>Pandion haliaetus</v>
      </c>
      <c r="H264" t="s">
        <v>324</v>
      </c>
      <c r="I264" t="str">
        <f>HYPERLINK("http://www.ncbi.nlm.nih.gov/protein/NXS72487.1","ANDR protein")</f>
        <v>ANDR protein</v>
      </c>
      <c r="J264" t="s">
        <v>1323</v>
      </c>
      <c r="K264" t="s">
        <v>20</v>
      </c>
      <c r="L264">
        <v>211</v>
      </c>
      <c r="M264" t="s">
        <v>25</v>
      </c>
      <c r="N264" t="s">
        <v>20</v>
      </c>
      <c r="O264" t="s">
        <v>1352</v>
      </c>
      <c r="P264" t="s">
        <v>20</v>
      </c>
      <c r="Q264">
        <v>132.119</v>
      </c>
      <c r="R264" t="s">
        <v>20</v>
      </c>
      <c r="S264" t="s">
        <v>20</v>
      </c>
      <c r="T264">
        <v>217</v>
      </c>
      <c r="U264" t="s">
        <v>1313</v>
      </c>
      <c r="V264" t="s">
        <v>20</v>
      </c>
      <c r="W264" t="s">
        <v>1352</v>
      </c>
      <c r="X264" t="s">
        <v>20</v>
      </c>
      <c r="Y264">
        <v>146.14599999999999</v>
      </c>
      <c r="Z264" t="s">
        <v>20</v>
      </c>
      <c r="AA264" t="s">
        <v>20</v>
      </c>
      <c r="AB264">
        <v>258</v>
      </c>
      <c r="AC264" t="s">
        <v>1314</v>
      </c>
      <c r="AD264" t="s">
        <v>20</v>
      </c>
      <c r="AE264" t="s">
        <v>1353</v>
      </c>
      <c r="AF264" t="s">
        <v>20</v>
      </c>
      <c r="AG264">
        <v>174.203</v>
      </c>
      <c r="AH264" t="s">
        <v>20</v>
      </c>
      <c r="AI264" t="s">
        <v>20</v>
      </c>
      <c r="AJ264">
        <v>383</v>
      </c>
      <c r="AK264" t="s">
        <v>1315</v>
      </c>
      <c r="AL264" t="s">
        <v>20</v>
      </c>
      <c r="AM264" t="s">
        <v>1354</v>
      </c>
      <c r="AN264" t="s">
        <v>20</v>
      </c>
      <c r="AO264">
        <v>119.119</v>
      </c>
      <c r="AP264" t="s">
        <v>20</v>
      </c>
      <c r="AQ264" t="s">
        <v>20</v>
      </c>
    </row>
    <row r="265" spans="1:43" x14ac:dyDescent="0.25">
      <c r="A265">
        <v>6</v>
      </c>
      <c r="B265" t="s">
        <v>167</v>
      </c>
      <c r="C265" t="str">
        <f>HYPERLINK("http://www.ncbi.nlm.nih.gov/protein/NXG80896.1","NXG80896.1")</f>
        <v>NXG80896.1</v>
      </c>
      <c r="D265">
        <v>13417</v>
      </c>
      <c r="E265" t="str">
        <f>HYPERLINK("http://www.ncbi.nlm.nih.gov/Taxonomy/Browser/wwwtax.cgi?mode=Info&amp;id=176943&amp;lvl=3&amp;lin=f&amp;keep=1&amp;srchmode=1&amp;unlock","176943")</f>
        <v>176943</v>
      </c>
      <c r="F265" t="s">
        <v>167</v>
      </c>
      <c r="G265" t="str">
        <f>HYPERLINK("http://www.ncbi.nlm.nih.gov/Taxonomy/Browser/wwwtax.cgi?mode=Info&amp;id=176943&amp;lvl=3&amp;lin=f&amp;keep=1&amp;srchmode=1&amp;unlock","Baryphthengus martii")</f>
        <v>Baryphthengus martii</v>
      </c>
      <c r="H265" t="s">
        <v>238</v>
      </c>
      <c r="I265" t="str">
        <f>HYPERLINK("http://www.ncbi.nlm.nih.gov/protein/NXG80896.1","ANDR protein")</f>
        <v>ANDR protein</v>
      </c>
      <c r="J265" t="s">
        <v>1323</v>
      </c>
      <c r="K265" t="s">
        <v>20</v>
      </c>
      <c r="L265">
        <v>209</v>
      </c>
      <c r="M265" t="s">
        <v>25</v>
      </c>
      <c r="N265" t="s">
        <v>20</v>
      </c>
      <c r="O265" t="s">
        <v>1352</v>
      </c>
      <c r="P265" t="s">
        <v>20</v>
      </c>
      <c r="Q265">
        <v>132.119</v>
      </c>
      <c r="R265" t="s">
        <v>20</v>
      </c>
      <c r="S265" t="s">
        <v>20</v>
      </c>
      <c r="T265">
        <v>215</v>
      </c>
      <c r="U265" t="s">
        <v>1313</v>
      </c>
      <c r="V265" t="s">
        <v>20</v>
      </c>
      <c r="W265" t="s">
        <v>1352</v>
      </c>
      <c r="X265" t="s">
        <v>20</v>
      </c>
      <c r="Y265">
        <v>146.14599999999999</v>
      </c>
      <c r="Z265" t="s">
        <v>20</v>
      </c>
      <c r="AA265" t="s">
        <v>20</v>
      </c>
      <c r="AB265">
        <v>256</v>
      </c>
      <c r="AC265" t="s">
        <v>1314</v>
      </c>
      <c r="AD265" t="s">
        <v>20</v>
      </c>
      <c r="AE265" t="s">
        <v>1353</v>
      </c>
      <c r="AF265" t="s">
        <v>20</v>
      </c>
      <c r="AG265">
        <v>174.203</v>
      </c>
      <c r="AH265" t="s">
        <v>20</v>
      </c>
      <c r="AI265" t="s">
        <v>20</v>
      </c>
      <c r="AJ265">
        <v>381</v>
      </c>
      <c r="AK265" t="s">
        <v>1315</v>
      </c>
      <c r="AL265" t="s">
        <v>20</v>
      </c>
      <c r="AM265" t="s">
        <v>1354</v>
      </c>
      <c r="AN265" t="s">
        <v>20</v>
      </c>
      <c r="AO265">
        <v>119.119</v>
      </c>
      <c r="AP265" t="s">
        <v>20</v>
      </c>
      <c r="AQ265" t="s">
        <v>20</v>
      </c>
    </row>
    <row r="266" spans="1:43" x14ac:dyDescent="0.25">
      <c r="A266">
        <v>6</v>
      </c>
      <c r="B266" t="s">
        <v>167</v>
      </c>
      <c r="C266" t="str">
        <f>HYPERLINK("http://www.ncbi.nlm.nih.gov/protein/NWR35662.1","NWR35662.1")</f>
        <v>NWR35662.1</v>
      </c>
      <c r="D266">
        <v>14362</v>
      </c>
      <c r="E266" t="str">
        <f>HYPERLINK("http://www.ncbi.nlm.nih.gov/Taxonomy/Browser/wwwtax.cgi?mode=Info&amp;id=495162&amp;lvl=3&amp;lin=f&amp;keep=1&amp;srchmode=1&amp;unlock","495162")</f>
        <v>495162</v>
      </c>
      <c r="F266" t="s">
        <v>167</v>
      </c>
      <c r="G266" t="str">
        <f>HYPERLINK("http://www.ncbi.nlm.nih.gov/Taxonomy/Browser/wwwtax.cgi?mode=Info&amp;id=495162&amp;lvl=3&amp;lin=f&amp;keep=1&amp;srchmode=1&amp;unlock","Tachuris rubrigastra")</f>
        <v>Tachuris rubrigastra</v>
      </c>
      <c r="H266" t="s">
        <v>206</v>
      </c>
      <c r="I266" t="str">
        <f>HYPERLINK("http://www.ncbi.nlm.nih.gov/protein/NWR35662.1","ANDR protein")</f>
        <v>ANDR protein</v>
      </c>
      <c r="J266" t="s">
        <v>1323</v>
      </c>
      <c r="K266" t="s">
        <v>20</v>
      </c>
      <c r="L266">
        <v>238</v>
      </c>
      <c r="M266" t="s">
        <v>25</v>
      </c>
      <c r="N266" t="s">
        <v>20</v>
      </c>
      <c r="O266" t="s">
        <v>1352</v>
      </c>
      <c r="P266" t="s">
        <v>20</v>
      </c>
      <c r="Q266">
        <v>132.119</v>
      </c>
      <c r="R266" t="s">
        <v>20</v>
      </c>
      <c r="S266" t="s">
        <v>20</v>
      </c>
      <c r="T266">
        <v>244</v>
      </c>
      <c r="U266" t="s">
        <v>1313</v>
      </c>
      <c r="V266" t="s">
        <v>20</v>
      </c>
      <c r="W266" t="s">
        <v>1352</v>
      </c>
      <c r="X266" t="s">
        <v>20</v>
      </c>
      <c r="Y266">
        <v>146.14599999999999</v>
      </c>
      <c r="Z266" t="s">
        <v>20</v>
      </c>
      <c r="AA266" t="s">
        <v>20</v>
      </c>
      <c r="AB266">
        <v>285</v>
      </c>
      <c r="AC266" t="s">
        <v>1314</v>
      </c>
      <c r="AD266" t="s">
        <v>20</v>
      </c>
      <c r="AE266" t="s">
        <v>1353</v>
      </c>
      <c r="AF266" t="s">
        <v>20</v>
      </c>
      <c r="AG266">
        <v>174.203</v>
      </c>
      <c r="AH266" t="s">
        <v>20</v>
      </c>
      <c r="AI266" t="s">
        <v>20</v>
      </c>
      <c r="AJ266">
        <v>410</v>
      </c>
      <c r="AK266" t="s">
        <v>1315</v>
      </c>
      <c r="AL266" t="s">
        <v>20</v>
      </c>
      <c r="AM266" t="s">
        <v>1354</v>
      </c>
      <c r="AN266" t="s">
        <v>20</v>
      </c>
      <c r="AO266">
        <v>119.119</v>
      </c>
      <c r="AP266" t="s">
        <v>20</v>
      </c>
      <c r="AQ266" t="s">
        <v>20</v>
      </c>
    </row>
    <row r="267" spans="1:43" x14ac:dyDescent="0.25">
      <c r="A267">
        <v>6</v>
      </c>
      <c r="B267" t="s">
        <v>167</v>
      </c>
      <c r="C267" t="str">
        <f>HYPERLINK("http://www.ncbi.nlm.nih.gov/protein/NXD90970.1","NXD90970.1")</f>
        <v>NXD90970.1</v>
      </c>
      <c r="D267">
        <v>14358</v>
      </c>
      <c r="E267" t="str">
        <f>HYPERLINK("http://www.ncbi.nlm.nih.gov/Taxonomy/Browser/wwwtax.cgi?mode=Info&amp;id=254446&amp;lvl=3&amp;lin=f&amp;keep=1&amp;srchmode=1&amp;unlock","254446")</f>
        <v>254446</v>
      </c>
      <c r="F267" t="s">
        <v>167</v>
      </c>
      <c r="G267" t="str">
        <f>HYPERLINK("http://www.ncbi.nlm.nih.gov/Taxonomy/Browser/wwwtax.cgi?mode=Info&amp;id=254446&amp;lvl=3&amp;lin=f&amp;keep=1&amp;srchmode=1&amp;unlock","Chaetorhynchus papuensis")</f>
        <v>Chaetorhynchus papuensis</v>
      </c>
      <c r="H267" t="s">
        <v>264</v>
      </c>
      <c r="I267" t="str">
        <f>HYPERLINK("http://www.ncbi.nlm.nih.gov/protein/NXD90970.1","ANDR protein")</f>
        <v>ANDR protein</v>
      </c>
      <c r="J267" t="s">
        <v>1323</v>
      </c>
      <c r="K267" t="s">
        <v>20</v>
      </c>
      <c r="L267">
        <v>470</v>
      </c>
      <c r="M267" t="s">
        <v>25</v>
      </c>
      <c r="N267" t="s">
        <v>20</v>
      </c>
      <c r="O267" t="s">
        <v>1352</v>
      </c>
      <c r="P267" t="s">
        <v>20</v>
      </c>
      <c r="Q267">
        <v>132.119</v>
      </c>
      <c r="R267" t="s">
        <v>20</v>
      </c>
      <c r="S267" t="s">
        <v>20</v>
      </c>
      <c r="T267">
        <v>476</v>
      </c>
      <c r="U267" t="s">
        <v>1313</v>
      </c>
      <c r="V267" t="s">
        <v>20</v>
      </c>
      <c r="W267" t="s">
        <v>1352</v>
      </c>
      <c r="X267" t="s">
        <v>20</v>
      </c>
      <c r="Y267">
        <v>146.14599999999999</v>
      </c>
      <c r="Z267" t="s">
        <v>20</v>
      </c>
      <c r="AA267" t="s">
        <v>20</v>
      </c>
      <c r="AB267">
        <v>517</v>
      </c>
      <c r="AC267" t="s">
        <v>1314</v>
      </c>
      <c r="AD267" t="s">
        <v>20</v>
      </c>
      <c r="AE267" t="s">
        <v>1353</v>
      </c>
      <c r="AF267" t="s">
        <v>20</v>
      </c>
      <c r="AG267">
        <v>174.203</v>
      </c>
      <c r="AH267" t="s">
        <v>20</v>
      </c>
      <c r="AI267" t="s">
        <v>20</v>
      </c>
      <c r="AJ267">
        <v>642</v>
      </c>
      <c r="AK267" t="s">
        <v>1315</v>
      </c>
      <c r="AL267" t="s">
        <v>20</v>
      </c>
      <c r="AM267" t="s">
        <v>1354</v>
      </c>
      <c r="AN267" t="s">
        <v>20</v>
      </c>
      <c r="AO267">
        <v>119.119</v>
      </c>
      <c r="AP267" t="s">
        <v>20</v>
      </c>
      <c r="AQ267" t="s">
        <v>20</v>
      </c>
    </row>
    <row r="268" spans="1:43" x14ac:dyDescent="0.25">
      <c r="A268">
        <v>6</v>
      </c>
      <c r="B268" t="s">
        <v>167</v>
      </c>
      <c r="C268" t="str">
        <f>HYPERLINK("http://www.ncbi.nlm.nih.gov/protein/NWX35055.1","NWX35055.1")</f>
        <v>NWX35055.1</v>
      </c>
      <c r="D268">
        <v>13735</v>
      </c>
      <c r="E268" t="str">
        <f>HYPERLINK("http://www.ncbi.nlm.nih.gov/Taxonomy/Browser/wwwtax.cgi?mode=Info&amp;id=366454&amp;lvl=3&amp;lin=f&amp;keep=1&amp;srchmode=1&amp;unlock","366454")</f>
        <v>366454</v>
      </c>
      <c r="F268" t="s">
        <v>167</v>
      </c>
      <c r="G268" t="str">
        <f>HYPERLINK("http://www.ncbi.nlm.nih.gov/Taxonomy/Browser/wwwtax.cgi?mode=Info&amp;id=366454&amp;lvl=3&amp;lin=f&amp;keep=1&amp;srchmode=1&amp;unlock","Notiomystis cincta")</f>
        <v>Notiomystis cincta</v>
      </c>
      <c r="H268" t="s">
        <v>369</v>
      </c>
      <c r="I268" t="str">
        <f>HYPERLINK("http://www.ncbi.nlm.nih.gov/protein/NWX35055.1","ANDR protein")</f>
        <v>ANDR protein</v>
      </c>
      <c r="J268" t="s">
        <v>1323</v>
      </c>
      <c r="K268" t="s">
        <v>20</v>
      </c>
      <c r="L268">
        <v>235</v>
      </c>
      <c r="M268" t="s">
        <v>25</v>
      </c>
      <c r="N268" t="s">
        <v>20</v>
      </c>
      <c r="O268" t="s">
        <v>1352</v>
      </c>
      <c r="P268" t="s">
        <v>20</v>
      </c>
      <c r="Q268">
        <v>132.119</v>
      </c>
      <c r="R268" t="s">
        <v>20</v>
      </c>
      <c r="S268" t="s">
        <v>20</v>
      </c>
      <c r="T268">
        <v>241</v>
      </c>
      <c r="U268" t="s">
        <v>1313</v>
      </c>
      <c r="V268" t="s">
        <v>20</v>
      </c>
      <c r="W268" t="s">
        <v>1352</v>
      </c>
      <c r="X268" t="s">
        <v>20</v>
      </c>
      <c r="Y268">
        <v>146.14599999999999</v>
      </c>
      <c r="Z268" t="s">
        <v>20</v>
      </c>
      <c r="AA268" t="s">
        <v>20</v>
      </c>
      <c r="AB268">
        <v>282</v>
      </c>
      <c r="AC268" t="s">
        <v>1314</v>
      </c>
      <c r="AD268" t="s">
        <v>20</v>
      </c>
      <c r="AE268" t="s">
        <v>1353</v>
      </c>
      <c r="AF268" t="s">
        <v>20</v>
      </c>
      <c r="AG268">
        <v>174.203</v>
      </c>
      <c r="AH268" t="s">
        <v>20</v>
      </c>
      <c r="AI268" t="s">
        <v>20</v>
      </c>
      <c r="AJ268">
        <v>407</v>
      </c>
      <c r="AK268" t="s">
        <v>1315</v>
      </c>
      <c r="AL268" t="s">
        <v>20</v>
      </c>
      <c r="AM268" t="s">
        <v>1354</v>
      </c>
      <c r="AN268" t="s">
        <v>20</v>
      </c>
      <c r="AO268">
        <v>119.119</v>
      </c>
      <c r="AP268" t="s">
        <v>20</v>
      </c>
      <c r="AQ268" t="s">
        <v>20</v>
      </c>
    </row>
    <row r="269" spans="1:43" x14ac:dyDescent="0.25">
      <c r="A269">
        <v>6</v>
      </c>
      <c r="B269" t="s">
        <v>167</v>
      </c>
      <c r="C269" t="str">
        <f>HYPERLINK("http://www.ncbi.nlm.nih.gov/protein/NWV93261.1","NWV93261.1")</f>
        <v>NWV93261.1</v>
      </c>
      <c r="D269">
        <v>13983</v>
      </c>
      <c r="E269" t="str">
        <f>HYPERLINK("http://www.ncbi.nlm.nih.gov/Taxonomy/Browser/wwwtax.cgi?mode=Info&amp;id=1160894&amp;lvl=3&amp;lin=f&amp;keep=1&amp;srchmode=1&amp;unlock","1160894")</f>
        <v>1160894</v>
      </c>
      <c r="F269" t="s">
        <v>167</v>
      </c>
      <c r="G269" t="str">
        <f>HYPERLINK("http://www.ncbi.nlm.nih.gov/Taxonomy/Browser/wwwtax.cgi?mode=Info&amp;id=1160894&amp;lvl=3&amp;lin=f&amp;keep=1&amp;srchmode=1&amp;unlock","Machaerirhynchus nigripectus")</f>
        <v>Machaerirhynchus nigripectus</v>
      </c>
      <c r="H269" t="s">
        <v>206</v>
      </c>
      <c r="I269" t="str">
        <f>HYPERLINK("http://www.ncbi.nlm.nih.gov/protein/NWV93261.1","ANDR protein")</f>
        <v>ANDR protein</v>
      </c>
      <c r="J269" t="s">
        <v>1323</v>
      </c>
      <c r="K269" t="s">
        <v>20</v>
      </c>
      <c r="L269">
        <v>237</v>
      </c>
      <c r="M269" t="s">
        <v>25</v>
      </c>
      <c r="N269" t="s">
        <v>20</v>
      </c>
      <c r="O269" t="s">
        <v>1352</v>
      </c>
      <c r="P269" t="s">
        <v>20</v>
      </c>
      <c r="Q269">
        <v>132.119</v>
      </c>
      <c r="R269" t="s">
        <v>20</v>
      </c>
      <c r="S269" t="s">
        <v>20</v>
      </c>
      <c r="T269">
        <v>243</v>
      </c>
      <c r="U269" t="s">
        <v>1313</v>
      </c>
      <c r="V269" t="s">
        <v>20</v>
      </c>
      <c r="W269" t="s">
        <v>1352</v>
      </c>
      <c r="X269" t="s">
        <v>20</v>
      </c>
      <c r="Y269">
        <v>146.14599999999999</v>
      </c>
      <c r="Z269" t="s">
        <v>20</v>
      </c>
      <c r="AA269" t="s">
        <v>20</v>
      </c>
      <c r="AB269">
        <v>284</v>
      </c>
      <c r="AC269" t="s">
        <v>1314</v>
      </c>
      <c r="AD269" t="s">
        <v>20</v>
      </c>
      <c r="AE269" t="s">
        <v>1353</v>
      </c>
      <c r="AF269" t="s">
        <v>20</v>
      </c>
      <c r="AG269">
        <v>174.203</v>
      </c>
      <c r="AH269" t="s">
        <v>20</v>
      </c>
      <c r="AI269" t="s">
        <v>20</v>
      </c>
      <c r="AJ269">
        <v>409</v>
      </c>
      <c r="AK269" t="s">
        <v>1315</v>
      </c>
      <c r="AL269" t="s">
        <v>20</v>
      </c>
      <c r="AM269" t="s">
        <v>1354</v>
      </c>
      <c r="AN269" t="s">
        <v>20</v>
      </c>
      <c r="AO269">
        <v>119.119</v>
      </c>
      <c r="AP269" t="s">
        <v>20</v>
      </c>
      <c r="AQ269" t="s">
        <v>20</v>
      </c>
    </row>
    <row r="270" spans="1:43" x14ac:dyDescent="0.25">
      <c r="A270">
        <v>6</v>
      </c>
      <c r="B270" t="s">
        <v>167</v>
      </c>
      <c r="C270" t="str">
        <f>HYPERLINK("http://www.ncbi.nlm.nih.gov/protein/NXI81581.1","NXI81581.1")</f>
        <v>NXI81581.1</v>
      </c>
      <c r="D270">
        <v>14200</v>
      </c>
      <c r="E270" t="str">
        <f>HYPERLINK("http://www.ncbi.nlm.nih.gov/Taxonomy/Browser/wwwtax.cgi?mode=Info&amp;id=667186&amp;lvl=3&amp;lin=f&amp;keep=1&amp;srchmode=1&amp;unlock","667186")</f>
        <v>667186</v>
      </c>
      <c r="F270" t="s">
        <v>167</v>
      </c>
      <c r="G270" t="str">
        <f>HYPERLINK("http://www.ncbi.nlm.nih.gov/Taxonomy/Browser/wwwtax.cgi?mode=Info&amp;id=667186&amp;lvl=3&amp;lin=f&amp;keep=1&amp;srchmode=1&amp;unlock","Rhipidura dahli")</f>
        <v>Rhipidura dahli</v>
      </c>
      <c r="H270" t="s">
        <v>206</v>
      </c>
      <c r="I270" t="str">
        <f>HYPERLINK("http://www.ncbi.nlm.nih.gov/protein/NXI81581.1","ANDR protein")</f>
        <v>ANDR protein</v>
      </c>
      <c r="J270" t="s">
        <v>1323</v>
      </c>
      <c r="K270" t="s">
        <v>20</v>
      </c>
      <c r="L270">
        <v>237</v>
      </c>
      <c r="M270" t="s">
        <v>25</v>
      </c>
      <c r="N270" t="s">
        <v>20</v>
      </c>
      <c r="O270" t="s">
        <v>1352</v>
      </c>
      <c r="P270" t="s">
        <v>20</v>
      </c>
      <c r="Q270">
        <v>132.119</v>
      </c>
      <c r="R270" t="s">
        <v>20</v>
      </c>
      <c r="S270" t="s">
        <v>20</v>
      </c>
      <c r="T270">
        <v>243</v>
      </c>
      <c r="U270" t="s">
        <v>1313</v>
      </c>
      <c r="V270" t="s">
        <v>20</v>
      </c>
      <c r="W270" t="s">
        <v>1352</v>
      </c>
      <c r="X270" t="s">
        <v>20</v>
      </c>
      <c r="Y270">
        <v>146.14599999999999</v>
      </c>
      <c r="Z270" t="s">
        <v>20</v>
      </c>
      <c r="AA270" t="s">
        <v>20</v>
      </c>
      <c r="AB270">
        <v>284</v>
      </c>
      <c r="AC270" t="s">
        <v>1314</v>
      </c>
      <c r="AD270" t="s">
        <v>20</v>
      </c>
      <c r="AE270" t="s">
        <v>1353</v>
      </c>
      <c r="AF270" t="s">
        <v>20</v>
      </c>
      <c r="AG270">
        <v>174.203</v>
      </c>
      <c r="AH270" t="s">
        <v>20</v>
      </c>
      <c r="AI270" t="s">
        <v>20</v>
      </c>
      <c r="AJ270">
        <v>409</v>
      </c>
      <c r="AK270" t="s">
        <v>1315</v>
      </c>
      <c r="AL270" t="s">
        <v>20</v>
      </c>
      <c r="AM270" t="s">
        <v>1354</v>
      </c>
      <c r="AN270" t="s">
        <v>20</v>
      </c>
      <c r="AO270">
        <v>119.119</v>
      </c>
      <c r="AP270" t="s">
        <v>20</v>
      </c>
      <c r="AQ270" t="s">
        <v>20</v>
      </c>
    </row>
    <row r="271" spans="1:43" x14ac:dyDescent="0.25">
      <c r="A271">
        <v>6</v>
      </c>
      <c r="B271" t="s">
        <v>167</v>
      </c>
      <c r="C271" t="str">
        <f>HYPERLINK("http://www.ncbi.nlm.nih.gov/protein/NWY14237.1","NWY14237.1")</f>
        <v>NWY14237.1</v>
      </c>
      <c r="D271">
        <v>14632</v>
      </c>
      <c r="E271" t="str">
        <f>HYPERLINK("http://www.ncbi.nlm.nih.gov/Taxonomy/Browser/wwwtax.cgi?mode=Info&amp;id=39617&amp;lvl=3&amp;lin=f&amp;keep=1&amp;srchmode=1&amp;unlock","39617")</f>
        <v>39617</v>
      </c>
      <c r="F271" t="s">
        <v>167</v>
      </c>
      <c r="G271" t="str">
        <f>HYPERLINK("http://www.ncbi.nlm.nih.gov/Taxonomy/Browser/wwwtax.cgi?mode=Info&amp;id=39617&amp;lvl=3&amp;lin=f&amp;keep=1&amp;srchmode=1&amp;unlock","Aphelocoma coerulescens")</f>
        <v>Aphelocoma coerulescens</v>
      </c>
      <c r="H271" t="s">
        <v>224</v>
      </c>
      <c r="I271" t="str">
        <f>HYPERLINK("http://www.ncbi.nlm.nih.gov/protein/NWY14237.1","ANDR protein")</f>
        <v>ANDR protein</v>
      </c>
      <c r="J271" t="s">
        <v>1323</v>
      </c>
      <c r="K271" t="s">
        <v>20</v>
      </c>
      <c r="L271">
        <v>379</v>
      </c>
      <c r="M271" t="s">
        <v>25</v>
      </c>
      <c r="N271" t="s">
        <v>20</v>
      </c>
      <c r="O271" t="s">
        <v>1352</v>
      </c>
      <c r="P271" t="s">
        <v>20</v>
      </c>
      <c r="Q271">
        <v>132.119</v>
      </c>
      <c r="R271" t="s">
        <v>20</v>
      </c>
      <c r="S271" t="s">
        <v>20</v>
      </c>
      <c r="T271">
        <v>385</v>
      </c>
      <c r="U271" t="s">
        <v>1313</v>
      </c>
      <c r="V271" t="s">
        <v>20</v>
      </c>
      <c r="W271" t="s">
        <v>1352</v>
      </c>
      <c r="X271" t="s">
        <v>20</v>
      </c>
      <c r="Y271">
        <v>146.14599999999999</v>
      </c>
      <c r="Z271" t="s">
        <v>20</v>
      </c>
      <c r="AA271" t="s">
        <v>20</v>
      </c>
      <c r="AB271">
        <v>426</v>
      </c>
      <c r="AC271" t="s">
        <v>1314</v>
      </c>
      <c r="AD271" t="s">
        <v>20</v>
      </c>
      <c r="AE271" t="s">
        <v>1353</v>
      </c>
      <c r="AF271" t="s">
        <v>20</v>
      </c>
      <c r="AG271">
        <v>174.203</v>
      </c>
      <c r="AH271" t="s">
        <v>20</v>
      </c>
      <c r="AI271" t="s">
        <v>20</v>
      </c>
      <c r="AJ271">
        <v>551</v>
      </c>
      <c r="AK271" t="s">
        <v>1315</v>
      </c>
      <c r="AL271" t="s">
        <v>20</v>
      </c>
      <c r="AM271" t="s">
        <v>1354</v>
      </c>
      <c r="AN271" t="s">
        <v>20</v>
      </c>
      <c r="AO271">
        <v>119.119</v>
      </c>
      <c r="AP271" t="s">
        <v>20</v>
      </c>
      <c r="AQ271" t="s">
        <v>20</v>
      </c>
    </row>
    <row r="272" spans="1:43" x14ac:dyDescent="0.25">
      <c r="A272">
        <v>6</v>
      </c>
      <c r="B272" t="s">
        <v>167</v>
      </c>
      <c r="C272" t="str">
        <f>HYPERLINK("http://www.ncbi.nlm.nih.gov/protein/NXL20952.1","NXL20952.1")</f>
        <v>NXL20952.1</v>
      </c>
      <c r="D272">
        <v>13919</v>
      </c>
      <c r="E272" t="str">
        <f>HYPERLINK("http://www.ncbi.nlm.nih.gov/Taxonomy/Browser/wwwtax.cgi?mode=Info&amp;id=298831&amp;lvl=3&amp;lin=f&amp;keep=1&amp;srchmode=1&amp;unlock","298831")</f>
        <v>298831</v>
      </c>
      <c r="F272" t="s">
        <v>167</v>
      </c>
      <c r="G272" t="str">
        <f>HYPERLINK("http://www.ncbi.nlm.nih.gov/Taxonomy/Browser/wwwtax.cgi?mode=Info&amp;id=298831&amp;lvl=3&amp;lin=f&amp;keep=1&amp;srchmode=1&amp;unlock","Setophaga kirtlandii")</f>
        <v>Setophaga kirtlandii</v>
      </c>
      <c r="H272" t="s">
        <v>463</v>
      </c>
      <c r="I272" t="str">
        <f>HYPERLINK("http://www.ncbi.nlm.nih.gov/protein/NXL20952.1","ANDR protein")</f>
        <v>ANDR protein</v>
      </c>
      <c r="J272" t="s">
        <v>1323</v>
      </c>
      <c r="K272" t="s">
        <v>20</v>
      </c>
      <c r="L272">
        <v>237</v>
      </c>
      <c r="M272" t="s">
        <v>25</v>
      </c>
      <c r="N272" t="s">
        <v>20</v>
      </c>
      <c r="O272" t="s">
        <v>1352</v>
      </c>
      <c r="P272" t="s">
        <v>20</v>
      </c>
      <c r="Q272">
        <v>132.119</v>
      </c>
      <c r="R272" t="s">
        <v>20</v>
      </c>
      <c r="S272" t="s">
        <v>20</v>
      </c>
      <c r="T272">
        <v>243</v>
      </c>
      <c r="U272" t="s">
        <v>1313</v>
      </c>
      <c r="V272" t="s">
        <v>20</v>
      </c>
      <c r="W272" t="s">
        <v>1352</v>
      </c>
      <c r="X272" t="s">
        <v>20</v>
      </c>
      <c r="Y272">
        <v>146.14599999999999</v>
      </c>
      <c r="Z272" t="s">
        <v>20</v>
      </c>
      <c r="AA272" t="s">
        <v>20</v>
      </c>
      <c r="AB272">
        <v>284</v>
      </c>
      <c r="AC272" t="s">
        <v>1314</v>
      </c>
      <c r="AD272" t="s">
        <v>20</v>
      </c>
      <c r="AE272" t="s">
        <v>1353</v>
      </c>
      <c r="AF272" t="s">
        <v>20</v>
      </c>
      <c r="AG272">
        <v>174.203</v>
      </c>
      <c r="AH272" t="s">
        <v>20</v>
      </c>
      <c r="AI272" t="s">
        <v>20</v>
      </c>
      <c r="AJ272">
        <v>409</v>
      </c>
      <c r="AK272" t="s">
        <v>1315</v>
      </c>
      <c r="AL272" t="s">
        <v>20</v>
      </c>
      <c r="AM272" t="s">
        <v>1354</v>
      </c>
      <c r="AN272" t="s">
        <v>20</v>
      </c>
      <c r="AO272">
        <v>119.119</v>
      </c>
      <c r="AP272" t="s">
        <v>20</v>
      </c>
      <c r="AQ272" t="s">
        <v>20</v>
      </c>
    </row>
    <row r="273" spans="1:43" x14ac:dyDescent="0.25">
      <c r="A273">
        <v>6</v>
      </c>
      <c r="B273" t="s">
        <v>167</v>
      </c>
      <c r="C273" t="str">
        <f>HYPERLINK("http://www.ncbi.nlm.nih.gov/protein/NXK46303.1","NXK46303.1")</f>
        <v>NXK46303.1</v>
      </c>
      <c r="D273">
        <v>13560</v>
      </c>
      <c r="E273" t="str">
        <f>HYPERLINK("http://www.ncbi.nlm.nih.gov/Taxonomy/Browser/wwwtax.cgi?mode=Info&amp;id=30388&amp;lvl=3&amp;lin=f&amp;keep=1&amp;srchmode=1&amp;unlock","30388")</f>
        <v>30388</v>
      </c>
      <c r="F273" t="s">
        <v>167</v>
      </c>
      <c r="G273" t="str">
        <f>HYPERLINK("http://www.ncbi.nlm.nih.gov/Taxonomy/Browser/wwwtax.cgi?mode=Info&amp;id=30388&amp;lvl=3&amp;lin=f&amp;keep=1&amp;srchmode=1&amp;unlock","Chauna torquata")</f>
        <v>Chauna torquata</v>
      </c>
      <c r="H273" t="s">
        <v>981</v>
      </c>
      <c r="I273" t="str">
        <f>HYPERLINK("http://www.ncbi.nlm.nih.gov/protein/NXK46303.1","ANDR protein")</f>
        <v>ANDR protein</v>
      </c>
      <c r="J273" t="s">
        <v>1323</v>
      </c>
      <c r="K273" t="s">
        <v>20</v>
      </c>
      <c r="L273">
        <v>200</v>
      </c>
      <c r="M273" t="s">
        <v>25</v>
      </c>
      <c r="N273" t="s">
        <v>20</v>
      </c>
      <c r="O273" t="s">
        <v>1352</v>
      </c>
      <c r="P273" t="s">
        <v>20</v>
      </c>
      <c r="Q273">
        <v>132.119</v>
      </c>
      <c r="R273" t="s">
        <v>20</v>
      </c>
      <c r="S273" t="s">
        <v>20</v>
      </c>
      <c r="T273">
        <v>206</v>
      </c>
      <c r="U273" t="s">
        <v>1313</v>
      </c>
      <c r="V273" t="s">
        <v>20</v>
      </c>
      <c r="W273" t="s">
        <v>1352</v>
      </c>
      <c r="X273" t="s">
        <v>20</v>
      </c>
      <c r="Y273">
        <v>146.14599999999999</v>
      </c>
      <c r="Z273" t="s">
        <v>20</v>
      </c>
      <c r="AA273" t="s">
        <v>20</v>
      </c>
      <c r="AB273">
        <v>247</v>
      </c>
      <c r="AC273" t="s">
        <v>1314</v>
      </c>
      <c r="AD273" t="s">
        <v>20</v>
      </c>
      <c r="AE273" t="s">
        <v>1353</v>
      </c>
      <c r="AF273" t="s">
        <v>20</v>
      </c>
      <c r="AG273">
        <v>174.203</v>
      </c>
      <c r="AH273" t="s">
        <v>20</v>
      </c>
      <c r="AI273" t="s">
        <v>20</v>
      </c>
      <c r="AJ273">
        <v>372</v>
      </c>
      <c r="AK273" t="s">
        <v>1315</v>
      </c>
      <c r="AL273" t="s">
        <v>20</v>
      </c>
      <c r="AM273" t="s">
        <v>1354</v>
      </c>
      <c r="AN273" t="s">
        <v>20</v>
      </c>
      <c r="AO273">
        <v>119.119</v>
      </c>
      <c r="AP273" t="s">
        <v>20</v>
      </c>
      <c r="AQ273" t="s">
        <v>20</v>
      </c>
    </row>
    <row r="274" spans="1:43" x14ac:dyDescent="0.25">
      <c r="A274">
        <v>6</v>
      </c>
      <c r="B274" t="s">
        <v>167</v>
      </c>
      <c r="C274" t="str">
        <f>HYPERLINK("http://www.ncbi.nlm.nih.gov/protein/NWX53363.1","NWX53363.1")</f>
        <v>NWX53363.1</v>
      </c>
      <c r="D274">
        <v>14100</v>
      </c>
      <c r="E274" t="str">
        <f>HYPERLINK("http://www.ncbi.nlm.nih.gov/Taxonomy/Browser/wwwtax.cgi?mode=Info&amp;id=254652&amp;lvl=3&amp;lin=f&amp;keep=1&amp;srchmode=1&amp;unlock","254652")</f>
        <v>254652</v>
      </c>
      <c r="F274" t="s">
        <v>167</v>
      </c>
      <c r="G274" t="str">
        <f>HYPERLINK("http://www.ncbi.nlm.nih.gov/Taxonomy/Browser/wwwtax.cgi?mode=Info&amp;id=254652&amp;lvl=3&amp;lin=f&amp;keep=1&amp;srchmode=1&amp;unlock","Promerops cafer")</f>
        <v>Promerops cafer</v>
      </c>
      <c r="H274" t="s">
        <v>431</v>
      </c>
      <c r="I274" t="str">
        <f>HYPERLINK("http://www.ncbi.nlm.nih.gov/protein/NWX53363.1","ANDR protein")</f>
        <v>ANDR protein</v>
      </c>
      <c r="J274" t="s">
        <v>1323</v>
      </c>
      <c r="K274" t="s">
        <v>20</v>
      </c>
      <c r="L274">
        <v>237</v>
      </c>
      <c r="M274" t="s">
        <v>25</v>
      </c>
      <c r="N274" t="s">
        <v>20</v>
      </c>
      <c r="O274" t="s">
        <v>1352</v>
      </c>
      <c r="P274" t="s">
        <v>20</v>
      </c>
      <c r="Q274">
        <v>132.119</v>
      </c>
      <c r="R274" t="s">
        <v>20</v>
      </c>
      <c r="S274" t="s">
        <v>20</v>
      </c>
      <c r="T274">
        <v>243</v>
      </c>
      <c r="U274" t="s">
        <v>1313</v>
      </c>
      <c r="V274" t="s">
        <v>20</v>
      </c>
      <c r="W274" t="s">
        <v>1352</v>
      </c>
      <c r="X274" t="s">
        <v>20</v>
      </c>
      <c r="Y274">
        <v>146.14599999999999</v>
      </c>
      <c r="Z274" t="s">
        <v>20</v>
      </c>
      <c r="AA274" t="s">
        <v>20</v>
      </c>
      <c r="AB274">
        <v>284</v>
      </c>
      <c r="AC274" t="s">
        <v>1314</v>
      </c>
      <c r="AD274" t="s">
        <v>20</v>
      </c>
      <c r="AE274" t="s">
        <v>1353</v>
      </c>
      <c r="AF274" t="s">
        <v>20</v>
      </c>
      <c r="AG274">
        <v>174.203</v>
      </c>
      <c r="AH274" t="s">
        <v>20</v>
      </c>
      <c r="AI274" t="s">
        <v>20</v>
      </c>
      <c r="AJ274">
        <v>409</v>
      </c>
      <c r="AK274" t="s">
        <v>1315</v>
      </c>
      <c r="AL274" t="s">
        <v>20</v>
      </c>
      <c r="AM274" t="s">
        <v>1354</v>
      </c>
      <c r="AN274" t="s">
        <v>20</v>
      </c>
      <c r="AO274">
        <v>119.119</v>
      </c>
      <c r="AP274" t="s">
        <v>20</v>
      </c>
      <c r="AQ274" t="s">
        <v>20</v>
      </c>
    </row>
    <row r="275" spans="1:43" x14ac:dyDescent="0.25">
      <c r="A275">
        <v>6</v>
      </c>
      <c r="B275" t="s">
        <v>167</v>
      </c>
      <c r="C275" t="str">
        <f>HYPERLINK("http://www.ncbi.nlm.nih.gov/protein/NXS28167.1","NXS28167.1")</f>
        <v>NXS28167.1</v>
      </c>
      <c r="D275">
        <v>13329</v>
      </c>
      <c r="E275" t="str">
        <f>HYPERLINK("http://www.ncbi.nlm.nih.gov/Taxonomy/Browser/wwwtax.cgi?mode=Info&amp;id=9176&amp;lvl=3&amp;lin=f&amp;keep=1&amp;srchmode=1&amp;unlock","9176")</f>
        <v>9176</v>
      </c>
      <c r="F275" t="s">
        <v>167</v>
      </c>
      <c r="G275" t="str">
        <f>HYPERLINK("http://www.ncbi.nlm.nih.gov/Taxonomy/Browser/wwwtax.cgi?mode=Info&amp;id=9176&amp;lvl=3&amp;lin=f&amp;keep=1&amp;srchmode=1&amp;unlock","Pomatostomus ruficeps")</f>
        <v>Pomatostomus ruficeps</v>
      </c>
      <c r="H275" t="s">
        <v>200</v>
      </c>
      <c r="I275" t="str">
        <f>HYPERLINK("http://www.ncbi.nlm.nih.gov/protein/NXS28167.1","ANDR protein")</f>
        <v>ANDR protein</v>
      </c>
      <c r="J275" t="s">
        <v>1323</v>
      </c>
      <c r="K275" t="s">
        <v>20</v>
      </c>
      <c r="L275">
        <v>237</v>
      </c>
      <c r="M275" t="s">
        <v>25</v>
      </c>
      <c r="N275" t="s">
        <v>20</v>
      </c>
      <c r="O275" t="s">
        <v>1352</v>
      </c>
      <c r="P275" t="s">
        <v>20</v>
      </c>
      <c r="Q275">
        <v>132.119</v>
      </c>
      <c r="R275" t="s">
        <v>20</v>
      </c>
      <c r="S275" t="s">
        <v>20</v>
      </c>
      <c r="T275">
        <v>243</v>
      </c>
      <c r="U275" t="s">
        <v>1313</v>
      </c>
      <c r="V275" t="s">
        <v>20</v>
      </c>
      <c r="W275" t="s">
        <v>1352</v>
      </c>
      <c r="X275" t="s">
        <v>20</v>
      </c>
      <c r="Y275">
        <v>146.14599999999999</v>
      </c>
      <c r="Z275" t="s">
        <v>20</v>
      </c>
      <c r="AA275" t="s">
        <v>20</v>
      </c>
      <c r="AB275">
        <v>284</v>
      </c>
      <c r="AC275" t="s">
        <v>1314</v>
      </c>
      <c r="AD275" t="s">
        <v>20</v>
      </c>
      <c r="AE275" t="s">
        <v>1353</v>
      </c>
      <c r="AF275" t="s">
        <v>20</v>
      </c>
      <c r="AG275">
        <v>174.203</v>
      </c>
      <c r="AH275" t="s">
        <v>20</v>
      </c>
      <c r="AI275" t="s">
        <v>20</v>
      </c>
      <c r="AJ275">
        <v>409</v>
      </c>
      <c r="AK275" t="s">
        <v>1315</v>
      </c>
      <c r="AL275" t="s">
        <v>20</v>
      </c>
      <c r="AM275" t="s">
        <v>1354</v>
      </c>
      <c r="AN275" t="s">
        <v>20</v>
      </c>
      <c r="AO275">
        <v>119.119</v>
      </c>
      <c r="AP275" t="s">
        <v>20</v>
      </c>
      <c r="AQ275" t="s">
        <v>20</v>
      </c>
    </row>
    <row r="276" spans="1:43" x14ac:dyDescent="0.25">
      <c r="A276">
        <v>6</v>
      </c>
      <c r="B276" t="s">
        <v>167</v>
      </c>
      <c r="C276" t="str">
        <f>HYPERLINK("http://www.ncbi.nlm.nih.gov/protein/KAF4792979.1","KAF4792979.1")</f>
        <v>KAF4792979.1</v>
      </c>
      <c r="D276">
        <v>18372</v>
      </c>
      <c r="E276" t="str">
        <f>HYPERLINK("http://www.ncbi.nlm.nih.gov/Taxonomy/Browser/wwwtax.cgi?mode=Info&amp;id=311356&amp;lvl=3&amp;lin=f&amp;keep=1&amp;srchmode=1&amp;unlock","311356")</f>
        <v>311356</v>
      </c>
      <c r="F276" t="s">
        <v>167</v>
      </c>
      <c r="G276" t="str">
        <f>HYPERLINK("http://www.ncbi.nlm.nih.gov/Taxonomy/Browser/wwwtax.cgi?mode=Info&amp;id=311356&amp;lvl=3&amp;lin=f&amp;keep=1&amp;srchmode=1&amp;unlock","Turdus rufiventris")</f>
        <v>Turdus rufiventris</v>
      </c>
      <c r="H276" t="s">
        <v>668</v>
      </c>
      <c r="I276" t="str">
        <f>HYPERLINK("http://www.ncbi.nlm.nih.gov/protein/KAF4792979.1","androgen receptor")</f>
        <v>androgen receptor</v>
      </c>
      <c r="J276" t="s">
        <v>1323</v>
      </c>
      <c r="K276" t="s">
        <v>20</v>
      </c>
      <c r="L276">
        <v>362</v>
      </c>
      <c r="M276" t="s">
        <v>25</v>
      </c>
      <c r="N276" t="s">
        <v>20</v>
      </c>
      <c r="O276" t="s">
        <v>1352</v>
      </c>
      <c r="P276" t="s">
        <v>20</v>
      </c>
      <c r="Q276">
        <v>132.119</v>
      </c>
      <c r="R276" t="s">
        <v>20</v>
      </c>
      <c r="S276" t="s">
        <v>20</v>
      </c>
      <c r="T276">
        <v>368</v>
      </c>
      <c r="U276" t="s">
        <v>1313</v>
      </c>
      <c r="V276" t="s">
        <v>20</v>
      </c>
      <c r="W276" t="s">
        <v>1352</v>
      </c>
      <c r="X276" t="s">
        <v>20</v>
      </c>
      <c r="Y276">
        <v>146.14599999999999</v>
      </c>
      <c r="Z276" t="s">
        <v>20</v>
      </c>
      <c r="AA276" t="s">
        <v>20</v>
      </c>
      <c r="AB276">
        <v>409</v>
      </c>
      <c r="AC276" t="s">
        <v>1314</v>
      </c>
      <c r="AD276" t="s">
        <v>20</v>
      </c>
      <c r="AE276" t="s">
        <v>1353</v>
      </c>
      <c r="AF276" t="s">
        <v>20</v>
      </c>
      <c r="AG276">
        <v>174.203</v>
      </c>
      <c r="AH276" t="s">
        <v>20</v>
      </c>
      <c r="AI276" t="s">
        <v>20</v>
      </c>
      <c r="AJ276">
        <v>534</v>
      </c>
      <c r="AK276" t="s">
        <v>1315</v>
      </c>
      <c r="AL276" t="s">
        <v>20</v>
      </c>
      <c r="AM276" t="s">
        <v>1354</v>
      </c>
      <c r="AN276" t="s">
        <v>20</v>
      </c>
      <c r="AO276">
        <v>119.119</v>
      </c>
      <c r="AP276" t="s">
        <v>20</v>
      </c>
      <c r="AQ276" t="s">
        <v>20</v>
      </c>
    </row>
    <row r="277" spans="1:43" x14ac:dyDescent="0.25">
      <c r="A277">
        <v>6</v>
      </c>
      <c r="B277" t="s">
        <v>167</v>
      </c>
      <c r="C277" t="str">
        <f>HYPERLINK("http://www.ncbi.nlm.nih.gov/protein/XP_021404098.1","XP_021404098.1")</f>
        <v>XP_021404098.1</v>
      </c>
      <c r="D277">
        <v>43851</v>
      </c>
      <c r="E277" t="str">
        <f>HYPERLINK("http://www.ncbi.nlm.nih.gov/Taxonomy/Browser/wwwtax.cgi?mode=Info&amp;id=299123&amp;lvl=3&amp;lin=f&amp;keep=1&amp;srchmode=1&amp;unlock","299123")</f>
        <v>299123</v>
      </c>
      <c r="F277" t="s">
        <v>167</v>
      </c>
      <c r="G277" t="str">
        <f>HYPERLINK("http://www.ncbi.nlm.nih.gov/Taxonomy/Browser/wwwtax.cgi?mode=Info&amp;id=299123&amp;lvl=3&amp;lin=f&amp;keep=1&amp;srchmode=1&amp;unlock","Lonchura striata domestica")</f>
        <v>Lonchura striata domestica</v>
      </c>
      <c r="H277" t="s">
        <v>447</v>
      </c>
      <c r="I277" t="str">
        <f>HYPERLINK("http://www.ncbi.nlm.nih.gov/protein/XP_021404098.1","androgen receptor")</f>
        <v>androgen receptor</v>
      </c>
      <c r="J277" t="s">
        <v>1323</v>
      </c>
      <c r="K277" t="s">
        <v>20</v>
      </c>
      <c r="L277">
        <v>470</v>
      </c>
      <c r="M277" t="s">
        <v>25</v>
      </c>
      <c r="N277" t="s">
        <v>20</v>
      </c>
      <c r="O277" t="s">
        <v>1352</v>
      </c>
      <c r="P277" t="s">
        <v>20</v>
      </c>
      <c r="Q277">
        <v>132.119</v>
      </c>
      <c r="R277" t="s">
        <v>20</v>
      </c>
      <c r="S277" t="s">
        <v>20</v>
      </c>
      <c r="T277">
        <v>476</v>
      </c>
      <c r="U277" t="s">
        <v>1313</v>
      </c>
      <c r="V277" t="s">
        <v>20</v>
      </c>
      <c r="W277" t="s">
        <v>1352</v>
      </c>
      <c r="X277" t="s">
        <v>20</v>
      </c>
      <c r="Y277">
        <v>146.14599999999999</v>
      </c>
      <c r="Z277" t="s">
        <v>20</v>
      </c>
      <c r="AA277" t="s">
        <v>20</v>
      </c>
      <c r="AB277">
        <v>517</v>
      </c>
      <c r="AC277" t="s">
        <v>1314</v>
      </c>
      <c r="AD277" t="s">
        <v>20</v>
      </c>
      <c r="AE277" t="s">
        <v>1353</v>
      </c>
      <c r="AF277" t="s">
        <v>20</v>
      </c>
      <c r="AG277">
        <v>174.203</v>
      </c>
      <c r="AH277" t="s">
        <v>20</v>
      </c>
      <c r="AI277" t="s">
        <v>20</v>
      </c>
      <c r="AJ277">
        <v>642</v>
      </c>
      <c r="AK277" t="s">
        <v>1315</v>
      </c>
      <c r="AL277" t="s">
        <v>20</v>
      </c>
      <c r="AM277" t="s">
        <v>1354</v>
      </c>
      <c r="AN277" t="s">
        <v>20</v>
      </c>
      <c r="AO277">
        <v>119.119</v>
      </c>
      <c r="AP277" t="s">
        <v>20</v>
      </c>
      <c r="AQ277" t="s">
        <v>20</v>
      </c>
    </row>
    <row r="278" spans="1:43" x14ac:dyDescent="0.25">
      <c r="A278">
        <v>6</v>
      </c>
      <c r="B278" t="s">
        <v>167</v>
      </c>
      <c r="C278" t="str">
        <f>HYPERLINK("http://www.ncbi.nlm.nih.gov/protein/NXL81394.1","NXL81394.1")</f>
        <v>NXL81394.1</v>
      </c>
      <c r="D278">
        <v>13740</v>
      </c>
      <c r="E278" t="str">
        <f>HYPERLINK("http://www.ncbi.nlm.nih.gov/Taxonomy/Browser/wwwtax.cgi?mode=Info&amp;id=2585812&amp;lvl=3&amp;lin=f&amp;keep=1&amp;srchmode=1&amp;unlock","2585812")</f>
        <v>2585812</v>
      </c>
      <c r="F278" t="s">
        <v>167</v>
      </c>
      <c r="G278" t="str">
        <f>HYPERLINK("http://www.ncbi.nlm.nih.gov/Taxonomy/Browser/wwwtax.cgi?mode=Info&amp;id=2585812&amp;lvl=3&amp;lin=f&amp;keep=1&amp;srchmode=1&amp;unlock","Leptocoma aspasia")</f>
        <v>Leptocoma aspasia</v>
      </c>
      <c r="H278" t="s">
        <v>206</v>
      </c>
      <c r="I278" t="str">
        <f>HYPERLINK("http://www.ncbi.nlm.nih.gov/protein/NXL81394.1","ANDR protein")</f>
        <v>ANDR protein</v>
      </c>
      <c r="J278" t="s">
        <v>1323</v>
      </c>
      <c r="K278" t="s">
        <v>20</v>
      </c>
      <c r="L278">
        <v>237</v>
      </c>
      <c r="M278" t="s">
        <v>25</v>
      </c>
      <c r="N278" t="s">
        <v>20</v>
      </c>
      <c r="O278" t="s">
        <v>1352</v>
      </c>
      <c r="P278" t="s">
        <v>20</v>
      </c>
      <c r="Q278">
        <v>132.119</v>
      </c>
      <c r="R278" t="s">
        <v>20</v>
      </c>
      <c r="S278" t="s">
        <v>20</v>
      </c>
      <c r="T278">
        <v>243</v>
      </c>
      <c r="U278" t="s">
        <v>1313</v>
      </c>
      <c r="V278" t="s">
        <v>20</v>
      </c>
      <c r="W278" t="s">
        <v>1352</v>
      </c>
      <c r="X278" t="s">
        <v>20</v>
      </c>
      <c r="Y278">
        <v>146.14599999999999</v>
      </c>
      <c r="Z278" t="s">
        <v>20</v>
      </c>
      <c r="AA278" t="s">
        <v>20</v>
      </c>
      <c r="AB278">
        <v>284</v>
      </c>
      <c r="AC278" t="s">
        <v>1314</v>
      </c>
      <c r="AD278" t="s">
        <v>20</v>
      </c>
      <c r="AE278" t="s">
        <v>1353</v>
      </c>
      <c r="AF278" t="s">
        <v>20</v>
      </c>
      <c r="AG278">
        <v>174.203</v>
      </c>
      <c r="AH278" t="s">
        <v>20</v>
      </c>
      <c r="AI278" t="s">
        <v>20</v>
      </c>
      <c r="AJ278">
        <v>409</v>
      </c>
      <c r="AK278" t="s">
        <v>1315</v>
      </c>
      <c r="AL278" t="s">
        <v>20</v>
      </c>
      <c r="AM278" t="s">
        <v>1354</v>
      </c>
      <c r="AN278" t="s">
        <v>20</v>
      </c>
      <c r="AO278">
        <v>119.119</v>
      </c>
      <c r="AP278" t="s">
        <v>20</v>
      </c>
      <c r="AQ278" t="s">
        <v>20</v>
      </c>
    </row>
    <row r="279" spans="1:43" x14ac:dyDescent="0.25">
      <c r="A279">
        <v>6</v>
      </c>
      <c r="B279" t="s">
        <v>167</v>
      </c>
      <c r="C279" t="str">
        <f>HYPERLINK("http://www.ncbi.nlm.nih.gov/protein/NXO37548.1","NXO37548.1")</f>
        <v>NXO37548.1</v>
      </c>
      <c r="D279">
        <v>13974</v>
      </c>
      <c r="E279" t="str">
        <f>HYPERLINK("http://www.ncbi.nlm.nih.gov/Taxonomy/Browser/wwwtax.cgi?mode=Info&amp;id=187437&amp;lvl=3&amp;lin=f&amp;keep=1&amp;srchmode=1&amp;unlock","187437")</f>
        <v>187437</v>
      </c>
      <c r="F279" t="s">
        <v>167</v>
      </c>
      <c r="G279" t="str">
        <f>HYPERLINK("http://www.ncbi.nlm.nih.gov/Taxonomy/Browser/wwwtax.cgi?mode=Info&amp;id=187437&amp;lvl=3&amp;lin=f&amp;keep=1&amp;srchmode=1&amp;unlock","Locustella ochotensis")</f>
        <v>Locustella ochotensis</v>
      </c>
      <c r="H279" t="s">
        <v>402</v>
      </c>
      <c r="I279" t="str">
        <f>HYPERLINK("http://www.ncbi.nlm.nih.gov/protein/NXO37548.1","ANDR protein")</f>
        <v>ANDR protein</v>
      </c>
      <c r="J279" t="s">
        <v>1323</v>
      </c>
      <c r="K279" t="s">
        <v>20</v>
      </c>
      <c r="L279">
        <v>234</v>
      </c>
      <c r="M279" t="s">
        <v>25</v>
      </c>
      <c r="N279" t="s">
        <v>20</v>
      </c>
      <c r="O279" t="s">
        <v>1352</v>
      </c>
      <c r="P279" t="s">
        <v>20</v>
      </c>
      <c r="Q279">
        <v>132.119</v>
      </c>
      <c r="R279" t="s">
        <v>20</v>
      </c>
      <c r="S279" t="s">
        <v>20</v>
      </c>
      <c r="T279">
        <v>240</v>
      </c>
      <c r="U279" t="s">
        <v>1313</v>
      </c>
      <c r="V279" t="s">
        <v>20</v>
      </c>
      <c r="W279" t="s">
        <v>1352</v>
      </c>
      <c r="X279" t="s">
        <v>20</v>
      </c>
      <c r="Y279">
        <v>146.14599999999999</v>
      </c>
      <c r="Z279" t="s">
        <v>20</v>
      </c>
      <c r="AA279" t="s">
        <v>20</v>
      </c>
      <c r="AB279">
        <v>281</v>
      </c>
      <c r="AC279" t="s">
        <v>1314</v>
      </c>
      <c r="AD279" t="s">
        <v>20</v>
      </c>
      <c r="AE279" t="s">
        <v>1353</v>
      </c>
      <c r="AF279" t="s">
        <v>20</v>
      </c>
      <c r="AG279">
        <v>174.203</v>
      </c>
      <c r="AH279" t="s">
        <v>20</v>
      </c>
      <c r="AI279" t="s">
        <v>20</v>
      </c>
      <c r="AJ279">
        <v>406</v>
      </c>
      <c r="AK279" t="s">
        <v>1315</v>
      </c>
      <c r="AL279" t="s">
        <v>20</v>
      </c>
      <c r="AM279" t="s">
        <v>1354</v>
      </c>
      <c r="AN279" t="s">
        <v>20</v>
      </c>
      <c r="AO279">
        <v>119.119</v>
      </c>
      <c r="AP279" t="s">
        <v>20</v>
      </c>
      <c r="AQ279" t="s">
        <v>20</v>
      </c>
    </row>
    <row r="280" spans="1:43" x14ac:dyDescent="0.25">
      <c r="A280">
        <v>6</v>
      </c>
      <c r="B280" t="s">
        <v>167</v>
      </c>
      <c r="C280" t="str">
        <f>HYPERLINK("http://www.ncbi.nlm.nih.gov/protein/NXO76010.1","NXO76010.1")</f>
        <v>NXO76010.1</v>
      </c>
      <c r="D280">
        <v>13766</v>
      </c>
      <c r="E280" t="str">
        <f>HYPERLINK("http://www.ncbi.nlm.nih.gov/Taxonomy/Browser/wwwtax.cgi?mode=Info&amp;id=50251&amp;lvl=3&amp;lin=f&amp;keep=1&amp;srchmode=1&amp;unlock","50251")</f>
        <v>50251</v>
      </c>
      <c r="F280" t="s">
        <v>167</v>
      </c>
      <c r="G280" t="str">
        <f>HYPERLINK("http://www.ncbi.nlm.nih.gov/Taxonomy/Browser/wwwtax.cgi?mode=Info&amp;id=50251&amp;lvl=3&amp;lin=f&amp;keep=1&amp;srchmode=1&amp;unlock","Sitta europaea")</f>
        <v>Sitta europaea</v>
      </c>
      <c r="H280" t="s">
        <v>379</v>
      </c>
      <c r="I280" t="str">
        <f>HYPERLINK("http://www.ncbi.nlm.nih.gov/protein/NXO76010.1","ANDR protein")</f>
        <v>ANDR protein</v>
      </c>
      <c r="J280" t="s">
        <v>1323</v>
      </c>
      <c r="K280" t="s">
        <v>20</v>
      </c>
      <c r="L280">
        <v>235</v>
      </c>
      <c r="M280" t="s">
        <v>25</v>
      </c>
      <c r="N280" t="s">
        <v>20</v>
      </c>
      <c r="O280" t="s">
        <v>1352</v>
      </c>
      <c r="P280" t="s">
        <v>20</v>
      </c>
      <c r="Q280">
        <v>132.119</v>
      </c>
      <c r="R280" t="s">
        <v>20</v>
      </c>
      <c r="S280" t="s">
        <v>20</v>
      </c>
      <c r="T280">
        <v>241</v>
      </c>
      <c r="U280" t="s">
        <v>1313</v>
      </c>
      <c r="V280" t="s">
        <v>20</v>
      </c>
      <c r="W280" t="s">
        <v>1352</v>
      </c>
      <c r="X280" t="s">
        <v>20</v>
      </c>
      <c r="Y280">
        <v>146.14599999999999</v>
      </c>
      <c r="Z280" t="s">
        <v>20</v>
      </c>
      <c r="AA280" t="s">
        <v>20</v>
      </c>
      <c r="AB280">
        <v>282</v>
      </c>
      <c r="AC280" t="s">
        <v>1314</v>
      </c>
      <c r="AD280" t="s">
        <v>20</v>
      </c>
      <c r="AE280" t="s">
        <v>1353</v>
      </c>
      <c r="AF280" t="s">
        <v>20</v>
      </c>
      <c r="AG280">
        <v>174.203</v>
      </c>
      <c r="AH280" t="s">
        <v>20</v>
      </c>
      <c r="AI280" t="s">
        <v>20</v>
      </c>
      <c r="AJ280">
        <v>407</v>
      </c>
      <c r="AK280" t="s">
        <v>1315</v>
      </c>
      <c r="AL280" t="s">
        <v>20</v>
      </c>
      <c r="AM280" t="s">
        <v>1354</v>
      </c>
      <c r="AN280" t="s">
        <v>20</v>
      </c>
      <c r="AO280">
        <v>119.119</v>
      </c>
      <c r="AP280" t="s">
        <v>20</v>
      </c>
      <c r="AQ280" t="s">
        <v>20</v>
      </c>
    </row>
    <row r="281" spans="1:43" x14ac:dyDescent="0.25">
      <c r="A281">
        <v>6</v>
      </c>
      <c r="B281" t="s">
        <v>167</v>
      </c>
      <c r="C281" t="str">
        <f>HYPERLINK("http://www.ncbi.nlm.nih.gov/protein/NWU01087.1","NWU01087.1")</f>
        <v>NWU01087.1</v>
      </c>
      <c r="D281">
        <v>13723</v>
      </c>
      <c r="E281" t="str">
        <f>HYPERLINK("http://www.ncbi.nlm.nih.gov/Taxonomy/Browser/wwwtax.cgi?mode=Info&amp;id=571890&amp;lvl=3&amp;lin=f&amp;keep=1&amp;srchmode=1&amp;unlock","571890")</f>
        <v>571890</v>
      </c>
      <c r="F281" t="s">
        <v>167</v>
      </c>
      <c r="G281" t="str">
        <f>HYPERLINK("http://www.ncbi.nlm.nih.gov/Taxonomy/Browser/wwwtax.cgi?mode=Info&amp;id=571890&amp;lvl=3&amp;lin=f&amp;keep=1&amp;srchmode=1&amp;unlock","Urocynchramus pylzowi")</f>
        <v>Urocynchramus pylzowi</v>
      </c>
      <c r="H281" t="s">
        <v>206</v>
      </c>
      <c r="I281" t="str">
        <f>HYPERLINK("http://www.ncbi.nlm.nih.gov/protein/NWU01087.1","ANDR protein")</f>
        <v>ANDR protein</v>
      </c>
      <c r="J281" t="s">
        <v>1323</v>
      </c>
      <c r="K281" t="s">
        <v>20</v>
      </c>
      <c r="L281">
        <v>237</v>
      </c>
      <c r="M281" t="s">
        <v>25</v>
      </c>
      <c r="N281" t="s">
        <v>20</v>
      </c>
      <c r="O281" t="s">
        <v>1352</v>
      </c>
      <c r="P281" t="s">
        <v>20</v>
      </c>
      <c r="Q281">
        <v>132.119</v>
      </c>
      <c r="R281" t="s">
        <v>20</v>
      </c>
      <c r="S281" t="s">
        <v>20</v>
      </c>
      <c r="T281">
        <v>243</v>
      </c>
      <c r="U281" t="s">
        <v>1313</v>
      </c>
      <c r="V281" t="s">
        <v>20</v>
      </c>
      <c r="W281" t="s">
        <v>1352</v>
      </c>
      <c r="X281" t="s">
        <v>20</v>
      </c>
      <c r="Y281">
        <v>146.14599999999999</v>
      </c>
      <c r="Z281" t="s">
        <v>20</v>
      </c>
      <c r="AA281" t="s">
        <v>20</v>
      </c>
      <c r="AB281">
        <v>284</v>
      </c>
      <c r="AC281" t="s">
        <v>1314</v>
      </c>
      <c r="AD281" t="s">
        <v>20</v>
      </c>
      <c r="AE281" t="s">
        <v>1353</v>
      </c>
      <c r="AF281" t="s">
        <v>20</v>
      </c>
      <c r="AG281">
        <v>174.203</v>
      </c>
      <c r="AH281" t="s">
        <v>20</v>
      </c>
      <c r="AI281" t="s">
        <v>20</v>
      </c>
      <c r="AJ281">
        <v>409</v>
      </c>
      <c r="AK281" t="s">
        <v>1315</v>
      </c>
      <c r="AL281" t="s">
        <v>20</v>
      </c>
      <c r="AM281" t="s">
        <v>1354</v>
      </c>
      <c r="AN281" t="s">
        <v>20</v>
      </c>
      <c r="AO281">
        <v>119.119</v>
      </c>
      <c r="AP281" t="s">
        <v>20</v>
      </c>
      <c r="AQ281" t="s">
        <v>20</v>
      </c>
    </row>
    <row r="282" spans="1:43" x14ac:dyDescent="0.25">
      <c r="A282">
        <v>6</v>
      </c>
      <c r="B282" t="s">
        <v>167</v>
      </c>
      <c r="C282" t="str">
        <f>HYPERLINK("http://www.ncbi.nlm.nih.gov/protein/NXM82885.1","NXM82885.1")</f>
        <v>NXM82885.1</v>
      </c>
      <c r="D282">
        <v>13842</v>
      </c>
      <c r="E282" t="str">
        <f>HYPERLINK("http://www.ncbi.nlm.nih.gov/Taxonomy/Browser/wwwtax.cgi?mode=Info&amp;id=279966&amp;lvl=3&amp;lin=f&amp;keep=1&amp;srchmode=1&amp;unlock","279966")</f>
        <v>279966</v>
      </c>
      <c r="F282" t="s">
        <v>167</v>
      </c>
      <c r="G282" t="str">
        <f>HYPERLINK("http://www.ncbi.nlm.nih.gov/Taxonomy/Browser/wwwtax.cgi?mode=Info&amp;id=279966&amp;lvl=3&amp;lin=f&amp;keep=1&amp;srchmode=1&amp;unlock","Oenanthe oenanthe")</f>
        <v>Oenanthe oenanthe</v>
      </c>
      <c r="H282" t="s">
        <v>413</v>
      </c>
      <c r="I282" t="str">
        <f>HYPERLINK("http://www.ncbi.nlm.nih.gov/protein/NXM82885.1","ANDR protein")</f>
        <v>ANDR protein</v>
      </c>
      <c r="J282" t="s">
        <v>1323</v>
      </c>
      <c r="K282" t="s">
        <v>20</v>
      </c>
      <c r="L282">
        <v>237</v>
      </c>
      <c r="M282" t="s">
        <v>25</v>
      </c>
      <c r="N282" t="s">
        <v>20</v>
      </c>
      <c r="O282" t="s">
        <v>1352</v>
      </c>
      <c r="P282" t="s">
        <v>20</v>
      </c>
      <c r="Q282">
        <v>132.119</v>
      </c>
      <c r="R282" t="s">
        <v>20</v>
      </c>
      <c r="S282" t="s">
        <v>20</v>
      </c>
      <c r="T282">
        <v>243</v>
      </c>
      <c r="U282" t="s">
        <v>1313</v>
      </c>
      <c r="V282" t="s">
        <v>20</v>
      </c>
      <c r="W282" t="s">
        <v>1352</v>
      </c>
      <c r="X282" t="s">
        <v>20</v>
      </c>
      <c r="Y282">
        <v>146.14599999999999</v>
      </c>
      <c r="Z282" t="s">
        <v>20</v>
      </c>
      <c r="AA282" t="s">
        <v>20</v>
      </c>
      <c r="AB282">
        <v>284</v>
      </c>
      <c r="AC282" t="s">
        <v>1314</v>
      </c>
      <c r="AD282" t="s">
        <v>20</v>
      </c>
      <c r="AE282" t="s">
        <v>1353</v>
      </c>
      <c r="AF282" t="s">
        <v>20</v>
      </c>
      <c r="AG282">
        <v>174.203</v>
      </c>
      <c r="AH282" t="s">
        <v>20</v>
      </c>
      <c r="AI282" t="s">
        <v>20</v>
      </c>
      <c r="AJ282">
        <v>409</v>
      </c>
      <c r="AK282" t="s">
        <v>1315</v>
      </c>
      <c r="AL282" t="s">
        <v>20</v>
      </c>
      <c r="AM282" t="s">
        <v>1354</v>
      </c>
      <c r="AN282" t="s">
        <v>20</v>
      </c>
      <c r="AO282">
        <v>119.119</v>
      </c>
      <c r="AP282" t="s">
        <v>20</v>
      </c>
      <c r="AQ282" t="s">
        <v>20</v>
      </c>
    </row>
    <row r="283" spans="1:43" x14ac:dyDescent="0.25">
      <c r="A283">
        <v>6</v>
      </c>
      <c r="B283" t="s">
        <v>167</v>
      </c>
      <c r="C283" t="str">
        <f>HYPERLINK("http://www.ncbi.nlm.nih.gov/protein/NXA79335.1","NXA79335.1")</f>
        <v>NXA79335.1</v>
      </c>
      <c r="D283">
        <v>13718</v>
      </c>
      <c r="E283" t="str">
        <f>HYPERLINK("http://www.ncbi.nlm.nih.gov/Taxonomy/Browser/wwwtax.cgi?mode=Info&amp;id=74200&amp;lvl=3&amp;lin=f&amp;keep=1&amp;srchmode=1&amp;unlock","74200")</f>
        <v>74200</v>
      </c>
      <c r="F283" t="s">
        <v>167</v>
      </c>
      <c r="G283" t="str">
        <f>HYPERLINK("http://www.ncbi.nlm.nih.gov/Taxonomy/Browser/wwwtax.cgi?mode=Info&amp;id=74200&amp;lvl=3&amp;lin=f&amp;keep=1&amp;srchmode=1&amp;unlock","Thryothorus ludovicianus")</f>
        <v>Thryothorus ludovicianus</v>
      </c>
      <c r="H283" t="s">
        <v>487</v>
      </c>
      <c r="I283" t="str">
        <f>HYPERLINK("http://www.ncbi.nlm.nih.gov/protein/NXA79335.1","ANDR protein")</f>
        <v>ANDR protein</v>
      </c>
      <c r="J283" t="s">
        <v>1323</v>
      </c>
      <c r="K283" t="s">
        <v>20</v>
      </c>
      <c r="L283">
        <v>232</v>
      </c>
      <c r="M283" t="s">
        <v>25</v>
      </c>
      <c r="N283" t="s">
        <v>20</v>
      </c>
      <c r="O283" t="s">
        <v>1352</v>
      </c>
      <c r="P283" t="s">
        <v>20</v>
      </c>
      <c r="Q283">
        <v>132.119</v>
      </c>
      <c r="R283" t="s">
        <v>20</v>
      </c>
      <c r="S283" t="s">
        <v>20</v>
      </c>
      <c r="T283">
        <v>238</v>
      </c>
      <c r="U283" t="s">
        <v>1313</v>
      </c>
      <c r="V283" t="s">
        <v>20</v>
      </c>
      <c r="W283" t="s">
        <v>1352</v>
      </c>
      <c r="X283" t="s">
        <v>20</v>
      </c>
      <c r="Y283">
        <v>146.14599999999999</v>
      </c>
      <c r="Z283" t="s">
        <v>20</v>
      </c>
      <c r="AA283" t="s">
        <v>20</v>
      </c>
      <c r="AB283">
        <v>279</v>
      </c>
      <c r="AC283" t="s">
        <v>1314</v>
      </c>
      <c r="AD283" t="s">
        <v>20</v>
      </c>
      <c r="AE283" t="s">
        <v>1353</v>
      </c>
      <c r="AF283" t="s">
        <v>20</v>
      </c>
      <c r="AG283">
        <v>174.203</v>
      </c>
      <c r="AH283" t="s">
        <v>20</v>
      </c>
      <c r="AI283" t="s">
        <v>20</v>
      </c>
      <c r="AJ283">
        <v>404</v>
      </c>
      <c r="AK283" t="s">
        <v>1315</v>
      </c>
      <c r="AL283" t="s">
        <v>20</v>
      </c>
      <c r="AM283" t="s">
        <v>1354</v>
      </c>
      <c r="AN283" t="s">
        <v>20</v>
      </c>
      <c r="AO283">
        <v>119.119</v>
      </c>
      <c r="AP283" t="s">
        <v>20</v>
      </c>
      <c r="AQ283" t="s">
        <v>20</v>
      </c>
    </row>
    <row r="284" spans="1:43" x14ac:dyDescent="0.25">
      <c r="A284">
        <v>6</v>
      </c>
      <c r="B284" t="s">
        <v>167</v>
      </c>
      <c r="C284" t="str">
        <f>HYPERLINK("http://www.ncbi.nlm.nih.gov/protein/NXO94999.1","NXO94999.1")</f>
        <v>NXO94999.1</v>
      </c>
      <c r="D284">
        <v>13923</v>
      </c>
      <c r="E284" t="str">
        <f>HYPERLINK("http://www.ncbi.nlm.nih.gov/Taxonomy/Browser/wwwtax.cgi?mode=Info&amp;id=73330&amp;lvl=3&amp;lin=f&amp;keep=1&amp;srchmode=1&amp;unlock","73330")</f>
        <v>73330</v>
      </c>
      <c r="F284" t="s">
        <v>167</v>
      </c>
      <c r="G284" t="str">
        <f>HYPERLINK("http://www.ncbi.nlm.nih.gov/Taxonomy/Browser/wwwtax.cgi?mode=Info&amp;id=73330&amp;lvl=3&amp;lin=f&amp;keep=1&amp;srchmode=1&amp;unlock","Certhia brachydactyla")</f>
        <v>Certhia brachydactyla</v>
      </c>
      <c r="H284" t="s">
        <v>471</v>
      </c>
      <c r="I284" t="str">
        <f>HYPERLINK("http://www.ncbi.nlm.nih.gov/protein/NXO94999.1","ANDR protein")</f>
        <v>ANDR protein</v>
      </c>
      <c r="J284" t="s">
        <v>1323</v>
      </c>
      <c r="K284" t="s">
        <v>20</v>
      </c>
      <c r="L284">
        <v>237</v>
      </c>
      <c r="M284" t="s">
        <v>25</v>
      </c>
      <c r="N284" t="s">
        <v>20</v>
      </c>
      <c r="O284" t="s">
        <v>1352</v>
      </c>
      <c r="P284" t="s">
        <v>20</v>
      </c>
      <c r="Q284">
        <v>132.119</v>
      </c>
      <c r="R284" t="s">
        <v>20</v>
      </c>
      <c r="S284" t="s">
        <v>20</v>
      </c>
      <c r="T284">
        <v>243</v>
      </c>
      <c r="U284" t="s">
        <v>1313</v>
      </c>
      <c r="V284" t="s">
        <v>20</v>
      </c>
      <c r="W284" t="s">
        <v>1352</v>
      </c>
      <c r="X284" t="s">
        <v>20</v>
      </c>
      <c r="Y284">
        <v>146.14599999999999</v>
      </c>
      <c r="Z284" t="s">
        <v>20</v>
      </c>
      <c r="AA284" t="s">
        <v>20</v>
      </c>
      <c r="AB284">
        <v>284</v>
      </c>
      <c r="AC284" t="s">
        <v>1314</v>
      </c>
      <c r="AD284" t="s">
        <v>20</v>
      </c>
      <c r="AE284" t="s">
        <v>1353</v>
      </c>
      <c r="AF284" t="s">
        <v>20</v>
      </c>
      <c r="AG284">
        <v>174.203</v>
      </c>
      <c r="AH284" t="s">
        <v>20</v>
      </c>
      <c r="AI284" t="s">
        <v>20</v>
      </c>
      <c r="AJ284">
        <v>409</v>
      </c>
      <c r="AK284" t="s">
        <v>1315</v>
      </c>
      <c r="AL284" t="s">
        <v>20</v>
      </c>
      <c r="AM284" t="s">
        <v>1354</v>
      </c>
      <c r="AN284" t="s">
        <v>20</v>
      </c>
      <c r="AO284">
        <v>119.119</v>
      </c>
      <c r="AP284" t="s">
        <v>20</v>
      </c>
      <c r="AQ284" t="s">
        <v>20</v>
      </c>
    </row>
    <row r="285" spans="1:43" x14ac:dyDescent="0.25">
      <c r="A285">
        <v>6</v>
      </c>
      <c r="B285" t="s">
        <v>167</v>
      </c>
      <c r="C285" t="str">
        <f>HYPERLINK("http://www.ncbi.nlm.nih.gov/protein/NWU10266.1","NWU10266.1")</f>
        <v>NWU10266.1</v>
      </c>
      <c r="D285">
        <v>13939</v>
      </c>
      <c r="E285" t="str">
        <f>HYPERLINK("http://www.ncbi.nlm.nih.gov/Taxonomy/Browser/wwwtax.cgi?mode=Info&amp;id=114276&amp;lvl=3&amp;lin=f&amp;keep=1&amp;srchmode=1&amp;unlock","114276")</f>
        <v>114276</v>
      </c>
      <c r="F285" t="s">
        <v>167</v>
      </c>
      <c r="G285" t="str">
        <f>HYPERLINK("http://www.ncbi.nlm.nih.gov/Taxonomy/Browser/wwwtax.cgi?mode=Info&amp;id=114276&amp;lvl=3&amp;lin=f&amp;keep=1&amp;srchmode=1&amp;unlock","Cephalopterus ornatus")</f>
        <v>Cephalopterus ornatus</v>
      </c>
      <c r="H285" t="s">
        <v>346</v>
      </c>
      <c r="I285" t="str">
        <f>HYPERLINK("http://www.ncbi.nlm.nih.gov/protein/NWU10266.1","ANDR protein")</f>
        <v>ANDR protein</v>
      </c>
      <c r="J285" t="s">
        <v>1323</v>
      </c>
      <c r="K285" t="s">
        <v>20</v>
      </c>
      <c r="L285">
        <v>231</v>
      </c>
      <c r="M285" t="s">
        <v>25</v>
      </c>
      <c r="N285" t="s">
        <v>20</v>
      </c>
      <c r="O285" t="s">
        <v>1352</v>
      </c>
      <c r="P285" t="s">
        <v>20</v>
      </c>
      <c r="Q285">
        <v>132.119</v>
      </c>
      <c r="R285" t="s">
        <v>20</v>
      </c>
      <c r="S285" t="s">
        <v>20</v>
      </c>
      <c r="T285">
        <v>237</v>
      </c>
      <c r="U285" t="s">
        <v>1313</v>
      </c>
      <c r="V285" t="s">
        <v>20</v>
      </c>
      <c r="W285" t="s">
        <v>1352</v>
      </c>
      <c r="X285" t="s">
        <v>20</v>
      </c>
      <c r="Y285">
        <v>146.14599999999999</v>
      </c>
      <c r="Z285" t="s">
        <v>20</v>
      </c>
      <c r="AA285" t="s">
        <v>20</v>
      </c>
      <c r="AB285">
        <v>278</v>
      </c>
      <c r="AC285" t="s">
        <v>1314</v>
      </c>
      <c r="AD285" t="s">
        <v>20</v>
      </c>
      <c r="AE285" t="s">
        <v>1353</v>
      </c>
      <c r="AF285" t="s">
        <v>20</v>
      </c>
      <c r="AG285">
        <v>174.203</v>
      </c>
      <c r="AH285" t="s">
        <v>20</v>
      </c>
      <c r="AI285" t="s">
        <v>20</v>
      </c>
      <c r="AJ285">
        <v>403</v>
      </c>
      <c r="AK285" t="s">
        <v>1315</v>
      </c>
      <c r="AL285" t="s">
        <v>20</v>
      </c>
      <c r="AM285" t="s">
        <v>1354</v>
      </c>
      <c r="AN285" t="s">
        <v>20</v>
      </c>
      <c r="AO285">
        <v>119.119</v>
      </c>
      <c r="AP285" t="s">
        <v>20</v>
      </c>
      <c r="AQ285" t="s">
        <v>20</v>
      </c>
    </row>
    <row r="286" spans="1:43" x14ac:dyDescent="0.25">
      <c r="A286">
        <v>6</v>
      </c>
      <c r="B286" t="s">
        <v>167</v>
      </c>
      <c r="C286" t="str">
        <f>HYPERLINK("http://www.ncbi.nlm.nih.gov/protein/NXO72063.1","NXO72063.1")</f>
        <v>NXO72063.1</v>
      </c>
      <c r="D286">
        <v>13570</v>
      </c>
      <c r="E286" t="str">
        <f>HYPERLINK("http://www.ncbi.nlm.nih.gov/Taxonomy/Browser/wwwtax.cgi?mode=Info&amp;id=161653&amp;lvl=3&amp;lin=f&amp;keep=1&amp;srchmode=1&amp;unlock","161653")</f>
        <v>161653</v>
      </c>
      <c r="F286" t="s">
        <v>167</v>
      </c>
      <c r="G286" t="str">
        <f>HYPERLINK("http://www.ncbi.nlm.nih.gov/Taxonomy/Browser/wwwtax.cgi?mode=Info&amp;id=161653&amp;lvl=3&amp;lin=f&amp;keep=1&amp;srchmode=1&amp;unlock","Phainopepla nitens")</f>
        <v>Phainopepla nitens</v>
      </c>
      <c r="H286" t="s">
        <v>206</v>
      </c>
      <c r="I286" t="str">
        <f>HYPERLINK("http://www.ncbi.nlm.nih.gov/protein/NXO72063.1","ANDR protein")</f>
        <v>ANDR protein</v>
      </c>
      <c r="J286" t="s">
        <v>1323</v>
      </c>
      <c r="K286" t="s">
        <v>20</v>
      </c>
      <c r="L286">
        <v>233</v>
      </c>
      <c r="M286" t="s">
        <v>25</v>
      </c>
      <c r="N286" t="s">
        <v>20</v>
      </c>
      <c r="O286" t="s">
        <v>1352</v>
      </c>
      <c r="P286" t="s">
        <v>20</v>
      </c>
      <c r="Q286">
        <v>132.119</v>
      </c>
      <c r="R286" t="s">
        <v>20</v>
      </c>
      <c r="S286" t="s">
        <v>20</v>
      </c>
      <c r="T286">
        <v>239</v>
      </c>
      <c r="U286" t="s">
        <v>1313</v>
      </c>
      <c r="V286" t="s">
        <v>20</v>
      </c>
      <c r="W286" t="s">
        <v>1352</v>
      </c>
      <c r="X286" t="s">
        <v>20</v>
      </c>
      <c r="Y286">
        <v>146.14599999999999</v>
      </c>
      <c r="Z286" t="s">
        <v>20</v>
      </c>
      <c r="AA286" t="s">
        <v>20</v>
      </c>
      <c r="AB286">
        <v>280</v>
      </c>
      <c r="AC286" t="s">
        <v>1314</v>
      </c>
      <c r="AD286" t="s">
        <v>20</v>
      </c>
      <c r="AE286" t="s">
        <v>1353</v>
      </c>
      <c r="AF286" t="s">
        <v>20</v>
      </c>
      <c r="AG286">
        <v>174.203</v>
      </c>
      <c r="AH286" t="s">
        <v>20</v>
      </c>
      <c r="AI286" t="s">
        <v>20</v>
      </c>
      <c r="AJ286">
        <v>405</v>
      </c>
      <c r="AK286" t="s">
        <v>1315</v>
      </c>
      <c r="AL286" t="s">
        <v>20</v>
      </c>
      <c r="AM286" t="s">
        <v>1354</v>
      </c>
      <c r="AN286" t="s">
        <v>20</v>
      </c>
      <c r="AO286">
        <v>119.119</v>
      </c>
      <c r="AP286" t="s">
        <v>20</v>
      </c>
      <c r="AQ286" t="s">
        <v>20</v>
      </c>
    </row>
    <row r="287" spans="1:43" x14ac:dyDescent="0.25">
      <c r="A287">
        <v>6</v>
      </c>
      <c r="B287" t="s">
        <v>167</v>
      </c>
      <c r="C287" t="str">
        <f>HYPERLINK("http://www.ncbi.nlm.nih.gov/protein/XP_031980337.1","XP_031980337.1")</f>
        <v>XP_031980337.1</v>
      </c>
      <c r="D287">
        <v>56759</v>
      </c>
      <c r="E287" t="str">
        <f>HYPERLINK("http://www.ncbi.nlm.nih.gov/Taxonomy/Browser/wwwtax.cgi?mode=Info&amp;id=1196302&amp;lvl=3&amp;lin=f&amp;keep=1&amp;srchmode=1&amp;unlock","1196302")</f>
        <v>1196302</v>
      </c>
      <c r="F287" t="s">
        <v>167</v>
      </c>
      <c r="G287" t="str">
        <f>HYPERLINK("http://www.ncbi.nlm.nih.gov/Taxonomy/Browser/wwwtax.cgi?mode=Info&amp;id=1196302&amp;lvl=3&amp;lin=f&amp;keep=1&amp;srchmode=1&amp;unlock","Corvus moneduloides")</f>
        <v>Corvus moneduloides</v>
      </c>
      <c r="H287" t="s">
        <v>268</v>
      </c>
      <c r="I287" t="str">
        <f>HYPERLINK("http://www.ncbi.nlm.nih.gov/protein/XP_031980337.1","androgen receptor")</f>
        <v>androgen receptor</v>
      </c>
      <c r="J287" t="s">
        <v>1323</v>
      </c>
      <c r="K287" t="s">
        <v>20</v>
      </c>
      <c r="L287">
        <v>471</v>
      </c>
      <c r="M287" t="s">
        <v>25</v>
      </c>
      <c r="N287" t="s">
        <v>20</v>
      </c>
      <c r="O287" t="s">
        <v>1352</v>
      </c>
      <c r="P287" t="s">
        <v>20</v>
      </c>
      <c r="Q287">
        <v>132.119</v>
      </c>
      <c r="R287" t="s">
        <v>20</v>
      </c>
      <c r="S287" t="s">
        <v>20</v>
      </c>
      <c r="T287">
        <v>477</v>
      </c>
      <c r="U287" t="s">
        <v>1313</v>
      </c>
      <c r="V287" t="s">
        <v>20</v>
      </c>
      <c r="W287" t="s">
        <v>1352</v>
      </c>
      <c r="X287" t="s">
        <v>20</v>
      </c>
      <c r="Y287">
        <v>146.14599999999999</v>
      </c>
      <c r="Z287" t="s">
        <v>20</v>
      </c>
      <c r="AA287" t="s">
        <v>20</v>
      </c>
      <c r="AB287">
        <v>518</v>
      </c>
      <c r="AC287" t="s">
        <v>1314</v>
      </c>
      <c r="AD287" t="s">
        <v>20</v>
      </c>
      <c r="AE287" t="s">
        <v>1353</v>
      </c>
      <c r="AF287" t="s">
        <v>20</v>
      </c>
      <c r="AG287">
        <v>174.203</v>
      </c>
      <c r="AH287" t="s">
        <v>20</v>
      </c>
      <c r="AI287" t="s">
        <v>20</v>
      </c>
      <c r="AJ287">
        <v>643</v>
      </c>
      <c r="AK287" t="s">
        <v>1315</v>
      </c>
      <c r="AL287" t="s">
        <v>20</v>
      </c>
      <c r="AM287" t="s">
        <v>1354</v>
      </c>
      <c r="AN287" t="s">
        <v>20</v>
      </c>
      <c r="AO287">
        <v>119.119</v>
      </c>
      <c r="AP287" t="s">
        <v>20</v>
      </c>
      <c r="AQ287" t="s">
        <v>20</v>
      </c>
    </row>
    <row r="288" spans="1:43" x14ac:dyDescent="0.25">
      <c r="A288">
        <v>6</v>
      </c>
      <c r="B288" t="s">
        <v>167</v>
      </c>
      <c r="C288" t="str">
        <f>HYPERLINK("http://www.ncbi.nlm.nih.gov/protein/NXY35009.1","NXY35009.1")</f>
        <v>NXY35009.1</v>
      </c>
      <c r="D288">
        <v>13354</v>
      </c>
      <c r="E288" t="str">
        <f>HYPERLINK("http://www.ncbi.nlm.nih.gov/Taxonomy/Browser/wwwtax.cgi?mode=Info&amp;id=932028&amp;lvl=3&amp;lin=f&amp;keep=1&amp;srchmode=1&amp;unlock","932028")</f>
        <v>932028</v>
      </c>
      <c r="F288" t="s">
        <v>167</v>
      </c>
      <c r="G288" t="str">
        <f>HYPERLINK("http://www.ncbi.nlm.nih.gov/Taxonomy/Browser/wwwtax.cgi?mode=Info&amp;id=932028&amp;lvl=3&amp;lin=f&amp;keep=1&amp;srchmode=1&amp;unlock","Pomatorhinus ruficollis")</f>
        <v>Pomatorhinus ruficollis</v>
      </c>
      <c r="H288" t="s">
        <v>666</v>
      </c>
      <c r="I288" t="str">
        <f>HYPERLINK("http://www.ncbi.nlm.nih.gov/protein/NXY35009.1","ANDR protein")</f>
        <v>ANDR protein</v>
      </c>
      <c r="J288" t="s">
        <v>1323</v>
      </c>
      <c r="K288" t="s">
        <v>20</v>
      </c>
      <c r="L288">
        <v>443</v>
      </c>
      <c r="M288" t="s">
        <v>25</v>
      </c>
      <c r="N288" t="s">
        <v>20</v>
      </c>
      <c r="O288" t="s">
        <v>1352</v>
      </c>
      <c r="P288" t="s">
        <v>20</v>
      </c>
      <c r="Q288">
        <v>132.119</v>
      </c>
      <c r="R288" t="s">
        <v>20</v>
      </c>
      <c r="S288" t="s">
        <v>20</v>
      </c>
      <c r="T288">
        <v>449</v>
      </c>
      <c r="U288" t="s">
        <v>1313</v>
      </c>
      <c r="V288" t="s">
        <v>20</v>
      </c>
      <c r="W288" t="s">
        <v>1352</v>
      </c>
      <c r="X288" t="s">
        <v>20</v>
      </c>
      <c r="Y288">
        <v>146.14599999999999</v>
      </c>
      <c r="Z288" t="s">
        <v>20</v>
      </c>
      <c r="AA288" t="s">
        <v>20</v>
      </c>
      <c r="AB288">
        <v>490</v>
      </c>
      <c r="AC288" t="s">
        <v>1314</v>
      </c>
      <c r="AD288" t="s">
        <v>20</v>
      </c>
      <c r="AE288" t="s">
        <v>1353</v>
      </c>
      <c r="AF288" t="s">
        <v>20</v>
      </c>
      <c r="AG288">
        <v>174.203</v>
      </c>
      <c r="AH288" t="s">
        <v>20</v>
      </c>
      <c r="AI288" t="s">
        <v>20</v>
      </c>
      <c r="AJ288">
        <v>615</v>
      </c>
      <c r="AK288" t="s">
        <v>1315</v>
      </c>
      <c r="AL288" t="s">
        <v>20</v>
      </c>
      <c r="AM288" t="s">
        <v>1354</v>
      </c>
      <c r="AN288" t="s">
        <v>20</v>
      </c>
      <c r="AO288">
        <v>119.119</v>
      </c>
      <c r="AP288" t="s">
        <v>20</v>
      </c>
      <c r="AQ288" t="s">
        <v>20</v>
      </c>
    </row>
    <row r="289" spans="1:43" x14ac:dyDescent="0.25">
      <c r="A289">
        <v>6</v>
      </c>
      <c r="B289" t="s">
        <v>167</v>
      </c>
      <c r="C289" t="str">
        <f>HYPERLINK("http://www.ncbi.nlm.nih.gov/protein/NXD37465.1","NXD37465.1")</f>
        <v>NXD37465.1</v>
      </c>
      <c r="D289">
        <v>14417</v>
      </c>
      <c r="E289" t="str">
        <f>HYPERLINK("http://www.ncbi.nlm.nih.gov/Taxonomy/Browser/wwwtax.cgi?mode=Info&amp;id=797021&amp;lvl=3&amp;lin=f&amp;keep=1&amp;srchmode=1&amp;unlock","797021")</f>
        <v>797021</v>
      </c>
      <c r="F289" t="s">
        <v>167</v>
      </c>
      <c r="G289" t="str">
        <f>HYPERLINK("http://www.ncbi.nlm.nih.gov/Taxonomy/Browser/wwwtax.cgi?mode=Info&amp;id=797021&amp;lvl=3&amp;lin=f&amp;keep=1&amp;srchmode=1&amp;unlock","Copsychus sechellarum")</f>
        <v>Copsychus sechellarum</v>
      </c>
      <c r="H289" t="s">
        <v>378</v>
      </c>
      <c r="I289" t="str">
        <f>HYPERLINK("http://www.ncbi.nlm.nih.gov/protein/NXD37465.1","ANDR protein")</f>
        <v>ANDR protein</v>
      </c>
      <c r="J289" t="s">
        <v>1323</v>
      </c>
      <c r="K289" t="s">
        <v>20</v>
      </c>
      <c r="L289">
        <v>469</v>
      </c>
      <c r="M289" t="s">
        <v>25</v>
      </c>
      <c r="N289" t="s">
        <v>20</v>
      </c>
      <c r="O289" t="s">
        <v>1352</v>
      </c>
      <c r="P289" t="s">
        <v>20</v>
      </c>
      <c r="Q289">
        <v>132.119</v>
      </c>
      <c r="R289" t="s">
        <v>20</v>
      </c>
      <c r="S289" t="s">
        <v>20</v>
      </c>
      <c r="T289">
        <v>475</v>
      </c>
      <c r="U289" t="s">
        <v>1313</v>
      </c>
      <c r="V289" t="s">
        <v>20</v>
      </c>
      <c r="W289" t="s">
        <v>1352</v>
      </c>
      <c r="X289" t="s">
        <v>20</v>
      </c>
      <c r="Y289">
        <v>146.14599999999999</v>
      </c>
      <c r="Z289" t="s">
        <v>20</v>
      </c>
      <c r="AA289" t="s">
        <v>20</v>
      </c>
      <c r="AB289">
        <v>516</v>
      </c>
      <c r="AC289" t="s">
        <v>1314</v>
      </c>
      <c r="AD289" t="s">
        <v>20</v>
      </c>
      <c r="AE289" t="s">
        <v>1353</v>
      </c>
      <c r="AF289" t="s">
        <v>20</v>
      </c>
      <c r="AG289">
        <v>174.203</v>
      </c>
      <c r="AH289" t="s">
        <v>20</v>
      </c>
      <c r="AI289" t="s">
        <v>20</v>
      </c>
      <c r="AJ289">
        <v>641</v>
      </c>
      <c r="AK289" t="s">
        <v>1315</v>
      </c>
      <c r="AL289" t="s">
        <v>20</v>
      </c>
      <c r="AM289" t="s">
        <v>1354</v>
      </c>
      <c r="AN289" t="s">
        <v>20</v>
      </c>
      <c r="AO289">
        <v>119.119</v>
      </c>
      <c r="AP289" t="s">
        <v>20</v>
      </c>
      <c r="AQ289" t="s">
        <v>20</v>
      </c>
    </row>
    <row r="290" spans="1:43" x14ac:dyDescent="0.25">
      <c r="A290">
        <v>6</v>
      </c>
      <c r="B290" t="s">
        <v>167</v>
      </c>
      <c r="C290" t="str">
        <f>HYPERLINK("http://www.ncbi.nlm.nih.gov/protein/NXH30905.1","NXH30905.1")</f>
        <v>NXH30905.1</v>
      </c>
      <c r="D290">
        <v>13940</v>
      </c>
      <c r="E290" t="str">
        <f>HYPERLINK("http://www.ncbi.nlm.nih.gov/Taxonomy/Browser/wwwtax.cgi?mode=Info&amp;id=381031&amp;lvl=3&amp;lin=f&amp;keep=1&amp;srchmode=1&amp;unlock","381031")</f>
        <v>381031</v>
      </c>
      <c r="F290" t="s">
        <v>167</v>
      </c>
      <c r="G290" t="str">
        <f>HYPERLINK("http://www.ncbi.nlm.nih.gov/Taxonomy/Browser/wwwtax.cgi?mode=Info&amp;id=381031&amp;lvl=3&amp;lin=f&amp;keep=1&amp;srchmode=1&amp;unlock","Myiagra hebetior")</f>
        <v>Myiagra hebetior</v>
      </c>
      <c r="H290" t="s">
        <v>206</v>
      </c>
      <c r="I290" t="str">
        <f>HYPERLINK("http://www.ncbi.nlm.nih.gov/protein/NXH30905.1","ANDR protein")</f>
        <v>ANDR protein</v>
      </c>
      <c r="J290" t="s">
        <v>1323</v>
      </c>
      <c r="K290" t="s">
        <v>20</v>
      </c>
      <c r="L290">
        <v>209</v>
      </c>
      <c r="M290" t="s">
        <v>25</v>
      </c>
      <c r="N290" t="s">
        <v>20</v>
      </c>
      <c r="O290" t="s">
        <v>1352</v>
      </c>
      <c r="P290" t="s">
        <v>20</v>
      </c>
      <c r="Q290">
        <v>132.119</v>
      </c>
      <c r="R290" t="s">
        <v>20</v>
      </c>
      <c r="S290" t="s">
        <v>20</v>
      </c>
      <c r="T290">
        <v>215</v>
      </c>
      <c r="U290" t="s">
        <v>1313</v>
      </c>
      <c r="V290" t="s">
        <v>20</v>
      </c>
      <c r="W290" t="s">
        <v>1352</v>
      </c>
      <c r="X290" t="s">
        <v>20</v>
      </c>
      <c r="Y290">
        <v>146.14599999999999</v>
      </c>
      <c r="Z290" t="s">
        <v>20</v>
      </c>
      <c r="AA290" t="s">
        <v>20</v>
      </c>
      <c r="AB290">
        <v>256</v>
      </c>
      <c r="AC290" t="s">
        <v>1314</v>
      </c>
      <c r="AD290" t="s">
        <v>20</v>
      </c>
      <c r="AE290" t="s">
        <v>1353</v>
      </c>
      <c r="AF290" t="s">
        <v>20</v>
      </c>
      <c r="AG290">
        <v>174.203</v>
      </c>
      <c r="AH290" t="s">
        <v>20</v>
      </c>
      <c r="AI290" t="s">
        <v>20</v>
      </c>
      <c r="AJ290">
        <v>381</v>
      </c>
      <c r="AK290" t="s">
        <v>1315</v>
      </c>
      <c r="AL290" t="s">
        <v>20</v>
      </c>
      <c r="AM290" t="s">
        <v>1354</v>
      </c>
      <c r="AN290" t="s">
        <v>20</v>
      </c>
      <c r="AO290">
        <v>119.119</v>
      </c>
      <c r="AP290" t="s">
        <v>20</v>
      </c>
      <c r="AQ290" t="s">
        <v>20</v>
      </c>
    </row>
    <row r="291" spans="1:43" x14ac:dyDescent="0.25">
      <c r="A291">
        <v>6</v>
      </c>
      <c r="B291" t="s">
        <v>167</v>
      </c>
      <c r="C291" t="str">
        <f>HYPERLINK("http://www.ncbi.nlm.nih.gov/protein/NWT58836.1","NWT58836.1")</f>
        <v>NWT58836.1</v>
      </c>
      <c r="D291">
        <v>14073</v>
      </c>
      <c r="E291" t="str">
        <f>HYPERLINK("http://www.ncbi.nlm.nih.gov/Taxonomy/Browser/wwwtax.cgi?mode=Info&amp;id=107208&amp;lvl=3&amp;lin=f&amp;keep=1&amp;srchmode=1&amp;unlock","107208")</f>
        <v>107208</v>
      </c>
      <c r="F291" t="s">
        <v>167</v>
      </c>
      <c r="G291" t="str">
        <f>HYPERLINK("http://www.ncbi.nlm.nih.gov/Taxonomy/Browser/wwwtax.cgi?mode=Info&amp;id=107208&amp;lvl=3&amp;lin=f&amp;keep=1&amp;srchmode=1&amp;unlock","Erythrocercus mccallii")</f>
        <v>Erythrocercus mccallii</v>
      </c>
      <c r="H291" t="s">
        <v>206</v>
      </c>
      <c r="I291" t="str">
        <f>HYPERLINK("http://www.ncbi.nlm.nih.gov/protein/NWT58836.1","ANDR protein")</f>
        <v>ANDR protein</v>
      </c>
      <c r="J291" t="s">
        <v>1323</v>
      </c>
      <c r="K291" t="s">
        <v>20</v>
      </c>
      <c r="L291">
        <v>433</v>
      </c>
      <c r="M291" t="s">
        <v>25</v>
      </c>
      <c r="N291" t="s">
        <v>20</v>
      </c>
      <c r="O291" t="s">
        <v>1352</v>
      </c>
      <c r="P291" t="s">
        <v>20</v>
      </c>
      <c r="Q291">
        <v>132.119</v>
      </c>
      <c r="R291" t="s">
        <v>20</v>
      </c>
      <c r="S291" t="s">
        <v>20</v>
      </c>
      <c r="T291">
        <v>439</v>
      </c>
      <c r="U291" t="s">
        <v>1313</v>
      </c>
      <c r="V291" t="s">
        <v>20</v>
      </c>
      <c r="W291" t="s">
        <v>1352</v>
      </c>
      <c r="X291" t="s">
        <v>20</v>
      </c>
      <c r="Y291">
        <v>146.14599999999999</v>
      </c>
      <c r="Z291" t="s">
        <v>20</v>
      </c>
      <c r="AA291" t="s">
        <v>20</v>
      </c>
      <c r="AB291">
        <v>480</v>
      </c>
      <c r="AC291" t="s">
        <v>1314</v>
      </c>
      <c r="AD291" t="s">
        <v>20</v>
      </c>
      <c r="AE291" t="s">
        <v>1353</v>
      </c>
      <c r="AF291" t="s">
        <v>20</v>
      </c>
      <c r="AG291">
        <v>174.203</v>
      </c>
      <c r="AH291" t="s">
        <v>20</v>
      </c>
      <c r="AI291" t="s">
        <v>20</v>
      </c>
      <c r="AJ291">
        <v>605</v>
      </c>
      <c r="AK291" t="s">
        <v>1315</v>
      </c>
      <c r="AL291" t="s">
        <v>20</v>
      </c>
      <c r="AM291" t="s">
        <v>1354</v>
      </c>
      <c r="AN291" t="s">
        <v>20</v>
      </c>
      <c r="AO291">
        <v>119.119</v>
      </c>
      <c r="AP291" t="s">
        <v>20</v>
      </c>
      <c r="AQ291" t="s">
        <v>20</v>
      </c>
    </row>
    <row r="292" spans="1:43" x14ac:dyDescent="0.25">
      <c r="A292">
        <v>6</v>
      </c>
      <c r="B292" t="s">
        <v>167</v>
      </c>
      <c r="C292" t="str">
        <f>HYPERLINK("http://www.ncbi.nlm.nih.gov/protein/NXY05797.1","NXY05797.1")</f>
        <v>NXY05797.1</v>
      </c>
      <c r="D292">
        <v>11998</v>
      </c>
      <c r="E292" t="str">
        <f>HYPERLINK("http://www.ncbi.nlm.nih.gov/Taxonomy/Browser/wwwtax.cgi?mode=Info&amp;id=357074&amp;lvl=3&amp;lin=f&amp;keep=1&amp;srchmode=1&amp;unlock","357074")</f>
        <v>357074</v>
      </c>
      <c r="F292" t="s">
        <v>167</v>
      </c>
      <c r="G292" t="str">
        <f>HYPERLINK("http://www.ncbi.nlm.nih.gov/Taxonomy/Browser/wwwtax.cgi?mode=Info&amp;id=357074&amp;lvl=3&amp;lin=f&amp;keep=1&amp;srchmode=1&amp;unlock","Pteruthius melanotis")</f>
        <v>Pteruthius melanotis</v>
      </c>
      <c r="H292" t="s">
        <v>244</v>
      </c>
      <c r="I292" t="str">
        <f>HYPERLINK("http://www.ncbi.nlm.nih.gov/protein/NXY05797.1","ANDR protein")</f>
        <v>ANDR protein</v>
      </c>
      <c r="J292" t="s">
        <v>1323</v>
      </c>
      <c r="K292" t="s">
        <v>20</v>
      </c>
      <c r="L292">
        <v>237</v>
      </c>
      <c r="M292" t="s">
        <v>25</v>
      </c>
      <c r="N292" t="s">
        <v>20</v>
      </c>
      <c r="O292" t="s">
        <v>1352</v>
      </c>
      <c r="P292" t="s">
        <v>20</v>
      </c>
      <c r="Q292">
        <v>132.119</v>
      </c>
      <c r="R292" t="s">
        <v>20</v>
      </c>
      <c r="S292" t="s">
        <v>20</v>
      </c>
      <c r="T292">
        <v>243</v>
      </c>
      <c r="U292" t="s">
        <v>1313</v>
      </c>
      <c r="V292" t="s">
        <v>20</v>
      </c>
      <c r="W292" t="s">
        <v>1352</v>
      </c>
      <c r="X292" t="s">
        <v>20</v>
      </c>
      <c r="Y292">
        <v>146.14599999999999</v>
      </c>
      <c r="Z292" t="s">
        <v>20</v>
      </c>
      <c r="AA292" t="s">
        <v>20</v>
      </c>
      <c r="AB292">
        <v>284</v>
      </c>
      <c r="AC292" t="s">
        <v>1314</v>
      </c>
      <c r="AD292" t="s">
        <v>20</v>
      </c>
      <c r="AE292" t="s">
        <v>1353</v>
      </c>
      <c r="AF292" t="s">
        <v>20</v>
      </c>
      <c r="AG292">
        <v>174.203</v>
      </c>
      <c r="AH292" t="s">
        <v>20</v>
      </c>
      <c r="AI292" t="s">
        <v>20</v>
      </c>
      <c r="AJ292">
        <v>409</v>
      </c>
      <c r="AK292" t="s">
        <v>1315</v>
      </c>
      <c r="AL292" t="s">
        <v>20</v>
      </c>
      <c r="AM292" t="s">
        <v>1354</v>
      </c>
      <c r="AN292" t="s">
        <v>20</v>
      </c>
      <c r="AO292">
        <v>119.119</v>
      </c>
      <c r="AP292" t="s">
        <v>20</v>
      </c>
      <c r="AQ292" t="s">
        <v>20</v>
      </c>
    </row>
    <row r="293" spans="1:43" x14ac:dyDescent="0.25">
      <c r="A293">
        <v>6</v>
      </c>
      <c r="B293" t="s">
        <v>167</v>
      </c>
      <c r="C293" t="str">
        <f>HYPERLINK("http://www.ncbi.nlm.nih.gov/protein/NXN85644.1","NXN85644.1")</f>
        <v>NXN85644.1</v>
      </c>
      <c r="D293">
        <v>13865</v>
      </c>
      <c r="E293" t="str">
        <f>HYPERLINK("http://www.ncbi.nlm.nih.gov/Taxonomy/Browser/wwwtax.cgi?mode=Info&amp;id=125297&amp;lvl=3&amp;lin=f&amp;keep=1&amp;srchmode=1&amp;unlock","125297")</f>
        <v>125297</v>
      </c>
      <c r="F293" t="s">
        <v>167</v>
      </c>
      <c r="G293" t="str">
        <f>HYPERLINK("http://www.ncbi.nlm.nih.gov/Taxonomy/Browser/wwwtax.cgi?mode=Info&amp;id=125297&amp;lvl=3&amp;lin=f&amp;keep=1&amp;srchmode=1&amp;unlock","Bombycilla garrulus")</f>
        <v>Bombycilla garrulus</v>
      </c>
      <c r="H293" t="s">
        <v>419</v>
      </c>
      <c r="I293" t="str">
        <f>HYPERLINK("http://www.ncbi.nlm.nih.gov/protein/NXN85644.1","ANDR protein")</f>
        <v>ANDR protein</v>
      </c>
      <c r="J293" t="s">
        <v>1323</v>
      </c>
      <c r="K293" t="s">
        <v>20</v>
      </c>
      <c r="L293">
        <v>235</v>
      </c>
      <c r="M293" t="s">
        <v>25</v>
      </c>
      <c r="N293" t="s">
        <v>20</v>
      </c>
      <c r="O293" t="s">
        <v>1352</v>
      </c>
      <c r="P293" t="s">
        <v>20</v>
      </c>
      <c r="Q293">
        <v>132.119</v>
      </c>
      <c r="R293" t="s">
        <v>20</v>
      </c>
      <c r="S293" t="s">
        <v>20</v>
      </c>
      <c r="T293">
        <v>241</v>
      </c>
      <c r="U293" t="s">
        <v>1313</v>
      </c>
      <c r="V293" t="s">
        <v>20</v>
      </c>
      <c r="W293" t="s">
        <v>1352</v>
      </c>
      <c r="X293" t="s">
        <v>20</v>
      </c>
      <c r="Y293">
        <v>146.14599999999999</v>
      </c>
      <c r="Z293" t="s">
        <v>20</v>
      </c>
      <c r="AA293" t="s">
        <v>20</v>
      </c>
      <c r="AB293">
        <v>282</v>
      </c>
      <c r="AC293" t="s">
        <v>1314</v>
      </c>
      <c r="AD293" t="s">
        <v>20</v>
      </c>
      <c r="AE293" t="s">
        <v>1353</v>
      </c>
      <c r="AF293" t="s">
        <v>20</v>
      </c>
      <c r="AG293">
        <v>174.203</v>
      </c>
      <c r="AH293" t="s">
        <v>20</v>
      </c>
      <c r="AI293" t="s">
        <v>20</v>
      </c>
      <c r="AJ293">
        <v>407</v>
      </c>
      <c r="AK293" t="s">
        <v>1315</v>
      </c>
      <c r="AL293" t="s">
        <v>20</v>
      </c>
      <c r="AM293" t="s">
        <v>1354</v>
      </c>
      <c r="AN293" t="s">
        <v>20</v>
      </c>
      <c r="AO293">
        <v>119.119</v>
      </c>
      <c r="AP293" t="s">
        <v>20</v>
      </c>
      <c r="AQ293" t="s">
        <v>20</v>
      </c>
    </row>
    <row r="294" spans="1:43" x14ac:dyDescent="0.25">
      <c r="A294">
        <v>6</v>
      </c>
      <c r="B294" t="s">
        <v>167</v>
      </c>
      <c r="C294" t="str">
        <f>HYPERLINK("http://www.ncbi.nlm.nih.gov/protein/NXH60516.1","NXH60516.1")</f>
        <v>NXH60516.1</v>
      </c>
      <c r="D294">
        <v>14389</v>
      </c>
      <c r="E294" t="str">
        <f>HYPERLINK("http://www.ncbi.nlm.nih.gov/Taxonomy/Browser/wwwtax.cgi?mode=Info&amp;id=237438&amp;lvl=3&amp;lin=f&amp;keep=1&amp;srchmode=1&amp;unlock","237438")</f>
        <v>237438</v>
      </c>
      <c r="F294" t="s">
        <v>167</v>
      </c>
      <c r="G294" t="str">
        <f>HYPERLINK("http://www.ncbi.nlm.nih.gov/Taxonomy/Browser/wwwtax.cgi?mode=Info&amp;id=237438&amp;lvl=3&amp;lin=f&amp;keep=1&amp;srchmode=1&amp;unlock","Rhabdornis inornatus")</f>
        <v>Rhabdornis inornatus</v>
      </c>
      <c r="H294" t="s">
        <v>206</v>
      </c>
      <c r="I294" t="str">
        <f>HYPERLINK("http://www.ncbi.nlm.nih.gov/protein/NXH60516.1","ANDR protein")</f>
        <v>ANDR protein</v>
      </c>
      <c r="J294" t="s">
        <v>1323</v>
      </c>
      <c r="K294" t="s">
        <v>20</v>
      </c>
      <c r="L294">
        <v>339</v>
      </c>
      <c r="M294" t="s">
        <v>25</v>
      </c>
      <c r="N294" t="s">
        <v>20</v>
      </c>
      <c r="O294" t="s">
        <v>1352</v>
      </c>
      <c r="P294" t="s">
        <v>20</v>
      </c>
      <c r="Q294">
        <v>132.119</v>
      </c>
      <c r="R294" t="s">
        <v>20</v>
      </c>
      <c r="S294" t="s">
        <v>20</v>
      </c>
      <c r="T294">
        <v>345</v>
      </c>
      <c r="U294" t="s">
        <v>1313</v>
      </c>
      <c r="V294" t="s">
        <v>20</v>
      </c>
      <c r="W294" t="s">
        <v>1352</v>
      </c>
      <c r="X294" t="s">
        <v>20</v>
      </c>
      <c r="Y294">
        <v>146.14599999999999</v>
      </c>
      <c r="Z294" t="s">
        <v>20</v>
      </c>
      <c r="AA294" t="s">
        <v>20</v>
      </c>
      <c r="AB294">
        <v>386</v>
      </c>
      <c r="AC294" t="s">
        <v>1314</v>
      </c>
      <c r="AD294" t="s">
        <v>20</v>
      </c>
      <c r="AE294" t="s">
        <v>1353</v>
      </c>
      <c r="AF294" t="s">
        <v>20</v>
      </c>
      <c r="AG294">
        <v>174.203</v>
      </c>
      <c r="AH294" t="s">
        <v>20</v>
      </c>
      <c r="AI294" t="s">
        <v>20</v>
      </c>
      <c r="AJ294">
        <v>511</v>
      </c>
      <c r="AK294" t="s">
        <v>1315</v>
      </c>
      <c r="AL294" t="s">
        <v>20</v>
      </c>
      <c r="AM294" t="s">
        <v>1354</v>
      </c>
      <c r="AN294" t="s">
        <v>20</v>
      </c>
      <c r="AO294">
        <v>119.119</v>
      </c>
      <c r="AP294" t="s">
        <v>20</v>
      </c>
      <c r="AQ294" t="s">
        <v>20</v>
      </c>
    </row>
    <row r="295" spans="1:43" x14ac:dyDescent="0.25">
      <c r="A295">
        <v>6</v>
      </c>
      <c r="B295" t="s">
        <v>167</v>
      </c>
      <c r="C295" t="str">
        <f>HYPERLINK("http://www.ncbi.nlm.nih.gov/protein/NXK94210.1","NXK94210.1")</f>
        <v>NXK94210.1</v>
      </c>
      <c r="D295">
        <v>13619</v>
      </c>
      <c r="E295" t="str">
        <f>HYPERLINK("http://www.ncbi.nlm.nih.gov/Taxonomy/Browser/wwwtax.cgi?mode=Info&amp;id=1118560&amp;lvl=3&amp;lin=f&amp;keep=1&amp;srchmode=1&amp;unlock","1118560")</f>
        <v>1118560</v>
      </c>
      <c r="F295" t="s">
        <v>167</v>
      </c>
      <c r="G295" t="str">
        <f>HYPERLINK("http://www.ncbi.nlm.nih.gov/Taxonomy/Browser/wwwtax.cgi?mode=Info&amp;id=1118560&amp;lvl=3&amp;lin=f&amp;keep=1&amp;srchmode=1&amp;unlock","Formicarius rufipectus")</f>
        <v>Formicarius rufipectus</v>
      </c>
      <c r="H295" t="s">
        <v>206</v>
      </c>
      <c r="I295" t="str">
        <f>HYPERLINK("http://www.ncbi.nlm.nih.gov/protein/NXK94210.1","ANDR protein")</f>
        <v>ANDR protein</v>
      </c>
      <c r="J295" t="s">
        <v>1323</v>
      </c>
      <c r="K295" t="s">
        <v>20</v>
      </c>
      <c r="L295">
        <v>237</v>
      </c>
      <c r="M295" t="s">
        <v>25</v>
      </c>
      <c r="N295" t="s">
        <v>20</v>
      </c>
      <c r="O295" t="s">
        <v>1352</v>
      </c>
      <c r="P295" t="s">
        <v>20</v>
      </c>
      <c r="Q295">
        <v>132.119</v>
      </c>
      <c r="R295" t="s">
        <v>20</v>
      </c>
      <c r="S295" t="s">
        <v>20</v>
      </c>
      <c r="T295">
        <v>243</v>
      </c>
      <c r="U295" t="s">
        <v>1313</v>
      </c>
      <c r="V295" t="s">
        <v>20</v>
      </c>
      <c r="W295" t="s">
        <v>1352</v>
      </c>
      <c r="X295" t="s">
        <v>20</v>
      </c>
      <c r="Y295">
        <v>146.14599999999999</v>
      </c>
      <c r="Z295" t="s">
        <v>20</v>
      </c>
      <c r="AA295" t="s">
        <v>20</v>
      </c>
      <c r="AB295">
        <v>284</v>
      </c>
      <c r="AC295" t="s">
        <v>1314</v>
      </c>
      <c r="AD295" t="s">
        <v>20</v>
      </c>
      <c r="AE295" t="s">
        <v>1353</v>
      </c>
      <c r="AF295" t="s">
        <v>20</v>
      </c>
      <c r="AG295">
        <v>174.203</v>
      </c>
      <c r="AH295" t="s">
        <v>20</v>
      </c>
      <c r="AI295" t="s">
        <v>20</v>
      </c>
      <c r="AJ295">
        <v>409</v>
      </c>
      <c r="AK295" t="s">
        <v>1315</v>
      </c>
      <c r="AL295" t="s">
        <v>20</v>
      </c>
      <c r="AM295" t="s">
        <v>1354</v>
      </c>
      <c r="AN295" t="s">
        <v>20</v>
      </c>
      <c r="AO295">
        <v>119.119</v>
      </c>
      <c r="AP295" t="s">
        <v>20</v>
      </c>
      <c r="AQ295" t="s">
        <v>20</v>
      </c>
    </row>
    <row r="296" spans="1:43" x14ac:dyDescent="0.25">
      <c r="A296">
        <v>6</v>
      </c>
      <c r="B296" t="s">
        <v>167</v>
      </c>
      <c r="C296" t="str">
        <f>HYPERLINK("http://www.ncbi.nlm.nih.gov/protein/NWR43887.1","NWR43887.1")</f>
        <v>NWR43887.1</v>
      </c>
      <c r="D296">
        <v>13036</v>
      </c>
      <c r="E296" t="str">
        <f>HYPERLINK("http://www.ncbi.nlm.nih.gov/Taxonomy/Browser/wwwtax.cgi?mode=Info&amp;id=13245&amp;lvl=3&amp;lin=f&amp;keep=1&amp;srchmode=1&amp;unlock","13245")</f>
        <v>13245</v>
      </c>
      <c r="F296" t="s">
        <v>167</v>
      </c>
      <c r="G296" t="str">
        <f>HYPERLINK("http://www.ncbi.nlm.nih.gov/Taxonomy/Browser/wwwtax.cgi?mode=Info&amp;id=13245&amp;lvl=3&amp;lin=f&amp;keep=1&amp;srchmode=1&amp;unlock","Regulus satrapa")</f>
        <v>Regulus satrapa</v>
      </c>
      <c r="H296" t="s">
        <v>669</v>
      </c>
      <c r="I296" t="str">
        <f>HYPERLINK("http://www.ncbi.nlm.nih.gov/protein/NWR43887.1","ANDR protein")</f>
        <v>ANDR protein</v>
      </c>
      <c r="J296" t="s">
        <v>1323</v>
      </c>
      <c r="K296" t="s">
        <v>20</v>
      </c>
      <c r="L296">
        <v>237</v>
      </c>
      <c r="M296" t="s">
        <v>25</v>
      </c>
      <c r="N296" t="s">
        <v>20</v>
      </c>
      <c r="O296" t="s">
        <v>1352</v>
      </c>
      <c r="P296" t="s">
        <v>20</v>
      </c>
      <c r="Q296">
        <v>132.119</v>
      </c>
      <c r="R296" t="s">
        <v>20</v>
      </c>
      <c r="S296" t="s">
        <v>20</v>
      </c>
      <c r="T296">
        <v>243</v>
      </c>
      <c r="U296" t="s">
        <v>1313</v>
      </c>
      <c r="V296" t="s">
        <v>20</v>
      </c>
      <c r="W296" t="s">
        <v>1352</v>
      </c>
      <c r="X296" t="s">
        <v>20</v>
      </c>
      <c r="Y296">
        <v>146.14599999999999</v>
      </c>
      <c r="Z296" t="s">
        <v>20</v>
      </c>
      <c r="AA296" t="s">
        <v>20</v>
      </c>
      <c r="AB296">
        <v>284</v>
      </c>
      <c r="AC296" t="s">
        <v>1314</v>
      </c>
      <c r="AD296" t="s">
        <v>20</v>
      </c>
      <c r="AE296" t="s">
        <v>1353</v>
      </c>
      <c r="AF296" t="s">
        <v>20</v>
      </c>
      <c r="AG296">
        <v>174.203</v>
      </c>
      <c r="AH296" t="s">
        <v>20</v>
      </c>
      <c r="AI296" t="s">
        <v>20</v>
      </c>
      <c r="AJ296">
        <v>409</v>
      </c>
      <c r="AK296" t="s">
        <v>1315</v>
      </c>
      <c r="AL296" t="s">
        <v>20</v>
      </c>
      <c r="AM296" t="s">
        <v>1354</v>
      </c>
      <c r="AN296" t="s">
        <v>20</v>
      </c>
      <c r="AO296">
        <v>119.119</v>
      </c>
      <c r="AP296" t="s">
        <v>20</v>
      </c>
      <c r="AQ296" t="s">
        <v>20</v>
      </c>
    </row>
    <row r="297" spans="1:43" x14ac:dyDescent="0.25">
      <c r="A297">
        <v>6</v>
      </c>
      <c r="B297" t="s">
        <v>167</v>
      </c>
      <c r="C297" t="str">
        <f>HYPERLINK("http://www.ncbi.nlm.nih.gov/protein/NXO21663.1","NXO21663.1")</f>
        <v>NXO21663.1</v>
      </c>
      <c r="D297">
        <v>13483</v>
      </c>
      <c r="E297" t="str">
        <f>HYPERLINK("http://www.ncbi.nlm.nih.gov/Taxonomy/Browser/wwwtax.cgi?mode=Info&amp;id=52622&amp;lvl=3&amp;lin=f&amp;keep=1&amp;srchmode=1&amp;unlock","52622")</f>
        <v>52622</v>
      </c>
      <c r="F297" t="s">
        <v>167</v>
      </c>
      <c r="G297" t="str">
        <f>HYPERLINK("http://www.ncbi.nlm.nih.gov/Taxonomy/Browser/wwwtax.cgi?mode=Info&amp;id=52622&amp;lvl=3&amp;lin=f&amp;keep=1&amp;srchmode=1&amp;unlock","Cisticola juncidis")</f>
        <v>Cisticola juncidis</v>
      </c>
      <c r="H297" t="s">
        <v>206</v>
      </c>
      <c r="I297" t="str">
        <f>HYPERLINK("http://www.ncbi.nlm.nih.gov/protein/NXO21663.1","ANDR protein")</f>
        <v>ANDR protein</v>
      </c>
      <c r="J297" t="s">
        <v>1323</v>
      </c>
      <c r="K297" t="s">
        <v>20</v>
      </c>
      <c r="L297">
        <v>237</v>
      </c>
      <c r="M297" t="s">
        <v>25</v>
      </c>
      <c r="N297" t="s">
        <v>20</v>
      </c>
      <c r="O297" t="s">
        <v>1352</v>
      </c>
      <c r="P297" t="s">
        <v>20</v>
      </c>
      <c r="Q297">
        <v>132.119</v>
      </c>
      <c r="R297" t="s">
        <v>20</v>
      </c>
      <c r="S297" t="s">
        <v>20</v>
      </c>
      <c r="T297">
        <v>243</v>
      </c>
      <c r="U297" t="s">
        <v>1313</v>
      </c>
      <c r="V297" t="s">
        <v>20</v>
      </c>
      <c r="W297" t="s">
        <v>1352</v>
      </c>
      <c r="X297" t="s">
        <v>20</v>
      </c>
      <c r="Y297">
        <v>146.14599999999999</v>
      </c>
      <c r="Z297" t="s">
        <v>20</v>
      </c>
      <c r="AA297" t="s">
        <v>20</v>
      </c>
      <c r="AB297">
        <v>284</v>
      </c>
      <c r="AC297" t="s">
        <v>1314</v>
      </c>
      <c r="AD297" t="s">
        <v>20</v>
      </c>
      <c r="AE297" t="s">
        <v>1353</v>
      </c>
      <c r="AF297" t="s">
        <v>20</v>
      </c>
      <c r="AG297">
        <v>174.203</v>
      </c>
      <c r="AH297" t="s">
        <v>20</v>
      </c>
      <c r="AI297" t="s">
        <v>20</v>
      </c>
      <c r="AJ297">
        <v>409</v>
      </c>
      <c r="AK297" t="s">
        <v>1315</v>
      </c>
      <c r="AL297" t="s">
        <v>20</v>
      </c>
      <c r="AM297" t="s">
        <v>1354</v>
      </c>
      <c r="AN297" t="s">
        <v>20</v>
      </c>
      <c r="AO297">
        <v>119.119</v>
      </c>
      <c r="AP297" t="s">
        <v>20</v>
      </c>
      <c r="AQ297" t="s">
        <v>20</v>
      </c>
    </row>
    <row r="298" spans="1:43" x14ac:dyDescent="0.25">
      <c r="A298">
        <v>6</v>
      </c>
      <c r="B298" t="s">
        <v>167</v>
      </c>
      <c r="C298" t="str">
        <f>HYPERLINK("http://www.ncbi.nlm.nih.gov/protein/NWT72211.1","NWT72211.1")</f>
        <v>NWT72211.1</v>
      </c>
      <c r="D298">
        <v>13939</v>
      </c>
      <c r="E298" t="str">
        <f>HYPERLINK("http://www.ncbi.nlm.nih.gov/Taxonomy/Browser/wwwtax.cgi?mode=Info&amp;id=670356&amp;lvl=3&amp;lin=f&amp;keep=1&amp;srchmode=1&amp;unlock","670356")</f>
        <v>670356</v>
      </c>
      <c r="F298" t="s">
        <v>167</v>
      </c>
      <c r="G298" t="str">
        <f>HYPERLINK("http://www.ncbi.nlm.nih.gov/Taxonomy/Browser/wwwtax.cgi?mode=Info&amp;id=670356&amp;lvl=3&amp;lin=f&amp;keep=1&amp;srchmode=1&amp;unlock","Prunella himalayana")</f>
        <v>Prunella himalayana</v>
      </c>
      <c r="H298" t="s">
        <v>467</v>
      </c>
      <c r="I298" t="str">
        <f>HYPERLINK("http://www.ncbi.nlm.nih.gov/protein/NWT72211.1","ANDR protein")</f>
        <v>ANDR protein</v>
      </c>
      <c r="J298" t="s">
        <v>1323</v>
      </c>
      <c r="K298" t="s">
        <v>20</v>
      </c>
      <c r="L298">
        <v>237</v>
      </c>
      <c r="M298" t="s">
        <v>25</v>
      </c>
      <c r="N298" t="s">
        <v>20</v>
      </c>
      <c r="O298" t="s">
        <v>1352</v>
      </c>
      <c r="P298" t="s">
        <v>20</v>
      </c>
      <c r="Q298">
        <v>132.119</v>
      </c>
      <c r="R298" t="s">
        <v>20</v>
      </c>
      <c r="S298" t="s">
        <v>20</v>
      </c>
      <c r="T298">
        <v>243</v>
      </c>
      <c r="U298" t="s">
        <v>1313</v>
      </c>
      <c r="V298" t="s">
        <v>20</v>
      </c>
      <c r="W298" t="s">
        <v>1352</v>
      </c>
      <c r="X298" t="s">
        <v>20</v>
      </c>
      <c r="Y298">
        <v>146.14599999999999</v>
      </c>
      <c r="Z298" t="s">
        <v>20</v>
      </c>
      <c r="AA298" t="s">
        <v>20</v>
      </c>
      <c r="AB298">
        <v>284</v>
      </c>
      <c r="AC298" t="s">
        <v>1314</v>
      </c>
      <c r="AD298" t="s">
        <v>20</v>
      </c>
      <c r="AE298" t="s">
        <v>1353</v>
      </c>
      <c r="AF298" t="s">
        <v>20</v>
      </c>
      <c r="AG298">
        <v>174.203</v>
      </c>
      <c r="AH298" t="s">
        <v>20</v>
      </c>
      <c r="AI298" t="s">
        <v>20</v>
      </c>
      <c r="AJ298">
        <v>409</v>
      </c>
      <c r="AK298" t="s">
        <v>1315</v>
      </c>
      <c r="AL298" t="s">
        <v>20</v>
      </c>
      <c r="AM298" t="s">
        <v>1354</v>
      </c>
      <c r="AN298" t="s">
        <v>20</v>
      </c>
      <c r="AO298">
        <v>119.119</v>
      </c>
      <c r="AP298" t="s">
        <v>20</v>
      </c>
      <c r="AQ298" t="s">
        <v>20</v>
      </c>
    </row>
    <row r="299" spans="1:43" x14ac:dyDescent="0.25">
      <c r="A299">
        <v>6</v>
      </c>
      <c r="B299" t="s">
        <v>167</v>
      </c>
      <c r="C299" t="str">
        <f>HYPERLINK("http://www.ncbi.nlm.nih.gov/protein/NXT04703.1","NXT04703.1")</f>
        <v>NXT04703.1</v>
      </c>
      <c r="D299">
        <v>13423</v>
      </c>
      <c r="E299" t="str">
        <f>HYPERLINK("http://www.ncbi.nlm.nih.gov/Taxonomy/Browser/wwwtax.cgi?mode=Info&amp;id=670355&amp;lvl=3&amp;lin=f&amp;keep=1&amp;srchmode=1&amp;unlock","670355")</f>
        <v>670355</v>
      </c>
      <c r="F299" t="s">
        <v>167</v>
      </c>
      <c r="G299" t="str">
        <f>HYPERLINK("http://www.ncbi.nlm.nih.gov/Taxonomy/Browser/wwwtax.cgi?mode=Info&amp;id=670355&amp;lvl=3&amp;lin=f&amp;keep=1&amp;srchmode=1&amp;unlock","Prunella fulvescens")</f>
        <v>Prunella fulvescens</v>
      </c>
      <c r="H299" t="s">
        <v>469</v>
      </c>
      <c r="I299" t="str">
        <f>HYPERLINK("http://www.ncbi.nlm.nih.gov/protein/NXT04703.1","ANDR protein")</f>
        <v>ANDR protein</v>
      </c>
      <c r="J299" t="s">
        <v>1323</v>
      </c>
      <c r="K299" t="s">
        <v>20</v>
      </c>
      <c r="L299">
        <v>237</v>
      </c>
      <c r="M299" t="s">
        <v>25</v>
      </c>
      <c r="N299" t="s">
        <v>20</v>
      </c>
      <c r="O299" t="s">
        <v>1352</v>
      </c>
      <c r="P299" t="s">
        <v>20</v>
      </c>
      <c r="Q299">
        <v>132.119</v>
      </c>
      <c r="R299" t="s">
        <v>20</v>
      </c>
      <c r="S299" t="s">
        <v>20</v>
      </c>
      <c r="T299">
        <v>243</v>
      </c>
      <c r="U299" t="s">
        <v>1313</v>
      </c>
      <c r="V299" t="s">
        <v>20</v>
      </c>
      <c r="W299" t="s">
        <v>1352</v>
      </c>
      <c r="X299" t="s">
        <v>20</v>
      </c>
      <c r="Y299">
        <v>146.14599999999999</v>
      </c>
      <c r="Z299" t="s">
        <v>20</v>
      </c>
      <c r="AA299" t="s">
        <v>20</v>
      </c>
      <c r="AB299">
        <v>284</v>
      </c>
      <c r="AC299" t="s">
        <v>1314</v>
      </c>
      <c r="AD299" t="s">
        <v>20</v>
      </c>
      <c r="AE299" t="s">
        <v>1353</v>
      </c>
      <c r="AF299" t="s">
        <v>20</v>
      </c>
      <c r="AG299">
        <v>174.203</v>
      </c>
      <c r="AH299" t="s">
        <v>20</v>
      </c>
      <c r="AI299" t="s">
        <v>20</v>
      </c>
      <c r="AJ299">
        <v>409</v>
      </c>
      <c r="AK299" t="s">
        <v>1315</v>
      </c>
      <c r="AL299" t="s">
        <v>20</v>
      </c>
      <c r="AM299" t="s">
        <v>1354</v>
      </c>
      <c r="AN299" t="s">
        <v>20</v>
      </c>
      <c r="AO299">
        <v>119.119</v>
      </c>
      <c r="AP299" t="s">
        <v>20</v>
      </c>
      <c r="AQ299" t="s">
        <v>20</v>
      </c>
    </row>
    <row r="300" spans="1:43" x14ac:dyDescent="0.25">
      <c r="A300">
        <v>6</v>
      </c>
      <c r="B300" t="s">
        <v>167</v>
      </c>
      <c r="C300" t="str">
        <f>HYPERLINK("http://www.ncbi.nlm.nih.gov/protein/NXD22087.1","NXD22087.1")</f>
        <v>NXD22087.1</v>
      </c>
      <c r="D300">
        <v>14027</v>
      </c>
      <c r="E300" t="str">
        <f>HYPERLINK("http://www.ncbi.nlm.nih.gov/Taxonomy/Browser/wwwtax.cgi?mode=Info&amp;id=1463973&amp;lvl=3&amp;lin=f&amp;keep=1&amp;srchmode=1&amp;unlock","1463973")</f>
        <v>1463973</v>
      </c>
      <c r="F300" t="s">
        <v>167</v>
      </c>
      <c r="G300" t="str">
        <f>HYPERLINK("http://www.ncbi.nlm.nih.gov/Taxonomy/Browser/wwwtax.cgi?mode=Info&amp;id=1463973&amp;lvl=3&amp;lin=f&amp;keep=1&amp;srchmode=1&amp;unlock","Elachura formosa")</f>
        <v>Elachura formosa</v>
      </c>
      <c r="H300" t="s">
        <v>390</v>
      </c>
      <c r="I300" t="str">
        <f>HYPERLINK("http://www.ncbi.nlm.nih.gov/protein/NXD22087.1","ANDR protein")</f>
        <v>ANDR protein</v>
      </c>
      <c r="J300" t="s">
        <v>1323</v>
      </c>
      <c r="K300" t="s">
        <v>20</v>
      </c>
      <c r="L300">
        <v>470</v>
      </c>
      <c r="M300" t="s">
        <v>25</v>
      </c>
      <c r="N300" t="s">
        <v>20</v>
      </c>
      <c r="O300" t="s">
        <v>1352</v>
      </c>
      <c r="P300" t="s">
        <v>20</v>
      </c>
      <c r="Q300">
        <v>132.119</v>
      </c>
      <c r="R300" t="s">
        <v>20</v>
      </c>
      <c r="S300" t="s">
        <v>20</v>
      </c>
      <c r="T300">
        <v>476</v>
      </c>
      <c r="U300" t="s">
        <v>1313</v>
      </c>
      <c r="V300" t="s">
        <v>20</v>
      </c>
      <c r="W300" t="s">
        <v>1352</v>
      </c>
      <c r="X300" t="s">
        <v>20</v>
      </c>
      <c r="Y300">
        <v>146.14599999999999</v>
      </c>
      <c r="Z300" t="s">
        <v>20</v>
      </c>
      <c r="AA300" t="s">
        <v>20</v>
      </c>
      <c r="AB300">
        <v>517</v>
      </c>
      <c r="AC300" t="s">
        <v>1314</v>
      </c>
      <c r="AD300" t="s">
        <v>20</v>
      </c>
      <c r="AE300" t="s">
        <v>1353</v>
      </c>
      <c r="AF300" t="s">
        <v>20</v>
      </c>
      <c r="AG300">
        <v>174.203</v>
      </c>
      <c r="AH300" t="s">
        <v>20</v>
      </c>
      <c r="AI300" t="s">
        <v>20</v>
      </c>
      <c r="AJ300">
        <v>642</v>
      </c>
      <c r="AK300" t="s">
        <v>1315</v>
      </c>
      <c r="AL300" t="s">
        <v>20</v>
      </c>
      <c r="AM300" t="s">
        <v>1354</v>
      </c>
      <c r="AN300" t="s">
        <v>20</v>
      </c>
      <c r="AO300">
        <v>119.119</v>
      </c>
      <c r="AP300" t="s">
        <v>20</v>
      </c>
      <c r="AQ300" t="s">
        <v>20</v>
      </c>
    </row>
    <row r="301" spans="1:43" x14ac:dyDescent="0.25">
      <c r="A301">
        <v>6</v>
      </c>
      <c r="B301" t="s">
        <v>167</v>
      </c>
      <c r="C301" t="str">
        <f>HYPERLINK("http://www.ncbi.nlm.nih.gov/protein/XP_014743316.1","XP_014743316.1")</f>
        <v>XP_014743316.1</v>
      </c>
      <c r="D301">
        <v>26793</v>
      </c>
      <c r="E301" t="str">
        <f>HYPERLINK("http://www.ncbi.nlm.nih.gov/Taxonomy/Browser/wwwtax.cgi?mode=Info&amp;id=9172&amp;lvl=3&amp;lin=f&amp;keep=1&amp;srchmode=1&amp;unlock","9172")</f>
        <v>9172</v>
      </c>
      <c r="F301" t="s">
        <v>167</v>
      </c>
      <c r="G301" t="str">
        <f>HYPERLINK("http://www.ncbi.nlm.nih.gov/Taxonomy/Browser/wwwtax.cgi?mode=Info&amp;id=9172&amp;lvl=3&amp;lin=f&amp;keep=1&amp;srchmode=1&amp;unlock","Sturnus vulgaris")</f>
        <v>Sturnus vulgaris</v>
      </c>
      <c r="H301" t="s">
        <v>341</v>
      </c>
      <c r="I301" t="str">
        <f>HYPERLINK("http://www.ncbi.nlm.nih.gov/protein/XP_014743316.1","PREDICTED: androgen receptor")</f>
        <v>PREDICTED: androgen receptor</v>
      </c>
      <c r="J301" t="s">
        <v>1323</v>
      </c>
      <c r="K301" t="s">
        <v>20</v>
      </c>
      <c r="L301">
        <v>468</v>
      </c>
      <c r="M301" t="s">
        <v>25</v>
      </c>
      <c r="N301" t="s">
        <v>20</v>
      </c>
      <c r="O301" t="s">
        <v>1352</v>
      </c>
      <c r="P301" t="s">
        <v>20</v>
      </c>
      <c r="Q301">
        <v>132.119</v>
      </c>
      <c r="R301" t="s">
        <v>20</v>
      </c>
      <c r="S301" t="s">
        <v>20</v>
      </c>
      <c r="T301">
        <v>474</v>
      </c>
      <c r="U301" t="s">
        <v>1313</v>
      </c>
      <c r="V301" t="s">
        <v>20</v>
      </c>
      <c r="W301" t="s">
        <v>1352</v>
      </c>
      <c r="X301" t="s">
        <v>20</v>
      </c>
      <c r="Y301">
        <v>146.14599999999999</v>
      </c>
      <c r="Z301" t="s">
        <v>20</v>
      </c>
      <c r="AA301" t="s">
        <v>20</v>
      </c>
      <c r="AB301">
        <v>515</v>
      </c>
      <c r="AC301" t="s">
        <v>1314</v>
      </c>
      <c r="AD301" t="s">
        <v>20</v>
      </c>
      <c r="AE301" t="s">
        <v>1353</v>
      </c>
      <c r="AF301" t="s">
        <v>20</v>
      </c>
      <c r="AG301">
        <v>174.203</v>
      </c>
      <c r="AH301" t="s">
        <v>20</v>
      </c>
      <c r="AI301" t="s">
        <v>20</v>
      </c>
      <c r="AJ301">
        <v>640</v>
      </c>
      <c r="AK301" t="s">
        <v>1315</v>
      </c>
      <c r="AL301" t="s">
        <v>20</v>
      </c>
      <c r="AM301" t="s">
        <v>1354</v>
      </c>
      <c r="AN301" t="s">
        <v>20</v>
      </c>
      <c r="AO301">
        <v>119.119</v>
      </c>
      <c r="AP301" t="s">
        <v>20</v>
      </c>
      <c r="AQ301" t="s">
        <v>20</v>
      </c>
    </row>
    <row r="302" spans="1:43" x14ac:dyDescent="0.25">
      <c r="A302">
        <v>6</v>
      </c>
      <c r="B302" t="s">
        <v>167</v>
      </c>
      <c r="C302" t="str">
        <f>HYPERLINK("http://www.ncbi.nlm.nih.gov/protein/XP_030823606.1","XP_030823606.1")</f>
        <v>XP_030823606.1</v>
      </c>
      <c r="D302">
        <v>28938</v>
      </c>
      <c r="E302" t="str">
        <f>HYPERLINK("http://www.ncbi.nlm.nih.gov/Taxonomy/Browser/wwwtax.cgi?mode=Info&amp;id=87175&amp;lvl=3&amp;lin=f&amp;keep=1&amp;srchmode=1&amp;unlock","87175")</f>
        <v>87175</v>
      </c>
      <c r="F302" t="s">
        <v>167</v>
      </c>
      <c r="G302" t="str">
        <f>HYPERLINK("http://www.ncbi.nlm.nih.gov/Taxonomy/Browser/wwwtax.cgi?mode=Info&amp;id=87175&amp;lvl=3&amp;lin=f&amp;keep=1&amp;srchmode=1&amp;unlock","Camarhynchus parvulus")</f>
        <v>Camarhynchus parvulus</v>
      </c>
      <c r="H302" t="s">
        <v>414</v>
      </c>
      <c r="I302" t="str">
        <f>HYPERLINK("http://www.ncbi.nlm.nih.gov/protein/XP_030823606.1","androgen receptor")</f>
        <v>androgen receptor</v>
      </c>
      <c r="J302" t="s">
        <v>1323</v>
      </c>
      <c r="K302" t="s">
        <v>20</v>
      </c>
      <c r="L302">
        <v>471</v>
      </c>
      <c r="M302" t="s">
        <v>25</v>
      </c>
      <c r="N302" t="s">
        <v>20</v>
      </c>
      <c r="O302" t="s">
        <v>1352</v>
      </c>
      <c r="P302" t="s">
        <v>20</v>
      </c>
      <c r="Q302">
        <v>132.119</v>
      </c>
      <c r="R302" t="s">
        <v>20</v>
      </c>
      <c r="S302" t="s">
        <v>20</v>
      </c>
      <c r="T302">
        <v>477</v>
      </c>
      <c r="U302" t="s">
        <v>1313</v>
      </c>
      <c r="V302" t="s">
        <v>20</v>
      </c>
      <c r="W302" t="s">
        <v>1352</v>
      </c>
      <c r="X302" t="s">
        <v>20</v>
      </c>
      <c r="Y302">
        <v>146.14599999999999</v>
      </c>
      <c r="Z302" t="s">
        <v>20</v>
      </c>
      <c r="AA302" t="s">
        <v>20</v>
      </c>
      <c r="AB302">
        <v>518</v>
      </c>
      <c r="AC302" t="s">
        <v>1314</v>
      </c>
      <c r="AD302" t="s">
        <v>20</v>
      </c>
      <c r="AE302" t="s">
        <v>1353</v>
      </c>
      <c r="AF302" t="s">
        <v>20</v>
      </c>
      <c r="AG302">
        <v>174.203</v>
      </c>
      <c r="AH302" t="s">
        <v>20</v>
      </c>
      <c r="AI302" t="s">
        <v>20</v>
      </c>
      <c r="AJ302">
        <v>643</v>
      </c>
      <c r="AK302" t="s">
        <v>1315</v>
      </c>
      <c r="AL302" t="s">
        <v>20</v>
      </c>
      <c r="AM302" t="s">
        <v>1354</v>
      </c>
      <c r="AN302" t="s">
        <v>20</v>
      </c>
      <c r="AO302">
        <v>119.119</v>
      </c>
      <c r="AP302" t="s">
        <v>20</v>
      </c>
      <c r="AQ302" t="s">
        <v>20</v>
      </c>
    </row>
    <row r="303" spans="1:43" x14ac:dyDescent="0.25">
      <c r="A303">
        <v>6</v>
      </c>
      <c r="B303" t="s">
        <v>167</v>
      </c>
      <c r="C303" t="str">
        <f>HYPERLINK("http://www.ncbi.nlm.nih.gov/protein/NWZ06784.1","NWZ06784.1")</f>
        <v>NWZ06784.1</v>
      </c>
      <c r="D303">
        <v>14309</v>
      </c>
      <c r="E303" t="str">
        <f>HYPERLINK("http://www.ncbi.nlm.nih.gov/Taxonomy/Browser/wwwtax.cgi?mode=Info&amp;id=39638&amp;lvl=3&amp;lin=f&amp;keep=1&amp;srchmode=1&amp;unlock","39638")</f>
        <v>39638</v>
      </c>
      <c r="F303" t="s">
        <v>167</v>
      </c>
      <c r="G303" t="str">
        <f>HYPERLINK("http://www.ncbi.nlm.nih.gov/Taxonomy/Browser/wwwtax.cgi?mode=Info&amp;id=39638&amp;lvl=3&amp;lin=f&amp;keep=1&amp;srchmode=1&amp;unlock","Agelaius phoeniceus")</f>
        <v>Agelaius phoeniceus</v>
      </c>
      <c r="H303" t="s">
        <v>426</v>
      </c>
      <c r="I303" t="str">
        <f>HYPERLINK("http://www.ncbi.nlm.nih.gov/protein/NWZ06784.1","ANDR protein")</f>
        <v>ANDR protein</v>
      </c>
      <c r="J303" t="s">
        <v>1323</v>
      </c>
      <c r="K303" t="s">
        <v>20</v>
      </c>
      <c r="L303">
        <v>471</v>
      </c>
      <c r="M303" t="s">
        <v>25</v>
      </c>
      <c r="N303" t="s">
        <v>20</v>
      </c>
      <c r="O303" t="s">
        <v>1352</v>
      </c>
      <c r="P303" t="s">
        <v>20</v>
      </c>
      <c r="Q303">
        <v>132.119</v>
      </c>
      <c r="R303" t="s">
        <v>20</v>
      </c>
      <c r="S303" t="s">
        <v>20</v>
      </c>
      <c r="T303">
        <v>477</v>
      </c>
      <c r="U303" t="s">
        <v>1313</v>
      </c>
      <c r="V303" t="s">
        <v>20</v>
      </c>
      <c r="W303" t="s">
        <v>1352</v>
      </c>
      <c r="X303" t="s">
        <v>20</v>
      </c>
      <c r="Y303">
        <v>146.14599999999999</v>
      </c>
      <c r="Z303" t="s">
        <v>20</v>
      </c>
      <c r="AA303" t="s">
        <v>20</v>
      </c>
      <c r="AB303">
        <v>518</v>
      </c>
      <c r="AC303" t="s">
        <v>1314</v>
      </c>
      <c r="AD303" t="s">
        <v>20</v>
      </c>
      <c r="AE303" t="s">
        <v>1353</v>
      </c>
      <c r="AF303" t="s">
        <v>20</v>
      </c>
      <c r="AG303">
        <v>174.203</v>
      </c>
      <c r="AH303" t="s">
        <v>20</v>
      </c>
      <c r="AI303" t="s">
        <v>20</v>
      </c>
      <c r="AJ303">
        <v>643</v>
      </c>
      <c r="AK303" t="s">
        <v>1315</v>
      </c>
      <c r="AL303" t="s">
        <v>20</v>
      </c>
      <c r="AM303" t="s">
        <v>1354</v>
      </c>
      <c r="AN303" t="s">
        <v>20</v>
      </c>
      <c r="AO303">
        <v>119.119</v>
      </c>
      <c r="AP303" t="s">
        <v>20</v>
      </c>
      <c r="AQ303" t="s">
        <v>20</v>
      </c>
    </row>
    <row r="304" spans="1:43" x14ac:dyDescent="0.25">
      <c r="A304">
        <v>6</v>
      </c>
      <c r="B304" t="s">
        <v>167</v>
      </c>
      <c r="C304" t="str">
        <f>HYPERLINK("http://www.ncbi.nlm.nih.gov/protein/NWH37034.1","NWH37034.1")</f>
        <v>NWH37034.1</v>
      </c>
      <c r="D304">
        <v>13554</v>
      </c>
      <c r="E304" t="str">
        <f>HYPERLINK("http://www.ncbi.nlm.nih.gov/Taxonomy/Browser/wwwtax.cgi?mode=Info&amp;id=667144&amp;lvl=3&amp;lin=f&amp;keep=1&amp;srchmode=1&amp;unlock","667144")</f>
        <v>667144</v>
      </c>
      <c r="F304" t="s">
        <v>167</v>
      </c>
      <c r="G304" t="str">
        <f>HYPERLINK("http://www.ncbi.nlm.nih.gov/Taxonomy/Browser/wwwtax.cgi?mode=Info&amp;id=667144&amp;lvl=3&amp;lin=f&amp;keep=1&amp;srchmode=1&amp;unlock","Chloropsis hardwickii")</f>
        <v>Chloropsis hardwickii</v>
      </c>
      <c r="H304" t="s">
        <v>206</v>
      </c>
      <c r="I304" t="str">
        <f>HYPERLINK("http://www.ncbi.nlm.nih.gov/protein/NWH37034.1","ANDR protein")</f>
        <v>ANDR protein</v>
      </c>
      <c r="J304" t="s">
        <v>1323</v>
      </c>
      <c r="K304" t="s">
        <v>20</v>
      </c>
      <c r="L304">
        <v>237</v>
      </c>
      <c r="M304" t="s">
        <v>25</v>
      </c>
      <c r="N304" t="s">
        <v>20</v>
      </c>
      <c r="O304" t="s">
        <v>1352</v>
      </c>
      <c r="P304" t="s">
        <v>20</v>
      </c>
      <c r="Q304">
        <v>132.119</v>
      </c>
      <c r="R304" t="s">
        <v>20</v>
      </c>
      <c r="S304" t="s">
        <v>20</v>
      </c>
      <c r="T304">
        <v>243</v>
      </c>
      <c r="U304" t="s">
        <v>1313</v>
      </c>
      <c r="V304" t="s">
        <v>20</v>
      </c>
      <c r="W304" t="s">
        <v>1352</v>
      </c>
      <c r="X304" t="s">
        <v>20</v>
      </c>
      <c r="Y304">
        <v>146.14599999999999</v>
      </c>
      <c r="Z304" t="s">
        <v>20</v>
      </c>
      <c r="AA304" t="s">
        <v>20</v>
      </c>
      <c r="AB304">
        <v>284</v>
      </c>
      <c r="AC304" t="s">
        <v>1314</v>
      </c>
      <c r="AD304" t="s">
        <v>20</v>
      </c>
      <c r="AE304" t="s">
        <v>1353</v>
      </c>
      <c r="AF304" t="s">
        <v>20</v>
      </c>
      <c r="AG304">
        <v>174.203</v>
      </c>
      <c r="AH304" t="s">
        <v>20</v>
      </c>
      <c r="AI304" t="s">
        <v>20</v>
      </c>
      <c r="AJ304">
        <v>409</v>
      </c>
      <c r="AK304" t="s">
        <v>1315</v>
      </c>
      <c r="AL304" t="s">
        <v>20</v>
      </c>
      <c r="AM304" t="s">
        <v>1354</v>
      </c>
      <c r="AN304" t="s">
        <v>20</v>
      </c>
      <c r="AO304">
        <v>119.119</v>
      </c>
      <c r="AP304" t="s">
        <v>20</v>
      </c>
      <c r="AQ304" t="s">
        <v>20</v>
      </c>
    </row>
    <row r="305" spans="1:43" x14ac:dyDescent="0.25">
      <c r="A305">
        <v>6</v>
      </c>
      <c r="B305" t="s">
        <v>167</v>
      </c>
      <c r="C305" t="str">
        <f>HYPERLINK("http://www.ncbi.nlm.nih.gov/protein/NXV62008.1","NXV62008.1")</f>
        <v>NXV62008.1</v>
      </c>
      <c r="D305">
        <v>44051</v>
      </c>
      <c r="E305" t="str">
        <f>HYPERLINK("http://www.ncbi.nlm.nih.gov/Taxonomy/Browser/wwwtax.cgi?mode=Info&amp;id=84834&amp;lvl=3&amp;lin=f&amp;keep=1&amp;srchmode=1&amp;unlock","84834")</f>
        <v>84834</v>
      </c>
      <c r="F305" t="s">
        <v>167</v>
      </c>
      <c r="G305" t="str">
        <f>HYPERLINK("http://www.ncbi.nlm.nih.gov/Taxonomy/Browser/wwwtax.cgi?mode=Info&amp;id=84834&amp;lvl=3&amp;lin=f&amp;keep=1&amp;srchmode=1&amp;unlock","Molothrus ater")</f>
        <v>Molothrus ater</v>
      </c>
      <c r="H305" t="s">
        <v>430</v>
      </c>
      <c r="I305" t="str">
        <f>HYPERLINK("http://www.ncbi.nlm.nih.gov/protein/NXV62008.1","ANDR protein")</f>
        <v>ANDR protein</v>
      </c>
      <c r="J305" t="s">
        <v>1323</v>
      </c>
      <c r="K305" t="s">
        <v>20</v>
      </c>
      <c r="L305">
        <v>471</v>
      </c>
      <c r="M305" t="s">
        <v>25</v>
      </c>
      <c r="N305" t="s">
        <v>20</v>
      </c>
      <c r="O305" t="s">
        <v>1352</v>
      </c>
      <c r="P305" t="s">
        <v>20</v>
      </c>
      <c r="Q305">
        <v>132.119</v>
      </c>
      <c r="R305" t="s">
        <v>20</v>
      </c>
      <c r="S305" t="s">
        <v>20</v>
      </c>
      <c r="T305">
        <v>477</v>
      </c>
      <c r="U305" t="s">
        <v>1313</v>
      </c>
      <c r="V305" t="s">
        <v>20</v>
      </c>
      <c r="W305" t="s">
        <v>1352</v>
      </c>
      <c r="X305" t="s">
        <v>20</v>
      </c>
      <c r="Y305">
        <v>146.14599999999999</v>
      </c>
      <c r="Z305" t="s">
        <v>20</v>
      </c>
      <c r="AA305" t="s">
        <v>20</v>
      </c>
      <c r="AB305">
        <v>518</v>
      </c>
      <c r="AC305" t="s">
        <v>1314</v>
      </c>
      <c r="AD305" t="s">
        <v>20</v>
      </c>
      <c r="AE305" t="s">
        <v>1353</v>
      </c>
      <c r="AF305" t="s">
        <v>20</v>
      </c>
      <c r="AG305">
        <v>174.203</v>
      </c>
      <c r="AH305" t="s">
        <v>20</v>
      </c>
      <c r="AI305" t="s">
        <v>20</v>
      </c>
      <c r="AJ305">
        <v>643</v>
      </c>
      <c r="AK305" t="s">
        <v>1315</v>
      </c>
      <c r="AL305" t="s">
        <v>20</v>
      </c>
      <c r="AM305" t="s">
        <v>1354</v>
      </c>
      <c r="AN305" t="s">
        <v>20</v>
      </c>
      <c r="AO305">
        <v>119.119</v>
      </c>
      <c r="AP305" t="s">
        <v>20</v>
      </c>
      <c r="AQ305" t="s">
        <v>20</v>
      </c>
    </row>
    <row r="306" spans="1:43" x14ac:dyDescent="0.25">
      <c r="A306">
        <v>6</v>
      </c>
      <c r="B306" t="s">
        <v>167</v>
      </c>
      <c r="C306" t="str">
        <f>HYPERLINK("http://www.ncbi.nlm.nih.gov/protein/NWY75297.1","NWY75297.1")</f>
        <v>NWY75297.1</v>
      </c>
      <c r="D306">
        <v>13909</v>
      </c>
      <c r="E306" t="str">
        <f>HYPERLINK("http://www.ncbi.nlm.nih.gov/Taxonomy/Browser/wwwtax.cgi?mode=Info&amp;id=37610&amp;lvl=3&amp;lin=f&amp;keep=1&amp;srchmode=1&amp;unlock","37610")</f>
        <v>37610</v>
      </c>
      <c r="F306" t="s">
        <v>167</v>
      </c>
      <c r="G306" t="str">
        <f>HYPERLINK("http://www.ncbi.nlm.nih.gov/Taxonomy/Browser/wwwtax.cgi?mode=Info&amp;id=37610&amp;lvl=3&amp;lin=f&amp;keep=1&amp;srchmode=1&amp;unlock","Erithacus rubecula")</f>
        <v>Erithacus rubecula</v>
      </c>
      <c r="H306" t="s">
        <v>442</v>
      </c>
      <c r="I306" t="str">
        <f>HYPERLINK("http://www.ncbi.nlm.nih.gov/protein/NWY75297.1","ANDR protein")</f>
        <v>ANDR protein</v>
      </c>
      <c r="J306" t="s">
        <v>1323</v>
      </c>
      <c r="K306" t="s">
        <v>20</v>
      </c>
      <c r="L306">
        <v>237</v>
      </c>
      <c r="M306" t="s">
        <v>25</v>
      </c>
      <c r="N306" t="s">
        <v>20</v>
      </c>
      <c r="O306" t="s">
        <v>1352</v>
      </c>
      <c r="P306" t="s">
        <v>20</v>
      </c>
      <c r="Q306">
        <v>132.119</v>
      </c>
      <c r="R306" t="s">
        <v>20</v>
      </c>
      <c r="S306" t="s">
        <v>20</v>
      </c>
      <c r="T306">
        <v>243</v>
      </c>
      <c r="U306" t="s">
        <v>1313</v>
      </c>
      <c r="V306" t="s">
        <v>20</v>
      </c>
      <c r="W306" t="s">
        <v>1352</v>
      </c>
      <c r="X306" t="s">
        <v>20</v>
      </c>
      <c r="Y306">
        <v>146.14599999999999</v>
      </c>
      <c r="Z306" t="s">
        <v>20</v>
      </c>
      <c r="AA306" t="s">
        <v>20</v>
      </c>
      <c r="AB306">
        <v>284</v>
      </c>
      <c r="AC306" t="s">
        <v>1314</v>
      </c>
      <c r="AD306" t="s">
        <v>20</v>
      </c>
      <c r="AE306" t="s">
        <v>1353</v>
      </c>
      <c r="AF306" t="s">
        <v>20</v>
      </c>
      <c r="AG306">
        <v>174.203</v>
      </c>
      <c r="AH306" t="s">
        <v>20</v>
      </c>
      <c r="AI306" t="s">
        <v>20</v>
      </c>
      <c r="AJ306">
        <v>409</v>
      </c>
      <c r="AK306" t="s">
        <v>1315</v>
      </c>
      <c r="AL306" t="s">
        <v>20</v>
      </c>
      <c r="AM306" t="s">
        <v>1354</v>
      </c>
      <c r="AN306" t="s">
        <v>20</v>
      </c>
      <c r="AO306">
        <v>119.119</v>
      </c>
      <c r="AP306" t="s">
        <v>20</v>
      </c>
      <c r="AQ306" t="s">
        <v>20</v>
      </c>
    </row>
    <row r="307" spans="1:43" x14ac:dyDescent="0.25">
      <c r="A307">
        <v>6</v>
      </c>
      <c r="B307" t="s">
        <v>167</v>
      </c>
      <c r="C307" t="str">
        <f>HYPERLINK("http://www.ncbi.nlm.nih.gov/protein/NXB98894.1","NXB98894.1")</f>
        <v>NXB98894.1</v>
      </c>
      <c r="D307">
        <v>14308</v>
      </c>
      <c r="E307" t="str">
        <f>HYPERLINK("http://www.ncbi.nlm.nih.gov/Taxonomy/Browser/wwwtax.cgi?mode=Info&amp;id=38397&amp;lvl=3&amp;lin=f&amp;keep=1&amp;srchmode=1&amp;unlock","38397")</f>
        <v>38397</v>
      </c>
      <c r="F307" t="s">
        <v>167</v>
      </c>
      <c r="G307" t="str">
        <f>HYPERLINK("http://www.ncbi.nlm.nih.gov/Taxonomy/Browser/wwwtax.cgi?mode=Info&amp;id=38397&amp;lvl=3&amp;lin=f&amp;keep=1&amp;srchmode=1&amp;unlock","Orthonyx spaldingii")</f>
        <v>Orthonyx spaldingii</v>
      </c>
      <c r="H307" t="s">
        <v>215</v>
      </c>
      <c r="I307" t="str">
        <f>HYPERLINK("http://www.ncbi.nlm.nih.gov/protein/NXB98894.1","ANDR protein")</f>
        <v>ANDR protein</v>
      </c>
      <c r="J307" t="s">
        <v>1323</v>
      </c>
      <c r="K307" t="s">
        <v>20</v>
      </c>
      <c r="L307">
        <v>237</v>
      </c>
      <c r="M307" t="s">
        <v>25</v>
      </c>
      <c r="N307" t="s">
        <v>20</v>
      </c>
      <c r="O307" t="s">
        <v>1352</v>
      </c>
      <c r="P307" t="s">
        <v>20</v>
      </c>
      <c r="Q307">
        <v>132.119</v>
      </c>
      <c r="R307" t="s">
        <v>20</v>
      </c>
      <c r="S307" t="s">
        <v>20</v>
      </c>
      <c r="T307">
        <v>243</v>
      </c>
      <c r="U307" t="s">
        <v>1313</v>
      </c>
      <c r="V307" t="s">
        <v>20</v>
      </c>
      <c r="W307" t="s">
        <v>1352</v>
      </c>
      <c r="X307" t="s">
        <v>20</v>
      </c>
      <c r="Y307">
        <v>146.14599999999999</v>
      </c>
      <c r="Z307" t="s">
        <v>20</v>
      </c>
      <c r="AA307" t="s">
        <v>20</v>
      </c>
      <c r="AB307">
        <v>284</v>
      </c>
      <c r="AC307" t="s">
        <v>1314</v>
      </c>
      <c r="AD307" t="s">
        <v>20</v>
      </c>
      <c r="AE307" t="s">
        <v>1353</v>
      </c>
      <c r="AF307" t="s">
        <v>20</v>
      </c>
      <c r="AG307">
        <v>174.203</v>
      </c>
      <c r="AH307" t="s">
        <v>20</v>
      </c>
      <c r="AI307" t="s">
        <v>20</v>
      </c>
      <c r="AJ307">
        <v>409</v>
      </c>
      <c r="AK307" t="s">
        <v>1315</v>
      </c>
      <c r="AL307" t="s">
        <v>20</v>
      </c>
      <c r="AM307" t="s">
        <v>1354</v>
      </c>
      <c r="AN307" t="s">
        <v>20</v>
      </c>
      <c r="AO307">
        <v>119.119</v>
      </c>
      <c r="AP307" t="s">
        <v>20</v>
      </c>
      <c r="AQ307" t="s">
        <v>20</v>
      </c>
    </row>
    <row r="308" spans="1:43" x14ac:dyDescent="0.25">
      <c r="A308">
        <v>6</v>
      </c>
      <c r="B308" t="s">
        <v>167</v>
      </c>
      <c r="C308" t="str">
        <f>HYPERLINK("http://www.ncbi.nlm.nih.gov/protein/NXS86641.1","NXS86641.1")</f>
        <v>NXS86641.1</v>
      </c>
      <c r="D308">
        <v>13355</v>
      </c>
      <c r="E308" t="str">
        <f>HYPERLINK("http://www.ncbi.nlm.nih.gov/Taxonomy/Browser/wwwtax.cgi?mode=Info&amp;id=1112836&amp;lvl=3&amp;lin=f&amp;keep=1&amp;srchmode=1&amp;unlock","1112836")</f>
        <v>1112836</v>
      </c>
      <c r="F308" t="s">
        <v>167</v>
      </c>
      <c r="G308" t="str">
        <f>HYPERLINK("http://www.ncbi.nlm.nih.gov/Taxonomy/Browser/wwwtax.cgi?mode=Info&amp;id=1112836&amp;lvl=3&amp;lin=f&amp;keep=1&amp;srchmode=1&amp;unlock","Erpornis zantholeuca")</f>
        <v>Erpornis zantholeuca</v>
      </c>
      <c r="H308" t="s">
        <v>244</v>
      </c>
      <c r="I308" t="str">
        <f>HYPERLINK("http://www.ncbi.nlm.nih.gov/protein/NXS86641.1","ANDR protein")</f>
        <v>ANDR protein</v>
      </c>
      <c r="J308" t="s">
        <v>1323</v>
      </c>
      <c r="K308" t="s">
        <v>20</v>
      </c>
      <c r="L308">
        <v>223</v>
      </c>
      <c r="M308" t="s">
        <v>25</v>
      </c>
      <c r="N308" t="s">
        <v>20</v>
      </c>
      <c r="O308" t="s">
        <v>1352</v>
      </c>
      <c r="P308" t="s">
        <v>20</v>
      </c>
      <c r="Q308">
        <v>132.119</v>
      </c>
      <c r="R308" t="s">
        <v>20</v>
      </c>
      <c r="S308" t="s">
        <v>20</v>
      </c>
      <c r="T308">
        <v>229</v>
      </c>
      <c r="U308" t="s">
        <v>1313</v>
      </c>
      <c r="V308" t="s">
        <v>20</v>
      </c>
      <c r="W308" t="s">
        <v>1352</v>
      </c>
      <c r="X308" t="s">
        <v>20</v>
      </c>
      <c r="Y308">
        <v>146.14599999999999</v>
      </c>
      <c r="Z308" t="s">
        <v>20</v>
      </c>
      <c r="AA308" t="s">
        <v>20</v>
      </c>
      <c r="AB308">
        <v>270</v>
      </c>
      <c r="AC308" t="s">
        <v>1314</v>
      </c>
      <c r="AD308" t="s">
        <v>20</v>
      </c>
      <c r="AE308" t="s">
        <v>1353</v>
      </c>
      <c r="AF308" t="s">
        <v>20</v>
      </c>
      <c r="AG308">
        <v>174.203</v>
      </c>
      <c r="AH308" t="s">
        <v>20</v>
      </c>
      <c r="AI308" t="s">
        <v>20</v>
      </c>
      <c r="AJ308">
        <v>395</v>
      </c>
      <c r="AK308" t="s">
        <v>1315</v>
      </c>
      <c r="AL308" t="s">
        <v>20</v>
      </c>
      <c r="AM308" t="s">
        <v>1354</v>
      </c>
      <c r="AN308" t="s">
        <v>20</v>
      </c>
      <c r="AO308">
        <v>119.119</v>
      </c>
      <c r="AP308" t="s">
        <v>20</v>
      </c>
      <c r="AQ308" t="s">
        <v>20</v>
      </c>
    </row>
    <row r="309" spans="1:43" x14ac:dyDescent="0.25">
      <c r="A309">
        <v>6</v>
      </c>
      <c r="B309" t="s">
        <v>167</v>
      </c>
      <c r="C309" t="str">
        <f>HYPERLINK("http://www.ncbi.nlm.nih.gov/protein/NWY98553.1","NWY98553.1")</f>
        <v>NWY98553.1</v>
      </c>
      <c r="D309">
        <v>14648</v>
      </c>
      <c r="E309" t="str">
        <f>HYPERLINK("http://www.ncbi.nlm.nih.gov/Taxonomy/Browser/wwwtax.cgi?mode=Info&amp;id=64802&amp;lvl=3&amp;lin=f&amp;keep=1&amp;srchmode=1&amp;unlock","64802")</f>
        <v>64802</v>
      </c>
      <c r="F309" t="s">
        <v>167</v>
      </c>
      <c r="G309" t="str">
        <f>HYPERLINK("http://www.ncbi.nlm.nih.gov/Taxonomy/Browser/wwwtax.cgi?mode=Info&amp;id=64802&amp;lvl=3&amp;lin=f&amp;keep=1&amp;srchmode=1&amp;unlock","Loxia curvirostra")</f>
        <v>Loxia curvirostra</v>
      </c>
      <c r="H309" t="s">
        <v>457</v>
      </c>
      <c r="I309" t="str">
        <f>HYPERLINK("http://www.ncbi.nlm.nih.gov/protein/NWY98553.1","ANDR protein")</f>
        <v>ANDR protein</v>
      </c>
      <c r="J309" t="s">
        <v>1323</v>
      </c>
      <c r="K309" t="s">
        <v>20</v>
      </c>
      <c r="L309">
        <v>256</v>
      </c>
      <c r="M309" t="s">
        <v>25</v>
      </c>
      <c r="N309" t="s">
        <v>20</v>
      </c>
      <c r="O309" t="s">
        <v>1352</v>
      </c>
      <c r="P309" t="s">
        <v>20</v>
      </c>
      <c r="Q309">
        <v>132.119</v>
      </c>
      <c r="R309" t="s">
        <v>20</v>
      </c>
      <c r="S309" t="s">
        <v>20</v>
      </c>
      <c r="T309">
        <v>262</v>
      </c>
      <c r="U309" t="s">
        <v>1313</v>
      </c>
      <c r="V309" t="s">
        <v>20</v>
      </c>
      <c r="W309" t="s">
        <v>1352</v>
      </c>
      <c r="X309" t="s">
        <v>20</v>
      </c>
      <c r="Y309">
        <v>146.14599999999999</v>
      </c>
      <c r="Z309" t="s">
        <v>20</v>
      </c>
      <c r="AA309" t="s">
        <v>20</v>
      </c>
      <c r="AB309">
        <v>303</v>
      </c>
      <c r="AC309" t="s">
        <v>1314</v>
      </c>
      <c r="AD309" t="s">
        <v>20</v>
      </c>
      <c r="AE309" t="s">
        <v>1353</v>
      </c>
      <c r="AF309" t="s">
        <v>20</v>
      </c>
      <c r="AG309">
        <v>174.203</v>
      </c>
      <c r="AH309" t="s">
        <v>20</v>
      </c>
      <c r="AI309" t="s">
        <v>20</v>
      </c>
      <c r="AJ309">
        <v>428</v>
      </c>
      <c r="AK309" t="s">
        <v>1315</v>
      </c>
      <c r="AL309" t="s">
        <v>20</v>
      </c>
      <c r="AM309" t="s">
        <v>1354</v>
      </c>
      <c r="AN309" t="s">
        <v>20</v>
      </c>
      <c r="AO309">
        <v>119.119</v>
      </c>
      <c r="AP309" t="s">
        <v>20</v>
      </c>
      <c r="AQ309" t="s">
        <v>20</v>
      </c>
    </row>
    <row r="310" spans="1:43" x14ac:dyDescent="0.25">
      <c r="A310">
        <v>6</v>
      </c>
      <c r="B310" t="s">
        <v>167</v>
      </c>
      <c r="C310" t="str">
        <f>HYPERLINK("http://www.ncbi.nlm.nih.gov/protein/NWX13164.1","NWX13164.1")</f>
        <v>NWX13164.1</v>
      </c>
      <c r="D310">
        <v>13717</v>
      </c>
      <c r="E310" t="str">
        <f>HYPERLINK("http://www.ncbi.nlm.nih.gov/Taxonomy/Browser/wwwtax.cgi?mode=Info&amp;id=48278&amp;lvl=3&amp;lin=f&amp;keep=1&amp;srchmode=1&amp;unlock","48278")</f>
        <v>48278</v>
      </c>
      <c r="F310" t="s">
        <v>167</v>
      </c>
      <c r="G310" t="str">
        <f>HYPERLINK("http://www.ncbi.nlm.nih.gov/Taxonomy/Browser/wwwtax.cgi?mode=Info&amp;id=48278&amp;lvl=3&amp;lin=f&amp;keep=1&amp;srchmode=1&amp;unlock","Aegotheles bennettii")</f>
        <v>Aegotheles bennettii</v>
      </c>
      <c r="H310" t="s">
        <v>233</v>
      </c>
      <c r="I310" t="str">
        <f>HYPERLINK("http://www.ncbi.nlm.nih.gov/protein/NWX13164.1","ANDR protein")</f>
        <v>ANDR protein</v>
      </c>
      <c r="J310" t="s">
        <v>1323</v>
      </c>
      <c r="K310" t="s">
        <v>20</v>
      </c>
      <c r="L310">
        <v>211</v>
      </c>
      <c r="M310" t="s">
        <v>25</v>
      </c>
      <c r="N310" t="s">
        <v>20</v>
      </c>
      <c r="O310" t="s">
        <v>1352</v>
      </c>
      <c r="P310" t="s">
        <v>20</v>
      </c>
      <c r="Q310">
        <v>132.119</v>
      </c>
      <c r="R310" t="s">
        <v>20</v>
      </c>
      <c r="S310" t="s">
        <v>20</v>
      </c>
      <c r="T310">
        <v>217</v>
      </c>
      <c r="U310" t="s">
        <v>1313</v>
      </c>
      <c r="V310" t="s">
        <v>20</v>
      </c>
      <c r="W310" t="s">
        <v>1352</v>
      </c>
      <c r="X310" t="s">
        <v>20</v>
      </c>
      <c r="Y310">
        <v>146.14599999999999</v>
      </c>
      <c r="Z310" t="s">
        <v>20</v>
      </c>
      <c r="AA310" t="s">
        <v>20</v>
      </c>
      <c r="AB310">
        <v>258</v>
      </c>
      <c r="AC310" t="s">
        <v>1314</v>
      </c>
      <c r="AD310" t="s">
        <v>20</v>
      </c>
      <c r="AE310" t="s">
        <v>1353</v>
      </c>
      <c r="AF310" t="s">
        <v>20</v>
      </c>
      <c r="AG310">
        <v>174.203</v>
      </c>
      <c r="AH310" t="s">
        <v>20</v>
      </c>
      <c r="AI310" t="s">
        <v>20</v>
      </c>
      <c r="AJ310">
        <v>383</v>
      </c>
      <c r="AK310" t="s">
        <v>1315</v>
      </c>
      <c r="AL310" t="s">
        <v>20</v>
      </c>
      <c r="AM310" t="s">
        <v>1354</v>
      </c>
      <c r="AN310" t="s">
        <v>20</v>
      </c>
      <c r="AO310">
        <v>119.119</v>
      </c>
      <c r="AP310" t="s">
        <v>20</v>
      </c>
      <c r="AQ310" t="s">
        <v>20</v>
      </c>
    </row>
    <row r="311" spans="1:43" x14ac:dyDescent="0.25">
      <c r="A311">
        <v>6</v>
      </c>
      <c r="B311" t="s">
        <v>167</v>
      </c>
      <c r="C311" t="str">
        <f>HYPERLINK("http://www.ncbi.nlm.nih.gov/protein/NWY28386.1","NWY28386.1")</f>
        <v>NWY28386.1</v>
      </c>
      <c r="D311">
        <v>12918</v>
      </c>
      <c r="E311" t="str">
        <f>HYPERLINK("http://www.ncbi.nlm.nih.gov/Taxonomy/Browser/wwwtax.cgi?mode=Info&amp;id=371919&amp;lvl=3&amp;lin=f&amp;keep=1&amp;srchmode=1&amp;unlock","371919")</f>
        <v>371919</v>
      </c>
      <c r="F311" t="s">
        <v>167</v>
      </c>
      <c r="G311" t="str">
        <f>HYPERLINK("http://www.ncbi.nlm.nih.gov/Taxonomy/Browser/wwwtax.cgi?mode=Info&amp;id=371919&amp;lvl=3&amp;lin=f&amp;keep=1&amp;srchmode=1&amp;unlock","Pheucticus melanocephalus")</f>
        <v>Pheucticus melanocephalus</v>
      </c>
      <c r="H311" t="s">
        <v>206</v>
      </c>
      <c r="I311" t="str">
        <f>HYPERLINK("http://www.ncbi.nlm.nih.gov/protein/NWY28386.1","ANDR protein")</f>
        <v>ANDR protein</v>
      </c>
      <c r="J311" t="s">
        <v>1323</v>
      </c>
      <c r="K311" t="s">
        <v>20</v>
      </c>
      <c r="L311">
        <v>237</v>
      </c>
      <c r="M311" t="s">
        <v>25</v>
      </c>
      <c r="N311" t="s">
        <v>20</v>
      </c>
      <c r="O311" t="s">
        <v>1352</v>
      </c>
      <c r="P311" t="s">
        <v>20</v>
      </c>
      <c r="Q311">
        <v>132.119</v>
      </c>
      <c r="R311" t="s">
        <v>20</v>
      </c>
      <c r="S311" t="s">
        <v>20</v>
      </c>
      <c r="T311">
        <v>243</v>
      </c>
      <c r="U311" t="s">
        <v>1313</v>
      </c>
      <c r="V311" t="s">
        <v>20</v>
      </c>
      <c r="W311" t="s">
        <v>1352</v>
      </c>
      <c r="X311" t="s">
        <v>20</v>
      </c>
      <c r="Y311">
        <v>146.14599999999999</v>
      </c>
      <c r="Z311" t="s">
        <v>20</v>
      </c>
      <c r="AA311" t="s">
        <v>20</v>
      </c>
      <c r="AB311">
        <v>284</v>
      </c>
      <c r="AC311" t="s">
        <v>1314</v>
      </c>
      <c r="AD311" t="s">
        <v>20</v>
      </c>
      <c r="AE311" t="s">
        <v>1353</v>
      </c>
      <c r="AF311" t="s">
        <v>20</v>
      </c>
      <c r="AG311">
        <v>174.203</v>
      </c>
      <c r="AH311" t="s">
        <v>20</v>
      </c>
      <c r="AI311" t="s">
        <v>20</v>
      </c>
      <c r="AJ311">
        <v>409</v>
      </c>
      <c r="AK311" t="s">
        <v>1315</v>
      </c>
      <c r="AL311" t="s">
        <v>20</v>
      </c>
      <c r="AM311" t="s">
        <v>1354</v>
      </c>
      <c r="AN311" t="s">
        <v>20</v>
      </c>
      <c r="AO311">
        <v>119.119</v>
      </c>
      <c r="AP311" t="s">
        <v>20</v>
      </c>
      <c r="AQ311" t="s">
        <v>20</v>
      </c>
    </row>
    <row r="312" spans="1:43" x14ac:dyDescent="0.25">
      <c r="A312">
        <v>6</v>
      </c>
      <c r="B312" t="s">
        <v>167</v>
      </c>
      <c r="C312" t="str">
        <f>HYPERLINK("http://www.ncbi.nlm.nih.gov/protein/NXS97465.1","NXS97465.1")</f>
        <v>NXS97465.1</v>
      </c>
      <c r="D312">
        <v>13322</v>
      </c>
      <c r="E312" t="str">
        <f>HYPERLINK("http://www.ncbi.nlm.nih.gov/Taxonomy/Browser/wwwtax.cgi?mode=Info&amp;id=54508&amp;lvl=3&amp;lin=f&amp;keep=1&amp;srchmode=1&amp;unlock","54508")</f>
        <v>54508</v>
      </c>
      <c r="F312" t="s">
        <v>167</v>
      </c>
      <c r="G312" t="str">
        <f>HYPERLINK("http://www.ncbi.nlm.nih.gov/Taxonomy/Browser/wwwtax.cgi?mode=Info&amp;id=54508&amp;lvl=3&amp;lin=f&amp;keep=1&amp;srchmode=1&amp;unlock","Jacana jacana")</f>
        <v>Jacana jacana</v>
      </c>
      <c r="H312" t="s">
        <v>339</v>
      </c>
      <c r="I312" t="str">
        <f>HYPERLINK("http://www.ncbi.nlm.nih.gov/protein/NXS97465.1","ANDR protein")</f>
        <v>ANDR protein</v>
      </c>
      <c r="J312" t="s">
        <v>1323</v>
      </c>
      <c r="K312" t="s">
        <v>20</v>
      </c>
      <c r="L312">
        <v>204</v>
      </c>
      <c r="M312" t="s">
        <v>25</v>
      </c>
      <c r="N312" t="s">
        <v>20</v>
      </c>
      <c r="O312" t="s">
        <v>1352</v>
      </c>
      <c r="P312" t="s">
        <v>20</v>
      </c>
      <c r="Q312">
        <v>132.119</v>
      </c>
      <c r="R312" t="s">
        <v>20</v>
      </c>
      <c r="S312" t="s">
        <v>20</v>
      </c>
      <c r="T312">
        <v>210</v>
      </c>
      <c r="U312" t="s">
        <v>1313</v>
      </c>
      <c r="V312" t="s">
        <v>20</v>
      </c>
      <c r="W312" t="s">
        <v>1352</v>
      </c>
      <c r="X312" t="s">
        <v>20</v>
      </c>
      <c r="Y312">
        <v>146.14599999999999</v>
      </c>
      <c r="Z312" t="s">
        <v>20</v>
      </c>
      <c r="AA312" t="s">
        <v>20</v>
      </c>
      <c r="AB312">
        <v>251</v>
      </c>
      <c r="AC312" t="s">
        <v>1314</v>
      </c>
      <c r="AD312" t="s">
        <v>20</v>
      </c>
      <c r="AE312" t="s">
        <v>1353</v>
      </c>
      <c r="AF312" t="s">
        <v>20</v>
      </c>
      <c r="AG312">
        <v>174.203</v>
      </c>
      <c r="AH312" t="s">
        <v>20</v>
      </c>
      <c r="AI312" t="s">
        <v>20</v>
      </c>
      <c r="AJ312">
        <v>376</v>
      </c>
      <c r="AK312" t="s">
        <v>1315</v>
      </c>
      <c r="AL312" t="s">
        <v>20</v>
      </c>
      <c r="AM312" t="s">
        <v>1354</v>
      </c>
      <c r="AN312" t="s">
        <v>20</v>
      </c>
      <c r="AO312">
        <v>119.119</v>
      </c>
      <c r="AP312" t="s">
        <v>20</v>
      </c>
      <c r="AQ312" t="s">
        <v>20</v>
      </c>
    </row>
    <row r="313" spans="1:43" x14ac:dyDescent="0.25">
      <c r="A313">
        <v>6</v>
      </c>
      <c r="B313" t="s">
        <v>167</v>
      </c>
      <c r="C313" t="str">
        <f>HYPERLINK("http://www.ncbi.nlm.nih.gov/protein/NWZ80032.1","NWZ80032.1")</f>
        <v>NWZ80032.1</v>
      </c>
      <c r="D313">
        <v>14278</v>
      </c>
      <c r="E313" t="str">
        <f>HYPERLINK("http://www.ncbi.nlm.nih.gov/Taxonomy/Browser/wwwtax.cgi?mode=Info&amp;id=48891&amp;lvl=3&amp;lin=f&amp;keep=1&amp;srchmode=1&amp;unlock","48891")</f>
        <v>48891</v>
      </c>
      <c r="F313" t="s">
        <v>167</v>
      </c>
      <c r="G313" t="str">
        <f>HYPERLINK("http://www.ncbi.nlm.nih.gov/Taxonomy/Browser/wwwtax.cgi?mode=Info&amp;id=48891&amp;lvl=3&amp;lin=f&amp;keep=1&amp;srchmode=1&amp;unlock","Poecile atricapillus")</f>
        <v>Poecile atricapillus</v>
      </c>
      <c r="H313" t="s">
        <v>423</v>
      </c>
      <c r="I313" t="str">
        <f>HYPERLINK("http://www.ncbi.nlm.nih.gov/protein/NWZ80032.1","ANDR protein")</f>
        <v>ANDR protein</v>
      </c>
      <c r="J313" t="s">
        <v>1323</v>
      </c>
      <c r="K313" t="s">
        <v>20</v>
      </c>
      <c r="L313">
        <v>467</v>
      </c>
      <c r="M313" t="s">
        <v>25</v>
      </c>
      <c r="N313" t="s">
        <v>20</v>
      </c>
      <c r="O313" t="s">
        <v>1352</v>
      </c>
      <c r="P313" t="s">
        <v>20</v>
      </c>
      <c r="Q313">
        <v>132.119</v>
      </c>
      <c r="R313" t="s">
        <v>20</v>
      </c>
      <c r="S313" t="s">
        <v>20</v>
      </c>
      <c r="T313">
        <v>473</v>
      </c>
      <c r="U313" t="s">
        <v>1313</v>
      </c>
      <c r="V313" t="s">
        <v>20</v>
      </c>
      <c r="W313" t="s">
        <v>1352</v>
      </c>
      <c r="X313" t="s">
        <v>20</v>
      </c>
      <c r="Y313">
        <v>146.14599999999999</v>
      </c>
      <c r="Z313" t="s">
        <v>20</v>
      </c>
      <c r="AA313" t="s">
        <v>20</v>
      </c>
      <c r="AB313">
        <v>514</v>
      </c>
      <c r="AC313" t="s">
        <v>1314</v>
      </c>
      <c r="AD313" t="s">
        <v>20</v>
      </c>
      <c r="AE313" t="s">
        <v>1353</v>
      </c>
      <c r="AF313" t="s">
        <v>20</v>
      </c>
      <c r="AG313">
        <v>174.203</v>
      </c>
      <c r="AH313" t="s">
        <v>20</v>
      </c>
      <c r="AI313" t="s">
        <v>20</v>
      </c>
      <c r="AJ313">
        <v>639</v>
      </c>
      <c r="AK313" t="s">
        <v>1315</v>
      </c>
      <c r="AL313" t="s">
        <v>20</v>
      </c>
      <c r="AM313" t="s">
        <v>1354</v>
      </c>
      <c r="AN313" t="s">
        <v>20</v>
      </c>
      <c r="AO313">
        <v>119.119</v>
      </c>
      <c r="AP313" t="s">
        <v>20</v>
      </c>
      <c r="AQ313" t="s">
        <v>20</v>
      </c>
    </row>
    <row r="314" spans="1:43" x14ac:dyDescent="0.25">
      <c r="A314">
        <v>6</v>
      </c>
      <c r="B314" t="s">
        <v>167</v>
      </c>
      <c r="C314" t="str">
        <f>HYPERLINK("http://www.ncbi.nlm.nih.gov/protein/NXK64764.1","NXK64764.1")</f>
        <v>NXK64764.1</v>
      </c>
      <c r="D314">
        <v>13823</v>
      </c>
      <c r="E314" t="str">
        <f>HYPERLINK("http://www.ncbi.nlm.nih.gov/Taxonomy/Browser/wwwtax.cgi?mode=Info&amp;id=208069&amp;lvl=3&amp;lin=f&amp;keep=1&amp;srchmode=1&amp;unlock","208069")</f>
        <v>208069</v>
      </c>
      <c r="F314" t="s">
        <v>167</v>
      </c>
      <c r="G314" t="str">
        <f>HYPERLINK("http://www.ncbi.nlm.nih.gov/Taxonomy/Browser/wwwtax.cgi?mode=Info&amp;id=208069&amp;lvl=3&amp;lin=f&amp;keep=1&amp;srchmode=1&amp;unlock","Sylvietta virens")</f>
        <v>Sylvietta virens</v>
      </c>
      <c r="H314" t="s">
        <v>434</v>
      </c>
      <c r="I314" t="str">
        <f>HYPERLINK("http://www.ncbi.nlm.nih.gov/protein/NXK64764.1","ANDR protein")</f>
        <v>ANDR protein</v>
      </c>
      <c r="J314" t="s">
        <v>1323</v>
      </c>
      <c r="K314" t="s">
        <v>20</v>
      </c>
      <c r="L314">
        <v>237</v>
      </c>
      <c r="M314" t="s">
        <v>25</v>
      </c>
      <c r="N314" t="s">
        <v>20</v>
      </c>
      <c r="O314" t="s">
        <v>1352</v>
      </c>
      <c r="P314" t="s">
        <v>20</v>
      </c>
      <c r="Q314">
        <v>132.119</v>
      </c>
      <c r="R314" t="s">
        <v>20</v>
      </c>
      <c r="S314" t="s">
        <v>20</v>
      </c>
      <c r="T314">
        <v>243</v>
      </c>
      <c r="U314" t="s">
        <v>1313</v>
      </c>
      <c r="V314" t="s">
        <v>20</v>
      </c>
      <c r="W314" t="s">
        <v>1352</v>
      </c>
      <c r="X314" t="s">
        <v>20</v>
      </c>
      <c r="Y314">
        <v>146.14599999999999</v>
      </c>
      <c r="Z314" t="s">
        <v>20</v>
      </c>
      <c r="AA314" t="s">
        <v>20</v>
      </c>
      <c r="AB314">
        <v>284</v>
      </c>
      <c r="AC314" t="s">
        <v>1314</v>
      </c>
      <c r="AD314" t="s">
        <v>20</v>
      </c>
      <c r="AE314" t="s">
        <v>1353</v>
      </c>
      <c r="AF314" t="s">
        <v>20</v>
      </c>
      <c r="AG314">
        <v>174.203</v>
      </c>
      <c r="AH314" t="s">
        <v>20</v>
      </c>
      <c r="AI314" t="s">
        <v>20</v>
      </c>
      <c r="AJ314">
        <v>409</v>
      </c>
      <c r="AK314" t="s">
        <v>1315</v>
      </c>
      <c r="AL314" t="s">
        <v>20</v>
      </c>
      <c r="AM314" t="s">
        <v>1354</v>
      </c>
      <c r="AN314" t="s">
        <v>20</v>
      </c>
      <c r="AO314">
        <v>119.119</v>
      </c>
      <c r="AP314" t="s">
        <v>20</v>
      </c>
      <c r="AQ314" t="s">
        <v>20</v>
      </c>
    </row>
    <row r="315" spans="1:43" x14ac:dyDescent="0.25">
      <c r="A315">
        <v>6</v>
      </c>
      <c r="B315" t="s">
        <v>167</v>
      </c>
      <c r="C315" t="str">
        <f>HYPERLINK("http://www.ncbi.nlm.nih.gov/protein/NWR87654.1","NWR87654.1")</f>
        <v>NWR87654.1</v>
      </c>
      <c r="D315">
        <v>13898</v>
      </c>
      <c r="E315" t="str">
        <f>HYPERLINK("http://www.ncbi.nlm.nih.gov/Taxonomy/Browser/wwwtax.cgi?mode=Info&amp;id=463165&amp;lvl=3&amp;lin=f&amp;keep=1&amp;srchmode=1&amp;unlock","463165")</f>
        <v>463165</v>
      </c>
      <c r="F315" t="s">
        <v>167</v>
      </c>
      <c r="G315" t="str">
        <f>HYPERLINK("http://www.ncbi.nlm.nih.gov/Taxonomy/Browser/wwwtax.cgi?mode=Info&amp;id=463165&amp;lvl=3&amp;lin=f&amp;keep=1&amp;srchmode=1&amp;unlock","Furnarius figulus")</f>
        <v>Furnarius figulus</v>
      </c>
      <c r="H315" t="s">
        <v>206</v>
      </c>
      <c r="I315" t="str">
        <f>HYPERLINK("http://www.ncbi.nlm.nih.gov/protein/NWR87654.1","ANDR protein")</f>
        <v>ANDR protein</v>
      </c>
      <c r="J315" t="s">
        <v>1323</v>
      </c>
      <c r="K315" t="s">
        <v>20</v>
      </c>
      <c r="L315">
        <v>237</v>
      </c>
      <c r="M315" t="s">
        <v>25</v>
      </c>
      <c r="N315" t="s">
        <v>20</v>
      </c>
      <c r="O315" t="s">
        <v>1352</v>
      </c>
      <c r="P315" t="s">
        <v>20</v>
      </c>
      <c r="Q315">
        <v>132.119</v>
      </c>
      <c r="R315" t="s">
        <v>20</v>
      </c>
      <c r="S315" t="s">
        <v>20</v>
      </c>
      <c r="T315">
        <v>243</v>
      </c>
      <c r="U315" t="s">
        <v>1313</v>
      </c>
      <c r="V315" t="s">
        <v>20</v>
      </c>
      <c r="W315" t="s">
        <v>1352</v>
      </c>
      <c r="X315" t="s">
        <v>20</v>
      </c>
      <c r="Y315">
        <v>146.14599999999999</v>
      </c>
      <c r="Z315" t="s">
        <v>20</v>
      </c>
      <c r="AA315" t="s">
        <v>20</v>
      </c>
      <c r="AB315">
        <v>284</v>
      </c>
      <c r="AC315" t="s">
        <v>1314</v>
      </c>
      <c r="AD315" t="s">
        <v>20</v>
      </c>
      <c r="AE315" t="s">
        <v>1353</v>
      </c>
      <c r="AF315" t="s">
        <v>20</v>
      </c>
      <c r="AG315">
        <v>174.203</v>
      </c>
      <c r="AH315" t="s">
        <v>20</v>
      </c>
      <c r="AI315" t="s">
        <v>20</v>
      </c>
      <c r="AJ315">
        <v>409</v>
      </c>
      <c r="AK315" t="s">
        <v>1315</v>
      </c>
      <c r="AL315" t="s">
        <v>20</v>
      </c>
      <c r="AM315" t="s">
        <v>1354</v>
      </c>
      <c r="AN315" t="s">
        <v>20</v>
      </c>
      <c r="AO315">
        <v>119.119</v>
      </c>
      <c r="AP315" t="s">
        <v>20</v>
      </c>
      <c r="AQ315" t="s">
        <v>20</v>
      </c>
    </row>
    <row r="316" spans="1:43" x14ac:dyDescent="0.25">
      <c r="A316">
        <v>6</v>
      </c>
      <c r="B316" t="s">
        <v>167</v>
      </c>
      <c r="C316" t="str">
        <f>HYPERLINK("http://www.ncbi.nlm.nih.gov/protein/NXF15410.1","NXF15410.1")</f>
        <v>NXF15410.1</v>
      </c>
      <c r="D316">
        <v>14142</v>
      </c>
      <c r="E316" t="str">
        <f>HYPERLINK("http://www.ncbi.nlm.nih.gov/Taxonomy/Browser/wwwtax.cgi?mode=Info&amp;id=58203&amp;lvl=3&amp;lin=f&amp;keep=1&amp;srchmode=1&amp;unlock","58203")</f>
        <v>58203</v>
      </c>
      <c r="F316" t="s">
        <v>167</v>
      </c>
      <c r="G316" t="str">
        <f>HYPERLINK("http://www.ncbi.nlm.nih.gov/Taxonomy/Browser/wwwtax.cgi?mode=Info&amp;id=58203&amp;lvl=3&amp;lin=f&amp;keep=1&amp;srchmode=1&amp;unlock","Rhodinocichla rosea")</f>
        <v>Rhodinocichla rosea</v>
      </c>
      <c r="H316" t="s">
        <v>414</v>
      </c>
      <c r="I316" t="str">
        <f>HYPERLINK("http://www.ncbi.nlm.nih.gov/protein/NXF15410.1","ANDR protein")</f>
        <v>ANDR protein</v>
      </c>
      <c r="J316" t="s">
        <v>1323</v>
      </c>
      <c r="K316" t="s">
        <v>20</v>
      </c>
      <c r="L316">
        <v>237</v>
      </c>
      <c r="M316" t="s">
        <v>25</v>
      </c>
      <c r="N316" t="s">
        <v>20</v>
      </c>
      <c r="O316" t="s">
        <v>1352</v>
      </c>
      <c r="P316" t="s">
        <v>20</v>
      </c>
      <c r="Q316">
        <v>132.119</v>
      </c>
      <c r="R316" t="s">
        <v>20</v>
      </c>
      <c r="S316" t="s">
        <v>20</v>
      </c>
      <c r="T316">
        <v>243</v>
      </c>
      <c r="U316" t="s">
        <v>1313</v>
      </c>
      <c r="V316" t="s">
        <v>20</v>
      </c>
      <c r="W316" t="s">
        <v>1352</v>
      </c>
      <c r="X316" t="s">
        <v>20</v>
      </c>
      <c r="Y316">
        <v>146.14599999999999</v>
      </c>
      <c r="Z316" t="s">
        <v>20</v>
      </c>
      <c r="AA316" t="s">
        <v>20</v>
      </c>
      <c r="AB316">
        <v>284</v>
      </c>
      <c r="AC316" t="s">
        <v>1314</v>
      </c>
      <c r="AD316" t="s">
        <v>20</v>
      </c>
      <c r="AE316" t="s">
        <v>1353</v>
      </c>
      <c r="AF316" t="s">
        <v>20</v>
      </c>
      <c r="AG316">
        <v>174.203</v>
      </c>
      <c r="AH316" t="s">
        <v>20</v>
      </c>
      <c r="AI316" t="s">
        <v>20</v>
      </c>
      <c r="AJ316">
        <v>409</v>
      </c>
      <c r="AK316" t="s">
        <v>1315</v>
      </c>
      <c r="AL316" t="s">
        <v>20</v>
      </c>
      <c r="AM316" t="s">
        <v>1354</v>
      </c>
      <c r="AN316" t="s">
        <v>20</v>
      </c>
      <c r="AO316">
        <v>119.119</v>
      </c>
      <c r="AP316" t="s">
        <v>20</v>
      </c>
      <c r="AQ316" t="s">
        <v>20</v>
      </c>
    </row>
    <row r="317" spans="1:43" x14ac:dyDescent="0.25">
      <c r="A317">
        <v>6</v>
      </c>
      <c r="B317" t="s">
        <v>167</v>
      </c>
      <c r="C317" t="str">
        <f>HYPERLINK("http://www.ncbi.nlm.nih.gov/protein/NXR27516.1","NXR27516.1")</f>
        <v>NXR27516.1</v>
      </c>
      <c r="D317">
        <v>13525</v>
      </c>
      <c r="E317" t="str">
        <f>HYPERLINK("http://www.ncbi.nlm.nih.gov/Taxonomy/Browser/wwwtax.cgi?mode=Info&amp;id=161649&amp;lvl=3&amp;lin=f&amp;keep=1&amp;srchmode=1&amp;unlock","161649")</f>
        <v>161649</v>
      </c>
      <c r="F317" t="s">
        <v>167</v>
      </c>
      <c r="G317" t="str">
        <f>HYPERLINK("http://www.ncbi.nlm.nih.gov/Taxonomy/Browser/wwwtax.cgi?mode=Info&amp;id=161649&amp;lvl=3&amp;lin=f&amp;keep=1&amp;srchmode=1&amp;unlock","Cinclus mexicanus")</f>
        <v>Cinclus mexicanus</v>
      </c>
      <c r="H317" t="s">
        <v>206</v>
      </c>
      <c r="I317" t="str">
        <f>HYPERLINK("http://www.ncbi.nlm.nih.gov/protein/NXR27516.1","ANDR protein")</f>
        <v>ANDR protein</v>
      </c>
      <c r="J317" t="s">
        <v>1323</v>
      </c>
      <c r="K317" t="s">
        <v>20</v>
      </c>
      <c r="L317">
        <v>232</v>
      </c>
      <c r="M317" t="s">
        <v>25</v>
      </c>
      <c r="N317" t="s">
        <v>20</v>
      </c>
      <c r="O317" t="s">
        <v>1352</v>
      </c>
      <c r="P317" t="s">
        <v>20</v>
      </c>
      <c r="Q317">
        <v>132.119</v>
      </c>
      <c r="R317" t="s">
        <v>20</v>
      </c>
      <c r="S317" t="s">
        <v>20</v>
      </c>
      <c r="T317">
        <v>238</v>
      </c>
      <c r="U317" t="s">
        <v>1313</v>
      </c>
      <c r="V317" t="s">
        <v>20</v>
      </c>
      <c r="W317" t="s">
        <v>1352</v>
      </c>
      <c r="X317" t="s">
        <v>20</v>
      </c>
      <c r="Y317">
        <v>146.14599999999999</v>
      </c>
      <c r="Z317" t="s">
        <v>20</v>
      </c>
      <c r="AA317" t="s">
        <v>20</v>
      </c>
      <c r="AB317">
        <v>279</v>
      </c>
      <c r="AC317" t="s">
        <v>1314</v>
      </c>
      <c r="AD317" t="s">
        <v>20</v>
      </c>
      <c r="AE317" t="s">
        <v>1353</v>
      </c>
      <c r="AF317" t="s">
        <v>20</v>
      </c>
      <c r="AG317">
        <v>174.203</v>
      </c>
      <c r="AH317" t="s">
        <v>20</v>
      </c>
      <c r="AI317" t="s">
        <v>20</v>
      </c>
      <c r="AJ317">
        <v>404</v>
      </c>
      <c r="AK317" t="s">
        <v>1315</v>
      </c>
      <c r="AL317" t="s">
        <v>20</v>
      </c>
      <c r="AM317" t="s">
        <v>1354</v>
      </c>
      <c r="AN317" t="s">
        <v>20</v>
      </c>
      <c r="AO317">
        <v>119.119</v>
      </c>
      <c r="AP317" t="s">
        <v>20</v>
      </c>
      <c r="AQ317" t="s">
        <v>20</v>
      </c>
    </row>
    <row r="318" spans="1:43" x14ac:dyDescent="0.25">
      <c r="A318">
        <v>6</v>
      </c>
      <c r="B318" t="s">
        <v>167</v>
      </c>
      <c r="C318" t="str">
        <f>HYPERLINK("http://www.ncbi.nlm.nih.gov/protein/NWZ67800.1","NWZ67800.1")</f>
        <v>NWZ67800.1</v>
      </c>
      <c r="D318">
        <v>14269</v>
      </c>
      <c r="E318" t="str">
        <f>HYPERLINK("http://www.ncbi.nlm.nih.gov/Taxonomy/Browser/wwwtax.cgi?mode=Info&amp;id=39621&amp;lvl=3&amp;lin=f&amp;keep=1&amp;srchmode=1&amp;unlock","39621")</f>
        <v>39621</v>
      </c>
      <c r="F318" t="s">
        <v>167</v>
      </c>
      <c r="G318" t="str">
        <f>HYPERLINK("http://www.ncbi.nlm.nih.gov/Taxonomy/Browser/wwwtax.cgi?mode=Info&amp;id=39621&amp;lvl=3&amp;lin=f&amp;keep=1&amp;srchmode=1&amp;unlock","Acrocephalus arundinaceus")</f>
        <v>Acrocephalus arundinaceus</v>
      </c>
      <c r="H318" t="s">
        <v>439</v>
      </c>
      <c r="I318" t="str">
        <f>HYPERLINK("http://www.ncbi.nlm.nih.gov/protein/NWZ67800.1","ANDR protein")</f>
        <v>ANDR protein</v>
      </c>
      <c r="J318" t="s">
        <v>1323</v>
      </c>
      <c r="K318" t="s">
        <v>20</v>
      </c>
      <c r="L318">
        <v>265</v>
      </c>
      <c r="M318" t="s">
        <v>25</v>
      </c>
      <c r="N318" t="s">
        <v>20</v>
      </c>
      <c r="O318" t="s">
        <v>1352</v>
      </c>
      <c r="P318" t="s">
        <v>20</v>
      </c>
      <c r="Q318">
        <v>132.119</v>
      </c>
      <c r="R318" t="s">
        <v>20</v>
      </c>
      <c r="S318" t="s">
        <v>20</v>
      </c>
      <c r="T318">
        <v>271</v>
      </c>
      <c r="U318" t="s">
        <v>1313</v>
      </c>
      <c r="V318" t="s">
        <v>20</v>
      </c>
      <c r="W318" t="s">
        <v>1352</v>
      </c>
      <c r="X318" t="s">
        <v>20</v>
      </c>
      <c r="Y318">
        <v>146.14599999999999</v>
      </c>
      <c r="Z318" t="s">
        <v>20</v>
      </c>
      <c r="AA318" t="s">
        <v>20</v>
      </c>
      <c r="AB318">
        <v>312</v>
      </c>
      <c r="AC318" t="s">
        <v>1314</v>
      </c>
      <c r="AD318" t="s">
        <v>20</v>
      </c>
      <c r="AE318" t="s">
        <v>1353</v>
      </c>
      <c r="AF318" t="s">
        <v>20</v>
      </c>
      <c r="AG318">
        <v>174.203</v>
      </c>
      <c r="AH318" t="s">
        <v>20</v>
      </c>
      <c r="AI318" t="s">
        <v>20</v>
      </c>
      <c r="AJ318">
        <v>437</v>
      </c>
      <c r="AK318" t="s">
        <v>1315</v>
      </c>
      <c r="AL318" t="s">
        <v>20</v>
      </c>
      <c r="AM318" t="s">
        <v>1354</v>
      </c>
      <c r="AN318" t="s">
        <v>20</v>
      </c>
      <c r="AO318">
        <v>119.119</v>
      </c>
      <c r="AP318" t="s">
        <v>20</v>
      </c>
      <c r="AQ318" t="s">
        <v>20</v>
      </c>
    </row>
    <row r="319" spans="1:43" x14ac:dyDescent="0.25">
      <c r="A319">
        <v>6</v>
      </c>
      <c r="B319" t="s">
        <v>167</v>
      </c>
      <c r="C319" t="str">
        <f>HYPERLINK("http://www.ncbi.nlm.nih.gov/protein/NWV14670.1","NWV14670.1")</f>
        <v>NWV14670.1</v>
      </c>
      <c r="D319">
        <v>14013</v>
      </c>
      <c r="E319" t="str">
        <f>HYPERLINK("http://www.ncbi.nlm.nih.gov/Taxonomy/Browser/wwwtax.cgi?mode=Info&amp;id=28724&amp;lvl=3&amp;lin=f&amp;keep=1&amp;srchmode=1&amp;unlock","28724")</f>
        <v>28724</v>
      </c>
      <c r="F319" t="s">
        <v>167</v>
      </c>
      <c r="G319" t="str">
        <f>HYPERLINK("http://www.ncbi.nlm.nih.gov/Taxonomy/Browser/wwwtax.cgi?mode=Info&amp;id=28724&amp;lvl=3&amp;lin=f&amp;keep=1&amp;srchmode=1&amp;unlock","Ptilonorhynchus violaceus")</f>
        <v>Ptilonorhynchus violaceus</v>
      </c>
      <c r="H319" t="s">
        <v>293</v>
      </c>
      <c r="I319" t="str">
        <f>HYPERLINK("http://www.ncbi.nlm.nih.gov/protein/NWV14670.1","ANDR protein")</f>
        <v>ANDR protein</v>
      </c>
      <c r="J319" t="s">
        <v>1323</v>
      </c>
      <c r="K319" t="s">
        <v>20</v>
      </c>
      <c r="L319">
        <v>222</v>
      </c>
      <c r="M319" t="s">
        <v>25</v>
      </c>
      <c r="N319" t="s">
        <v>20</v>
      </c>
      <c r="O319" t="s">
        <v>1352</v>
      </c>
      <c r="P319" t="s">
        <v>20</v>
      </c>
      <c r="Q319">
        <v>132.119</v>
      </c>
      <c r="R319" t="s">
        <v>20</v>
      </c>
      <c r="S319" t="s">
        <v>20</v>
      </c>
      <c r="T319">
        <v>228</v>
      </c>
      <c r="U319" t="s">
        <v>1313</v>
      </c>
      <c r="V319" t="s">
        <v>20</v>
      </c>
      <c r="W319" t="s">
        <v>1352</v>
      </c>
      <c r="X319" t="s">
        <v>20</v>
      </c>
      <c r="Y319">
        <v>146.14599999999999</v>
      </c>
      <c r="Z319" t="s">
        <v>20</v>
      </c>
      <c r="AA319" t="s">
        <v>20</v>
      </c>
      <c r="AB319">
        <v>269</v>
      </c>
      <c r="AC319" t="s">
        <v>1314</v>
      </c>
      <c r="AD319" t="s">
        <v>20</v>
      </c>
      <c r="AE319" t="s">
        <v>1353</v>
      </c>
      <c r="AF319" t="s">
        <v>20</v>
      </c>
      <c r="AG319">
        <v>174.203</v>
      </c>
      <c r="AH319" t="s">
        <v>20</v>
      </c>
      <c r="AI319" t="s">
        <v>20</v>
      </c>
      <c r="AJ319">
        <v>394</v>
      </c>
      <c r="AK319" t="s">
        <v>1315</v>
      </c>
      <c r="AL319" t="s">
        <v>20</v>
      </c>
      <c r="AM319" t="s">
        <v>1354</v>
      </c>
      <c r="AN319" t="s">
        <v>20</v>
      </c>
      <c r="AO319">
        <v>119.119</v>
      </c>
      <c r="AP319" t="s">
        <v>20</v>
      </c>
      <c r="AQ319" t="s">
        <v>20</v>
      </c>
    </row>
    <row r="320" spans="1:43" x14ac:dyDescent="0.25">
      <c r="A320">
        <v>6</v>
      </c>
      <c r="B320" t="s">
        <v>167</v>
      </c>
      <c r="C320" t="str">
        <f>HYPERLINK("http://www.ncbi.nlm.nih.gov/protein/NXU36076.1","NXU36076.1")</f>
        <v>NXU36076.1</v>
      </c>
      <c r="D320">
        <v>13604</v>
      </c>
      <c r="E320" t="str">
        <f>HYPERLINK("http://www.ncbi.nlm.nih.gov/Taxonomy/Browser/wwwtax.cgi?mode=Info&amp;id=626378&amp;lvl=3&amp;lin=f&amp;keep=1&amp;srchmode=1&amp;unlock","626378")</f>
        <v>626378</v>
      </c>
      <c r="F320" t="s">
        <v>167</v>
      </c>
      <c r="G320" t="str">
        <f>HYPERLINK("http://www.ncbi.nlm.nih.gov/Taxonomy/Browser/wwwtax.cgi?mode=Info&amp;id=626378&amp;lvl=3&amp;lin=f&amp;keep=1&amp;srchmode=1&amp;unlock","Drymodes brunneopygia")</f>
        <v>Drymodes brunneopygia</v>
      </c>
      <c r="H320" t="s">
        <v>351</v>
      </c>
      <c r="I320" t="str">
        <f>HYPERLINK("http://www.ncbi.nlm.nih.gov/protein/NXU36076.1","ANDR protein")</f>
        <v>ANDR protein</v>
      </c>
      <c r="J320" t="s">
        <v>1323</v>
      </c>
      <c r="K320" t="s">
        <v>20</v>
      </c>
      <c r="L320">
        <v>237</v>
      </c>
      <c r="M320" t="s">
        <v>25</v>
      </c>
      <c r="N320" t="s">
        <v>20</v>
      </c>
      <c r="O320" t="s">
        <v>1352</v>
      </c>
      <c r="P320" t="s">
        <v>20</v>
      </c>
      <c r="Q320">
        <v>132.119</v>
      </c>
      <c r="R320" t="s">
        <v>20</v>
      </c>
      <c r="S320" t="s">
        <v>20</v>
      </c>
      <c r="T320">
        <v>243</v>
      </c>
      <c r="U320" t="s">
        <v>1313</v>
      </c>
      <c r="V320" t="s">
        <v>20</v>
      </c>
      <c r="W320" t="s">
        <v>1352</v>
      </c>
      <c r="X320" t="s">
        <v>20</v>
      </c>
      <c r="Y320">
        <v>146.14599999999999</v>
      </c>
      <c r="Z320" t="s">
        <v>20</v>
      </c>
      <c r="AA320" t="s">
        <v>20</v>
      </c>
      <c r="AB320">
        <v>284</v>
      </c>
      <c r="AC320" t="s">
        <v>1314</v>
      </c>
      <c r="AD320" t="s">
        <v>20</v>
      </c>
      <c r="AE320" t="s">
        <v>1353</v>
      </c>
      <c r="AF320" t="s">
        <v>20</v>
      </c>
      <c r="AG320">
        <v>174.203</v>
      </c>
      <c r="AH320" t="s">
        <v>20</v>
      </c>
      <c r="AI320" t="s">
        <v>20</v>
      </c>
      <c r="AJ320">
        <v>409</v>
      </c>
      <c r="AK320" t="s">
        <v>1315</v>
      </c>
      <c r="AL320" t="s">
        <v>20</v>
      </c>
      <c r="AM320" t="s">
        <v>1354</v>
      </c>
      <c r="AN320" t="s">
        <v>20</v>
      </c>
      <c r="AO320">
        <v>119.119</v>
      </c>
      <c r="AP320" t="s">
        <v>20</v>
      </c>
      <c r="AQ320" t="s">
        <v>20</v>
      </c>
    </row>
    <row r="321" spans="1:43" x14ac:dyDescent="0.25">
      <c r="A321">
        <v>6</v>
      </c>
      <c r="B321" t="s">
        <v>167</v>
      </c>
      <c r="C321" t="str">
        <f>HYPERLINK("http://www.ncbi.nlm.nih.gov/protein/NXF79956.1","NXF79956.1")</f>
        <v>NXF79956.1</v>
      </c>
      <c r="D321">
        <v>14134</v>
      </c>
      <c r="E321" t="str">
        <f>HYPERLINK("http://www.ncbi.nlm.nih.gov/Taxonomy/Browser/wwwtax.cgi?mode=Info&amp;id=265632&amp;lvl=3&amp;lin=f&amp;keep=1&amp;srchmode=1&amp;unlock","265632")</f>
        <v>265632</v>
      </c>
      <c r="F321" t="s">
        <v>167</v>
      </c>
      <c r="G321" t="str">
        <f>HYPERLINK("http://www.ncbi.nlm.nih.gov/Taxonomy/Browser/wwwtax.cgi?mode=Info&amp;id=265632&amp;lvl=3&amp;lin=f&amp;keep=1&amp;srchmode=1&amp;unlock","Sclerurus mexicanus")</f>
        <v>Sclerurus mexicanus</v>
      </c>
      <c r="H321" t="s">
        <v>436</v>
      </c>
      <c r="I321" t="str">
        <f>HYPERLINK("http://www.ncbi.nlm.nih.gov/protein/NXF79956.1","ANDR protein")</f>
        <v>ANDR protein</v>
      </c>
      <c r="J321" t="s">
        <v>1323</v>
      </c>
      <c r="K321" t="s">
        <v>20</v>
      </c>
      <c r="L321">
        <v>217</v>
      </c>
      <c r="M321" t="s">
        <v>25</v>
      </c>
      <c r="N321" t="s">
        <v>20</v>
      </c>
      <c r="O321" t="s">
        <v>1352</v>
      </c>
      <c r="P321" t="s">
        <v>20</v>
      </c>
      <c r="Q321">
        <v>132.119</v>
      </c>
      <c r="R321" t="s">
        <v>20</v>
      </c>
      <c r="S321" t="s">
        <v>20</v>
      </c>
      <c r="T321">
        <v>223</v>
      </c>
      <c r="U321" t="s">
        <v>1313</v>
      </c>
      <c r="V321" t="s">
        <v>20</v>
      </c>
      <c r="W321" t="s">
        <v>1352</v>
      </c>
      <c r="X321" t="s">
        <v>20</v>
      </c>
      <c r="Y321">
        <v>146.14599999999999</v>
      </c>
      <c r="Z321" t="s">
        <v>20</v>
      </c>
      <c r="AA321" t="s">
        <v>20</v>
      </c>
      <c r="AB321">
        <v>264</v>
      </c>
      <c r="AC321" t="s">
        <v>1314</v>
      </c>
      <c r="AD321" t="s">
        <v>20</v>
      </c>
      <c r="AE321" t="s">
        <v>1353</v>
      </c>
      <c r="AF321" t="s">
        <v>20</v>
      </c>
      <c r="AG321">
        <v>174.203</v>
      </c>
      <c r="AH321" t="s">
        <v>20</v>
      </c>
      <c r="AI321" t="s">
        <v>20</v>
      </c>
      <c r="AJ321">
        <v>389</v>
      </c>
      <c r="AK321" t="s">
        <v>1315</v>
      </c>
      <c r="AL321" t="s">
        <v>20</v>
      </c>
      <c r="AM321" t="s">
        <v>1354</v>
      </c>
      <c r="AN321" t="s">
        <v>20</v>
      </c>
      <c r="AO321">
        <v>119.119</v>
      </c>
      <c r="AP321" t="s">
        <v>20</v>
      </c>
      <c r="AQ321" t="s">
        <v>20</v>
      </c>
    </row>
    <row r="322" spans="1:43" x14ac:dyDescent="0.25">
      <c r="A322">
        <v>6</v>
      </c>
      <c r="B322" t="s">
        <v>167</v>
      </c>
      <c r="C322" t="str">
        <f>HYPERLINK("http://www.ncbi.nlm.nih.gov/protein/NXJ84563.1","NXJ84563.1")</f>
        <v>NXJ84563.1</v>
      </c>
      <c r="D322">
        <v>14194</v>
      </c>
      <c r="E322" t="str">
        <f>HYPERLINK("http://www.ncbi.nlm.nih.gov/Taxonomy/Browser/wwwtax.cgi?mode=Info&amp;id=56311&amp;lvl=3&amp;lin=f&amp;keep=1&amp;srchmode=1&amp;unlock","56311")</f>
        <v>56311</v>
      </c>
      <c r="F322" t="s">
        <v>167</v>
      </c>
      <c r="G322" t="str">
        <f>HYPERLINK("http://www.ncbi.nlm.nih.gov/Taxonomy/Browser/wwwtax.cgi?mode=Info&amp;id=56311&amp;lvl=3&amp;lin=f&amp;keep=1&amp;srchmode=1&amp;unlock","Trogon melanurus")</f>
        <v>Trogon melanurus</v>
      </c>
      <c r="H322" t="s">
        <v>355</v>
      </c>
      <c r="I322" t="str">
        <f>HYPERLINK("http://www.ncbi.nlm.nih.gov/protein/NXJ84563.1","ANDR protein")</f>
        <v>ANDR protein</v>
      </c>
      <c r="J322" t="s">
        <v>1323</v>
      </c>
      <c r="K322" t="s">
        <v>20</v>
      </c>
      <c r="L322">
        <v>200</v>
      </c>
      <c r="M322" t="s">
        <v>25</v>
      </c>
      <c r="N322" t="s">
        <v>20</v>
      </c>
      <c r="O322" t="s">
        <v>1352</v>
      </c>
      <c r="P322" t="s">
        <v>20</v>
      </c>
      <c r="Q322">
        <v>132.119</v>
      </c>
      <c r="R322" t="s">
        <v>20</v>
      </c>
      <c r="S322" t="s">
        <v>20</v>
      </c>
      <c r="T322">
        <v>206</v>
      </c>
      <c r="U322" t="s">
        <v>1313</v>
      </c>
      <c r="V322" t="s">
        <v>20</v>
      </c>
      <c r="W322" t="s">
        <v>1352</v>
      </c>
      <c r="X322" t="s">
        <v>20</v>
      </c>
      <c r="Y322">
        <v>146.14599999999999</v>
      </c>
      <c r="Z322" t="s">
        <v>20</v>
      </c>
      <c r="AA322" t="s">
        <v>20</v>
      </c>
      <c r="AB322">
        <v>247</v>
      </c>
      <c r="AC322" t="s">
        <v>1314</v>
      </c>
      <c r="AD322" t="s">
        <v>20</v>
      </c>
      <c r="AE322" t="s">
        <v>1353</v>
      </c>
      <c r="AF322" t="s">
        <v>20</v>
      </c>
      <c r="AG322">
        <v>174.203</v>
      </c>
      <c r="AH322" t="s">
        <v>20</v>
      </c>
      <c r="AI322" t="s">
        <v>20</v>
      </c>
      <c r="AJ322">
        <v>372</v>
      </c>
      <c r="AK322" t="s">
        <v>1315</v>
      </c>
      <c r="AL322" t="s">
        <v>20</v>
      </c>
      <c r="AM322" t="s">
        <v>1354</v>
      </c>
      <c r="AN322" t="s">
        <v>20</v>
      </c>
      <c r="AO322">
        <v>119.119</v>
      </c>
      <c r="AP322" t="s">
        <v>20</v>
      </c>
      <c r="AQ322" t="s">
        <v>20</v>
      </c>
    </row>
    <row r="323" spans="1:43" x14ac:dyDescent="0.25">
      <c r="A323">
        <v>6</v>
      </c>
      <c r="B323" t="s">
        <v>167</v>
      </c>
      <c r="C323" t="str">
        <f>HYPERLINK("http://www.ncbi.nlm.nih.gov/protein/NWY37490.1","NWY37490.1")</f>
        <v>NWY37490.1</v>
      </c>
      <c r="D323">
        <v>13444</v>
      </c>
      <c r="E323" t="str">
        <f>HYPERLINK("http://www.ncbi.nlm.nih.gov/Taxonomy/Browser/wwwtax.cgi?mode=Info&amp;id=48155&amp;lvl=3&amp;lin=f&amp;keep=1&amp;srchmode=1&amp;unlock","48155")</f>
        <v>48155</v>
      </c>
      <c r="F323" t="s">
        <v>167</v>
      </c>
      <c r="G323" t="str">
        <f>HYPERLINK("http://www.ncbi.nlm.nih.gov/Taxonomy/Browser/wwwtax.cgi?mode=Info&amp;id=48155&amp;lvl=3&amp;lin=f&amp;keep=1&amp;srchmode=1&amp;unlock","Sylvia atricapilla")</f>
        <v>Sylvia atricapilla</v>
      </c>
      <c r="H323" t="s">
        <v>459</v>
      </c>
      <c r="I323" t="str">
        <f>HYPERLINK("http://www.ncbi.nlm.nih.gov/protein/NWY37490.1","ANDR protein")</f>
        <v>ANDR protein</v>
      </c>
      <c r="J323" t="s">
        <v>1323</v>
      </c>
      <c r="K323" t="s">
        <v>20</v>
      </c>
      <c r="L323">
        <v>233</v>
      </c>
      <c r="M323" t="s">
        <v>25</v>
      </c>
      <c r="N323" t="s">
        <v>20</v>
      </c>
      <c r="O323" t="s">
        <v>1352</v>
      </c>
      <c r="P323" t="s">
        <v>20</v>
      </c>
      <c r="Q323">
        <v>132.119</v>
      </c>
      <c r="R323" t="s">
        <v>20</v>
      </c>
      <c r="S323" t="s">
        <v>20</v>
      </c>
      <c r="T323">
        <v>239</v>
      </c>
      <c r="U323" t="s">
        <v>1313</v>
      </c>
      <c r="V323" t="s">
        <v>20</v>
      </c>
      <c r="W323" t="s">
        <v>1352</v>
      </c>
      <c r="X323" t="s">
        <v>20</v>
      </c>
      <c r="Y323">
        <v>146.14599999999999</v>
      </c>
      <c r="Z323" t="s">
        <v>20</v>
      </c>
      <c r="AA323" t="s">
        <v>20</v>
      </c>
      <c r="AB323">
        <v>280</v>
      </c>
      <c r="AC323" t="s">
        <v>1314</v>
      </c>
      <c r="AD323" t="s">
        <v>20</v>
      </c>
      <c r="AE323" t="s">
        <v>1353</v>
      </c>
      <c r="AF323" t="s">
        <v>20</v>
      </c>
      <c r="AG323">
        <v>174.203</v>
      </c>
      <c r="AH323" t="s">
        <v>20</v>
      </c>
      <c r="AI323" t="s">
        <v>20</v>
      </c>
      <c r="AJ323">
        <v>405</v>
      </c>
      <c r="AK323" t="s">
        <v>1315</v>
      </c>
      <c r="AL323" t="s">
        <v>20</v>
      </c>
      <c r="AM323" t="s">
        <v>1354</v>
      </c>
      <c r="AN323" t="s">
        <v>20</v>
      </c>
      <c r="AO323">
        <v>119.119</v>
      </c>
      <c r="AP323" t="s">
        <v>20</v>
      </c>
      <c r="AQ323" t="s">
        <v>20</v>
      </c>
    </row>
    <row r="324" spans="1:43" x14ac:dyDescent="0.25">
      <c r="A324">
        <v>6</v>
      </c>
      <c r="B324" t="s">
        <v>167</v>
      </c>
      <c r="C324" t="str">
        <f>HYPERLINK("http://www.ncbi.nlm.nih.gov/protein/NXI18472.1","NXI18472.1")</f>
        <v>NXI18472.1</v>
      </c>
      <c r="D324">
        <v>14281</v>
      </c>
      <c r="E324" t="str">
        <f>HYPERLINK("http://www.ncbi.nlm.nih.gov/Taxonomy/Browser/wwwtax.cgi?mode=Info&amp;id=175120&amp;lvl=3&amp;lin=f&amp;keep=1&amp;srchmode=1&amp;unlock","175120")</f>
        <v>175120</v>
      </c>
      <c r="F324" t="s">
        <v>167</v>
      </c>
      <c r="G324" t="str">
        <f>HYPERLINK("http://www.ncbi.nlm.nih.gov/Taxonomy/Browser/wwwtax.cgi?mode=Info&amp;id=175120&amp;lvl=3&amp;lin=f&amp;keep=1&amp;srchmode=1&amp;unlock","Irena cyanogastra")</f>
        <v>Irena cyanogastra</v>
      </c>
      <c r="H324" t="s">
        <v>451</v>
      </c>
      <c r="I324" t="str">
        <f>HYPERLINK("http://www.ncbi.nlm.nih.gov/protein/NXI18472.1","ANDR protein")</f>
        <v>ANDR protein</v>
      </c>
      <c r="J324" t="s">
        <v>1323</v>
      </c>
      <c r="K324" t="s">
        <v>20</v>
      </c>
      <c r="L324">
        <v>265</v>
      </c>
      <c r="M324" t="s">
        <v>25</v>
      </c>
      <c r="N324" t="s">
        <v>20</v>
      </c>
      <c r="O324" t="s">
        <v>1352</v>
      </c>
      <c r="P324" t="s">
        <v>20</v>
      </c>
      <c r="Q324">
        <v>132.119</v>
      </c>
      <c r="R324" t="s">
        <v>20</v>
      </c>
      <c r="S324" t="s">
        <v>20</v>
      </c>
      <c r="T324">
        <v>271</v>
      </c>
      <c r="U324" t="s">
        <v>1313</v>
      </c>
      <c r="V324" t="s">
        <v>20</v>
      </c>
      <c r="W324" t="s">
        <v>1352</v>
      </c>
      <c r="X324" t="s">
        <v>20</v>
      </c>
      <c r="Y324">
        <v>146.14599999999999</v>
      </c>
      <c r="Z324" t="s">
        <v>20</v>
      </c>
      <c r="AA324" t="s">
        <v>20</v>
      </c>
      <c r="AB324">
        <v>312</v>
      </c>
      <c r="AC324" t="s">
        <v>1314</v>
      </c>
      <c r="AD324" t="s">
        <v>20</v>
      </c>
      <c r="AE324" t="s">
        <v>1353</v>
      </c>
      <c r="AF324" t="s">
        <v>20</v>
      </c>
      <c r="AG324">
        <v>174.203</v>
      </c>
      <c r="AH324" t="s">
        <v>20</v>
      </c>
      <c r="AI324" t="s">
        <v>20</v>
      </c>
      <c r="AJ324">
        <v>437</v>
      </c>
      <c r="AK324" t="s">
        <v>1315</v>
      </c>
      <c r="AL324" t="s">
        <v>20</v>
      </c>
      <c r="AM324" t="s">
        <v>1354</v>
      </c>
      <c r="AN324" t="s">
        <v>20</v>
      </c>
      <c r="AO324">
        <v>119.119</v>
      </c>
      <c r="AP324" t="s">
        <v>20</v>
      </c>
      <c r="AQ324" t="s">
        <v>20</v>
      </c>
    </row>
    <row r="325" spans="1:43" x14ac:dyDescent="0.25">
      <c r="A325">
        <v>6</v>
      </c>
      <c r="B325" t="s">
        <v>167</v>
      </c>
      <c r="C325" t="str">
        <f>HYPERLINK("http://www.ncbi.nlm.nih.gov/protein/NXB24753.1","NXB24753.1")</f>
        <v>NXB24753.1</v>
      </c>
      <c r="D325">
        <v>14272</v>
      </c>
      <c r="E325" t="str">
        <f>HYPERLINK("http://www.ncbi.nlm.nih.gov/Taxonomy/Browser/wwwtax.cgi?mode=Info&amp;id=156170&amp;lvl=3&amp;lin=f&amp;keep=1&amp;srchmode=1&amp;unlock","156170")</f>
        <v>156170</v>
      </c>
      <c r="F325" t="s">
        <v>167</v>
      </c>
      <c r="G325" t="str">
        <f>HYPERLINK("http://www.ncbi.nlm.nih.gov/Taxonomy/Browser/wwwtax.cgi?mode=Info&amp;id=156170&amp;lvl=3&amp;lin=f&amp;keep=1&amp;srchmode=1&amp;unlock","Rhagologus leucostigma")</f>
        <v>Rhagologus leucostigma</v>
      </c>
      <c r="H325" t="s">
        <v>502</v>
      </c>
      <c r="I325" t="str">
        <f>HYPERLINK("http://www.ncbi.nlm.nih.gov/protein/NXB24753.1","ANDR protein")</f>
        <v>ANDR protein</v>
      </c>
      <c r="J325" t="s">
        <v>1323</v>
      </c>
      <c r="K325" t="s">
        <v>20</v>
      </c>
      <c r="L325">
        <v>237</v>
      </c>
      <c r="M325" t="s">
        <v>25</v>
      </c>
      <c r="N325" t="s">
        <v>20</v>
      </c>
      <c r="O325" t="s">
        <v>1352</v>
      </c>
      <c r="P325" t="s">
        <v>20</v>
      </c>
      <c r="Q325">
        <v>132.119</v>
      </c>
      <c r="R325" t="s">
        <v>20</v>
      </c>
      <c r="S325" t="s">
        <v>20</v>
      </c>
      <c r="T325">
        <v>243</v>
      </c>
      <c r="U325" t="s">
        <v>1313</v>
      </c>
      <c r="V325" t="s">
        <v>20</v>
      </c>
      <c r="W325" t="s">
        <v>1352</v>
      </c>
      <c r="X325" t="s">
        <v>20</v>
      </c>
      <c r="Y325">
        <v>146.14599999999999</v>
      </c>
      <c r="Z325" t="s">
        <v>20</v>
      </c>
      <c r="AA325" t="s">
        <v>20</v>
      </c>
      <c r="AB325">
        <v>284</v>
      </c>
      <c r="AC325" t="s">
        <v>1314</v>
      </c>
      <c r="AD325" t="s">
        <v>20</v>
      </c>
      <c r="AE325" t="s">
        <v>1353</v>
      </c>
      <c r="AF325" t="s">
        <v>20</v>
      </c>
      <c r="AG325">
        <v>174.203</v>
      </c>
      <c r="AH325" t="s">
        <v>20</v>
      </c>
      <c r="AI325" t="s">
        <v>20</v>
      </c>
      <c r="AJ325">
        <v>409</v>
      </c>
      <c r="AK325" t="s">
        <v>1315</v>
      </c>
      <c r="AL325" t="s">
        <v>20</v>
      </c>
      <c r="AM325" t="s">
        <v>1354</v>
      </c>
      <c r="AN325" t="s">
        <v>20</v>
      </c>
      <c r="AO325">
        <v>119.119</v>
      </c>
      <c r="AP325" t="s">
        <v>20</v>
      </c>
      <c r="AQ325" t="s">
        <v>20</v>
      </c>
    </row>
    <row r="326" spans="1:43" x14ac:dyDescent="0.25">
      <c r="A326">
        <v>6</v>
      </c>
      <c r="B326" t="s">
        <v>167</v>
      </c>
      <c r="C326" t="str">
        <f>HYPERLINK("http://www.ncbi.nlm.nih.gov/protein/XP_005526207.1","XP_005526207.1")</f>
        <v>XP_005526207.1</v>
      </c>
      <c r="D326">
        <v>27658</v>
      </c>
      <c r="E326" t="str">
        <f>HYPERLINK("http://www.ncbi.nlm.nih.gov/Taxonomy/Browser/wwwtax.cgi?mode=Info&amp;id=181119&amp;lvl=3&amp;lin=f&amp;keep=1&amp;srchmode=1&amp;unlock","181119")</f>
        <v>181119</v>
      </c>
      <c r="F326" t="s">
        <v>167</v>
      </c>
      <c r="G326" t="str">
        <f>HYPERLINK("http://www.ncbi.nlm.nih.gov/Taxonomy/Browser/wwwtax.cgi?mode=Info&amp;id=181119&amp;lvl=3&amp;lin=f&amp;keep=1&amp;srchmode=1&amp;unlock","Pseudopodoces humilis")</f>
        <v>Pseudopodoces humilis</v>
      </c>
      <c r="H326" t="s">
        <v>409</v>
      </c>
      <c r="I326" t="str">
        <f>HYPERLINK("http://www.ncbi.nlm.nih.gov/protein/XP_005526207.1","PREDICTED: androgen receptor")</f>
        <v>PREDICTED: androgen receptor</v>
      </c>
      <c r="J326" t="s">
        <v>1323</v>
      </c>
      <c r="K326" t="s">
        <v>20</v>
      </c>
      <c r="L326">
        <v>470</v>
      </c>
      <c r="M326" t="s">
        <v>25</v>
      </c>
      <c r="N326" t="s">
        <v>20</v>
      </c>
      <c r="O326" t="s">
        <v>1352</v>
      </c>
      <c r="P326" t="s">
        <v>20</v>
      </c>
      <c r="Q326">
        <v>132.119</v>
      </c>
      <c r="R326" t="s">
        <v>20</v>
      </c>
      <c r="S326" t="s">
        <v>20</v>
      </c>
      <c r="T326">
        <v>476</v>
      </c>
      <c r="U326" t="s">
        <v>1313</v>
      </c>
      <c r="V326" t="s">
        <v>20</v>
      </c>
      <c r="W326" t="s">
        <v>1352</v>
      </c>
      <c r="X326" t="s">
        <v>20</v>
      </c>
      <c r="Y326">
        <v>146.14599999999999</v>
      </c>
      <c r="Z326" t="s">
        <v>20</v>
      </c>
      <c r="AA326" t="s">
        <v>20</v>
      </c>
      <c r="AB326">
        <v>517</v>
      </c>
      <c r="AC326" t="s">
        <v>1314</v>
      </c>
      <c r="AD326" t="s">
        <v>20</v>
      </c>
      <c r="AE326" t="s">
        <v>1353</v>
      </c>
      <c r="AF326" t="s">
        <v>20</v>
      </c>
      <c r="AG326">
        <v>174.203</v>
      </c>
      <c r="AH326" t="s">
        <v>20</v>
      </c>
      <c r="AI326" t="s">
        <v>20</v>
      </c>
      <c r="AJ326">
        <v>642</v>
      </c>
      <c r="AK326" t="s">
        <v>1315</v>
      </c>
      <c r="AL326" t="s">
        <v>20</v>
      </c>
      <c r="AM326" t="s">
        <v>1354</v>
      </c>
      <c r="AN326" t="s">
        <v>20</v>
      </c>
      <c r="AO326">
        <v>119.119</v>
      </c>
      <c r="AP326" t="s">
        <v>20</v>
      </c>
      <c r="AQ326" t="s">
        <v>20</v>
      </c>
    </row>
    <row r="327" spans="1:43" x14ac:dyDescent="0.25">
      <c r="A327">
        <v>6</v>
      </c>
      <c r="B327" t="s">
        <v>167</v>
      </c>
      <c r="C327" t="str">
        <f>HYPERLINK("http://www.ncbi.nlm.nih.gov/protein/XP_015482175.1","XP_015482175.1")</f>
        <v>XP_015482175.1</v>
      </c>
      <c r="D327">
        <v>39858</v>
      </c>
      <c r="E327" t="str">
        <f>HYPERLINK("http://www.ncbi.nlm.nih.gov/Taxonomy/Browser/wwwtax.cgi?mode=Info&amp;id=9157&amp;lvl=3&amp;lin=f&amp;keep=1&amp;srchmode=1&amp;unlock","9157")</f>
        <v>9157</v>
      </c>
      <c r="F327" t="s">
        <v>167</v>
      </c>
      <c r="G327" t="str">
        <f>HYPERLINK("http://www.ncbi.nlm.nih.gov/Taxonomy/Browser/wwwtax.cgi?mode=Info&amp;id=9157&amp;lvl=3&amp;lin=f&amp;keep=1&amp;srchmode=1&amp;unlock","Parus major")</f>
        <v>Parus major</v>
      </c>
      <c r="H327" t="s">
        <v>448</v>
      </c>
      <c r="I327" t="str">
        <f>HYPERLINK("http://www.ncbi.nlm.nih.gov/protein/XP_015482175.1","androgen receptor")</f>
        <v>androgen receptor</v>
      </c>
      <c r="J327" t="s">
        <v>1323</v>
      </c>
      <c r="K327" t="s">
        <v>20</v>
      </c>
      <c r="L327">
        <v>470</v>
      </c>
      <c r="M327" t="s">
        <v>25</v>
      </c>
      <c r="N327" t="s">
        <v>20</v>
      </c>
      <c r="O327" t="s">
        <v>1352</v>
      </c>
      <c r="P327" t="s">
        <v>20</v>
      </c>
      <c r="Q327">
        <v>132.119</v>
      </c>
      <c r="R327" t="s">
        <v>20</v>
      </c>
      <c r="S327" t="s">
        <v>20</v>
      </c>
      <c r="T327">
        <v>476</v>
      </c>
      <c r="U327" t="s">
        <v>1313</v>
      </c>
      <c r="V327" t="s">
        <v>20</v>
      </c>
      <c r="W327" t="s">
        <v>1352</v>
      </c>
      <c r="X327" t="s">
        <v>20</v>
      </c>
      <c r="Y327">
        <v>146.14599999999999</v>
      </c>
      <c r="Z327" t="s">
        <v>20</v>
      </c>
      <c r="AA327" t="s">
        <v>20</v>
      </c>
      <c r="AB327">
        <v>517</v>
      </c>
      <c r="AC327" t="s">
        <v>1314</v>
      </c>
      <c r="AD327" t="s">
        <v>20</v>
      </c>
      <c r="AE327" t="s">
        <v>1353</v>
      </c>
      <c r="AF327" t="s">
        <v>20</v>
      </c>
      <c r="AG327">
        <v>174.203</v>
      </c>
      <c r="AH327" t="s">
        <v>20</v>
      </c>
      <c r="AI327" t="s">
        <v>20</v>
      </c>
      <c r="AJ327">
        <v>642</v>
      </c>
      <c r="AK327" t="s">
        <v>1315</v>
      </c>
      <c r="AL327" t="s">
        <v>20</v>
      </c>
      <c r="AM327" t="s">
        <v>1354</v>
      </c>
      <c r="AN327" t="s">
        <v>20</v>
      </c>
      <c r="AO327">
        <v>119.119</v>
      </c>
      <c r="AP327" t="s">
        <v>20</v>
      </c>
      <c r="AQ327" t="s">
        <v>20</v>
      </c>
    </row>
    <row r="328" spans="1:43" x14ac:dyDescent="0.25">
      <c r="A328">
        <v>6</v>
      </c>
      <c r="B328" t="s">
        <v>167</v>
      </c>
      <c r="C328" t="str">
        <f>HYPERLINK("http://www.ncbi.nlm.nih.gov/protein/NXP25120.1","NXP25120.1")</f>
        <v>NXP25120.1</v>
      </c>
      <c r="D328">
        <v>13881</v>
      </c>
      <c r="E328" t="str">
        <f>HYPERLINK("http://www.ncbi.nlm.nih.gov/Taxonomy/Browser/wwwtax.cgi?mode=Info&amp;id=312124&amp;lvl=3&amp;lin=f&amp;keep=1&amp;srchmode=1&amp;unlock","312124")</f>
        <v>312124</v>
      </c>
      <c r="F328" t="s">
        <v>167</v>
      </c>
      <c r="G328" t="str">
        <f>HYPERLINK("http://www.ncbi.nlm.nih.gov/Taxonomy/Browser/wwwtax.cgi?mode=Info&amp;id=312124&amp;lvl=3&amp;lin=f&amp;keep=1&amp;srchmode=1&amp;unlock","Scytalopus superciliaris")</f>
        <v>Scytalopus superciliaris</v>
      </c>
      <c r="H328" t="s">
        <v>418</v>
      </c>
      <c r="I328" t="str">
        <f>HYPERLINK("http://www.ncbi.nlm.nih.gov/protein/NXP25120.1","ANDR protein")</f>
        <v>ANDR protein</v>
      </c>
      <c r="J328" t="s">
        <v>1323</v>
      </c>
      <c r="K328" t="s">
        <v>20</v>
      </c>
      <c r="L328">
        <v>237</v>
      </c>
      <c r="M328" t="s">
        <v>25</v>
      </c>
      <c r="N328" t="s">
        <v>20</v>
      </c>
      <c r="O328" t="s">
        <v>1352</v>
      </c>
      <c r="P328" t="s">
        <v>20</v>
      </c>
      <c r="Q328">
        <v>132.119</v>
      </c>
      <c r="R328" t="s">
        <v>20</v>
      </c>
      <c r="S328" t="s">
        <v>20</v>
      </c>
      <c r="T328">
        <v>243</v>
      </c>
      <c r="U328" t="s">
        <v>1313</v>
      </c>
      <c r="V328" t="s">
        <v>20</v>
      </c>
      <c r="W328" t="s">
        <v>1352</v>
      </c>
      <c r="X328" t="s">
        <v>20</v>
      </c>
      <c r="Y328">
        <v>146.14599999999999</v>
      </c>
      <c r="Z328" t="s">
        <v>20</v>
      </c>
      <c r="AA328" t="s">
        <v>20</v>
      </c>
      <c r="AB328">
        <v>284</v>
      </c>
      <c r="AC328" t="s">
        <v>1314</v>
      </c>
      <c r="AD328" t="s">
        <v>20</v>
      </c>
      <c r="AE328" t="s">
        <v>1353</v>
      </c>
      <c r="AF328" t="s">
        <v>20</v>
      </c>
      <c r="AG328">
        <v>174.203</v>
      </c>
      <c r="AH328" t="s">
        <v>20</v>
      </c>
      <c r="AI328" t="s">
        <v>20</v>
      </c>
      <c r="AJ328">
        <v>409</v>
      </c>
      <c r="AK328" t="s">
        <v>1315</v>
      </c>
      <c r="AL328" t="s">
        <v>20</v>
      </c>
      <c r="AM328" t="s">
        <v>1354</v>
      </c>
      <c r="AN328" t="s">
        <v>20</v>
      </c>
      <c r="AO328">
        <v>119.119</v>
      </c>
      <c r="AP328" t="s">
        <v>20</v>
      </c>
      <c r="AQ328" t="s">
        <v>20</v>
      </c>
    </row>
    <row r="329" spans="1:43" x14ac:dyDescent="0.25">
      <c r="A329">
        <v>6</v>
      </c>
      <c r="B329" t="s">
        <v>167</v>
      </c>
      <c r="C329" t="str">
        <f>HYPERLINK("http://www.ncbi.nlm.nih.gov/protein/NXF10540.1","NXF10540.1")</f>
        <v>NXF10540.1</v>
      </c>
      <c r="D329">
        <v>13858</v>
      </c>
      <c r="E329" t="str">
        <f>HYPERLINK("http://www.ncbi.nlm.nih.gov/Taxonomy/Browser/wwwtax.cgi?mode=Info&amp;id=363769&amp;lvl=3&amp;lin=f&amp;keep=1&amp;srchmode=1&amp;unlock","363769")</f>
        <v>363769</v>
      </c>
      <c r="F329" t="s">
        <v>167</v>
      </c>
      <c r="G329" t="str">
        <f>HYPERLINK("http://www.ncbi.nlm.nih.gov/Taxonomy/Browser/wwwtax.cgi?mode=Info&amp;id=363769&amp;lvl=3&amp;lin=f&amp;keep=1&amp;srchmode=1&amp;unlock","Smithornis capensis")</f>
        <v>Smithornis capensis</v>
      </c>
      <c r="H329" t="s">
        <v>206</v>
      </c>
      <c r="I329" t="str">
        <f>HYPERLINK("http://www.ncbi.nlm.nih.gov/protein/NXF10540.1","ANDR protein")</f>
        <v>ANDR protein</v>
      </c>
      <c r="J329" t="s">
        <v>1323</v>
      </c>
      <c r="K329" t="s">
        <v>20</v>
      </c>
      <c r="L329">
        <v>268</v>
      </c>
      <c r="M329" t="s">
        <v>25</v>
      </c>
      <c r="N329" t="s">
        <v>20</v>
      </c>
      <c r="O329" t="s">
        <v>1352</v>
      </c>
      <c r="P329" t="s">
        <v>20</v>
      </c>
      <c r="Q329">
        <v>132.119</v>
      </c>
      <c r="R329" t="s">
        <v>20</v>
      </c>
      <c r="S329" t="s">
        <v>20</v>
      </c>
      <c r="T329">
        <v>274</v>
      </c>
      <c r="U329" t="s">
        <v>1313</v>
      </c>
      <c r="V329" t="s">
        <v>20</v>
      </c>
      <c r="W329" t="s">
        <v>1352</v>
      </c>
      <c r="X329" t="s">
        <v>20</v>
      </c>
      <c r="Y329">
        <v>146.14599999999999</v>
      </c>
      <c r="Z329" t="s">
        <v>20</v>
      </c>
      <c r="AA329" t="s">
        <v>20</v>
      </c>
      <c r="AB329">
        <v>315</v>
      </c>
      <c r="AC329" t="s">
        <v>1314</v>
      </c>
      <c r="AD329" t="s">
        <v>20</v>
      </c>
      <c r="AE329" t="s">
        <v>1353</v>
      </c>
      <c r="AF329" t="s">
        <v>20</v>
      </c>
      <c r="AG329">
        <v>174.203</v>
      </c>
      <c r="AH329" t="s">
        <v>20</v>
      </c>
      <c r="AI329" t="s">
        <v>20</v>
      </c>
      <c r="AJ329">
        <v>440</v>
      </c>
      <c r="AK329" t="s">
        <v>1315</v>
      </c>
      <c r="AL329" t="s">
        <v>20</v>
      </c>
      <c r="AM329" t="s">
        <v>1354</v>
      </c>
      <c r="AN329" t="s">
        <v>20</v>
      </c>
      <c r="AO329">
        <v>119.119</v>
      </c>
      <c r="AP329" t="s">
        <v>20</v>
      </c>
      <c r="AQ329" t="s">
        <v>20</v>
      </c>
    </row>
    <row r="330" spans="1:43" x14ac:dyDescent="0.25">
      <c r="A330">
        <v>6</v>
      </c>
      <c r="B330" t="s">
        <v>167</v>
      </c>
      <c r="C330" t="str">
        <f>HYPERLINK("http://www.ncbi.nlm.nih.gov/protein/NWH98271.1","NWH98271.1")</f>
        <v>NWH98271.1</v>
      </c>
      <c r="D330">
        <v>11529</v>
      </c>
      <c r="E330" t="str">
        <f>HYPERLINK("http://www.ncbi.nlm.nih.gov/Taxonomy/Browser/wwwtax.cgi?mode=Info&amp;id=237442&amp;lvl=3&amp;lin=f&amp;keep=1&amp;srchmode=1&amp;unlock","237442")</f>
        <v>237442</v>
      </c>
      <c r="F330" t="s">
        <v>167</v>
      </c>
      <c r="G330" t="str">
        <f>HYPERLINK("http://www.ncbi.nlm.nih.gov/Taxonomy/Browser/wwwtax.cgi?mode=Info&amp;id=237442&amp;lvl=3&amp;lin=f&amp;keep=1&amp;srchmode=1&amp;unlock","Tichodroma muraria")</f>
        <v>Tichodroma muraria</v>
      </c>
      <c r="H330" t="s">
        <v>206</v>
      </c>
      <c r="I330" t="str">
        <f>HYPERLINK("http://www.ncbi.nlm.nih.gov/protein/NWH98271.1","ANDR protein")</f>
        <v>ANDR protein</v>
      </c>
      <c r="J330" t="s">
        <v>1323</v>
      </c>
      <c r="K330" t="s">
        <v>20</v>
      </c>
      <c r="L330">
        <v>237</v>
      </c>
      <c r="M330" t="s">
        <v>25</v>
      </c>
      <c r="N330" t="s">
        <v>20</v>
      </c>
      <c r="O330" t="s">
        <v>1352</v>
      </c>
      <c r="P330" t="s">
        <v>20</v>
      </c>
      <c r="Q330">
        <v>132.119</v>
      </c>
      <c r="R330" t="s">
        <v>20</v>
      </c>
      <c r="S330" t="s">
        <v>20</v>
      </c>
      <c r="T330">
        <v>243</v>
      </c>
      <c r="U330" t="s">
        <v>1313</v>
      </c>
      <c r="V330" t="s">
        <v>20</v>
      </c>
      <c r="W330" t="s">
        <v>1352</v>
      </c>
      <c r="X330" t="s">
        <v>20</v>
      </c>
      <c r="Y330">
        <v>146.14599999999999</v>
      </c>
      <c r="Z330" t="s">
        <v>20</v>
      </c>
      <c r="AA330" t="s">
        <v>20</v>
      </c>
      <c r="AB330">
        <v>284</v>
      </c>
      <c r="AC330" t="s">
        <v>1314</v>
      </c>
      <c r="AD330" t="s">
        <v>20</v>
      </c>
      <c r="AE330" t="s">
        <v>1353</v>
      </c>
      <c r="AF330" t="s">
        <v>20</v>
      </c>
      <c r="AG330">
        <v>174.203</v>
      </c>
      <c r="AH330" t="s">
        <v>20</v>
      </c>
      <c r="AI330" t="s">
        <v>20</v>
      </c>
      <c r="AJ330">
        <v>409</v>
      </c>
      <c r="AK330" t="s">
        <v>1315</v>
      </c>
      <c r="AL330" t="s">
        <v>20</v>
      </c>
      <c r="AM330" t="s">
        <v>1354</v>
      </c>
      <c r="AN330" t="s">
        <v>20</v>
      </c>
      <c r="AO330">
        <v>119.119</v>
      </c>
      <c r="AP330" t="s">
        <v>20</v>
      </c>
      <c r="AQ330" t="s">
        <v>20</v>
      </c>
    </row>
    <row r="331" spans="1:43" x14ac:dyDescent="0.25">
      <c r="A331">
        <v>6</v>
      </c>
      <c r="B331" t="s">
        <v>167</v>
      </c>
      <c r="C331" t="str">
        <f>HYPERLINK("http://www.ncbi.nlm.nih.gov/protein/XP_030084849.1","XP_030084849.1")</f>
        <v>XP_030084849.1</v>
      </c>
      <c r="D331">
        <v>30512</v>
      </c>
      <c r="E331" t="str">
        <f>HYPERLINK("http://www.ncbi.nlm.nih.gov/Taxonomy/Browser/wwwtax.cgi?mode=Info&amp;id=9135&amp;lvl=3&amp;lin=f&amp;keep=1&amp;srchmode=1&amp;unlock","9135")</f>
        <v>9135</v>
      </c>
      <c r="F331" t="s">
        <v>167</v>
      </c>
      <c r="G331" t="str">
        <f>HYPERLINK("http://www.ncbi.nlm.nih.gov/Taxonomy/Browser/wwwtax.cgi?mode=Info&amp;id=9135&amp;lvl=3&amp;lin=f&amp;keep=1&amp;srchmode=1&amp;unlock","Serinus canaria")</f>
        <v>Serinus canaria</v>
      </c>
      <c r="H331" t="s">
        <v>477</v>
      </c>
      <c r="I331" t="str">
        <f>HYPERLINK("http://www.ncbi.nlm.nih.gov/protein/XP_030084849.1","androgen receptor")</f>
        <v>androgen receptor</v>
      </c>
      <c r="J331" t="s">
        <v>1323</v>
      </c>
      <c r="K331" t="s">
        <v>20</v>
      </c>
      <c r="L331">
        <v>507</v>
      </c>
      <c r="M331" t="s">
        <v>25</v>
      </c>
      <c r="N331" t="s">
        <v>20</v>
      </c>
      <c r="O331" t="s">
        <v>1352</v>
      </c>
      <c r="P331" t="s">
        <v>20</v>
      </c>
      <c r="Q331">
        <v>132.119</v>
      </c>
      <c r="R331" t="s">
        <v>20</v>
      </c>
      <c r="S331" t="s">
        <v>20</v>
      </c>
      <c r="T331">
        <v>513</v>
      </c>
      <c r="U331" t="s">
        <v>1313</v>
      </c>
      <c r="V331" t="s">
        <v>20</v>
      </c>
      <c r="W331" t="s">
        <v>1352</v>
      </c>
      <c r="X331" t="s">
        <v>20</v>
      </c>
      <c r="Y331">
        <v>146.14599999999999</v>
      </c>
      <c r="Z331" t="s">
        <v>20</v>
      </c>
      <c r="AA331" t="s">
        <v>20</v>
      </c>
      <c r="AB331">
        <v>554</v>
      </c>
      <c r="AC331" t="s">
        <v>1314</v>
      </c>
      <c r="AD331" t="s">
        <v>20</v>
      </c>
      <c r="AE331" t="s">
        <v>1353</v>
      </c>
      <c r="AF331" t="s">
        <v>20</v>
      </c>
      <c r="AG331">
        <v>174.203</v>
      </c>
      <c r="AH331" t="s">
        <v>20</v>
      </c>
      <c r="AI331" t="s">
        <v>20</v>
      </c>
      <c r="AJ331">
        <v>679</v>
      </c>
      <c r="AK331" t="s">
        <v>1315</v>
      </c>
      <c r="AL331" t="s">
        <v>20</v>
      </c>
      <c r="AM331" t="s">
        <v>1354</v>
      </c>
      <c r="AN331" t="s">
        <v>20</v>
      </c>
      <c r="AO331">
        <v>119.119</v>
      </c>
      <c r="AP331" t="s">
        <v>20</v>
      </c>
      <c r="AQ331" t="s">
        <v>20</v>
      </c>
    </row>
    <row r="332" spans="1:43" x14ac:dyDescent="0.25">
      <c r="A332">
        <v>6</v>
      </c>
      <c r="B332" t="s">
        <v>167</v>
      </c>
      <c r="C332" t="str">
        <f>HYPERLINK("http://www.ncbi.nlm.nih.gov/protein/XP_039946290.1","XP_039946290.1")</f>
        <v>XP_039946290.1</v>
      </c>
      <c r="D332">
        <v>52023</v>
      </c>
      <c r="E332" t="str">
        <f>HYPERLINK("http://www.ncbi.nlm.nih.gov/Taxonomy/Browser/wwwtax.cgi?mode=Info&amp;id=43150&amp;lvl=3&amp;lin=f&amp;keep=1&amp;srchmode=1&amp;unlock","43150")</f>
        <v>43150</v>
      </c>
      <c r="F332" t="s">
        <v>167</v>
      </c>
      <c r="G332" t="str">
        <f>HYPERLINK("http://www.ncbi.nlm.nih.gov/Taxonomy/Browser/wwwtax.cgi?mode=Info&amp;id=43150&amp;lvl=3&amp;lin=f&amp;keep=1&amp;srchmode=1&amp;unlock","Hirundo rustica")</f>
        <v>Hirundo rustica</v>
      </c>
      <c r="H332" t="s">
        <v>421</v>
      </c>
      <c r="I332" t="str">
        <f>HYPERLINK("http://www.ncbi.nlm.nih.gov/protein/XP_039946290.1","androgen receptor-like")</f>
        <v>androgen receptor-like</v>
      </c>
      <c r="J332" t="s">
        <v>1323</v>
      </c>
      <c r="K332" t="s">
        <v>20</v>
      </c>
      <c r="L332">
        <v>470</v>
      </c>
      <c r="M332" t="s">
        <v>25</v>
      </c>
      <c r="N332" t="s">
        <v>20</v>
      </c>
      <c r="O332" t="s">
        <v>1352</v>
      </c>
      <c r="P332" t="s">
        <v>20</v>
      </c>
      <c r="Q332">
        <v>132.119</v>
      </c>
      <c r="R332" t="s">
        <v>20</v>
      </c>
      <c r="S332" t="s">
        <v>20</v>
      </c>
      <c r="T332">
        <v>476</v>
      </c>
      <c r="U332" t="s">
        <v>1313</v>
      </c>
      <c r="V332" t="s">
        <v>20</v>
      </c>
      <c r="W332" t="s">
        <v>1352</v>
      </c>
      <c r="X332" t="s">
        <v>20</v>
      </c>
      <c r="Y332">
        <v>146.14599999999999</v>
      </c>
      <c r="Z332" t="s">
        <v>20</v>
      </c>
      <c r="AA332" t="s">
        <v>20</v>
      </c>
      <c r="AB332">
        <v>517</v>
      </c>
      <c r="AC332" t="s">
        <v>1314</v>
      </c>
      <c r="AD332" t="s">
        <v>20</v>
      </c>
      <c r="AE332" t="s">
        <v>1353</v>
      </c>
      <c r="AF332" t="s">
        <v>20</v>
      </c>
      <c r="AG332">
        <v>174.203</v>
      </c>
      <c r="AH332" t="s">
        <v>20</v>
      </c>
      <c r="AI332" t="s">
        <v>20</v>
      </c>
      <c r="AJ332">
        <v>642</v>
      </c>
      <c r="AK332" t="s">
        <v>1315</v>
      </c>
      <c r="AL332" t="s">
        <v>20</v>
      </c>
      <c r="AM332" t="s">
        <v>1354</v>
      </c>
      <c r="AN332" t="s">
        <v>20</v>
      </c>
      <c r="AO332">
        <v>119.119</v>
      </c>
      <c r="AP332" t="s">
        <v>20</v>
      </c>
      <c r="AQ332" t="s">
        <v>20</v>
      </c>
    </row>
    <row r="333" spans="1:43" x14ac:dyDescent="0.25">
      <c r="A333">
        <v>6</v>
      </c>
      <c r="B333" t="s">
        <v>167</v>
      </c>
      <c r="C333" t="str">
        <f>HYPERLINK("http://www.ncbi.nlm.nih.gov/protein/NXJ93699.1","NXJ93699.1")</f>
        <v>NXJ93699.1</v>
      </c>
      <c r="D333">
        <v>14263</v>
      </c>
      <c r="E333" t="str">
        <f>HYPERLINK("http://www.ncbi.nlm.nih.gov/Taxonomy/Browser/wwwtax.cgi?mode=Info&amp;id=103956&amp;lvl=3&amp;lin=f&amp;keep=1&amp;srchmode=1&amp;unlock","103956")</f>
        <v>103956</v>
      </c>
      <c r="F333" t="s">
        <v>167</v>
      </c>
      <c r="G333" t="str">
        <f>HYPERLINK("http://www.ncbi.nlm.nih.gov/Taxonomy/Browser/wwwtax.cgi?mode=Info&amp;id=103956&amp;lvl=3&amp;lin=f&amp;keep=1&amp;srchmode=1&amp;unlock","Corythaixoides concolor")</f>
        <v>Corythaixoides concolor</v>
      </c>
      <c r="H333" t="s">
        <v>422</v>
      </c>
      <c r="I333" t="str">
        <f>HYPERLINK("http://www.ncbi.nlm.nih.gov/protein/NXJ93699.1","ANDR protein")</f>
        <v>ANDR protein</v>
      </c>
      <c r="J333" t="s">
        <v>1323</v>
      </c>
      <c r="K333" t="s">
        <v>20</v>
      </c>
      <c r="L333">
        <v>219</v>
      </c>
      <c r="M333" t="s">
        <v>25</v>
      </c>
      <c r="N333" t="s">
        <v>20</v>
      </c>
      <c r="O333" t="s">
        <v>1352</v>
      </c>
      <c r="P333" t="s">
        <v>20</v>
      </c>
      <c r="Q333">
        <v>132.119</v>
      </c>
      <c r="R333" t="s">
        <v>20</v>
      </c>
      <c r="S333" t="s">
        <v>20</v>
      </c>
      <c r="T333">
        <v>225</v>
      </c>
      <c r="U333" t="s">
        <v>1313</v>
      </c>
      <c r="V333" t="s">
        <v>20</v>
      </c>
      <c r="W333" t="s">
        <v>1352</v>
      </c>
      <c r="X333" t="s">
        <v>20</v>
      </c>
      <c r="Y333">
        <v>146.14599999999999</v>
      </c>
      <c r="Z333" t="s">
        <v>20</v>
      </c>
      <c r="AA333" t="s">
        <v>20</v>
      </c>
      <c r="AB333">
        <v>266</v>
      </c>
      <c r="AC333" t="s">
        <v>1314</v>
      </c>
      <c r="AD333" t="s">
        <v>20</v>
      </c>
      <c r="AE333" t="s">
        <v>1353</v>
      </c>
      <c r="AF333" t="s">
        <v>20</v>
      </c>
      <c r="AG333">
        <v>174.203</v>
      </c>
      <c r="AH333" t="s">
        <v>20</v>
      </c>
      <c r="AI333" t="s">
        <v>20</v>
      </c>
      <c r="AJ333">
        <v>391</v>
      </c>
      <c r="AK333" t="s">
        <v>1315</v>
      </c>
      <c r="AL333" t="s">
        <v>20</v>
      </c>
      <c r="AM333" t="s">
        <v>1354</v>
      </c>
      <c r="AN333" t="s">
        <v>20</v>
      </c>
      <c r="AO333">
        <v>119.119</v>
      </c>
      <c r="AP333" t="s">
        <v>20</v>
      </c>
      <c r="AQ333" t="s">
        <v>20</v>
      </c>
    </row>
    <row r="334" spans="1:43" x14ac:dyDescent="0.25">
      <c r="A334">
        <v>6</v>
      </c>
      <c r="B334" t="s">
        <v>167</v>
      </c>
      <c r="C334" t="str">
        <f>HYPERLINK("http://www.ncbi.nlm.nih.gov/protein/NXA05249.1","NXA05249.1")</f>
        <v>NXA05249.1</v>
      </c>
      <c r="D334">
        <v>13903</v>
      </c>
      <c r="E334" t="str">
        <f>HYPERLINK("http://www.ncbi.nlm.nih.gov/Taxonomy/Browser/wwwtax.cgi?mode=Info&amp;id=239371&amp;lvl=3&amp;lin=f&amp;keep=1&amp;srchmode=1&amp;unlock","239371")</f>
        <v>239371</v>
      </c>
      <c r="F334" t="s">
        <v>167</v>
      </c>
      <c r="G334" t="str">
        <f>HYPERLINK("http://www.ncbi.nlm.nih.gov/Taxonomy/Browser/wwwtax.cgi?mode=Info&amp;id=239371&amp;lvl=3&amp;lin=f&amp;keep=1&amp;srchmode=1&amp;unlock","Sapayoa aenigma")</f>
        <v>Sapayoa aenigma</v>
      </c>
      <c r="H334" t="s">
        <v>360</v>
      </c>
      <c r="I334" t="str">
        <f>HYPERLINK("http://www.ncbi.nlm.nih.gov/protein/NXA05249.1","ANDR protein")</f>
        <v>ANDR protein</v>
      </c>
      <c r="J334" t="s">
        <v>1323</v>
      </c>
      <c r="K334" t="s">
        <v>20</v>
      </c>
      <c r="L334">
        <v>209</v>
      </c>
      <c r="M334" t="s">
        <v>25</v>
      </c>
      <c r="N334" t="s">
        <v>20</v>
      </c>
      <c r="O334" t="s">
        <v>1352</v>
      </c>
      <c r="P334" t="s">
        <v>20</v>
      </c>
      <c r="Q334">
        <v>132.119</v>
      </c>
      <c r="R334" t="s">
        <v>20</v>
      </c>
      <c r="S334" t="s">
        <v>20</v>
      </c>
      <c r="T334">
        <v>215</v>
      </c>
      <c r="U334" t="s">
        <v>1313</v>
      </c>
      <c r="V334" t="s">
        <v>20</v>
      </c>
      <c r="W334" t="s">
        <v>1352</v>
      </c>
      <c r="X334" t="s">
        <v>20</v>
      </c>
      <c r="Y334">
        <v>146.14599999999999</v>
      </c>
      <c r="Z334" t="s">
        <v>20</v>
      </c>
      <c r="AA334" t="s">
        <v>20</v>
      </c>
      <c r="AB334">
        <v>256</v>
      </c>
      <c r="AC334" t="s">
        <v>1314</v>
      </c>
      <c r="AD334" t="s">
        <v>20</v>
      </c>
      <c r="AE334" t="s">
        <v>1353</v>
      </c>
      <c r="AF334" t="s">
        <v>20</v>
      </c>
      <c r="AG334">
        <v>174.203</v>
      </c>
      <c r="AH334" t="s">
        <v>20</v>
      </c>
      <c r="AI334" t="s">
        <v>20</v>
      </c>
      <c r="AJ334">
        <v>381</v>
      </c>
      <c r="AK334" t="s">
        <v>1315</v>
      </c>
      <c r="AL334" t="s">
        <v>20</v>
      </c>
      <c r="AM334" t="s">
        <v>1354</v>
      </c>
      <c r="AN334" t="s">
        <v>20</v>
      </c>
      <c r="AO334">
        <v>119.119</v>
      </c>
      <c r="AP334" t="s">
        <v>20</v>
      </c>
      <c r="AQ334" t="s">
        <v>20</v>
      </c>
    </row>
    <row r="335" spans="1:43" x14ac:dyDescent="0.25">
      <c r="A335">
        <v>6</v>
      </c>
      <c r="B335" t="s">
        <v>167</v>
      </c>
      <c r="C335" t="str">
        <f>HYPERLINK("http://www.ncbi.nlm.nih.gov/protein/NXQ07008.1","NXQ07008.1")</f>
        <v>NXQ07008.1</v>
      </c>
      <c r="D335">
        <v>13115</v>
      </c>
      <c r="E335" t="str">
        <f>HYPERLINK("http://www.ncbi.nlm.nih.gov/Taxonomy/Browser/wwwtax.cgi?mode=Info&amp;id=187451&amp;lvl=3&amp;lin=f&amp;keep=1&amp;srchmode=1&amp;unlock","187451")</f>
        <v>187451</v>
      </c>
      <c r="F335" t="s">
        <v>167</v>
      </c>
      <c r="G335" t="str">
        <f>HYPERLINK("http://www.ncbi.nlm.nih.gov/Taxonomy/Browser/wwwtax.cgi?mode=Info&amp;id=187451&amp;lvl=3&amp;lin=f&amp;keep=1&amp;srchmode=1&amp;unlock","Vidua macroura")</f>
        <v>Vidua macroura</v>
      </c>
      <c r="H335" t="s">
        <v>206</v>
      </c>
      <c r="I335" t="str">
        <f>HYPERLINK("http://www.ncbi.nlm.nih.gov/protein/NXQ07008.1","ANDR protein")</f>
        <v>ANDR protein</v>
      </c>
      <c r="J335" t="s">
        <v>1323</v>
      </c>
      <c r="K335" t="s">
        <v>20</v>
      </c>
      <c r="L335">
        <v>217</v>
      </c>
      <c r="M335" t="s">
        <v>25</v>
      </c>
      <c r="N335" t="s">
        <v>20</v>
      </c>
      <c r="O335" t="s">
        <v>1352</v>
      </c>
      <c r="P335" t="s">
        <v>20</v>
      </c>
      <c r="Q335">
        <v>132.119</v>
      </c>
      <c r="R335" t="s">
        <v>20</v>
      </c>
      <c r="S335" t="s">
        <v>20</v>
      </c>
      <c r="T335">
        <v>223</v>
      </c>
      <c r="U335" t="s">
        <v>1313</v>
      </c>
      <c r="V335" t="s">
        <v>20</v>
      </c>
      <c r="W335" t="s">
        <v>1352</v>
      </c>
      <c r="X335" t="s">
        <v>20</v>
      </c>
      <c r="Y335">
        <v>146.14599999999999</v>
      </c>
      <c r="Z335" t="s">
        <v>20</v>
      </c>
      <c r="AA335" t="s">
        <v>20</v>
      </c>
      <c r="AB335">
        <v>264</v>
      </c>
      <c r="AC335" t="s">
        <v>1314</v>
      </c>
      <c r="AD335" t="s">
        <v>20</v>
      </c>
      <c r="AE335" t="s">
        <v>1353</v>
      </c>
      <c r="AF335" t="s">
        <v>20</v>
      </c>
      <c r="AG335">
        <v>174.203</v>
      </c>
      <c r="AH335" t="s">
        <v>20</v>
      </c>
      <c r="AI335" t="s">
        <v>20</v>
      </c>
      <c r="AJ335">
        <v>389</v>
      </c>
      <c r="AK335" t="s">
        <v>1315</v>
      </c>
      <c r="AL335" t="s">
        <v>20</v>
      </c>
      <c r="AM335" t="s">
        <v>1354</v>
      </c>
      <c r="AN335" t="s">
        <v>20</v>
      </c>
      <c r="AO335">
        <v>119.119</v>
      </c>
      <c r="AP335" t="s">
        <v>20</v>
      </c>
      <c r="AQ335" t="s">
        <v>20</v>
      </c>
    </row>
    <row r="336" spans="1:43" x14ac:dyDescent="0.25">
      <c r="A336">
        <v>6</v>
      </c>
      <c r="B336" t="s">
        <v>167</v>
      </c>
      <c r="C336" t="str">
        <f>HYPERLINK("http://www.ncbi.nlm.nih.gov/protein/PKK20063.1","PKK20063.1")</f>
        <v>PKK20063.1</v>
      </c>
      <c r="D336">
        <v>50935</v>
      </c>
      <c r="E336" t="str">
        <f>HYPERLINK("http://www.ncbi.nlm.nih.gov/Taxonomy/Browser/wwwtax.cgi?mode=Info&amp;id=8932&amp;lvl=3&amp;lin=f&amp;keep=1&amp;srchmode=1&amp;unlock","8932")</f>
        <v>8932</v>
      </c>
      <c r="F336" t="s">
        <v>167</v>
      </c>
      <c r="G336" t="str">
        <f>HYPERLINK("http://www.ncbi.nlm.nih.gov/Taxonomy/Browser/wwwtax.cgi?mode=Info&amp;id=8932&amp;lvl=3&amp;lin=f&amp;keep=1&amp;srchmode=1&amp;unlock","Columba livia")</f>
        <v>Columba livia</v>
      </c>
      <c r="H336" t="s">
        <v>313</v>
      </c>
      <c r="I336" t="str">
        <f>HYPERLINK("http://www.ncbi.nlm.nih.gov/protein/PKK20063.1","androgen receptor")</f>
        <v>androgen receptor</v>
      </c>
      <c r="J336" t="s">
        <v>1323</v>
      </c>
      <c r="K336" t="s">
        <v>20</v>
      </c>
      <c r="L336">
        <v>244</v>
      </c>
      <c r="M336" t="s">
        <v>25</v>
      </c>
      <c r="N336" t="s">
        <v>20</v>
      </c>
      <c r="O336" t="s">
        <v>1352</v>
      </c>
      <c r="P336" t="s">
        <v>20</v>
      </c>
      <c r="Q336">
        <v>132.119</v>
      </c>
      <c r="R336" t="s">
        <v>20</v>
      </c>
      <c r="S336" t="s">
        <v>20</v>
      </c>
      <c r="T336">
        <v>250</v>
      </c>
      <c r="U336" t="s">
        <v>1313</v>
      </c>
      <c r="V336" t="s">
        <v>20</v>
      </c>
      <c r="W336" t="s">
        <v>1352</v>
      </c>
      <c r="X336" t="s">
        <v>20</v>
      </c>
      <c r="Y336">
        <v>146.14599999999999</v>
      </c>
      <c r="Z336" t="s">
        <v>20</v>
      </c>
      <c r="AA336" t="s">
        <v>20</v>
      </c>
      <c r="AB336">
        <v>291</v>
      </c>
      <c r="AC336" t="s">
        <v>1314</v>
      </c>
      <c r="AD336" t="s">
        <v>20</v>
      </c>
      <c r="AE336" t="s">
        <v>1353</v>
      </c>
      <c r="AF336" t="s">
        <v>20</v>
      </c>
      <c r="AG336">
        <v>174.203</v>
      </c>
      <c r="AH336" t="s">
        <v>20</v>
      </c>
      <c r="AI336" t="s">
        <v>20</v>
      </c>
      <c r="AJ336">
        <v>416</v>
      </c>
      <c r="AK336" t="s">
        <v>1315</v>
      </c>
      <c r="AL336" t="s">
        <v>20</v>
      </c>
      <c r="AM336" t="s">
        <v>1354</v>
      </c>
      <c r="AN336" t="s">
        <v>20</v>
      </c>
      <c r="AO336">
        <v>119.119</v>
      </c>
      <c r="AP336" t="s">
        <v>20</v>
      </c>
      <c r="AQ336" t="s">
        <v>20</v>
      </c>
    </row>
    <row r="337" spans="1:43" x14ac:dyDescent="0.25">
      <c r="A337">
        <v>6</v>
      </c>
      <c r="B337" t="s">
        <v>167</v>
      </c>
      <c r="C337" t="str">
        <f>HYPERLINK("http://www.ncbi.nlm.nih.gov/protein/NXQ65688.1","NXQ65688.1")</f>
        <v>NXQ65688.1</v>
      </c>
      <c r="D337">
        <v>13681</v>
      </c>
      <c r="E337" t="str">
        <f>HYPERLINK("http://www.ncbi.nlm.nih.gov/Taxonomy/Browser/wwwtax.cgi?mode=Info&amp;id=64278&amp;lvl=3&amp;lin=f&amp;keep=1&amp;srchmode=1&amp;unlock","64278")</f>
        <v>64278</v>
      </c>
      <c r="F337" t="s">
        <v>167</v>
      </c>
      <c r="G337" t="str">
        <f>HYPERLINK("http://www.ncbi.nlm.nih.gov/Taxonomy/Browser/wwwtax.cgi?mode=Info&amp;id=64278&amp;lvl=3&amp;lin=f&amp;keep=1&amp;srchmode=1&amp;unlock","Quiscalus mexicanus")</f>
        <v>Quiscalus mexicanus</v>
      </c>
      <c r="H337" t="s">
        <v>428</v>
      </c>
      <c r="I337" t="str">
        <f>HYPERLINK("http://www.ncbi.nlm.nih.gov/protein/NXQ65688.1","ANDR protein")</f>
        <v>ANDR protein</v>
      </c>
      <c r="J337" t="s">
        <v>1323</v>
      </c>
      <c r="K337" t="s">
        <v>20</v>
      </c>
      <c r="L337">
        <v>205</v>
      </c>
      <c r="M337" t="s">
        <v>25</v>
      </c>
      <c r="N337" t="s">
        <v>20</v>
      </c>
      <c r="O337" t="s">
        <v>1352</v>
      </c>
      <c r="P337" t="s">
        <v>20</v>
      </c>
      <c r="Q337">
        <v>132.119</v>
      </c>
      <c r="R337" t="s">
        <v>20</v>
      </c>
      <c r="S337" t="s">
        <v>20</v>
      </c>
      <c r="T337">
        <v>211</v>
      </c>
      <c r="U337" t="s">
        <v>1313</v>
      </c>
      <c r="V337" t="s">
        <v>20</v>
      </c>
      <c r="W337" t="s">
        <v>1352</v>
      </c>
      <c r="X337" t="s">
        <v>20</v>
      </c>
      <c r="Y337">
        <v>146.14599999999999</v>
      </c>
      <c r="Z337" t="s">
        <v>20</v>
      </c>
      <c r="AA337" t="s">
        <v>20</v>
      </c>
      <c r="AB337">
        <v>252</v>
      </c>
      <c r="AC337" t="s">
        <v>1314</v>
      </c>
      <c r="AD337" t="s">
        <v>20</v>
      </c>
      <c r="AE337" t="s">
        <v>1353</v>
      </c>
      <c r="AF337" t="s">
        <v>20</v>
      </c>
      <c r="AG337">
        <v>174.203</v>
      </c>
      <c r="AH337" t="s">
        <v>20</v>
      </c>
      <c r="AI337" t="s">
        <v>20</v>
      </c>
      <c r="AJ337">
        <v>377</v>
      </c>
      <c r="AK337" t="s">
        <v>1315</v>
      </c>
      <c r="AL337" t="s">
        <v>20</v>
      </c>
      <c r="AM337" t="s">
        <v>1354</v>
      </c>
      <c r="AN337" t="s">
        <v>20</v>
      </c>
      <c r="AO337">
        <v>119.119</v>
      </c>
      <c r="AP337" t="s">
        <v>20</v>
      </c>
      <c r="AQ337" t="s">
        <v>20</v>
      </c>
    </row>
    <row r="338" spans="1:43" x14ac:dyDescent="0.25">
      <c r="A338">
        <v>6</v>
      </c>
      <c r="B338" t="s">
        <v>167</v>
      </c>
      <c r="C338" t="str">
        <f>HYPERLINK("http://www.ncbi.nlm.nih.gov/protein/NXC43881.1","NXC43881.1")</f>
        <v>NXC43881.1</v>
      </c>
      <c r="D338">
        <v>13966</v>
      </c>
      <c r="E338" t="str">
        <f>HYPERLINK("http://www.ncbi.nlm.nih.gov/Taxonomy/Browser/wwwtax.cgi?mode=Info&amp;id=1118817&amp;lvl=3&amp;lin=f&amp;keep=1&amp;srchmode=1&amp;unlock","1118817")</f>
        <v>1118817</v>
      </c>
      <c r="F338" t="s">
        <v>167</v>
      </c>
      <c r="G338" t="str">
        <f>HYPERLINK("http://www.ncbi.nlm.nih.gov/Taxonomy/Browser/wwwtax.cgi?mode=Info&amp;id=1118817&amp;lvl=3&amp;lin=f&amp;keep=1&amp;srchmode=1&amp;unlock","Penelope pileata")</f>
        <v>Penelope pileata</v>
      </c>
      <c r="H338" t="s">
        <v>267</v>
      </c>
      <c r="I338" t="str">
        <f>HYPERLINK("http://www.ncbi.nlm.nih.gov/protein/NXC43881.1","ANDR protein")</f>
        <v>ANDR protein</v>
      </c>
      <c r="J338" t="s">
        <v>1323</v>
      </c>
      <c r="K338" t="s">
        <v>20</v>
      </c>
      <c r="L338">
        <v>246</v>
      </c>
      <c r="M338" t="s">
        <v>25</v>
      </c>
      <c r="N338" t="s">
        <v>20</v>
      </c>
      <c r="O338" t="s">
        <v>1352</v>
      </c>
      <c r="P338" t="s">
        <v>20</v>
      </c>
      <c r="Q338">
        <v>132.119</v>
      </c>
      <c r="R338" t="s">
        <v>20</v>
      </c>
      <c r="S338" t="s">
        <v>20</v>
      </c>
      <c r="T338">
        <v>252</v>
      </c>
      <c r="U338" t="s">
        <v>1313</v>
      </c>
      <c r="V338" t="s">
        <v>20</v>
      </c>
      <c r="W338" t="s">
        <v>1352</v>
      </c>
      <c r="X338" t="s">
        <v>20</v>
      </c>
      <c r="Y338">
        <v>146.14599999999999</v>
      </c>
      <c r="Z338" t="s">
        <v>20</v>
      </c>
      <c r="AA338" t="s">
        <v>20</v>
      </c>
      <c r="AB338">
        <v>293</v>
      </c>
      <c r="AC338" t="s">
        <v>1314</v>
      </c>
      <c r="AD338" t="s">
        <v>20</v>
      </c>
      <c r="AE338" t="s">
        <v>1353</v>
      </c>
      <c r="AF338" t="s">
        <v>20</v>
      </c>
      <c r="AG338">
        <v>174.203</v>
      </c>
      <c r="AH338" t="s">
        <v>20</v>
      </c>
      <c r="AI338" t="s">
        <v>20</v>
      </c>
      <c r="AJ338">
        <v>418</v>
      </c>
      <c r="AK338" t="s">
        <v>1315</v>
      </c>
      <c r="AL338" t="s">
        <v>20</v>
      </c>
      <c r="AM338" t="s">
        <v>1354</v>
      </c>
      <c r="AN338" t="s">
        <v>20</v>
      </c>
      <c r="AO338">
        <v>119.119</v>
      </c>
      <c r="AP338" t="s">
        <v>20</v>
      </c>
      <c r="AQ338" t="s">
        <v>20</v>
      </c>
    </row>
    <row r="339" spans="1:43" x14ac:dyDescent="0.25">
      <c r="A339">
        <v>6</v>
      </c>
      <c r="B339" t="s">
        <v>167</v>
      </c>
      <c r="C339" t="str">
        <f>HYPERLINK("http://www.ncbi.nlm.nih.gov/protein/NXL35044.1","NXL35044.1")</f>
        <v>NXL35044.1</v>
      </c>
      <c r="D339">
        <v>14261</v>
      </c>
      <c r="E339" t="str">
        <f>HYPERLINK("http://www.ncbi.nlm.nih.gov/Taxonomy/Browser/wwwtax.cgi?mode=Info&amp;id=78217&amp;lvl=3&amp;lin=f&amp;keep=1&amp;srchmode=1&amp;unlock","78217")</f>
        <v>78217</v>
      </c>
      <c r="F339" t="s">
        <v>167</v>
      </c>
      <c r="G339" t="str">
        <f>HYPERLINK("http://www.ncbi.nlm.nih.gov/Taxonomy/Browser/wwwtax.cgi?mode=Info&amp;id=78217&amp;lvl=3&amp;lin=f&amp;keep=1&amp;srchmode=1&amp;unlock","Glaucidium brasilianum")</f>
        <v>Glaucidium brasilianum</v>
      </c>
      <c r="H339" t="s">
        <v>253</v>
      </c>
      <c r="I339" t="str">
        <f>HYPERLINK("http://www.ncbi.nlm.nih.gov/protein/NXL35044.1","ANDR protein")</f>
        <v>ANDR protein</v>
      </c>
      <c r="J339" t="s">
        <v>1323</v>
      </c>
      <c r="K339" t="s">
        <v>20</v>
      </c>
      <c r="L339">
        <v>456</v>
      </c>
      <c r="M339" t="s">
        <v>25</v>
      </c>
      <c r="N339" t="s">
        <v>20</v>
      </c>
      <c r="O339" t="s">
        <v>1352</v>
      </c>
      <c r="P339" t="s">
        <v>20</v>
      </c>
      <c r="Q339">
        <v>132.119</v>
      </c>
      <c r="R339" t="s">
        <v>20</v>
      </c>
      <c r="S339" t="s">
        <v>20</v>
      </c>
      <c r="T339">
        <v>462</v>
      </c>
      <c r="U339" t="s">
        <v>1313</v>
      </c>
      <c r="V339" t="s">
        <v>20</v>
      </c>
      <c r="W339" t="s">
        <v>1352</v>
      </c>
      <c r="X339" t="s">
        <v>20</v>
      </c>
      <c r="Y339">
        <v>146.14599999999999</v>
      </c>
      <c r="Z339" t="s">
        <v>20</v>
      </c>
      <c r="AA339" t="s">
        <v>20</v>
      </c>
      <c r="AB339">
        <v>503</v>
      </c>
      <c r="AC339" t="s">
        <v>1314</v>
      </c>
      <c r="AD339" t="s">
        <v>20</v>
      </c>
      <c r="AE339" t="s">
        <v>1353</v>
      </c>
      <c r="AF339" t="s">
        <v>20</v>
      </c>
      <c r="AG339">
        <v>174.203</v>
      </c>
      <c r="AH339" t="s">
        <v>20</v>
      </c>
      <c r="AI339" t="s">
        <v>20</v>
      </c>
      <c r="AJ339">
        <v>628</v>
      </c>
      <c r="AK339" t="s">
        <v>1315</v>
      </c>
      <c r="AL339" t="s">
        <v>20</v>
      </c>
      <c r="AM339" t="s">
        <v>1354</v>
      </c>
      <c r="AN339" t="s">
        <v>20</v>
      </c>
      <c r="AO339">
        <v>119.119</v>
      </c>
      <c r="AP339" t="s">
        <v>20</v>
      </c>
      <c r="AQ339" t="s">
        <v>20</v>
      </c>
    </row>
    <row r="340" spans="1:43" x14ac:dyDescent="0.25">
      <c r="A340">
        <v>6</v>
      </c>
      <c r="B340" t="s">
        <v>167</v>
      </c>
      <c r="C340" t="str">
        <f>HYPERLINK("http://www.ncbi.nlm.nih.gov/protein/NXD70106.1","NXD70106.1")</f>
        <v>NXD70106.1</v>
      </c>
      <c r="D340">
        <v>13476</v>
      </c>
      <c r="E340" t="str">
        <f>HYPERLINK("http://www.ncbi.nlm.nih.gov/Taxonomy/Browser/wwwtax.cgi?mode=Info&amp;id=176039&amp;lvl=3&amp;lin=f&amp;keep=1&amp;srchmode=1&amp;unlock","176039")</f>
        <v>176039</v>
      </c>
      <c r="F340" t="s">
        <v>167</v>
      </c>
      <c r="G340" t="str">
        <f>HYPERLINK("http://www.ncbi.nlm.nih.gov/Taxonomy/Browser/wwwtax.cgi?mode=Info&amp;id=176039&amp;lvl=3&amp;lin=f&amp;keep=1&amp;srchmode=1&amp;unlock","Eolophus roseicapilla")</f>
        <v>Eolophus roseicapilla</v>
      </c>
      <c r="H340" t="s">
        <v>585</v>
      </c>
      <c r="I340" t="str">
        <f>HYPERLINK("http://www.ncbi.nlm.nih.gov/protein/NXD70106.1","ANDR protein")</f>
        <v>ANDR protein</v>
      </c>
      <c r="J340" t="s">
        <v>1323</v>
      </c>
      <c r="K340" t="s">
        <v>20</v>
      </c>
      <c r="L340">
        <v>426</v>
      </c>
      <c r="M340" t="s">
        <v>25</v>
      </c>
      <c r="N340" t="s">
        <v>20</v>
      </c>
      <c r="O340" t="s">
        <v>1352</v>
      </c>
      <c r="P340" t="s">
        <v>20</v>
      </c>
      <c r="Q340">
        <v>132.119</v>
      </c>
      <c r="R340" t="s">
        <v>20</v>
      </c>
      <c r="S340" t="s">
        <v>20</v>
      </c>
      <c r="T340">
        <v>432</v>
      </c>
      <c r="U340" t="s">
        <v>1313</v>
      </c>
      <c r="V340" t="s">
        <v>20</v>
      </c>
      <c r="W340" t="s">
        <v>1352</v>
      </c>
      <c r="X340" t="s">
        <v>20</v>
      </c>
      <c r="Y340">
        <v>146.14599999999999</v>
      </c>
      <c r="Z340" t="s">
        <v>20</v>
      </c>
      <c r="AA340" t="s">
        <v>20</v>
      </c>
      <c r="AB340">
        <v>473</v>
      </c>
      <c r="AC340" t="s">
        <v>1314</v>
      </c>
      <c r="AD340" t="s">
        <v>20</v>
      </c>
      <c r="AE340" t="s">
        <v>1353</v>
      </c>
      <c r="AF340" t="s">
        <v>20</v>
      </c>
      <c r="AG340">
        <v>174.203</v>
      </c>
      <c r="AH340" t="s">
        <v>20</v>
      </c>
      <c r="AI340" t="s">
        <v>20</v>
      </c>
      <c r="AJ340">
        <v>598</v>
      </c>
      <c r="AK340" t="s">
        <v>1315</v>
      </c>
      <c r="AL340" t="s">
        <v>20</v>
      </c>
      <c r="AM340" t="s">
        <v>1354</v>
      </c>
      <c r="AN340" t="s">
        <v>20</v>
      </c>
      <c r="AO340">
        <v>119.119</v>
      </c>
      <c r="AP340" t="s">
        <v>20</v>
      </c>
      <c r="AQ340" t="s">
        <v>20</v>
      </c>
    </row>
    <row r="341" spans="1:43" x14ac:dyDescent="0.25">
      <c r="A341">
        <v>6</v>
      </c>
      <c r="B341" t="s">
        <v>167</v>
      </c>
      <c r="C341" t="str">
        <f>HYPERLINK("http://www.ncbi.nlm.nih.gov/protein/NWR19752.1","NWR19752.1")</f>
        <v>NWR19752.1</v>
      </c>
      <c r="D341">
        <v>13259</v>
      </c>
      <c r="E341" t="str">
        <f>HYPERLINK("http://www.ncbi.nlm.nih.gov/Taxonomy/Browser/wwwtax.cgi?mode=Info&amp;id=337179&amp;lvl=3&amp;lin=f&amp;keep=1&amp;srchmode=1&amp;unlock","337179")</f>
        <v>337179</v>
      </c>
      <c r="F341" t="s">
        <v>167</v>
      </c>
      <c r="G341" t="str">
        <f>HYPERLINK("http://www.ncbi.nlm.nih.gov/Taxonomy/Browser/wwwtax.cgi?mode=Info&amp;id=337179&amp;lvl=3&amp;lin=f&amp;keep=1&amp;srchmode=1&amp;unlock","Emberiza fucata")</f>
        <v>Emberiza fucata</v>
      </c>
      <c r="H341" t="s">
        <v>429</v>
      </c>
      <c r="I341" t="str">
        <f>HYPERLINK("http://www.ncbi.nlm.nih.gov/protein/NWR19752.1","ANDR protein")</f>
        <v>ANDR protein</v>
      </c>
      <c r="J341" t="s">
        <v>1323</v>
      </c>
      <c r="K341" t="s">
        <v>20</v>
      </c>
      <c r="L341">
        <v>218</v>
      </c>
      <c r="M341" t="s">
        <v>25</v>
      </c>
      <c r="N341" t="s">
        <v>20</v>
      </c>
      <c r="O341" t="s">
        <v>1352</v>
      </c>
      <c r="P341" t="s">
        <v>20</v>
      </c>
      <c r="Q341">
        <v>132.119</v>
      </c>
      <c r="R341" t="s">
        <v>20</v>
      </c>
      <c r="S341" t="s">
        <v>20</v>
      </c>
      <c r="T341">
        <v>224</v>
      </c>
      <c r="U341" t="s">
        <v>1313</v>
      </c>
      <c r="V341" t="s">
        <v>20</v>
      </c>
      <c r="W341" t="s">
        <v>1352</v>
      </c>
      <c r="X341" t="s">
        <v>20</v>
      </c>
      <c r="Y341">
        <v>146.14599999999999</v>
      </c>
      <c r="Z341" t="s">
        <v>20</v>
      </c>
      <c r="AA341" t="s">
        <v>20</v>
      </c>
      <c r="AB341">
        <v>265</v>
      </c>
      <c r="AC341" t="s">
        <v>1314</v>
      </c>
      <c r="AD341" t="s">
        <v>20</v>
      </c>
      <c r="AE341" t="s">
        <v>1353</v>
      </c>
      <c r="AF341" t="s">
        <v>20</v>
      </c>
      <c r="AG341">
        <v>174.203</v>
      </c>
      <c r="AH341" t="s">
        <v>20</v>
      </c>
      <c r="AI341" t="s">
        <v>20</v>
      </c>
      <c r="AJ341">
        <v>390</v>
      </c>
      <c r="AK341" t="s">
        <v>1315</v>
      </c>
      <c r="AL341" t="s">
        <v>20</v>
      </c>
      <c r="AM341" t="s">
        <v>1354</v>
      </c>
      <c r="AN341" t="s">
        <v>20</v>
      </c>
      <c r="AO341">
        <v>119.119</v>
      </c>
      <c r="AP341" t="s">
        <v>20</v>
      </c>
      <c r="AQ341" t="s">
        <v>20</v>
      </c>
    </row>
    <row r="342" spans="1:43" x14ac:dyDescent="0.25">
      <c r="A342">
        <v>6</v>
      </c>
      <c r="B342" t="s">
        <v>167</v>
      </c>
      <c r="C342" t="str">
        <f>HYPERLINK("http://www.ncbi.nlm.nih.gov/protein/NXH04935.1","NXH04935.1")</f>
        <v>NXH04935.1</v>
      </c>
      <c r="D342">
        <v>14012</v>
      </c>
      <c r="E342" t="str">
        <f>HYPERLINK("http://www.ncbi.nlm.nih.gov/Taxonomy/Browser/wwwtax.cgi?mode=Info&amp;id=96539&amp;lvl=3&amp;lin=f&amp;keep=1&amp;srchmode=1&amp;unlock","96539")</f>
        <v>96539</v>
      </c>
      <c r="F342" t="s">
        <v>167</v>
      </c>
      <c r="G342" t="str">
        <f>HYPERLINK("http://www.ncbi.nlm.nih.gov/Taxonomy/Browser/wwwtax.cgi?mode=Info&amp;id=96539&amp;lvl=3&amp;lin=f&amp;keep=1&amp;srchmode=1&amp;unlock","Loxia leucoptera")</f>
        <v>Loxia leucoptera</v>
      </c>
      <c r="H342" t="s">
        <v>456</v>
      </c>
      <c r="I342" t="str">
        <f>HYPERLINK("http://www.ncbi.nlm.nih.gov/protein/NXH04935.1","ANDR protein")</f>
        <v>ANDR protein</v>
      </c>
      <c r="J342" t="s">
        <v>1323</v>
      </c>
      <c r="K342" t="s">
        <v>20</v>
      </c>
      <c r="L342">
        <v>237</v>
      </c>
      <c r="M342" t="s">
        <v>25</v>
      </c>
      <c r="N342" t="s">
        <v>20</v>
      </c>
      <c r="O342" t="s">
        <v>1352</v>
      </c>
      <c r="P342" t="s">
        <v>20</v>
      </c>
      <c r="Q342">
        <v>132.119</v>
      </c>
      <c r="R342" t="s">
        <v>20</v>
      </c>
      <c r="S342" t="s">
        <v>20</v>
      </c>
      <c r="T342">
        <v>243</v>
      </c>
      <c r="U342" t="s">
        <v>1313</v>
      </c>
      <c r="V342" t="s">
        <v>20</v>
      </c>
      <c r="W342" t="s">
        <v>1352</v>
      </c>
      <c r="X342" t="s">
        <v>20</v>
      </c>
      <c r="Y342">
        <v>146.14599999999999</v>
      </c>
      <c r="Z342" t="s">
        <v>20</v>
      </c>
      <c r="AA342" t="s">
        <v>20</v>
      </c>
      <c r="AB342">
        <v>284</v>
      </c>
      <c r="AC342" t="s">
        <v>1314</v>
      </c>
      <c r="AD342" t="s">
        <v>20</v>
      </c>
      <c r="AE342" t="s">
        <v>1353</v>
      </c>
      <c r="AF342" t="s">
        <v>20</v>
      </c>
      <c r="AG342">
        <v>174.203</v>
      </c>
      <c r="AH342" t="s">
        <v>20</v>
      </c>
      <c r="AI342" t="s">
        <v>20</v>
      </c>
      <c r="AJ342">
        <v>409</v>
      </c>
      <c r="AK342" t="s">
        <v>1315</v>
      </c>
      <c r="AL342" t="s">
        <v>20</v>
      </c>
      <c r="AM342" t="s">
        <v>1354</v>
      </c>
      <c r="AN342" t="s">
        <v>20</v>
      </c>
      <c r="AO342">
        <v>119.119</v>
      </c>
      <c r="AP342" t="s">
        <v>20</v>
      </c>
      <c r="AQ342" t="s">
        <v>20</v>
      </c>
    </row>
    <row r="343" spans="1:43" x14ac:dyDescent="0.25">
      <c r="A343">
        <v>6</v>
      </c>
      <c r="B343" t="s">
        <v>167</v>
      </c>
      <c r="C343" t="str">
        <f>HYPERLINK("http://www.ncbi.nlm.nih.gov/protein/NXL45107.1","NXL45107.1")</f>
        <v>NXL45107.1</v>
      </c>
      <c r="D343">
        <v>14232</v>
      </c>
      <c r="E343" t="str">
        <f>HYPERLINK("http://www.ncbi.nlm.nih.gov/Taxonomy/Browser/wwwtax.cgi?mode=Info&amp;id=9252&amp;lvl=3&amp;lin=f&amp;keep=1&amp;srchmode=1&amp;unlock","9252")</f>
        <v>9252</v>
      </c>
      <c r="F343" t="s">
        <v>167</v>
      </c>
      <c r="G343" t="str">
        <f>HYPERLINK("http://www.ncbi.nlm.nih.gov/Taxonomy/Browser/wwwtax.cgi?mode=Info&amp;id=9252&amp;lvl=3&amp;lin=f&amp;keep=1&amp;srchmode=1&amp;unlock","Podilymbus podiceps")</f>
        <v>Podilymbus podiceps</v>
      </c>
      <c r="H343" t="s">
        <v>604</v>
      </c>
      <c r="I343" t="str">
        <f>HYPERLINK("http://www.ncbi.nlm.nih.gov/protein/NXL45107.1","ANDR protein")</f>
        <v>ANDR protein</v>
      </c>
      <c r="J343" t="s">
        <v>1323</v>
      </c>
      <c r="K343" t="s">
        <v>20</v>
      </c>
      <c r="L343">
        <v>242</v>
      </c>
      <c r="M343" t="s">
        <v>25</v>
      </c>
      <c r="N343" t="s">
        <v>20</v>
      </c>
      <c r="O343" t="s">
        <v>1352</v>
      </c>
      <c r="P343" t="s">
        <v>20</v>
      </c>
      <c r="Q343">
        <v>132.119</v>
      </c>
      <c r="R343" t="s">
        <v>20</v>
      </c>
      <c r="S343" t="s">
        <v>20</v>
      </c>
      <c r="T343">
        <v>248</v>
      </c>
      <c r="U343" t="s">
        <v>1313</v>
      </c>
      <c r="V343" t="s">
        <v>20</v>
      </c>
      <c r="W343" t="s">
        <v>1352</v>
      </c>
      <c r="X343" t="s">
        <v>20</v>
      </c>
      <c r="Y343">
        <v>146.14599999999999</v>
      </c>
      <c r="Z343" t="s">
        <v>20</v>
      </c>
      <c r="AA343" t="s">
        <v>20</v>
      </c>
      <c r="AB343">
        <v>289</v>
      </c>
      <c r="AC343" t="s">
        <v>1314</v>
      </c>
      <c r="AD343" t="s">
        <v>20</v>
      </c>
      <c r="AE343" t="s">
        <v>1353</v>
      </c>
      <c r="AF343" t="s">
        <v>20</v>
      </c>
      <c r="AG343">
        <v>174.203</v>
      </c>
      <c r="AH343" t="s">
        <v>20</v>
      </c>
      <c r="AI343" t="s">
        <v>20</v>
      </c>
      <c r="AJ343">
        <v>414</v>
      </c>
      <c r="AK343" t="s">
        <v>1315</v>
      </c>
      <c r="AL343" t="s">
        <v>20</v>
      </c>
      <c r="AM343" t="s">
        <v>1354</v>
      </c>
      <c r="AN343" t="s">
        <v>20</v>
      </c>
      <c r="AO343">
        <v>119.119</v>
      </c>
      <c r="AP343" t="s">
        <v>20</v>
      </c>
      <c r="AQ343" t="s">
        <v>20</v>
      </c>
    </row>
    <row r="344" spans="1:43" x14ac:dyDescent="0.25">
      <c r="A344">
        <v>6</v>
      </c>
      <c r="B344" t="s">
        <v>167</v>
      </c>
      <c r="C344" t="str">
        <f>HYPERLINK("http://www.ncbi.nlm.nih.gov/protein/XP_025910449.1","XP_025910449.1")</f>
        <v>XP_025910449.1</v>
      </c>
      <c r="D344">
        <v>21562</v>
      </c>
      <c r="E344" t="str">
        <f>HYPERLINK("http://www.ncbi.nlm.nih.gov/Taxonomy/Browser/wwwtax.cgi?mode=Info&amp;id=30464&amp;lvl=3&amp;lin=f&amp;keep=1&amp;srchmode=1&amp;unlock","30464")</f>
        <v>30464</v>
      </c>
      <c r="F344" t="s">
        <v>167</v>
      </c>
      <c r="G344" t="str">
        <f>HYPERLINK("http://www.ncbi.nlm.nih.gov/Taxonomy/Browser/wwwtax.cgi?mode=Info&amp;id=30464&amp;lvl=3&amp;lin=f&amp;keep=1&amp;srchmode=1&amp;unlock","Nothoprocta perdicaria")</f>
        <v>Nothoprocta perdicaria</v>
      </c>
      <c r="H344" t="s">
        <v>196</v>
      </c>
      <c r="I344" t="str">
        <f>HYPERLINK("http://www.ncbi.nlm.nih.gov/protein/XP_025910449.1","androgen receptor isoform X2")</f>
        <v>androgen receptor isoform X2</v>
      </c>
      <c r="J344" t="s">
        <v>1323</v>
      </c>
      <c r="K344" t="s">
        <v>20</v>
      </c>
      <c r="L344">
        <v>437</v>
      </c>
      <c r="M344" t="s">
        <v>25</v>
      </c>
      <c r="N344" t="s">
        <v>20</v>
      </c>
      <c r="O344" t="s">
        <v>1352</v>
      </c>
      <c r="P344" t="s">
        <v>20</v>
      </c>
      <c r="Q344">
        <v>132.119</v>
      </c>
      <c r="R344" t="s">
        <v>20</v>
      </c>
      <c r="S344" t="s">
        <v>20</v>
      </c>
      <c r="T344">
        <v>443</v>
      </c>
      <c r="U344" t="s">
        <v>1313</v>
      </c>
      <c r="V344" t="s">
        <v>20</v>
      </c>
      <c r="W344" t="s">
        <v>1352</v>
      </c>
      <c r="X344" t="s">
        <v>20</v>
      </c>
      <c r="Y344">
        <v>146.14599999999999</v>
      </c>
      <c r="Z344" t="s">
        <v>20</v>
      </c>
      <c r="AA344" t="s">
        <v>20</v>
      </c>
      <c r="AB344">
        <v>484</v>
      </c>
      <c r="AC344" t="s">
        <v>1314</v>
      </c>
      <c r="AD344" t="s">
        <v>20</v>
      </c>
      <c r="AE344" t="s">
        <v>1353</v>
      </c>
      <c r="AF344" t="s">
        <v>20</v>
      </c>
      <c r="AG344">
        <v>174.203</v>
      </c>
      <c r="AH344" t="s">
        <v>20</v>
      </c>
      <c r="AI344" t="s">
        <v>20</v>
      </c>
      <c r="AJ344">
        <v>609</v>
      </c>
      <c r="AK344" t="s">
        <v>1315</v>
      </c>
      <c r="AL344" t="s">
        <v>20</v>
      </c>
      <c r="AM344" t="s">
        <v>1354</v>
      </c>
      <c r="AN344" t="s">
        <v>20</v>
      </c>
      <c r="AO344">
        <v>119.119</v>
      </c>
      <c r="AP344" t="s">
        <v>20</v>
      </c>
      <c r="AQ344" t="s">
        <v>20</v>
      </c>
    </row>
    <row r="345" spans="1:43" x14ac:dyDescent="0.25">
      <c r="A345">
        <v>6</v>
      </c>
      <c r="B345" t="s">
        <v>167</v>
      </c>
      <c r="C345" t="str">
        <f>HYPERLINK("http://www.ncbi.nlm.nih.gov/protein/NWI87165.1","NWI87165.1")</f>
        <v>NWI87165.1</v>
      </c>
      <c r="D345">
        <v>13920</v>
      </c>
      <c r="E345" t="str">
        <f>HYPERLINK("http://www.ncbi.nlm.nih.gov/Taxonomy/Browser/wwwtax.cgi?mode=Info&amp;id=9163&amp;lvl=3&amp;lin=f&amp;keep=1&amp;srchmode=1&amp;unlock","9163")</f>
        <v>9163</v>
      </c>
      <c r="F345" t="s">
        <v>167</v>
      </c>
      <c r="G345" t="str">
        <f>HYPERLINK("http://www.ncbi.nlm.nih.gov/Taxonomy/Browser/wwwtax.cgi?mode=Info&amp;id=9163&amp;lvl=3&amp;lin=f&amp;keep=1&amp;srchmode=1&amp;unlock","Pitta sordida")</f>
        <v>Pitta sordida</v>
      </c>
      <c r="H345" t="s">
        <v>452</v>
      </c>
      <c r="I345" t="str">
        <f>HYPERLINK("http://www.ncbi.nlm.nih.gov/protein/NWI87165.1","ANDR protein")</f>
        <v>ANDR protein</v>
      </c>
      <c r="J345" t="s">
        <v>1323</v>
      </c>
      <c r="K345" t="s">
        <v>20</v>
      </c>
      <c r="L345">
        <v>234</v>
      </c>
      <c r="M345" t="s">
        <v>25</v>
      </c>
      <c r="N345" t="s">
        <v>20</v>
      </c>
      <c r="O345" t="s">
        <v>1352</v>
      </c>
      <c r="P345" t="s">
        <v>20</v>
      </c>
      <c r="Q345">
        <v>132.119</v>
      </c>
      <c r="R345" t="s">
        <v>20</v>
      </c>
      <c r="S345" t="s">
        <v>20</v>
      </c>
      <c r="T345">
        <v>240</v>
      </c>
      <c r="U345" t="s">
        <v>1313</v>
      </c>
      <c r="V345" t="s">
        <v>20</v>
      </c>
      <c r="W345" t="s">
        <v>1352</v>
      </c>
      <c r="X345" t="s">
        <v>20</v>
      </c>
      <c r="Y345">
        <v>146.14599999999999</v>
      </c>
      <c r="Z345" t="s">
        <v>20</v>
      </c>
      <c r="AA345" t="s">
        <v>20</v>
      </c>
      <c r="AB345">
        <v>281</v>
      </c>
      <c r="AC345" t="s">
        <v>1314</v>
      </c>
      <c r="AD345" t="s">
        <v>20</v>
      </c>
      <c r="AE345" t="s">
        <v>1353</v>
      </c>
      <c r="AF345" t="s">
        <v>20</v>
      </c>
      <c r="AG345">
        <v>174.203</v>
      </c>
      <c r="AH345" t="s">
        <v>20</v>
      </c>
      <c r="AI345" t="s">
        <v>20</v>
      </c>
      <c r="AJ345">
        <v>406</v>
      </c>
      <c r="AK345" t="s">
        <v>1315</v>
      </c>
      <c r="AL345" t="s">
        <v>20</v>
      </c>
      <c r="AM345" t="s">
        <v>1354</v>
      </c>
      <c r="AN345" t="s">
        <v>20</v>
      </c>
      <c r="AO345">
        <v>119.119</v>
      </c>
      <c r="AP345" t="s">
        <v>20</v>
      </c>
      <c r="AQ345" t="s">
        <v>20</v>
      </c>
    </row>
    <row r="346" spans="1:43" x14ac:dyDescent="0.25">
      <c r="A346">
        <v>6</v>
      </c>
      <c r="B346" t="s">
        <v>167</v>
      </c>
      <c r="C346" t="str">
        <f>HYPERLINK("http://www.ncbi.nlm.nih.gov/protein/NWT34258.1","NWT34258.1")</f>
        <v>NWT34258.1</v>
      </c>
      <c r="D346">
        <v>14099</v>
      </c>
      <c r="E346" t="str">
        <f>HYPERLINK("http://www.ncbi.nlm.nih.gov/Taxonomy/Browser/wwwtax.cgi?mode=Info&amp;id=98964&amp;lvl=3&amp;lin=f&amp;keep=1&amp;srchmode=1&amp;unlock","98964")</f>
        <v>98964</v>
      </c>
      <c r="F346" t="s">
        <v>167</v>
      </c>
      <c r="G346" t="str">
        <f>HYPERLINK("http://www.ncbi.nlm.nih.gov/Taxonomy/Browser/wwwtax.cgi?mode=Info&amp;id=98964&amp;lvl=3&amp;lin=f&amp;keep=1&amp;srchmode=1&amp;unlock","Cardinalis cardinalis")</f>
        <v>Cardinalis cardinalis</v>
      </c>
      <c r="H346" t="s">
        <v>425</v>
      </c>
      <c r="I346" t="str">
        <f>HYPERLINK("http://www.ncbi.nlm.nih.gov/protein/NWT34258.1","ANDR protein")</f>
        <v>ANDR protein</v>
      </c>
      <c r="J346" t="s">
        <v>1323</v>
      </c>
      <c r="K346" t="s">
        <v>20</v>
      </c>
      <c r="L346">
        <v>237</v>
      </c>
      <c r="M346" t="s">
        <v>25</v>
      </c>
      <c r="N346" t="s">
        <v>20</v>
      </c>
      <c r="O346" t="s">
        <v>1352</v>
      </c>
      <c r="P346" t="s">
        <v>20</v>
      </c>
      <c r="Q346">
        <v>132.119</v>
      </c>
      <c r="R346" t="s">
        <v>20</v>
      </c>
      <c r="S346" t="s">
        <v>20</v>
      </c>
      <c r="T346">
        <v>243</v>
      </c>
      <c r="U346" t="s">
        <v>1313</v>
      </c>
      <c r="V346" t="s">
        <v>20</v>
      </c>
      <c r="W346" t="s">
        <v>1352</v>
      </c>
      <c r="X346" t="s">
        <v>20</v>
      </c>
      <c r="Y346">
        <v>146.14599999999999</v>
      </c>
      <c r="Z346" t="s">
        <v>20</v>
      </c>
      <c r="AA346" t="s">
        <v>20</v>
      </c>
      <c r="AB346">
        <v>284</v>
      </c>
      <c r="AC346" t="s">
        <v>1314</v>
      </c>
      <c r="AD346" t="s">
        <v>20</v>
      </c>
      <c r="AE346" t="s">
        <v>1353</v>
      </c>
      <c r="AF346" t="s">
        <v>20</v>
      </c>
      <c r="AG346">
        <v>174.203</v>
      </c>
      <c r="AH346" t="s">
        <v>20</v>
      </c>
      <c r="AI346" t="s">
        <v>20</v>
      </c>
      <c r="AJ346">
        <v>409</v>
      </c>
      <c r="AK346" t="s">
        <v>1315</v>
      </c>
      <c r="AL346" t="s">
        <v>20</v>
      </c>
      <c r="AM346" t="s">
        <v>1354</v>
      </c>
      <c r="AN346" t="s">
        <v>20</v>
      </c>
      <c r="AO346">
        <v>119.119</v>
      </c>
      <c r="AP346" t="s">
        <v>20</v>
      </c>
      <c r="AQ346" t="s">
        <v>20</v>
      </c>
    </row>
    <row r="347" spans="1:43" x14ac:dyDescent="0.25">
      <c r="A347">
        <v>6</v>
      </c>
      <c r="B347" t="s">
        <v>167</v>
      </c>
      <c r="C347" t="str">
        <f>HYPERLINK("http://www.ncbi.nlm.nih.gov/protein/NWH18235.1","NWH18235.1")</f>
        <v>NWH18235.1</v>
      </c>
      <c r="D347">
        <v>13830</v>
      </c>
      <c r="E347" t="str">
        <f>HYPERLINK("http://www.ncbi.nlm.nih.gov/Taxonomy/Browser/wwwtax.cgi?mode=Info&amp;id=9117&amp;lvl=3&amp;lin=f&amp;keep=1&amp;srchmode=1&amp;unlock","9117")</f>
        <v>9117</v>
      </c>
      <c r="F347" t="s">
        <v>167</v>
      </c>
      <c r="G347" t="str">
        <f>HYPERLINK("http://www.ncbi.nlm.nih.gov/Taxonomy/Browser/wwwtax.cgi?mode=Info&amp;id=9117&amp;lvl=3&amp;lin=f&amp;keep=1&amp;srchmode=1&amp;unlock","Grus americana")</f>
        <v>Grus americana</v>
      </c>
      <c r="H347" t="s">
        <v>581</v>
      </c>
      <c r="I347" t="str">
        <f>HYPERLINK("http://www.ncbi.nlm.nih.gov/protein/NWH18235.1","ANDR protein")</f>
        <v>ANDR protein</v>
      </c>
      <c r="J347" t="s">
        <v>1323</v>
      </c>
      <c r="K347" t="s">
        <v>20</v>
      </c>
      <c r="L347">
        <v>193</v>
      </c>
      <c r="M347" t="s">
        <v>25</v>
      </c>
      <c r="N347" t="s">
        <v>20</v>
      </c>
      <c r="O347" t="s">
        <v>1352</v>
      </c>
      <c r="P347" t="s">
        <v>20</v>
      </c>
      <c r="Q347">
        <v>132.119</v>
      </c>
      <c r="R347" t="s">
        <v>20</v>
      </c>
      <c r="S347" t="s">
        <v>20</v>
      </c>
      <c r="T347">
        <v>199</v>
      </c>
      <c r="U347" t="s">
        <v>1313</v>
      </c>
      <c r="V347" t="s">
        <v>20</v>
      </c>
      <c r="W347" t="s">
        <v>1352</v>
      </c>
      <c r="X347" t="s">
        <v>20</v>
      </c>
      <c r="Y347">
        <v>146.14599999999999</v>
      </c>
      <c r="Z347" t="s">
        <v>20</v>
      </c>
      <c r="AA347" t="s">
        <v>20</v>
      </c>
      <c r="AB347">
        <v>240</v>
      </c>
      <c r="AC347" t="s">
        <v>1314</v>
      </c>
      <c r="AD347" t="s">
        <v>20</v>
      </c>
      <c r="AE347" t="s">
        <v>1353</v>
      </c>
      <c r="AF347" t="s">
        <v>20</v>
      </c>
      <c r="AG347">
        <v>174.203</v>
      </c>
      <c r="AH347" t="s">
        <v>20</v>
      </c>
      <c r="AI347" t="s">
        <v>20</v>
      </c>
      <c r="AJ347">
        <v>365</v>
      </c>
      <c r="AK347" t="s">
        <v>1315</v>
      </c>
      <c r="AL347" t="s">
        <v>20</v>
      </c>
      <c r="AM347" t="s">
        <v>1354</v>
      </c>
      <c r="AN347" t="s">
        <v>20</v>
      </c>
      <c r="AO347">
        <v>119.119</v>
      </c>
      <c r="AP347" t="s">
        <v>20</v>
      </c>
      <c r="AQ347" t="s">
        <v>20</v>
      </c>
    </row>
    <row r="348" spans="1:43" x14ac:dyDescent="0.25">
      <c r="A348">
        <v>6</v>
      </c>
      <c r="B348" t="s">
        <v>167</v>
      </c>
      <c r="C348" t="str">
        <f>HYPERLINK("http://www.ncbi.nlm.nih.gov/protein/XP_037264418.1","XP_037264418.1")</f>
        <v>XP_037264418.1</v>
      </c>
      <c r="D348">
        <v>41450</v>
      </c>
      <c r="E348" t="str">
        <f>HYPERLINK("http://www.ncbi.nlm.nih.gov/Taxonomy/Browser/wwwtax.cgi?mode=Info&amp;id=120794&amp;lvl=3&amp;lin=f&amp;keep=1&amp;srchmode=1&amp;unlock","120794")</f>
        <v>120794</v>
      </c>
      <c r="F348" t="s">
        <v>167</v>
      </c>
      <c r="G348" t="str">
        <f>HYPERLINK("http://www.ncbi.nlm.nih.gov/Taxonomy/Browser/wwwtax.cgi?mode=Info&amp;id=120794&amp;lvl=3&amp;lin=f&amp;keep=1&amp;srchmode=1&amp;unlock","Falco rusticolus")</f>
        <v>Falco rusticolus</v>
      </c>
      <c r="H348" t="s">
        <v>437</v>
      </c>
      <c r="I348" t="str">
        <f>HYPERLINK("http://www.ncbi.nlm.nih.gov/protein/XP_037264418.1","androgen receptor")</f>
        <v>androgen receptor</v>
      </c>
      <c r="J348" t="s">
        <v>1323</v>
      </c>
      <c r="K348" t="s">
        <v>20</v>
      </c>
      <c r="L348">
        <v>479</v>
      </c>
      <c r="M348" t="s">
        <v>25</v>
      </c>
      <c r="N348" t="s">
        <v>20</v>
      </c>
      <c r="O348" t="s">
        <v>1352</v>
      </c>
      <c r="P348" t="s">
        <v>20</v>
      </c>
      <c r="Q348">
        <v>132.119</v>
      </c>
      <c r="R348" t="s">
        <v>20</v>
      </c>
      <c r="S348" t="s">
        <v>20</v>
      </c>
      <c r="T348">
        <v>485</v>
      </c>
      <c r="U348" t="s">
        <v>1313</v>
      </c>
      <c r="V348" t="s">
        <v>20</v>
      </c>
      <c r="W348" t="s">
        <v>1352</v>
      </c>
      <c r="X348" t="s">
        <v>20</v>
      </c>
      <c r="Y348">
        <v>146.14599999999999</v>
      </c>
      <c r="Z348" t="s">
        <v>20</v>
      </c>
      <c r="AA348" t="s">
        <v>20</v>
      </c>
      <c r="AB348">
        <v>526</v>
      </c>
      <c r="AC348" t="s">
        <v>1314</v>
      </c>
      <c r="AD348" t="s">
        <v>20</v>
      </c>
      <c r="AE348" t="s">
        <v>1353</v>
      </c>
      <c r="AF348" t="s">
        <v>20</v>
      </c>
      <c r="AG348">
        <v>174.203</v>
      </c>
      <c r="AH348" t="s">
        <v>20</v>
      </c>
      <c r="AI348" t="s">
        <v>20</v>
      </c>
      <c r="AJ348">
        <v>651</v>
      </c>
      <c r="AK348" t="s">
        <v>1315</v>
      </c>
      <c r="AL348" t="s">
        <v>20</v>
      </c>
      <c r="AM348" t="s">
        <v>1354</v>
      </c>
      <c r="AN348" t="s">
        <v>20</v>
      </c>
      <c r="AO348">
        <v>119.119</v>
      </c>
      <c r="AP348" t="s">
        <v>20</v>
      </c>
      <c r="AQ348" t="s">
        <v>20</v>
      </c>
    </row>
    <row r="349" spans="1:43" x14ac:dyDescent="0.25">
      <c r="A349">
        <v>6</v>
      </c>
      <c r="B349" t="s">
        <v>167</v>
      </c>
      <c r="C349" t="str">
        <f>HYPERLINK("http://www.ncbi.nlm.nih.gov/protein/XP_040470686.1","XP_040470686.1")</f>
        <v>XP_040470686.1</v>
      </c>
      <c r="D349">
        <v>41476</v>
      </c>
      <c r="E349" t="str">
        <f>HYPERLINK("http://www.ncbi.nlm.nih.gov/Taxonomy/Browser/wwwtax.cgi?mode=Info&amp;id=148594&amp;lvl=3&amp;lin=f&amp;keep=1&amp;srchmode=1&amp;unlock","148594")</f>
        <v>148594</v>
      </c>
      <c r="F349" t="s">
        <v>167</v>
      </c>
      <c r="G349" t="str">
        <f>HYPERLINK("http://www.ncbi.nlm.nih.gov/Taxonomy/Browser/wwwtax.cgi?mode=Info&amp;id=148594&amp;lvl=3&amp;lin=f&amp;keep=1&amp;srchmode=1&amp;unlock","Falco naumanni")</f>
        <v>Falco naumanni</v>
      </c>
      <c r="H349" t="s">
        <v>433</v>
      </c>
      <c r="I349" t="str">
        <f>HYPERLINK("http://www.ncbi.nlm.nih.gov/protein/XP_040470686.1","androgen receptor")</f>
        <v>androgen receptor</v>
      </c>
      <c r="J349" t="s">
        <v>1323</v>
      </c>
      <c r="K349" t="s">
        <v>20</v>
      </c>
      <c r="L349">
        <v>479</v>
      </c>
      <c r="M349" t="s">
        <v>25</v>
      </c>
      <c r="N349" t="s">
        <v>20</v>
      </c>
      <c r="O349" t="s">
        <v>1352</v>
      </c>
      <c r="P349" t="s">
        <v>20</v>
      </c>
      <c r="Q349">
        <v>132.119</v>
      </c>
      <c r="R349" t="s">
        <v>20</v>
      </c>
      <c r="S349" t="s">
        <v>20</v>
      </c>
      <c r="T349">
        <v>485</v>
      </c>
      <c r="U349" t="s">
        <v>1313</v>
      </c>
      <c r="V349" t="s">
        <v>20</v>
      </c>
      <c r="W349" t="s">
        <v>1352</v>
      </c>
      <c r="X349" t="s">
        <v>20</v>
      </c>
      <c r="Y349">
        <v>146.14599999999999</v>
      </c>
      <c r="Z349" t="s">
        <v>20</v>
      </c>
      <c r="AA349" t="s">
        <v>20</v>
      </c>
      <c r="AB349">
        <v>526</v>
      </c>
      <c r="AC349" t="s">
        <v>1314</v>
      </c>
      <c r="AD349" t="s">
        <v>20</v>
      </c>
      <c r="AE349" t="s">
        <v>1353</v>
      </c>
      <c r="AF349" t="s">
        <v>20</v>
      </c>
      <c r="AG349">
        <v>174.203</v>
      </c>
      <c r="AH349" t="s">
        <v>20</v>
      </c>
      <c r="AI349" t="s">
        <v>20</v>
      </c>
      <c r="AJ349">
        <v>651</v>
      </c>
      <c r="AK349" t="s">
        <v>1315</v>
      </c>
      <c r="AL349" t="s">
        <v>20</v>
      </c>
      <c r="AM349" t="s">
        <v>1354</v>
      </c>
      <c r="AN349" t="s">
        <v>20</v>
      </c>
      <c r="AO349">
        <v>119.119</v>
      </c>
      <c r="AP349" t="s">
        <v>20</v>
      </c>
      <c r="AQ349" t="s">
        <v>20</v>
      </c>
    </row>
    <row r="350" spans="1:43" x14ac:dyDescent="0.25">
      <c r="A350">
        <v>6</v>
      </c>
      <c r="B350" t="s">
        <v>167</v>
      </c>
      <c r="C350" t="str">
        <f>HYPERLINK("http://www.ncbi.nlm.nih.gov/protein/NWH57317.1","NWH57317.1")</f>
        <v>NWH57317.1</v>
      </c>
      <c r="D350">
        <v>13556</v>
      </c>
      <c r="E350" t="str">
        <f>HYPERLINK("http://www.ncbi.nlm.nih.gov/Taxonomy/Browser/wwwtax.cgi?mode=Info&amp;id=8947&amp;lvl=3&amp;lin=f&amp;keep=1&amp;srchmode=1&amp;unlock","8947")</f>
        <v>8947</v>
      </c>
      <c r="F350" t="s">
        <v>167</v>
      </c>
      <c r="G350" t="str">
        <f>HYPERLINK("http://www.ncbi.nlm.nih.gov/Taxonomy/Browser/wwwtax.cgi?mode=Info&amp;id=8947&amp;lvl=3&amp;lin=f&amp;keep=1&amp;srchmode=1&amp;unlock","Geococcyx californianus")</f>
        <v>Geococcyx californianus</v>
      </c>
      <c r="H350" t="s">
        <v>552</v>
      </c>
      <c r="I350" t="str">
        <f>HYPERLINK("http://www.ncbi.nlm.nih.gov/protein/NWH57317.1","ANDR protein")</f>
        <v>ANDR protein</v>
      </c>
      <c r="J350" t="s">
        <v>1323</v>
      </c>
      <c r="K350" t="s">
        <v>20</v>
      </c>
      <c r="L350">
        <v>426</v>
      </c>
      <c r="M350" t="s">
        <v>25</v>
      </c>
      <c r="N350" t="s">
        <v>20</v>
      </c>
      <c r="O350" t="s">
        <v>1352</v>
      </c>
      <c r="P350" t="s">
        <v>20</v>
      </c>
      <c r="Q350">
        <v>132.119</v>
      </c>
      <c r="R350" t="s">
        <v>20</v>
      </c>
      <c r="S350" t="s">
        <v>20</v>
      </c>
      <c r="T350">
        <v>432</v>
      </c>
      <c r="U350" t="s">
        <v>1313</v>
      </c>
      <c r="V350" t="s">
        <v>20</v>
      </c>
      <c r="W350" t="s">
        <v>1352</v>
      </c>
      <c r="X350" t="s">
        <v>20</v>
      </c>
      <c r="Y350">
        <v>146.14599999999999</v>
      </c>
      <c r="Z350" t="s">
        <v>20</v>
      </c>
      <c r="AA350" t="s">
        <v>20</v>
      </c>
      <c r="AB350">
        <v>473</v>
      </c>
      <c r="AC350" t="s">
        <v>1314</v>
      </c>
      <c r="AD350" t="s">
        <v>20</v>
      </c>
      <c r="AE350" t="s">
        <v>1353</v>
      </c>
      <c r="AF350" t="s">
        <v>20</v>
      </c>
      <c r="AG350">
        <v>174.203</v>
      </c>
      <c r="AH350" t="s">
        <v>20</v>
      </c>
      <c r="AI350" t="s">
        <v>20</v>
      </c>
      <c r="AJ350">
        <v>598</v>
      </c>
      <c r="AK350" t="s">
        <v>1315</v>
      </c>
      <c r="AL350" t="s">
        <v>20</v>
      </c>
      <c r="AM350" t="s">
        <v>1354</v>
      </c>
      <c r="AN350" t="s">
        <v>20</v>
      </c>
      <c r="AO350">
        <v>119.119</v>
      </c>
      <c r="AP350" t="s">
        <v>20</v>
      </c>
      <c r="AQ350" t="s">
        <v>20</v>
      </c>
    </row>
    <row r="351" spans="1:43" x14ac:dyDescent="0.25">
      <c r="A351">
        <v>6</v>
      </c>
      <c r="B351" t="s">
        <v>167</v>
      </c>
      <c r="C351" t="str">
        <f>HYPERLINK("http://www.ncbi.nlm.nih.gov/protein/NWR78491.1","NWR78491.1")</f>
        <v>NWR78491.1</v>
      </c>
      <c r="D351">
        <v>14035</v>
      </c>
      <c r="E351" t="str">
        <f>HYPERLINK("http://www.ncbi.nlm.nih.gov/Taxonomy/Browser/wwwtax.cgi?mode=Info&amp;id=1118519&amp;lvl=3&amp;lin=f&amp;keep=1&amp;srchmode=1&amp;unlock","1118519")</f>
        <v>1118519</v>
      </c>
      <c r="F351" t="s">
        <v>167</v>
      </c>
      <c r="G351" t="str">
        <f>HYPERLINK("http://www.ncbi.nlm.nih.gov/Taxonomy/Browser/wwwtax.cgi?mode=Info&amp;id=1118519&amp;lvl=3&amp;lin=f&amp;keep=1&amp;srchmode=1&amp;unlock","Centropus unirufus")</f>
        <v>Centropus unirufus</v>
      </c>
      <c r="H351" t="s">
        <v>303</v>
      </c>
      <c r="I351" t="str">
        <f>HYPERLINK("http://www.ncbi.nlm.nih.gov/protein/NWR78491.1","ANDR protein")</f>
        <v>ANDR protein</v>
      </c>
      <c r="J351" t="s">
        <v>1323</v>
      </c>
      <c r="K351" t="s">
        <v>20</v>
      </c>
      <c r="L351">
        <v>350</v>
      </c>
      <c r="M351" t="s">
        <v>25</v>
      </c>
      <c r="N351" t="s">
        <v>20</v>
      </c>
      <c r="O351" t="s">
        <v>1352</v>
      </c>
      <c r="P351" t="s">
        <v>20</v>
      </c>
      <c r="Q351">
        <v>132.119</v>
      </c>
      <c r="R351" t="s">
        <v>20</v>
      </c>
      <c r="S351" t="s">
        <v>20</v>
      </c>
      <c r="T351">
        <v>356</v>
      </c>
      <c r="U351" t="s">
        <v>1313</v>
      </c>
      <c r="V351" t="s">
        <v>20</v>
      </c>
      <c r="W351" t="s">
        <v>1352</v>
      </c>
      <c r="X351" t="s">
        <v>20</v>
      </c>
      <c r="Y351">
        <v>146.14599999999999</v>
      </c>
      <c r="Z351" t="s">
        <v>20</v>
      </c>
      <c r="AA351" t="s">
        <v>20</v>
      </c>
      <c r="AB351">
        <v>397</v>
      </c>
      <c r="AC351" t="s">
        <v>1314</v>
      </c>
      <c r="AD351" t="s">
        <v>20</v>
      </c>
      <c r="AE351" t="s">
        <v>1353</v>
      </c>
      <c r="AF351" t="s">
        <v>20</v>
      </c>
      <c r="AG351">
        <v>174.203</v>
      </c>
      <c r="AH351" t="s">
        <v>20</v>
      </c>
      <c r="AI351" t="s">
        <v>20</v>
      </c>
      <c r="AJ351">
        <v>522</v>
      </c>
      <c r="AK351" t="s">
        <v>1315</v>
      </c>
      <c r="AL351" t="s">
        <v>20</v>
      </c>
      <c r="AM351" t="s">
        <v>1354</v>
      </c>
      <c r="AN351" t="s">
        <v>20</v>
      </c>
      <c r="AO351">
        <v>119.119</v>
      </c>
      <c r="AP351" t="s">
        <v>20</v>
      </c>
      <c r="AQ351" t="s">
        <v>20</v>
      </c>
    </row>
    <row r="352" spans="1:43" x14ac:dyDescent="0.25">
      <c r="A352">
        <v>6</v>
      </c>
      <c r="B352" t="s">
        <v>167</v>
      </c>
      <c r="C352" t="str">
        <f>HYPERLINK("http://www.ncbi.nlm.nih.gov/protein/NWS32365.1","NWS32365.1")</f>
        <v>NWS32365.1</v>
      </c>
      <c r="D352">
        <v>13635</v>
      </c>
      <c r="E352" t="str">
        <f>HYPERLINK("http://www.ncbi.nlm.nih.gov/Taxonomy/Browser/wwwtax.cgi?mode=Info&amp;id=66707&amp;lvl=3&amp;lin=f&amp;keep=1&amp;srchmode=1&amp;unlock","66707")</f>
        <v>66707</v>
      </c>
      <c r="F352" t="s">
        <v>167</v>
      </c>
      <c r="G352" t="str">
        <f>HYPERLINK("http://www.ncbi.nlm.nih.gov/Taxonomy/Browser/wwwtax.cgi?mode=Info&amp;id=66707&amp;lvl=3&amp;lin=f&amp;keep=1&amp;srchmode=1&amp;unlock","Polioptila caerulea")</f>
        <v>Polioptila caerulea</v>
      </c>
      <c r="H352" t="s">
        <v>206</v>
      </c>
      <c r="I352" t="str">
        <f>HYPERLINK("http://www.ncbi.nlm.nih.gov/protein/NWS32365.1","ANDR protein")</f>
        <v>ANDR protein</v>
      </c>
      <c r="J352" t="s">
        <v>1323</v>
      </c>
      <c r="K352" t="s">
        <v>20</v>
      </c>
      <c r="L352">
        <v>181</v>
      </c>
      <c r="M352" t="s">
        <v>25</v>
      </c>
      <c r="N352" t="s">
        <v>20</v>
      </c>
      <c r="O352" t="s">
        <v>1352</v>
      </c>
      <c r="P352" t="s">
        <v>20</v>
      </c>
      <c r="Q352">
        <v>132.119</v>
      </c>
      <c r="R352" t="s">
        <v>20</v>
      </c>
      <c r="S352" t="s">
        <v>20</v>
      </c>
      <c r="T352">
        <v>187</v>
      </c>
      <c r="U352" t="s">
        <v>1313</v>
      </c>
      <c r="V352" t="s">
        <v>20</v>
      </c>
      <c r="W352" t="s">
        <v>1352</v>
      </c>
      <c r="X352" t="s">
        <v>20</v>
      </c>
      <c r="Y352">
        <v>146.14599999999999</v>
      </c>
      <c r="Z352" t="s">
        <v>20</v>
      </c>
      <c r="AA352" t="s">
        <v>20</v>
      </c>
      <c r="AB352">
        <v>228</v>
      </c>
      <c r="AC352" t="s">
        <v>1314</v>
      </c>
      <c r="AD352" t="s">
        <v>20</v>
      </c>
      <c r="AE352" t="s">
        <v>1353</v>
      </c>
      <c r="AF352" t="s">
        <v>20</v>
      </c>
      <c r="AG352">
        <v>174.203</v>
      </c>
      <c r="AH352" t="s">
        <v>20</v>
      </c>
      <c r="AI352" t="s">
        <v>20</v>
      </c>
      <c r="AJ352">
        <v>353</v>
      </c>
      <c r="AK352" t="s">
        <v>1315</v>
      </c>
      <c r="AL352" t="s">
        <v>20</v>
      </c>
      <c r="AM352" t="s">
        <v>1354</v>
      </c>
      <c r="AN352" t="s">
        <v>20</v>
      </c>
      <c r="AO352">
        <v>119.119</v>
      </c>
      <c r="AP352" t="s">
        <v>20</v>
      </c>
      <c r="AQ352" t="s">
        <v>20</v>
      </c>
    </row>
    <row r="353" spans="1:43" x14ac:dyDescent="0.25">
      <c r="A353">
        <v>6</v>
      </c>
      <c r="B353" t="s">
        <v>167</v>
      </c>
      <c r="C353" t="str">
        <f>HYPERLINK("http://www.ncbi.nlm.nih.gov/protein/NXD80889.1","NXD80889.1")</f>
        <v>NXD80889.1</v>
      </c>
      <c r="D353">
        <v>14290</v>
      </c>
      <c r="E353" t="str">
        <f>HYPERLINK("http://www.ncbi.nlm.nih.gov/Taxonomy/Browser/wwwtax.cgi?mode=Info&amp;id=342381&amp;lvl=3&amp;lin=f&amp;keep=1&amp;srchmode=1&amp;unlock","342381")</f>
        <v>342381</v>
      </c>
      <c r="F353" t="s">
        <v>167</v>
      </c>
      <c r="G353" t="str">
        <f>HYPERLINK("http://www.ncbi.nlm.nih.gov/Taxonomy/Browser/wwwtax.cgi?mode=Info&amp;id=342381&amp;lvl=3&amp;lin=f&amp;keep=1&amp;srchmode=1&amp;unlock","Halcyon senegalensis")</f>
        <v>Halcyon senegalensis</v>
      </c>
      <c r="H353" t="s">
        <v>229</v>
      </c>
      <c r="I353" t="str">
        <f>HYPERLINK("http://www.ncbi.nlm.nih.gov/protein/NXD80889.1","ANDR protein")</f>
        <v>ANDR protein</v>
      </c>
      <c r="J353" t="s">
        <v>1323</v>
      </c>
      <c r="K353" t="s">
        <v>20</v>
      </c>
      <c r="L353">
        <v>168</v>
      </c>
      <c r="M353" t="s">
        <v>25</v>
      </c>
      <c r="N353" t="s">
        <v>20</v>
      </c>
      <c r="O353" t="s">
        <v>1352</v>
      </c>
      <c r="P353" t="s">
        <v>20</v>
      </c>
      <c r="Q353">
        <v>132.119</v>
      </c>
      <c r="R353" t="s">
        <v>20</v>
      </c>
      <c r="S353" t="s">
        <v>20</v>
      </c>
      <c r="T353">
        <v>174</v>
      </c>
      <c r="U353" t="s">
        <v>1313</v>
      </c>
      <c r="V353" t="s">
        <v>20</v>
      </c>
      <c r="W353" t="s">
        <v>1352</v>
      </c>
      <c r="X353" t="s">
        <v>20</v>
      </c>
      <c r="Y353">
        <v>146.14599999999999</v>
      </c>
      <c r="Z353" t="s">
        <v>20</v>
      </c>
      <c r="AA353" t="s">
        <v>20</v>
      </c>
      <c r="AB353">
        <v>215</v>
      </c>
      <c r="AC353" t="s">
        <v>1314</v>
      </c>
      <c r="AD353" t="s">
        <v>20</v>
      </c>
      <c r="AE353" t="s">
        <v>1353</v>
      </c>
      <c r="AF353" t="s">
        <v>20</v>
      </c>
      <c r="AG353">
        <v>174.203</v>
      </c>
      <c r="AH353" t="s">
        <v>20</v>
      </c>
      <c r="AI353" t="s">
        <v>20</v>
      </c>
      <c r="AJ353">
        <v>340</v>
      </c>
      <c r="AK353" t="s">
        <v>1315</v>
      </c>
      <c r="AL353" t="s">
        <v>20</v>
      </c>
      <c r="AM353" t="s">
        <v>1354</v>
      </c>
      <c r="AN353" t="s">
        <v>20</v>
      </c>
      <c r="AO353">
        <v>119.119</v>
      </c>
      <c r="AP353" t="s">
        <v>20</v>
      </c>
      <c r="AQ353" t="s">
        <v>20</v>
      </c>
    </row>
    <row r="354" spans="1:43" x14ac:dyDescent="0.25">
      <c r="A354">
        <v>6</v>
      </c>
      <c r="B354" t="s">
        <v>167</v>
      </c>
      <c r="C354" t="str">
        <f>HYPERLINK("http://www.ncbi.nlm.nih.gov/protein/NWY79368.1","NWY79368.1")</f>
        <v>NWY79368.1</v>
      </c>
      <c r="D354">
        <v>12391</v>
      </c>
      <c r="E354" t="str">
        <f>HYPERLINK("http://www.ncbi.nlm.nih.gov/Taxonomy/Browser/wwwtax.cgi?mode=Info&amp;id=468512&amp;lvl=3&amp;lin=f&amp;keep=1&amp;srchmode=1&amp;unlock","468512")</f>
        <v>468512</v>
      </c>
      <c r="F354" t="s">
        <v>167</v>
      </c>
      <c r="G354" t="str">
        <f>HYPERLINK("http://www.ncbi.nlm.nih.gov/Taxonomy/Browser/wwwtax.cgi?mode=Info&amp;id=468512&amp;lvl=3&amp;lin=f&amp;keep=1&amp;srchmode=1&amp;unlock","Rhegmatorhina hoffmannsi")</f>
        <v>Rhegmatorhina hoffmannsi</v>
      </c>
      <c r="H354" t="s">
        <v>444</v>
      </c>
      <c r="I354" t="str">
        <f>HYPERLINK("http://www.ncbi.nlm.nih.gov/protein/NWY79368.1","ANDR protein")</f>
        <v>ANDR protein</v>
      </c>
      <c r="J354" t="s">
        <v>1323</v>
      </c>
      <c r="K354" t="s">
        <v>20</v>
      </c>
      <c r="L354">
        <v>168</v>
      </c>
      <c r="M354" t="s">
        <v>25</v>
      </c>
      <c r="N354" t="s">
        <v>20</v>
      </c>
      <c r="O354" t="s">
        <v>1352</v>
      </c>
      <c r="P354" t="s">
        <v>20</v>
      </c>
      <c r="Q354">
        <v>132.119</v>
      </c>
      <c r="R354" t="s">
        <v>20</v>
      </c>
      <c r="S354" t="s">
        <v>20</v>
      </c>
      <c r="T354">
        <v>174</v>
      </c>
      <c r="U354" t="s">
        <v>1313</v>
      </c>
      <c r="V354" t="s">
        <v>20</v>
      </c>
      <c r="W354" t="s">
        <v>1352</v>
      </c>
      <c r="X354" t="s">
        <v>20</v>
      </c>
      <c r="Y354">
        <v>146.14599999999999</v>
      </c>
      <c r="Z354" t="s">
        <v>20</v>
      </c>
      <c r="AA354" t="s">
        <v>20</v>
      </c>
      <c r="AB354">
        <v>215</v>
      </c>
      <c r="AC354" t="s">
        <v>1314</v>
      </c>
      <c r="AD354" t="s">
        <v>20</v>
      </c>
      <c r="AE354" t="s">
        <v>1353</v>
      </c>
      <c r="AF354" t="s">
        <v>20</v>
      </c>
      <c r="AG354">
        <v>174.203</v>
      </c>
      <c r="AH354" t="s">
        <v>20</v>
      </c>
      <c r="AI354" t="s">
        <v>20</v>
      </c>
      <c r="AJ354">
        <v>340</v>
      </c>
      <c r="AK354" t="s">
        <v>1315</v>
      </c>
      <c r="AL354" t="s">
        <v>20</v>
      </c>
      <c r="AM354" t="s">
        <v>1354</v>
      </c>
      <c r="AN354" t="s">
        <v>20</v>
      </c>
      <c r="AO354">
        <v>119.119</v>
      </c>
      <c r="AP354" t="s">
        <v>20</v>
      </c>
      <c r="AQ354" t="s">
        <v>20</v>
      </c>
    </row>
    <row r="355" spans="1:43" x14ac:dyDescent="0.25">
      <c r="A355">
        <v>6</v>
      </c>
      <c r="B355" t="s">
        <v>167</v>
      </c>
      <c r="C355" t="str">
        <f>HYPERLINK("http://www.ncbi.nlm.nih.gov/protein/NXH89347.1","NXH89347.1")</f>
        <v>NXH89347.1</v>
      </c>
      <c r="D355">
        <v>13686</v>
      </c>
      <c r="E355" t="str">
        <f>HYPERLINK("http://www.ncbi.nlm.nih.gov/Taxonomy/Browser/wwwtax.cgi?mode=Info&amp;id=2585810&amp;lvl=3&amp;lin=f&amp;keep=1&amp;srchmode=1&amp;unlock","2585810")</f>
        <v>2585810</v>
      </c>
      <c r="F355" t="s">
        <v>167</v>
      </c>
      <c r="G355" t="str">
        <f>HYPERLINK("http://www.ncbi.nlm.nih.gov/Taxonomy/Browser/wwwtax.cgi?mode=Info&amp;id=2585810&amp;lvl=3&amp;lin=f&amp;keep=1&amp;srchmode=1&amp;unlock","Edolisoma coerulescens")</f>
        <v>Edolisoma coerulescens</v>
      </c>
      <c r="H355" t="s">
        <v>987</v>
      </c>
      <c r="I355" t="str">
        <f>HYPERLINK("http://www.ncbi.nlm.nih.gov/protein/NXH89347.1","ANDR protein")</f>
        <v>ANDR protein</v>
      </c>
      <c r="J355" t="s">
        <v>1323</v>
      </c>
      <c r="K355" t="s">
        <v>20</v>
      </c>
      <c r="L355">
        <v>168</v>
      </c>
      <c r="M355" t="s">
        <v>25</v>
      </c>
      <c r="N355" t="s">
        <v>20</v>
      </c>
      <c r="O355" t="s">
        <v>1352</v>
      </c>
      <c r="P355" t="s">
        <v>20</v>
      </c>
      <c r="Q355">
        <v>132.119</v>
      </c>
      <c r="R355" t="s">
        <v>20</v>
      </c>
      <c r="S355" t="s">
        <v>20</v>
      </c>
      <c r="T355">
        <v>174</v>
      </c>
      <c r="U355" t="s">
        <v>1313</v>
      </c>
      <c r="V355" t="s">
        <v>20</v>
      </c>
      <c r="W355" t="s">
        <v>1352</v>
      </c>
      <c r="X355" t="s">
        <v>20</v>
      </c>
      <c r="Y355">
        <v>146.14599999999999</v>
      </c>
      <c r="Z355" t="s">
        <v>20</v>
      </c>
      <c r="AA355" t="s">
        <v>20</v>
      </c>
      <c r="AB355">
        <v>215</v>
      </c>
      <c r="AC355" t="s">
        <v>1314</v>
      </c>
      <c r="AD355" t="s">
        <v>20</v>
      </c>
      <c r="AE355" t="s">
        <v>1353</v>
      </c>
      <c r="AF355" t="s">
        <v>20</v>
      </c>
      <c r="AG355">
        <v>174.203</v>
      </c>
      <c r="AH355" t="s">
        <v>20</v>
      </c>
      <c r="AI355" t="s">
        <v>20</v>
      </c>
      <c r="AJ355">
        <v>340</v>
      </c>
      <c r="AK355" t="s">
        <v>1315</v>
      </c>
      <c r="AL355" t="s">
        <v>20</v>
      </c>
      <c r="AM355" t="s">
        <v>1354</v>
      </c>
      <c r="AN355" t="s">
        <v>20</v>
      </c>
      <c r="AO355">
        <v>119.119</v>
      </c>
      <c r="AP355" t="s">
        <v>20</v>
      </c>
      <c r="AQ355" t="s">
        <v>20</v>
      </c>
    </row>
    <row r="356" spans="1:43" x14ac:dyDescent="0.25">
      <c r="A356">
        <v>6</v>
      </c>
      <c r="B356" t="s">
        <v>167</v>
      </c>
      <c r="C356" t="str">
        <f>HYPERLINK("http://www.ncbi.nlm.nih.gov/protein/NWI75478.1","NWI75478.1")</f>
        <v>NWI75478.1</v>
      </c>
      <c r="D356">
        <v>12349</v>
      </c>
      <c r="E356" t="str">
        <f>HYPERLINK("http://www.ncbi.nlm.nih.gov/Taxonomy/Browser/wwwtax.cgi?mode=Info&amp;id=85069&amp;lvl=3&amp;lin=f&amp;keep=1&amp;srchmode=1&amp;unlock","85069")</f>
        <v>85069</v>
      </c>
      <c r="F356" t="s">
        <v>167</v>
      </c>
      <c r="G356" t="str">
        <f>HYPERLINK("http://www.ncbi.nlm.nih.gov/Taxonomy/Browser/wwwtax.cgi?mode=Info&amp;id=85069&amp;lvl=3&amp;lin=f&amp;keep=1&amp;srchmode=1&amp;unlock","Dryoscopus gambensis")</f>
        <v>Dryoscopus gambensis</v>
      </c>
      <c r="H356" t="s">
        <v>206</v>
      </c>
      <c r="I356" t="str">
        <f>HYPERLINK("http://www.ncbi.nlm.nih.gov/protein/NWI75478.1","ANDR protein")</f>
        <v>ANDR protein</v>
      </c>
      <c r="J356" t="s">
        <v>1323</v>
      </c>
      <c r="K356" t="s">
        <v>20</v>
      </c>
      <c r="L356">
        <v>168</v>
      </c>
      <c r="M356" t="s">
        <v>25</v>
      </c>
      <c r="N356" t="s">
        <v>20</v>
      </c>
      <c r="O356" t="s">
        <v>1352</v>
      </c>
      <c r="P356" t="s">
        <v>20</v>
      </c>
      <c r="Q356">
        <v>132.119</v>
      </c>
      <c r="R356" t="s">
        <v>20</v>
      </c>
      <c r="S356" t="s">
        <v>20</v>
      </c>
      <c r="T356">
        <v>174</v>
      </c>
      <c r="U356" t="s">
        <v>1313</v>
      </c>
      <c r="V356" t="s">
        <v>20</v>
      </c>
      <c r="W356" t="s">
        <v>1352</v>
      </c>
      <c r="X356" t="s">
        <v>20</v>
      </c>
      <c r="Y356">
        <v>146.14599999999999</v>
      </c>
      <c r="Z356" t="s">
        <v>20</v>
      </c>
      <c r="AA356" t="s">
        <v>20</v>
      </c>
      <c r="AB356">
        <v>215</v>
      </c>
      <c r="AC356" t="s">
        <v>1314</v>
      </c>
      <c r="AD356" t="s">
        <v>20</v>
      </c>
      <c r="AE356" t="s">
        <v>1353</v>
      </c>
      <c r="AF356" t="s">
        <v>20</v>
      </c>
      <c r="AG356">
        <v>174.203</v>
      </c>
      <c r="AH356" t="s">
        <v>20</v>
      </c>
      <c r="AI356" t="s">
        <v>20</v>
      </c>
      <c r="AJ356">
        <v>340</v>
      </c>
      <c r="AK356" t="s">
        <v>1315</v>
      </c>
      <c r="AL356" t="s">
        <v>20</v>
      </c>
      <c r="AM356" t="s">
        <v>1354</v>
      </c>
      <c r="AN356" t="s">
        <v>20</v>
      </c>
      <c r="AO356">
        <v>119.119</v>
      </c>
      <c r="AP356" t="s">
        <v>20</v>
      </c>
      <c r="AQ356" t="s">
        <v>20</v>
      </c>
    </row>
    <row r="357" spans="1:43" x14ac:dyDescent="0.25">
      <c r="A357">
        <v>6</v>
      </c>
      <c r="B357" t="s">
        <v>167</v>
      </c>
      <c r="C357" t="str">
        <f>HYPERLINK("http://www.ncbi.nlm.nih.gov/protein/NWH43024.1","NWH43024.1")</f>
        <v>NWH43024.1</v>
      </c>
      <c r="D357">
        <v>13301</v>
      </c>
      <c r="E357" t="str">
        <f>HYPERLINK("http://www.ncbi.nlm.nih.gov/Taxonomy/Browser/wwwtax.cgi?mode=Info&amp;id=37042&amp;lvl=3&amp;lin=f&amp;keep=1&amp;srchmode=1&amp;unlock","37042")</f>
        <v>37042</v>
      </c>
      <c r="F357" t="s">
        <v>167</v>
      </c>
      <c r="G357" t="str">
        <f>HYPERLINK("http://www.ncbi.nlm.nih.gov/Taxonomy/Browser/wwwtax.cgi?mode=Info&amp;id=37042&amp;lvl=3&amp;lin=f&amp;keep=1&amp;srchmode=1&amp;unlock","Fregata magnificens")</f>
        <v>Fregata magnificens</v>
      </c>
      <c r="H357" t="s">
        <v>213</v>
      </c>
      <c r="I357" t="str">
        <f>HYPERLINK("http://www.ncbi.nlm.nih.gov/protein/NWH43024.1","ANDR protein")</f>
        <v>ANDR protein</v>
      </c>
      <c r="J357" t="s">
        <v>1323</v>
      </c>
      <c r="K357" t="s">
        <v>20</v>
      </c>
      <c r="L357">
        <v>168</v>
      </c>
      <c r="M357" t="s">
        <v>25</v>
      </c>
      <c r="N357" t="s">
        <v>20</v>
      </c>
      <c r="O357" t="s">
        <v>1352</v>
      </c>
      <c r="P357" t="s">
        <v>20</v>
      </c>
      <c r="Q357">
        <v>132.119</v>
      </c>
      <c r="R357" t="s">
        <v>20</v>
      </c>
      <c r="S357" t="s">
        <v>20</v>
      </c>
      <c r="T357">
        <v>174</v>
      </c>
      <c r="U357" t="s">
        <v>1313</v>
      </c>
      <c r="V357" t="s">
        <v>20</v>
      </c>
      <c r="W357" t="s">
        <v>1352</v>
      </c>
      <c r="X357" t="s">
        <v>20</v>
      </c>
      <c r="Y357">
        <v>146.14599999999999</v>
      </c>
      <c r="Z357" t="s">
        <v>20</v>
      </c>
      <c r="AA357" t="s">
        <v>20</v>
      </c>
      <c r="AB357">
        <v>215</v>
      </c>
      <c r="AC357" t="s">
        <v>1314</v>
      </c>
      <c r="AD357" t="s">
        <v>20</v>
      </c>
      <c r="AE357" t="s">
        <v>1353</v>
      </c>
      <c r="AF357" t="s">
        <v>20</v>
      </c>
      <c r="AG357">
        <v>174.203</v>
      </c>
      <c r="AH357" t="s">
        <v>20</v>
      </c>
      <c r="AI357" t="s">
        <v>20</v>
      </c>
      <c r="AJ357">
        <v>340</v>
      </c>
      <c r="AK357" t="s">
        <v>1315</v>
      </c>
      <c r="AL357" t="s">
        <v>20</v>
      </c>
      <c r="AM357" t="s">
        <v>1354</v>
      </c>
      <c r="AN357" t="s">
        <v>20</v>
      </c>
      <c r="AO357">
        <v>119.119</v>
      </c>
      <c r="AP357" t="s">
        <v>20</v>
      </c>
      <c r="AQ357" t="s">
        <v>20</v>
      </c>
    </row>
    <row r="358" spans="1:43" x14ac:dyDescent="0.25">
      <c r="A358">
        <v>6</v>
      </c>
      <c r="B358" t="s">
        <v>167</v>
      </c>
      <c r="C358" t="str">
        <f>HYPERLINK("http://www.ncbi.nlm.nih.gov/protein/NWT86496.1","NWT86496.1")</f>
        <v>NWT86496.1</v>
      </c>
      <c r="D358">
        <v>13729</v>
      </c>
      <c r="E358" t="str">
        <f>HYPERLINK("http://www.ncbi.nlm.nih.gov/Taxonomy/Browser/wwwtax.cgi?mode=Info&amp;id=28713&amp;lvl=3&amp;lin=f&amp;keep=1&amp;srchmode=1&amp;unlock","28713")</f>
        <v>28713</v>
      </c>
      <c r="F358" t="s">
        <v>167</v>
      </c>
      <c r="G358" t="str">
        <f>HYPERLINK("http://www.ncbi.nlm.nih.gov/Taxonomy/Browser/wwwtax.cgi?mode=Info&amp;id=28713&amp;lvl=3&amp;lin=f&amp;keep=1&amp;srchmode=1&amp;unlock","Lanius ludovicianus")</f>
        <v>Lanius ludovicianus</v>
      </c>
      <c r="H358" t="s">
        <v>327</v>
      </c>
      <c r="I358" t="str">
        <f>HYPERLINK("http://www.ncbi.nlm.nih.gov/protein/NWT86496.1","ANDR protein")</f>
        <v>ANDR protein</v>
      </c>
      <c r="J358" t="s">
        <v>1323</v>
      </c>
      <c r="K358" t="s">
        <v>20</v>
      </c>
      <c r="L358">
        <v>168</v>
      </c>
      <c r="M358" t="s">
        <v>25</v>
      </c>
      <c r="N358" t="s">
        <v>20</v>
      </c>
      <c r="O358" t="s">
        <v>1352</v>
      </c>
      <c r="P358" t="s">
        <v>20</v>
      </c>
      <c r="Q358">
        <v>132.119</v>
      </c>
      <c r="R358" t="s">
        <v>20</v>
      </c>
      <c r="S358" t="s">
        <v>20</v>
      </c>
      <c r="T358">
        <v>174</v>
      </c>
      <c r="U358" t="s">
        <v>1313</v>
      </c>
      <c r="V358" t="s">
        <v>20</v>
      </c>
      <c r="W358" t="s">
        <v>1352</v>
      </c>
      <c r="X358" t="s">
        <v>20</v>
      </c>
      <c r="Y358">
        <v>146.14599999999999</v>
      </c>
      <c r="Z358" t="s">
        <v>20</v>
      </c>
      <c r="AA358" t="s">
        <v>20</v>
      </c>
      <c r="AB358">
        <v>215</v>
      </c>
      <c r="AC358" t="s">
        <v>1314</v>
      </c>
      <c r="AD358" t="s">
        <v>20</v>
      </c>
      <c r="AE358" t="s">
        <v>1353</v>
      </c>
      <c r="AF358" t="s">
        <v>20</v>
      </c>
      <c r="AG358">
        <v>174.203</v>
      </c>
      <c r="AH358" t="s">
        <v>20</v>
      </c>
      <c r="AI358" t="s">
        <v>20</v>
      </c>
      <c r="AJ358">
        <v>340</v>
      </c>
      <c r="AK358" t="s">
        <v>1315</v>
      </c>
      <c r="AL358" t="s">
        <v>20</v>
      </c>
      <c r="AM358" t="s">
        <v>1354</v>
      </c>
      <c r="AN358" t="s">
        <v>20</v>
      </c>
      <c r="AO358">
        <v>119.119</v>
      </c>
      <c r="AP358" t="s">
        <v>20</v>
      </c>
      <c r="AQ358" t="s">
        <v>20</v>
      </c>
    </row>
    <row r="359" spans="1:43" x14ac:dyDescent="0.25">
      <c r="A359">
        <v>6</v>
      </c>
      <c r="B359" t="s">
        <v>167</v>
      </c>
      <c r="C359" t="str">
        <f>HYPERLINK("http://www.ncbi.nlm.nih.gov/protein/NXI90338.1","NXI90338.1")</f>
        <v>NXI90338.1</v>
      </c>
      <c r="D359">
        <v>13920</v>
      </c>
      <c r="E359" t="str">
        <f>HYPERLINK("http://www.ncbi.nlm.nih.gov/Taxonomy/Browser/wwwtax.cgi?mode=Info&amp;id=54359&amp;lvl=3&amp;lin=f&amp;keep=1&amp;srchmode=1&amp;unlock","54359")</f>
        <v>54359</v>
      </c>
      <c r="F359" t="s">
        <v>167</v>
      </c>
      <c r="G359" t="str">
        <f>HYPERLINK("http://www.ncbi.nlm.nih.gov/Taxonomy/Browser/wwwtax.cgi?mode=Info&amp;id=54359&amp;lvl=3&amp;lin=f&amp;keep=1&amp;srchmode=1&amp;unlock","Psophia crepitans")</f>
        <v>Psophia crepitans</v>
      </c>
      <c r="H359" t="s">
        <v>226</v>
      </c>
      <c r="I359" t="str">
        <f>HYPERLINK("http://www.ncbi.nlm.nih.gov/protein/NXI90338.1","ANDR protein")</f>
        <v>ANDR protein</v>
      </c>
      <c r="J359" t="s">
        <v>1323</v>
      </c>
      <c r="K359" t="s">
        <v>20</v>
      </c>
      <c r="L359">
        <v>168</v>
      </c>
      <c r="M359" t="s">
        <v>25</v>
      </c>
      <c r="N359" t="s">
        <v>20</v>
      </c>
      <c r="O359" t="s">
        <v>1352</v>
      </c>
      <c r="P359" t="s">
        <v>20</v>
      </c>
      <c r="Q359">
        <v>132.119</v>
      </c>
      <c r="R359" t="s">
        <v>20</v>
      </c>
      <c r="S359" t="s">
        <v>20</v>
      </c>
      <c r="T359">
        <v>174</v>
      </c>
      <c r="U359" t="s">
        <v>1313</v>
      </c>
      <c r="V359" t="s">
        <v>20</v>
      </c>
      <c r="W359" t="s">
        <v>1352</v>
      </c>
      <c r="X359" t="s">
        <v>20</v>
      </c>
      <c r="Y359">
        <v>146.14599999999999</v>
      </c>
      <c r="Z359" t="s">
        <v>20</v>
      </c>
      <c r="AA359" t="s">
        <v>20</v>
      </c>
      <c r="AB359">
        <v>215</v>
      </c>
      <c r="AC359" t="s">
        <v>1314</v>
      </c>
      <c r="AD359" t="s">
        <v>20</v>
      </c>
      <c r="AE359" t="s">
        <v>1353</v>
      </c>
      <c r="AF359" t="s">
        <v>20</v>
      </c>
      <c r="AG359">
        <v>174.203</v>
      </c>
      <c r="AH359" t="s">
        <v>20</v>
      </c>
      <c r="AI359" t="s">
        <v>20</v>
      </c>
      <c r="AJ359">
        <v>340</v>
      </c>
      <c r="AK359" t="s">
        <v>1315</v>
      </c>
      <c r="AL359" t="s">
        <v>20</v>
      </c>
      <c r="AM359" t="s">
        <v>1354</v>
      </c>
      <c r="AN359" t="s">
        <v>20</v>
      </c>
      <c r="AO359">
        <v>119.119</v>
      </c>
      <c r="AP359" t="s">
        <v>20</v>
      </c>
      <c r="AQ359" t="s">
        <v>20</v>
      </c>
    </row>
    <row r="360" spans="1:43" x14ac:dyDescent="0.25">
      <c r="A360">
        <v>6</v>
      </c>
      <c r="B360" t="s">
        <v>167</v>
      </c>
      <c r="C360" t="str">
        <f>HYPERLINK("http://www.ncbi.nlm.nih.gov/protein/NXL92296.1","NXL92296.1")</f>
        <v>NXL92296.1</v>
      </c>
      <c r="D360">
        <v>13493</v>
      </c>
      <c r="E360" t="str">
        <f>HYPERLINK("http://www.ncbi.nlm.nih.gov/Taxonomy/Browser/wwwtax.cgi?mode=Info&amp;id=81907&amp;lvl=3&amp;lin=f&amp;keep=1&amp;srchmode=1&amp;unlock","81907")</f>
        <v>81907</v>
      </c>
      <c r="F360" t="s">
        <v>167</v>
      </c>
      <c r="G360" t="str">
        <f>HYPERLINK("http://www.ncbi.nlm.nih.gov/Taxonomy/Browser/wwwtax.cgi?mode=Info&amp;id=81907&amp;lvl=3&amp;lin=f&amp;keep=1&amp;srchmode=1&amp;unlock","Alectura lathami")</f>
        <v>Alectura lathami</v>
      </c>
      <c r="H360" t="s">
        <v>988</v>
      </c>
      <c r="I360" t="str">
        <f>HYPERLINK("http://www.ncbi.nlm.nih.gov/protein/NXL92296.1","ANDR protein")</f>
        <v>ANDR protein</v>
      </c>
      <c r="J360" t="s">
        <v>1323</v>
      </c>
      <c r="K360" t="s">
        <v>20</v>
      </c>
      <c r="L360">
        <v>168</v>
      </c>
      <c r="M360" t="s">
        <v>25</v>
      </c>
      <c r="N360" t="s">
        <v>20</v>
      </c>
      <c r="O360" t="s">
        <v>1352</v>
      </c>
      <c r="P360" t="s">
        <v>20</v>
      </c>
      <c r="Q360">
        <v>132.119</v>
      </c>
      <c r="R360" t="s">
        <v>20</v>
      </c>
      <c r="S360" t="s">
        <v>20</v>
      </c>
      <c r="T360">
        <v>174</v>
      </c>
      <c r="U360" t="s">
        <v>1313</v>
      </c>
      <c r="V360" t="s">
        <v>20</v>
      </c>
      <c r="W360" t="s">
        <v>1352</v>
      </c>
      <c r="X360" t="s">
        <v>20</v>
      </c>
      <c r="Y360">
        <v>146.14599999999999</v>
      </c>
      <c r="Z360" t="s">
        <v>20</v>
      </c>
      <c r="AA360" t="s">
        <v>20</v>
      </c>
      <c r="AB360">
        <v>215</v>
      </c>
      <c r="AC360" t="s">
        <v>1314</v>
      </c>
      <c r="AD360" t="s">
        <v>20</v>
      </c>
      <c r="AE360" t="s">
        <v>1353</v>
      </c>
      <c r="AF360" t="s">
        <v>20</v>
      </c>
      <c r="AG360">
        <v>174.203</v>
      </c>
      <c r="AH360" t="s">
        <v>20</v>
      </c>
      <c r="AI360" t="s">
        <v>20</v>
      </c>
      <c r="AJ360">
        <v>340</v>
      </c>
      <c r="AK360" t="s">
        <v>1315</v>
      </c>
      <c r="AL360" t="s">
        <v>20</v>
      </c>
      <c r="AM360" t="s">
        <v>1354</v>
      </c>
      <c r="AN360" t="s">
        <v>20</v>
      </c>
      <c r="AO360">
        <v>119.119</v>
      </c>
      <c r="AP360" t="s">
        <v>20</v>
      </c>
      <c r="AQ360" t="s">
        <v>20</v>
      </c>
    </row>
    <row r="361" spans="1:43" x14ac:dyDescent="0.25">
      <c r="A361">
        <v>6</v>
      </c>
      <c r="B361" t="s">
        <v>167</v>
      </c>
      <c r="C361" t="str">
        <f>HYPERLINK("http://www.ncbi.nlm.nih.gov/protein/NXR03292.1","NXR03292.1")</f>
        <v>NXR03292.1</v>
      </c>
      <c r="D361">
        <v>12894</v>
      </c>
      <c r="E361" t="str">
        <f>HYPERLINK("http://www.ncbi.nlm.nih.gov/Taxonomy/Browser/wwwtax.cgi?mode=Info&amp;id=56258&amp;lvl=3&amp;lin=f&amp;keep=1&amp;srchmode=1&amp;unlock","56258")</f>
        <v>56258</v>
      </c>
      <c r="F361" t="s">
        <v>167</v>
      </c>
      <c r="G361" t="str">
        <f>HYPERLINK("http://www.ncbi.nlm.nih.gov/Taxonomy/Browser/wwwtax.cgi?mode=Info&amp;id=56258&amp;lvl=3&amp;lin=f&amp;keep=1&amp;srchmode=1&amp;unlock","Sagittarius serpentarius")</f>
        <v>Sagittarius serpentarius</v>
      </c>
      <c r="H361" t="s">
        <v>227</v>
      </c>
      <c r="I361" t="str">
        <f>HYPERLINK("http://www.ncbi.nlm.nih.gov/protein/NXR03292.1","ANDR protein")</f>
        <v>ANDR protein</v>
      </c>
      <c r="J361" t="s">
        <v>1323</v>
      </c>
      <c r="K361" t="s">
        <v>20</v>
      </c>
      <c r="L361">
        <v>168</v>
      </c>
      <c r="M361" t="s">
        <v>25</v>
      </c>
      <c r="N361" t="s">
        <v>20</v>
      </c>
      <c r="O361" t="s">
        <v>1352</v>
      </c>
      <c r="P361" t="s">
        <v>20</v>
      </c>
      <c r="Q361">
        <v>132.119</v>
      </c>
      <c r="R361" t="s">
        <v>20</v>
      </c>
      <c r="S361" t="s">
        <v>20</v>
      </c>
      <c r="T361">
        <v>174</v>
      </c>
      <c r="U361" t="s">
        <v>1313</v>
      </c>
      <c r="V361" t="s">
        <v>20</v>
      </c>
      <c r="W361" t="s">
        <v>1352</v>
      </c>
      <c r="X361" t="s">
        <v>20</v>
      </c>
      <c r="Y361">
        <v>146.14599999999999</v>
      </c>
      <c r="Z361" t="s">
        <v>20</v>
      </c>
      <c r="AA361" t="s">
        <v>20</v>
      </c>
      <c r="AB361">
        <v>215</v>
      </c>
      <c r="AC361" t="s">
        <v>1314</v>
      </c>
      <c r="AD361" t="s">
        <v>20</v>
      </c>
      <c r="AE361" t="s">
        <v>1353</v>
      </c>
      <c r="AF361" t="s">
        <v>20</v>
      </c>
      <c r="AG361">
        <v>174.203</v>
      </c>
      <c r="AH361" t="s">
        <v>20</v>
      </c>
      <c r="AI361" t="s">
        <v>20</v>
      </c>
      <c r="AJ361">
        <v>340</v>
      </c>
      <c r="AK361" t="s">
        <v>1315</v>
      </c>
      <c r="AL361" t="s">
        <v>20</v>
      </c>
      <c r="AM361" t="s">
        <v>1354</v>
      </c>
      <c r="AN361" t="s">
        <v>20</v>
      </c>
      <c r="AO361">
        <v>119.119</v>
      </c>
      <c r="AP361" t="s">
        <v>20</v>
      </c>
      <c r="AQ361" t="s">
        <v>20</v>
      </c>
    </row>
    <row r="362" spans="1:43" x14ac:dyDescent="0.25">
      <c r="A362">
        <v>6</v>
      </c>
      <c r="B362" t="s">
        <v>167</v>
      </c>
      <c r="C362" t="str">
        <f>HYPERLINK("http://www.ncbi.nlm.nih.gov/protein/NWV41644.1","NWV41644.1")</f>
        <v>NWV41644.1</v>
      </c>
      <c r="D362">
        <v>14091</v>
      </c>
      <c r="E362" t="str">
        <f>HYPERLINK("http://www.ncbi.nlm.nih.gov/Taxonomy/Browser/wwwtax.cgi?mode=Info&amp;id=266360&amp;lvl=3&amp;lin=f&amp;keep=1&amp;srchmode=1&amp;unlock","266360")</f>
        <v>266360</v>
      </c>
      <c r="F362" t="s">
        <v>167</v>
      </c>
      <c r="G362" t="str">
        <f>HYPERLINK("http://www.ncbi.nlm.nih.gov/Taxonomy/Browser/wwwtax.cgi?mode=Info&amp;id=266360&amp;lvl=3&amp;lin=f&amp;keep=1&amp;srchmode=1&amp;unlock","Grantiella picta")</f>
        <v>Grantiella picta</v>
      </c>
      <c r="H362" t="s">
        <v>369</v>
      </c>
      <c r="I362" t="str">
        <f>HYPERLINK("http://www.ncbi.nlm.nih.gov/protein/NWV41644.1","ANDR protein")</f>
        <v>ANDR protein</v>
      </c>
      <c r="J362" t="s">
        <v>1323</v>
      </c>
      <c r="K362" t="s">
        <v>20</v>
      </c>
      <c r="L362">
        <v>168</v>
      </c>
      <c r="M362" t="s">
        <v>25</v>
      </c>
      <c r="N362" t="s">
        <v>20</v>
      </c>
      <c r="O362" t="s">
        <v>1352</v>
      </c>
      <c r="P362" t="s">
        <v>20</v>
      </c>
      <c r="Q362">
        <v>132.119</v>
      </c>
      <c r="R362" t="s">
        <v>20</v>
      </c>
      <c r="S362" t="s">
        <v>20</v>
      </c>
      <c r="T362">
        <v>174</v>
      </c>
      <c r="U362" t="s">
        <v>1313</v>
      </c>
      <c r="V362" t="s">
        <v>20</v>
      </c>
      <c r="W362" t="s">
        <v>1352</v>
      </c>
      <c r="X362" t="s">
        <v>20</v>
      </c>
      <c r="Y362">
        <v>146.14599999999999</v>
      </c>
      <c r="Z362" t="s">
        <v>20</v>
      </c>
      <c r="AA362" t="s">
        <v>20</v>
      </c>
      <c r="AB362">
        <v>215</v>
      </c>
      <c r="AC362" t="s">
        <v>1314</v>
      </c>
      <c r="AD362" t="s">
        <v>20</v>
      </c>
      <c r="AE362" t="s">
        <v>1353</v>
      </c>
      <c r="AF362" t="s">
        <v>20</v>
      </c>
      <c r="AG362">
        <v>174.203</v>
      </c>
      <c r="AH362" t="s">
        <v>20</v>
      </c>
      <c r="AI362" t="s">
        <v>20</v>
      </c>
      <c r="AJ362">
        <v>340</v>
      </c>
      <c r="AK362" t="s">
        <v>1315</v>
      </c>
      <c r="AL362" t="s">
        <v>20</v>
      </c>
      <c r="AM362" t="s">
        <v>1354</v>
      </c>
      <c r="AN362" t="s">
        <v>20</v>
      </c>
      <c r="AO362">
        <v>119.119</v>
      </c>
      <c r="AP362" t="s">
        <v>20</v>
      </c>
      <c r="AQ362" t="s">
        <v>20</v>
      </c>
    </row>
    <row r="363" spans="1:43" x14ac:dyDescent="0.25">
      <c r="A363">
        <v>6</v>
      </c>
      <c r="B363" t="s">
        <v>167</v>
      </c>
      <c r="C363" t="str">
        <f>HYPERLINK("http://www.ncbi.nlm.nih.gov/protein/NXF44689.1","NXF44689.1")</f>
        <v>NXF44689.1</v>
      </c>
      <c r="D363">
        <v>14303</v>
      </c>
      <c r="E363" t="str">
        <f>HYPERLINK("http://www.ncbi.nlm.nih.gov/Taxonomy/Browser/wwwtax.cgi?mode=Info&amp;id=79653&amp;lvl=3&amp;lin=f&amp;keep=1&amp;srchmode=1&amp;unlock","79653")</f>
        <v>79653</v>
      </c>
      <c r="F363" t="s">
        <v>167</v>
      </c>
      <c r="G363" t="str">
        <f>HYPERLINK("http://www.ncbi.nlm.nih.gov/Taxonomy/Browser/wwwtax.cgi?mode=Info&amp;id=79653&amp;lvl=3&amp;lin=f&amp;keep=1&amp;srchmode=1&amp;unlock","Oceanites oceanicus")</f>
        <v>Oceanites oceanicus</v>
      </c>
      <c r="H363" t="s">
        <v>222</v>
      </c>
      <c r="I363" t="str">
        <f>HYPERLINK("http://www.ncbi.nlm.nih.gov/protein/NXF44689.1","ANDR protein")</f>
        <v>ANDR protein</v>
      </c>
      <c r="J363" t="s">
        <v>1323</v>
      </c>
      <c r="K363" t="s">
        <v>20</v>
      </c>
      <c r="L363">
        <v>168</v>
      </c>
      <c r="M363" t="s">
        <v>25</v>
      </c>
      <c r="N363" t="s">
        <v>20</v>
      </c>
      <c r="O363" t="s">
        <v>1352</v>
      </c>
      <c r="P363" t="s">
        <v>20</v>
      </c>
      <c r="Q363">
        <v>132.119</v>
      </c>
      <c r="R363" t="s">
        <v>20</v>
      </c>
      <c r="S363" t="s">
        <v>20</v>
      </c>
      <c r="T363">
        <v>174</v>
      </c>
      <c r="U363" t="s">
        <v>1313</v>
      </c>
      <c r="V363" t="s">
        <v>20</v>
      </c>
      <c r="W363" t="s">
        <v>1352</v>
      </c>
      <c r="X363" t="s">
        <v>20</v>
      </c>
      <c r="Y363">
        <v>146.14599999999999</v>
      </c>
      <c r="Z363" t="s">
        <v>20</v>
      </c>
      <c r="AA363" t="s">
        <v>20</v>
      </c>
      <c r="AB363">
        <v>215</v>
      </c>
      <c r="AC363" t="s">
        <v>1314</v>
      </c>
      <c r="AD363" t="s">
        <v>20</v>
      </c>
      <c r="AE363" t="s">
        <v>1353</v>
      </c>
      <c r="AF363" t="s">
        <v>20</v>
      </c>
      <c r="AG363">
        <v>174.203</v>
      </c>
      <c r="AH363" t="s">
        <v>20</v>
      </c>
      <c r="AI363" t="s">
        <v>20</v>
      </c>
      <c r="AJ363">
        <v>340</v>
      </c>
      <c r="AK363" t="s">
        <v>1315</v>
      </c>
      <c r="AL363" t="s">
        <v>20</v>
      </c>
      <c r="AM363" t="s">
        <v>1354</v>
      </c>
      <c r="AN363" t="s">
        <v>20</v>
      </c>
      <c r="AO363">
        <v>119.119</v>
      </c>
      <c r="AP363" t="s">
        <v>20</v>
      </c>
      <c r="AQ363" t="s">
        <v>20</v>
      </c>
    </row>
    <row r="364" spans="1:43" x14ac:dyDescent="0.25">
      <c r="A364">
        <v>6</v>
      </c>
      <c r="B364" t="s">
        <v>167</v>
      </c>
      <c r="C364" t="str">
        <f>HYPERLINK("http://www.ncbi.nlm.nih.gov/protein/NWS20324.1","NWS20324.1")</f>
        <v>NWS20324.1</v>
      </c>
      <c r="D364">
        <v>13757</v>
      </c>
      <c r="E364" t="str">
        <f>HYPERLINK("http://www.ncbi.nlm.nih.gov/Taxonomy/Browser/wwwtax.cgi?mode=Info&amp;id=369605&amp;lvl=3&amp;lin=f&amp;keep=1&amp;srchmode=1&amp;unlock","369605")</f>
        <v>369605</v>
      </c>
      <c r="F364" t="s">
        <v>167</v>
      </c>
      <c r="G364" t="str">
        <f>HYPERLINK("http://www.ncbi.nlm.nih.gov/Taxonomy/Browser/wwwtax.cgi?mode=Info&amp;id=369605&amp;lvl=3&amp;lin=f&amp;keep=1&amp;srchmode=1&amp;unlock","Pachyramphus minor")</f>
        <v>Pachyramphus minor</v>
      </c>
      <c r="H364" t="s">
        <v>206</v>
      </c>
      <c r="I364" t="str">
        <f>HYPERLINK("http://www.ncbi.nlm.nih.gov/protein/NWS20324.1","ANDR protein")</f>
        <v>ANDR protein</v>
      </c>
      <c r="J364" t="s">
        <v>1323</v>
      </c>
      <c r="K364" t="s">
        <v>20</v>
      </c>
      <c r="L364">
        <v>465</v>
      </c>
      <c r="M364" t="s">
        <v>25</v>
      </c>
      <c r="N364" t="s">
        <v>20</v>
      </c>
      <c r="O364" t="s">
        <v>1352</v>
      </c>
      <c r="P364" t="s">
        <v>20</v>
      </c>
      <c r="Q364">
        <v>132.119</v>
      </c>
      <c r="R364" t="s">
        <v>20</v>
      </c>
      <c r="S364" t="s">
        <v>20</v>
      </c>
      <c r="T364">
        <v>471</v>
      </c>
      <c r="U364" t="s">
        <v>1313</v>
      </c>
      <c r="V364" t="s">
        <v>20</v>
      </c>
      <c r="W364" t="s">
        <v>1352</v>
      </c>
      <c r="X364" t="s">
        <v>20</v>
      </c>
      <c r="Y364">
        <v>146.14599999999999</v>
      </c>
      <c r="Z364" t="s">
        <v>20</v>
      </c>
      <c r="AA364" t="s">
        <v>20</v>
      </c>
      <c r="AB364">
        <v>512</v>
      </c>
      <c r="AC364" t="s">
        <v>1314</v>
      </c>
      <c r="AD364" t="s">
        <v>20</v>
      </c>
      <c r="AE364" t="s">
        <v>1353</v>
      </c>
      <c r="AF364" t="s">
        <v>20</v>
      </c>
      <c r="AG364">
        <v>174.203</v>
      </c>
      <c r="AH364" t="s">
        <v>20</v>
      </c>
      <c r="AI364" t="s">
        <v>20</v>
      </c>
      <c r="AJ364">
        <v>637</v>
      </c>
      <c r="AK364" t="s">
        <v>1315</v>
      </c>
      <c r="AL364" t="s">
        <v>20</v>
      </c>
      <c r="AM364" t="s">
        <v>1354</v>
      </c>
      <c r="AN364" t="s">
        <v>20</v>
      </c>
      <c r="AO364">
        <v>119.119</v>
      </c>
      <c r="AP364" t="s">
        <v>20</v>
      </c>
      <c r="AQ364" t="s">
        <v>20</v>
      </c>
    </row>
    <row r="365" spans="1:43" x14ac:dyDescent="0.25">
      <c r="A365">
        <v>6</v>
      </c>
      <c r="B365" t="s">
        <v>167</v>
      </c>
      <c r="C365" t="str">
        <f>HYPERLINK("http://www.ncbi.nlm.nih.gov/protein/NXG18636.1","NXG18636.1")</f>
        <v>NXG18636.1</v>
      </c>
      <c r="D365">
        <v>13957</v>
      </c>
      <c r="E365" t="str">
        <f>HYPERLINK("http://www.ncbi.nlm.nih.gov/Taxonomy/Browser/wwwtax.cgi?mode=Info&amp;id=117165&amp;lvl=3&amp;lin=f&amp;keep=1&amp;srchmode=1&amp;unlock","117165")</f>
        <v>117165</v>
      </c>
      <c r="F365" t="s">
        <v>167</v>
      </c>
      <c r="G365" t="str">
        <f>HYPERLINK("http://www.ncbi.nlm.nih.gov/Taxonomy/Browser/wwwtax.cgi?mode=Info&amp;id=117165&amp;lvl=3&amp;lin=f&amp;keep=1&amp;srchmode=1&amp;unlock","Grallaria varia")</f>
        <v>Grallaria varia</v>
      </c>
      <c r="H365" t="s">
        <v>400</v>
      </c>
      <c r="I365" t="str">
        <f>HYPERLINK("http://www.ncbi.nlm.nih.gov/protein/NXG18636.1","ANDR protein")</f>
        <v>ANDR protein</v>
      </c>
      <c r="J365" t="s">
        <v>1323</v>
      </c>
      <c r="K365" t="s">
        <v>20</v>
      </c>
      <c r="L365">
        <v>168</v>
      </c>
      <c r="M365" t="s">
        <v>25</v>
      </c>
      <c r="N365" t="s">
        <v>20</v>
      </c>
      <c r="O365" t="s">
        <v>1352</v>
      </c>
      <c r="P365" t="s">
        <v>20</v>
      </c>
      <c r="Q365">
        <v>132.119</v>
      </c>
      <c r="R365" t="s">
        <v>20</v>
      </c>
      <c r="S365" t="s">
        <v>20</v>
      </c>
      <c r="T365">
        <v>174</v>
      </c>
      <c r="U365" t="s">
        <v>1313</v>
      </c>
      <c r="V365" t="s">
        <v>20</v>
      </c>
      <c r="W365" t="s">
        <v>1352</v>
      </c>
      <c r="X365" t="s">
        <v>20</v>
      </c>
      <c r="Y365">
        <v>146.14599999999999</v>
      </c>
      <c r="Z365" t="s">
        <v>20</v>
      </c>
      <c r="AA365" t="s">
        <v>20</v>
      </c>
      <c r="AB365">
        <v>215</v>
      </c>
      <c r="AC365" t="s">
        <v>1314</v>
      </c>
      <c r="AD365" t="s">
        <v>20</v>
      </c>
      <c r="AE365" t="s">
        <v>1353</v>
      </c>
      <c r="AF365" t="s">
        <v>20</v>
      </c>
      <c r="AG365">
        <v>174.203</v>
      </c>
      <c r="AH365" t="s">
        <v>20</v>
      </c>
      <c r="AI365" t="s">
        <v>20</v>
      </c>
      <c r="AJ365">
        <v>340</v>
      </c>
      <c r="AK365" t="s">
        <v>1315</v>
      </c>
      <c r="AL365" t="s">
        <v>20</v>
      </c>
      <c r="AM365" t="s">
        <v>1354</v>
      </c>
      <c r="AN365" t="s">
        <v>20</v>
      </c>
      <c r="AO365">
        <v>119.119</v>
      </c>
      <c r="AP365" t="s">
        <v>20</v>
      </c>
      <c r="AQ365" t="s">
        <v>20</v>
      </c>
    </row>
    <row r="366" spans="1:43" x14ac:dyDescent="0.25">
      <c r="A366">
        <v>6</v>
      </c>
      <c r="B366" t="s">
        <v>167</v>
      </c>
      <c r="C366" t="str">
        <f>HYPERLINK("http://www.ncbi.nlm.nih.gov/protein/NWQ82911.1","NWQ82911.1")</f>
        <v>NWQ82911.1</v>
      </c>
      <c r="D366">
        <v>12327</v>
      </c>
      <c r="E366" t="str">
        <f>HYPERLINK("http://www.ncbi.nlm.nih.gov/Taxonomy/Browser/wwwtax.cgi?mode=Info&amp;id=115618&amp;lvl=3&amp;lin=f&amp;keep=1&amp;srchmode=1&amp;unlock","115618")</f>
        <v>115618</v>
      </c>
      <c r="F366" t="s">
        <v>167</v>
      </c>
      <c r="G366" t="str">
        <f>HYPERLINK("http://www.ncbi.nlm.nih.gov/Taxonomy/Browser/wwwtax.cgi?mode=Info&amp;id=115618&amp;lvl=3&amp;lin=f&amp;keep=1&amp;srchmode=1&amp;unlock","Columbina picui")</f>
        <v>Columbina picui</v>
      </c>
      <c r="H366" t="s">
        <v>406</v>
      </c>
      <c r="I366" t="str">
        <f>HYPERLINK("http://www.ncbi.nlm.nih.gov/protein/NWQ82911.1","ANDR protein")</f>
        <v>ANDR protein</v>
      </c>
      <c r="J366" t="s">
        <v>1323</v>
      </c>
      <c r="K366" t="s">
        <v>20</v>
      </c>
      <c r="L366">
        <v>168</v>
      </c>
      <c r="M366" t="s">
        <v>25</v>
      </c>
      <c r="N366" t="s">
        <v>20</v>
      </c>
      <c r="O366" t="s">
        <v>1352</v>
      </c>
      <c r="P366" t="s">
        <v>20</v>
      </c>
      <c r="Q366">
        <v>132.119</v>
      </c>
      <c r="R366" t="s">
        <v>20</v>
      </c>
      <c r="S366" t="s">
        <v>20</v>
      </c>
      <c r="T366">
        <v>174</v>
      </c>
      <c r="U366" t="s">
        <v>1313</v>
      </c>
      <c r="V366" t="s">
        <v>20</v>
      </c>
      <c r="W366" t="s">
        <v>1352</v>
      </c>
      <c r="X366" t="s">
        <v>20</v>
      </c>
      <c r="Y366">
        <v>146.14599999999999</v>
      </c>
      <c r="Z366" t="s">
        <v>20</v>
      </c>
      <c r="AA366" t="s">
        <v>20</v>
      </c>
      <c r="AB366">
        <v>215</v>
      </c>
      <c r="AC366" t="s">
        <v>1314</v>
      </c>
      <c r="AD366" t="s">
        <v>20</v>
      </c>
      <c r="AE366" t="s">
        <v>1353</v>
      </c>
      <c r="AF366" t="s">
        <v>20</v>
      </c>
      <c r="AG366">
        <v>174.203</v>
      </c>
      <c r="AH366" t="s">
        <v>20</v>
      </c>
      <c r="AI366" t="s">
        <v>20</v>
      </c>
      <c r="AJ366">
        <v>340</v>
      </c>
      <c r="AK366" t="s">
        <v>1315</v>
      </c>
      <c r="AL366" t="s">
        <v>20</v>
      </c>
      <c r="AM366" t="s">
        <v>1354</v>
      </c>
      <c r="AN366" t="s">
        <v>20</v>
      </c>
      <c r="AO366">
        <v>119.119</v>
      </c>
      <c r="AP366" t="s">
        <v>20</v>
      </c>
      <c r="AQ366" t="s">
        <v>20</v>
      </c>
    </row>
    <row r="367" spans="1:43" x14ac:dyDescent="0.25">
      <c r="A367">
        <v>6</v>
      </c>
      <c r="B367" t="s">
        <v>167</v>
      </c>
      <c r="C367" t="str">
        <f>HYPERLINK("http://www.ncbi.nlm.nih.gov/protein/NWR08977.1","NWR08977.1")</f>
        <v>NWR08977.1</v>
      </c>
      <c r="D367">
        <v>14772</v>
      </c>
      <c r="E367" t="str">
        <f>HYPERLINK("http://www.ncbi.nlm.nih.gov/Taxonomy/Browser/wwwtax.cgi?mode=Info&amp;id=337173&amp;lvl=3&amp;lin=f&amp;keep=1&amp;srchmode=1&amp;unlock","337173")</f>
        <v>337173</v>
      </c>
      <c r="F367" t="s">
        <v>167</v>
      </c>
      <c r="G367" t="str">
        <f>HYPERLINK("http://www.ncbi.nlm.nih.gov/Taxonomy/Browser/wwwtax.cgi?mode=Info&amp;id=337173&amp;lvl=3&amp;lin=f&amp;keep=1&amp;srchmode=1&amp;unlock","Sinosuthora webbiana")</f>
        <v>Sinosuthora webbiana</v>
      </c>
      <c r="H367" t="s">
        <v>503</v>
      </c>
      <c r="I367" t="str">
        <f>HYPERLINK("http://www.ncbi.nlm.nih.gov/protein/NWR08977.1","ANDR protein")</f>
        <v>ANDR protein</v>
      </c>
      <c r="J367" t="s">
        <v>1323</v>
      </c>
      <c r="K367" t="s">
        <v>20</v>
      </c>
      <c r="L367">
        <v>168</v>
      </c>
      <c r="M367" t="s">
        <v>25</v>
      </c>
      <c r="N367" t="s">
        <v>20</v>
      </c>
      <c r="O367" t="s">
        <v>1352</v>
      </c>
      <c r="P367" t="s">
        <v>20</v>
      </c>
      <c r="Q367">
        <v>132.119</v>
      </c>
      <c r="R367" t="s">
        <v>20</v>
      </c>
      <c r="S367" t="s">
        <v>20</v>
      </c>
      <c r="T367">
        <v>174</v>
      </c>
      <c r="U367" t="s">
        <v>1313</v>
      </c>
      <c r="V367" t="s">
        <v>20</v>
      </c>
      <c r="W367" t="s">
        <v>1352</v>
      </c>
      <c r="X367" t="s">
        <v>20</v>
      </c>
      <c r="Y367">
        <v>146.14599999999999</v>
      </c>
      <c r="Z367" t="s">
        <v>20</v>
      </c>
      <c r="AA367" t="s">
        <v>20</v>
      </c>
      <c r="AB367">
        <v>215</v>
      </c>
      <c r="AC367" t="s">
        <v>1314</v>
      </c>
      <c r="AD367" t="s">
        <v>20</v>
      </c>
      <c r="AE367" t="s">
        <v>1353</v>
      </c>
      <c r="AF367" t="s">
        <v>20</v>
      </c>
      <c r="AG367">
        <v>174.203</v>
      </c>
      <c r="AH367" t="s">
        <v>20</v>
      </c>
      <c r="AI367" t="s">
        <v>20</v>
      </c>
      <c r="AJ367">
        <v>340</v>
      </c>
      <c r="AK367" t="s">
        <v>1315</v>
      </c>
      <c r="AL367" t="s">
        <v>20</v>
      </c>
      <c r="AM367" t="s">
        <v>1354</v>
      </c>
      <c r="AN367" t="s">
        <v>20</v>
      </c>
      <c r="AO367">
        <v>119.119</v>
      </c>
      <c r="AP367" t="s">
        <v>20</v>
      </c>
      <c r="AQ367" t="s">
        <v>20</v>
      </c>
    </row>
    <row r="368" spans="1:43" x14ac:dyDescent="0.25">
      <c r="A368">
        <v>6</v>
      </c>
      <c r="B368" t="s">
        <v>167</v>
      </c>
      <c r="C368" t="str">
        <f>HYPERLINK("http://www.ncbi.nlm.nih.gov/protein/NXV05165.1","NXV05165.1")</f>
        <v>NXV05165.1</v>
      </c>
      <c r="D368">
        <v>14925</v>
      </c>
      <c r="E368" t="str">
        <f>HYPERLINK("http://www.ncbi.nlm.nih.gov/Taxonomy/Browser/wwwtax.cgi?mode=Info&amp;id=68486&amp;lvl=3&amp;lin=f&amp;keep=1&amp;srchmode=1&amp;unlock","68486")</f>
        <v>68486</v>
      </c>
      <c r="F368" t="s">
        <v>167</v>
      </c>
      <c r="G368" t="str">
        <f>HYPERLINK("http://www.ncbi.nlm.nih.gov/Taxonomy/Browser/wwwtax.cgi?mode=Info&amp;id=68486&amp;lvl=3&amp;lin=f&amp;keep=1&amp;srchmode=1&amp;unlock","Cettia cetti")</f>
        <v>Cettia cetti</v>
      </c>
      <c r="H368" t="s">
        <v>395</v>
      </c>
      <c r="I368" t="str">
        <f>HYPERLINK("http://www.ncbi.nlm.nih.gov/protein/NXV05165.1","ANDR protein")</f>
        <v>ANDR protein</v>
      </c>
      <c r="J368" t="s">
        <v>1323</v>
      </c>
      <c r="K368" t="s">
        <v>20</v>
      </c>
      <c r="L368">
        <v>168</v>
      </c>
      <c r="M368" t="s">
        <v>25</v>
      </c>
      <c r="N368" t="s">
        <v>20</v>
      </c>
      <c r="O368" t="s">
        <v>1352</v>
      </c>
      <c r="P368" t="s">
        <v>20</v>
      </c>
      <c r="Q368">
        <v>132.119</v>
      </c>
      <c r="R368" t="s">
        <v>20</v>
      </c>
      <c r="S368" t="s">
        <v>20</v>
      </c>
      <c r="T368">
        <v>174</v>
      </c>
      <c r="U368" t="s">
        <v>1313</v>
      </c>
      <c r="V368" t="s">
        <v>20</v>
      </c>
      <c r="W368" t="s">
        <v>1352</v>
      </c>
      <c r="X368" t="s">
        <v>20</v>
      </c>
      <c r="Y368">
        <v>146.14599999999999</v>
      </c>
      <c r="Z368" t="s">
        <v>20</v>
      </c>
      <c r="AA368" t="s">
        <v>20</v>
      </c>
      <c r="AB368">
        <v>215</v>
      </c>
      <c r="AC368" t="s">
        <v>1314</v>
      </c>
      <c r="AD368" t="s">
        <v>20</v>
      </c>
      <c r="AE368" t="s">
        <v>1353</v>
      </c>
      <c r="AF368" t="s">
        <v>20</v>
      </c>
      <c r="AG368">
        <v>174.203</v>
      </c>
      <c r="AH368" t="s">
        <v>20</v>
      </c>
      <c r="AI368" t="s">
        <v>20</v>
      </c>
      <c r="AJ368">
        <v>340</v>
      </c>
      <c r="AK368" t="s">
        <v>1315</v>
      </c>
      <c r="AL368" t="s">
        <v>20</v>
      </c>
      <c r="AM368" t="s">
        <v>1354</v>
      </c>
      <c r="AN368" t="s">
        <v>20</v>
      </c>
      <c r="AO368">
        <v>119.119</v>
      </c>
      <c r="AP368" t="s">
        <v>20</v>
      </c>
      <c r="AQ368" t="s">
        <v>20</v>
      </c>
    </row>
    <row r="369" spans="1:43" x14ac:dyDescent="0.25">
      <c r="A369">
        <v>6</v>
      </c>
      <c r="B369" t="s">
        <v>167</v>
      </c>
      <c r="C369" t="str">
        <f>HYPERLINK("http://www.ncbi.nlm.nih.gov/protein/NXM14711.1","NXM14711.1")</f>
        <v>NXM14711.1</v>
      </c>
      <c r="D369">
        <v>13548</v>
      </c>
      <c r="E369" t="str">
        <f>HYPERLINK("http://www.ncbi.nlm.nih.gov/Taxonomy/Browser/wwwtax.cgi?mode=Info&amp;id=441696&amp;lvl=3&amp;lin=f&amp;keep=1&amp;srchmode=1&amp;unlock","441696")</f>
        <v>441696</v>
      </c>
      <c r="F369" t="s">
        <v>167</v>
      </c>
      <c r="G369" t="str">
        <f>HYPERLINK("http://www.ncbi.nlm.nih.gov/Taxonomy/Browser/wwwtax.cgi?mode=Info&amp;id=441696&amp;lvl=3&amp;lin=f&amp;keep=1&amp;srchmode=1&amp;unlock","Ploceus nigricollis")</f>
        <v>Ploceus nigricollis</v>
      </c>
      <c r="H369" t="s">
        <v>206</v>
      </c>
      <c r="I369" t="str">
        <f>HYPERLINK("http://www.ncbi.nlm.nih.gov/protein/NXM14711.1","ANDR protein")</f>
        <v>ANDR protein</v>
      </c>
      <c r="J369" t="s">
        <v>1323</v>
      </c>
      <c r="K369" t="s">
        <v>20</v>
      </c>
      <c r="L369">
        <v>168</v>
      </c>
      <c r="M369" t="s">
        <v>25</v>
      </c>
      <c r="N369" t="s">
        <v>20</v>
      </c>
      <c r="O369" t="s">
        <v>1352</v>
      </c>
      <c r="P369" t="s">
        <v>20</v>
      </c>
      <c r="Q369">
        <v>132.119</v>
      </c>
      <c r="R369" t="s">
        <v>20</v>
      </c>
      <c r="S369" t="s">
        <v>20</v>
      </c>
      <c r="T369">
        <v>174</v>
      </c>
      <c r="U369" t="s">
        <v>1313</v>
      </c>
      <c r="V369" t="s">
        <v>20</v>
      </c>
      <c r="W369" t="s">
        <v>1352</v>
      </c>
      <c r="X369" t="s">
        <v>20</v>
      </c>
      <c r="Y369">
        <v>146.14599999999999</v>
      </c>
      <c r="Z369" t="s">
        <v>20</v>
      </c>
      <c r="AA369" t="s">
        <v>20</v>
      </c>
      <c r="AB369">
        <v>215</v>
      </c>
      <c r="AC369" t="s">
        <v>1314</v>
      </c>
      <c r="AD369" t="s">
        <v>20</v>
      </c>
      <c r="AE369" t="s">
        <v>1353</v>
      </c>
      <c r="AF369" t="s">
        <v>20</v>
      </c>
      <c r="AG369">
        <v>174.203</v>
      </c>
      <c r="AH369" t="s">
        <v>20</v>
      </c>
      <c r="AI369" t="s">
        <v>20</v>
      </c>
      <c r="AJ369">
        <v>340</v>
      </c>
      <c r="AK369" t="s">
        <v>1315</v>
      </c>
      <c r="AL369" t="s">
        <v>20</v>
      </c>
      <c r="AM369" t="s">
        <v>1354</v>
      </c>
      <c r="AN369" t="s">
        <v>20</v>
      </c>
      <c r="AO369">
        <v>119.119</v>
      </c>
      <c r="AP369" t="s">
        <v>20</v>
      </c>
      <c r="AQ369" t="s">
        <v>20</v>
      </c>
    </row>
    <row r="370" spans="1:43" x14ac:dyDescent="0.25">
      <c r="A370">
        <v>6</v>
      </c>
      <c r="B370" t="s">
        <v>167</v>
      </c>
      <c r="C370" t="str">
        <f>HYPERLINK("http://www.ncbi.nlm.nih.gov/protein/NXT34331.1","NXT34331.1")</f>
        <v>NXT34331.1</v>
      </c>
      <c r="D370">
        <v>14805</v>
      </c>
      <c r="E370" t="str">
        <f>HYPERLINK("http://www.ncbi.nlm.nih.gov/Taxonomy/Browser/wwwtax.cgi?mode=Info&amp;id=37079&amp;lvl=3&amp;lin=f&amp;keep=1&amp;srchmode=1&amp;unlock","37079")</f>
        <v>37079</v>
      </c>
      <c r="F370" t="s">
        <v>167</v>
      </c>
      <c r="G370" t="str">
        <f>HYPERLINK("http://www.ncbi.nlm.nih.gov/Taxonomy/Browser/wwwtax.cgi?mode=Info&amp;id=37079&amp;lvl=3&amp;lin=f&amp;keep=1&amp;srchmode=1&amp;unlock","Pelecanoides urinatrix")</f>
        <v>Pelecanoides urinatrix</v>
      </c>
      <c r="H370" t="s">
        <v>179</v>
      </c>
      <c r="I370" t="str">
        <f>HYPERLINK("http://www.ncbi.nlm.nih.gov/protein/NXT34331.1","ANDR protein")</f>
        <v>ANDR protein</v>
      </c>
      <c r="J370" t="s">
        <v>1323</v>
      </c>
      <c r="K370" t="s">
        <v>20</v>
      </c>
      <c r="L370">
        <v>168</v>
      </c>
      <c r="M370" t="s">
        <v>25</v>
      </c>
      <c r="N370" t="s">
        <v>20</v>
      </c>
      <c r="O370" t="s">
        <v>1352</v>
      </c>
      <c r="P370" t="s">
        <v>20</v>
      </c>
      <c r="Q370">
        <v>132.119</v>
      </c>
      <c r="R370" t="s">
        <v>20</v>
      </c>
      <c r="S370" t="s">
        <v>20</v>
      </c>
      <c r="T370">
        <v>174</v>
      </c>
      <c r="U370" t="s">
        <v>1313</v>
      </c>
      <c r="V370" t="s">
        <v>20</v>
      </c>
      <c r="W370" t="s">
        <v>1352</v>
      </c>
      <c r="X370" t="s">
        <v>20</v>
      </c>
      <c r="Y370">
        <v>146.14599999999999</v>
      </c>
      <c r="Z370" t="s">
        <v>20</v>
      </c>
      <c r="AA370" t="s">
        <v>20</v>
      </c>
      <c r="AB370">
        <v>215</v>
      </c>
      <c r="AC370" t="s">
        <v>1314</v>
      </c>
      <c r="AD370" t="s">
        <v>20</v>
      </c>
      <c r="AE370" t="s">
        <v>1353</v>
      </c>
      <c r="AF370" t="s">
        <v>20</v>
      </c>
      <c r="AG370">
        <v>174.203</v>
      </c>
      <c r="AH370" t="s">
        <v>20</v>
      </c>
      <c r="AI370" t="s">
        <v>20</v>
      </c>
      <c r="AJ370">
        <v>340</v>
      </c>
      <c r="AK370" t="s">
        <v>1315</v>
      </c>
      <c r="AL370" t="s">
        <v>20</v>
      </c>
      <c r="AM370" t="s">
        <v>1354</v>
      </c>
      <c r="AN370" t="s">
        <v>20</v>
      </c>
      <c r="AO370">
        <v>119.119</v>
      </c>
      <c r="AP370" t="s">
        <v>20</v>
      </c>
      <c r="AQ370" t="s">
        <v>20</v>
      </c>
    </row>
    <row r="371" spans="1:43" x14ac:dyDescent="0.25">
      <c r="A371">
        <v>6</v>
      </c>
      <c r="B371" t="s">
        <v>167</v>
      </c>
      <c r="C371" t="str">
        <f>HYPERLINK("http://www.ncbi.nlm.nih.gov/protein/NWS71072.1","NWS71072.1")</f>
        <v>NWS71072.1</v>
      </c>
      <c r="D371">
        <v>13919</v>
      </c>
      <c r="E371" t="str">
        <f>HYPERLINK("http://www.ncbi.nlm.nih.gov/Taxonomy/Browser/wwwtax.cgi?mode=Info&amp;id=33598&amp;lvl=3&amp;lin=f&amp;keep=1&amp;srchmode=1&amp;unlock","33598")</f>
        <v>33598</v>
      </c>
      <c r="F371" t="s">
        <v>167</v>
      </c>
      <c r="G371" t="str">
        <f>HYPERLINK("http://www.ncbi.nlm.nih.gov/Taxonomy/Browser/wwwtax.cgi?mode=Info&amp;id=33598&amp;lvl=3&amp;lin=f&amp;keep=1&amp;srchmode=1&amp;unlock","Crotophaga sulcirostris")</f>
        <v>Crotophaga sulcirostris</v>
      </c>
      <c r="H371" t="s">
        <v>559</v>
      </c>
      <c r="I371" t="str">
        <f>HYPERLINK("http://www.ncbi.nlm.nih.gov/protein/NWS71072.1","ANDR protein")</f>
        <v>ANDR protein</v>
      </c>
      <c r="J371" t="s">
        <v>1323</v>
      </c>
      <c r="K371" t="s">
        <v>20</v>
      </c>
      <c r="L371">
        <v>168</v>
      </c>
      <c r="M371" t="s">
        <v>25</v>
      </c>
      <c r="N371" t="s">
        <v>20</v>
      </c>
      <c r="O371" t="s">
        <v>1352</v>
      </c>
      <c r="P371" t="s">
        <v>20</v>
      </c>
      <c r="Q371">
        <v>132.119</v>
      </c>
      <c r="R371" t="s">
        <v>20</v>
      </c>
      <c r="S371" t="s">
        <v>20</v>
      </c>
      <c r="T371">
        <v>174</v>
      </c>
      <c r="U371" t="s">
        <v>1313</v>
      </c>
      <c r="V371" t="s">
        <v>20</v>
      </c>
      <c r="W371" t="s">
        <v>1352</v>
      </c>
      <c r="X371" t="s">
        <v>20</v>
      </c>
      <c r="Y371">
        <v>146.14599999999999</v>
      </c>
      <c r="Z371" t="s">
        <v>20</v>
      </c>
      <c r="AA371" t="s">
        <v>20</v>
      </c>
      <c r="AB371">
        <v>215</v>
      </c>
      <c r="AC371" t="s">
        <v>1314</v>
      </c>
      <c r="AD371" t="s">
        <v>20</v>
      </c>
      <c r="AE371" t="s">
        <v>1353</v>
      </c>
      <c r="AF371" t="s">
        <v>20</v>
      </c>
      <c r="AG371">
        <v>174.203</v>
      </c>
      <c r="AH371" t="s">
        <v>20</v>
      </c>
      <c r="AI371" t="s">
        <v>20</v>
      </c>
      <c r="AJ371">
        <v>340</v>
      </c>
      <c r="AK371" t="s">
        <v>1315</v>
      </c>
      <c r="AL371" t="s">
        <v>20</v>
      </c>
      <c r="AM371" t="s">
        <v>1354</v>
      </c>
      <c r="AN371" t="s">
        <v>20</v>
      </c>
      <c r="AO371">
        <v>119.119</v>
      </c>
      <c r="AP371" t="s">
        <v>20</v>
      </c>
      <c r="AQ371" t="s">
        <v>20</v>
      </c>
    </row>
    <row r="372" spans="1:43" x14ac:dyDescent="0.25">
      <c r="A372">
        <v>6</v>
      </c>
      <c r="B372" t="s">
        <v>167</v>
      </c>
      <c r="C372" t="str">
        <f>HYPERLINK("http://www.ncbi.nlm.nih.gov/protein/NXU90185.1","NXU90185.1")</f>
        <v>NXU90185.1</v>
      </c>
      <c r="D372">
        <v>13565</v>
      </c>
      <c r="E372" t="str">
        <f>HYPERLINK("http://www.ncbi.nlm.nih.gov/Taxonomy/Browser/wwwtax.cgi?mode=Info&amp;id=269412&amp;lvl=3&amp;lin=f&amp;keep=1&amp;srchmode=1&amp;unlock","269412")</f>
        <v>269412</v>
      </c>
      <c r="F372" t="s">
        <v>167</v>
      </c>
      <c r="G372" t="str">
        <f>HYPERLINK("http://www.ncbi.nlm.nih.gov/Taxonomy/Browser/wwwtax.cgi?mode=Info&amp;id=269412&amp;lvl=3&amp;lin=f&amp;keep=1&amp;srchmode=1&amp;unlock","Xiphorhynchus elegans")</f>
        <v>Xiphorhynchus elegans</v>
      </c>
      <c r="H372" t="s">
        <v>404</v>
      </c>
      <c r="I372" t="str">
        <f>HYPERLINK("http://www.ncbi.nlm.nih.gov/protein/NXU90185.1","ANDR protein")</f>
        <v>ANDR protein</v>
      </c>
      <c r="J372" t="s">
        <v>1323</v>
      </c>
      <c r="K372" t="s">
        <v>20</v>
      </c>
      <c r="L372">
        <v>168</v>
      </c>
      <c r="M372" t="s">
        <v>25</v>
      </c>
      <c r="N372" t="s">
        <v>20</v>
      </c>
      <c r="O372" t="s">
        <v>1352</v>
      </c>
      <c r="P372" t="s">
        <v>20</v>
      </c>
      <c r="Q372">
        <v>132.119</v>
      </c>
      <c r="R372" t="s">
        <v>20</v>
      </c>
      <c r="S372" t="s">
        <v>20</v>
      </c>
      <c r="T372">
        <v>174</v>
      </c>
      <c r="U372" t="s">
        <v>1313</v>
      </c>
      <c r="V372" t="s">
        <v>20</v>
      </c>
      <c r="W372" t="s">
        <v>1352</v>
      </c>
      <c r="X372" t="s">
        <v>20</v>
      </c>
      <c r="Y372">
        <v>146.14599999999999</v>
      </c>
      <c r="Z372" t="s">
        <v>20</v>
      </c>
      <c r="AA372" t="s">
        <v>20</v>
      </c>
      <c r="AB372">
        <v>215</v>
      </c>
      <c r="AC372" t="s">
        <v>1314</v>
      </c>
      <c r="AD372" t="s">
        <v>20</v>
      </c>
      <c r="AE372" t="s">
        <v>1353</v>
      </c>
      <c r="AF372" t="s">
        <v>20</v>
      </c>
      <c r="AG372">
        <v>174.203</v>
      </c>
      <c r="AH372" t="s">
        <v>20</v>
      </c>
      <c r="AI372" t="s">
        <v>20</v>
      </c>
      <c r="AJ372">
        <v>340</v>
      </c>
      <c r="AK372" t="s">
        <v>1315</v>
      </c>
      <c r="AL372" t="s">
        <v>20</v>
      </c>
      <c r="AM372" t="s">
        <v>1354</v>
      </c>
      <c r="AN372" t="s">
        <v>20</v>
      </c>
      <c r="AO372">
        <v>119.119</v>
      </c>
      <c r="AP372" t="s">
        <v>20</v>
      </c>
      <c r="AQ372" t="s">
        <v>20</v>
      </c>
    </row>
    <row r="373" spans="1:43" x14ac:dyDescent="0.25">
      <c r="A373">
        <v>6</v>
      </c>
      <c r="B373" t="s">
        <v>167</v>
      </c>
      <c r="C373" t="str">
        <f>HYPERLINK("http://www.ncbi.nlm.nih.gov/protein/NXI52087.1","NXI52087.1")</f>
        <v>NXI52087.1</v>
      </c>
      <c r="D373">
        <v>12275</v>
      </c>
      <c r="E373" t="str">
        <f>HYPERLINK("http://www.ncbi.nlm.nih.gov/Taxonomy/Browser/wwwtax.cgi?mode=Info&amp;id=176938&amp;lvl=3&amp;lin=f&amp;keep=1&amp;srchmode=1&amp;unlock","176938")</f>
        <v>176938</v>
      </c>
      <c r="F373" t="s">
        <v>167</v>
      </c>
      <c r="G373" t="str">
        <f>HYPERLINK("http://www.ncbi.nlm.nih.gov/Taxonomy/Browser/wwwtax.cgi?mode=Info&amp;id=176938&amp;lvl=3&amp;lin=f&amp;keep=1&amp;srchmode=1&amp;unlock","Chloroceryle aenea")</f>
        <v>Chloroceryle aenea</v>
      </c>
      <c r="H373" t="s">
        <v>225</v>
      </c>
      <c r="I373" t="str">
        <f>HYPERLINK("http://www.ncbi.nlm.nih.gov/protein/NXI52087.1","ANDR protein")</f>
        <v>ANDR protein</v>
      </c>
      <c r="J373" t="s">
        <v>1323</v>
      </c>
      <c r="K373" t="s">
        <v>20</v>
      </c>
      <c r="L373">
        <v>168</v>
      </c>
      <c r="M373" t="s">
        <v>25</v>
      </c>
      <c r="N373" t="s">
        <v>20</v>
      </c>
      <c r="O373" t="s">
        <v>1352</v>
      </c>
      <c r="P373" t="s">
        <v>20</v>
      </c>
      <c r="Q373">
        <v>132.119</v>
      </c>
      <c r="R373" t="s">
        <v>20</v>
      </c>
      <c r="S373" t="s">
        <v>20</v>
      </c>
      <c r="T373">
        <v>174</v>
      </c>
      <c r="U373" t="s">
        <v>1313</v>
      </c>
      <c r="V373" t="s">
        <v>20</v>
      </c>
      <c r="W373" t="s">
        <v>1352</v>
      </c>
      <c r="X373" t="s">
        <v>20</v>
      </c>
      <c r="Y373">
        <v>146.14599999999999</v>
      </c>
      <c r="Z373" t="s">
        <v>20</v>
      </c>
      <c r="AA373" t="s">
        <v>20</v>
      </c>
      <c r="AB373">
        <v>215</v>
      </c>
      <c r="AC373" t="s">
        <v>1314</v>
      </c>
      <c r="AD373" t="s">
        <v>20</v>
      </c>
      <c r="AE373" t="s">
        <v>1353</v>
      </c>
      <c r="AF373" t="s">
        <v>20</v>
      </c>
      <c r="AG373">
        <v>174.203</v>
      </c>
      <c r="AH373" t="s">
        <v>20</v>
      </c>
      <c r="AI373" t="s">
        <v>20</v>
      </c>
      <c r="AJ373">
        <v>340</v>
      </c>
      <c r="AK373" t="s">
        <v>1315</v>
      </c>
      <c r="AL373" t="s">
        <v>20</v>
      </c>
      <c r="AM373" t="s">
        <v>1354</v>
      </c>
      <c r="AN373" t="s">
        <v>20</v>
      </c>
      <c r="AO373">
        <v>119.119</v>
      </c>
      <c r="AP373" t="s">
        <v>20</v>
      </c>
      <c r="AQ373" t="s">
        <v>20</v>
      </c>
    </row>
    <row r="374" spans="1:43" x14ac:dyDescent="0.25">
      <c r="A374">
        <v>6</v>
      </c>
      <c r="B374" t="s">
        <v>167</v>
      </c>
      <c r="C374" t="str">
        <f>HYPERLINK("http://www.ncbi.nlm.nih.gov/protein/XP_009878987.1","XP_009878987.1")</f>
        <v>XP_009878987.1</v>
      </c>
      <c r="D374">
        <v>30700</v>
      </c>
      <c r="E374" t="str">
        <f>HYPERLINK("http://www.ncbi.nlm.nih.gov/Taxonomy/Browser/wwwtax.cgi?mode=Info&amp;id=50402&amp;lvl=3&amp;lin=f&amp;keep=1&amp;srchmode=1&amp;unlock","50402")</f>
        <v>50402</v>
      </c>
      <c r="F374" t="s">
        <v>167</v>
      </c>
      <c r="G374" t="str">
        <f>HYPERLINK("http://www.ncbi.nlm.nih.gov/Taxonomy/Browser/wwwtax.cgi?mode=Info&amp;id=50402&amp;lvl=3&amp;lin=f&amp;keep=1&amp;srchmode=1&amp;unlock","Charadrius vociferus")</f>
        <v>Charadrius vociferus</v>
      </c>
      <c r="H374" t="s">
        <v>258</v>
      </c>
      <c r="I374" t="str">
        <f>HYPERLINK("http://www.ncbi.nlm.nih.gov/protein/XP_009878987.1","PREDICTED: androgen receptor")</f>
        <v>PREDICTED: androgen receptor</v>
      </c>
      <c r="J374" t="s">
        <v>1323</v>
      </c>
      <c r="K374" t="s">
        <v>20</v>
      </c>
      <c r="L374">
        <v>203</v>
      </c>
      <c r="M374" t="s">
        <v>25</v>
      </c>
      <c r="N374" t="s">
        <v>20</v>
      </c>
      <c r="O374" t="s">
        <v>1352</v>
      </c>
      <c r="P374" t="s">
        <v>20</v>
      </c>
      <c r="Q374">
        <v>132.119</v>
      </c>
      <c r="R374" t="s">
        <v>20</v>
      </c>
      <c r="S374" t="s">
        <v>20</v>
      </c>
      <c r="T374">
        <v>209</v>
      </c>
      <c r="U374" t="s">
        <v>1313</v>
      </c>
      <c r="V374" t="s">
        <v>20</v>
      </c>
      <c r="W374" t="s">
        <v>1352</v>
      </c>
      <c r="X374" t="s">
        <v>20</v>
      </c>
      <c r="Y374">
        <v>146.14599999999999</v>
      </c>
      <c r="Z374" t="s">
        <v>20</v>
      </c>
      <c r="AA374" t="s">
        <v>20</v>
      </c>
      <c r="AB374">
        <v>250</v>
      </c>
      <c r="AC374" t="s">
        <v>1314</v>
      </c>
      <c r="AD374" t="s">
        <v>20</v>
      </c>
      <c r="AE374" t="s">
        <v>1353</v>
      </c>
      <c r="AF374" t="s">
        <v>20</v>
      </c>
      <c r="AG374">
        <v>174.203</v>
      </c>
      <c r="AH374" t="s">
        <v>20</v>
      </c>
      <c r="AI374" t="s">
        <v>20</v>
      </c>
      <c r="AJ374">
        <v>375</v>
      </c>
      <c r="AK374" t="s">
        <v>1315</v>
      </c>
      <c r="AL374" t="s">
        <v>20</v>
      </c>
      <c r="AM374" t="s">
        <v>1354</v>
      </c>
      <c r="AN374" t="s">
        <v>20</v>
      </c>
      <c r="AO374">
        <v>119.119</v>
      </c>
      <c r="AP374" t="s">
        <v>20</v>
      </c>
      <c r="AQ374" t="s">
        <v>20</v>
      </c>
    </row>
    <row r="375" spans="1:43" x14ac:dyDescent="0.25">
      <c r="A375">
        <v>6</v>
      </c>
      <c r="B375" t="s">
        <v>167</v>
      </c>
      <c r="C375" t="str">
        <f>HYPERLINK("http://www.ncbi.nlm.nih.gov/protein/NXP75223.1","NXP75223.1")</f>
        <v>NXP75223.1</v>
      </c>
      <c r="D375">
        <v>14056</v>
      </c>
      <c r="E375" t="str">
        <f>HYPERLINK("http://www.ncbi.nlm.nih.gov/Taxonomy/Browser/wwwtax.cgi?mode=Info&amp;id=322582&amp;lvl=3&amp;lin=f&amp;keep=1&amp;srchmode=1&amp;unlock","322582")</f>
        <v>322582</v>
      </c>
      <c r="F375" t="s">
        <v>167</v>
      </c>
      <c r="G375" t="str">
        <f>HYPERLINK("http://www.ncbi.nlm.nih.gov/Taxonomy/Browser/wwwtax.cgi?mode=Info&amp;id=322582&amp;lvl=3&amp;lin=f&amp;keep=1&amp;srchmode=1&amp;unlock","Ramphastos sulfuratus")</f>
        <v>Ramphastos sulfuratus</v>
      </c>
      <c r="H375" t="s">
        <v>262</v>
      </c>
      <c r="I375" t="str">
        <f>HYPERLINK("http://www.ncbi.nlm.nih.gov/protein/NXP75223.1","ANDR protein")</f>
        <v>ANDR protein</v>
      </c>
      <c r="J375" t="s">
        <v>1323</v>
      </c>
      <c r="K375" t="s">
        <v>20</v>
      </c>
      <c r="L375">
        <v>168</v>
      </c>
      <c r="M375" t="s">
        <v>25</v>
      </c>
      <c r="N375" t="s">
        <v>20</v>
      </c>
      <c r="O375" t="s">
        <v>1352</v>
      </c>
      <c r="P375" t="s">
        <v>20</v>
      </c>
      <c r="Q375">
        <v>132.119</v>
      </c>
      <c r="R375" t="s">
        <v>20</v>
      </c>
      <c r="S375" t="s">
        <v>20</v>
      </c>
      <c r="T375">
        <v>174</v>
      </c>
      <c r="U375" t="s">
        <v>1313</v>
      </c>
      <c r="V375" t="s">
        <v>20</v>
      </c>
      <c r="W375" t="s">
        <v>1352</v>
      </c>
      <c r="X375" t="s">
        <v>20</v>
      </c>
      <c r="Y375">
        <v>146.14599999999999</v>
      </c>
      <c r="Z375" t="s">
        <v>20</v>
      </c>
      <c r="AA375" t="s">
        <v>20</v>
      </c>
      <c r="AB375">
        <v>215</v>
      </c>
      <c r="AC375" t="s">
        <v>1314</v>
      </c>
      <c r="AD375" t="s">
        <v>20</v>
      </c>
      <c r="AE375" t="s">
        <v>1353</v>
      </c>
      <c r="AF375" t="s">
        <v>20</v>
      </c>
      <c r="AG375">
        <v>174.203</v>
      </c>
      <c r="AH375" t="s">
        <v>20</v>
      </c>
      <c r="AI375" t="s">
        <v>20</v>
      </c>
      <c r="AJ375">
        <v>340</v>
      </c>
      <c r="AK375" t="s">
        <v>1315</v>
      </c>
      <c r="AL375" t="s">
        <v>20</v>
      </c>
      <c r="AM375" t="s">
        <v>1354</v>
      </c>
      <c r="AN375" t="s">
        <v>20</v>
      </c>
      <c r="AO375">
        <v>119.119</v>
      </c>
      <c r="AP375" t="s">
        <v>20</v>
      </c>
      <c r="AQ375" t="s">
        <v>20</v>
      </c>
    </row>
    <row r="376" spans="1:43" x14ac:dyDescent="0.25">
      <c r="A376">
        <v>6</v>
      </c>
      <c r="B376" t="s">
        <v>167</v>
      </c>
      <c r="C376" t="str">
        <f>HYPERLINK("http://www.ncbi.nlm.nih.gov/protein/NXC25413.1","NXC25413.1")</f>
        <v>NXC25413.1</v>
      </c>
      <c r="D376">
        <v>14152</v>
      </c>
      <c r="E376" t="str">
        <f>HYPERLINK("http://www.ncbi.nlm.nih.gov/Taxonomy/Browser/wwwtax.cgi?mode=Info&amp;id=190295&amp;lvl=3&amp;lin=f&amp;keep=1&amp;srchmode=1&amp;unlock","190295")</f>
        <v>190295</v>
      </c>
      <c r="F376" t="s">
        <v>167</v>
      </c>
      <c r="G376" t="str">
        <f>HYPERLINK("http://www.ncbi.nlm.nih.gov/Taxonomy/Browser/wwwtax.cgi?mode=Info&amp;id=190295&amp;lvl=3&amp;lin=f&amp;keep=1&amp;srchmode=1&amp;unlock","Campylorhamphus procurvoides")</f>
        <v>Campylorhamphus procurvoides</v>
      </c>
      <c r="H376" t="s">
        <v>206</v>
      </c>
      <c r="I376" t="str">
        <f>HYPERLINK("http://www.ncbi.nlm.nih.gov/protein/NXC25413.1","ANDR protein")</f>
        <v>ANDR protein</v>
      </c>
      <c r="J376" t="s">
        <v>1323</v>
      </c>
      <c r="K376" t="s">
        <v>20</v>
      </c>
      <c r="L376">
        <v>168</v>
      </c>
      <c r="M376" t="s">
        <v>25</v>
      </c>
      <c r="N376" t="s">
        <v>20</v>
      </c>
      <c r="O376" t="s">
        <v>1352</v>
      </c>
      <c r="P376" t="s">
        <v>20</v>
      </c>
      <c r="Q376">
        <v>132.119</v>
      </c>
      <c r="R376" t="s">
        <v>20</v>
      </c>
      <c r="S376" t="s">
        <v>20</v>
      </c>
      <c r="T376">
        <v>174</v>
      </c>
      <c r="U376" t="s">
        <v>1313</v>
      </c>
      <c r="V376" t="s">
        <v>20</v>
      </c>
      <c r="W376" t="s">
        <v>1352</v>
      </c>
      <c r="X376" t="s">
        <v>20</v>
      </c>
      <c r="Y376">
        <v>146.14599999999999</v>
      </c>
      <c r="Z376" t="s">
        <v>20</v>
      </c>
      <c r="AA376" t="s">
        <v>20</v>
      </c>
      <c r="AB376">
        <v>215</v>
      </c>
      <c r="AC376" t="s">
        <v>1314</v>
      </c>
      <c r="AD376" t="s">
        <v>20</v>
      </c>
      <c r="AE376" t="s">
        <v>1353</v>
      </c>
      <c r="AF376" t="s">
        <v>20</v>
      </c>
      <c r="AG376">
        <v>174.203</v>
      </c>
      <c r="AH376" t="s">
        <v>20</v>
      </c>
      <c r="AI376" t="s">
        <v>20</v>
      </c>
      <c r="AJ376">
        <v>340</v>
      </c>
      <c r="AK376" t="s">
        <v>1315</v>
      </c>
      <c r="AL376" t="s">
        <v>20</v>
      </c>
      <c r="AM376" t="s">
        <v>1354</v>
      </c>
      <c r="AN376" t="s">
        <v>20</v>
      </c>
      <c r="AO376">
        <v>119.119</v>
      </c>
      <c r="AP376" t="s">
        <v>20</v>
      </c>
      <c r="AQ376" t="s">
        <v>20</v>
      </c>
    </row>
    <row r="377" spans="1:43" x14ac:dyDescent="0.25">
      <c r="A377">
        <v>6</v>
      </c>
      <c r="B377" t="s">
        <v>167</v>
      </c>
      <c r="C377" t="str">
        <f>HYPERLINK("http://www.ncbi.nlm.nih.gov/protein/NWS59470.1","NWS59470.1")</f>
        <v>NWS59470.1</v>
      </c>
      <c r="D377">
        <v>14433</v>
      </c>
      <c r="E377" t="str">
        <f>HYPERLINK("http://www.ncbi.nlm.nih.gov/Taxonomy/Browser/wwwtax.cgi?mode=Info&amp;id=1352770&amp;lvl=3&amp;lin=f&amp;keep=1&amp;srchmode=1&amp;unlock","1352770")</f>
        <v>1352770</v>
      </c>
      <c r="F377" t="s">
        <v>167</v>
      </c>
      <c r="G377" t="str">
        <f>HYPERLINK("http://www.ncbi.nlm.nih.gov/Taxonomy/Browser/wwwtax.cgi?mode=Info&amp;id=1352770&amp;lvl=3&amp;lin=f&amp;keep=1&amp;srchmode=1&amp;unlock","Chunga burmeisteri")</f>
        <v>Chunga burmeisteri</v>
      </c>
      <c r="H377" t="s">
        <v>279</v>
      </c>
      <c r="I377" t="str">
        <f>HYPERLINK("http://www.ncbi.nlm.nih.gov/protein/NWS59470.1","ANDR protein")</f>
        <v>ANDR protein</v>
      </c>
      <c r="J377" t="s">
        <v>1323</v>
      </c>
      <c r="K377" t="s">
        <v>20</v>
      </c>
      <c r="L377">
        <v>168</v>
      </c>
      <c r="M377" t="s">
        <v>25</v>
      </c>
      <c r="N377" t="s">
        <v>20</v>
      </c>
      <c r="O377" t="s">
        <v>1352</v>
      </c>
      <c r="P377" t="s">
        <v>20</v>
      </c>
      <c r="Q377">
        <v>132.119</v>
      </c>
      <c r="R377" t="s">
        <v>20</v>
      </c>
      <c r="S377" t="s">
        <v>20</v>
      </c>
      <c r="T377">
        <v>174</v>
      </c>
      <c r="U377" t="s">
        <v>1313</v>
      </c>
      <c r="V377" t="s">
        <v>20</v>
      </c>
      <c r="W377" t="s">
        <v>1352</v>
      </c>
      <c r="X377" t="s">
        <v>20</v>
      </c>
      <c r="Y377">
        <v>146.14599999999999</v>
      </c>
      <c r="Z377" t="s">
        <v>20</v>
      </c>
      <c r="AA377" t="s">
        <v>20</v>
      </c>
      <c r="AB377">
        <v>215</v>
      </c>
      <c r="AC377" t="s">
        <v>1314</v>
      </c>
      <c r="AD377" t="s">
        <v>20</v>
      </c>
      <c r="AE377" t="s">
        <v>1353</v>
      </c>
      <c r="AF377" t="s">
        <v>20</v>
      </c>
      <c r="AG377">
        <v>174.203</v>
      </c>
      <c r="AH377" t="s">
        <v>20</v>
      </c>
      <c r="AI377" t="s">
        <v>20</v>
      </c>
      <c r="AJ377">
        <v>340</v>
      </c>
      <c r="AK377" t="s">
        <v>1315</v>
      </c>
      <c r="AL377" t="s">
        <v>20</v>
      </c>
      <c r="AM377" t="s">
        <v>1354</v>
      </c>
      <c r="AN377" t="s">
        <v>20</v>
      </c>
      <c r="AO377">
        <v>119.119</v>
      </c>
      <c r="AP377" t="s">
        <v>20</v>
      </c>
      <c r="AQ377" t="s">
        <v>20</v>
      </c>
    </row>
    <row r="378" spans="1:43" x14ac:dyDescent="0.25">
      <c r="A378">
        <v>6</v>
      </c>
      <c r="B378" t="s">
        <v>167</v>
      </c>
      <c r="C378" t="str">
        <f>HYPERLINK("http://www.ncbi.nlm.nih.gov/protein/NXX93605.1","NXX93605.1")</f>
        <v>NXX93605.1</v>
      </c>
      <c r="D378">
        <v>13206</v>
      </c>
      <c r="E378" t="str">
        <f>HYPERLINK("http://www.ncbi.nlm.nih.gov/Taxonomy/Browser/wwwtax.cgi?mode=Info&amp;id=1463675&amp;lvl=3&amp;lin=f&amp;keep=1&amp;srchmode=1&amp;unlock","1463675")</f>
        <v>1463675</v>
      </c>
      <c r="F378" t="s">
        <v>167</v>
      </c>
      <c r="G378" t="str">
        <f>HYPERLINK("http://www.ncbi.nlm.nih.gov/Taxonomy/Browser/wwwtax.cgi?mode=Info&amp;id=1463675&amp;lvl=3&amp;lin=f&amp;keep=1&amp;srchmode=1&amp;unlock","Centropus bengalensis")</f>
        <v>Centropus bengalensis</v>
      </c>
      <c r="H378" t="s">
        <v>254</v>
      </c>
      <c r="I378" t="str">
        <f>HYPERLINK("http://www.ncbi.nlm.nih.gov/protein/NXX93605.1","ANDR protein")</f>
        <v>ANDR protein</v>
      </c>
      <c r="J378" t="s">
        <v>1323</v>
      </c>
      <c r="K378" t="s">
        <v>20</v>
      </c>
      <c r="L378">
        <v>168</v>
      </c>
      <c r="M378" t="s">
        <v>25</v>
      </c>
      <c r="N378" t="s">
        <v>20</v>
      </c>
      <c r="O378" t="s">
        <v>1352</v>
      </c>
      <c r="P378" t="s">
        <v>20</v>
      </c>
      <c r="Q378">
        <v>132.119</v>
      </c>
      <c r="R378" t="s">
        <v>20</v>
      </c>
      <c r="S378" t="s">
        <v>20</v>
      </c>
      <c r="T378">
        <v>174</v>
      </c>
      <c r="U378" t="s">
        <v>1313</v>
      </c>
      <c r="V378" t="s">
        <v>20</v>
      </c>
      <c r="W378" t="s">
        <v>1352</v>
      </c>
      <c r="X378" t="s">
        <v>20</v>
      </c>
      <c r="Y378">
        <v>146.14599999999999</v>
      </c>
      <c r="Z378" t="s">
        <v>20</v>
      </c>
      <c r="AA378" t="s">
        <v>20</v>
      </c>
      <c r="AB378">
        <v>215</v>
      </c>
      <c r="AC378" t="s">
        <v>1314</v>
      </c>
      <c r="AD378" t="s">
        <v>20</v>
      </c>
      <c r="AE378" t="s">
        <v>1353</v>
      </c>
      <c r="AF378" t="s">
        <v>20</v>
      </c>
      <c r="AG378">
        <v>174.203</v>
      </c>
      <c r="AH378" t="s">
        <v>20</v>
      </c>
      <c r="AI378" t="s">
        <v>20</v>
      </c>
      <c r="AJ378">
        <v>340</v>
      </c>
      <c r="AK378" t="s">
        <v>1315</v>
      </c>
      <c r="AL378" t="s">
        <v>20</v>
      </c>
      <c r="AM378" t="s">
        <v>1354</v>
      </c>
      <c r="AN378" t="s">
        <v>20</v>
      </c>
      <c r="AO378">
        <v>119.119</v>
      </c>
      <c r="AP378" t="s">
        <v>20</v>
      </c>
      <c r="AQ378" t="s">
        <v>20</v>
      </c>
    </row>
    <row r="379" spans="1:43" x14ac:dyDescent="0.25">
      <c r="A379">
        <v>6</v>
      </c>
      <c r="B379" t="s">
        <v>167</v>
      </c>
      <c r="C379" t="str">
        <f>HYPERLINK("http://www.ncbi.nlm.nih.gov/protein/NXF57059.1","NXF57059.1")</f>
        <v>NXF57059.1</v>
      </c>
      <c r="D379">
        <v>13848</v>
      </c>
      <c r="E379" t="str">
        <f>HYPERLINK("http://www.ncbi.nlm.nih.gov/Taxonomy/Browser/wwwtax.cgi?mode=Info&amp;id=1118524&amp;lvl=3&amp;lin=f&amp;keep=1&amp;srchmode=1&amp;unlock","1118524")</f>
        <v>1118524</v>
      </c>
      <c r="F379" t="s">
        <v>167</v>
      </c>
      <c r="G379" t="str">
        <f>HYPERLINK("http://www.ncbi.nlm.nih.gov/Taxonomy/Browser/wwwtax.cgi?mode=Info&amp;id=1118524&amp;lvl=3&amp;lin=f&amp;keep=1&amp;srchmode=1&amp;unlock","Ciccaba nigrolineata")</f>
        <v>Ciccaba nigrolineata</v>
      </c>
      <c r="H379" t="s">
        <v>240</v>
      </c>
      <c r="I379" t="str">
        <f>HYPERLINK("http://www.ncbi.nlm.nih.gov/protein/NXF57059.1","ANDR protein")</f>
        <v>ANDR protein</v>
      </c>
      <c r="J379" t="s">
        <v>1323</v>
      </c>
      <c r="K379" t="s">
        <v>20</v>
      </c>
      <c r="L379">
        <v>168</v>
      </c>
      <c r="M379" t="s">
        <v>25</v>
      </c>
      <c r="N379" t="s">
        <v>20</v>
      </c>
      <c r="O379" t="s">
        <v>1352</v>
      </c>
      <c r="P379" t="s">
        <v>20</v>
      </c>
      <c r="Q379">
        <v>132.119</v>
      </c>
      <c r="R379" t="s">
        <v>20</v>
      </c>
      <c r="S379" t="s">
        <v>20</v>
      </c>
      <c r="T379">
        <v>174</v>
      </c>
      <c r="U379" t="s">
        <v>1313</v>
      </c>
      <c r="V379" t="s">
        <v>20</v>
      </c>
      <c r="W379" t="s">
        <v>1352</v>
      </c>
      <c r="X379" t="s">
        <v>20</v>
      </c>
      <c r="Y379">
        <v>146.14599999999999</v>
      </c>
      <c r="Z379" t="s">
        <v>20</v>
      </c>
      <c r="AA379" t="s">
        <v>20</v>
      </c>
      <c r="AB379">
        <v>215</v>
      </c>
      <c r="AC379" t="s">
        <v>1314</v>
      </c>
      <c r="AD379" t="s">
        <v>20</v>
      </c>
      <c r="AE379" t="s">
        <v>1353</v>
      </c>
      <c r="AF379" t="s">
        <v>20</v>
      </c>
      <c r="AG379">
        <v>174.203</v>
      </c>
      <c r="AH379" t="s">
        <v>20</v>
      </c>
      <c r="AI379" t="s">
        <v>20</v>
      </c>
      <c r="AJ379">
        <v>340</v>
      </c>
      <c r="AK379" t="s">
        <v>1315</v>
      </c>
      <c r="AL379" t="s">
        <v>20</v>
      </c>
      <c r="AM379" t="s">
        <v>1354</v>
      </c>
      <c r="AN379" t="s">
        <v>20</v>
      </c>
      <c r="AO379">
        <v>119.119</v>
      </c>
      <c r="AP379" t="s">
        <v>20</v>
      </c>
      <c r="AQ379" t="s">
        <v>20</v>
      </c>
    </row>
    <row r="380" spans="1:43" x14ac:dyDescent="0.25">
      <c r="A380">
        <v>6</v>
      </c>
      <c r="B380" t="s">
        <v>167</v>
      </c>
      <c r="C380" t="str">
        <f>HYPERLINK("http://www.ncbi.nlm.nih.gov/protein/NXB49906.1","NXB49906.1")</f>
        <v>NXB49906.1</v>
      </c>
      <c r="D380">
        <v>13491</v>
      </c>
      <c r="E380" t="str">
        <f>HYPERLINK("http://www.ncbi.nlm.nih.gov/Taxonomy/Browser/wwwtax.cgi?mode=Info&amp;id=127929&amp;lvl=3&amp;lin=f&amp;keep=1&amp;srchmode=1&amp;unlock","127929")</f>
        <v>127929</v>
      </c>
      <c r="F380" t="s">
        <v>167</v>
      </c>
      <c r="G380" t="str">
        <f>HYPERLINK("http://www.ncbi.nlm.nih.gov/Taxonomy/Browser/wwwtax.cgi?mode=Info&amp;id=127929&amp;lvl=3&amp;lin=f&amp;keep=1&amp;srchmode=1&amp;unlock","Leucopsar rothschildi")</f>
        <v>Leucopsar rothschildi</v>
      </c>
      <c r="H380" t="s">
        <v>354</v>
      </c>
      <c r="I380" t="str">
        <f>HYPERLINK("http://www.ncbi.nlm.nih.gov/protein/NXB49906.1","ANDR protein")</f>
        <v>ANDR protein</v>
      </c>
      <c r="J380" t="s">
        <v>1323</v>
      </c>
      <c r="K380" t="s">
        <v>20</v>
      </c>
      <c r="L380">
        <v>168</v>
      </c>
      <c r="M380" t="s">
        <v>25</v>
      </c>
      <c r="N380" t="s">
        <v>20</v>
      </c>
      <c r="O380" t="s">
        <v>1352</v>
      </c>
      <c r="P380" t="s">
        <v>20</v>
      </c>
      <c r="Q380">
        <v>132.119</v>
      </c>
      <c r="R380" t="s">
        <v>20</v>
      </c>
      <c r="S380" t="s">
        <v>20</v>
      </c>
      <c r="T380">
        <v>174</v>
      </c>
      <c r="U380" t="s">
        <v>1313</v>
      </c>
      <c r="V380" t="s">
        <v>20</v>
      </c>
      <c r="W380" t="s">
        <v>1352</v>
      </c>
      <c r="X380" t="s">
        <v>20</v>
      </c>
      <c r="Y380">
        <v>146.14599999999999</v>
      </c>
      <c r="Z380" t="s">
        <v>20</v>
      </c>
      <c r="AA380" t="s">
        <v>20</v>
      </c>
      <c r="AB380">
        <v>215</v>
      </c>
      <c r="AC380" t="s">
        <v>1314</v>
      </c>
      <c r="AD380" t="s">
        <v>20</v>
      </c>
      <c r="AE380" t="s">
        <v>1353</v>
      </c>
      <c r="AF380" t="s">
        <v>20</v>
      </c>
      <c r="AG380">
        <v>174.203</v>
      </c>
      <c r="AH380" t="s">
        <v>20</v>
      </c>
      <c r="AI380" t="s">
        <v>20</v>
      </c>
      <c r="AJ380">
        <v>340</v>
      </c>
      <c r="AK380" t="s">
        <v>1315</v>
      </c>
      <c r="AL380" t="s">
        <v>20</v>
      </c>
      <c r="AM380" t="s">
        <v>1354</v>
      </c>
      <c r="AN380" t="s">
        <v>20</v>
      </c>
      <c r="AO380">
        <v>119.119</v>
      </c>
      <c r="AP380" t="s">
        <v>20</v>
      </c>
      <c r="AQ380" t="s">
        <v>20</v>
      </c>
    </row>
    <row r="381" spans="1:43" x14ac:dyDescent="0.25">
      <c r="A381">
        <v>6</v>
      </c>
      <c r="B381" t="s">
        <v>167</v>
      </c>
      <c r="C381" t="str">
        <f>HYPERLINK("http://www.ncbi.nlm.nih.gov/protein/XP_005441058.1","XP_005441058.1")</f>
        <v>XP_005441058.1</v>
      </c>
      <c r="D381">
        <v>30432</v>
      </c>
      <c r="E381" t="str">
        <f>HYPERLINK("http://www.ncbi.nlm.nih.gov/Taxonomy/Browser/wwwtax.cgi?mode=Info&amp;id=345164&amp;lvl=3&amp;lin=f&amp;keep=1&amp;srchmode=1&amp;unlock","345164")</f>
        <v>345164</v>
      </c>
      <c r="F381" t="s">
        <v>167</v>
      </c>
      <c r="G381" t="str">
        <f>HYPERLINK("http://www.ncbi.nlm.nih.gov/Taxonomy/Browser/wwwtax.cgi?mode=Info&amp;id=345164&amp;lvl=3&amp;lin=f&amp;keep=1&amp;srchmode=1&amp;unlock","Falco cherrug")</f>
        <v>Falco cherrug</v>
      </c>
      <c r="H381" t="s">
        <v>432</v>
      </c>
      <c r="I381" t="str">
        <f>HYPERLINK("http://www.ncbi.nlm.nih.gov/protein/XP_005441058.1","androgen receptor")</f>
        <v>androgen receptor</v>
      </c>
      <c r="J381" t="s">
        <v>1323</v>
      </c>
      <c r="K381" t="s">
        <v>20</v>
      </c>
      <c r="L381">
        <v>195</v>
      </c>
      <c r="M381" t="s">
        <v>25</v>
      </c>
      <c r="N381" t="s">
        <v>20</v>
      </c>
      <c r="O381" t="s">
        <v>1352</v>
      </c>
      <c r="P381" t="s">
        <v>20</v>
      </c>
      <c r="Q381">
        <v>132.119</v>
      </c>
      <c r="R381" t="s">
        <v>20</v>
      </c>
      <c r="S381" t="s">
        <v>20</v>
      </c>
      <c r="T381">
        <v>201</v>
      </c>
      <c r="U381" t="s">
        <v>1313</v>
      </c>
      <c r="V381" t="s">
        <v>20</v>
      </c>
      <c r="W381" t="s">
        <v>1352</v>
      </c>
      <c r="X381" t="s">
        <v>20</v>
      </c>
      <c r="Y381">
        <v>146.14599999999999</v>
      </c>
      <c r="Z381" t="s">
        <v>20</v>
      </c>
      <c r="AA381" t="s">
        <v>20</v>
      </c>
      <c r="AB381">
        <v>242</v>
      </c>
      <c r="AC381" t="s">
        <v>1314</v>
      </c>
      <c r="AD381" t="s">
        <v>20</v>
      </c>
      <c r="AE381" t="s">
        <v>1353</v>
      </c>
      <c r="AF381" t="s">
        <v>20</v>
      </c>
      <c r="AG381">
        <v>174.203</v>
      </c>
      <c r="AH381" t="s">
        <v>20</v>
      </c>
      <c r="AI381" t="s">
        <v>20</v>
      </c>
      <c r="AJ381">
        <v>367</v>
      </c>
      <c r="AK381" t="s">
        <v>1315</v>
      </c>
      <c r="AL381" t="s">
        <v>20</v>
      </c>
      <c r="AM381" t="s">
        <v>1354</v>
      </c>
      <c r="AN381" t="s">
        <v>20</v>
      </c>
      <c r="AO381">
        <v>119.119</v>
      </c>
      <c r="AP381" t="s">
        <v>20</v>
      </c>
      <c r="AQ381" t="s">
        <v>20</v>
      </c>
    </row>
    <row r="382" spans="1:43" x14ac:dyDescent="0.25">
      <c r="A382">
        <v>6</v>
      </c>
      <c r="B382" t="s">
        <v>167</v>
      </c>
      <c r="C382" t="str">
        <f>HYPERLINK("http://www.ncbi.nlm.nih.gov/protein/NXP57137.1","NXP57137.1")</f>
        <v>NXP57137.1</v>
      </c>
      <c r="D382">
        <v>12587</v>
      </c>
      <c r="E382" t="str">
        <f>HYPERLINK("http://www.ncbi.nlm.nih.gov/Taxonomy/Browser/wwwtax.cgi?mode=Info&amp;id=1218682&amp;lvl=3&amp;lin=f&amp;keep=1&amp;srchmode=1&amp;unlock","1218682")</f>
        <v>1218682</v>
      </c>
      <c r="F382" t="s">
        <v>167</v>
      </c>
      <c r="G382" t="str">
        <f>HYPERLINK("http://www.ncbi.nlm.nih.gov/Taxonomy/Browser/wwwtax.cgi?mode=Info&amp;id=1218682&amp;lvl=3&amp;lin=f&amp;keep=1&amp;srchmode=1&amp;unlock","Chloropsis cyanopogon")</f>
        <v>Chloropsis cyanopogon</v>
      </c>
      <c r="H382" t="s">
        <v>206</v>
      </c>
      <c r="I382" t="str">
        <f>HYPERLINK("http://www.ncbi.nlm.nih.gov/protein/NXP57137.1","ANDR protein")</f>
        <v>ANDR protein</v>
      </c>
      <c r="J382" t="s">
        <v>1323</v>
      </c>
      <c r="K382" t="s">
        <v>20</v>
      </c>
      <c r="L382">
        <v>168</v>
      </c>
      <c r="M382" t="s">
        <v>25</v>
      </c>
      <c r="N382" t="s">
        <v>20</v>
      </c>
      <c r="O382" t="s">
        <v>1352</v>
      </c>
      <c r="P382" t="s">
        <v>20</v>
      </c>
      <c r="Q382">
        <v>132.119</v>
      </c>
      <c r="R382" t="s">
        <v>20</v>
      </c>
      <c r="S382" t="s">
        <v>20</v>
      </c>
      <c r="T382">
        <v>174</v>
      </c>
      <c r="U382" t="s">
        <v>1313</v>
      </c>
      <c r="V382" t="s">
        <v>20</v>
      </c>
      <c r="W382" t="s">
        <v>1352</v>
      </c>
      <c r="X382" t="s">
        <v>20</v>
      </c>
      <c r="Y382">
        <v>146.14599999999999</v>
      </c>
      <c r="Z382" t="s">
        <v>20</v>
      </c>
      <c r="AA382" t="s">
        <v>20</v>
      </c>
      <c r="AB382">
        <v>215</v>
      </c>
      <c r="AC382" t="s">
        <v>1314</v>
      </c>
      <c r="AD382" t="s">
        <v>20</v>
      </c>
      <c r="AE382" t="s">
        <v>1353</v>
      </c>
      <c r="AF382" t="s">
        <v>20</v>
      </c>
      <c r="AG382">
        <v>174.203</v>
      </c>
      <c r="AH382" t="s">
        <v>20</v>
      </c>
      <c r="AI382" t="s">
        <v>20</v>
      </c>
      <c r="AJ382">
        <v>340</v>
      </c>
      <c r="AK382" t="s">
        <v>1315</v>
      </c>
      <c r="AL382" t="s">
        <v>20</v>
      </c>
      <c r="AM382" t="s">
        <v>1354</v>
      </c>
      <c r="AN382" t="s">
        <v>20</v>
      </c>
      <c r="AO382">
        <v>119.119</v>
      </c>
      <c r="AP382" t="s">
        <v>20</v>
      </c>
      <c r="AQ382" t="s">
        <v>20</v>
      </c>
    </row>
    <row r="383" spans="1:43" x14ac:dyDescent="0.25">
      <c r="A383">
        <v>6</v>
      </c>
      <c r="B383" t="s">
        <v>167</v>
      </c>
      <c r="C383" t="str">
        <f>HYPERLINK("http://www.ncbi.nlm.nih.gov/protein/XP_013151847.2","XP_013151847.2")</f>
        <v>XP_013151847.2</v>
      </c>
      <c r="D383">
        <v>31321</v>
      </c>
      <c r="E383" t="str">
        <f>HYPERLINK("http://www.ncbi.nlm.nih.gov/Taxonomy/Browser/wwwtax.cgi?mode=Info&amp;id=8954&amp;lvl=3&amp;lin=f&amp;keep=1&amp;srchmode=1&amp;unlock","8954")</f>
        <v>8954</v>
      </c>
      <c r="F383" t="s">
        <v>167</v>
      </c>
      <c r="G383" t="str">
        <f>HYPERLINK("http://www.ncbi.nlm.nih.gov/Taxonomy/Browser/wwwtax.cgi?mode=Info&amp;id=8954&amp;lvl=3&amp;lin=f&amp;keep=1&amp;srchmode=1&amp;unlock","Falco peregrinus")</f>
        <v>Falco peregrinus</v>
      </c>
      <c r="H383" t="s">
        <v>435</v>
      </c>
      <c r="I383" t="str">
        <f>HYPERLINK("http://www.ncbi.nlm.nih.gov/protein/XP_013151847.2","androgen receptor")</f>
        <v>androgen receptor</v>
      </c>
      <c r="J383" t="s">
        <v>1323</v>
      </c>
      <c r="K383" t="s">
        <v>20</v>
      </c>
      <c r="L383">
        <v>195</v>
      </c>
      <c r="M383" t="s">
        <v>25</v>
      </c>
      <c r="N383" t="s">
        <v>20</v>
      </c>
      <c r="O383" t="s">
        <v>1352</v>
      </c>
      <c r="P383" t="s">
        <v>20</v>
      </c>
      <c r="Q383">
        <v>132.119</v>
      </c>
      <c r="R383" t="s">
        <v>20</v>
      </c>
      <c r="S383" t="s">
        <v>20</v>
      </c>
      <c r="T383">
        <v>201</v>
      </c>
      <c r="U383" t="s">
        <v>1313</v>
      </c>
      <c r="V383" t="s">
        <v>20</v>
      </c>
      <c r="W383" t="s">
        <v>1352</v>
      </c>
      <c r="X383" t="s">
        <v>20</v>
      </c>
      <c r="Y383">
        <v>146.14599999999999</v>
      </c>
      <c r="Z383" t="s">
        <v>20</v>
      </c>
      <c r="AA383" t="s">
        <v>20</v>
      </c>
      <c r="AB383">
        <v>242</v>
      </c>
      <c r="AC383" t="s">
        <v>1314</v>
      </c>
      <c r="AD383" t="s">
        <v>20</v>
      </c>
      <c r="AE383" t="s">
        <v>1353</v>
      </c>
      <c r="AF383" t="s">
        <v>20</v>
      </c>
      <c r="AG383">
        <v>174.203</v>
      </c>
      <c r="AH383" t="s">
        <v>20</v>
      </c>
      <c r="AI383" t="s">
        <v>20</v>
      </c>
      <c r="AJ383">
        <v>367</v>
      </c>
      <c r="AK383" t="s">
        <v>1315</v>
      </c>
      <c r="AL383" t="s">
        <v>20</v>
      </c>
      <c r="AM383" t="s">
        <v>1354</v>
      </c>
      <c r="AN383" t="s">
        <v>20</v>
      </c>
      <c r="AO383">
        <v>119.119</v>
      </c>
      <c r="AP383" t="s">
        <v>20</v>
      </c>
      <c r="AQ383" t="s">
        <v>20</v>
      </c>
    </row>
    <row r="384" spans="1:43" x14ac:dyDescent="0.25">
      <c r="A384">
        <v>6</v>
      </c>
      <c r="B384" t="s">
        <v>167</v>
      </c>
      <c r="C384" t="str">
        <f>HYPERLINK("http://www.ncbi.nlm.nih.gov/protein/NXQ40065.1","NXQ40065.1")</f>
        <v>NXQ40065.1</v>
      </c>
      <c r="D384">
        <v>13978</v>
      </c>
      <c r="E384" t="str">
        <f>HYPERLINK("http://www.ncbi.nlm.nih.gov/Taxonomy/Browser/wwwtax.cgi?mode=Info&amp;id=159581&amp;lvl=3&amp;lin=f&amp;keep=1&amp;srchmode=1&amp;unlock","159581")</f>
        <v>159581</v>
      </c>
      <c r="F384" t="s">
        <v>167</v>
      </c>
      <c r="G384" t="str">
        <f>HYPERLINK("http://www.ncbi.nlm.nih.gov/Taxonomy/Browser/wwwtax.cgi?mode=Info&amp;id=159581&amp;lvl=3&amp;lin=f&amp;keep=1&amp;srchmode=1&amp;unlock","Catharus fuscescens")</f>
        <v>Catharus fuscescens</v>
      </c>
      <c r="H384" t="s">
        <v>661</v>
      </c>
      <c r="I384" t="str">
        <f>HYPERLINK("http://www.ncbi.nlm.nih.gov/protein/NXQ40065.1","ANDR protein")</f>
        <v>ANDR protein</v>
      </c>
      <c r="J384" t="s">
        <v>1323</v>
      </c>
      <c r="K384" t="s">
        <v>20</v>
      </c>
      <c r="L384">
        <v>168</v>
      </c>
      <c r="M384" t="s">
        <v>25</v>
      </c>
      <c r="N384" t="s">
        <v>20</v>
      </c>
      <c r="O384" t="s">
        <v>1352</v>
      </c>
      <c r="P384" t="s">
        <v>20</v>
      </c>
      <c r="Q384">
        <v>132.119</v>
      </c>
      <c r="R384" t="s">
        <v>20</v>
      </c>
      <c r="S384" t="s">
        <v>20</v>
      </c>
      <c r="T384">
        <v>174</v>
      </c>
      <c r="U384" t="s">
        <v>1313</v>
      </c>
      <c r="V384" t="s">
        <v>20</v>
      </c>
      <c r="W384" t="s">
        <v>1352</v>
      </c>
      <c r="X384" t="s">
        <v>20</v>
      </c>
      <c r="Y384">
        <v>146.14599999999999</v>
      </c>
      <c r="Z384" t="s">
        <v>20</v>
      </c>
      <c r="AA384" t="s">
        <v>20</v>
      </c>
      <c r="AB384">
        <v>215</v>
      </c>
      <c r="AC384" t="s">
        <v>1314</v>
      </c>
      <c r="AD384" t="s">
        <v>20</v>
      </c>
      <c r="AE384" t="s">
        <v>1353</v>
      </c>
      <c r="AF384" t="s">
        <v>20</v>
      </c>
      <c r="AG384">
        <v>174.203</v>
      </c>
      <c r="AH384" t="s">
        <v>20</v>
      </c>
      <c r="AI384" t="s">
        <v>20</v>
      </c>
      <c r="AJ384">
        <v>340</v>
      </c>
      <c r="AK384" t="s">
        <v>1315</v>
      </c>
      <c r="AL384" t="s">
        <v>20</v>
      </c>
      <c r="AM384" t="s">
        <v>1354</v>
      </c>
      <c r="AN384" t="s">
        <v>20</v>
      </c>
      <c r="AO384">
        <v>119.119</v>
      </c>
      <c r="AP384" t="s">
        <v>20</v>
      </c>
      <c r="AQ384" t="s">
        <v>20</v>
      </c>
    </row>
    <row r="385" spans="1:43" x14ac:dyDescent="0.25">
      <c r="A385">
        <v>6</v>
      </c>
      <c r="B385" t="s">
        <v>167</v>
      </c>
      <c r="C385" t="str">
        <f>HYPERLINK("http://www.ncbi.nlm.nih.gov/protein/XP_009994935.1","XP_009994935.1")</f>
        <v>XP_009994935.1</v>
      </c>
      <c r="D385">
        <v>29258</v>
      </c>
      <c r="E385" t="str">
        <f>HYPERLINK("http://www.ncbi.nlm.nih.gov/Taxonomy/Browser/wwwtax.cgi?mode=Info&amp;id=8897&amp;lvl=3&amp;lin=f&amp;keep=1&amp;srchmode=1&amp;unlock","8897")</f>
        <v>8897</v>
      </c>
      <c r="F385" t="s">
        <v>167</v>
      </c>
      <c r="G385" t="str">
        <f>HYPERLINK("http://www.ncbi.nlm.nih.gov/Taxonomy/Browser/wwwtax.cgi?mode=Info&amp;id=8897&amp;lvl=3&amp;lin=f&amp;keep=1&amp;srchmode=1&amp;unlock","Chaetura pelagica")</f>
        <v>Chaetura pelagica</v>
      </c>
      <c r="H385" t="s">
        <v>299</v>
      </c>
      <c r="I385" t="str">
        <f>HYPERLINK("http://www.ncbi.nlm.nih.gov/protein/XP_009994935.1","PREDICTED: androgen receptor")</f>
        <v>PREDICTED: androgen receptor</v>
      </c>
      <c r="J385" t="s">
        <v>1323</v>
      </c>
      <c r="K385" t="s">
        <v>20</v>
      </c>
      <c r="L385">
        <v>171</v>
      </c>
      <c r="M385" t="s">
        <v>25</v>
      </c>
      <c r="N385" t="s">
        <v>20</v>
      </c>
      <c r="O385" t="s">
        <v>1352</v>
      </c>
      <c r="P385" t="s">
        <v>20</v>
      </c>
      <c r="Q385">
        <v>132.119</v>
      </c>
      <c r="R385" t="s">
        <v>20</v>
      </c>
      <c r="S385" t="s">
        <v>20</v>
      </c>
      <c r="T385">
        <v>177</v>
      </c>
      <c r="U385" t="s">
        <v>1313</v>
      </c>
      <c r="V385" t="s">
        <v>20</v>
      </c>
      <c r="W385" t="s">
        <v>1352</v>
      </c>
      <c r="X385" t="s">
        <v>20</v>
      </c>
      <c r="Y385">
        <v>146.14599999999999</v>
      </c>
      <c r="Z385" t="s">
        <v>20</v>
      </c>
      <c r="AA385" t="s">
        <v>20</v>
      </c>
      <c r="AB385">
        <v>218</v>
      </c>
      <c r="AC385" t="s">
        <v>1314</v>
      </c>
      <c r="AD385" t="s">
        <v>20</v>
      </c>
      <c r="AE385" t="s">
        <v>1353</v>
      </c>
      <c r="AF385" t="s">
        <v>20</v>
      </c>
      <c r="AG385">
        <v>174.203</v>
      </c>
      <c r="AH385" t="s">
        <v>20</v>
      </c>
      <c r="AI385" t="s">
        <v>20</v>
      </c>
      <c r="AJ385">
        <v>343</v>
      </c>
      <c r="AK385" t="s">
        <v>1315</v>
      </c>
      <c r="AL385" t="s">
        <v>20</v>
      </c>
      <c r="AM385" t="s">
        <v>1354</v>
      </c>
      <c r="AN385" t="s">
        <v>20</v>
      </c>
      <c r="AO385">
        <v>119.119</v>
      </c>
      <c r="AP385" t="s">
        <v>20</v>
      </c>
      <c r="AQ385" t="s">
        <v>20</v>
      </c>
    </row>
    <row r="386" spans="1:43" x14ac:dyDescent="0.25">
      <c r="A386">
        <v>6</v>
      </c>
      <c r="B386" t="s">
        <v>167</v>
      </c>
      <c r="C386" t="str">
        <f>HYPERLINK("http://www.ncbi.nlm.nih.gov/protein/NXE26420.1","NXE26420.1")</f>
        <v>NXE26420.1</v>
      </c>
      <c r="D386">
        <v>13745</v>
      </c>
      <c r="E386" t="str">
        <f>HYPERLINK("http://www.ncbi.nlm.nih.gov/Taxonomy/Browser/wwwtax.cgi?mode=Info&amp;id=89386&amp;lvl=3&amp;lin=f&amp;keep=1&amp;srchmode=1&amp;unlock","89386")</f>
        <v>89386</v>
      </c>
      <c r="F386" t="s">
        <v>167</v>
      </c>
      <c r="G386" t="str">
        <f>HYPERLINK("http://www.ncbi.nlm.nih.gov/Taxonomy/Browser/wwwtax.cgi?mode=Info&amp;id=89386&amp;lvl=3&amp;lin=f&amp;keep=1&amp;srchmode=1&amp;unlock","Ardeotis kori")</f>
        <v>Ardeotis kori</v>
      </c>
      <c r="H386" t="s">
        <v>182</v>
      </c>
      <c r="I386" t="str">
        <f>HYPERLINK("http://www.ncbi.nlm.nih.gov/protein/NXE26420.1","ANDR protein")</f>
        <v>ANDR protein</v>
      </c>
      <c r="J386" t="s">
        <v>1323</v>
      </c>
      <c r="K386" t="s">
        <v>20</v>
      </c>
      <c r="L386">
        <v>168</v>
      </c>
      <c r="M386" t="s">
        <v>25</v>
      </c>
      <c r="N386" t="s">
        <v>20</v>
      </c>
      <c r="O386" t="s">
        <v>1352</v>
      </c>
      <c r="P386" t="s">
        <v>20</v>
      </c>
      <c r="Q386">
        <v>132.119</v>
      </c>
      <c r="R386" t="s">
        <v>20</v>
      </c>
      <c r="S386" t="s">
        <v>20</v>
      </c>
      <c r="T386">
        <v>174</v>
      </c>
      <c r="U386" t="s">
        <v>1313</v>
      </c>
      <c r="V386" t="s">
        <v>20</v>
      </c>
      <c r="W386" t="s">
        <v>1352</v>
      </c>
      <c r="X386" t="s">
        <v>20</v>
      </c>
      <c r="Y386">
        <v>146.14599999999999</v>
      </c>
      <c r="Z386" t="s">
        <v>20</v>
      </c>
      <c r="AA386" t="s">
        <v>20</v>
      </c>
      <c r="AB386">
        <v>215</v>
      </c>
      <c r="AC386" t="s">
        <v>1314</v>
      </c>
      <c r="AD386" t="s">
        <v>20</v>
      </c>
      <c r="AE386" t="s">
        <v>1353</v>
      </c>
      <c r="AF386" t="s">
        <v>20</v>
      </c>
      <c r="AG386">
        <v>174.203</v>
      </c>
      <c r="AH386" t="s">
        <v>20</v>
      </c>
      <c r="AI386" t="s">
        <v>20</v>
      </c>
      <c r="AJ386">
        <v>340</v>
      </c>
      <c r="AK386" t="s">
        <v>1315</v>
      </c>
      <c r="AL386" t="s">
        <v>20</v>
      </c>
      <c r="AM386" t="s">
        <v>1354</v>
      </c>
      <c r="AN386" t="s">
        <v>20</v>
      </c>
      <c r="AO386">
        <v>119.119</v>
      </c>
      <c r="AP386" t="s">
        <v>20</v>
      </c>
      <c r="AQ386" t="s">
        <v>20</v>
      </c>
    </row>
    <row r="387" spans="1:43" x14ac:dyDescent="0.25">
      <c r="A387">
        <v>6</v>
      </c>
      <c r="B387" t="s">
        <v>167</v>
      </c>
      <c r="C387" t="str">
        <f>HYPERLINK("http://www.ncbi.nlm.nih.gov/protein/NXU22430.1","NXU22430.1")</f>
        <v>NXU22430.1</v>
      </c>
      <c r="D387">
        <v>11831</v>
      </c>
      <c r="E387" t="str">
        <f>HYPERLINK("http://www.ncbi.nlm.nih.gov/Taxonomy/Browser/wwwtax.cgi?mode=Info&amp;id=54017&amp;lvl=3&amp;lin=f&amp;keep=1&amp;srchmode=1&amp;unlock","54017")</f>
        <v>54017</v>
      </c>
      <c r="F387" t="s">
        <v>167</v>
      </c>
      <c r="G387" t="str">
        <f>HYPERLINK("http://www.ncbi.nlm.nih.gov/Taxonomy/Browser/wwwtax.cgi?mode=Info&amp;id=54017&amp;lvl=3&amp;lin=f&amp;keep=1&amp;srchmode=1&amp;unlock","Thalassarche chlororhynchos")</f>
        <v>Thalassarche chlororhynchos</v>
      </c>
      <c r="H387" t="s">
        <v>287</v>
      </c>
      <c r="I387" t="str">
        <f>HYPERLINK("http://www.ncbi.nlm.nih.gov/protein/NXU22430.1","ANDR protein")</f>
        <v>ANDR protein</v>
      </c>
      <c r="J387" t="s">
        <v>1323</v>
      </c>
      <c r="K387" t="s">
        <v>20</v>
      </c>
      <c r="L387">
        <v>168</v>
      </c>
      <c r="M387" t="s">
        <v>25</v>
      </c>
      <c r="N387" t="s">
        <v>20</v>
      </c>
      <c r="O387" t="s">
        <v>1352</v>
      </c>
      <c r="P387" t="s">
        <v>20</v>
      </c>
      <c r="Q387">
        <v>132.119</v>
      </c>
      <c r="R387" t="s">
        <v>20</v>
      </c>
      <c r="S387" t="s">
        <v>20</v>
      </c>
      <c r="T387">
        <v>174</v>
      </c>
      <c r="U387" t="s">
        <v>1313</v>
      </c>
      <c r="V387" t="s">
        <v>20</v>
      </c>
      <c r="W387" t="s">
        <v>1352</v>
      </c>
      <c r="X387" t="s">
        <v>20</v>
      </c>
      <c r="Y387">
        <v>146.14599999999999</v>
      </c>
      <c r="Z387" t="s">
        <v>20</v>
      </c>
      <c r="AA387" t="s">
        <v>20</v>
      </c>
      <c r="AB387">
        <v>215</v>
      </c>
      <c r="AC387" t="s">
        <v>1314</v>
      </c>
      <c r="AD387" t="s">
        <v>20</v>
      </c>
      <c r="AE387" t="s">
        <v>1353</v>
      </c>
      <c r="AF387" t="s">
        <v>20</v>
      </c>
      <c r="AG387">
        <v>174.203</v>
      </c>
      <c r="AH387" t="s">
        <v>20</v>
      </c>
      <c r="AI387" t="s">
        <v>20</v>
      </c>
      <c r="AJ387">
        <v>340</v>
      </c>
      <c r="AK387" t="s">
        <v>1315</v>
      </c>
      <c r="AL387" t="s">
        <v>20</v>
      </c>
      <c r="AM387" t="s">
        <v>1354</v>
      </c>
      <c r="AN387" t="s">
        <v>20</v>
      </c>
      <c r="AO387">
        <v>119.119</v>
      </c>
      <c r="AP387" t="s">
        <v>20</v>
      </c>
      <c r="AQ387" t="s">
        <v>20</v>
      </c>
    </row>
    <row r="388" spans="1:43" x14ac:dyDescent="0.25">
      <c r="A388">
        <v>6</v>
      </c>
      <c r="B388" t="s">
        <v>167</v>
      </c>
      <c r="C388" t="str">
        <f>HYPERLINK("http://www.ncbi.nlm.nih.gov/protein/NWV56669.1","NWV56669.1")</f>
        <v>NWV56669.1</v>
      </c>
      <c r="D388">
        <v>13977</v>
      </c>
      <c r="E388" t="str">
        <f>HYPERLINK("http://www.ncbi.nlm.nih.gov/Taxonomy/Browser/wwwtax.cgi?mode=Info&amp;id=254528&amp;lvl=3&amp;lin=f&amp;keep=1&amp;srchmode=1&amp;unlock","254528")</f>
        <v>254528</v>
      </c>
      <c r="F388" t="s">
        <v>167</v>
      </c>
      <c r="G388" t="str">
        <f>HYPERLINK("http://www.ncbi.nlm.nih.gov/Taxonomy/Browser/wwwtax.cgi?mode=Info&amp;id=254528&amp;lvl=3&amp;lin=f&amp;keep=1&amp;srchmode=1&amp;unlock","Daphoenositta chrysoptera")</f>
        <v>Daphoenositta chrysoptera</v>
      </c>
      <c r="H388" t="s">
        <v>280</v>
      </c>
      <c r="I388" t="str">
        <f>HYPERLINK("http://www.ncbi.nlm.nih.gov/protein/NWV56669.1","ANDR protein")</f>
        <v>ANDR protein</v>
      </c>
      <c r="J388" t="s">
        <v>1323</v>
      </c>
      <c r="K388" t="s">
        <v>20</v>
      </c>
      <c r="L388">
        <v>168</v>
      </c>
      <c r="M388" t="s">
        <v>25</v>
      </c>
      <c r="N388" t="s">
        <v>20</v>
      </c>
      <c r="O388" t="s">
        <v>1352</v>
      </c>
      <c r="P388" t="s">
        <v>20</v>
      </c>
      <c r="Q388">
        <v>132.119</v>
      </c>
      <c r="R388" t="s">
        <v>20</v>
      </c>
      <c r="S388" t="s">
        <v>20</v>
      </c>
      <c r="T388">
        <v>174</v>
      </c>
      <c r="U388" t="s">
        <v>1313</v>
      </c>
      <c r="V388" t="s">
        <v>20</v>
      </c>
      <c r="W388" t="s">
        <v>1352</v>
      </c>
      <c r="X388" t="s">
        <v>20</v>
      </c>
      <c r="Y388">
        <v>146.14599999999999</v>
      </c>
      <c r="Z388" t="s">
        <v>20</v>
      </c>
      <c r="AA388" t="s">
        <v>20</v>
      </c>
      <c r="AB388">
        <v>215</v>
      </c>
      <c r="AC388" t="s">
        <v>1314</v>
      </c>
      <c r="AD388" t="s">
        <v>20</v>
      </c>
      <c r="AE388" t="s">
        <v>1353</v>
      </c>
      <c r="AF388" t="s">
        <v>20</v>
      </c>
      <c r="AG388">
        <v>174.203</v>
      </c>
      <c r="AH388" t="s">
        <v>20</v>
      </c>
      <c r="AI388" t="s">
        <v>20</v>
      </c>
      <c r="AJ388">
        <v>340</v>
      </c>
      <c r="AK388" t="s">
        <v>1315</v>
      </c>
      <c r="AL388" t="s">
        <v>20</v>
      </c>
      <c r="AM388" t="s">
        <v>1354</v>
      </c>
      <c r="AN388" t="s">
        <v>20</v>
      </c>
      <c r="AO388">
        <v>119.119</v>
      </c>
      <c r="AP388" t="s">
        <v>20</v>
      </c>
      <c r="AQ388" t="s">
        <v>20</v>
      </c>
    </row>
    <row r="389" spans="1:43" x14ac:dyDescent="0.25">
      <c r="A389">
        <v>6</v>
      </c>
      <c r="B389" t="s">
        <v>167</v>
      </c>
      <c r="C389" t="str">
        <f>HYPERLINK("http://www.ncbi.nlm.nih.gov/protein/NWI54587.1","NWI54587.1")</f>
        <v>NWI54587.1</v>
      </c>
      <c r="D389">
        <v>13255</v>
      </c>
      <c r="E389" t="str">
        <f>HYPERLINK("http://www.ncbi.nlm.nih.gov/Taxonomy/Browser/wwwtax.cgi?mode=Info&amp;id=135972&amp;lvl=3&amp;lin=f&amp;keep=1&amp;srchmode=1&amp;unlock","135972")</f>
        <v>135972</v>
      </c>
      <c r="F389" t="s">
        <v>167</v>
      </c>
      <c r="G389" t="str">
        <f>HYPERLINK("http://www.ncbi.nlm.nih.gov/Taxonomy/Browser/wwwtax.cgi?mode=Info&amp;id=135972&amp;lvl=3&amp;lin=f&amp;keep=1&amp;srchmode=1&amp;unlock","Calyptomena viridis")</f>
        <v>Calyptomena viridis</v>
      </c>
      <c r="H389" t="s">
        <v>441</v>
      </c>
      <c r="I389" t="str">
        <f>HYPERLINK("http://www.ncbi.nlm.nih.gov/protein/NWI54587.1","ANDR protein")</f>
        <v>ANDR protein</v>
      </c>
      <c r="J389" t="s">
        <v>1323</v>
      </c>
      <c r="K389" t="s">
        <v>20</v>
      </c>
      <c r="L389">
        <v>168</v>
      </c>
      <c r="M389" t="s">
        <v>25</v>
      </c>
      <c r="N389" t="s">
        <v>20</v>
      </c>
      <c r="O389" t="s">
        <v>1352</v>
      </c>
      <c r="P389" t="s">
        <v>20</v>
      </c>
      <c r="Q389">
        <v>132.119</v>
      </c>
      <c r="R389" t="s">
        <v>20</v>
      </c>
      <c r="S389" t="s">
        <v>20</v>
      </c>
      <c r="T389">
        <v>174</v>
      </c>
      <c r="U389" t="s">
        <v>1313</v>
      </c>
      <c r="V389" t="s">
        <v>20</v>
      </c>
      <c r="W389" t="s">
        <v>1352</v>
      </c>
      <c r="X389" t="s">
        <v>20</v>
      </c>
      <c r="Y389">
        <v>146.14599999999999</v>
      </c>
      <c r="Z389" t="s">
        <v>20</v>
      </c>
      <c r="AA389" t="s">
        <v>20</v>
      </c>
      <c r="AB389">
        <v>215</v>
      </c>
      <c r="AC389" t="s">
        <v>1314</v>
      </c>
      <c r="AD389" t="s">
        <v>20</v>
      </c>
      <c r="AE389" t="s">
        <v>1353</v>
      </c>
      <c r="AF389" t="s">
        <v>20</v>
      </c>
      <c r="AG389">
        <v>174.203</v>
      </c>
      <c r="AH389" t="s">
        <v>20</v>
      </c>
      <c r="AI389" t="s">
        <v>20</v>
      </c>
      <c r="AJ389">
        <v>340</v>
      </c>
      <c r="AK389" t="s">
        <v>1315</v>
      </c>
      <c r="AL389" t="s">
        <v>20</v>
      </c>
      <c r="AM389" t="s">
        <v>1354</v>
      </c>
      <c r="AN389" t="s">
        <v>20</v>
      </c>
      <c r="AO389">
        <v>119.119</v>
      </c>
      <c r="AP389" t="s">
        <v>20</v>
      </c>
      <c r="AQ389" t="s">
        <v>20</v>
      </c>
    </row>
    <row r="390" spans="1:43" x14ac:dyDescent="0.25">
      <c r="A390">
        <v>6</v>
      </c>
      <c r="B390" t="s">
        <v>167</v>
      </c>
      <c r="C390" t="str">
        <f>HYPERLINK("http://www.ncbi.nlm.nih.gov/protein/XP_013051573.1","XP_013051573.1")</f>
        <v>XP_013051573.1</v>
      </c>
      <c r="D390">
        <v>31837</v>
      </c>
      <c r="E390" t="str">
        <f>HYPERLINK("http://www.ncbi.nlm.nih.gov/Taxonomy/Browser/wwwtax.cgi?mode=Info&amp;id=381198&amp;lvl=3&amp;lin=f&amp;keep=1&amp;srchmode=1&amp;unlock","381198")</f>
        <v>381198</v>
      </c>
      <c r="F390" t="s">
        <v>167</v>
      </c>
      <c r="G390" t="str">
        <f>HYPERLINK("http://www.ncbi.nlm.nih.gov/Taxonomy/Browser/wwwtax.cgi?mode=Info&amp;id=381198&amp;lvl=3&amp;lin=f&amp;keep=1&amp;srchmode=1&amp;unlock","Anser cygnoides domesticus")</f>
        <v>Anser cygnoides domesticus</v>
      </c>
      <c r="H390" t="s">
        <v>276</v>
      </c>
      <c r="I390" t="str">
        <f>HYPERLINK("http://www.ncbi.nlm.nih.gov/protein/XP_013051573.1","PREDICTED: androgen receptor")</f>
        <v>PREDICTED: androgen receptor</v>
      </c>
      <c r="J390" t="s">
        <v>1323</v>
      </c>
      <c r="K390" t="s">
        <v>20</v>
      </c>
      <c r="L390">
        <v>198</v>
      </c>
      <c r="M390" t="s">
        <v>25</v>
      </c>
      <c r="N390" t="s">
        <v>20</v>
      </c>
      <c r="O390" t="s">
        <v>1352</v>
      </c>
      <c r="P390" t="s">
        <v>20</v>
      </c>
      <c r="Q390">
        <v>132.119</v>
      </c>
      <c r="R390" t="s">
        <v>20</v>
      </c>
      <c r="S390" t="s">
        <v>20</v>
      </c>
      <c r="T390">
        <v>204</v>
      </c>
      <c r="U390" t="s">
        <v>1313</v>
      </c>
      <c r="V390" t="s">
        <v>20</v>
      </c>
      <c r="W390" t="s">
        <v>1352</v>
      </c>
      <c r="X390" t="s">
        <v>20</v>
      </c>
      <c r="Y390">
        <v>146.14599999999999</v>
      </c>
      <c r="Z390" t="s">
        <v>20</v>
      </c>
      <c r="AA390" t="s">
        <v>20</v>
      </c>
      <c r="AB390">
        <v>245</v>
      </c>
      <c r="AC390" t="s">
        <v>1314</v>
      </c>
      <c r="AD390" t="s">
        <v>20</v>
      </c>
      <c r="AE390" t="s">
        <v>1353</v>
      </c>
      <c r="AF390" t="s">
        <v>20</v>
      </c>
      <c r="AG390">
        <v>174.203</v>
      </c>
      <c r="AH390" t="s">
        <v>20</v>
      </c>
      <c r="AI390" t="s">
        <v>20</v>
      </c>
      <c r="AJ390">
        <v>370</v>
      </c>
      <c r="AK390" t="s">
        <v>1315</v>
      </c>
      <c r="AL390" t="s">
        <v>20</v>
      </c>
      <c r="AM390" t="s">
        <v>1354</v>
      </c>
      <c r="AN390" t="s">
        <v>20</v>
      </c>
      <c r="AO390">
        <v>119.119</v>
      </c>
      <c r="AP390" t="s">
        <v>20</v>
      </c>
      <c r="AQ390" t="s">
        <v>20</v>
      </c>
    </row>
    <row r="391" spans="1:43" x14ac:dyDescent="0.25">
      <c r="A391">
        <v>6</v>
      </c>
      <c r="B391" t="s">
        <v>167</v>
      </c>
      <c r="C391" t="str">
        <f>HYPERLINK("http://www.ncbi.nlm.nih.gov/protein/NXN04548.1","NXN04548.1")</f>
        <v>NXN04548.1</v>
      </c>
      <c r="D391">
        <v>13617</v>
      </c>
      <c r="E391" t="str">
        <f>HYPERLINK("http://www.ncbi.nlm.nih.gov/Taxonomy/Browser/wwwtax.cgi?mode=Info&amp;id=73324&amp;lvl=3&amp;lin=f&amp;keep=1&amp;srchmode=1&amp;unlock","73324")</f>
        <v>73324</v>
      </c>
      <c r="F391" t="s">
        <v>167</v>
      </c>
      <c r="G391" t="str">
        <f>HYPERLINK("http://www.ncbi.nlm.nih.gov/Taxonomy/Browser/wwwtax.cgi?mode=Info&amp;id=73324&amp;lvl=3&amp;lin=f&amp;keep=1&amp;srchmode=1&amp;unlock","Sylvia borin")</f>
        <v>Sylvia borin</v>
      </c>
      <c r="H391" t="s">
        <v>989</v>
      </c>
      <c r="I391" t="str">
        <f>HYPERLINK("http://www.ncbi.nlm.nih.gov/protein/NXN04548.1","ANDR protein")</f>
        <v>ANDR protein</v>
      </c>
      <c r="J391" t="s">
        <v>1323</v>
      </c>
      <c r="K391" t="s">
        <v>20</v>
      </c>
      <c r="L391">
        <v>168</v>
      </c>
      <c r="M391" t="s">
        <v>25</v>
      </c>
      <c r="N391" t="s">
        <v>20</v>
      </c>
      <c r="O391" t="s">
        <v>1352</v>
      </c>
      <c r="P391" t="s">
        <v>20</v>
      </c>
      <c r="Q391">
        <v>132.119</v>
      </c>
      <c r="R391" t="s">
        <v>20</v>
      </c>
      <c r="S391" t="s">
        <v>20</v>
      </c>
      <c r="T391">
        <v>174</v>
      </c>
      <c r="U391" t="s">
        <v>1313</v>
      </c>
      <c r="V391" t="s">
        <v>20</v>
      </c>
      <c r="W391" t="s">
        <v>1352</v>
      </c>
      <c r="X391" t="s">
        <v>20</v>
      </c>
      <c r="Y391">
        <v>146.14599999999999</v>
      </c>
      <c r="Z391" t="s">
        <v>20</v>
      </c>
      <c r="AA391" t="s">
        <v>20</v>
      </c>
      <c r="AB391">
        <v>215</v>
      </c>
      <c r="AC391" t="s">
        <v>1314</v>
      </c>
      <c r="AD391" t="s">
        <v>20</v>
      </c>
      <c r="AE391" t="s">
        <v>1353</v>
      </c>
      <c r="AF391" t="s">
        <v>20</v>
      </c>
      <c r="AG391">
        <v>174.203</v>
      </c>
      <c r="AH391" t="s">
        <v>20</v>
      </c>
      <c r="AI391" t="s">
        <v>20</v>
      </c>
      <c r="AJ391">
        <v>340</v>
      </c>
      <c r="AK391" t="s">
        <v>1315</v>
      </c>
      <c r="AL391" t="s">
        <v>20</v>
      </c>
      <c r="AM391" t="s">
        <v>1354</v>
      </c>
      <c r="AN391" t="s">
        <v>20</v>
      </c>
      <c r="AO391">
        <v>119.119</v>
      </c>
      <c r="AP391" t="s">
        <v>20</v>
      </c>
      <c r="AQ391" t="s">
        <v>20</v>
      </c>
    </row>
    <row r="392" spans="1:43" x14ac:dyDescent="0.25">
      <c r="A392">
        <v>6</v>
      </c>
      <c r="B392" t="s">
        <v>167</v>
      </c>
      <c r="C392" t="str">
        <f>HYPERLINK("http://www.ncbi.nlm.nih.gov/protein/XP_023781741.1","XP_023781741.1")</f>
        <v>XP_023781741.1</v>
      </c>
      <c r="D392">
        <v>31627</v>
      </c>
      <c r="E392" t="str">
        <f>HYPERLINK("http://www.ncbi.nlm.nih.gov/Taxonomy/Browser/wwwtax.cgi?mode=Info&amp;id=156563&amp;lvl=3&amp;lin=f&amp;keep=1&amp;srchmode=1&amp;unlock","156563")</f>
        <v>156563</v>
      </c>
      <c r="F392" t="s">
        <v>167</v>
      </c>
      <c r="G392" t="str">
        <f>HYPERLINK("http://www.ncbi.nlm.nih.gov/Taxonomy/Browser/wwwtax.cgi?mode=Info&amp;id=156563&amp;lvl=3&amp;lin=f&amp;keep=1&amp;srchmode=1&amp;unlock","Cyanistes caeruleus")</f>
        <v>Cyanistes caeruleus</v>
      </c>
      <c r="H392" t="s">
        <v>455</v>
      </c>
      <c r="I392" t="str">
        <f>HYPERLINK("http://www.ncbi.nlm.nih.gov/protein/XP_023781741.1","androgen receptor")</f>
        <v>androgen receptor</v>
      </c>
      <c r="J392" t="s">
        <v>1323</v>
      </c>
      <c r="K392" t="s">
        <v>20</v>
      </c>
      <c r="L392">
        <v>187</v>
      </c>
      <c r="M392" t="s">
        <v>25</v>
      </c>
      <c r="N392" t="s">
        <v>20</v>
      </c>
      <c r="O392" t="s">
        <v>1352</v>
      </c>
      <c r="P392" t="s">
        <v>20</v>
      </c>
      <c r="Q392">
        <v>132.119</v>
      </c>
      <c r="R392" t="s">
        <v>20</v>
      </c>
      <c r="S392" t="s">
        <v>20</v>
      </c>
      <c r="T392">
        <v>193</v>
      </c>
      <c r="U392" t="s">
        <v>1313</v>
      </c>
      <c r="V392" t="s">
        <v>20</v>
      </c>
      <c r="W392" t="s">
        <v>1352</v>
      </c>
      <c r="X392" t="s">
        <v>20</v>
      </c>
      <c r="Y392">
        <v>146.14599999999999</v>
      </c>
      <c r="Z392" t="s">
        <v>20</v>
      </c>
      <c r="AA392" t="s">
        <v>20</v>
      </c>
      <c r="AB392">
        <v>234</v>
      </c>
      <c r="AC392" t="s">
        <v>1314</v>
      </c>
      <c r="AD392" t="s">
        <v>20</v>
      </c>
      <c r="AE392" t="s">
        <v>1353</v>
      </c>
      <c r="AF392" t="s">
        <v>20</v>
      </c>
      <c r="AG392">
        <v>174.203</v>
      </c>
      <c r="AH392" t="s">
        <v>20</v>
      </c>
      <c r="AI392" t="s">
        <v>20</v>
      </c>
      <c r="AJ392">
        <v>359</v>
      </c>
      <c r="AK392" t="s">
        <v>1315</v>
      </c>
      <c r="AL392" t="s">
        <v>20</v>
      </c>
      <c r="AM392" t="s">
        <v>1354</v>
      </c>
      <c r="AN392" t="s">
        <v>20</v>
      </c>
      <c r="AO392">
        <v>119.119</v>
      </c>
      <c r="AP392" t="s">
        <v>20</v>
      </c>
      <c r="AQ392" t="s">
        <v>20</v>
      </c>
    </row>
    <row r="393" spans="1:43" x14ac:dyDescent="0.25">
      <c r="A393">
        <v>6</v>
      </c>
      <c r="B393" t="s">
        <v>167</v>
      </c>
      <c r="C393" t="str">
        <f>HYPERLINK("http://www.ncbi.nlm.nih.gov/protein/NXJ51229.1","NXJ51229.1")</f>
        <v>NXJ51229.1</v>
      </c>
      <c r="D393">
        <v>14391</v>
      </c>
      <c r="E393" t="str">
        <f>HYPERLINK("http://www.ncbi.nlm.nih.gov/Taxonomy/Browser/wwwtax.cgi?mode=Info&amp;id=252798&amp;lvl=3&amp;lin=f&amp;keep=1&amp;srchmode=1&amp;unlock","252798")</f>
        <v>252798</v>
      </c>
      <c r="F393" t="s">
        <v>167</v>
      </c>
      <c r="G393" t="str">
        <f>HYPERLINK("http://www.ncbi.nlm.nih.gov/Taxonomy/Browser/wwwtax.cgi?mode=Info&amp;id=252798&amp;lvl=3&amp;lin=f&amp;keep=1&amp;srchmode=1&amp;unlock","Spizaetus tyrannus")</f>
        <v>Spizaetus tyrannus</v>
      </c>
      <c r="H393" t="s">
        <v>292</v>
      </c>
      <c r="I393" t="str">
        <f>HYPERLINK("http://www.ncbi.nlm.nih.gov/protein/NXJ51229.1","ANDR protein")</f>
        <v>ANDR protein</v>
      </c>
      <c r="J393" t="s">
        <v>1323</v>
      </c>
      <c r="K393" t="s">
        <v>20</v>
      </c>
      <c r="L393">
        <v>168</v>
      </c>
      <c r="M393" t="s">
        <v>25</v>
      </c>
      <c r="N393" t="s">
        <v>20</v>
      </c>
      <c r="O393" t="s">
        <v>1352</v>
      </c>
      <c r="P393" t="s">
        <v>20</v>
      </c>
      <c r="Q393">
        <v>132.119</v>
      </c>
      <c r="R393" t="s">
        <v>20</v>
      </c>
      <c r="S393" t="s">
        <v>20</v>
      </c>
      <c r="T393">
        <v>174</v>
      </c>
      <c r="U393" t="s">
        <v>1313</v>
      </c>
      <c r="V393" t="s">
        <v>20</v>
      </c>
      <c r="W393" t="s">
        <v>1352</v>
      </c>
      <c r="X393" t="s">
        <v>20</v>
      </c>
      <c r="Y393">
        <v>146.14599999999999</v>
      </c>
      <c r="Z393" t="s">
        <v>20</v>
      </c>
      <c r="AA393" t="s">
        <v>20</v>
      </c>
      <c r="AB393">
        <v>215</v>
      </c>
      <c r="AC393" t="s">
        <v>1314</v>
      </c>
      <c r="AD393" t="s">
        <v>20</v>
      </c>
      <c r="AE393" t="s">
        <v>1353</v>
      </c>
      <c r="AF393" t="s">
        <v>20</v>
      </c>
      <c r="AG393">
        <v>174.203</v>
      </c>
      <c r="AH393" t="s">
        <v>20</v>
      </c>
      <c r="AI393" t="s">
        <v>20</v>
      </c>
      <c r="AJ393">
        <v>340</v>
      </c>
      <c r="AK393" t="s">
        <v>1315</v>
      </c>
      <c r="AL393" t="s">
        <v>20</v>
      </c>
      <c r="AM393" t="s">
        <v>1354</v>
      </c>
      <c r="AN393" t="s">
        <v>20</v>
      </c>
      <c r="AO393">
        <v>119.119</v>
      </c>
      <c r="AP393" t="s">
        <v>20</v>
      </c>
      <c r="AQ393" t="s">
        <v>20</v>
      </c>
    </row>
    <row r="394" spans="1:43" x14ac:dyDescent="0.25">
      <c r="A394">
        <v>6</v>
      </c>
      <c r="B394" t="s">
        <v>167</v>
      </c>
      <c r="C394" t="str">
        <f>HYPERLINK("http://www.ncbi.nlm.nih.gov/protein/NWU71276.1","NWU71276.1")</f>
        <v>NWU71276.1</v>
      </c>
      <c r="D394">
        <v>13883</v>
      </c>
      <c r="E394" t="str">
        <f>HYPERLINK("http://www.ncbi.nlm.nih.gov/Taxonomy/Browser/wwwtax.cgi?mode=Info&amp;id=2585816&amp;lvl=3&amp;lin=f&amp;keep=1&amp;srchmode=1&amp;unlock","2585816")</f>
        <v>2585816</v>
      </c>
      <c r="F394" t="s">
        <v>167</v>
      </c>
      <c r="G394" t="str">
        <f>HYPERLINK("http://www.ncbi.nlm.nih.gov/Taxonomy/Browser/wwwtax.cgi?mode=Info&amp;id=2585816&amp;lvl=3&amp;lin=f&amp;keep=1&amp;srchmode=1&amp;unlock","Pterocles burchelli")</f>
        <v>Pterocles burchelli</v>
      </c>
      <c r="H394" t="s">
        <v>217</v>
      </c>
      <c r="I394" t="str">
        <f>HYPERLINK("http://www.ncbi.nlm.nih.gov/protein/NWU71276.1","ANDR protein")</f>
        <v>ANDR protein</v>
      </c>
      <c r="J394" t="s">
        <v>1323</v>
      </c>
      <c r="K394" t="s">
        <v>20</v>
      </c>
      <c r="L394">
        <v>168</v>
      </c>
      <c r="M394" t="s">
        <v>25</v>
      </c>
      <c r="N394" t="s">
        <v>20</v>
      </c>
      <c r="O394" t="s">
        <v>1352</v>
      </c>
      <c r="P394" t="s">
        <v>20</v>
      </c>
      <c r="Q394">
        <v>132.119</v>
      </c>
      <c r="R394" t="s">
        <v>20</v>
      </c>
      <c r="S394" t="s">
        <v>20</v>
      </c>
      <c r="T394">
        <v>174</v>
      </c>
      <c r="U394" t="s">
        <v>1313</v>
      </c>
      <c r="V394" t="s">
        <v>20</v>
      </c>
      <c r="W394" t="s">
        <v>1352</v>
      </c>
      <c r="X394" t="s">
        <v>20</v>
      </c>
      <c r="Y394">
        <v>146.14599999999999</v>
      </c>
      <c r="Z394" t="s">
        <v>20</v>
      </c>
      <c r="AA394" t="s">
        <v>20</v>
      </c>
      <c r="AB394">
        <v>215</v>
      </c>
      <c r="AC394" t="s">
        <v>1314</v>
      </c>
      <c r="AD394" t="s">
        <v>20</v>
      </c>
      <c r="AE394" t="s">
        <v>1353</v>
      </c>
      <c r="AF394" t="s">
        <v>20</v>
      </c>
      <c r="AG394">
        <v>174.203</v>
      </c>
      <c r="AH394" t="s">
        <v>20</v>
      </c>
      <c r="AI394" t="s">
        <v>20</v>
      </c>
      <c r="AJ394">
        <v>340</v>
      </c>
      <c r="AK394" t="s">
        <v>1315</v>
      </c>
      <c r="AL394" t="s">
        <v>20</v>
      </c>
      <c r="AM394" t="s">
        <v>1354</v>
      </c>
      <c r="AN394" t="s">
        <v>20</v>
      </c>
      <c r="AO394">
        <v>119.119</v>
      </c>
      <c r="AP394" t="s">
        <v>20</v>
      </c>
      <c r="AQ394" t="s">
        <v>20</v>
      </c>
    </row>
    <row r="395" spans="1:43" x14ac:dyDescent="0.25">
      <c r="A395">
        <v>6</v>
      </c>
      <c r="B395" t="s">
        <v>167</v>
      </c>
      <c r="C395" t="str">
        <f>HYPERLINK("http://www.ncbi.nlm.nih.gov/protein/NXM03331.1","NXM03331.1")</f>
        <v>NXM03331.1</v>
      </c>
      <c r="D395">
        <v>13608</v>
      </c>
      <c r="E395" t="str">
        <f>HYPERLINK("http://www.ncbi.nlm.nih.gov/Taxonomy/Browser/wwwtax.cgi?mode=Info&amp;id=137541&amp;lvl=3&amp;lin=f&amp;keep=1&amp;srchmode=1&amp;unlock","137541")</f>
        <v>137541</v>
      </c>
      <c r="F395" t="s">
        <v>167</v>
      </c>
      <c r="G395" t="str">
        <f>HYPERLINK("http://www.ncbi.nlm.nih.gov/Taxonomy/Browser/wwwtax.cgi?mode=Info&amp;id=137541&amp;lvl=3&amp;lin=f&amp;keep=1&amp;srchmode=1&amp;unlock","Tyrannus savana")</f>
        <v>Tyrannus savana</v>
      </c>
      <c r="H395" t="s">
        <v>364</v>
      </c>
      <c r="I395" t="str">
        <f>HYPERLINK("http://www.ncbi.nlm.nih.gov/protein/NXM03331.1","ANDR protein")</f>
        <v>ANDR protein</v>
      </c>
      <c r="J395" t="s">
        <v>1323</v>
      </c>
      <c r="K395" t="s">
        <v>20</v>
      </c>
      <c r="L395">
        <v>473</v>
      </c>
      <c r="M395" t="s">
        <v>25</v>
      </c>
      <c r="N395" t="s">
        <v>20</v>
      </c>
      <c r="O395" t="s">
        <v>1352</v>
      </c>
      <c r="P395" t="s">
        <v>20</v>
      </c>
      <c r="Q395">
        <v>132.119</v>
      </c>
      <c r="R395" t="s">
        <v>20</v>
      </c>
      <c r="S395" t="s">
        <v>20</v>
      </c>
      <c r="T395">
        <v>479</v>
      </c>
      <c r="U395" t="s">
        <v>1313</v>
      </c>
      <c r="V395" t="s">
        <v>20</v>
      </c>
      <c r="W395" t="s">
        <v>1352</v>
      </c>
      <c r="X395" t="s">
        <v>20</v>
      </c>
      <c r="Y395">
        <v>146.14599999999999</v>
      </c>
      <c r="Z395" t="s">
        <v>20</v>
      </c>
      <c r="AA395" t="s">
        <v>20</v>
      </c>
      <c r="AB395">
        <v>520</v>
      </c>
      <c r="AC395" t="s">
        <v>1314</v>
      </c>
      <c r="AD395" t="s">
        <v>20</v>
      </c>
      <c r="AE395" t="s">
        <v>1353</v>
      </c>
      <c r="AF395" t="s">
        <v>20</v>
      </c>
      <c r="AG395">
        <v>174.203</v>
      </c>
      <c r="AH395" t="s">
        <v>20</v>
      </c>
      <c r="AI395" t="s">
        <v>20</v>
      </c>
      <c r="AJ395">
        <v>645</v>
      </c>
      <c r="AK395" t="s">
        <v>1315</v>
      </c>
      <c r="AL395" t="s">
        <v>20</v>
      </c>
      <c r="AM395" t="s">
        <v>1354</v>
      </c>
      <c r="AN395" t="s">
        <v>20</v>
      </c>
      <c r="AO395">
        <v>119.119</v>
      </c>
      <c r="AP395" t="s">
        <v>20</v>
      </c>
      <c r="AQ395" t="s">
        <v>20</v>
      </c>
    </row>
    <row r="396" spans="1:43" x14ac:dyDescent="0.25">
      <c r="A396">
        <v>6</v>
      </c>
      <c r="B396" t="s">
        <v>167</v>
      </c>
      <c r="C396" t="str">
        <f>HYPERLINK("http://www.ncbi.nlm.nih.gov/protein/NXA26693.1","NXA26693.1")</f>
        <v>NXA26693.1</v>
      </c>
      <c r="D396">
        <v>13860</v>
      </c>
      <c r="E396" t="str">
        <f>HYPERLINK("http://www.ncbi.nlm.nih.gov/Taxonomy/Browser/wwwtax.cgi?mode=Info&amp;id=425643&amp;lvl=3&amp;lin=f&amp;keep=1&amp;srchmode=1&amp;unlock","425643")</f>
        <v>425643</v>
      </c>
      <c r="F396" t="s">
        <v>167</v>
      </c>
      <c r="G396" t="str">
        <f>HYPERLINK("http://www.ncbi.nlm.nih.gov/Taxonomy/Browser/wwwtax.cgi?mode=Info&amp;id=425643&amp;lvl=3&amp;lin=f&amp;keep=1&amp;srchmode=1&amp;unlock","Ibidorhyncha struthersii")</f>
        <v>Ibidorhyncha struthersii</v>
      </c>
      <c r="H396" t="s">
        <v>185</v>
      </c>
      <c r="I396" t="str">
        <f>HYPERLINK("http://www.ncbi.nlm.nih.gov/protein/NXA26693.1","ANDR protein")</f>
        <v>ANDR protein</v>
      </c>
      <c r="J396" t="s">
        <v>1323</v>
      </c>
      <c r="K396" t="s">
        <v>20</v>
      </c>
      <c r="L396">
        <v>168</v>
      </c>
      <c r="M396" t="s">
        <v>25</v>
      </c>
      <c r="N396" t="s">
        <v>20</v>
      </c>
      <c r="O396" t="s">
        <v>1352</v>
      </c>
      <c r="P396" t="s">
        <v>20</v>
      </c>
      <c r="Q396">
        <v>132.119</v>
      </c>
      <c r="R396" t="s">
        <v>20</v>
      </c>
      <c r="S396" t="s">
        <v>20</v>
      </c>
      <c r="T396">
        <v>174</v>
      </c>
      <c r="U396" t="s">
        <v>1313</v>
      </c>
      <c r="V396" t="s">
        <v>20</v>
      </c>
      <c r="W396" t="s">
        <v>1352</v>
      </c>
      <c r="X396" t="s">
        <v>20</v>
      </c>
      <c r="Y396">
        <v>146.14599999999999</v>
      </c>
      <c r="Z396" t="s">
        <v>20</v>
      </c>
      <c r="AA396" t="s">
        <v>20</v>
      </c>
      <c r="AB396">
        <v>215</v>
      </c>
      <c r="AC396" t="s">
        <v>1314</v>
      </c>
      <c r="AD396" t="s">
        <v>20</v>
      </c>
      <c r="AE396" t="s">
        <v>1353</v>
      </c>
      <c r="AF396" t="s">
        <v>20</v>
      </c>
      <c r="AG396">
        <v>174.203</v>
      </c>
      <c r="AH396" t="s">
        <v>20</v>
      </c>
      <c r="AI396" t="s">
        <v>20</v>
      </c>
      <c r="AJ396">
        <v>340</v>
      </c>
      <c r="AK396" t="s">
        <v>1315</v>
      </c>
      <c r="AL396" t="s">
        <v>20</v>
      </c>
      <c r="AM396" t="s">
        <v>1354</v>
      </c>
      <c r="AN396" t="s">
        <v>20</v>
      </c>
      <c r="AO396">
        <v>119.119</v>
      </c>
      <c r="AP396" t="s">
        <v>20</v>
      </c>
      <c r="AQ396" t="s">
        <v>20</v>
      </c>
    </row>
    <row r="397" spans="1:43" x14ac:dyDescent="0.25">
      <c r="A397">
        <v>6</v>
      </c>
      <c r="B397" t="s">
        <v>167</v>
      </c>
      <c r="C397" t="str">
        <f>HYPERLINK("http://www.ncbi.nlm.nih.gov/protein/NWU59399.1","NWU59399.1")</f>
        <v>NWU59399.1</v>
      </c>
      <c r="D397">
        <v>13926</v>
      </c>
      <c r="E397" t="str">
        <f>HYPERLINK("http://www.ncbi.nlm.nih.gov/Taxonomy/Browser/wwwtax.cgi?mode=Info&amp;id=458190&amp;lvl=3&amp;lin=f&amp;keep=1&amp;srchmode=1&amp;unlock","458190")</f>
        <v>458190</v>
      </c>
      <c r="F397" t="s">
        <v>167</v>
      </c>
      <c r="G397" t="str">
        <f>HYPERLINK("http://www.ncbi.nlm.nih.gov/Taxonomy/Browser/wwwtax.cgi?mode=Info&amp;id=458190&amp;lvl=3&amp;lin=f&amp;keep=1&amp;srchmode=1&amp;unlock","Dromas ardeola")</f>
        <v>Dromas ardeola</v>
      </c>
      <c r="H397" t="s">
        <v>185</v>
      </c>
      <c r="I397" t="str">
        <f>HYPERLINK("http://www.ncbi.nlm.nih.gov/protein/NWU59399.1","ANDR protein")</f>
        <v>ANDR protein</v>
      </c>
      <c r="J397" t="s">
        <v>1323</v>
      </c>
      <c r="K397" t="s">
        <v>20</v>
      </c>
      <c r="L397">
        <v>168</v>
      </c>
      <c r="M397" t="s">
        <v>25</v>
      </c>
      <c r="N397" t="s">
        <v>20</v>
      </c>
      <c r="O397" t="s">
        <v>1352</v>
      </c>
      <c r="P397" t="s">
        <v>20</v>
      </c>
      <c r="Q397">
        <v>132.119</v>
      </c>
      <c r="R397" t="s">
        <v>20</v>
      </c>
      <c r="S397" t="s">
        <v>20</v>
      </c>
      <c r="T397">
        <v>174</v>
      </c>
      <c r="U397" t="s">
        <v>1313</v>
      </c>
      <c r="V397" t="s">
        <v>20</v>
      </c>
      <c r="W397" t="s">
        <v>1352</v>
      </c>
      <c r="X397" t="s">
        <v>20</v>
      </c>
      <c r="Y397">
        <v>146.14599999999999</v>
      </c>
      <c r="Z397" t="s">
        <v>20</v>
      </c>
      <c r="AA397" t="s">
        <v>20</v>
      </c>
      <c r="AB397">
        <v>215</v>
      </c>
      <c r="AC397" t="s">
        <v>1314</v>
      </c>
      <c r="AD397" t="s">
        <v>20</v>
      </c>
      <c r="AE397" t="s">
        <v>1353</v>
      </c>
      <c r="AF397" t="s">
        <v>20</v>
      </c>
      <c r="AG397">
        <v>174.203</v>
      </c>
      <c r="AH397" t="s">
        <v>20</v>
      </c>
      <c r="AI397" t="s">
        <v>20</v>
      </c>
      <c r="AJ397">
        <v>340</v>
      </c>
      <c r="AK397" t="s">
        <v>1315</v>
      </c>
      <c r="AL397" t="s">
        <v>20</v>
      </c>
      <c r="AM397" t="s">
        <v>1354</v>
      </c>
      <c r="AN397" t="s">
        <v>20</v>
      </c>
      <c r="AO397">
        <v>119.119</v>
      </c>
      <c r="AP397" t="s">
        <v>20</v>
      </c>
      <c r="AQ397" t="s">
        <v>20</v>
      </c>
    </row>
    <row r="398" spans="1:43" x14ac:dyDescent="0.25">
      <c r="A398">
        <v>6</v>
      </c>
      <c r="B398" t="s">
        <v>167</v>
      </c>
      <c r="C398" t="str">
        <f>HYPERLINK("http://www.ncbi.nlm.nih.gov/protein/NWQ91554.1","NWQ91554.1")</f>
        <v>NWQ91554.1</v>
      </c>
      <c r="D398">
        <v>14023</v>
      </c>
      <c r="E398" t="str">
        <f>HYPERLINK("http://www.ncbi.nlm.nih.gov/Taxonomy/Browser/wwwtax.cgi?mode=Info&amp;id=240201&amp;lvl=3&amp;lin=f&amp;keep=1&amp;srchmode=1&amp;unlock","240201")</f>
        <v>240201</v>
      </c>
      <c r="F398" t="s">
        <v>167</v>
      </c>
      <c r="G398" t="str">
        <f>HYPERLINK("http://www.ncbi.nlm.nih.gov/Taxonomy/Browser/wwwtax.cgi?mode=Info&amp;id=240201&amp;lvl=3&amp;lin=f&amp;keep=1&amp;srchmode=1&amp;unlock","Burhinus bistriatus")</f>
        <v>Burhinus bistriatus</v>
      </c>
      <c r="H398" t="s">
        <v>185</v>
      </c>
      <c r="I398" t="str">
        <f>HYPERLINK("http://www.ncbi.nlm.nih.gov/protein/NWQ91554.1","ANDR protein")</f>
        <v>ANDR protein</v>
      </c>
      <c r="J398" t="s">
        <v>1323</v>
      </c>
      <c r="K398" t="s">
        <v>20</v>
      </c>
      <c r="L398">
        <v>168</v>
      </c>
      <c r="M398" t="s">
        <v>25</v>
      </c>
      <c r="N398" t="s">
        <v>20</v>
      </c>
      <c r="O398" t="s">
        <v>1352</v>
      </c>
      <c r="P398" t="s">
        <v>20</v>
      </c>
      <c r="Q398">
        <v>132.119</v>
      </c>
      <c r="R398" t="s">
        <v>20</v>
      </c>
      <c r="S398" t="s">
        <v>20</v>
      </c>
      <c r="T398">
        <v>174</v>
      </c>
      <c r="U398" t="s">
        <v>1313</v>
      </c>
      <c r="V398" t="s">
        <v>20</v>
      </c>
      <c r="W398" t="s">
        <v>1352</v>
      </c>
      <c r="X398" t="s">
        <v>20</v>
      </c>
      <c r="Y398">
        <v>146.14599999999999</v>
      </c>
      <c r="Z398" t="s">
        <v>20</v>
      </c>
      <c r="AA398" t="s">
        <v>20</v>
      </c>
      <c r="AB398">
        <v>215</v>
      </c>
      <c r="AC398" t="s">
        <v>1314</v>
      </c>
      <c r="AD398" t="s">
        <v>20</v>
      </c>
      <c r="AE398" t="s">
        <v>1353</v>
      </c>
      <c r="AF398" t="s">
        <v>20</v>
      </c>
      <c r="AG398">
        <v>174.203</v>
      </c>
      <c r="AH398" t="s">
        <v>20</v>
      </c>
      <c r="AI398" t="s">
        <v>20</v>
      </c>
      <c r="AJ398">
        <v>340</v>
      </c>
      <c r="AK398" t="s">
        <v>1315</v>
      </c>
      <c r="AL398" t="s">
        <v>20</v>
      </c>
      <c r="AM398" t="s">
        <v>1354</v>
      </c>
      <c r="AN398" t="s">
        <v>20</v>
      </c>
      <c r="AO398">
        <v>119.119</v>
      </c>
      <c r="AP398" t="s">
        <v>20</v>
      </c>
      <c r="AQ398" t="s">
        <v>20</v>
      </c>
    </row>
    <row r="399" spans="1:43" x14ac:dyDescent="0.25">
      <c r="A399">
        <v>6</v>
      </c>
      <c r="B399" t="s">
        <v>167</v>
      </c>
      <c r="C399" t="str">
        <f>HYPERLINK("http://www.ncbi.nlm.nih.gov/protein/NWW41366.1","NWW41366.1")</f>
        <v>NWW41366.1</v>
      </c>
      <c r="D399">
        <v>12841</v>
      </c>
      <c r="E399" t="str">
        <f>HYPERLINK("http://www.ncbi.nlm.nih.gov/Taxonomy/Browser/wwwtax.cgi?mode=Info&amp;id=181101&amp;lvl=3&amp;lin=f&amp;keep=1&amp;srchmode=1&amp;unlock","181101")</f>
        <v>181101</v>
      </c>
      <c r="F399" t="s">
        <v>167</v>
      </c>
      <c r="G399" t="str">
        <f>HYPERLINK("http://www.ncbi.nlm.nih.gov/Taxonomy/Browser/wwwtax.cgi?mode=Info&amp;id=181101&amp;lvl=3&amp;lin=f&amp;keep=1&amp;srchmode=1&amp;unlock","Panurus biarmicus")</f>
        <v>Panurus biarmicus</v>
      </c>
      <c r="H399" t="s">
        <v>395</v>
      </c>
      <c r="I399" t="str">
        <f>HYPERLINK("http://www.ncbi.nlm.nih.gov/protein/NWW41366.1","ANDR protein")</f>
        <v>ANDR protein</v>
      </c>
      <c r="J399" t="s">
        <v>1323</v>
      </c>
      <c r="K399" t="s">
        <v>20</v>
      </c>
      <c r="L399">
        <v>168</v>
      </c>
      <c r="M399" t="s">
        <v>25</v>
      </c>
      <c r="N399" t="s">
        <v>20</v>
      </c>
      <c r="O399" t="s">
        <v>1352</v>
      </c>
      <c r="P399" t="s">
        <v>20</v>
      </c>
      <c r="Q399">
        <v>132.119</v>
      </c>
      <c r="R399" t="s">
        <v>20</v>
      </c>
      <c r="S399" t="s">
        <v>20</v>
      </c>
      <c r="T399">
        <v>174</v>
      </c>
      <c r="U399" t="s">
        <v>1313</v>
      </c>
      <c r="V399" t="s">
        <v>20</v>
      </c>
      <c r="W399" t="s">
        <v>1352</v>
      </c>
      <c r="X399" t="s">
        <v>20</v>
      </c>
      <c r="Y399">
        <v>146.14599999999999</v>
      </c>
      <c r="Z399" t="s">
        <v>20</v>
      </c>
      <c r="AA399" t="s">
        <v>20</v>
      </c>
      <c r="AB399">
        <v>215</v>
      </c>
      <c r="AC399" t="s">
        <v>1314</v>
      </c>
      <c r="AD399" t="s">
        <v>20</v>
      </c>
      <c r="AE399" t="s">
        <v>1353</v>
      </c>
      <c r="AF399" t="s">
        <v>20</v>
      </c>
      <c r="AG399">
        <v>174.203</v>
      </c>
      <c r="AH399" t="s">
        <v>20</v>
      </c>
      <c r="AI399" t="s">
        <v>20</v>
      </c>
      <c r="AJ399">
        <v>340</v>
      </c>
      <c r="AK399" t="s">
        <v>1315</v>
      </c>
      <c r="AL399" t="s">
        <v>20</v>
      </c>
      <c r="AM399" t="s">
        <v>1354</v>
      </c>
      <c r="AN399" t="s">
        <v>20</v>
      </c>
      <c r="AO399">
        <v>119.119</v>
      </c>
      <c r="AP399" t="s">
        <v>20</v>
      </c>
      <c r="AQ399" t="s">
        <v>20</v>
      </c>
    </row>
    <row r="400" spans="1:43" x14ac:dyDescent="0.25">
      <c r="A400">
        <v>6</v>
      </c>
      <c r="B400" t="s">
        <v>167</v>
      </c>
      <c r="C400" t="str">
        <f>HYPERLINK("http://www.ncbi.nlm.nih.gov/protein/XP_026650071.1","XP_026650071.1")</f>
        <v>XP_026650071.1</v>
      </c>
      <c r="D400">
        <v>26699</v>
      </c>
      <c r="E400" t="str">
        <f>HYPERLINK("http://www.ncbi.nlm.nih.gov/Taxonomy/Browser/wwwtax.cgi?mode=Info&amp;id=44394&amp;lvl=3&amp;lin=f&amp;keep=1&amp;srchmode=1&amp;unlock","44394")</f>
        <v>44394</v>
      </c>
      <c r="F400" t="s">
        <v>167</v>
      </c>
      <c r="G400" t="str">
        <f>HYPERLINK("http://www.ncbi.nlm.nih.gov/Taxonomy/Browser/wwwtax.cgi?mode=Info&amp;id=44394&amp;lvl=3&amp;lin=f&amp;keep=1&amp;srchmode=1&amp;unlock","Zonotrichia albicollis")</f>
        <v>Zonotrichia albicollis</v>
      </c>
      <c r="H400" t="s">
        <v>465</v>
      </c>
      <c r="I400" t="str">
        <f>HYPERLINK("http://www.ncbi.nlm.nih.gov/protein/XP_026650071.1","androgen receptor")</f>
        <v>androgen receptor</v>
      </c>
      <c r="J400" t="s">
        <v>1323</v>
      </c>
      <c r="K400" t="s">
        <v>20</v>
      </c>
      <c r="L400">
        <v>192</v>
      </c>
      <c r="M400" t="s">
        <v>25</v>
      </c>
      <c r="N400" t="s">
        <v>20</v>
      </c>
      <c r="O400" t="s">
        <v>1352</v>
      </c>
      <c r="P400" t="s">
        <v>20</v>
      </c>
      <c r="Q400">
        <v>132.119</v>
      </c>
      <c r="R400" t="s">
        <v>20</v>
      </c>
      <c r="S400" t="s">
        <v>20</v>
      </c>
      <c r="T400">
        <v>198</v>
      </c>
      <c r="U400" t="s">
        <v>1313</v>
      </c>
      <c r="V400" t="s">
        <v>20</v>
      </c>
      <c r="W400" t="s">
        <v>1352</v>
      </c>
      <c r="X400" t="s">
        <v>20</v>
      </c>
      <c r="Y400">
        <v>146.14599999999999</v>
      </c>
      <c r="Z400" t="s">
        <v>20</v>
      </c>
      <c r="AA400" t="s">
        <v>20</v>
      </c>
      <c r="AB400">
        <v>239</v>
      </c>
      <c r="AC400" t="s">
        <v>1314</v>
      </c>
      <c r="AD400" t="s">
        <v>20</v>
      </c>
      <c r="AE400" t="s">
        <v>1353</v>
      </c>
      <c r="AF400" t="s">
        <v>20</v>
      </c>
      <c r="AG400">
        <v>174.203</v>
      </c>
      <c r="AH400" t="s">
        <v>20</v>
      </c>
      <c r="AI400" t="s">
        <v>20</v>
      </c>
      <c r="AJ400">
        <v>364</v>
      </c>
      <c r="AK400" t="s">
        <v>1315</v>
      </c>
      <c r="AL400" t="s">
        <v>20</v>
      </c>
      <c r="AM400" t="s">
        <v>1354</v>
      </c>
      <c r="AN400" t="s">
        <v>20</v>
      </c>
      <c r="AO400">
        <v>119.119</v>
      </c>
      <c r="AP400" t="s">
        <v>20</v>
      </c>
      <c r="AQ400" t="s">
        <v>20</v>
      </c>
    </row>
    <row r="401" spans="1:43" x14ac:dyDescent="0.25">
      <c r="A401">
        <v>6</v>
      </c>
      <c r="B401" t="s">
        <v>167</v>
      </c>
      <c r="C401" t="str">
        <f>HYPERLINK("http://www.ncbi.nlm.nih.gov/protein/NXE09334.1","NXE09334.1")</f>
        <v>NXE09334.1</v>
      </c>
      <c r="D401">
        <v>13942</v>
      </c>
      <c r="E401" t="str">
        <f>HYPERLINK("http://www.ncbi.nlm.nih.gov/Taxonomy/Browser/wwwtax.cgi?mode=Info&amp;id=172689&amp;lvl=3&amp;lin=f&amp;keep=1&amp;srchmode=1&amp;unlock","172689")</f>
        <v>172689</v>
      </c>
      <c r="F401" t="s">
        <v>167</v>
      </c>
      <c r="G401" t="str">
        <f>HYPERLINK("http://www.ncbi.nlm.nih.gov/Taxonomy/Browser/wwwtax.cgi?mode=Info&amp;id=172689&amp;lvl=3&amp;lin=f&amp;keep=1&amp;srchmode=1&amp;unlock","Lophotis ruficrista")</f>
        <v>Lophotis ruficrista</v>
      </c>
      <c r="H401" t="s">
        <v>182</v>
      </c>
      <c r="I401" t="str">
        <f>HYPERLINK("http://www.ncbi.nlm.nih.gov/protein/NXE09334.1","ANDR protein")</f>
        <v>ANDR protein</v>
      </c>
      <c r="J401" t="s">
        <v>1323</v>
      </c>
      <c r="K401" t="s">
        <v>20</v>
      </c>
      <c r="L401">
        <v>168</v>
      </c>
      <c r="M401" t="s">
        <v>25</v>
      </c>
      <c r="N401" t="s">
        <v>20</v>
      </c>
      <c r="O401" t="s">
        <v>1352</v>
      </c>
      <c r="P401" t="s">
        <v>20</v>
      </c>
      <c r="Q401">
        <v>132.119</v>
      </c>
      <c r="R401" t="s">
        <v>20</v>
      </c>
      <c r="S401" t="s">
        <v>20</v>
      </c>
      <c r="T401">
        <v>174</v>
      </c>
      <c r="U401" t="s">
        <v>1313</v>
      </c>
      <c r="V401" t="s">
        <v>20</v>
      </c>
      <c r="W401" t="s">
        <v>1352</v>
      </c>
      <c r="X401" t="s">
        <v>20</v>
      </c>
      <c r="Y401">
        <v>146.14599999999999</v>
      </c>
      <c r="Z401" t="s">
        <v>20</v>
      </c>
      <c r="AA401" t="s">
        <v>20</v>
      </c>
      <c r="AB401">
        <v>215</v>
      </c>
      <c r="AC401" t="s">
        <v>1314</v>
      </c>
      <c r="AD401" t="s">
        <v>20</v>
      </c>
      <c r="AE401" t="s">
        <v>1353</v>
      </c>
      <c r="AF401" t="s">
        <v>20</v>
      </c>
      <c r="AG401">
        <v>174.203</v>
      </c>
      <c r="AH401" t="s">
        <v>20</v>
      </c>
      <c r="AI401" t="s">
        <v>20</v>
      </c>
      <c r="AJ401">
        <v>340</v>
      </c>
      <c r="AK401" t="s">
        <v>1315</v>
      </c>
      <c r="AL401" t="s">
        <v>20</v>
      </c>
      <c r="AM401" t="s">
        <v>1354</v>
      </c>
      <c r="AN401" t="s">
        <v>20</v>
      </c>
      <c r="AO401">
        <v>119.119</v>
      </c>
      <c r="AP401" t="s">
        <v>20</v>
      </c>
      <c r="AQ401" t="s">
        <v>20</v>
      </c>
    </row>
    <row r="402" spans="1:43" x14ac:dyDescent="0.25">
      <c r="A402">
        <v>6</v>
      </c>
      <c r="B402" t="s">
        <v>167</v>
      </c>
      <c r="C402" t="str">
        <f>HYPERLINK("http://www.ncbi.nlm.nih.gov/protein/NXY61431.1","NXY61431.1")</f>
        <v>NXY61431.1</v>
      </c>
      <c r="D402">
        <v>14612</v>
      </c>
      <c r="E402" t="str">
        <f>HYPERLINK("http://www.ncbi.nlm.nih.gov/Taxonomy/Browser/wwwtax.cgi?mode=Info&amp;id=1347786&amp;lvl=3&amp;lin=f&amp;keep=1&amp;srchmode=1&amp;unlock","1347786")</f>
        <v>1347786</v>
      </c>
      <c r="F402" t="s">
        <v>167</v>
      </c>
      <c r="G402" t="str">
        <f>HYPERLINK("http://www.ncbi.nlm.nih.gov/Taxonomy/Browser/wwwtax.cgi?mode=Info&amp;id=1347786&amp;lvl=3&amp;lin=f&amp;keep=1&amp;srchmode=1&amp;unlock","Callaeas wilsoni")</f>
        <v>Callaeas wilsoni</v>
      </c>
      <c r="H402" t="s">
        <v>335</v>
      </c>
      <c r="I402" t="str">
        <f>HYPERLINK("http://www.ncbi.nlm.nih.gov/protein/NXY61431.1","ANDR protein")</f>
        <v>ANDR protein</v>
      </c>
      <c r="J402" t="s">
        <v>1323</v>
      </c>
      <c r="K402" t="s">
        <v>20</v>
      </c>
      <c r="L402">
        <v>473</v>
      </c>
      <c r="M402" t="s">
        <v>25</v>
      </c>
      <c r="N402" t="s">
        <v>20</v>
      </c>
      <c r="O402" t="s">
        <v>1352</v>
      </c>
      <c r="P402" t="s">
        <v>20</v>
      </c>
      <c r="Q402">
        <v>132.119</v>
      </c>
      <c r="R402" t="s">
        <v>20</v>
      </c>
      <c r="S402" t="s">
        <v>20</v>
      </c>
      <c r="T402">
        <v>479</v>
      </c>
      <c r="U402" t="s">
        <v>1313</v>
      </c>
      <c r="V402" t="s">
        <v>20</v>
      </c>
      <c r="W402" t="s">
        <v>1352</v>
      </c>
      <c r="X402" t="s">
        <v>20</v>
      </c>
      <c r="Y402">
        <v>146.14599999999999</v>
      </c>
      <c r="Z402" t="s">
        <v>20</v>
      </c>
      <c r="AA402" t="s">
        <v>20</v>
      </c>
      <c r="AB402">
        <v>520</v>
      </c>
      <c r="AC402" t="s">
        <v>1314</v>
      </c>
      <c r="AD402" t="s">
        <v>20</v>
      </c>
      <c r="AE402" t="s">
        <v>1353</v>
      </c>
      <c r="AF402" t="s">
        <v>20</v>
      </c>
      <c r="AG402">
        <v>174.203</v>
      </c>
      <c r="AH402" t="s">
        <v>20</v>
      </c>
      <c r="AI402" t="s">
        <v>20</v>
      </c>
      <c r="AJ402">
        <v>645</v>
      </c>
      <c r="AK402" t="s">
        <v>1315</v>
      </c>
      <c r="AL402" t="s">
        <v>20</v>
      </c>
      <c r="AM402" t="s">
        <v>1354</v>
      </c>
      <c r="AN402" t="s">
        <v>20</v>
      </c>
      <c r="AO402">
        <v>119.119</v>
      </c>
      <c r="AP402" t="s">
        <v>20</v>
      </c>
      <c r="AQ402" t="s">
        <v>20</v>
      </c>
    </row>
    <row r="403" spans="1:43" x14ac:dyDescent="0.25">
      <c r="A403">
        <v>6</v>
      </c>
      <c r="B403" t="s">
        <v>167</v>
      </c>
      <c r="C403" t="str">
        <f>HYPERLINK("http://www.ncbi.nlm.nih.gov/protein/NXK08670.1","NXK08670.1")</f>
        <v>NXK08670.1</v>
      </c>
      <c r="D403">
        <v>14398</v>
      </c>
      <c r="E403" t="str">
        <f>HYPERLINK("http://www.ncbi.nlm.nih.gov/Taxonomy/Browser/wwwtax.cgi?mode=Info&amp;id=56343&amp;lvl=3&amp;lin=f&amp;keep=1&amp;srchmode=1&amp;unlock","56343")</f>
        <v>56343</v>
      </c>
      <c r="F403" t="s">
        <v>167</v>
      </c>
      <c r="G403" t="str">
        <f>HYPERLINK("http://www.ncbi.nlm.nih.gov/Taxonomy/Browser/wwwtax.cgi?mode=Info&amp;id=56343&amp;lvl=3&amp;lin=f&amp;keep=1&amp;srchmode=1&amp;unlock","Herpetotheres cachinnans")</f>
        <v>Herpetotheres cachinnans</v>
      </c>
      <c r="H403" t="s">
        <v>239</v>
      </c>
      <c r="I403" t="str">
        <f>HYPERLINK("http://www.ncbi.nlm.nih.gov/protein/NXK08670.1","ANDR protein")</f>
        <v>ANDR protein</v>
      </c>
      <c r="J403" t="s">
        <v>1323</v>
      </c>
      <c r="K403" t="s">
        <v>20</v>
      </c>
      <c r="L403">
        <v>168</v>
      </c>
      <c r="M403" t="s">
        <v>25</v>
      </c>
      <c r="N403" t="s">
        <v>20</v>
      </c>
      <c r="O403" t="s">
        <v>1352</v>
      </c>
      <c r="P403" t="s">
        <v>20</v>
      </c>
      <c r="Q403">
        <v>132.119</v>
      </c>
      <c r="R403" t="s">
        <v>20</v>
      </c>
      <c r="S403" t="s">
        <v>20</v>
      </c>
      <c r="T403">
        <v>174</v>
      </c>
      <c r="U403" t="s">
        <v>1313</v>
      </c>
      <c r="V403" t="s">
        <v>20</v>
      </c>
      <c r="W403" t="s">
        <v>1352</v>
      </c>
      <c r="X403" t="s">
        <v>20</v>
      </c>
      <c r="Y403">
        <v>146.14599999999999</v>
      </c>
      <c r="Z403" t="s">
        <v>20</v>
      </c>
      <c r="AA403" t="s">
        <v>20</v>
      </c>
      <c r="AB403">
        <v>215</v>
      </c>
      <c r="AC403" t="s">
        <v>1314</v>
      </c>
      <c r="AD403" t="s">
        <v>20</v>
      </c>
      <c r="AE403" t="s">
        <v>1353</v>
      </c>
      <c r="AF403" t="s">
        <v>20</v>
      </c>
      <c r="AG403">
        <v>174.203</v>
      </c>
      <c r="AH403" t="s">
        <v>20</v>
      </c>
      <c r="AI403" t="s">
        <v>20</v>
      </c>
      <c r="AJ403">
        <v>340</v>
      </c>
      <c r="AK403" t="s">
        <v>1315</v>
      </c>
      <c r="AL403" t="s">
        <v>20</v>
      </c>
      <c r="AM403" t="s">
        <v>1354</v>
      </c>
      <c r="AN403" t="s">
        <v>20</v>
      </c>
      <c r="AO403">
        <v>119.119</v>
      </c>
      <c r="AP403" t="s">
        <v>20</v>
      </c>
      <c r="AQ403" t="s">
        <v>20</v>
      </c>
    </row>
    <row r="404" spans="1:43" x14ac:dyDescent="0.25">
      <c r="A404">
        <v>6</v>
      </c>
      <c r="B404" t="s">
        <v>167</v>
      </c>
      <c r="C404" t="str">
        <f>HYPERLINK("http://www.ncbi.nlm.nih.gov/protein/NXH77487.1","NXH77487.1")</f>
        <v>NXH77487.1</v>
      </c>
      <c r="D404">
        <v>14052</v>
      </c>
      <c r="E404" t="str">
        <f>HYPERLINK("http://www.ncbi.nlm.nih.gov/Taxonomy/Browser/wwwtax.cgi?mode=Info&amp;id=79633&amp;lvl=3&amp;lin=f&amp;keep=1&amp;srchmode=1&amp;unlock","79633")</f>
        <v>79633</v>
      </c>
      <c r="F404" t="s">
        <v>167</v>
      </c>
      <c r="G404" t="str">
        <f>HYPERLINK("http://www.ncbi.nlm.nih.gov/Taxonomy/Browser/wwwtax.cgi?mode=Info&amp;id=79633&amp;lvl=3&amp;lin=f&amp;keep=1&amp;srchmode=1&amp;unlock","Oceanodroma tethys")</f>
        <v>Oceanodroma tethys</v>
      </c>
      <c r="H404" t="s">
        <v>173</v>
      </c>
      <c r="I404" t="str">
        <f>HYPERLINK("http://www.ncbi.nlm.nih.gov/protein/NXH77487.1","ANDR protein")</f>
        <v>ANDR protein</v>
      </c>
      <c r="J404" t="s">
        <v>1323</v>
      </c>
      <c r="K404" t="s">
        <v>20</v>
      </c>
      <c r="L404">
        <v>168</v>
      </c>
      <c r="M404" t="s">
        <v>25</v>
      </c>
      <c r="N404" t="s">
        <v>20</v>
      </c>
      <c r="O404" t="s">
        <v>1352</v>
      </c>
      <c r="P404" t="s">
        <v>20</v>
      </c>
      <c r="Q404">
        <v>132.119</v>
      </c>
      <c r="R404" t="s">
        <v>20</v>
      </c>
      <c r="S404" t="s">
        <v>20</v>
      </c>
      <c r="T404">
        <v>174</v>
      </c>
      <c r="U404" t="s">
        <v>1313</v>
      </c>
      <c r="V404" t="s">
        <v>20</v>
      </c>
      <c r="W404" t="s">
        <v>1352</v>
      </c>
      <c r="X404" t="s">
        <v>20</v>
      </c>
      <c r="Y404">
        <v>146.14599999999999</v>
      </c>
      <c r="Z404" t="s">
        <v>20</v>
      </c>
      <c r="AA404" t="s">
        <v>20</v>
      </c>
      <c r="AB404">
        <v>215</v>
      </c>
      <c r="AC404" t="s">
        <v>1314</v>
      </c>
      <c r="AD404" t="s">
        <v>20</v>
      </c>
      <c r="AE404" t="s">
        <v>1353</v>
      </c>
      <c r="AF404" t="s">
        <v>20</v>
      </c>
      <c r="AG404">
        <v>174.203</v>
      </c>
      <c r="AH404" t="s">
        <v>20</v>
      </c>
      <c r="AI404" t="s">
        <v>20</v>
      </c>
      <c r="AJ404">
        <v>340</v>
      </c>
      <c r="AK404" t="s">
        <v>1315</v>
      </c>
      <c r="AL404" t="s">
        <v>20</v>
      </c>
      <c r="AM404" t="s">
        <v>1354</v>
      </c>
      <c r="AN404" t="s">
        <v>20</v>
      </c>
      <c r="AO404">
        <v>119.119</v>
      </c>
      <c r="AP404" t="s">
        <v>20</v>
      </c>
      <c r="AQ404" t="s">
        <v>20</v>
      </c>
    </row>
    <row r="405" spans="1:43" x14ac:dyDescent="0.25">
      <c r="A405">
        <v>6</v>
      </c>
      <c r="B405" t="s">
        <v>167</v>
      </c>
      <c r="C405" t="str">
        <f>HYPERLINK("http://www.ncbi.nlm.nih.gov/protein/NWX79862.1","NWX79862.1")</f>
        <v>NWX79862.1</v>
      </c>
      <c r="D405">
        <v>14034</v>
      </c>
      <c r="E405" t="str">
        <f>HYPERLINK("http://www.ncbi.nlm.nih.gov/Taxonomy/Browser/wwwtax.cgi?mode=Info&amp;id=28689&amp;lvl=3&amp;lin=f&amp;keep=1&amp;srchmode=1&amp;unlock","28689")</f>
        <v>28689</v>
      </c>
      <c r="F405" t="s">
        <v>167</v>
      </c>
      <c r="G405" t="str">
        <f>HYPERLINK("http://www.ncbi.nlm.nih.gov/Taxonomy/Browser/wwwtax.cgi?mode=Info&amp;id=28689&amp;lvl=3&amp;lin=f&amp;keep=1&amp;srchmode=1&amp;unlock","Alca torda")</f>
        <v>Alca torda</v>
      </c>
      <c r="H405" t="s">
        <v>202</v>
      </c>
      <c r="I405" t="str">
        <f>HYPERLINK("http://www.ncbi.nlm.nih.gov/protein/NWX79862.1","ANDR protein")</f>
        <v>ANDR protein</v>
      </c>
      <c r="J405" t="s">
        <v>1323</v>
      </c>
      <c r="K405" t="s">
        <v>20</v>
      </c>
      <c r="L405">
        <v>168</v>
      </c>
      <c r="M405" t="s">
        <v>25</v>
      </c>
      <c r="N405" t="s">
        <v>20</v>
      </c>
      <c r="O405" t="s">
        <v>1352</v>
      </c>
      <c r="P405" t="s">
        <v>20</v>
      </c>
      <c r="Q405">
        <v>132.119</v>
      </c>
      <c r="R405" t="s">
        <v>20</v>
      </c>
      <c r="S405" t="s">
        <v>20</v>
      </c>
      <c r="T405">
        <v>174</v>
      </c>
      <c r="U405" t="s">
        <v>1313</v>
      </c>
      <c r="V405" t="s">
        <v>20</v>
      </c>
      <c r="W405" t="s">
        <v>1352</v>
      </c>
      <c r="X405" t="s">
        <v>20</v>
      </c>
      <c r="Y405">
        <v>146.14599999999999</v>
      </c>
      <c r="Z405" t="s">
        <v>20</v>
      </c>
      <c r="AA405" t="s">
        <v>20</v>
      </c>
      <c r="AB405">
        <v>215</v>
      </c>
      <c r="AC405" t="s">
        <v>1314</v>
      </c>
      <c r="AD405" t="s">
        <v>20</v>
      </c>
      <c r="AE405" t="s">
        <v>1353</v>
      </c>
      <c r="AF405" t="s">
        <v>20</v>
      </c>
      <c r="AG405">
        <v>174.203</v>
      </c>
      <c r="AH405" t="s">
        <v>20</v>
      </c>
      <c r="AI405" t="s">
        <v>20</v>
      </c>
      <c r="AJ405">
        <v>340</v>
      </c>
      <c r="AK405" t="s">
        <v>1315</v>
      </c>
      <c r="AL405" t="s">
        <v>20</v>
      </c>
      <c r="AM405" t="s">
        <v>1354</v>
      </c>
      <c r="AN405" t="s">
        <v>20</v>
      </c>
      <c r="AO405">
        <v>119.119</v>
      </c>
      <c r="AP405" t="s">
        <v>20</v>
      </c>
      <c r="AQ405" t="s">
        <v>20</v>
      </c>
    </row>
    <row r="406" spans="1:43" x14ac:dyDescent="0.25">
      <c r="A406">
        <v>6</v>
      </c>
      <c r="B406" t="s">
        <v>167</v>
      </c>
      <c r="C406" t="str">
        <f>HYPERLINK("http://www.ncbi.nlm.nih.gov/protein/NXI74886.1","NXI74886.1")</f>
        <v>NXI74886.1</v>
      </c>
      <c r="D406">
        <v>14308</v>
      </c>
      <c r="E406" t="str">
        <f>HYPERLINK("http://www.ncbi.nlm.nih.gov/Taxonomy/Browser/wwwtax.cgi?mode=Info&amp;id=8851&amp;lvl=3&amp;lin=f&amp;keep=1&amp;srchmode=1&amp;unlock","8851")</f>
        <v>8851</v>
      </c>
      <c r="F406" t="s">
        <v>167</v>
      </c>
      <c r="G406" t="str">
        <f>HYPERLINK("http://www.ncbi.nlm.nih.gov/Taxonomy/Browser/wwwtax.cgi?mode=Info&amp;id=8851&amp;lvl=3&amp;lin=f&amp;keep=1&amp;srchmode=1&amp;unlock","Anseranas semipalmata")</f>
        <v>Anseranas semipalmata</v>
      </c>
      <c r="H406" t="s">
        <v>345</v>
      </c>
      <c r="I406" t="str">
        <f>HYPERLINK("http://www.ncbi.nlm.nih.gov/protein/NXI74886.1","ANDR protein")</f>
        <v>ANDR protein</v>
      </c>
      <c r="J406" t="s">
        <v>1323</v>
      </c>
      <c r="K406" t="s">
        <v>20</v>
      </c>
      <c r="L406">
        <v>168</v>
      </c>
      <c r="M406" t="s">
        <v>25</v>
      </c>
      <c r="N406" t="s">
        <v>20</v>
      </c>
      <c r="O406" t="s">
        <v>1352</v>
      </c>
      <c r="P406" t="s">
        <v>20</v>
      </c>
      <c r="Q406">
        <v>132.119</v>
      </c>
      <c r="R406" t="s">
        <v>20</v>
      </c>
      <c r="S406" t="s">
        <v>20</v>
      </c>
      <c r="T406">
        <v>174</v>
      </c>
      <c r="U406" t="s">
        <v>1313</v>
      </c>
      <c r="V406" t="s">
        <v>20</v>
      </c>
      <c r="W406" t="s">
        <v>1352</v>
      </c>
      <c r="X406" t="s">
        <v>20</v>
      </c>
      <c r="Y406">
        <v>146.14599999999999</v>
      </c>
      <c r="Z406" t="s">
        <v>20</v>
      </c>
      <c r="AA406" t="s">
        <v>20</v>
      </c>
      <c r="AB406">
        <v>215</v>
      </c>
      <c r="AC406" t="s">
        <v>1314</v>
      </c>
      <c r="AD406" t="s">
        <v>20</v>
      </c>
      <c r="AE406" t="s">
        <v>1353</v>
      </c>
      <c r="AF406" t="s">
        <v>20</v>
      </c>
      <c r="AG406">
        <v>174.203</v>
      </c>
      <c r="AH406" t="s">
        <v>20</v>
      </c>
      <c r="AI406" t="s">
        <v>20</v>
      </c>
      <c r="AJ406">
        <v>340</v>
      </c>
      <c r="AK406" t="s">
        <v>1315</v>
      </c>
      <c r="AL406" t="s">
        <v>20</v>
      </c>
      <c r="AM406" t="s">
        <v>1354</v>
      </c>
      <c r="AN406" t="s">
        <v>20</v>
      </c>
      <c r="AO406">
        <v>119.119</v>
      </c>
      <c r="AP406" t="s">
        <v>20</v>
      </c>
      <c r="AQ406" t="s">
        <v>20</v>
      </c>
    </row>
    <row r="407" spans="1:43" x14ac:dyDescent="0.25">
      <c r="A407">
        <v>6</v>
      </c>
      <c r="B407" t="s">
        <v>167</v>
      </c>
      <c r="C407" t="str">
        <f>HYPERLINK("http://www.ncbi.nlm.nih.gov/protein/NXT22234.1","NXT22234.1")</f>
        <v>NXT22234.1</v>
      </c>
      <c r="D407">
        <v>13562</v>
      </c>
      <c r="E407" t="str">
        <f>HYPERLINK("http://www.ncbi.nlm.nih.gov/Taxonomy/Browser/wwwtax.cgi?mode=Info&amp;id=302527&amp;lvl=3&amp;lin=f&amp;keep=1&amp;srchmode=1&amp;unlock","302527")</f>
        <v>302527</v>
      </c>
      <c r="F407" t="s">
        <v>167</v>
      </c>
      <c r="G407" t="str">
        <f>HYPERLINK("http://www.ncbi.nlm.nih.gov/Taxonomy/Browser/wwwtax.cgi?mode=Info&amp;id=302527&amp;lvl=3&amp;lin=f&amp;keep=1&amp;srchmode=1&amp;unlock","Syrrhaptes paradoxus")</f>
        <v>Syrrhaptes paradoxus</v>
      </c>
      <c r="H407" t="s">
        <v>509</v>
      </c>
      <c r="I407" t="str">
        <f>HYPERLINK("http://www.ncbi.nlm.nih.gov/protein/NXT22234.1","ANDR protein")</f>
        <v>ANDR protein</v>
      </c>
      <c r="J407" t="s">
        <v>1323</v>
      </c>
      <c r="K407" t="s">
        <v>20</v>
      </c>
      <c r="L407">
        <v>168</v>
      </c>
      <c r="M407" t="s">
        <v>25</v>
      </c>
      <c r="N407" t="s">
        <v>20</v>
      </c>
      <c r="O407" t="s">
        <v>1352</v>
      </c>
      <c r="P407" t="s">
        <v>20</v>
      </c>
      <c r="Q407">
        <v>132.119</v>
      </c>
      <c r="R407" t="s">
        <v>20</v>
      </c>
      <c r="S407" t="s">
        <v>20</v>
      </c>
      <c r="T407">
        <v>174</v>
      </c>
      <c r="U407" t="s">
        <v>1313</v>
      </c>
      <c r="V407" t="s">
        <v>20</v>
      </c>
      <c r="W407" t="s">
        <v>1352</v>
      </c>
      <c r="X407" t="s">
        <v>20</v>
      </c>
      <c r="Y407">
        <v>146.14599999999999</v>
      </c>
      <c r="Z407" t="s">
        <v>20</v>
      </c>
      <c r="AA407" t="s">
        <v>20</v>
      </c>
      <c r="AB407">
        <v>215</v>
      </c>
      <c r="AC407" t="s">
        <v>1314</v>
      </c>
      <c r="AD407" t="s">
        <v>20</v>
      </c>
      <c r="AE407" t="s">
        <v>1353</v>
      </c>
      <c r="AF407" t="s">
        <v>20</v>
      </c>
      <c r="AG407">
        <v>174.203</v>
      </c>
      <c r="AH407" t="s">
        <v>20</v>
      </c>
      <c r="AI407" t="s">
        <v>20</v>
      </c>
      <c r="AJ407">
        <v>340</v>
      </c>
      <c r="AK407" t="s">
        <v>1315</v>
      </c>
      <c r="AL407" t="s">
        <v>20</v>
      </c>
      <c r="AM407" t="s">
        <v>1354</v>
      </c>
      <c r="AN407" t="s">
        <v>20</v>
      </c>
      <c r="AO407">
        <v>119.119</v>
      </c>
      <c r="AP407" t="s">
        <v>20</v>
      </c>
      <c r="AQ407" t="s">
        <v>20</v>
      </c>
    </row>
    <row r="408" spans="1:43" x14ac:dyDescent="0.25">
      <c r="A408">
        <v>6</v>
      </c>
      <c r="B408" t="s">
        <v>167</v>
      </c>
      <c r="C408" t="str">
        <f>HYPERLINK("http://www.ncbi.nlm.nih.gov/protein/NXY76413.1","NXY76413.1")</f>
        <v>NXY76413.1</v>
      </c>
      <c r="D408">
        <v>13804</v>
      </c>
      <c r="E408" t="str">
        <f>HYPERLINK("http://www.ncbi.nlm.nih.gov/Taxonomy/Browser/wwwtax.cgi?mode=Info&amp;id=43316&amp;lvl=3&amp;lin=f&amp;keep=1&amp;srchmode=1&amp;unlock","43316")</f>
        <v>43316</v>
      </c>
      <c r="F408" t="s">
        <v>167</v>
      </c>
      <c r="G408" t="str">
        <f>HYPERLINK("http://www.ncbi.nlm.nih.gov/Taxonomy/Browser/wwwtax.cgi?mode=Info&amp;id=43316&amp;lvl=3&amp;lin=f&amp;keep=1&amp;srchmode=1&amp;unlock","Glareola pratincola")</f>
        <v>Glareola pratincola</v>
      </c>
      <c r="H408" t="s">
        <v>185</v>
      </c>
      <c r="I408" t="str">
        <f>HYPERLINK("http://www.ncbi.nlm.nih.gov/protein/NXY76413.1","ANDR protein")</f>
        <v>ANDR protein</v>
      </c>
      <c r="J408" t="s">
        <v>1323</v>
      </c>
      <c r="K408" t="s">
        <v>20</v>
      </c>
      <c r="L408">
        <v>168</v>
      </c>
      <c r="M408" t="s">
        <v>25</v>
      </c>
      <c r="N408" t="s">
        <v>20</v>
      </c>
      <c r="O408" t="s">
        <v>1352</v>
      </c>
      <c r="P408" t="s">
        <v>20</v>
      </c>
      <c r="Q408">
        <v>132.119</v>
      </c>
      <c r="R408" t="s">
        <v>20</v>
      </c>
      <c r="S408" t="s">
        <v>20</v>
      </c>
      <c r="T408">
        <v>174</v>
      </c>
      <c r="U408" t="s">
        <v>1313</v>
      </c>
      <c r="V408" t="s">
        <v>20</v>
      </c>
      <c r="W408" t="s">
        <v>1352</v>
      </c>
      <c r="X408" t="s">
        <v>20</v>
      </c>
      <c r="Y408">
        <v>146.14599999999999</v>
      </c>
      <c r="Z408" t="s">
        <v>20</v>
      </c>
      <c r="AA408" t="s">
        <v>20</v>
      </c>
      <c r="AB408">
        <v>215</v>
      </c>
      <c r="AC408" t="s">
        <v>1314</v>
      </c>
      <c r="AD408" t="s">
        <v>20</v>
      </c>
      <c r="AE408" t="s">
        <v>1353</v>
      </c>
      <c r="AF408" t="s">
        <v>20</v>
      </c>
      <c r="AG408">
        <v>174.203</v>
      </c>
      <c r="AH408" t="s">
        <v>20</v>
      </c>
      <c r="AI408" t="s">
        <v>20</v>
      </c>
      <c r="AJ408">
        <v>340</v>
      </c>
      <c r="AK408" t="s">
        <v>1315</v>
      </c>
      <c r="AL408" t="s">
        <v>20</v>
      </c>
      <c r="AM408" t="s">
        <v>1354</v>
      </c>
      <c r="AN408" t="s">
        <v>20</v>
      </c>
      <c r="AO408">
        <v>119.119</v>
      </c>
      <c r="AP408" t="s">
        <v>20</v>
      </c>
      <c r="AQ408" t="s">
        <v>20</v>
      </c>
    </row>
    <row r="409" spans="1:43" x14ac:dyDescent="0.25">
      <c r="A409">
        <v>6</v>
      </c>
      <c r="B409" t="s">
        <v>167</v>
      </c>
      <c r="C409" t="str">
        <f>HYPERLINK("http://www.ncbi.nlm.nih.gov/protein/NXU71634.1","NXU71634.1")</f>
        <v>NXU71634.1</v>
      </c>
      <c r="D409">
        <v>12185</v>
      </c>
      <c r="E409" t="str">
        <f>HYPERLINK("http://www.ncbi.nlm.nih.gov/Taxonomy/Browser/wwwtax.cgi?mode=Info&amp;id=689266&amp;lvl=3&amp;lin=f&amp;keep=1&amp;srchmode=1&amp;unlock","689266")</f>
        <v>689266</v>
      </c>
      <c r="F409" t="s">
        <v>167</v>
      </c>
      <c r="G409" t="str">
        <f>HYPERLINK("http://www.ncbi.nlm.nih.gov/Taxonomy/Browser/wwwtax.cgi?mode=Info&amp;id=689266&amp;lvl=3&amp;lin=f&amp;keep=1&amp;srchmode=1&amp;unlock","Oreotrochilus melanogaster")</f>
        <v>Oreotrochilus melanogaster</v>
      </c>
      <c r="H409" t="s">
        <v>242</v>
      </c>
      <c r="I409" t="str">
        <f>HYPERLINK("http://www.ncbi.nlm.nih.gov/protein/NXU71634.1","ANDR protein")</f>
        <v>ANDR protein</v>
      </c>
      <c r="J409" t="s">
        <v>1323</v>
      </c>
      <c r="K409" t="s">
        <v>20</v>
      </c>
      <c r="L409">
        <v>168</v>
      </c>
      <c r="M409" t="s">
        <v>25</v>
      </c>
      <c r="N409" t="s">
        <v>20</v>
      </c>
      <c r="O409" t="s">
        <v>1352</v>
      </c>
      <c r="P409" t="s">
        <v>20</v>
      </c>
      <c r="Q409">
        <v>132.119</v>
      </c>
      <c r="R409" t="s">
        <v>20</v>
      </c>
      <c r="S409" t="s">
        <v>20</v>
      </c>
      <c r="T409">
        <v>174</v>
      </c>
      <c r="U409" t="s">
        <v>1313</v>
      </c>
      <c r="V409" t="s">
        <v>20</v>
      </c>
      <c r="W409" t="s">
        <v>1352</v>
      </c>
      <c r="X409" t="s">
        <v>20</v>
      </c>
      <c r="Y409">
        <v>146.14599999999999</v>
      </c>
      <c r="Z409" t="s">
        <v>20</v>
      </c>
      <c r="AA409" t="s">
        <v>20</v>
      </c>
      <c r="AB409">
        <v>215</v>
      </c>
      <c r="AC409" t="s">
        <v>1314</v>
      </c>
      <c r="AD409" t="s">
        <v>20</v>
      </c>
      <c r="AE409" t="s">
        <v>1353</v>
      </c>
      <c r="AF409" t="s">
        <v>20</v>
      </c>
      <c r="AG409">
        <v>174.203</v>
      </c>
      <c r="AH409" t="s">
        <v>20</v>
      </c>
      <c r="AI409" t="s">
        <v>20</v>
      </c>
      <c r="AJ409">
        <v>340</v>
      </c>
      <c r="AK409" t="s">
        <v>1315</v>
      </c>
      <c r="AL409" t="s">
        <v>20</v>
      </c>
      <c r="AM409" t="s">
        <v>1354</v>
      </c>
      <c r="AN409" t="s">
        <v>20</v>
      </c>
      <c r="AO409">
        <v>119.119</v>
      </c>
      <c r="AP409" t="s">
        <v>20</v>
      </c>
      <c r="AQ409" t="s">
        <v>20</v>
      </c>
    </row>
    <row r="410" spans="1:43" x14ac:dyDescent="0.25">
      <c r="A410">
        <v>6</v>
      </c>
      <c r="B410" t="s">
        <v>167</v>
      </c>
      <c r="C410" t="str">
        <f>HYPERLINK("http://www.ncbi.nlm.nih.gov/protein/NXH42391.1","NXH42391.1")</f>
        <v>NXH42391.1</v>
      </c>
      <c r="D410">
        <v>13663</v>
      </c>
      <c r="E410" t="str">
        <f>HYPERLINK("http://www.ncbi.nlm.nih.gov/Taxonomy/Browser/wwwtax.cgi?mode=Info&amp;id=667154&amp;lvl=3&amp;lin=f&amp;keep=1&amp;srchmode=1&amp;unlock","667154")</f>
        <v>667154</v>
      </c>
      <c r="F410" t="s">
        <v>167</v>
      </c>
      <c r="G410" t="str">
        <f>HYPERLINK("http://www.ncbi.nlm.nih.gov/Taxonomy/Browser/wwwtax.cgi?mode=Info&amp;id=667154&amp;lvl=3&amp;lin=f&amp;keep=1&amp;srchmode=1&amp;unlock","Dicaeum eximium")</f>
        <v>Dicaeum eximium</v>
      </c>
      <c r="H410" t="s">
        <v>206</v>
      </c>
      <c r="I410" t="str">
        <f>HYPERLINK("http://www.ncbi.nlm.nih.gov/protein/NXH42391.1","ANDR protein")</f>
        <v>ANDR protein</v>
      </c>
      <c r="J410" t="s">
        <v>1323</v>
      </c>
      <c r="K410" t="s">
        <v>20</v>
      </c>
      <c r="L410">
        <v>388</v>
      </c>
      <c r="M410" t="s">
        <v>25</v>
      </c>
      <c r="N410" t="s">
        <v>20</v>
      </c>
      <c r="O410" t="s">
        <v>1352</v>
      </c>
      <c r="P410" t="s">
        <v>20</v>
      </c>
      <c r="Q410">
        <v>132.119</v>
      </c>
      <c r="R410" t="s">
        <v>20</v>
      </c>
      <c r="S410" t="s">
        <v>20</v>
      </c>
      <c r="T410">
        <v>394</v>
      </c>
      <c r="U410" t="s">
        <v>1313</v>
      </c>
      <c r="V410" t="s">
        <v>20</v>
      </c>
      <c r="W410" t="s">
        <v>1352</v>
      </c>
      <c r="X410" t="s">
        <v>20</v>
      </c>
      <c r="Y410">
        <v>146.14599999999999</v>
      </c>
      <c r="Z410" t="s">
        <v>20</v>
      </c>
      <c r="AA410" t="s">
        <v>20</v>
      </c>
      <c r="AB410">
        <v>435</v>
      </c>
      <c r="AC410" t="s">
        <v>1314</v>
      </c>
      <c r="AD410" t="s">
        <v>20</v>
      </c>
      <c r="AE410" t="s">
        <v>1353</v>
      </c>
      <c r="AF410" t="s">
        <v>20</v>
      </c>
      <c r="AG410">
        <v>174.203</v>
      </c>
      <c r="AH410" t="s">
        <v>20</v>
      </c>
      <c r="AI410" t="s">
        <v>20</v>
      </c>
      <c r="AJ410">
        <v>560</v>
      </c>
      <c r="AK410" t="s">
        <v>1315</v>
      </c>
      <c r="AL410" t="s">
        <v>20</v>
      </c>
      <c r="AM410" t="s">
        <v>1354</v>
      </c>
      <c r="AN410" t="s">
        <v>20</v>
      </c>
      <c r="AO410">
        <v>119.119</v>
      </c>
      <c r="AP410" t="s">
        <v>20</v>
      </c>
      <c r="AQ410" t="s">
        <v>20</v>
      </c>
    </row>
    <row r="411" spans="1:43" x14ac:dyDescent="0.25">
      <c r="A411">
        <v>6</v>
      </c>
      <c r="B411" t="s">
        <v>167</v>
      </c>
      <c r="C411" t="str">
        <f>HYPERLINK("http://www.ncbi.nlm.nih.gov/protein/NXK18727.1","NXK18727.1")</f>
        <v>NXK18727.1</v>
      </c>
      <c r="D411">
        <v>13971</v>
      </c>
      <c r="E411" t="str">
        <f>HYPERLINK("http://www.ncbi.nlm.nih.gov/Taxonomy/Browser/wwwtax.cgi?mode=Info&amp;id=54971&amp;lvl=3&amp;lin=f&amp;keep=1&amp;srchmode=1&amp;unlock","54971")</f>
        <v>54971</v>
      </c>
      <c r="F411" t="s">
        <v>167</v>
      </c>
      <c r="G411" t="str">
        <f>HYPERLINK("http://www.ncbi.nlm.nih.gov/Taxonomy/Browser/wwwtax.cgi?mode=Info&amp;id=54971&amp;lvl=3&amp;lin=f&amp;keep=1&amp;srchmode=1&amp;unlock","Arenaria interpres")</f>
        <v>Arenaria interpres</v>
      </c>
      <c r="H411" t="s">
        <v>187</v>
      </c>
      <c r="I411" t="str">
        <f>HYPERLINK("http://www.ncbi.nlm.nih.gov/protein/NXK18727.1","ANDR protein")</f>
        <v>ANDR protein</v>
      </c>
      <c r="J411" t="s">
        <v>1323</v>
      </c>
      <c r="K411" t="s">
        <v>20</v>
      </c>
      <c r="L411">
        <v>168</v>
      </c>
      <c r="M411" t="s">
        <v>25</v>
      </c>
      <c r="N411" t="s">
        <v>20</v>
      </c>
      <c r="O411" t="s">
        <v>1352</v>
      </c>
      <c r="P411" t="s">
        <v>20</v>
      </c>
      <c r="Q411">
        <v>132.119</v>
      </c>
      <c r="R411" t="s">
        <v>20</v>
      </c>
      <c r="S411" t="s">
        <v>20</v>
      </c>
      <c r="T411">
        <v>174</v>
      </c>
      <c r="U411" t="s">
        <v>1313</v>
      </c>
      <c r="V411" t="s">
        <v>20</v>
      </c>
      <c r="W411" t="s">
        <v>1352</v>
      </c>
      <c r="X411" t="s">
        <v>20</v>
      </c>
      <c r="Y411">
        <v>146.14599999999999</v>
      </c>
      <c r="Z411" t="s">
        <v>20</v>
      </c>
      <c r="AA411" t="s">
        <v>20</v>
      </c>
      <c r="AB411">
        <v>215</v>
      </c>
      <c r="AC411" t="s">
        <v>1314</v>
      </c>
      <c r="AD411" t="s">
        <v>20</v>
      </c>
      <c r="AE411" t="s">
        <v>1353</v>
      </c>
      <c r="AF411" t="s">
        <v>20</v>
      </c>
      <c r="AG411">
        <v>174.203</v>
      </c>
      <c r="AH411" t="s">
        <v>20</v>
      </c>
      <c r="AI411" t="s">
        <v>20</v>
      </c>
      <c r="AJ411">
        <v>340</v>
      </c>
      <c r="AK411" t="s">
        <v>1315</v>
      </c>
      <c r="AL411" t="s">
        <v>20</v>
      </c>
      <c r="AM411" t="s">
        <v>1354</v>
      </c>
      <c r="AN411" t="s">
        <v>20</v>
      </c>
      <c r="AO411">
        <v>119.119</v>
      </c>
      <c r="AP411" t="s">
        <v>20</v>
      </c>
      <c r="AQ411" t="s">
        <v>20</v>
      </c>
    </row>
    <row r="412" spans="1:43" x14ac:dyDescent="0.25">
      <c r="A412">
        <v>6</v>
      </c>
      <c r="B412" t="s">
        <v>167</v>
      </c>
      <c r="C412" t="str">
        <f>HYPERLINK("http://www.ncbi.nlm.nih.gov/protein/XP_010217956.1","XP_010217956.1")</f>
        <v>XP_010217956.1</v>
      </c>
      <c r="D412">
        <v>31346</v>
      </c>
      <c r="E412" t="str">
        <f>HYPERLINK("http://www.ncbi.nlm.nih.gov/Taxonomy/Browser/wwwtax.cgi?mode=Info&amp;id=94827&amp;lvl=3&amp;lin=f&amp;keep=1&amp;srchmode=1&amp;unlock","94827")</f>
        <v>94827</v>
      </c>
      <c r="F412" t="s">
        <v>167</v>
      </c>
      <c r="G412" t="str">
        <f>HYPERLINK("http://www.ncbi.nlm.nih.gov/Taxonomy/Browser/wwwtax.cgi?mode=Info&amp;id=94827&amp;lvl=3&amp;lin=f&amp;keep=1&amp;srchmode=1&amp;unlock","Tinamus guttatus")</f>
        <v>Tinamus guttatus</v>
      </c>
      <c r="H412" t="s">
        <v>412</v>
      </c>
      <c r="I412" t="str">
        <f>HYPERLINK("http://www.ncbi.nlm.nih.gov/protein/XP_010217956.1","PREDICTED: androgen receptor")</f>
        <v>PREDICTED: androgen receptor</v>
      </c>
      <c r="J412" t="s">
        <v>1323</v>
      </c>
      <c r="K412" t="s">
        <v>20</v>
      </c>
      <c r="L412">
        <v>169</v>
      </c>
      <c r="M412" t="s">
        <v>25</v>
      </c>
      <c r="N412" t="s">
        <v>20</v>
      </c>
      <c r="O412" t="s">
        <v>1352</v>
      </c>
      <c r="P412" t="s">
        <v>20</v>
      </c>
      <c r="Q412">
        <v>132.119</v>
      </c>
      <c r="R412" t="s">
        <v>20</v>
      </c>
      <c r="S412" t="s">
        <v>20</v>
      </c>
      <c r="T412">
        <v>175</v>
      </c>
      <c r="U412" t="s">
        <v>1313</v>
      </c>
      <c r="V412" t="s">
        <v>20</v>
      </c>
      <c r="W412" t="s">
        <v>1352</v>
      </c>
      <c r="X412" t="s">
        <v>20</v>
      </c>
      <c r="Y412">
        <v>146.14599999999999</v>
      </c>
      <c r="Z412" t="s">
        <v>20</v>
      </c>
      <c r="AA412" t="s">
        <v>20</v>
      </c>
      <c r="AB412">
        <v>216</v>
      </c>
      <c r="AC412" t="s">
        <v>1314</v>
      </c>
      <c r="AD412" t="s">
        <v>20</v>
      </c>
      <c r="AE412" t="s">
        <v>1353</v>
      </c>
      <c r="AF412" t="s">
        <v>20</v>
      </c>
      <c r="AG412">
        <v>174.203</v>
      </c>
      <c r="AH412" t="s">
        <v>20</v>
      </c>
      <c r="AI412" t="s">
        <v>20</v>
      </c>
      <c r="AJ412">
        <v>341</v>
      </c>
      <c r="AK412" t="s">
        <v>1315</v>
      </c>
      <c r="AL412" t="s">
        <v>20</v>
      </c>
      <c r="AM412" t="s">
        <v>1354</v>
      </c>
      <c r="AN412" t="s">
        <v>20</v>
      </c>
      <c r="AO412">
        <v>119.119</v>
      </c>
      <c r="AP412" t="s">
        <v>20</v>
      </c>
      <c r="AQ412" t="s">
        <v>20</v>
      </c>
    </row>
    <row r="413" spans="1:43" x14ac:dyDescent="0.25">
      <c r="A413">
        <v>6</v>
      </c>
      <c r="B413" t="s">
        <v>167</v>
      </c>
      <c r="C413" t="str">
        <f>HYPERLINK("http://www.ncbi.nlm.nih.gov/protein/NWU88844.1","NWU88844.1")</f>
        <v>NWU88844.1</v>
      </c>
      <c r="D413">
        <v>13878</v>
      </c>
      <c r="E413" t="str">
        <f>HYPERLINK("http://www.ncbi.nlm.nih.gov/Taxonomy/Browser/wwwtax.cgi?mode=Info&amp;id=57439&amp;lvl=3&amp;lin=f&amp;keep=1&amp;srchmode=1&amp;unlock","57439")</f>
        <v>57439</v>
      </c>
      <c r="F413" t="s">
        <v>167</v>
      </c>
      <c r="G413" t="str">
        <f>HYPERLINK("http://www.ncbi.nlm.nih.gov/Taxonomy/Browser/wwwtax.cgi?mode=Info&amp;id=57439&amp;lvl=3&amp;lin=f&amp;keep=1&amp;srchmode=1&amp;unlock","Upupa epops")</f>
        <v>Upupa epops</v>
      </c>
      <c r="H413" t="s">
        <v>234</v>
      </c>
      <c r="I413" t="str">
        <f>HYPERLINK("http://www.ncbi.nlm.nih.gov/protein/NWU88844.1","ANDR protein")</f>
        <v>ANDR protein</v>
      </c>
      <c r="J413" t="s">
        <v>1323</v>
      </c>
      <c r="K413" t="s">
        <v>20</v>
      </c>
      <c r="L413">
        <v>168</v>
      </c>
      <c r="M413" t="s">
        <v>25</v>
      </c>
      <c r="N413" t="s">
        <v>20</v>
      </c>
      <c r="O413" t="s">
        <v>1352</v>
      </c>
      <c r="P413" t="s">
        <v>20</v>
      </c>
      <c r="Q413">
        <v>132.119</v>
      </c>
      <c r="R413" t="s">
        <v>20</v>
      </c>
      <c r="S413" t="s">
        <v>20</v>
      </c>
      <c r="T413">
        <v>174</v>
      </c>
      <c r="U413" t="s">
        <v>1313</v>
      </c>
      <c r="V413" t="s">
        <v>20</v>
      </c>
      <c r="W413" t="s">
        <v>1352</v>
      </c>
      <c r="X413" t="s">
        <v>20</v>
      </c>
      <c r="Y413">
        <v>146.14599999999999</v>
      </c>
      <c r="Z413" t="s">
        <v>20</v>
      </c>
      <c r="AA413" t="s">
        <v>20</v>
      </c>
      <c r="AB413">
        <v>215</v>
      </c>
      <c r="AC413" t="s">
        <v>1314</v>
      </c>
      <c r="AD413" t="s">
        <v>20</v>
      </c>
      <c r="AE413" t="s">
        <v>1353</v>
      </c>
      <c r="AF413" t="s">
        <v>20</v>
      </c>
      <c r="AG413">
        <v>174.203</v>
      </c>
      <c r="AH413" t="s">
        <v>20</v>
      </c>
      <c r="AI413" t="s">
        <v>20</v>
      </c>
      <c r="AJ413">
        <v>340</v>
      </c>
      <c r="AK413" t="s">
        <v>1315</v>
      </c>
      <c r="AL413" t="s">
        <v>20</v>
      </c>
      <c r="AM413" t="s">
        <v>1354</v>
      </c>
      <c r="AN413" t="s">
        <v>20</v>
      </c>
      <c r="AO413">
        <v>119.119</v>
      </c>
      <c r="AP413" t="s">
        <v>20</v>
      </c>
      <c r="AQ413" t="s">
        <v>20</v>
      </c>
    </row>
    <row r="414" spans="1:43" x14ac:dyDescent="0.25">
      <c r="A414">
        <v>6</v>
      </c>
      <c r="B414" t="s">
        <v>167</v>
      </c>
      <c r="C414" t="str">
        <f>HYPERLINK("http://www.ncbi.nlm.nih.gov/protein/XP_010570824.1","XP_010570824.1")</f>
        <v>XP_010570824.1</v>
      </c>
      <c r="D414">
        <v>25384</v>
      </c>
      <c r="E414" t="str">
        <f>HYPERLINK("http://www.ncbi.nlm.nih.gov/Taxonomy/Browser/wwwtax.cgi?mode=Info&amp;id=52644&amp;lvl=3&amp;lin=f&amp;keep=1&amp;srchmode=1&amp;unlock","52644")</f>
        <v>52644</v>
      </c>
      <c r="F414" t="s">
        <v>167</v>
      </c>
      <c r="G414" t="str">
        <f>HYPERLINK("http://www.ncbi.nlm.nih.gov/Taxonomy/Browser/wwwtax.cgi?mode=Info&amp;id=52644&amp;lvl=3&amp;lin=f&amp;keep=1&amp;srchmode=1&amp;unlock","Haliaeetus leucocephalus")</f>
        <v>Haliaeetus leucocephalus</v>
      </c>
      <c r="H414" t="s">
        <v>334</v>
      </c>
      <c r="I414" t="str">
        <f>HYPERLINK("http://www.ncbi.nlm.nih.gov/protein/XP_010570824.1","PREDICTED: androgen receptor")</f>
        <v>PREDICTED: androgen receptor</v>
      </c>
      <c r="J414" t="s">
        <v>1323</v>
      </c>
      <c r="K414" t="s">
        <v>20</v>
      </c>
      <c r="L414">
        <v>419</v>
      </c>
      <c r="M414" t="s">
        <v>25</v>
      </c>
      <c r="N414" t="s">
        <v>20</v>
      </c>
      <c r="O414" t="s">
        <v>1352</v>
      </c>
      <c r="P414" t="s">
        <v>20</v>
      </c>
      <c r="Q414">
        <v>132.119</v>
      </c>
      <c r="R414" t="s">
        <v>20</v>
      </c>
      <c r="S414" t="s">
        <v>20</v>
      </c>
      <c r="T414">
        <v>425</v>
      </c>
      <c r="U414" t="s">
        <v>1313</v>
      </c>
      <c r="V414" t="s">
        <v>20</v>
      </c>
      <c r="W414" t="s">
        <v>1352</v>
      </c>
      <c r="X414" t="s">
        <v>20</v>
      </c>
      <c r="Y414">
        <v>146.14599999999999</v>
      </c>
      <c r="Z414" t="s">
        <v>20</v>
      </c>
      <c r="AA414" t="s">
        <v>20</v>
      </c>
      <c r="AB414">
        <v>466</v>
      </c>
      <c r="AC414" t="s">
        <v>1314</v>
      </c>
      <c r="AD414" t="s">
        <v>20</v>
      </c>
      <c r="AE414" t="s">
        <v>1353</v>
      </c>
      <c r="AF414" t="s">
        <v>20</v>
      </c>
      <c r="AG414">
        <v>174.203</v>
      </c>
      <c r="AH414" t="s">
        <v>20</v>
      </c>
      <c r="AI414" t="s">
        <v>20</v>
      </c>
      <c r="AJ414">
        <v>591</v>
      </c>
      <c r="AK414" t="s">
        <v>1315</v>
      </c>
      <c r="AL414" t="s">
        <v>20</v>
      </c>
      <c r="AM414" t="s">
        <v>1354</v>
      </c>
      <c r="AN414" t="s">
        <v>20</v>
      </c>
      <c r="AO414">
        <v>119.119</v>
      </c>
      <c r="AP414" t="s">
        <v>20</v>
      </c>
      <c r="AQ414" t="s">
        <v>20</v>
      </c>
    </row>
    <row r="415" spans="1:43" x14ac:dyDescent="0.25">
      <c r="A415">
        <v>6</v>
      </c>
      <c r="B415" t="s">
        <v>167</v>
      </c>
      <c r="C415" t="str">
        <f>HYPERLINK("http://www.ncbi.nlm.nih.gov/protein/NXG35170.1","NXG35170.1")</f>
        <v>NXG35170.1</v>
      </c>
      <c r="D415">
        <v>45135</v>
      </c>
      <c r="E415" t="str">
        <f>HYPERLINK("http://www.ncbi.nlm.nih.gov/Taxonomy/Browser/wwwtax.cgi?mode=Info&amp;id=8790&amp;lvl=3&amp;lin=f&amp;keep=1&amp;srchmode=1&amp;unlock","8790")</f>
        <v>8790</v>
      </c>
      <c r="F415" t="s">
        <v>167</v>
      </c>
      <c r="G415" t="str">
        <f>HYPERLINK("http://www.ncbi.nlm.nih.gov/Taxonomy/Browser/wwwtax.cgi?mode=Info&amp;id=8790&amp;lvl=3&amp;lin=f&amp;keep=1&amp;srchmode=1&amp;unlock","Dromaius novaehollandiae")</f>
        <v>Dromaius novaehollandiae</v>
      </c>
      <c r="H415" t="s">
        <v>336</v>
      </c>
      <c r="I415" t="str">
        <f>HYPERLINK("http://www.ncbi.nlm.nih.gov/protein/NXG35170.1","ANDR protein")</f>
        <v>ANDR protein</v>
      </c>
      <c r="J415" t="s">
        <v>1323</v>
      </c>
      <c r="K415" t="s">
        <v>20</v>
      </c>
      <c r="L415">
        <v>168</v>
      </c>
      <c r="M415" t="s">
        <v>25</v>
      </c>
      <c r="N415" t="s">
        <v>20</v>
      </c>
      <c r="O415" t="s">
        <v>1352</v>
      </c>
      <c r="P415" t="s">
        <v>20</v>
      </c>
      <c r="Q415">
        <v>132.119</v>
      </c>
      <c r="R415" t="s">
        <v>20</v>
      </c>
      <c r="S415" t="s">
        <v>20</v>
      </c>
      <c r="T415">
        <v>174</v>
      </c>
      <c r="U415" t="s">
        <v>1313</v>
      </c>
      <c r="V415" t="s">
        <v>20</v>
      </c>
      <c r="W415" t="s">
        <v>1352</v>
      </c>
      <c r="X415" t="s">
        <v>20</v>
      </c>
      <c r="Y415">
        <v>146.14599999999999</v>
      </c>
      <c r="Z415" t="s">
        <v>20</v>
      </c>
      <c r="AA415" t="s">
        <v>20</v>
      </c>
      <c r="AB415">
        <v>215</v>
      </c>
      <c r="AC415" t="s">
        <v>1314</v>
      </c>
      <c r="AD415" t="s">
        <v>20</v>
      </c>
      <c r="AE415" t="s">
        <v>1353</v>
      </c>
      <c r="AF415" t="s">
        <v>20</v>
      </c>
      <c r="AG415">
        <v>174.203</v>
      </c>
      <c r="AH415" t="s">
        <v>20</v>
      </c>
      <c r="AI415" t="s">
        <v>20</v>
      </c>
      <c r="AJ415">
        <v>340</v>
      </c>
      <c r="AK415" t="s">
        <v>1315</v>
      </c>
      <c r="AL415" t="s">
        <v>20</v>
      </c>
      <c r="AM415" t="s">
        <v>1354</v>
      </c>
      <c r="AN415" t="s">
        <v>20</v>
      </c>
      <c r="AO415">
        <v>119.119</v>
      </c>
      <c r="AP415" t="s">
        <v>20</v>
      </c>
      <c r="AQ415" t="s">
        <v>20</v>
      </c>
    </row>
    <row r="416" spans="1:43" x14ac:dyDescent="0.25">
      <c r="A416">
        <v>6</v>
      </c>
      <c r="B416" t="s">
        <v>167</v>
      </c>
      <c r="C416" t="str">
        <f>HYPERLINK("http://www.ncbi.nlm.nih.gov/protein/NXE52890.1","NXE52890.1")</f>
        <v>NXE52890.1</v>
      </c>
      <c r="D416">
        <v>13811</v>
      </c>
      <c r="E416" t="str">
        <f>HYPERLINK("http://www.ncbi.nlm.nih.gov/Taxonomy/Browser/wwwtax.cgi?mode=Info&amp;id=8787&amp;lvl=3&amp;lin=f&amp;keep=1&amp;srchmode=1&amp;unlock","8787")</f>
        <v>8787</v>
      </c>
      <c r="F416" t="s">
        <v>167</v>
      </c>
      <c r="G416" t="str">
        <f>HYPERLINK("http://www.ncbi.nlm.nih.gov/Taxonomy/Browser/wwwtax.cgi?mode=Info&amp;id=8787&amp;lvl=3&amp;lin=f&amp;keep=1&amp;srchmode=1&amp;unlock","Casuarius casuarius")</f>
        <v>Casuarius casuarius</v>
      </c>
      <c r="H416" t="s">
        <v>574</v>
      </c>
      <c r="I416" t="str">
        <f>HYPERLINK("http://www.ncbi.nlm.nih.gov/protein/NXE52890.1","ANDR protein")</f>
        <v>ANDR protein</v>
      </c>
      <c r="J416" t="s">
        <v>1323</v>
      </c>
      <c r="K416" t="s">
        <v>20</v>
      </c>
      <c r="L416">
        <v>168</v>
      </c>
      <c r="M416" t="s">
        <v>25</v>
      </c>
      <c r="N416" t="s">
        <v>20</v>
      </c>
      <c r="O416" t="s">
        <v>1352</v>
      </c>
      <c r="P416" t="s">
        <v>20</v>
      </c>
      <c r="Q416">
        <v>132.119</v>
      </c>
      <c r="R416" t="s">
        <v>20</v>
      </c>
      <c r="S416" t="s">
        <v>20</v>
      </c>
      <c r="T416">
        <v>174</v>
      </c>
      <c r="U416" t="s">
        <v>1313</v>
      </c>
      <c r="V416" t="s">
        <v>20</v>
      </c>
      <c r="W416" t="s">
        <v>1352</v>
      </c>
      <c r="X416" t="s">
        <v>20</v>
      </c>
      <c r="Y416">
        <v>146.14599999999999</v>
      </c>
      <c r="Z416" t="s">
        <v>20</v>
      </c>
      <c r="AA416" t="s">
        <v>20</v>
      </c>
      <c r="AB416">
        <v>215</v>
      </c>
      <c r="AC416" t="s">
        <v>1314</v>
      </c>
      <c r="AD416" t="s">
        <v>20</v>
      </c>
      <c r="AE416" t="s">
        <v>1353</v>
      </c>
      <c r="AF416" t="s">
        <v>20</v>
      </c>
      <c r="AG416">
        <v>174.203</v>
      </c>
      <c r="AH416" t="s">
        <v>20</v>
      </c>
      <c r="AI416" t="s">
        <v>20</v>
      </c>
      <c r="AJ416">
        <v>340</v>
      </c>
      <c r="AK416" t="s">
        <v>1315</v>
      </c>
      <c r="AL416" t="s">
        <v>20</v>
      </c>
      <c r="AM416" t="s">
        <v>1354</v>
      </c>
      <c r="AN416" t="s">
        <v>20</v>
      </c>
      <c r="AO416">
        <v>119.119</v>
      </c>
      <c r="AP416" t="s">
        <v>20</v>
      </c>
      <c r="AQ416" t="s">
        <v>20</v>
      </c>
    </row>
    <row r="417" spans="1:43" x14ac:dyDescent="0.25">
      <c r="A417">
        <v>6</v>
      </c>
      <c r="B417" t="s">
        <v>167</v>
      </c>
      <c r="C417" t="str">
        <f>HYPERLINK("http://www.ncbi.nlm.nih.gov/protein/NWI28193.1","NWI28193.1")</f>
        <v>NWI28193.1</v>
      </c>
      <c r="D417">
        <v>12998</v>
      </c>
      <c r="E417" t="str">
        <f>HYPERLINK("http://www.ncbi.nlm.nih.gov/Taxonomy/Browser/wwwtax.cgi?mode=Info&amp;id=56068&amp;lvl=3&amp;lin=f&amp;keep=1&amp;srchmode=1&amp;unlock","56068")</f>
        <v>56068</v>
      </c>
      <c r="F417" t="s">
        <v>167</v>
      </c>
      <c r="G417" t="str">
        <f>HYPERLINK("http://www.ncbi.nlm.nih.gov/Taxonomy/Browser/wwwtax.cgi?mode=Info&amp;id=56068&amp;lvl=3&amp;lin=f&amp;keep=1&amp;srchmode=1&amp;unlock","Sula dactylatra")</f>
        <v>Sula dactylatra</v>
      </c>
      <c r="H417" t="s">
        <v>266</v>
      </c>
      <c r="I417" t="str">
        <f>HYPERLINK("http://www.ncbi.nlm.nih.gov/protein/NWI28193.1","ANDR protein")</f>
        <v>ANDR protein</v>
      </c>
      <c r="J417" t="s">
        <v>1323</v>
      </c>
      <c r="K417" t="s">
        <v>20</v>
      </c>
      <c r="L417">
        <v>168</v>
      </c>
      <c r="M417" t="s">
        <v>25</v>
      </c>
      <c r="N417" t="s">
        <v>20</v>
      </c>
      <c r="O417" t="s">
        <v>1352</v>
      </c>
      <c r="P417" t="s">
        <v>20</v>
      </c>
      <c r="Q417">
        <v>132.119</v>
      </c>
      <c r="R417" t="s">
        <v>20</v>
      </c>
      <c r="S417" t="s">
        <v>20</v>
      </c>
      <c r="T417">
        <v>174</v>
      </c>
      <c r="U417" t="s">
        <v>1313</v>
      </c>
      <c r="V417" t="s">
        <v>20</v>
      </c>
      <c r="W417" t="s">
        <v>1352</v>
      </c>
      <c r="X417" t="s">
        <v>20</v>
      </c>
      <c r="Y417">
        <v>146.14599999999999</v>
      </c>
      <c r="Z417" t="s">
        <v>20</v>
      </c>
      <c r="AA417" t="s">
        <v>20</v>
      </c>
      <c r="AB417">
        <v>215</v>
      </c>
      <c r="AC417" t="s">
        <v>1314</v>
      </c>
      <c r="AD417" t="s">
        <v>20</v>
      </c>
      <c r="AE417" t="s">
        <v>1353</v>
      </c>
      <c r="AF417" t="s">
        <v>20</v>
      </c>
      <c r="AG417">
        <v>174.203</v>
      </c>
      <c r="AH417" t="s">
        <v>20</v>
      </c>
      <c r="AI417" t="s">
        <v>20</v>
      </c>
      <c r="AJ417">
        <v>340</v>
      </c>
      <c r="AK417" t="s">
        <v>1315</v>
      </c>
      <c r="AL417" t="s">
        <v>20</v>
      </c>
      <c r="AM417" t="s">
        <v>1354</v>
      </c>
      <c r="AN417" t="s">
        <v>20</v>
      </c>
      <c r="AO417">
        <v>119.119</v>
      </c>
      <c r="AP417" t="s">
        <v>20</v>
      </c>
      <c r="AQ417" t="s">
        <v>20</v>
      </c>
    </row>
    <row r="418" spans="1:43" x14ac:dyDescent="0.25">
      <c r="A418">
        <v>6</v>
      </c>
      <c r="B418" t="s">
        <v>167</v>
      </c>
      <c r="C418" t="str">
        <f>HYPERLINK("http://www.ncbi.nlm.nih.gov/protein/NXJ37054.1","NXJ37054.1")</f>
        <v>NXJ37054.1</v>
      </c>
      <c r="D418">
        <v>13317</v>
      </c>
      <c r="E418" t="str">
        <f>HYPERLINK("http://www.ncbi.nlm.nih.gov/Taxonomy/Browser/wwwtax.cgi?mode=Info&amp;id=52777&amp;lvl=3&amp;lin=f&amp;keep=1&amp;srchmode=1&amp;unlock","52777")</f>
        <v>52777</v>
      </c>
      <c r="F418" t="s">
        <v>167</v>
      </c>
      <c r="G418" t="str">
        <f>HYPERLINK("http://www.ncbi.nlm.nih.gov/Taxonomy/Browser/wwwtax.cgi?mode=Info&amp;id=52777&amp;lvl=3&amp;lin=f&amp;keep=1&amp;srchmode=1&amp;unlock","Ciconia maguari")</f>
        <v>Ciconia maguari</v>
      </c>
      <c r="H418" t="s">
        <v>514</v>
      </c>
      <c r="I418" t="str">
        <f>HYPERLINK("http://www.ncbi.nlm.nih.gov/protein/NXJ37054.1","ANDR protein")</f>
        <v>ANDR protein</v>
      </c>
      <c r="J418" t="s">
        <v>1323</v>
      </c>
      <c r="K418" t="s">
        <v>20</v>
      </c>
      <c r="L418">
        <v>168</v>
      </c>
      <c r="M418" t="s">
        <v>25</v>
      </c>
      <c r="N418" t="s">
        <v>20</v>
      </c>
      <c r="O418" t="s">
        <v>1352</v>
      </c>
      <c r="P418" t="s">
        <v>20</v>
      </c>
      <c r="Q418">
        <v>132.119</v>
      </c>
      <c r="R418" t="s">
        <v>20</v>
      </c>
      <c r="S418" t="s">
        <v>20</v>
      </c>
      <c r="T418">
        <v>174</v>
      </c>
      <c r="U418" t="s">
        <v>1313</v>
      </c>
      <c r="V418" t="s">
        <v>20</v>
      </c>
      <c r="W418" t="s">
        <v>1352</v>
      </c>
      <c r="X418" t="s">
        <v>20</v>
      </c>
      <c r="Y418">
        <v>146.14599999999999</v>
      </c>
      <c r="Z418" t="s">
        <v>20</v>
      </c>
      <c r="AA418" t="s">
        <v>20</v>
      </c>
      <c r="AB418">
        <v>215</v>
      </c>
      <c r="AC418" t="s">
        <v>1314</v>
      </c>
      <c r="AD418" t="s">
        <v>20</v>
      </c>
      <c r="AE418" t="s">
        <v>1353</v>
      </c>
      <c r="AF418" t="s">
        <v>20</v>
      </c>
      <c r="AG418">
        <v>174.203</v>
      </c>
      <c r="AH418" t="s">
        <v>20</v>
      </c>
      <c r="AI418" t="s">
        <v>20</v>
      </c>
      <c r="AJ418">
        <v>340</v>
      </c>
      <c r="AK418" t="s">
        <v>1315</v>
      </c>
      <c r="AL418" t="s">
        <v>20</v>
      </c>
      <c r="AM418" t="s">
        <v>1354</v>
      </c>
      <c r="AN418" t="s">
        <v>20</v>
      </c>
      <c r="AO418">
        <v>119.119</v>
      </c>
      <c r="AP418" t="s">
        <v>20</v>
      </c>
      <c r="AQ418" t="s">
        <v>20</v>
      </c>
    </row>
    <row r="419" spans="1:43" x14ac:dyDescent="0.25">
      <c r="A419">
        <v>6</v>
      </c>
      <c r="B419" t="s">
        <v>167</v>
      </c>
      <c r="C419" t="str">
        <f>HYPERLINK("http://www.ncbi.nlm.nih.gov/protein/NWW47350.1","NWW47350.1")</f>
        <v>NWW47350.1</v>
      </c>
      <c r="D419">
        <v>13358</v>
      </c>
      <c r="E419" t="str">
        <f>HYPERLINK("http://www.ncbi.nlm.nih.gov/Taxonomy/Browser/wwwtax.cgi?mode=Info&amp;id=227192&amp;lvl=3&amp;lin=f&amp;keep=1&amp;srchmode=1&amp;unlock","227192")</f>
        <v>227192</v>
      </c>
      <c r="F419" t="s">
        <v>167</v>
      </c>
      <c r="G419" t="str">
        <f>HYPERLINK("http://www.ncbi.nlm.nih.gov/Taxonomy/Browser/wwwtax.cgi?mode=Info&amp;id=227192&amp;lvl=3&amp;lin=f&amp;keep=1&amp;srchmode=1&amp;unlock","Pedionomus torquatus")</f>
        <v>Pedionomus torquatus</v>
      </c>
      <c r="H419" t="s">
        <v>286</v>
      </c>
      <c r="I419" t="str">
        <f>HYPERLINK("http://www.ncbi.nlm.nih.gov/protein/NWW47350.1","ANDR protein")</f>
        <v>ANDR protein</v>
      </c>
      <c r="J419" t="s">
        <v>1323</v>
      </c>
      <c r="K419" t="s">
        <v>20</v>
      </c>
      <c r="L419">
        <v>168</v>
      </c>
      <c r="M419" t="s">
        <v>25</v>
      </c>
      <c r="N419" t="s">
        <v>20</v>
      </c>
      <c r="O419" t="s">
        <v>1352</v>
      </c>
      <c r="P419" t="s">
        <v>20</v>
      </c>
      <c r="Q419">
        <v>132.119</v>
      </c>
      <c r="R419" t="s">
        <v>20</v>
      </c>
      <c r="S419" t="s">
        <v>20</v>
      </c>
      <c r="T419">
        <v>174</v>
      </c>
      <c r="U419" t="s">
        <v>1313</v>
      </c>
      <c r="V419" t="s">
        <v>20</v>
      </c>
      <c r="W419" t="s">
        <v>1352</v>
      </c>
      <c r="X419" t="s">
        <v>20</v>
      </c>
      <c r="Y419">
        <v>146.14599999999999</v>
      </c>
      <c r="Z419" t="s">
        <v>20</v>
      </c>
      <c r="AA419" t="s">
        <v>20</v>
      </c>
      <c r="AB419">
        <v>215</v>
      </c>
      <c r="AC419" t="s">
        <v>1314</v>
      </c>
      <c r="AD419" t="s">
        <v>20</v>
      </c>
      <c r="AE419" t="s">
        <v>1353</v>
      </c>
      <c r="AF419" t="s">
        <v>20</v>
      </c>
      <c r="AG419">
        <v>174.203</v>
      </c>
      <c r="AH419" t="s">
        <v>20</v>
      </c>
      <c r="AI419" t="s">
        <v>20</v>
      </c>
      <c r="AJ419">
        <v>340</v>
      </c>
      <c r="AK419" t="s">
        <v>1315</v>
      </c>
      <c r="AL419" t="s">
        <v>20</v>
      </c>
      <c r="AM419" t="s">
        <v>1354</v>
      </c>
      <c r="AN419" t="s">
        <v>20</v>
      </c>
      <c r="AO419">
        <v>119.119</v>
      </c>
      <c r="AP419" t="s">
        <v>20</v>
      </c>
      <c r="AQ419" t="s">
        <v>20</v>
      </c>
    </row>
    <row r="420" spans="1:43" x14ac:dyDescent="0.25">
      <c r="A420">
        <v>6</v>
      </c>
      <c r="B420" t="s">
        <v>167</v>
      </c>
      <c r="C420" t="str">
        <f>HYPERLINK("http://www.ncbi.nlm.nih.gov/protein/NXD11944.1","NXD11944.1")</f>
        <v>NXD11944.1</v>
      </c>
      <c r="D420">
        <v>13147</v>
      </c>
      <c r="E420" t="str">
        <f>HYPERLINK("http://www.ncbi.nlm.nih.gov/Taxonomy/Browser/wwwtax.cgi?mode=Info&amp;id=1977171&amp;lvl=3&amp;lin=f&amp;keep=1&amp;srchmode=1&amp;unlock","1977171")</f>
        <v>1977171</v>
      </c>
      <c r="F420" t="s">
        <v>167</v>
      </c>
      <c r="G420" t="str">
        <f>HYPERLINK("http://www.ncbi.nlm.nih.gov/Taxonomy/Browser/wwwtax.cgi?mode=Info&amp;id=1977171&amp;lvl=3&amp;lin=f&amp;keep=1&amp;srchmode=1&amp;unlock","Nothocercus nigrocapillus")</f>
        <v>Nothocercus nigrocapillus</v>
      </c>
      <c r="H420" t="s">
        <v>196</v>
      </c>
      <c r="I420" t="str">
        <f>HYPERLINK("http://www.ncbi.nlm.nih.gov/protein/NXD11944.1","ANDR protein")</f>
        <v>ANDR protein</v>
      </c>
      <c r="J420" t="s">
        <v>1323</v>
      </c>
      <c r="K420" t="s">
        <v>20</v>
      </c>
      <c r="L420">
        <v>168</v>
      </c>
      <c r="M420" t="s">
        <v>25</v>
      </c>
      <c r="N420" t="s">
        <v>20</v>
      </c>
      <c r="O420" t="s">
        <v>1352</v>
      </c>
      <c r="P420" t="s">
        <v>20</v>
      </c>
      <c r="Q420">
        <v>132.119</v>
      </c>
      <c r="R420" t="s">
        <v>20</v>
      </c>
      <c r="S420" t="s">
        <v>20</v>
      </c>
      <c r="T420">
        <v>174</v>
      </c>
      <c r="U420" t="s">
        <v>1313</v>
      </c>
      <c r="V420" t="s">
        <v>20</v>
      </c>
      <c r="W420" t="s">
        <v>1352</v>
      </c>
      <c r="X420" t="s">
        <v>20</v>
      </c>
      <c r="Y420">
        <v>146.14599999999999</v>
      </c>
      <c r="Z420" t="s">
        <v>20</v>
      </c>
      <c r="AA420" t="s">
        <v>20</v>
      </c>
      <c r="AB420">
        <v>215</v>
      </c>
      <c r="AC420" t="s">
        <v>1314</v>
      </c>
      <c r="AD420" t="s">
        <v>20</v>
      </c>
      <c r="AE420" t="s">
        <v>1353</v>
      </c>
      <c r="AF420" t="s">
        <v>20</v>
      </c>
      <c r="AG420">
        <v>174.203</v>
      </c>
      <c r="AH420" t="s">
        <v>20</v>
      </c>
      <c r="AI420" t="s">
        <v>20</v>
      </c>
      <c r="AJ420">
        <v>340</v>
      </c>
      <c r="AK420" t="s">
        <v>1315</v>
      </c>
      <c r="AL420" t="s">
        <v>20</v>
      </c>
      <c r="AM420" t="s">
        <v>1354</v>
      </c>
      <c r="AN420" t="s">
        <v>20</v>
      </c>
      <c r="AO420">
        <v>119.119</v>
      </c>
      <c r="AP420" t="s">
        <v>20</v>
      </c>
      <c r="AQ420" t="s">
        <v>20</v>
      </c>
    </row>
    <row r="421" spans="1:43" x14ac:dyDescent="0.25">
      <c r="A421">
        <v>6</v>
      </c>
      <c r="B421" t="s">
        <v>167</v>
      </c>
      <c r="C421" t="str">
        <f>HYPERLINK("http://www.ncbi.nlm.nih.gov/protein/XP_025922078.1","XP_025922078.1")</f>
        <v>XP_025922078.1</v>
      </c>
      <c r="D421">
        <v>37692</v>
      </c>
      <c r="E421" t="str">
        <f>HYPERLINK("http://www.ncbi.nlm.nih.gov/Taxonomy/Browser/wwwtax.cgi?mode=Info&amp;id=308060&amp;lvl=3&amp;lin=f&amp;keep=1&amp;srchmode=1&amp;unlock","308060")</f>
        <v>308060</v>
      </c>
      <c r="F421" t="s">
        <v>167</v>
      </c>
      <c r="G421" t="str">
        <f>HYPERLINK("http://www.ncbi.nlm.nih.gov/Taxonomy/Browser/wwwtax.cgi?mode=Info&amp;id=308060&amp;lvl=3&amp;lin=f&amp;keep=1&amp;srchmode=1&amp;unlock","Apteryx rowi")</f>
        <v>Apteryx rowi</v>
      </c>
      <c r="H421" t="s">
        <v>214</v>
      </c>
      <c r="I421" t="str">
        <f>HYPERLINK("http://www.ncbi.nlm.nih.gov/protein/XP_025922078.1","androgen receptor")</f>
        <v>androgen receptor</v>
      </c>
      <c r="J421" t="s">
        <v>1323</v>
      </c>
      <c r="K421" t="s">
        <v>20</v>
      </c>
      <c r="L421">
        <v>216</v>
      </c>
      <c r="M421" t="s">
        <v>25</v>
      </c>
      <c r="N421" t="s">
        <v>20</v>
      </c>
      <c r="O421" t="s">
        <v>1352</v>
      </c>
      <c r="P421" t="s">
        <v>20</v>
      </c>
      <c r="Q421">
        <v>132.119</v>
      </c>
      <c r="R421" t="s">
        <v>20</v>
      </c>
      <c r="S421" t="s">
        <v>20</v>
      </c>
      <c r="T421">
        <v>222</v>
      </c>
      <c r="U421" t="s">
        <v>1313</v>
      </c>
      <c r="V421" t="s">
        <v>20</v>
      </c>
      <c r="W421" t="s">
        <v>1352</v>
      </c>
      <c r="X421" t="s">
        <v>20</v>
      </c>
      <c r="Y421">
        <v>146.14599999999999</v>
      </c>
      <c r="Z421" t="s">
        <v>20</v>
      </c>
      <c r="AA421" t="s">
        <v>20</v>
      </c>
      <c r="AB421">
        <v>263</v>
      </c>
      <c r="AC421" t="s">
        <v>1314</v>
      </c>
      <c r="AD421" t="s">
        <v>20</v>
      </c>
      <c r="AE421" t="s">
        <v>1353</v>
      </c>
      <c r="AF421" t="s">
        <v>20</v>
      </c>
      <c r="AG421">
        <v>174.203</v>
      </c>
      <c r="AH421" t="s">
        <v>20</v>
      </c>
      <c r="AI421" t="s">
        <v>20</v>
      </c>
      <c r="AJ421">
        <v>388</v>
      </c>
      <c r="AK421" t="s">
        <v>1315</v>
      </c>
      <c r="AL421" t="s">
        <v>20</v>
      </c>
      <c r="AM421" t="s">
        <v>1354</v>
      </c>
      <c r="AN421" t="s">
        <v>20</v>
      </c>
      <c r="AO421">
        <v>119.119</v>
      </c>
      <c r="AP421" t="s">
        <v>20</v>
      </c>
      <c r="AQ421" t="s">
        <v>20</v>
      </c>
    </row>
    <row r="422" spans="1:43" x14ac:dyDescent="0.25">
      <c r="A422">
        <v>6</v>
      </c>
      <c r="B422" t="s">
        <v>167</v>
      </c>
      <c r="C422" t="str">
        <f>HYPERLINK("http://www.ncbi.nlm.nih.gov/protein/XP_030918538.1","XP_030918538.1")</f>
        <v>XP_030918538.1</v>
      </c>
      <c r="D422">
        <v>20687</v>
      </c>
      <c r="E422" t="str">
        <f>HYPERLINK("http://www.ncbi.nlm.nih.gov/Taxonomy/Browser/wwwtax.cgi?mode=Info&amp;id=48883&amp;lvl=3&amp;lin=f&amp;keep=1&amp;srchmode=1&amp;unlock","48883")</f>
        <v>48883</v>
      </c>
      <c r="F422" t="s">
        <v>167</v>
      </c>
      <c r="G422" t="str">
        <f>HYPERLINK("http://www.ncbi.nlm.nih.gov/Taxonomy/Browser/wwwtax.cgi?mode=Info&amp;id=48883&amp;lvl=3&amp;lin=f&amp;keep=1&amp;srchmode=1&amp;unlock","Geospiza fortis")</f>
        <v>Geospiza fortis</v>
      </c>
      <c r="H422" t="s">
        <v>411</v>
      </c>
      <c r="I422" t="str">
        <f>HYPERLINK("http://www.ncbi.nlm.nih.gov/protein/XP_030918538.1","androgen receptor")</f>
        <v>androgen receptor</v>
      </c>
      <c r="J422" t="s">
        <v>1323</v>
      </c>
      <c r="K422" t="s">
        <v>20</v>
      </c>
      <c r="L422">
        <v>207</v>
      </c>
      <c r="M422" t="s">
        <v>25</v>
      </c>
      <c r="N422" t="s">
        <v>20</v>
      </c>
      <c r="O422" t="s">
        <v>1352</v>
      </c>
      <c r="P422" t="s">
        <v>20</v>
      </c>
      <c r="Q422">
        <v>132.119</v>
      </c>
      <c r="R422" t="s">
        <v>20</v>
      </c>
      <c r="S422" t="s">
        <v>20</v>
      </c>
      <c r="T422">
        <v>213</v>
      </c>
      <c r="U422" t="s">
        <v>1313</v>
      </c>
      <c r="V422" t="s">
        <v>20</v>
      </c>
      <c r="W422" t="s">
        <v>1352</v>
      </c>
      <c r="X422" t="s">
        <v>20</v>
      </c>
      <c r="Y422">
        <v>146.14599999999999</v>
      </c>
      <c r="Z422" t="s">
        <v>20</v>
      </c>
      <c r="AA422" t="s">
        <v>20</v>
      </c>
      <c r="AB422">
        <v>254</v>
      </c>
      <c r="AC422" t="s">
        <v>1314</v>
      </c>
      <c r="AD422" t="s">
        <v>20</v>
      </c>
      <c r="AE422" t="s">
        <v>1353</v>
      </c>
      <c r="AF422" t="s">
        <v>20</v>
      </c>
      <c r="AG422">
        <v>174.203</v>
      </c>
      <c r="AH422" t="s">
        <v>20</v>
      </c>
      <c r="AI422" t="s">
        <v>20</v>
      </c>
      <c r="AJ422">
        <v>379</v>
      </c>
      <c r="AK422" t="s">
        <v>1315</v>
      </c>
      <c r="AL422" t="s">
        <v>20</v>
      </c>
      <c r="AM422" t="s">
        <v>1354</v>
      </c>
      <c r="AN422" t="s">
        <v>20</v>
      </c>
      <c r="AO422">
        <v>119.119</v>
      </c>
      <c r="AP422" t="s">
        <v>20</v>
      </c>
      <c r="AQ422" t="s">
        <v>20</v>
      </c>
    </row>
    <row r="423" spans="1:43" x14ac:dyDescent="0.25">
      <c r="A423">
        <v>6</v>
      </c>
      <c r="B423" t="s">
        <v>167</v>
      </c>
      <c r="C423" t="str">
        <f>HYPERLINK("http://www.ncbi.nlm.nih.gov/protein/NWX86836.1","NWX86836.1")</f>
        <v>NWX86836.1</v>
      </c>
      <c r="D423">
        <v>13431</v>
      </c>
      <c r="E423" t="str">
        <f>HYPERLINK("http://www.ncbi.nlm.nih.gov/Taxonomy/Browser/wwwtax.cgi?mode=Info&amp;id=2585814&amp;lvl=3&amp;lin=f&amp;keep=1&amp;srchmode=1&amp;unlock","2585814")</f>
        <v>2585814</v>
      </c>
      <c r="F423" t="s">
        <v>167</v>
      </c>
      <c r="G423" t="str">
        <f>HYPERLINK("http://www.ncbi.nlm.nih.gov/Taxonomy/Browser/wwwtax.cgi?mode=Info&amp;id=2585814&amp;lvl=3&amp;lin=f&amp;keep=1&amp;srchmode=1&amp;unlock","Nothoprocta pentlandii")</f>
        <v>Nothoprocta pentlandii</v>
      </c>
      <c r="H423" t="s">
        <v>196</v>
      </c>
      <c r="I423" t="str">
        <f>HYPERLINK("http://www.ncbi.nlm.nih.gov/protein/NWX86836.1","ANDR protein")</f>
        <v>ANDR protein</v>
      </c>
      <c r="J423" t="s">
        <v>1323</v>
      </c>
      <c r="K423" t="s">
        <v>20</v>
      </c>
      <c r="L423">
        <v>168</v>
      </c>
      <c r="M423" t="s">
        <v>25</v>
      </c>
      <c r="N423" t="s">
        <v>20</v>
      </c>
      <c r="O423" t="s">
        <v>1352</v>
      </c>
      <c r="P423" t="s">
        <v>20</v>
      </c>
      <c r="Q423">
        <v>132.119</v>
      </c>
      <c r="R423" t="s">
        <v>20</v>
      </c>
      <c r="S423" t="s">
        <v>20</v>
      </c>
      <c r="T423">
        <v>174</v>
      </c>
      <c r="U423" t="s">
        <v>1313</v>
      </c>
      <c r="V423" t="s">
        <v>20</v>
      </c>
      <c r="W423" t="s">
        <v>1352</v>
      </c>
      <c r="X423" t="s">
        <v>20</v>
      </c>
      <c r="Y423">
        <v>146.14599999999999</v>
      </c>
      <c r="Z423" t="s">
        <v>20</v>
      </c>
      <c r="AA423" t="s">
        <v>20</v>
      </c>
      <c r="AB423">
        <v>215</v>
      </c>
      <c r="AC423" t="s">
        <v>1314</v>
      </c>
      <c r="AD423" t="s">
        <v>20</v>
      </c>
      <c r="AE423" t="s">
        <v>1353</v>
      </c>
      <c r="AF423" t="s">
        <v>20</v>
      </c>
      <c r="AG423">
        <v>174.203</v>
      </c>
      <c r="AH423" t="s">
        <v>20</v>
      </c>
      <c r="AI423" t="s">
        <v>20</v>
      </c>
      <c r="AJ423">
        <v>340</v>
      </c>
      <c r="AK423" t="s">
        <v>1315</v>
      </c>
      <c r="AL423" t="s">
        <v>20</v>
      </c>
      <c r="AM423" t="s">
        <v>1354</v>
      </c>
      <c r="AN423" t="s">
        <v>20</v>
      </c>
      <c r="AO423">
        <v>119.119</v>
      </c>
      <c r="AP423" t="s">
        <v>20</v>
      </c>
      <c r="AQ423" t="s">
        <v>20</v>
      </c>
    </row>
    <row r="424" spans="1:43" x14ac:dyDescent="0.25">
      <c r="A424">
        <v>6</v>
      </c>
      <c r="B424" t="s">
        <v>167</v>
      </c>
      <c r="C424" t="str">
        <f>HYPERLINK("http://www.ncbi.nlm.nih.gov/protein/NXA45752.1","NXA45752.1")</f>
        <v>NXA45752.1</v>
      </c>
      <c r="D424">
        <v>13387</v>
      </c>
      <c r="E424" t="str">
        <f>HYPERLINK("http://www.ncbi.nlm.nih.gov/Taxonomy/Browser/wwwtax.cgi?mode=Info&amp;id=2585813&amp;lvl=3&amp;lin=f&amp;keep=1&amp;srchmode=1&amp;unlock","2585813")</f>
        <v>2585813</v>
      </c>
      <c r="F424" t="s">
        <v>167</v>
      </c>
      <c r="G424" t="str">
        <f>HYPERLINK("http://www.ncbi.nlm.nih.gov/Taxonomy/Browser/wwwtax.cgi?mode=Info&amp;id=2585813&amp;lvl=3&amp;lin=f&amp;keep=1&amp;srchmode=1&amp;unlock","Nothocercus julius")</f>
        <v>Nothocercus julius</v>
      </c>
      <c r="H424" t="s">
        <v>196</v>
      </c>
      <c r="I424" t="str">
        <f>HYPERLINK("http://www.ncbi.nlm.nih.gov/protein/NXA45752.1","ANDR protein")</f>
        <v>ANDR protein</v>
      </c>
      <c r="J424" t="s">
        <v>1323</v>
      </c>
      <c r="K424" t="s">
        <v>20</v>
      </c>
      <c r="L424">
        <v>168</v>
      </c>
      <c r="M424" t="s">
        <v>25</v>
      </c>
      <c r="N424" t="s">
        <v>20</v>
      </c>
      <c r="O424" t="s">
        <v>1352</v>
      </c>
      <c r="P424" t="s">
        <v>20</v>
      </c>
      <c r="Q424">
        <v>132.119</v>
      </c>
      <c r="R424" t="s">
        <v>20</v>
      </c>
      <c r="S424" t="s">
        <v>20</v>
      </c>
      <c r="T424">
        <v>174</v>
      </c>
      <c r="U424" t="s">
        <v>1313</v>
      </c>
      <c r="V424" t="s">
        <v>20</v>
      </c>
      <c r="W424" t="s">
        <v>1352</v>
      </c>
      <c r="X424" t="s">
        <v>20</v>
      </c>
      <c r="Y424">
        <v>146.14599999999999</v>
      </c>
      <c r="Z424" t="s">
        <v>20</v>
      </c>
      <c r="AA424" t="s">
        <v>20</v>
      </c>
      <c r="AB424">
        <v>215</v>
      </c>
      <c r="AC424" t="s">
        <v>1314</v>
      </c>
      <c r="AD424" t="s">
        <v>20</v>
      </c>
      <c r="AE424" t="s">
        <v>1353</v>
      </c>
      <c r="AF424" t="s">
        <v>20</v>
      </c>
      <c r="AG424">
        <v>174.203</v>
      </c>
      <c r="AH424" t="s">
        <v>20</v>
      </c>
      <c r="AI424" t="s">
        <v>20</v>
      </c>
      <c r="AJ424">
        <v>340</v>
      </c>
      <c r="AK424" t="s">
        <v>1315</v>
      </c>
      <c r="AL424" t="s">
        <v>20</v>
      </c>
      <c r="AM424" t="s">
        <v>1354</v>
      </c>
      <c r="AN424" t="s">
        <v>20</v>
      </c>
      <c r="AO424">
        <v>119.119</v>
      </c>
      <c r="AP424" t="s">
        <v>20</v>
      </c>
      <c r="AQ424" t="s">
        <v>20</v>
      </c>
    </row>
    <row r="425" spans="1:43" x14ac:dyDescent="0.25">
      <c r="A425">
        <v>6</v>
      </c>
      <c r="B425" t="s">
        <v>167</v>
      </c>
      <c r="C425" t="str">
        <f>HYPERLINK("http://www.ncbi.nlm.nih.gov/protein/NWX97377.1","NWX97377.1")</f>
        <v>NWX97377.1</v>
      </c>
      <c r="D425">
        <v>13754</v>
      </c>
      <c r="E425" t="str">
        <f>HYPERLINK("http://www.ncbi.nlm.nih.gov/Taxonomy/Browser/wwwtax.cgi?mode=Info&amp;id=83376&amp;lvl=3&amp;lin=f&amp;keep=1&amp;srchmode=1&amp;unlock","83376")</f>
        <v>83376</v>
      </c>
      <c r="F425" t="s">
        <v>167</v>
      </c>
      <c r="G425" t="str">
        <f>HYPERLINK("http://www.ncbi.nlm.nih.gov/Taxonomy/Browser/wwwtax.cgi?mode=Info&amp;id=83376&amp;lvl=3&amp;lin=f&amp;keep=1&amp;srchmode=1&amp;unlock","Nothoprocta ornata")</f>
        <v>Nothoprocta ornata</v>
      </c>
      <c r="H425" t="s">
        <v>196</v>
      </c>
      <c r="I425" t="str">
        <f>HYPERLINK("http://www.ncbi.nlm.nih.gov/protein/NWX97377.1","ANDR protein")</f>
        <v>ANDR protein</v>
      </c>
      <c r="J425" t="s">
        <v>1323</v>
      </c>
      <c r="K425" t="s">
        <v>20</v>
      </c>
      <c r="L425">
        <v>168</v>
      </c>
      <c r="M425" t="s">
        <v>25</v>
      </c>
      <c r="N425" t="s">
        <v>20</v>
      </c>
      <c r="O425" t="s">
        <v>1352</v>
      </c>
      <c r="P425" t="s">
        <v>20</v>
      </c>
      <c r="Q425">
        <v>132.119</v>
      </c>
      <c r="R425" t="s">
        <v>20</v>
      </c>
      <c r="S425" t="s">
        <v>20</v>
      </c>
      <c r="T425">
        <v>174</v>
      </c>
      <c r="U425" t="s">
        <v>1313</v>
      </c>
      <c r="V425" t="s">
        <v>20</v>
      </c>
      <c r="W425" t="s">
        <v>1352</v>
      </c>
      <c r="X425" t="s">
        <v>20</v>
      </c>
      <c r="Y425">
        <v>146.14599999999999</v>
      </c>
      <c r="Z425" t="s">
        <v>20</v>
      </c>
      <c r="AA425" t="s">
        <v>20</v>
      </c>
      <c r="AB425">
        <v>215</v>
      </c>
      <c r="AC425" t="s">
        <v>1314</v>
      </c>
      <c r="AD425" t="s">
        <v>20</v>
      </c>
      <c r="AE425" t="s">
        <v>1353</v>
      </c>
      <c r="AF425" t="s">
        <v>20</v>
      </c>
      <c r="AG425">
        <v>174.203</v>
      </c>
      <c r="AH425" t="s">
        <v>20</v>
      </c>
      <c r="AI425" t="s">
        <v>20</v>
      </c>
      <c r="AJ425">
        <v>340</v>
      </c>
      <c r="AK425" t="s">
        <v>1315</v>
      </c>
      <c r="AL425" t="s">
        <v>20</v>
      </c>
      <c r="AM425" t="s">
        <v>1354</v>
      </c>
      <c r="AN425" t="s">
        <v>20</v>
      </c>
      <c r="AO425">
        <v>119.119</v>
      </c>
      <c r="AP425" t="s">
        <v>20</v>
      </c>
      <c r="AQ425" t="s">
        <v>20</v>
      </c>
    </row>
    <row r="426" spans="1:43" x14ac:dyDescent="0.25">
      <c r="A426">
        <v>6</v>
      </c>
      <c r="B426" t="s">
        <v>167</v>
      </c>
      <c r="C426" t="str">
        <f>HYPERLINK("http://www.ncbi.nlm.nih.gov/protein/NWW76724.1","NWW76724.1")</f>
        <v>NWW76724.1</v>
      </c>
      <c r="D426">
        <v>14135</v>
      </c>
      <c r="E426" t="str">
        <f>HYPERLINK("http://www.ncbi.nlm.nih.gov/Taxonomy/Browser/wwwtax.cgi?mode=Info&amp;id=47695&amp;lvl=3&amp;lin=f&amp;keep=1&amp;srchmode=1&amp;unlock","47695")</f>
        <v>47695</v>
      </c>
      <c r="F426" t="s">
        <v>167</v>
      </c>
      <c r="G426" t="str">
        <f>HYPERLINK("http://www.ncbi.nlm.nih.gov/Taxonomy/Browser/wwwtax.cgi?mode=Info&amp;id=47695&amp;lvl=3&amp;lin=f&amp;keep=1&amp;srchmode=1&amp;unlock","Climacteris rufus")</f>
        <v>Climacteris rufus</v>
      </c>
      <c r="H426" t="s">
        <v>495</v>
      </c>
      <c r="I426" t="str">
        <f>HYPERLINK("http://www.ncbi.nlm.nih.gov/protein/NWW76724.1","ANDR protein")</f>
        <v>ANDR protein</v>
      </c>
      <c r="J426" t="s">
        <v>1323</v>
      </c>
      <c r="K426" t="s">
        <v>20</v>
      </c>
      <c r="L426">
        <v>168</v>
      </c>
      <c r="M426" t="s">
        <v>25</v>
      </c>
      <c r="N426" t="s">
        <v>20</v>
      </c>
      <c r="O426" t="s">
        <v>1352</v>
      </c>
      <c r="P426" t="s">
        <v>20</v>
      </c>
      <c r="Q426">
        <v>132.119</v>
      </c>
      <c r="R426" t="s">
        <v>20</v>
      </c>
      <c r="S426" t="s">
        <v>20</v>
      </c>
      <c r="T426">
        <v>174</v>
      </c>
      <c r="U426" t="s">
        <v>1313</v>
      </c>
      <c r="V426" t="s">
        <v>20</v>
      </c>
      <c r="W426" t="s">
        <v>1352</v>
      </c>
      <c r="X426" t="s">
        <v>20</v>
      </c>
      <c r="Y426">
        <v>146.14599999999999</v>
      </c>
      <c r="Z426" t="s">
        <v>20</v>
      </c>
      <c r="AA426" t="s">
        <v>20</v>
      </c>
      <c r="AB426">
        <v>215</v>
      </c>
      <c r="AC426" t="s">
        <v>1314</v>
      </c>
      <c r="AD426" t="s">
        <v>20</v>
      </c>
      <c r="AE426" t="s">
        <v>1353</v>
      </c>
      <c r="AF426" t="s">
        <v>20</v>
      </c>
      <c r="AG426">
        <v>174.203</v>
      </c>
      <c r="AH426" t="s">
        <v>20</v>
      </c>
      <c r="AI426" t="s">
        <v>20</v>
      </c>
      <c r="AJ426">
        <v>340</v>
      </c>
      <c r="AK426" t="s">
        <v>1315</v>
      </c>
      <c r="AL426" t="s">
        <v>20</v>
      </c>
      <c r="AM426" t="s">
        <v>1354</v>
      </c>
      <c r="AN426" t="s">
        <v>20</v>
      </c>
      <c r="AO426">
        <v>119.119</v>
      </c>
      <c r="AP426" t="s">
        <v>20</v>
      </c>
      <c r="AQ426" t="s">
        <v>20</v>
      </c>
    </row>
    <row r="427" spans="1:43" x14ac:dyDescent="0.25">
      <c r="A427">
        <v>6</v>
      </c>
      <c r="B427" t="s">
        <v>167</v>
      </c>
      <c r="C427" t="str">
        <f>HYPERLINK("http://www.ncbi.nlm.nih.gov/protein/NXJ67296.1","NXJ67296.1")</f>
        <v>NXJ67296.1</v>
      </c>
      <c r="D427">
        <v>14258</v>
      </c>
      <c r="E427" t="str">
        <f>HYPERLINK("http://www.ncbi.nlm.nih.gov/Taxonomy/Browser/wwwtax.cgi?mode=Info&amp;id=118793&amp;lvl=3&amp;lin=f&amp;keep=1&amp;srchmode=1&amp;unlock","118793")</f>
        <v>118793</v>
      </c>
      <c r="F427" t="s">
        <v>167</v>
      </c>
      <c r="G427" t="str">
        <f>HYPERLINK("http://www.ncbi.nlm.nih.gov/Taxonomy/Browser/wwwtax.cgi?mode=Info&amp;id=118793&amp;lvl=3&amp;lin=f&amp;keep=1&amp;srchmode=1&amp;unlock","Rostratula benghalensis")</f>
        <v>Rostratula benghalensis</v>
      </c>
      <c r="H427" t="s">
        <v>316</v>
      </c>
      <c r="I427" t="str">
        <f>HYPERLINK("http://www.ncbi.nlm.nih.gov/protein/NXJ67296.1","ANDR protein")</f>
        <v>ANDR protein</v>
      </c>
      <c r="J427" t="s">
        <v>1323</v>
      </c>
      <c r="K427" t="s">
        <v>20</v>
      </c>
      <c r="L427">
        <v>168</v>
      </c>
      <c r="M427" t="s">
        <v>25</v>
      </c>
      <c r="N427" t="s">
        <v>20</v>
      </c>
      <c r="O427" t="s">
        <v>1352</v>
      </c>
      <c r="P427" t="s">
        <v>20</v>
      </c>
      <c r="Q427">
        <v>132.119</v>
      </c>
      <c r="R427" t="s">
        <v>20</v>
      </c>
      <c r="S427" t="s">
        <v>20</v>
      </c>
      <c r="T427">
        <v>174</v>
      </c>
      <c r="U427" t="s">
        <v>1313</v>
      </c>
      <c r="V427" t="s">
        <v>20</v>
      </c>
      <c r="W427" t="s">
        <v>1352</v>
      </c>
      <c r="X427" t="s">
        <v>20</v>
      </c>
      <c r="Y427">
        <v>146.14599999999999</v>
      </c>
      <c r="Z427" t="s">
        <v>20</v>
      </c>
      <c r="AA427" t="s">
        <v>20</v>
      </c>
      <c r="AB427">
        <v>215</v>
      </c>
      <c r="AC427" t="s">
        <v>1314</v>
      </c>
      <c r="AD427" t="s">
        <v>20</v>
      </c>
      <c r="AE427" t="s">
        <v>1353</v>
      </c>
      <c r="AF427" t="s">
        <v>20</v>
      </c>
      <c r="AG427">
        <v>174.203</v>
      </c>
      <c r="AH427" t="s">
        <v>20</v>
      </c>
      <c r="AI427" t="s">
        <v>20</v>
      </c>
      <c r="AJ427">
        <v>340</v>
      </c>
      <c r="AK427" t="s">
        <v>1315</v>
      </c>
      <c r="AL427" t="s">
        <v>20</v>
      </c>
      <c r="AM427" t="s">
        <v>1354</v>
      </c>
      <c r="AN427" t="s">
        <v>20</v>
      </c>
      <c r="AO427">
        <v>119.119</v>
      </c>
      <c r="AP427" t="s">
        <v>20</v>
      </c>
      <c r="AQ427" t="s">
        <v>20</v>
      </c>
    </row>
    <row r="428" spans="1:43" x14ac:dyDescent="0.25">
      <c r="A428">
        <v>6</v>
      </c>
      <c r="B428" t="s">
        <v>167</v>
      </c>
      <c r="C428" t="str">
        <f>HYPERLINK("http://www.ncbi.nlm.nih.gov/protein/NXO49100.1","NXO49100.1")</f>
        <v>NXO49100.1</v>
      </c>
      <c r="D428">
        <v>14352</v>
      </c>
      <c r="E428" t="str">
        <f>HYPERLINK("http://www.ncbi.nlm.nih.gov/Taxonomy/Browser/wwwtax.cgi?mode=Info&amp;id=54356&amp;lvl=3&amp;lin=f&amp;keep=1&amp;srchmode=1&amp;unlock","54356")</f>
        <v>54356</v>
      </c>
      <c r="F428" t="s">
        <v>167</v>
      </c>
      <c r="G428" t="str">
        <f>HYPERLINK("http://www.ncbi.nlm.nih.gov/Taxonomy/Browser/wwwtax.cgi?mode=Info&amp;id=54356&amp;lvl=3&amp;lin=f&amp;keep=1&amp;srchmode=1&amp;unlock","Aramus guarauna")</f>
        <v>Aramus guarauna</v>
      </c>
      <c r="H428" t="s">
        <v>344</v>
      </c>
      <c r="I428" t="str">
        <f>HYPERLINK("http://www.ncbi.nlm.nih.gov/protein/NXO49100.1","ANDR protein")</f>
        <v>ANDR protein</v>
      </c>
      <c r="J428" t="s">
        <v>1323</v>
      </c>
      <c r="K428" t="s">
        <v>20</v>
      </c>
      <c r="L428">
        <v>168</v>
      </c>
      <c r="M428" t="s">
        <v>25</v>
      </c>
      <c r="N428" t="s">
        <v>20</v>
      </c>
      <c r="O428" t="s">
        <v>1352</v>
      </c>
      <c r="P428" t="s">
        <v>20</v>
      </c>
      <c r="Q428">
        <v>132.119</v>
      </c>
      <c r="R428" t="s">
        <v>20</v>
      </c>
      <c r="S428" t="s">
        <v>20</v>
      </c>
      <c r="T428">
        <v>174</v>
      </c>
      <c r="U428" t="s">
        <v>1313</v>
      </c>
      <c r="V428" t="s">
        <v>20</v>
      </c>
      <c r="W428" t="s">
        <v>1352</v>
      </c>
      <c r="X428" t="s">
        <v>20</v>
      </c>
      <c r="Y428">
        <v>146.14599999999999</v>
      </c>
      <c r="Z428" t="s">
        <v>20</v>
      </c>
      <c r="AA428" t="s">
        <v>20</v>
      </c>
      <c r="AB428">
        <v>215</v>
      </c>
      <c r="AC428" t="s">
        <v>1314</v>
      </c>
      <c r="AD428" t="s">
        <v>20</v>
      </c>
      <c r="AE428" t="s">
        <v>1353</v>
      </c>
      <c r="AF428" t="s">
        <v>20</v>
      </c>
      <c r="AG428">
        <v>174.203</v>
      </c>
      <c r="AH428" t="s">
        <v>20</v>
      </c>
      <c r="AI428" t="s">
        <v>20</v>
      </c>
      <c r="AJ428">
        <v>340</v>
      </c>
      <c r="AK428" t="s">
        <v>1315</v>
      </c>
      <c r="AL428" t="s">
        <v>20</v>
      </c>
      <c r="AM428" t="s">
        <v>1354</v>
      </c>
      <c r="AN428" t="s">
        <v>20</v>
      </c>
      <c r="AO428">
        <v>119.119</v>
      </c>
      <c r="AP428" t="s">
        <v>20</v>
      </c>
      <c r="AQ428" t="s">
        <v>20</v>
      </c>
    </row>
    <row r="429" spans="1:43" x14ac:dyDescent="0.25">
      <c r="A429">
        <v>6</v>
      </c>
      <c r="B429" t="s">
        <v>167</v>
      </c>
      <c r="C429" t="str">
        <f>HYPERLINK("http://www.ncbi.nlm.nih.gov/protein/NXA36954.1","NXA36954.1")</f>
        <v>NXA36954.1</v>
      </c>
      <c r="D429">
        <v>13771</v>
      </c>
      <c r="E429" t="str">
        <f>HYPERLINK("http://www.ncbi.nlm.nih.gov/Taxonomy/Browser/wwwtax.cgi?mode=Info&amp;id=8805&amp;lvl=3&amp;lin=f&amp;keep=1&amp;srchmode=1&amp;unlock","8805")</f>
        <v>8805</v>
      </c>
      <c r="F429" t="s">
        <v>167</v>
      </c>
      <c r="G429" t="str">
        <f>HYPERLINK("http://www.ncbi.nlm.nih.gov/Taxonomy/Browser/wwwtax.cgi?mode=Info&amp;id=8805&amp;lvl=3&amp;lin=f&amp;keep=1&amp;srchmode=1&amp;unlock","Eudromia elegans")</f>
        <v>Eudromia elegans</v>
      </c>
      <c r="H429" t="s">
        <v>485</v>
      </c>
      <c r="I429" t="str">
        <f>HYPERLINK("http://www.ncbi.nlm.nih.gov/protein/NXA36954.1","ANDR protein")</f>
        <v>ANDR protein</v>
      </c>
      <c r="J429" t="s">
        <v>1323</v>
      </c>
      <c r="K429" t="s">
        <v>20</v>
      </c>
      <c r="L429">
        <v>168</v>
      </c>
      <c r="M429" t="s">
        <v>25</v>
      </c>
      <c r="N429" t="s">
        <v>20</v>
      </c>
      <c r="O429" t="s">
        <v>1352</v>
      </c>
      <c r="P429" t="s">
        <v>20</v>
      </c>
      <c r="Q429">
        <v>132.119</v>
      </c>
      <c r="R429" t="s">
        <v>20</v>
      </c>
      <c r="S429" t="s">
        <v>20</v>
      </c>
      <c r="T429">
        <v>174</v>
      </c>
      <c r="U429" t="s">
        <v>1313</v>
      </c>
      <c r="V429" t="s">
        <v>20</v>
      </c>
      <c r="W429" t="s">
        <v>1352</v>
      </c>
      <c r="X429" t="s">
        <v>20</v>
      </c>
      <c r="Y429">
        <v>146.14599999999999</v>
      </c>
      <c r="Z429" t="s">
        <v>20</v>
      </c>
      <c r="AA429" t="s">
        <v>20</v>
      </c>
      <c r="AB429">
        <v>215</v>
      </c>
      <c r="AC429" t="s">
        <v>1314</v>
      </c>
      <c r="AD429" t="s">
        <v>20</v>
      </c>
      <c r="AE429" t="s">
        <v>1353</v>
      </c>
      <c r="AF429" t="s">
        <v>20</v>
      </c>
      <c r="AG429">
        <v>174.203</v>
      </c>
      <c r="AH429" t="s">
        <v>20</v>
      </c>
      <c r="AI429" t="s">
        <v>20</v>
      </c>
      <c r="AJ429">
        <v>340</v>
      </c>
      <c r="AK429" t="s">
        <v>1315</v>
      </c>
      <c r="AL429" t="s">
        <v>20</v>
      </c>
      <c r="AM429" t="s">
        <v>1354</v>
      </c>
      <c r="AN429" t="s">
        <v>20</v>
      </c>
      <c r="AO429">
        <v>119.119</v>
      </c>
      <c r="AP429" t="s">
        <v>20</v>
      </c>
      <c r="AQ429" t="s">
        <v>20</v>
      </c>
    </row>
    <row r="430" spans="1:43" x14ac:dyDescent="0.25">
      <c r="A430">
        <v>6</v>
      </c>
      <c r="B430" t="s">
        <v>167</v>
      </c>
      <c r="C430" t="str">
        <f>HYPERLINK("http://www.ncbi.nlm.nih.gov/protein/XP_013809075.1","XP_013809075.1")</f>
        <v>XP_013809075.1</v>
      </c>
      <c r="D430">
        <v>22840</v>
      </c>
      <c r="E430" t="str">
        <f>HYPERLINK("http://www.ncbi.nlm.nih.gov/Taxonomy/Browser/wwwtax.cgi?mode=Info&amp;id=202946&amp;lvl=3&amp;lin=f&amp;keep=1&amp;srchmode=1&amp;unlock","202946")</f>
        <v>202946</v>
      </c>
      <c r="F430" t="s">
        <v>167</v>
      </c>
      <c r="G430" t="str">
        <f>HYPERLINK("http://www.ncbi.nlm.nih.gov/Taxonomy/Browser/wwwtax.cgi?mode=Info&amp;id=202946&amp;lvl=3&amp;lin=f&amp;keep=1&amp;srchmode=1&amp;unlock","Apteryx mantelli mantelli")</f>
        <v>Apteryx mantelli mantelli</v>
      </c>
      <c r="H430" t="s">
        <v>209</v>
      </c>
      <c r="I430" t="str">
        <f>HYPERLINK("http://www.ncbi.nlm.nih.gov/protein/XP_013809075.1","PREDICTED: androgen receptor")</f>
        <v>PREDICTED: androgen receptor</v>
      </c>
      <c r="J430" t="s">
        <v>1323</v>
      </c>
      <c r="K430" t="s">
        <v>20</v>
      </c>
      <c r="L430">
        <v>183</v>
      </c>
      <c r="M430" t="s">
        <v>25</v>
      </c>
      <c r="N430" t="s">
        <v>20</v>
      </c>
      <c r="O430" t="s">
        <v>1352</v>
      </c>
      <c r="P430" t="s">
        <v>20</v>
      </c>
      <c r="Q430">
        <v>132.119</v>
      </c>
      <c r="R430" t="s">
        <v>20</v>
      </c>
      <c r="S430" t="s">
        <v>20</v>
      </c>
      <c r="T430">
        <v>189</v>
      </c>
      <c r="U430" t="s">
        <v>1313</v>
      </c>
      <c r="V430" t="s">
        <v>20</v>
      </c>
      <c r="W430" t="s">
        <v>1352</v>
      </c>
      <c r="X430" t="s">
        <v>20</v>
      </c>
      <c r="Y430">
        <v>146.14599999999999</v>
      </c>
      <c r="Z430" t="s">
        <v>20</v>
      </c>
      <c r="AA430" t="s">
        <v>20</v>
      </c>
      <c r="AB430">
        <v>230</v>
      </c>
      <c r="AC430" t="s">
        <v>1314</v>
      </c>
      <c r="AD430" t="s">
        <v>20</v>
      </c>
      <c r="AE430" t="s">
        <v>1353</v>
      </c>
      <c r="AF430" t="s">
        <v>20</v>
      </c>
      <c r="AG430">
        <v>174.203</v>
      </c>
      <c r="AH430" t="s">
        <v>20</v>
      </c>
      <c r="AI430" t="s">
        <v>20</v>
      </c>
      <c r="AJ430">
        <v>355</v>
      </c>
      <c r="AK430" t="s">
        <v>1315</v>
      </c>
      <c r="AL430" t="s">
        <v>20</v>
      </c>
      <c r="AM430" t="s">
        <v>1354</v>
      </c>
      <c r="AN430" t="s">
        <v>20</v>
      </c>
      <c r="AO430">
        <v>119.119</v>
      </c>
      <c r="AP430" t="s">
        <v>20</v>
      </c>
      <c r="AQ430" t="s">
        <v>20</v>
      </c>
    </row>
    <row r="431" spans="1:43" x14ac:dyDescent="0.25">
      <c r="A431">
        <v>6</v>
      </c>
      <c r="B431" t="s">
        <v>167</v>
      </c>
      <c r="C431" t="str">
        <f>HYPERLINK("http://www.ncbi.nlm.nih.gov/protein/NWX53097.1","NWX53097.1")</f>
        <v>NWX53097.1</v>
      </c>
      <c r="D431">
        <v>14617</v>
      </c>
      <c r="E431" t="str">
        <f>HYPERLINK("http://www.ncbi.nlm.nih.gov/Taxonomy/Browser/wwwtax.cgi?mode=Info&amp;id=48435&amp;lvl=3&amp;lin=f&amp;keep=1&amp;srchmode=1&amp;unlock","48435")</f>
        <v>48435</v>
      </c>
      <c r="F431" t="s">
        <v>167</v>
      </c>
      <c r="G431" t="str">
        <f>HYPERLINK("http://www.ncbi.nlm.nih.gov/Taxonomy/Browser/wwwtax.cgi?mode=Info&amp;id=48435&amp;lvl=3&amp;lin=f&amp;keep=1&amp;srchmode=1&amp;unlock","Steatornis caripensis")</f>
        <v>Steatornis caripensis</v>
      </c>
      <c r="H431" t="s">
        <v>263</v>
      </c>
      <c r="I431" t="str">
        <f>HYPERLINK("http://www.ncbi.nlm.nih.gov/protein/NWX53097.1","ANDR protein")</f>
        <v>ANDR protein</v>
      </c>
      <c r="J431" t="s">
        <v>1323</v>
      </c>
      <c r="K431" t="s">
        <v>20</v>
      </c>
      <c r="L431">
        <v>168</v>
      </c>
      <c r="M431" t="s">
        <v>25</v>
      </c>
      <c r="N431" t="s">
        <v>20</v>
      </c>
      <c r="O431" t="s">
        <v>1352</v>
      </c>
      <c r="P431" t="s">
        <v>20</v>
      </c>
      <c r="Q431">
        <v>132.119</v>
      </c>
      <c r="R431" t="s">
        <v>20</v>
      </c>
      <c r="S431" t="s">
        <v>20</v>
      </c>
      <c r="T431">
        <v>174</v>
      </c>
      <c r="U431" t="s">
        <v>1313</v>
      </c>
      <c r="V431" t="s">
        <v>20</v>
      </c>
      <c r="W431" t="s">
        <v>1352</v>
      </c>
      <c r="X431" t="s">
        <v>20</v>
      </c>
      <c r="Y431">
        <v>146.14599999999999</v>
      </c>
      <c r="Z431" t="s">
        <v>20</v>
      </c>
      <c r="AA431" t="s">
        <v>20</v>
      </c>
      <c r="AB431">
        <v>215</v>
      </c>
      <c r="AC431" t="s">
        <v>1314</v>
      </c>
      <c r="AD431" t="s">
        <v>20</v>
      </c>
      <c r="AE431" t="s">
        <v>1353</v>
      </c>
      <c r="AF431" t="s">
        <v>20</v>
      </c>
      <c r="AG431">
        <v>174.203</v>
      </c>
      <c r="AH431" t="s">
        <v>20</v>
      </c>
      <c r="AI431" t="s">
        <v>20</v>
      </c>
      <c r="AJ431">
        <v>340</v>
      </c>
      <c r="AK431" t="s">
        <v>1315</v>
      </c>
      <c r="AL431" t="s">
        <v>20</v>
      </c>
      <c r="AM431" t="s">
        <v>1354</v>
      </c>
      <c r="AN431" t="s">
        <v>20</v>
      </c>
      <c r="AO431">
        <v>119.119</v>
      </c>
      <c r="AP431" t="s">
        <v>20</v>
      </c>
      <c r="AQ431" t="s">
        <v>20</v>
      </c>
    </row>
    <row r="432" spans="1:43" x14ac:dyDescent="0.25">
      <c r="A432">
        <v>6</v>
      </c>
      <c r="B432" t="s">
        <v>167</v>
      </c>
      <c r="C432" t="str">
        <f>HYPERLINK("http://www.ncbi.nlm.nih.gov/protein/NXT94797.1","NXT94797.1")</f>
        <v>NXT94797.1</v>
      </c>
      <c r="D432">
        <v>10510</v>
      </c>
      <c r="E432" t="str">
        <f>HYPERLINK("http://www.ncbi.nlm.nih.gov/Taxonomy/Browser/wwwtax.cgi?mode=Info&amp;id=317792&amp;lvl=3&amp;lin=f&amp;keep=1&amp;srchmode=1&amp;unlock","317792")</f>
        <v>317792</v>
      </c>
      <c r="F432" t="s">
        <v>167</v>
      </c>
      <c r="G432" t="str">
        <f>HYPERLINK("http://www.ncbi.nlm.nih.gov/Taxonomy/Browser/wwwtax.cgi?mode=Info&amp;id=317792&amp;lvl=3&amp;lin=f&amp;keep=1&amp;srchmode=1&amp;unlock","Anhinga rufa")</f>
        <v>Anhinga rufa</v>
      </c>
      <c r="H432" t="s">
        <v>347</v>
      </c>
      <c r="I432" t="str">
        <f>HYPERLINK("http://www.ncbi.nlm.nih.gov/protein/NXT94797.1","ANDR protein")</f>
        <v>ANDR protein</v>
      </c>
      <c r="J432" t="s">
        <v>1323</v>
      </c>
      <c r="K432" t="s">
        <v>20</v>
      </c>
      <c r="L432">
        <v>168</v>
      </c>
      <c r="M432" t="s">
        <v>25</v>
      </c>
      <c r="N432" t="s">
        <v>20</v>
      </c>
      <c r="O432" t="s">
        <v>1352</v>
      </c>
      <c r="P432" t="s">
        <v>20</v>
      </c>
      <c r="Q432">
        <v>132.119</v>
      </c>
      <c r="R432" t="s">
        <v>20</v>
      </c>
      <c r="S432" t="s">
        <v>20</v>
      </c>
      <c r="T432">
        <v>174</v>
      </c>
      <c r="U432" t="s">
        <v>1313</v>
      </c>
      <c r="V432" t="s">
        <v>20</v>
      </c>
      <c r="W432" t="s">
        <v>1352</v>
      </c>
      <c r="X432" t="s">
        <v>20</v>
      </c>
      <c r="Y432">
        <v>146.14599999999999</v>
      </c>
      <c r="Z432" t="s">
        <v>20</v>
      </c>
      <c r="AA432" t="s">
        <v>20</v>
      </c>
      <c r="AB432">
        <v>215</v>
      </c>
      <c r="AC432" t="s">
        <v>1314</v>
      </c>
      <c r="AD432" t="s">
        <v>20</v>
      </c>
      <c r="AE432" t="s">
        <v>1353</v>
      </c>
      <c r="AF432" t="s">
        <v>20</v>
      </c>
      <c r="AG432">
        <v>174.203</v>
      </c>
      <c r="AH432" t="s">
        <v>20</v>
      </c>
      <c r="AI432" t="s">
        <v>20</v>
      </c>
      <c r="AJ432">
        <v>340</v>
      </c>
      <c r="AK432" t="s">
        <v>1315</v>
      </c>
      <c r="AL432" t="s">
        <v>20</v>
      </c>
      <c r="AM432" t="s">
        <v>1354</v>
      </c>
      <c r="AN432" t="s">
        <v>20</v>
      </c>
      <c r="AO432">
        <v>119.119</v>
      </c>
      <c r="AP432" t="s">
        <v>20</v>
      </c>
      <c r="AQ432" t="s">
        <v>20</v>
      </c>
    </row>
    <row r="433" spans="1:43" x14ac:dyDescent="0.25">
      <c r="A433">
        <v>6</v>
      </c>
      <c r="B433" t="s">
        <v>167</v>
      </c>
      <c r="C433" t="str">
        <f>HYPERLINK("http://www.ncbi.nlm.nih.gov/protein/NXC68749.1","NXC68749.1")</f>
        <v>NXC68749.1</v>
      </c>
      <c r="D433">
        <v>13634</v>
      </c>
      <c r="E433" t="str">
        <f>HYPERLINK("http://www.ncbi.nlm.nih.gov/Taxonomy/Browser/wwwtax.cgi?mode=Info&amp;id=56067&amp;lvl=3&amp;lin=f&amp;keep=1&amp;srchmode=1&amp;unlock","56067")</f>
        <v>56067</v>
      </c>
      <c r="F433" t="s">
        <v>167</v>
      </c>
      <c r="G433" t="str">
        <f>HYPERLINK("http://www.ncbi.nlm.nih.gov/Taxonomy/Browser/wwwtax.cgi?mode=Info&amp;id=56067&amp;lvl=3&amp;lin=f&amp;keep=1&amp;srchmode=1&amp;unlock","Anhinga anhinga")</f>
        <v>Anhinga anhinga</v>
      </c>
      <c r="H433" t="s">
        <v>297</v>
      </c>
      <c r="I433" t="str">
        <f>HYPERLINK("http://www.ncbi.nlm.nih.gov/protein/NXC68749.1","ANDR protein")</f>
        <v>ANDR protein</v>
      </c>
      <c r="J433" t="s">
        <v>1323</v>
      </c>
      <c r="K433" t="s">
        <v>20</v>
      </c>
      <c r="L433">
        <v>168</v>
      </c>
      <c r="M433" t="s">
        <v>25</v>
      </c>
      <c r="N433" t="s">
        <v>20</v>
      </c>
      <c r="O433" t="s">
        <v>1352</v>
      </c>
      <c r="P433" t="s">
        <v>20</v>
      </c>
      <c r="Q433">
        <v>132.119</v>
      </c>
      <c r="R433" t="s">
        <v>20</v>
      </c>
      <c r="S433" t="s">
        <v>20</v>
      </c>
      <c r="T433">
        <v>174</v>
      </c>
      <c r="U433" t="s">
        <v>1313</v>
      </c>
      <c r="V433" t="s">
        <v>20</v>
      </c>
      <c r="W433" t="s">
        <v>1352</v>
      </c>
      <c r="X433" t="s">
        <v>20</v>
      </c>
      <c r="Y433">
        <v>146.14599999999999</v>
      </c>
      <c r="Z433" t="s">
        <v>20</v>
      </c>
      <c r="AA433" t="s">
        <v>20</v>
      </c>
      <c r="AB433">
        <v>215</v>
      </c>
      <c r="AC433" t="s">
        <v>1314</v>
      </c>
      <c r="AD433" t="s">
        <v>20</v>
      </c>
      <c r="AE433" t="s">
        <v>1353</v>
      </c>
      <c r="AF433" t="s">
        <v>20</v>
      </c>
      <c r="AG433">
        <v>174.203</v>
      </c>
      <c r="AH433" t="s">
        <v>20</v>
      </c>
      <c r="AI433" t="s">
        <v>20</v>
      </c>
      <c r="AJ433">
        <v>340</v>
      </c>
      <c r="AK433" t="s">
        <v>1315</v>
      </c>
      <c r="AL433" t="s">
        <v>20</v>
      </c>
      <c r="AM433" t="s">
        <v>1354</v>
      </c>
      <c r="AN433" t="s">
        <v>20</v>
      </c>
      <c r="AO433">
        <v>119.119</v>
      </c>
      <c r="AP433" t="s">
        <v>20</v>
      </c>
      <c r="AQ433" t="s">
        <v>20</v>
      </c>
    </row>
    <row r="434" spans="1:43" x14ac:dyDescent="0.25">
      <c r="A434">
        <v>6</v>
      </c>
      <c r="B434" t="s">
        <v>167</v>
      </c>
      <c r="C434" t="str">
        <f>HYPERLINK("http://www.ncbi.nlm.nih.gov/protein/NXM75698.1","NXM75698.1")</f>
        <v>NXM75698.1</v>
      </c>
      <c r="D434">
        <v>14138</v>
      </c>
      <c r="E434" t="str">
        <f>HYPERLINK("http://www.ncbi.nlm.nih.gov/Taxonomy/Browser/wwwtax.cgi?mode=Info&amp;id=239386&amp;lvl=3&amp;lin=f&amp;keep=1&amp;srchmode=1&amp;unlock","239386")</f>
        <v>239386</v>
      </c>
      <c r="F434" t="s">
        <v>167</v>
      </c>
      <c r="G434" t="str">
        <f>HYPERLINK("http://www.ncbi.nlm.nih.gov/Taxonomy/Browser/wwwtax.cgi?mode=Info&amp;id=239386&amp;lvl=3&amp;lin=f&amp;keep=1&amp;srchmode=1&amp;unlock","Serilophus lunatus")</f>
        <v>Serilophus lunatus</v>
      </c>
      <c r="H434" t="s">
        <v>443</v>
      </c>
      <c r="I434" t="str">
        <f>HYPERLINK("http://www.ncbi.nlm.nih.gov/protein/NXM75698.1","ANDR protein")</f>
        <v>ANDR protein</v>
      </c>
      <c r="J434" t="s">
        <v>1323</v>
      </c>
      <c r="K434" t="s">
        <v>20</v>
      </c>
      <c r="L434">
        <v>168</v>
      </c>
      <c r="M434" t="s">
        <v>25</v>
      </c>
      <c r="N434" t="s">
        <v>20</v>
      </c>
      <c r="O434" t="s">
        <v>1352</v>
      </c>
      <c r="P434" t="s">
        <v>20</v>
      </c>
      <c r="Q434">
        <v>132.119</v>
      </c>
      <c r="R434" t="s">
        <v>20</v>
      </c>
      <c r="S434" t="s">
        <v>20</v>
      </c>
      <c r="T434">
        <v>174</v>
      </c>
      <c r="U434" t="s">
        <v>1313</v>
      </c>
      <c r="V434" t="s">
        <v>20</v>
      </c>
      <c r="W434" t="s">
        <v>1352</v>
      </c>
      <c r="X434" t="s">
        <v>20</v>
      </c>
      <c r="Y434">
        <v>146.14599999999999</v>
      </c>
      <c r="Z434" t="s">
        <v>20</v>
      </c>
      <c r="AA434" t="s">
        <v>20</v>
      </c>
      <c r="AB434">
        <v>215</v>
      </c>
      <c r="AC434" t="s">
        <v>1314</v>
      </c>
      <c r="AD434" t="s">
        <v>20</v>
      </c>
      <c r="AE434" t="s">
        <v>1353</v>
      </c>
      <c r="AF434" t="s">
        <v>20</v>
      </c>
      <c r="AG434">
        <v>174.203</v>
      </c>
      <c r="AH434" t="s">
        <v>20</v>
      </c>
      <c r="AI434" t="s">
        <v>20</v>
      </c>
      <c r="AJ434">
        <v>340</v>
      </c>
      <c r="AK434" t="s">
        <v>1315</v>
      </c>
      <c r="AL434" t="s">
        <v>20</v>
      </c>
      <c r="AM434" t="s">
        <v>1354</v>
      </c>
      <c r="AN434" t="s">
        <v>20</v>
      </c>
      <c r="AO434">
        <v>119.119</v>
      </c>
      <c r="AP434" t="s">
        <v>20</v>
      </c>
      <c r="AQ434" t="s">
        <v>20</v>
      </c>
    </row>
    <row r="435" spans="1:43" x14ac:dyDescent="0.25">
      <c r="A435">
        <v>6</v>
      </c>
      <c r="B435" t="s">
        <v>167</v>
      </c>
      <c r="C435" t="str">
        <f>HYPERLINK("http://www.ncbi.nlm.nih.gov/protein/XP_009675620.1","XP_009675620.1")</f>
        <v>XP_009675620.1</v>
      </c>
      <c r="D435">
        <v>39498</v>
      </c>
      <c r="E435" t="str">
        <f>HYPERLINK("http://www.ncbi.nlm.nih.gov/Taxonomy/Browser/wwwtax.cgi?mode=Info&amp;id=441894&amp;lvl=3&amp;lin=f&amp;keep=1&amp;srchmode=1&amp;unlock","441894")</f>
        <v>441894</v>
      </c>
      <c r="F435" t="s">
        <v>167</v>
      </c>
      <c r="G435" t="str">
        <f>HYPERLINK("http://www.ncbi.nlm.nih.gov/Taxonomy/Browser/wwwtax.cgi?mode=Info&amp;id=441894&amp;lvl=3&amp;lin=f&amp;keep=1&amp;srchmode=1&amp;unlock","Struthio camelus australis")</f>
        <v>Struthio camelus australis</v>
      </c>
      <c r="H435" t="s">
        <v>370</v>
      </c>
      <c r="I435" t="str">
        <f>HYPERLINK("http://www.ncbi.nlm.nih.gov/protein/XP_009675620.1","PREDICTED: androgen receptor")</f>
        <v>PREDICTED: androgen receptor</v>
      </c>
      <c r="J435" t="s">
        <v>1323</v>
      </c>
      <c r="K435" t="s">
        <v>20</v>
      </c>
      <c r="L435">
        <v>353</v>
      </c>
      <c r="M435" t="s">
        <v>25</v>
      </c>
      <c r="N435" t="s">
        <v>20</v>
      </c>
      <c r="O435" t="s">
        <v>1352</v>
      </c>
      <c r="P435" t="s">
        <v>20</v>
      </c>
      <c r="Q435">
        <v>132.119</v>
      </c>
      <c r="R435" t="s">
        <v>20</v>
      </c>
      <c r="S435" t="s">
        <v>20</v>
      </c>
      <c r="T435">
        <v>359</v>
      </c>
      <c r="U435" t="s">
        <v>1313</v>
      </c>
      <c r="V435" t="s">
        <v>20</v>
      </c>
      <c r="W435" t="s">
        <v>1352</v>
      </c>
      <c r="X435" t="s">
        <v>20</v>
      </c>
      <c r="Y435">
        <v>146.14599999999999</v>
      </c>
      <c r="Z435" t="s">
        <v>20</v>
      </c>
      <c r="AA435" t="s">
        <v>20</v>
      </c>
      <c r="AB435">
        <v>400</v>
      </c>
      <c r="AC435" t="s">
        <v>1314</v>
      </c>
      <c r="AD435" t="s">
        <v>20</v>
      </c>
      <c r="AE435" t="s">
        <v>1353</v>
      </c>
      <c r="AF435" t="s">
        <v>20</v>
      </c>
      <c r="AG435">
        <v>174.203</v>
      </c>
      <c r="AH435" t="s">
        <v>20</v>
      </c>
      <c r="AI435" t="s">
        <v>20</v>
      </c>
      <c r="AJ435">
        <v>525</v>
      </c>
      <c r="AK435" t="s">
        <v>1315</v>
      </c>
      <c r="AL435" t="s">
        <v>20</v>
      </c>
      <c r="AM435" t="s">
        <v>1354</v>
      </c>
      <c r="AN435" t="s">
        <v>20</v>
      </c>
      <c r="AO435">
        <v>119.119</v>
      </c>
      <c r="AP435" t="s">
        <v>20</v>
      </c>
      <c r="AQ435" t="s">
        <v>20</v>
      </c>
    </row>
    <row r="436" spans="1:43" x14ac:dyDescent="0.25">
      <c r="A436">
        <v>6</v>
      </c>
      <c r="B436" t="s">
        <v>167</v>
      </c>
      <c r="C436" t="str">
        <f>HYPERLINK("http://www.ncbi.nlm.nih.gov/protein/XP_031410502.1","XP_031410502.1")</f>
        <v>XP_031410502.1</v>
      </c>
      <c r="D436">
        <v>30542</v>
      </c>
      <c r="E436" t="str">
        <f>HYPERLINK("http://www.ncbi.nlm.nih.gov/Taxonomy/Browser/wwwtax.cgi?mode=Info&amp;id=9103&amp;lvl=3&amp;lin=f&amp;keep=1&amp;srchmode=1&amp;unlock","9103")</f>
        <v>9103</v>
      </c>
      <c r="F436" t="s">
        <v>167</v>
      </c>
      <c r="G436" t="str">
        <f>HYPERLINK("http://www.ncbi.nlm.nih.gov/Taxonomy/Browser/wwwtax.cgi?mode=Info&amp;id=9103&amp;lvl=3&amp;lin=f&amp;keep=1&amp;srchmode=1&amp;unlock","Meleagris gallopavo")</f>
        <v>Meleagris gallopavo</v>
      </c>
      <c r="H436" t="s">
        <v>590</v>
      </c>
      <c r="I436" t="str">
        <f>HYPERLINK("http://www.ncbi.nlm.nih.gov/protein/XP_031410502.1","androgen receptor")</f>
        <v>androgen receptor</v>
      </c>
      <c r="J436" t="s">
        <v>1323</v>
      </c>
      <c r="K436" t="s">
        <v>20</v>
      </c>
      <c r="L436">
        <v>160</v>
      </c>
      <c r="M436" t="s">
        <v>25</v>
      </c>
      <c r="N436" t="s">
        <v>20</v>
      </c>
      <c r="O436" t="s">
        <v>1352</v>
      </c>
      <c r="P436" t="s">
        <v>20</v>
      </c>
      <c r="Q436">
        <v>132.119</v>
      </c>
      <c r="R436" t="s">
        <v>20</v>
      </c>
      <c r="S436" t="s">
        <v>20</v>
      </c>
      <c r="T436">
        <v>166</v>
      </c>
      <c r="U436" t="s">
        <v>1313</v>
      </c>
      <c r="V436" t="s">
        <v>20</v>
      </c>
      <c r="W436" t="s">
        <v>1352</v>
      </c>
      <c r="X436" t="s">
        <v>20</v>
      </c>
      <c r="Y436">
        <v>146.14599999999999</v>
      </c>
      <c r="Z436" t="s">
        <v>20</v>
      </c>
      <c r="AA436" t="s">
        <v>20</v>
      </c>
      <c r="AB436">
        <v>207</v>
      </c>
      <c r="AC436" t="s">
        <v>1314</v>
      </c>
      <c r="AD436" t="s">
        <v>20</v>
      </c>
      <c r="AE436" t="s">
        <v>1353</v>
      </c>
      <c r="AF436" t="s">
        <v>20</v>
      </c>
      <c r="AG436">
        <v>174.203</v>
      </c>
      <c r="AH436" t="s">
        <v>20</v>
      </c>
      <c r="AI436" t="s">
        <v>20</v>
      </c>
      <c r="AJ436">
        <v>332</v>
      </c>
      <c r="AK436" t="s">
        <v>1315</v>
      </c>
      <c r="AL436" t="s">
        <v>20</v>
      </c>
      <c r="AM436" t="s">
        <v>1354</v>
      </c>
      <c r="AN436" t="s">
        <v>20</v>
      </c>
      <c r="AO436">
        <v>119.119</v>
      </c>
      <c r="AP436" t="s">
        <v>20</v>
      </c>
      <c r="AQ436" t="s">
        <v>20</v>
      </c>
    </row>
    <row r="437" spans="1:43" x14ac:dyDescent="0.25">
      <c r="A437">
        <v>6</v>
      </c>
      <c r="B437" t="s">
        <v>167</v>
      </c>
      <c r="C437" t="str">
        <f>HYPERLINK("http://www.ncbi.nlm.nih.gov/protein/NXW56789.1","NXW56789.1")</f>
        <v>NXW56789.1</v>
      </c>
      <c r="D437">
        <v>13972</v>
      </c>
      <c r="E437" t="str">
        <f>HYPERLINK("http://www.ncbi.nlm.nih.gov/Taxonomy/Browser/wwwtax.cgi?mode=Info&amp;id=325343&amp;lvl=3&amp;lin=f&amp;keep=1&amp;srchmode=1&amp;unlock","325343")</f>
        <v>325343</v>
      </c>
      <c r="F437" t="s">
        <v>167</v>
      </c>
      <c r="G437" t="str">
        <f>HYPERLINK("http://www.ncbi.nlm.nih.gov/Taxonomy/Browser/wwwtax.cgi?mode=Info&amp;id=325343&amp;lvl=3&amp;lin=f&amp;keep=1&amp;srchmode=1&amp;unlock","Eurystomus gularis")</f>
        <v>Eurystomus gularis</v>
      </c>
      <c r="H437" t="s">
        <v>238</v>
      </c>
      <c r="I437" t="str">
        <f>HYPERLINK("http://www.ncbi.nlm.nih.gov/protein/NXW56789.1","ANDR protein")</f>
        <v>ANDR protein</v>
      </c>
      <c r="J437" t="s">
        <v>1323</v>
      </c>
      <c r="K437" t="s">
        <v>20</v>
      </c>
      <c r="L437">
        <v>169</v>
      </c>
      <c r="M437" t="s">
        <v>25</v>
      </c>
      <c r="N437" t="s">
        <v>20</v>
      </c>
      <c r="O437" t="s">
        <v>1352</v>
      </c>
      <c r="P437" t="s">
        <v>20</v>
      </c>
      <c r="Q437">
        <v>132.119</v>
      </c>
      <c r="R437" t="s">
        <v>20</v>
      </c>
      <c r="S437" t="s">
        <v>20</v>
      </c>
      <c r="T437">
        <v>175</v>
      </c>
      <c r="U437" t="s">
        <v>1313</v>
      </c>
      <c r="V437" t="s">
        <v>20</v>
      </c>
      <c r="W437" t="s">
        <v>1352</v>
      </c>
      <c r="X437" t="s">
        <v>20</v>
      </c>
      <c r="Y437">
        <v>146.14599999999999</v>
      </c>
      <c r="Z437" t="s">
        <v>20</v>
      </c>
      <c r="AA437" t="s">
        <v>20</v>
      </c>
      <c r="AB437">
        <v>216</v>
      </c>
      <c r="AC437" t="s">
        <v>1314</v>
      </c>
      <c r="AD437" t="s">
        <v>20</v>
      </c>
      <c r="AE437" t="s">
        <v>1353</v>
      </c>
      <c r="AF437" t="s">
        <v>20</v>
      </c>
      <c r="AG437">
        <v>174.203</v>
      </c>
      <c r="AH437" t="s">
        <v>20</v>
      </c>
      <c r="AI437" t="s">
        <v>20</v>
      </c>
      <c r="AJ437">
        <v>341</v>
      </c>
      <c r="AK437" t="s">
        <v>1315</v>
      </c>
      <c r="AL437" t="s">
        <v>20</v>
      </c>
      <c r="AM437" t="s">
        <v>1354</v>
      </c>
      <c r="AN437" t="s">
        <v>20</v>
      </c>
      <c r="AO437">
        <v>119.119</v>
      </c>
      <c r="AP437" t="s">
        <v>20</v>
      </c>
      <c r="AQ437" t="s">
        <v>20</v>
      </c>
    </row>
    <row r="438" spans="1:43" x14ac:dyDescent="0.25">
      <c r="A438">
        <v>6</v>
      </c>
      <c r="B438" t="s">
        <v>167</v>
      </c>
      <c r="C438" t="str">
        <f>HYPERLINK("http://www.ncbi.nlm.nih.gov/protein/NXI03838.1","NXI03838.1")</f>
        <v>NXI03838.1</v>
      </c>
      <c r="D438">
        <v>13430</v>
      </c>
      <c r="E438" t="str">
        <f>HYPERLINK("http://www.ncbi.nlm.nih.gov/Taxonomy/Browser/wwwtax.cgi?mode=Info&amp;id=449367&amp;lvl=3&amp;lin=f&amp;keep=1&amp;srchmode=1&amp;unlock","449367")</f>
        <v>449367</v>
      </c>
      <c r="F438" t="s">
        <v>167</v>
      </c>
      <c r="G438" t="str">
        <f>HYPERLINK("http://www.ncbi.nlm.nih.gov/Taxonomy/Browser/wwwtax.cgi?mode=Info&amp;id=449367&amp;lvl=3&amp;lin=f&amp;keep=1&amp;srchmode=1&amp;unlock","Pachycephala philippinensis")</f>
        <v>Pachycephala philippinensis</v>
      </c>
      <c r="H438" t="s">
        <v>309</v>
      </c>
      <c r="I438" t="str">
        <f>HYPERLINK("http://www.ncbi.nlm.nih.gov/protein/NXI03838.1","ANDR protein")</f>
        <v>ANDR protein</v>
      </c>
      <c r="J438" t="s">
        <v>1323</v>
      </c>
      <c r="K438" t="s">
        <v>20</v>
      </c>
      <c r="L438">
        <v>167</v>
      </c>
      <c r="M438" t="s">
        <v>25</v>
      </c>
      <c r="N438" t="s">
        <v>20</v>
      </c>
      <c r="O438" t="s">
        <v>1352</v>
      </c>
      <c r="P438" t="s">
        <v>20</v>
      </c>
      <c r="Q438">
        <v>132.119</v>
      </c>
      <c r="R438" t="s">
        <v>20</v>
      </c>
      <c r="S438" t="s">
        <v>20</v>
      </c>
      <c r="T438">
        <v>173</v>
      </c>
      <c r="U438" t="s">
        <v>1313</v>
      </c>
      <c r="V438" t="s">
        <v>20</v>
      </c>
      <c r="W438" t="s">
        <v>1352</v>
      </c>
      <c r="X438" t="s">
        <v>20</v>
      </c>
      <c r="Y438">
        <v>146.14599999999999</v>
      </c>
      <c r="Z438" t="s">
        <v>20</v>
      </c>
      <c r="AA438" t="s">
        <v>20</v>
      </c>
      <c r="AB438">
        <v>214</v>
      </c>
      <c r="AC438" t="s">
        <v>1314</v>
      </c>
      <c r="AD438" t="s">
        <v>20</v>
      </c>
      <c r="AE438" t="s">
        <v>1353</v>
      </c>
      <c r="AF438" t="s">
        <v>20</v>
      </c>
      <c r="AG438">
        <v>174.203</v>
      </c>
      <c r="AH438" t="s">
        <v>20</v>
      </c>
      <c r="AI438" t="s">
        <v>20</v>
      </c>
      <c r="AJ438">
        <v>339</v>
      </c>
      <c r="AK438" t="s">
        <v>1315</v>
      </c>
      <c r="AL438" t="s">
        <v>20</v>
      </c>
      <c r="AM438" t="s">
        <v>1354</v>
      </c>
      <c r="AN438" t="s">
        <v>20</v>
      </c>
      <c r="AO438">
        <v>119.119</v>
      </c>
      <c r="AP438" t="s">
        <v>20</v>
      </c>
      <c r="AQ438" t="s">
        <v>20</v>
      </c>
    </row>
    <row r="439" spans="1:43" x14ac:dyDescent="0.25">
      <c r="A439">
        <v>6</v>
      </c>
      <c r="B439" t="s">
        <v>167</v>
      </c>
      <c r="C439" t="str">
        <f>HYPERLINK("http://www.ncbi.nlm.nih.gov/protein/NXP93640.1","NXP93640.1")</f>
        <v>NXP93640.1</v>
      </c>
      <c r="D439">
        <v>13042</v>
      </c>
      <c r="E439" t="str">
        <f>HYPERLINK("http://www.ncbi.nlm.nih.gov/Taxonomy/Browser/wwwtax.cgi?mode=Info&amp;id=142471&amp;lvl=3&amp;lin=f&amp;keep=1&amp;srchmode=1&amp;unlock","142471")</f>
        <v>142471</v>
      </c>
      <c r="F439" t="s">
        <v>167</v>
      </c>
      <c r="G439" t="str">
        <f>HYPERLINK("http://www.ncbi.nlm.nih.gov/Taxonomy/Browser/wwwtax.cgi?mode=Info&amp;id=142471&amp;lvl=3&amp;lin=f&amp;keep=1&amp;srchmode=1&amp;unlock","Passerina amoena")</f>
        <v>Passerina amoena</v>
      </c>
      <c r="H439" t="s">
        <v>206</v>
      </c>
      <c r="I439" t="str">
        <f>HYPERLINK("http://www.ncbi.nlm.nih.gov/protein/NXP93640.1","ANDR protein")</f>
        <v>ANDR protein</v>
      </c>
      <c r="J439" t="s">
        <v>1323</v>
      </c>
      <c r="K439" t="s">
        <v>20</v>
      </c>
      <c r="L439">
        <v>220</v>
      </c>
      <c r="M439" t="s">
        <v>25</v>
      </c>
      <c r="N439" t="s">
        <v>20</v>
      </c>
      <c r="O439" t="s">
        <v>1352</v>
      </c>
      <c r="P439" t="s">
        <v>20</v>
      </c>
      <c r="Q439">
        <v>132.119</v>
      </c>
      <c r="R439" t="s">
        <v>20</v>
      </c>
      <c r="S439" t="s">
        <v>20</v>
      </c>
      <c r="T439">
        <v>226</v>
      </c>
      <c r="U439" t="s">
        <v>1313</v>
      </c>
      <c r="V439" t="s">
        <v>20</v>
      </c>
      <c r="W439" t="s">
        <v>1352</v>
      </c>
      <c r="X439" t="s">
        <v>20</v>
      </c>
      <c r="Y439">
        <v>146.14599999999999</v>
      </c>
      <c r="Z439" t="s">
        <v>20</v>
      </c>
      <c r="AA439" t="s">
        <v>20</v>
      </c>
      <c r="AB439">
        <v>267</v>
      </c>
      <c r="AC439" t="s">
        <v>1314</v>
      </c>
      <c r="AD439" t="s">
        <v>20</v>
      </c>
      <c r="AE439" t="s">
        <v>1353</v>
      </c>
      <c r="AF439" t="s">
        <v>20</v>
      </c>
      <c r="AG439">
        <v>174.203</v>
      </c>
      <c r="AH439" t="s">
        <v>20</v>
      </c>
      <c r="AI439" t="s">
        <v>20</v>
      </c>
      <c r="AJ439">
        <v>392</v>
      </c>
      <c r="AK439" t="s">
        <v>1315</v>
      </c>
      <c r="AL439" t="s">
        <v>20</v>
      </c>
      <c r="AM439" t="s">
        <v>1354</v>
      </c>
      <c r="AN439" t="s">
        <v>20</v>
      </c>
      <c r="AO439">
        <v>119.119</v>
      </c>
      <c r="AP439" t="s">
        <v>20</v>
      </c>
      <c r="AQ439" t="s">
        <v>20</v>
      </c>
    </row>
    <row r="440" spans="1:43" x14ac:dyDescent="0.25">
      <c r="A440">
        <v>6</v>
      </c>
      <c r="B440" t="s">
        <v>167</v>
      </c>
      <c r="C440" t="str">
        <f>HYPERLINK("http://www.ncbi.nlm.nih.gov/protein/NXC18930.1","NXC18930.1")</f>
        <v>NXC18930.1</v>
      </c>
      <c r="D440">
        <v>11553</v>
      </c>
      <c r="E440" t="str">
        <f>HYPERLINK("http://www.ncbi.nlm.nih.gov/Taxonomy/Browser/wwwtax.cgi?mode=Info&amp;id=103954&amp;lvl=3&amp;lin=f&amp;keep=1&amp;srchmode=1&amp;unlock","103954")</f>
        <v>103954</v>
      </c>
      <c r="F440" t="s">
        <v>167</v>
      </c>
      <c r="G440" t="str">
        <f>HYPERLINK("http://www.ncbi.nlm.nih.gov/Taxonomy/Browser/wwwtax.cgi?mode=Info&amp;id=103954&amp;lvl=3&amp;lin=f&amp;keep=1&amp;srchmode=1&amp;unlock","Corythaeola cristata")</f>
        <v>Corythaeola cristata</v>
      </c>
      <c r="H440" t="s">
        <v>996</v>
      </c>
      <c r="I440" t="str">
        <f>HYPERLINK("http://www.ncbi.nlm.nih.gov/protein/NXC18930.1","ANDR protein")</f>
        <v>ANDR protein</v>
      </c>
      <c r="J440" t="s">
        <v>1323</v>
      </c>
      <c r="K440" t="s">
        <v>25</v>
      </c>
      <c r="L440">
        <v>202</v>
      </c>
      <c r="M440" t="s">
        <v>25</v>
      </c>
      <c r="N440" t="s">
        <v>20</v>
      </c>
      <c r="O440" t="s">
        <v>1352</v>
      </c>
      <c r="P440" t="s">
        <v>20</v>
      </c>
      <c r="Q440">
        <v>132.119</v>
      </c>
      <c r="R440" t="s">
        <v>20</v>
      </c>
      <c r="S440" t="s">
        <v>20</v>
      </c>
      <c r="T440">
        <v>208</v>
      </c>
      <c r="U440" t="s">
        <v>1313</v>
      </c>
      <c r="V440" t="s">
        <v>20</v>
      </c>
      <c r="W440" t="s">
        <v>1352</v>
      </c>
      <c r="X440" t="s">
        <v>20</v>
      </c>
      <c r="Y440">
        <v>146.14599999999999</v>
      </c>
      <c r="Z440" t="s">
        <v>20</v>
      </c>
      <c r="AA440" t="s">
        <v>20</v>
      </c>
      <c r="AB440">
        <v>234</v>
      </c>
      <c r="AC440" t="s">
        <v>1324</v>
      </c>
      <c r="AD440" t="s">
        <v>25</v>
      </c>
      <c r="AE440" t="s">
        <v>1355</v>
      </c>
      <c r="AF440" t="s">
        <v>25</v>
      </c>
      <c r="AG440">
        <v>75.066999999999993</v>
      </c>
      <c r="AH440" t="s">
        <v>25</v>
      </c>
      <c r="AI440" t="s">
        <v>25</v>
      </c>
      <c r="AJ440">
        <v>371</v>
      </c>
      <c r="AK440" t="s">
        <v>1315</v>
      </c>
      <c r="AL440" t="s">
        <v>20</v>
      </c>
      <c r="AM440" t="s">
        <v>1354</v>
      </c>
      <c r="AN440" t="s">
        <v>20</v>
      </c>
      <c r="AO440">
        <v>119.119</v>
      </c>
      <c r="AP440" t="s">
        <v>20</v>
      </c>
      <c r="AQ440" t="s">
        <v>20</v>
      </c>
    </row>
    <row r="441" spans="1:43" x14ac:dyDescent="0.25">
      <c r="A441">
        <v>6</v>
      </c>
      <c r="B441" t="s">
        <v>167</v>
      </c>
      <c r="C441" t="str">
        <f>HYPERLINK("http://www.ncbi.nlm.nih.gov/protein/XP_026704635.1","XP_026704635.1")</f>
        <v>XP_026704635.1</v>
      </c>
      <c r="D441">
        <v>27794</v>
      </c>
      <c r="E441" t="str">
        <f>HYPERLINK("http://www.ncbi.nlm.nih.gov/Taxonomy/Browser/wwwtax.cgi?mode=Info&amp;id=194338&amp;lvl=3&amp;lin=f&amp;keep=1&amp;srchmode=1&amp;unlock","194338")</f>
        <v>194338</v>
      </c>
      <c r="F441" t="s">
        <v>167</v>
      </c>
      <c r="G441" t="str">
        <f>HYPERLINK("http://www.ncbi.nlm.nih.gov/Taxonomy/Browser/wwwtax.cgi?mode=Info&amp;id=194338&amp;lvl=3&amp;lin=f&amp;keep=1&amp;srchmode=1&amp;unlock","Athene cunicularia")</f>
        <v>Athene cunicularia</v>
      </c>
      <c r="H441" t="s">
        <v>275</v>
      </c>
      <c r="I441" t="str">
        <f>HYPERLINK("http://www.ncbi.nlm.nih.gov/protein/XP_026704635.1","androgen receptor")</f>
        <v>androgen receptor</v>
      </c>
      <c r="J441" t="s">
        <v>1323</v>
      </c>
      <c r="K441" t="s">
        <v>20</v>
      </c>
      <c r="L441">
        <v>458</v>
      </c>
      <c r="M441" t="s">
        <v>25</v>
      </c>
      <c r="N441" t="s">
        <v>20</v>
      </c>
      <c r="O441" t="s">
        <v>1352</v>
      </c>
      <c r="P441" t="s">
        <v>20</v>
      </c>
      <c r="Q441">
        <v>132.119</v>
      </c>
      <c r="R441" t="s">
        <v>20</v>
      </c>
      <c r="S441" t="s">
        <v>20</v>
      </c>
      <c r="T441">
        <v>464</v>
      </c>
      <c r="U441" t="s">
        <v>1313</v>
      </c>
      <c r="V441" t="s">
        <v>20</v>
      </c>
      <c r="W441" t="s">
        <v>1352</v>
      </c>
      <c r="X441" t="s">
        <v>20</v>
      </c>
      <c r="Y441">
        <v>146.14599999999999</v>
      </c>
      <c r="Z441" t="s">
        <v>20</v>
      </c>
      <c r="AA441" t="s">
        <v>20</v>
      </c>
      <c r="AB441">
        <v>505</v>
      </c>
      <c r="AC441" t="s">
        <v>1314</v>
      </c>
      <c r="AD441" t="s">
        <v>20</v>
      </c>
      <c r="AE441" t="s">
        <v>1353</v>
      </c>
      <c r="AF441" t="s">
        <v>20</v>
      </c>
      <c r="AG441">
        <v>174.203</v>
      </c>
      <c r="AH441" t="s">
        <v>20</v>
      </c>
      <c r="AI441" t="s">
        <v>20</v>
      </c>
      <c r="AJ441">
        <v>585</v>
      </c>
      <c r="AK441" t="s">
        <v>1315</v>
      </c>
      <c r="AL441" t="s">
        <v>20</v>
      </c>
      <c r="AM441" t="s">
        <v>1354</v>
      </c>
      <c r="AN441" t="s">
        <v>20</v>
      </c>
      <c r="AO441">
        <v>119.119</v>
      </c>
      <c r="AP441" t="s">
        <v>20</v>
      </c>
      <c r="AQ441" t="s">
        <v>20</v>
      </c>
    </row>
    <row r="442" spans="1:43" x14ac:dyDescent="0.25">
      <c r="A442">
        <v>6</v>
      </c>
      <c r="B442" t="s">
        <v>167</v>
      </c>
      <c r="C442" t="str">
        <f>HYPERLINK("http://www.ncbi.nlm.nih.gov/protein/XP_028451343.1","XP_028451343.1")</f>
        <v>XP_028451343.1</v>
      </c>
      <c r="D442">
        <v>65039</v>
      </c>
      <c r="E442" t="str">
        <f>HYPERLINK("http://www.ncbi.nlm.nih.gov/Taxonomy/Browser/wwwtax.cgi?mode=Info&amp;id=8167&amp;lvl=3&amp;lin=f&amp;keep=1&amp;srchmode=1&amp;unlock","8167")</f>
        <v>8167</v>
      </c>
      <c r="F442" t="s">
        <v>384</v>
      </c>
      <c r="G442" t="str">
        <f>HYPERLINK("http://www.ncbi.nlm.nih.gov/Taxonomy/Browser/wwwtax.cgi?mode=Info&amp;id=8167&amp;lvl=3&amp;lin=f&amp;keep=1&amp;srchmode=1&amp;unlock","Perca flavescens")</f>
        <v>Perca flavescens</v>
      </c>
      <c r="H442" t="s">
        <v>545</v>
      </c>
      <c r="I442" t="str">
        <f>HYPERLINK("http://www.ncbi.nlm.nih.gov/protein/XP_028451343.1","androgen receptor-like isoform X2")</f>
        <v>androgen receptor-like isoform X2</v>
      </c>
      <c r="J442" t="s">
        <v>1323</v>
      </c>
      <c r="K442" t="s">
        <v>20</v>
      </c>
      <c r="L442">
        <v>544</v>
      </c>
      <c r="M442" t="s">
        <v>25</v>
      </c>
      <c r="N442" t="s">
        <v>20</v>
      </c>
      <c r="O442" t="s">
        <v>1352</v>
      </c>
      <c r="P442" t="s">
        <v>20</v>
      </c>
      <c r="Q442">
        <v>132.119</v>
      </c>
      <c r="R442" t="s">
        <v>20</v>
      </c>
      <c r="S442" t="s">
        <v>20</v>
      </c>
      <c r="T442">
        <v>550</v>
      </c>
      <c r="U442" t="s">
        <v>1313</v>
      </c>
      <c r="V442" t="s">
        <v>20</v>
      </c>
      <c r="W442" t="s">
        <v>1352</v>
      </c>
      <c r="X442" t="s">
        <v>20</v>
      </c>
      <c r="Y442">
        <v>146.14599999999999</v>
      </c>
      <c r="Z442" t="s">
        <v>20</v>
      </c>
      <c r="AA442" t="s">
        <v>20</v>
      </c>
      <c r="AB442">
        <v>591</v>
      </c>
      <c r="AC442" t="s">
        <v>1314</v>
      </c>
      <c r="AD442" t="s">
        <v>20</v>
      </c>
      <c r="AE442" t="s">
        <v>1353</v>
      </c>
      <c r="AF442" t="s">
        <v>20</v>
      </c>
      <c r="AG442">
        <v>174.203</v>
      </c>
      <c r="AH442" t="s">
        <v>20</v>
      </c>
      <c r="AI442" t="s">
        <v>20</v>
      </c>
      <c r="AJ442">
        <v>714</v>
      </c>
      <c r="AK442" t="s">
        <v>1315</v>
      </c>
      <c r="AL442" t="s">
        <v>20</v>
      </c>
      <c r="AM442" t="s">
        <v>1354</v>
      </c>
      <c r="AN442" t="s">
        <v>20</v>
      </c>
      <c r="AO442">
        <v>119.119</v>
      </c>
      <c r="AP442" t="s">
        <v>20</v>
      </c>
      <c r="AQ442" t="s">
        <v>20</v>
      </c>
    </row>
    <row r="443" spans="1:43" x14ac:dyDescent="0.25">
      <c r="A443">
        <v>6</v>
      </c>
      <c r="B443" t="s">
        <v>167</v>
      </c>
      <c r="C443" t="str">
        <f>HYPERLINK("http://www.ncbi.nlm.nih.gov/protein/XP_009073792.1","XP_009073792.1")</f>
        <v>XP_009073792.1</v>
      </c>
      <c r="D443">
        <v>28094</v>
      </c>
      <c r="E443" t="str">
        <f>HYPERLINK("http://www.ncbi.nlm.nih.gov/Taxonomy/Browser/wwwtax.cgi?mode=Info&amp;id=57068&amp;lvl=3&amp;lin=f&amp;keep=1&amp;srchmode=1&amp;unlock","57068")</f>
        <v>57068</v>
      </c>
      <c r="F443" t="s">
        <v>167</v>
      </c>
      <c r="G443" t="str">
        <f>HYPERLINK("http://www.ncbi.nlm.nih.gov/Taxonomy/Browser/wwwtax.cgi?mode=Info&amp;id=57068&amp;lvl=3&amp;lin=f&amp;keep=1&amp;srchmode=1&amp;unlock","Acanthisitta chloris")</f>
        <v>Acanthisitta chloris</v>
      </c>
      <c r="H443" t="s">
        <v>180</v>
      </c>
      <c r="I443" t="str">
        <f>HYPERLINK("http://www.ncbi.nlm.nih.gov/protein/XP_009073792.1","PREDICTED: androgen receptor")</f>
        <v>PREDICTED: androgen receptor</v>
      </c>
      <c r="J443" t="s">
        <v>1323</v>
      </c>
      <c r="K443" t="s">
        <v>20</v>
      </c>
      <c r="L443">
        <v>82</v>
      </c>
      <c r="M443" t="s">
        <v>25</v>
      </c>
      <c r="N443" t="s">
        <v>20</v>
      </c>
      <c r="O443" t="s">
        <v>1352</v>
      </c>
      <c r="P443" t="s">
        <v>20</v>
      </c>
      <c r="Q443">
        <v>132.119</v>
      </c>
      <c r="R443" t="s">
        <v>20</v>
      </c>
      <c r="S443" t="s">
        <v>20</v>
      </c>
      <c r="T443">
        <v>88</v>
      </c>
      <c r="U443" t="s">
        <v>1313</v>
      </c>
      <c r="V443" t="s">
        <v>20</v>
      </c>
      <c r="W443" t="s">
        <v>1352</v>
      </c>
      <c r="X443" t="s">
        <v>20</v>
      </c>
      <c r="Y443">
        <v>146.14599999999999</v>
      </c>
      <c r="Z443" t="s">
        <v>20</v>
      </c>
      <c r="AA443" t="s">
        <v>20</v>
      </c>
      <c r="AB443">
        <v>129</v>
      </c>
      <c r="AC443" t="s">
        <v>1314</v>
      </c>
      <c r="AD443" t="s">
        <v>20</v>
      </c>
      <c r="AE443" t="s">
        <v>1353</v>
      </c>
      <c r="AF443" t="s">
        <v>20</v>
      </c>
      <c r="AG443">
        <v>174.203</v>
      </c>
      <c r="AH443" t="s">
        <v>20</v>
      </c>
      <c r="AI443" t="s">
        <v>20</v>
      </c>
      <c r="AJ443">
        <v>254</v>
      </c>
      <c r="AK443" t="s">
        <v>1315</v>
      </c>
      <c r="AL443" t="s">
        <v>20</v>
      </c>
      <c r="AM443" t="s">
        <v>1354</v>
      </c>
      <c r="AN443" t="s">
        <v>20</v>
      </c>
      <c r="AO443">
        <v>119.119</v>
      </c>
      <c r="AP443" t="s">
        <v>20</v>
      </c>
      <c r="AQ443" t="s">
        <v>20</v>
      </c>
    </row>
    <row r="444" spans="1:43" x14ac:dyDescent="0.25">
      <c r="A444">
        <v>6</v>
      </c>
      <c r="B444" t="s">
        <v>167</v>
      </c>
      <c r="C444" t="str">
        <f>HYPERLINK("http://www.ncbi.nlm.nih.gov/protein/XP_010125721.1","XP_010125721.1")</f>
        <v>XP_010125721.1</v>
      </c>
      <c r="D444">
        <v>26949</v>
      </c>
      <c r="E444" t="str">
        <f>HYPERLINK("http://www.ncbi.nlm.nih.gov/Taxonomy/Browser/wwwtax.cgi?mode=Info&amp;id=187382&amp;lvl=3&amp;lin=f&amp;keep=1&amp;srchmode=1&amp;unlock","187382")</f>
        <v>187382</v>
      </c>
      <c r="F444" t="s">
        <v>167</v>
      </c>
      <c r="G444" t="str">
        <f>HYPERLINK("http://www.ncbi.nlm.nih.gov/Taxonomy/Browser/wwwtax.cgi?mode=Info&amp;id=187382&amp;lvl=3&amp;lin=f&amp;keep=1&amp;srchmode=1&amp;unlock","Chlamydotis macqueenii")</f>
        <v>Chlamydotis macqueenii</v>
      </c>
      <c r="H444" t="s">
        <v>176</v>
      </c>
      <c r="I444" t="str">
        <f>HYPERLINK("http://www.ncbi.nlm.nih.gov/protein/XP_010125721.1","PREDICTED: androgen receptor-like")</f>
        <v>PREDICTED: androgen receptor-like</v>
      </c>
      <c r="J444" t="s">
        <v>1323</v>
      </c>
      <c r="K444" t="s">
        <v>25</v>
      </c>
      <c r="L444" t="s">
        <v>1317</v>
      </c>
      <c r="M444" t="s">
        <v>1317</v>
      </c>
      <c r="N444" t="s">
        <v>25</v>
      </c>
      <c r="O444" t="s">
        <v>1317</v>
      </c>
      <c r="P444" t="s">
        <v>25</v>
      </c>
      <c r="Q444" t="s">
        <v>1317</v>
      </c>
      <c r="R444" t="s">
        <v>25</v>
      </c>
      <c r="S444" t="s">
        <v>25</v>
      </c>
      <c r="T444" t="s">
        <v>1317</v>
      </c>
      <c r="U444" t="s">
        <v>1317</v>
      </c>
      <c r="V444" t="s">
        <v>25</v>
      </c>
      <c r="W444" t="s">
        <v>1317</v>
      </c>
      <c r="X444" t="s">
        <v>25</v>
      </c>
      <c r="Y444" t="s">
        <v>1317</v>
      </c>
      <c r="Z444" t="s">
        <v>25</v>
      </c>
      <c r="AA444" t="s">
        <v>25</v>
      </c>
      <c r="AB444">
        <v>19</v>
      </c>
      <c r="AC444" t="s">
        <v>1314</v>
      </c>
      <c r="AD444" t="s">
        <v>20</v>
      </c>
      <c r="AE444" t="s">
        <v>1353</v>
      </c>
      <c r="AF444" t="s">
        <v>20</v>
      </c>
      <c r="AG444">
        <v>174.203</v>
      </c>
      <c r="AH444" t="s">
        <v>20</v>
      </c>
      <c r="AI444" t="s">
        <v>20</v>
      </c>
      <c r="AJ444">
        <v>144</v>
      </c>
      <c r="AK444" t="s">
        <v>1315</v>
      </c>
      <c r="AL444" t="s">
        <v>20</v>
      </c>
      <c r="AM444" t="s">
        <v>1354</v>
      </c>
      <c r="AN444" t="s">
        <v>20</v>
      </c>
      <c r="AO444">
        <v>119.119</v>
      </c>
      <c r="AP444" t="s">
        <v>20</v>
      </c>
      <c r="AQ444" t="s">
        <v>20</v>
      </c>
    </row>
    <row r="445" spans="1:43" x14ac:dyDescent="0.25">
      <c r="A445">
        <v>6</v>
      </c>
      <c r="B445" t="s">
        <v>167</v>
      </c>
      <c r="C445" t="str">
        <f>HYPERLINK("http://www.ncbi.nlm.nih.gov/protein/XP_009570858.1","XP_009570858.1")</f>
        <v>XP_009570858.1</v>
      </c>
      <c r="D445">
        <v>28139</v>
      </c>
      <c r="E445" t="str">
        <f>HYPERLINK("http://www.ncbi.nlm.nih.gov/Taxonomy/Browser/wwwtax.cgi?mode=Info&amp;id=30455&amp;lvl=3&amp;lin=f&amp;keep=1&amp;srchmode=1&amp;unlock","30455")</f>
        <v>30455</v>
      </c>
      <c r="F445" t="s">
        <v>167</v>
      </c>
      <c r="G445" t="str">
        <f>HYPERLINK("http://www.ncbi.nlm.nih.gov/Taxonomy/Browser/wwwtax.cgi?mode=Info&amp;id=30455&amp;lvl=3&amp;lin=f&amp;keep=1&amp;srchmode=1&amp;unlock","Fulmarus glacialis")</f>
        <v>Fulmarus glacialis</v>
      </c>
      <c r="H445" t="s">
        <v>171</v>
      </c>
      <c r="I445" t="str">
        <f>HYPERLINK("http://www.ncbi.nlm.nih.gov/protein/XP_009570858.1","PREDICTED: androgen receptor-like")</f>
        <v>PREDICTED: androgen receptor-like</v>
      </c>
      <c r="J445" t="s">
        <v>1323</v>
      </c>
      <c r="K445" t="s">
        <v>25</v>
      </c>
      <c r="L445" t="s">
        <v>1317</v>
      </c>
      <c r="M445" t="s">
        <v>1317</v>
      </c>
      <c r="N445" t="s">
        <v>25</v>
      </c>
      <c r="O445" t="s">
        <v>1317</v>
      </c>
      <c r="P445" t="s">
        <v>25</v>
      </c>
      <c r="Q445" t="s">
        <v>1317</v>
      </c>
      <c r="R445" t="s">
        <v>25</v>
      </c>
      <c r="S445" t="s">
        <v>25</v>
      </c>
      <c r="T445" t="s">
        <v>1317</v>
      </c>
      <c r="U445" t="s">
        <v>1317</v>
      </c>
      <c r="V445" t="s">
        <v>25</v>
      </c>
      <c r="W445" t="s">
        <v>1317</v>
      </c>
      <c r="X445" t="s">
        <v>25</v>
      </c>
      <c r="Y445" t="s">
        <v>1317</v>
      </c>
      <c r="Z445" t="s">
        <v>25</v>
      </c>
      <c r="AA445" t="s">
        <v>25</v>
      </c>
      <c r="AB445">
        <v>19</v>
      </c>
      <c r="AC445" t="s">
        <v>1314</v>
      </c>
      <c r="AD445" t="s">
        <v>20</v>
      </c>
      <c r="AE445" t="s">
        <v>1353</v>
      </c>
      <c r="AF445" t="s">
        <v>20</v>
      </c>
      <c r="AG445">
        <v>174.203</v>
      </c>
      <c r="AH445" t="s">
        <v>20</v>
      </c>
      <c r="AI445" t="s">
        <v>20</v>
      </c>
      <c r="AJ445">
        <v>144</v>
      </c>
      <c r="AK445" t="s">
        <v>1315</v>
      </c>
      <c r="AL445" t="s">
        <v>20</v>
      </c>
      <c r="AM445" t="s">
        <v>1354</v>
      </c>
      <c r="AN445" t="s">
        <v>20</v>
      </c>
      <c r="AO445">
        <v>119.119</v>
      </c>
      <c r="AP445" t="s">
        <v>20</v>
      </c>
      <c r="AQ445" t="s">
        <v>20</v>
      </c>
    </row>
    <row r="446" spans="1:43" x14ac:dyDescent="0.25">
      <c r="A446">
        <v>6</v>
      </c>
      <c r="B446" t="s">
        <v>167</v>
      </c>
      <c r="C446" t="str">
        <f>HYPERLINK("http://www.ncbi.nlm.nih.gov/protein/XP_009703239.1","XP_009703239.1")</f>
        <v>XP_009703239.1</v>
      </c>
      <c r="D446">
        <v>27818</v>
      </c>
      <c r="E446" t="str">
        <f>HYPERLINK("http://www.ncbi.nlm.nih.gov/Taxonomy/Browser/wwwtax.cgi?mode=Info&amp;id=54380&amp;lvl=3&amp;lin=f&amp;keep=1&amp;srchmode=1&amp;unlock","54380")</f>
        <v>54380</v>
      </c>
      <c r="F446" t="s">
        <v>167</v>
      </c>
      <c r="G446" t="str">
        <f>HYPERLINK("http://www.ncbi.nlm.nih.gov/Taxonomy/Browser/wwwtax.cgi?mode=Info&amp;id=54380&amp;lvl=3&amp;lin=f&amp;keep=1&amp;srchmode=1&amp;unlock","Cariama cristata")</f>
        <v>Cariama cristata</v>
      </c>
      <c r="H446" t="s">
        <v>282</v>
      </c>
      <c r="I446" t="str">
        <f>HYPERLINK("http://www.ncbi.nlm.nih.gov/protein/XP_009703239.1","PREDICTED: androgen receptor-like")</f>
        <v>PREDICTED: androgen receptor-like</v>
      </c>
      <c r="J446" t="s">
        <v>1323</v>
      </c>
      <c r="K446" t="s">
        <v>25</v>
      </c>
      <c r="L446" t="s">
        <v>1317</v>
      </c>
      <c r="M446" t="s">
        <v>1317</v>
      </c>
      <c r="N446" t="s">
        <v>25</v>
      </c>
      <c r="O446" t="s">
        <v>1317</v>
      </c>
      <c r="P446" t="s">
        <v>25</v>
      </c>
      <c r="Q446" t="s">
        <v>1317</v>
      </c>
      <c r="R446" t="s">
        <v>25</v>
      </c>
      <c r="S446" t="s">
        <v>25</v>
      </c>
      <c r="T446" t="s">
        <v>1317</v>
      </c>
      <c r="U446" t="s">
        <v>1317</v>
      </c>
      <c r="V446" t="s">
        <v>25</v>
      </c>
      <c r="W446" t="s">
        <v>1317</v>
      </c>
      <c r="X446" t="s">
        <v>25</v>
      </c>
      <c r="Y446" t="s">
        <v>1317</v>
      </c>
      <c r="Z446" t="s">
        <v>25</v>
      </c>
      <c r="AA446" t="s">
        <v>25</v>
      </c>
      <c r="AB446">
        <v>19</v>
      </c>
      <c r="AC446" t="s">
        <v>1314</v>
      </c>
      <c r="AD446" t="s">
        <v>20</v>
      </c>
      <c r="AE446" t="s">
        <v>1353</v>
      </c>
      <c r="AF446" t="s">
        <v>20</v>
      </c>
      <c r="AG446">
        <v>174.203</v>
      </c>
      <c r="AH446" t="s">
        <v>20</v>
      </c>
      <c r="AI446" t="s">
        <v>20</v>
      </c>
      <c r="AJ446">
        <v>144</v>
      </c>
      <c r="AK446" t="s">
        <v>1315</v>
      </c>
      <c r="AL446" t="s">
        <v>20</v>
      </c>
      <c r="AM446" t="s">
        <v>1354</v>
      </c>
      <c r="AN446" t="s">
        <v>20</v>
      </c>
      <c r="AO446">
        <v>119.119</v>
      </c>
      <c r="AP446" t="s">
        <v>20</v>
      </c>
      <c r="AQ446" t="s">
        <v>20</v>
      </c>
    </row>
    <row r="447" spans="1:43" x14ac:dyDescent="0.25">
      <c r="A447">
        <v>6</v>
      </c>
      <c r="B447" t="s">
        <v>167</v>
      </c>
      <c r="C447" t="str">
        <f>HYPERLINK("http://www.ncbi.nlm.nih.gov/protein/NXX63889.1","NXX63889.1")</f>
        <v>NXX63889.1</v>
      </c>
      <c r="D447">
        <v>12329</v>
      </c>
      <c r="E447" t="str">
        <f>HYPERLINK("http://www.ncbi.nlm.nih.gov/Taxonomy/Browser/wwwtax.cgi?mode=Info&amp;id=33581&amp;lvl=3&amp;lin=f&amp;keep=1&amp;srchmode=1&amp;unlock","33581")</f>
        <v>33581</v>
      </c>
      <c r="F447" t="s">
        <v>167</v>
      </c>
      <c r="G447" t="str">
        <f>HYPERLINK("http://www.ncbi.nlm.nih.gov/Taxonomy/Browser/wwwtax.cgi?mode=Info&amp;id=33581&amp;lvl=3&amp;lin=f&amp;keep=1&amp;srchmode=1&amp;unlock","Scopus umbretta")</f>
        <v>Scopus umbretta</v>
      </c>
      <c r="H447" t="s">
        <v>271</v>
      </c>
      <c r="I447" t="str">
        <f>HYPERLINK("http://www.ncbi.nlm.nih.gov/protein/NXX63889.1","ANDR protein")</f>
        <v>ANDR protein</v>
      </c>
      <c r="J447" t="s">
        <v>1323</v>
      </c>
      <c r="K447" t="s">
        <v>25</v>
      </c>
      <c r="L447" t="s">
        <v>1317</v>
      </c>
      <c r="M447" t="s">
        <v>1317</v>
      </c>
      <c r="N447" t="s">
        <v>25</v>
      </c>
      <c r="O447" t="s">
        <v>1317</v>
      </c>
      <c r="P447" t="s">
        <v>25</v>
      </c>
      <c r="Q447" t="s">
        <v>1317</v>
      </c>
      <c r="R447" t="s">
        <v>25</v>
      </c>
      <c r="S447" t="s">
        <v>25</v>
      </c>
      <c r="T447" t="s">
        <v>1317</v>
      </c>
      <c r="U447" t="s">
        <v>1317</v>
      </c>
      <c r="V447" t="s">
        <v>25</v>
      </c>
      <c r="W447" t="s">
        <v>1317</v>
      </c>
      <c r="X447" t="s">
        <v>25</v>
      </c>
      <c r="Y447" t="s">
        <v>1317</v>
      </c>
      <c r="Z447" t="s">
        <v>25</v>
      </c>
      <c r="AA447" t="s">
        <v>25</v>
      </c>
      <c r="AB447" t="s">
        <v>1317</v>
      </c>
      <c r="AC447" t="s">
        <v>1317</v>
      </c>
      <c r="AD447" t="s">
        <v>25</v>
      </c>
      <c r="AE447" t="s">
        <v>1317</v>
      </c>
      <c r="AF447" t="s">
        <v>25</v>
      </c>
      <c r="AG447" t="s">
        <v>1317</v>
      </c>
      <c r="AH447" t="s">
        <v>25</v>
      </c>
      <c r="AI447" t="s">
        <v>25</v>
      </c>
      <c r="AJ447" t="s">
        <v>1317</v>
      </c>
      <c r="AK447" t="s">
        <v>1317</v>
      </c>
      <c r="AL447" t="s">
        <v>25</v>
      </c>
      <c r="AM447" t="s">
        <v>1317</v>
      </c>
      <c r="AN447" t="s">
        <v>25</v>
      </c>
      <c r="AO447" t="s">
        <v>1317</v>
      </c>
      <c r="AP447" t="s">
        <v>25</v>
      </c>
      <c r="AQ447" t="s">
        <v>25</v>
      </c>
    </row>
    <row r="448" spans="1:43" x14ac:dyDescent="0.25">
      <c r="A448">
        <v>6</v>
      </c>
      <c r="B448" t="s">
        <v>167</v>
      </c>
      <c r="C448" t="str">
        <f>HYPERLINK("http://www.ncbi.nlm.nih.gov/protein/NWI71998.1","NWI71998.1")</f>
        <v>NWI71998.1</v>
      </c>
      <c r="D448">
        <v>10103</v>
      </c>
      <c r="E448" t="str">
        <f>HYPERLINK("http://www.ncbi.nlm.nih.gov/Taxonomy/Browser/wwwtax.cgi?mode=Info&amp;id=135184&amp;lvl=3&amp;lin=f&amp;keep=1&amp;srchmode=1&amp;unlock","135184")</f>
        <v>135184</v>
      </c>
      <c r="F448" t="s">
        <v>167</v>
      </c>
      <c r="G448" t="str">
        <f>HYPERLINK("http://www.ncbi.nlm.nih.gov/Taxonomy/Browser/wwwtax.cgi?mode=Info&amp;id=135184&amp;lvl=3&amp;lin=f&amp;keep=1&amp;srchmode=1&amp;unlock","Todus mexicanus")</f>
        <v>Todus mexicanus</v>
      </c>
      <c r="H448" t="s">
        <v>305</v>
      </c>
      <c r="I448" t="str">
        <f>HYPERLINK("http://www.ncbi.nlm.nih.gov/protein/NWI71998.1","ANDR protein")</f>
        <v>ANDR protein</v>
      </c>
      <c r="J448" t="s">
        <v>1323</v>
      </c>
      <c r="K448" t="s">
        <v>25</v>
      </c>
      <c r="L448" t="s">
        <v>1317</v>
      </c>
      <c r="M448" t="s">
        <v>1317</v>
      </c>
      <c r="N448" t="s">
        <v>25</v>
      </c>
      <c r="O448" t="s">
        <v>1317</v>
      </c>
      <c r="P448" t="s">
        <v>25</v>
      </c>
      <c r="Q448" t="s">
        <v>1317</v>
      </c>
      <c r="R448" t="s">
        <v>25</v>
      </c>
      <c r="S448" t="s">
        <v>25</v>
      </c>
      <c r="T448" t="s">
        <v>1317</v>
      </c>
      <c r="U448" t="s">
        <v>1317</v>
      </c>
      <c r="V448" t="s">
        <v>25</v>
      </c>
      <c r="W448" t="s">
        <v>1317</v>
      </c>
      <c r="X448" t="s">
        <v>25</v>
      </c>
      <c r="Y448" t="s">
        <v>1317</v>
      </c>
      <c r="Z448" t="s">
        <v>25</v>
      </c>
      <c r="AA448" t="s">
        <v>25</v>
      </c>
      <c r="AB448" t="s">
        <v>1317</v>
      </c>
      <c r="AC448" t="s">
        <v>1317</v>
      </c>
      <c r="AD448" t="s">
        <v>25</v>
      </c>
      <c r="AE448" t="s">
        <v>1317</v>
      </c>
      <c r="AF448" t="s">
        <v>25</v>
      </c>
      <c r="AG448" t="s">
        <v>1317</v>
      </c>
      <c r="AH448" t="s">
        <v>25</v>
      </c>
      <c r="AI448" t="s">
        <v>25</v>
      </c>
      <c r="AJ448" t="s">
        <v>1317</v>
      </c>
      <c r="AK448" t="s">
        <v>1317</v>
      </c>
      <c r="AL448" t="s">
        <v>25</v>
      </c>
      <c r="AM448" t="s">
        <v>1317</v>
      </c>
      <c r="AN448" t="s">
        <v>25</v>
      </c>
      <c r="AO448" t="s">
        <v>1317</v>
      </c>
      <c r="AP448" t="s">
        <v>25</v>
      </c>
      <c r="AQ448" t="s">
        <v>25</v>
      </c>
    </row>
    <row r="449" spans="1:43" x14ac:dyDescent="0.25">
      <c r="A449">
        <v>6</v>
      </c>
      <c r="B449" t="s">
        <v>167</v>
      </c>
      <c r="C449" t="str">
        <f>HYPERLINK("http://www.ncbi.nlm.nih.gov/protein/NXR97164.1","NXR97164.1")</f>
        <v>NXR97164.1</v>
      </c>
      <c r="D449">
        <v>12418</v>
      </c>
      <c r="E449" t="str">
        <f>HYPERLINK("http://www.ncbi.nlm.nih.gov/Taxonomy/Browser/wwwtax.cgi?mode=Info&amp;id=589841&amp;lvl=3&amp;lin=f&amp;keep=1&amp;srchmode=1&amp;unlock","589841")</f>
        <v>589841</v>
      </c>
      <c r="F449" t="s">
        <v>167</v>
      </c>
      <c r="G449" t="str">
        <f>HYPERLINK("http://www.ncbi.nlm.nih.gov/Taxonomy/Browser/wwwtax.cgi?mode=Info&amp;id=589841&amp;lvl=3&amp;lin=f&amp;keep=1&amp;srchmode=1&amp;unlock","Hypocryptadius cinnamomeus")</f>
        <v>Hypocryptadius cinnamomeus</v>
      </c>
      <c r="H449" t="s">
        <v>449</v>
      </c>
      <c r="I449" t="str">
        <f>HYPERLINK("http://www.ncbi.nlm.nih.gov/protein/NXR97164.1","ANDR protein")</f>
        <v>ANDR protein</v>
      </c>
      <c r="J449" t="s">
        <v>1323</v>
      </c>
      <c r="K449" t="s">
        <v>25</v>
      </c>
      <c r="L449" t="s">
        <v>1317</v>
      </c>
      <c r="M449" t="s">
        <v>1317</v>
      </c>
      <c r="N449" t="s">
        <v>25</v>
      </c>
      <c r="O449" t="s">
        <v>1317</v>
      </c>
      <c r="P449" t="s">
        <v>25</v>
      </c>
      <c r="Q449" t="s">
        <v>1317</v>
      </c>
      <c r="R449" t="s">
        <v>25</v>
      </c>
      <c r="S449" t="s">
        <v>25</v>
      </c>
      <c r="T449" t="s">
        <v>1317</v>
      </c>
      <c r="U449" t="s">
        <v>1317</v>
      </c>
      <c r="V449" t="s">
        <v>25</v>
      </c>
      <c r="W449" t="s">
        <v>1317</v>
      </c>
      <c r="X449" t="s">
        <v>25</v>
      </c>
      <c r="Y449" t="s">
        <v>1317</v>
      </c>
      <c r="Z449" t="s">
        <v>25</v>
      </c>
      <c r="AA449" t="s">
        <v>25</v>
      </c>
      <c r="AB449" t="s">
        <v>1317</v>
      </c>
      <c r="AC449" t="s">
        <v>1317</v>
      </c>
      <c r="AD449" t="s">
        <v>25</v>
      </c>
      <c r="AE449" t="s">
        <v>1317</v>
      </c>
      <c r="AF449" t="s">
        <v>25</v>
      </c>
      <c r="AG449" t="s">
        <v>1317</v>
      </c>
      <c r="AH449" t="s">
        <v>25</v>
      </c>
      <c r="AI449" t="s">
        <v>25</v>
      </c>
      <c r="AJ449" t="s">
        <v>1317</v>
      </c>
      <c r="AK449" t="s">
        <v>1317</v>
      </c>
      <c r="AL449" t="s">
        <v>25</v>
      </c>
      <c r="AM449" t="s">
        <v>1317</v>
      </c>
      <c r="AN449" t="s">
        <v>25</v>
      </c>
      <c r="AO449" t="s">
        <v>1317</v>
      </c>
      <c r="AP449" t="s">
        <v>25</v>
      </c>
      <c r="AQ449" t="s">
        <v>25</v>
      </c>
    </row>
    <row r="450" spans="1:43" x14ac:dyDescent="0.25">
      <c r="A450">
        <v>6</v>
      </c>
      <c r="B450" t="s">
        <v>167</v>
      </c>
      <c r="C450" t="str">
        <f>HYPERLINK("http://www.ncbi.nlm.nih.gov/protein/NXS24820.1","NXS24820.1")</f>
        <v>NXS24820.1</v>
      </c>
      <c r="D450">
        <v>10611</v>
      </c>
      <c r="E450" t="str">
        <f>HYPERLINK("http://www.ncbi.nlm.nih.gov/Taxonomy/Browser/wwwtax.cgi?mode=Info&amp;id=98133&amp;lvl=3&amp;lin=f&amp;keep=1&amp;srchmode=1&amp;unlock","98133")</f>
        <v>98133</v>
      </c>
      <c r="F450" t="s">
        <v>167</v>
      </c>
      <c r="G450" t="str">
        <f>HYPERLINK("http://www.ncbi.nlm.nih.gov/Taxonomy/Browser/wwwtax.cgi?mode=Info&amp;id=98133&amp;lvl=3&amp;lin=f&amp;keep=1&amp;srchmode=1&amp;unlock","Mystacornis crossleyi")</f>
        <v>Mystacornis crossleyi</v>
      </c>
      <c r="H450" t="s">
        <v>311</v>
      </c>
      <c r="I450" t="str">
        <f>HYPERLINK("http://www.ncbi.nlm.nih.gov/protein/NXS24820.1","ANDR protein")</f>
        <v>ANDR protein</v>
      </c>
      <c r="J450" t="s">
        <v>1323</v>
      </c>
      <c r="K450" t="s">
        <v>25</v>
      </c>
      <c r="L450" t="s">
        <v>1317</v>
      </c>
      <c r="M450" t="s">
        <v>1317</v>
      </c>
      <c r="N450" t="s">
        <v>25</v>
      </c>
      <c r="O450" t="s">
        <v>1317</v>
      </c>
      <c r="P450" t="s">
        <v>25</v>
      </c>
      <c r="Q450" t="s">
        <v>1317</v>
      </c>
      <c r="R450" t="s">
        <v>25</v>
      </c>
      <c r="S450" t="s">
        <v>25</v>
      </c>
      <c r="T450" t="s">
        <v>1317</v>
      </c>
      <c r="U450" t="s">
        <v>1317</v>
      </c>
      <c r="V450" t="s">
        <v>25</v>
      </c>
      <c r="W450" t="s">
        <v>1317</v>
      </c>
      <c r="X450" t="s">
        <v>25</v>
      </c>
      <c r="Y450" t="s">
        <v>1317</v>
      </c>
      <c r="Z450" t="s">
        <v>25</v>
      </c>
      <c r="AA450" t="s">
        <v>25</v>
      </c>
      <c r="AB450" t="s">
        <v>1317</v>
      </c>
      <c r="AC450" t="s">
        <v>1317</v>
      </c>
      <c r="AD450" t="s">
        <v>25</v>
      </c>
      <c r="AE450" t="s">
        <v>1317</v>
      </c>
      <c r="AF450" t="s">
        <v>25</v>
      </c>
      <c r="AG450" t="s">
        <v>1317</v>
      </c>
      <c r="AH450" t="s">
        <v>25</v>
      </c>
      <c r="AI450" t="s">
        <v>25</v>
      </c>
      <c r="AJ450" t="s">
        <v>1317</v>
      </c>
      <c r="AK450" t="s">
        <v>1317</v>
      </c>
      <c r="AL450" t="s">
        <v>25</v>
      </c>
      <c r="AM450" t="s">
        <v>1317</v>
      </c>
      <c r="AN450" t="s">
        <v>25</v>
      </c>
      <c r="AO450" t="s">
        <v>1317</v>
      </c>
      <c r="AP450" t="s">
        <v>25</v>
      </c>
      <c r="AQ450" t="s">
        <v>25</v>
      </c>
    </row>
    <row r="451" spans="1:43" x14ac:dyDescent="0.25">
      <c r="A451">
        <v>6</v>
      </c>
      <c r="B451" t="s">
        <v>167</v>
      </c>
      <c r="C451" t="str">
        <f>HYPERLINK("http://www.ncbi.nlm.nih.gov/protein/NXY81009.1","NXY81009.1")</f>
        <v>NXY81009.1</v>
      </c>
      <c r="D451">
        <v>12038</v>
      </c>
      <c r="E451" t="str">
        <f>HYPERLINK("http://www.ncbi.nlm.nih.gov/Taxonomy/Browser/wwwtax.cgi?mode=Info&amp;id=390723&amp;lvl=3&amp;lin=f&amp;keep=1&amp;srchmode=1&amp;unlock","390723")</f>
        <v>390723</v>
      </c>
      <c r="F451" t="s">
        <v>167</v>
      </c>
      <c r="G451" t="str">
        <f>HYPERLINK("http://www.ncbi.nlm.nih.gov/Taxonomy/Browser/wwwtax.cgi?mode=Info&amp;id=390723&amp;lvl=3&amp;lin=f&amp;keep=1&amp;srchmode=1&amp;unlock","Ceyx cyanopectus")</f>
        <v>Ceyx cyanopectus</v>
      </c>
      <c r="H451" t="s">
        <v>168</v>
      </c>
      <c r="I451" t="str">
        <f>HYPERLINK("http://www.ncbi.nlm.nih.gov/protein/NXY81009.1","ANDR protein")</f>
        <v>ANDR protein</v>
      </c>
      <c r="J451" t="s">
        <v>1323</v>
      </c>
      <c r="K451" t="s">
        <v>25</v>
      </c>
      <c r="L451" t="s">
        <v>1317</v>
      </c>
      <c r="M451" t="s">
        <v>1317</v>
      </c>
      <c r="N451" t="s">
        <v>25</v>
      </c>
      <c r="O451" t="s">
        <v>1317</v>
      </c>
      <c r="P451" t="s">
        <v>25</v>
      </c>
      <c r="Q451" t="s">
        <v>1317</v>
      </c>
      <c r="R451" t="s">
        <v>25</v>
      </c>
      <c r="S451" t="s">
        <v>25</v>
      </c>
      <c r="T451" t="s">
        <v>1317</v>
      </c>
      <c r="U451" t="s">
        <v>1317</v>
      </c>
      <c r="V451" t="s">
        <v>25</v>
      </c>
      <c r="W451" t="s">
        <v>1317</v>
      </c>
      <c r="X451" t="s">
        <v>25</v>
      </c>
      <c r="Y451" t="s">
        <v>1317</v>
      </c>
      <c r="Z451" t="s">
        <v>25</v>
      </c>
      <c r="AA451" t="s">
        <v>25</v>
      </c>
      <c r="AB451" t="s">
        <v>1317</v>
      </c>
      <c r="AC451" t="s">
        <v>1317</v>
      </c>
      <c r="AD451" t="s">
        <v>25</v>
      </c>
      <c r="AE451" t="s">
        <v>1317</v>
      </c>
      <c r="AF451" t="s">
        <v>25</v>
      </c>
      <c r="AG451" t="s">
        <v>1317</v>
      </c>
      <c r="AH451" t="s">
        <v>25</v>
      </c>
      <c r="AI451" t="s">
        <v>25</v>
      </c>
      <c r="AJ451" t="s">
        <v>1317</v>
      </c>
      <c r="AK451" t="s">
        <v>1317</v>
      </c>
      <c r="AL451" t="s">
        <v>25</v>
      </c>
      <c r="AM451" t="s">
        <v>1317</v>
      </c>
      <c r="AN451" t="s">
        <v>25</v>
      </c>
      <c r="AO451" t="s">
        <v>1317</v>
      </c>
      <c r="AP451" t="s">
        <v>25</v>
      </c>
      <c r="AQ451" t="s">
        <v>25</v>
      </c>
    </row>
    <row r="452" spans="1:43" x14ac:dyDescent="0.25">
      <c r="A452">
        <v>6</v>
      </c>
      <c r="B452" t="s">
        <v>167</v>
      </c>
      <c r="C452" t="str">
        <f>HYPERLINK("http://www.ncbi.nlm.nih.gov/protein/NXS14497.1","NXS14497.1")</f>
        <v>NXS14497.1</v>
      </c>
      <c r="D452">
        <v>8871</v>
      </c>
      <c r="E452" t="str">
        <f>HYPERLINK("http://www.ncbi.nlm.nih.gov/Taxonomy/Browser/wwwtax.cgi?mode=Info&amp;id=254563&amp;lvl=3&amp;lin=f&amp;keep=1&amp;srchmode=1&amp;unlock","254563")</f>
        <v>254563</v>
      </c>
      <c r="F452" t="s">
        <v>167</v>
      </c>
      <c r="G452" t="str">
        <f>HYPERLINK("http://www.ncbi.nlm.nih.gov/Taxonomy/Browser/wwwtax.cgi?mode=Info&amp;id=254563&amp;lvl=3&amp;lin=f&amp;keep=1&amp;srchmode=1&amp;unlock","Neodrepanis coruscans")</f>
        <v>Neodrepanis coruscans</v>
      </c>
      <c r="H452" t="s">
        <v>526</v>
      </c>
      <c r="I452" t="str">
        <f>HYPERLINK("http://www.ncbi.nlm.nih.gov/protein/NXS14497.1","ANDR protein")</f>
        <v>ANDR protein</v>
      </c>
      <c r="J452" t="s">
        <v>1323</v>
      </c>
      <c r="K452" t="s">
        <v>25</v>
      </c>
      <c r="L452" t="s">
        <v>1317</v>
      </c>
      <c r="M452" t="s">
        <v>1317</v>
      </c>
      <c r="N452" t="s">
        <v>25</v>
      </c>
      <c r="O452" t="s">
        <v>1317</v>
      </c>
      <c r="P452" t="s">
        <v>25</v>
      </c>
      <c r="Q452" t="s">
        <v>1317</v>
      </c>
      <c r="R452" t="s">
        <v>25</v>
      </c>
      <c r="S452" t="s">
        <v>25</v>
      </c>
      <c r="T452" t="s">
        <v>1317</v>
      </c>
      <c r="U452" t="s">
        <v>1317</v>
      </c>
      <c r="V452" t="s">
        <v>25</v>
      </c>
      <c r="W452" t="s">
        <v>1317</v>
      </c>
      <c r="X452" t="s">
        <v>25</v>
      </c>
      <c r="Y452" t="s">
        <v>1317</v>
      </c>
      <c r="Z452" t="s">
        <v>25</v>
      </c>
      <c r="AA452" t="s">
        <v>25</v>
      </c>
      <c r="AB452" t="s">
        <v>1317</v>
      </c>
      <c r="AC452" t="s">
        <v>1317</v>
      </c>
      <c r="AD452" t="s">
        <v>25</v>
      </c>
      <c r="AE452" t="s">
        <v>1317</v>
      </c>
      <c r="AF452" t="s">
        <v>25</v>
      </c>
      <c r="AG452" t="s">
        <v>1317</v>
      </c>
      <c r="AH452" t="s">
        <v>25</v>
      </c>
      <c r="AI452" t="s">
        <v>25</v>
      </c>
      <c r="AJ452" t="s">
        <v>1317</v>
      </c>
      <c r="AK452" t="s">
        <v>1317</v>
      </c>
      <c r="AL452" t="s">
        <v>25</v>
      </c>
      <c r="AM452" t="s">
        <v>1317</v>
      </c>
      <c r="AN452" t="s">
        <v>25</v>
      </c>
      <c r="AO452" t="s">
        <v>1317</v>
      </c>
      <c r="AP452" t="s">
        <v>25</v>
      </c>
      <c r="AQ452" t="s">
        <v>25</v>
      </c>
    </row>
    <row r="453" spans="1:43" x14ac:dyDescent="0.25">
      <c r="A453">
        <v>6</v>
      </c>
      <c r="B453" t="s">
        <v>167</v>
      </c>
      <c r="C453" t="str">
        <f>HYPERLINK("http://www.ncbi.nlm.nih.gov/protein/NXU69586.1","NXU69586.1")</f>
        <v>NXU69586.1</v>
      </c>
      <c r="D453">
        <v>9908</v>
      </c>
      <c r="E453" t="str">
        <f>HYPERLINK("http://www.ncbi.nlm.nih.gov/Taxonomy/Browser/wwwtax.cgi?mode=Info&amp;id=2585811&amp;lvl=3&amp;lin=f&amp;keep=1&amp;srchmode=1&amp;unlock","2585811")</f>
        <v>2585811</v>
      </c>
      <c r="F453" t="s">
        <v>167</v>
      </c>
      <c r="G453" t="str">
        <f>HYPERLINK("http://www.ncbi.nlm.nih.gov/Taxonomy/Browser/wwwtax.cgi?mode=Info&amp;id=2585811&amp;lvl=3&amp;lin=f&amp;keep=1&amp;srchmode=1&amp;unlock","Horornis vulcanius")</f>
        <v>Horornis vulcanius</v>
      </c>
      <c r="H453" t="s">
        <v>206</v>
      </c>
      <c r="I453" t="str">
        <f>HYPERLINK("http://www.ncbi.nlm.nih.gov/protein/NXU69586.1","ANDR protein")</f>
        <v>ANDR protein</v>
      </c>
      <c r="J453" t="s">
        <v>1323</v>
      </c>
      <c r="K453" t="s">
        <v>25</v>
      </c>
      <c r="L453" t="s">
        <v>1317</v>
      </c>
      <c r="M453" t="s">
        <v>1317</v>
      </c>
      <c r="N453" t="s">
        <v>25</v>
      </c>
      <c r="O453" t="s">
        <v>1317</v>
      </c>
      <c r="P453" t="s">
        <v>25</v>
      </c>
      <c r="Q453" t="s">
        <v>1317</v>
      </c>
      <c r="R453" t="s">
        <v>25</v>
      </c>
      <c r="S453" t="s">
        <v>25</v>
      </c>
      <c r="T453" t="s">
        <v>1317</v>
      </c>
      <c r="U453" t="s">
        <v>1317</v>
      </c>
      <c r="V453" t="s">
        <v>25</v>
      </c>
      <c r="W453" t="s">
        <v>1317</v>
      </c>
      <c r="X453" t="s">
        <v>25</v>
      </c>
      <c r="Y453" t="s">
        <v>1317</v>
      </c>
      <c r="Z453" t="s">
        <v>25</v>
      </c>
      <c r="AA453" t="s">
        <v>25</v>
      </c>
      <c r="AB453" t="s">
        <v>1317</v>
      </c>
      <c r="AC453" t="s">
        <v>1317</v>
      </c>
      <c r="AD453" t="s">
        <v>25</v>
      </c>
      <c r="AE453" t="s">
        <v>1317</v>
      </c>
      <c r="AF453" t="s">
        <v>25</v>
      </c>
      <c r="AG453" t="s">
        <v>1317</v>
      </c>
      <c r="AH453" t="s">
        <v>25</v>
      </c>
      <c r="AI453" t="s">
        <v>25</v>
      </c>
      <c r="AJ453" t="s">
        <v>1317</v>
      </c>
      <c r="AK453" t="s">
        <v>1317</v>
      </c>
      <c r="AL453" t="s">
        <v>25</v>
      </c>
      <c r="AM453" t="s">
        <v>1317</v>
      </c>
      <c r="AN453" t="s">
        <v>25</v>
      </c>
      <c r="AO453" t="s">
        <v>1317</v>
      </c>
      <c r="AP453" t="s">
        <v>25</v>
      </c>
      <c r="AQ453" t="s">
        <v>25</v>
      </c>
    </row>
    <row r="454" spans="1:43" x14ac:dyDescent="0.25">
      <c r="A454">
        <v>6</v>
      </c>
      <c r="B454" t="s">
        <v>167</v>
      </c>
      <c r="C454" t="str">
        <f>HYPERLINK("http://www.ncbi.nlm.nih.gov/protein/NXX72887.1","NXX72887.1")</f>
        <v>NXX72887.1</v>
      </c>
      <c r="D454">
        <v>9143</v>
      </c>
      <c r="E454" t="str">
        <f>HYPERLINK("http://www.ncbi.nlm.nih.gov/Taxonomy/Browser/wwwtax.cgi?mode=Info&amp;id=40210&amp;lvl=3&amp;lin=f&amp;keep=1&amp;srchmode=1&amp;unlock","40210")</f>
        <v>40210</v>
      </c>
      <c r="F454" t="s">
        <v>167</v>
      </c>
      <c r="G454" t="str">
        <f>HYPERLINK("http://www.ncbi.nlm.nih.gov/Taxonomy/Browser/wwwtax.cgi?mode=Info&amp;id=40210&amp;lvl=3&amp;lin=f&amp;keep=1&amp;srchmode=1&amp;unlock","Spizella passerina")</f>
        <v>Spizella passerina</v>
      </c>
      <c r="H454" t="s">
        <v>1268</v>
      </c>
      <c r="I454" t="str">
        <f>HYPERLINK("http://www.ncbi.nlm.nih.gov/protein/NXX72887.1","ANDR protein")</f>
        <v>ANDR protein</v>
      </c>
      <c r="J454" t="s">
        <v>1323</v>
      </c>
      <c r="K454" t="s">
        <v>25</v>
      </c>
      <c r="L454" t="s">
        <v>1317</v>
      </c>
      <c r="M454" t="s">
        <v>1317</v>
      </c>
      <c r="N454" t="s">
        <v>25</v>
      </c>
      <c r="O454" t="s">
        <v>1317</v>
      </c>
      <c r="P454" t="s">
        <v>25</v>
      </c>
      <c r="Q454" t="s">
        <v>1317</v>
      </c>
      <c r="R454" t="s">
        <v>25</v>
      </c>
      <c r="S454" t="s">
        <v>25</v>
      </c>
      <c r="T454" t="s">
        <v>1317</v>
      </c>
      <c r="U454" t="s">
        <v>1317</v>
      </c>
      <c r="V454" t="s">
        <v>25</v>
      </c>
      <c r="W454" t="s">
        <v>1317</v>
      </c>
      <c r="X454" t="s">
        <v>25</v>
      </c>
      <c r="Y454" t="s">
        <v>1317</v>
      </c>
      <c r="Z454" t="s">
        <v>25</v>
      </c>
      <c r="AA454" t="s">
        <v>25</v>
      </c>
      <c r="AB454" t="s">
        <v>1317</v>
      </c>
      <c r="AC454" t="s">
        <v>1317</v>
      </c>
      <c r="AD454" t="s">
        <v>25</v>
      </c>
      <c r="AE454" t="s">
        <v>1317</v>
      </c>
      <c r="AF454" t="s">
        <v>25</v>
      </c>
      <c r="AG454" t="s">
        <v>1317</v>
      </c>
      <c r="AH454" t="s">
        <v>25</v>
      </c>
      <c r="AI454" t="s">
        <v>25</v>
      </c>
      <c r="AJ454" t="s">
        <v>1317</v>
      </c>
      <c r="AK454" t="s">
        <v>1317</v>
      </c>
      <c r="AL454" t="s">
        <v>25</v>
      </c>
      <c r="AM454" t="s">
        <v>1317</v>
      </c>
      <c r="AN454" t="s">
        <v>25</v>
      </c>
      <c r="AO454" t="s">
        <v>1317</v>
      </c>
      <c r="AP454" t="s">
        <v>25</v>
      </c>
      <c r="AQ454" t="s">
        <v>25</v>
      </c>
    </row>
    <row r="455" spans="1:43" x14ac:dyDescent="0.25">
      <c r="A455">
        <v>6</v>
      </c>
      <c r="B455" t="s">
        <v>371</v>
      </c>
      <c r="C455" t="str">
        <f>HYPERLINK("http://www.ncbi.nlm.nih.gov/protein/AXF36050.1","AXF36050.1")</f>
        <v>AXF36050.1</v>
      </c>
      <c r="D455">
        <v>43398</v>
      </c>
      <c r="E455" t="str">
        <f>HYPERLINK("http://www.ncbi.nlm.nih.gov/Taxonomy/Browser/wwwtax.cgi?mode=Info&amp;id=38654&amp;lvl=3&amp;lin=f&amp;keep=1&amp;srchmode=1&amp;unlock","38654")</f>
        <v>38654</v>
      </c>
      <c r="F455" t="s">
        <v>371</v>
      </c>
      <c r="G455" t="str">
        <f>HYPERLINK("http://www.ncbi.nlm.nih.gov/Taxonomy/Browser/wwwtax.cgi?mode=Info&amp;id=38654&amp;lvl=3&amp;lin=f&amp;keep=1&amp;srchmode=1&amp;unlock","Alligator sinensis")</f>
        <v>Alligator sinensis</v>
      </c>
      <c r="H455" t="s">
        <v>376</v>
      </c>
      <c r="I455" t="str">
        <f>HYPERLINK("http://www.ncbi.nlm.nih.gov/protein/AXF36050.1","androgen receptor")</f>
        <v>androgen receptor</v>
      </c>
      <c r="J455" t="s">
        <v>1325</v>
      </c>
      <c r="K455" t="s">
        <v>20</v>
      </c>
      <c r="L455">
        <v>508</v>
      </c>
      <c r="M455" t="s">
        <v>25</v>
      </c>
      <c r="N455" t="s">
        <v>20</v>
      </c>
      <c r="O455" t="s">
        <v>1352</v>
      </c>
      <c r="P455" t="s">
        <v>20</v>
      </c>
      <c r="Q455">
        <v>132.119</v>
      </c>
      <c r="R455" t="s">
        <v>20</v>
      </c>
      <c r="S455" t="s">
        <v>20</v>
      </c>
      <c r="T455">
        <v>514</v>
      </c>
      <c r="U455" t="s">
        <v>1313</v>
      </c>
      <c r="V455" t="s">
        <v>20</v>
      </c>
      <c r="W455" t="s">
        <v>1352</v>
      </c>
      <c r="X455" t="s">
        <v>20</v>
      </c>
      <c r="Y455">
        <v>146.14599999999999</v>
      </c>
      <c r="Z455" t="s">
        <v>20</v>
      </c>
      <c r="AA455" t="s">
        <v>20</v>
      </c>
      <c r="AB455">
        <v>555</v>
      </c>
      <c r="AC455" t="s">
        <v>1314</v>
      </c>
      <c r="AD455" t="s">
        <v>20</v>
      </c>
      <c r="AE455" t="s">
        <v>1353</v>
      </c>
      <c r="AF455" t="s">
        <v>20</v>
      </c>
      <c r="AG455">
        <v>174.203</v>
      </c>
      <c r="AH455" t="s">
        <v>20</v>
      </c>
      <c r="AI455" t="s">
        <v>20</v>
      </c>
      <c r="AJ455">
        <v>680</v>
      </c>
      <c r="AK455" t="s">
        <v>1315</v>
      </c>
      <c r="AL455" t="s">
        <v>20</v>
      </c>
      <c r="AM455" t="s">
        <v>1354</v>
      </c>
      <c r="AN455" t="s">
        <v>20</v>
      </c>
      <c r="AO455">
        <v>119.119</v>
      </c>
      <c r="AP455" t="s">
        <v>20</v>
      </c>
      <c r="AQ455" t="s">
        <v>20</v>
      </c>
    </row>
    <row r="456" spans="1:43" x14ac:dyDescent="0.25">
      <c r="A456">
        <v>6</v>
      </c>
      <c r="B456" t="s">
        <v>371</v>
      </c>
      <c r="C456" t="str">
        <f>HYPERLINK("http://www.ncbi.nlm.nih.gov/protein/KYO38361.1","KYO38361.1")</f>
        <v>KYO38361.1</v>
      </c>
      <c r="D456">
        <v>74714</v>
      </c>
      <c r="E456" t="str">
        <f>HYPERLINK("http://www.ncbi.nlm.nih.gov/Taxonomy/Browser/wwwtax.cgi?mode=Info&amp;id=8496&amp;lvl=3&amp;lin=f&amp;keep=1&amp;srchmode=1&amp;unlock","8496")</f>
        <v>8496</v>
      </c>
      <c r="F456" t="s">
        <v>371</v>
      </c>
      <c r="G456" t="str">
        <f>HYPERLINK("http://www.ncbi.nlm.nih.gov/Taxonomy/Browser/wwwtax.cgi?mode=Info&amp;id=8496&amp;lvl=3&amp;lin=f&amp;keep=1&amp;srchmode=1&amp;unlock","Alligator mississippiensis")</f>
        <v>Alligator mississippiensis</v>
      </c>
      <c r="H456" t="s">
        <v>372</v>
      </c>
      <c r="I456" t="str">
        <f>HYPERLINK("http://www.ncbi.nlm.nih.gov/protein/KYO38361.1","androgen receptor")</f>
        <v>androgen receptor</v>
      </c>
      <c r="J456" t="s">
        <v>1325</v>
      </c>
      <c r="K456" t="s">
        <v>20</v>
      </c>
      <c r="L456">
        <v>420</v>
      </c>
      <c r="M456" t="s">
        <v>25</v>
      </c>
      <c r="N456" t="s">
        <v>20</v>
      </c>
      <c r="O456" t="s">
        <v>1352</v>
      </c>
      <c r="P456" t="s">
        <v>20</v>
      </c>
      <c r="Q456">
        <v>132.119</v>
      </c>
      <c r="R456" t="s">
        <v>20</v>
      </c>
      <c r="S456" t="s">
        <v>20</v>
      </c>
      <c r="T456">
        <v>426</v>
      </c>
      <c r="U456" t="s">
        <v>1313</v>
      </c>
      <c r="V456" t="s">
        <v>20</v>
      </c>
      <c r="W456" t="s">
        <v>1352</v>
      </c>
      <c r="X456" t="s">
        <v>20</v>
      </c>
      <c r="Y456">
        <v>146.14599999999999</v>
      </c>
      <c r="Z456" t="s">
        <v>20</v>
      </c>
      <c r="AA456" t="s">
        <v>20</v>
      </c>
      <c r="AB456">
        <v>467</v>
      </c>
      <c r="AC456" t="s">
        <v>1314</v>
      </c>
      <c r="AD456" t="s">
        <v>20</v>
      </c>
      <c r="AE456" t="s">
        <v>1353</v>
      </c>
      <c r="AF456" t="s">
        <v>20</v>
      </c>
      <c r="AG456">
        <v>174.203</v>
      </c>
      <c r="AH456" t="s">
        <v>20</v>
      </c>
      <c r="AI456" t="s">
        <v>20</v>
      </c>
      <c r="AJ456">
        <v>592</v>
      </c>
      <c r="AK456" t="s">
        <v>1315</v>
      </c>
      <c r="AL456" t="s">
        <v>20</v>
      </c>
      <c r="AM456" t="s">
        <v>1354</v>
      </c>
      <c r="AN456" t="s">
        <v>20</v>
      </c>
      <c r="AO456">
        <v>119.119</v>
      </c>
      <c r="AP456" t="s">
        <v>20</v>
      </c>
      <c r="AQ456" t="s">
        <v>20</v>
      </c>
    </row>
    <row r="457" spans="1:43" x14ac:dyDescent="0.25">
      <c r="A457">
        <v>6</v>
      </c>
      <c r="B457" t="s">
        <v>371</v>
      </c>
      <c r="C457" t="str">
        <f>HYPERLINK("http://www.ncbi.nlm.nih.gov/protein/XP_019376541.1","XP_019376541.1")</f>
        <v>XP_019376541.1</v>
      </c>
      <c r="D457">
        <v>27413</v>
      </c>
      <c r="E457" t="str">
        <f>HYPERLINK("http://www.ncbi.nlm.nih.gov/Taxonomy/Browser/wwwtax.cgi?mode=Info&amp;id=94835&amp;lvl=3&amp;lin=f&amp;keep=1&amp;srchmode=1&amp;unlock","94835")</f>
        <v>94835</v>
      </c>
      <c r="F457" t="s">
        <v>371</v>
      </c>
      <c r="G457" t="str">
        <f>HYPERLINK("http://www.ncbi.nlm.nih.gov/Taxonomy/Browser/wwwtax.cgi?mode=Info&amp;id=94835&amp;lvl=3&amp;lin=f&amp;keep=1&amp;srchmode=1&amp;unlock","Gavialis gangeticus")</f>
        <v>Gavialis gangeticus</v>
      </c>
      <c r="H457" t="s">
        <v>453</v>
      </c>
      <c r="I457" t="str">
        <f>HYPERLINK("http://www.ncbi.nlm.nih.gov/protein/XP_019376541.1","PREDICTED: androgen receptor")</f>
        <v>PREDICTED: androgen receptor</v>
      </c>
      <c r="J457" t="s">
        <v>1325</v>
      </c>
      <c r="K457" t="s">
        <v>20</v>
      </c>
      <c r="L457">
        <v>276</v>
      </c>
      <c r="M457" t="s">
        <v>25</v>
      </c>
      <c r="N457" t="s">
        <v>20</v>
      </c>
      <c r="O457" t="s">
        <v>1352</v>
      </c>
      <c r="P457" t="s">
        <v>20</v>
      </c>
      <c r="Q457">
        <v>132.119</v>
      </c>
      <c r="R457" t="s">
        <v>20</v>
      </c>
      <c r="S457" t="s">
        <v>20</v>
      </c>
      <c r="T457">
        <v>282</v>
      </c>
      <c r="U457" t="s">
        <v>1313</v>
      </c>
      <c r="V457" t="s">
        <v>20</v>
      </c>
      <c r="W457" t="s">
        <v>1352</v>
      </c>
      <c r="X457" t="s">
        <v>20</v>
      </c>
      <c r="Y457">
        <v>146.14599999999999</v>
      </c>
      <c r="Z457" t="s">
        <v>20</v>
      </c>
      <c r="AA457" t="s">
        <v>20</v>
      </c>
      <c r="AB457">
        <v>323</v>
      </c>
      <c r="AC457" t="s">
        <v>1314</v>
      </c>
      <c r="AD457" t="s">
        <v>20</v>
      </c>
      <c r="AE457" t="s">
        <v>1353</v>
      </c>
      <c r="AF457" t="s">
        <v>20</v>
      </c>
      <c r="AG457">
        <v>174.203</v>
      </c>
      <c r="AH457" t="s">
        <v>20</v>
      </c>
      <c r="AI457" t="s">
        <v>20</v>
      </c>
      <c r="AJ457">
        <v>448</v>
      </c>
      <c r="AK457" t="s">
        <v>1315</v>
      </c>
      <c r="AL457" t="s">
        <v>20</v>
      </c>
      <c r="AM457" t="s">
        <v>1354</v>
      </c>
      <c r="AN457" t="s">
        <v>20</v>
      </c>
      <c r="AO457">
        <v>119.119</v>
      </c>
      <c r="AP457" t="s">
        <v>20</v>
      </c>
      <c r="AQ457" t="s">
        <v>20</v>
      </c>
    </row>
    <row r="458" spans="1:43" x14ac:dyDescent="0.25">
      <c r="A458">
        <v>6</v>
      </c>
      <c r="B458" t="s">
        <v>646</v>
      </c>
      <c r="C458" t="str">
        <f>HYPERLINK("http://www.ncbi.nlm.nih.gov/protein/XP_014340971.1","XP_014340971.1")</f>
        <v>XP_014340971.1</v>
      </c>
      <c r="D458">
        <v>34479</v>
      </c>
      <c r="E458" t="str">
        <f>HYPERLINK("http://www.ncbi.nlm.nih.gov/Taxonomy/Browser/wwwtax.cgi?mode=Info&amp;id=7897&amp;lvl=3&amp;lin=f&amp;keep=1&amp;srchmode=1&amp;unlock","7897")</f>
        <v>7897</v>
      </c>
      <c r="F458" t="s">
        <v>646</v>
      </c>
      <c r="G458" t="str">
        <f>HYPERLINK("http://www.ncbi.nlm.nih.gov/Taxonomy/Browser/wwwtax.cgi?mode=Info&amp;id=7897&amp;lvl=3&amp;lin=f&amp;keep=1&amp;srchmode=1&amp;unlock","Latimeria chalumnae")</f>
        <v>Latimeria chalumnae</v>
      </c>
      <c r="H458" t="s">
        <v>647</v>
      </c>
      <c r="I458" t="str">
        <f>HYPERLINK("http://www.ncbi.nlm.nih.gov/protein/XP_014340971.1","PREDICTED: androgen receptor")</f>
        <v>PREDICTED: androgen receptor</v>
      </c>
      <c r="J458" t="s">
        <v>1326</v>
      </c>
      <c r="K458" t="s">
        <v>20</v>
      </c>
      <c r="L458">
        <v>455</v>
      </c>
      <c r="M458" t="s">
        <v>25</v>
      </c>
      <c r="N458" t="s">
        <v>20</v>
      </c>
      <c r="O458" t="s">
        <v>1352</v>
      </c>
      <c r="P458" t="s">
        <v>20</v>
      </c>
      <c r="Q458">
        <v>132.119</v>
      </c>
      <c r="R458" t="s">
        <v>20</v>
      </c>
      <c r="S458" t="s">
        <v>20</v>
      </c>
      <c r="T458">
        <v>461</v>
      </c>
      <c r="U458" t="s">
        <v>1313</v>
      </c>
      <c r="V458" t="s">
        <v>20</v>
      </c>
      <c r="W458" t="s">
        <v>1352</v>
      </c>
      <c r="X458" t="s">
        <v>20</v>
      </c>
      <c r="Y458">
        <v>146.14599999999999</v>
      </c>
      <c r="Z458" t="s">
        <v>20</v>
      </c>
      <c r="AA458" t="s">
        <v>20</v>
      </c>
      <c r="AB458">
        <v>502</v>
      </c>
      <c r="AC458" t="s">
        <v>1314</v>
      </c>
      <c r="AD458" t="s">
        <v>20</v>
      </c>
      <c r="AE458" t="s">
        <v>1353</v>
      </c>
      <c r="AF458" t="s">
        <v>20</v>
      </c>
      <c r="AG458">
        <v>174.203</v>
      </c>
      <c r="AH458" t="s">
        <v>20</v>
      </c>
      <c r="AI458" t="s">
        <v>20</v>
      </c>
      <c r="AJ458">
        <v>634</v>
      </c>
      <c r="AK458" t="s">
        <v>1315</v>
      </c>
      <c r="AL458" t="s">
        <v>20</v>
      </c>
      <c r="AM458" t="s">
        <v>1354</v>
      </c>
      <c r="AN458" t="s">
        <v>20</v>
      </c>
      <c r="AO458">
        <v>119.119</v>
      </c>
      <c r="AP458" t="s">
        <v>20</v>
      </c>
      <c r="AQ458" t="s">
        <v>20</v>
      </c>
    </row>
    <row r="459" spans="1:43" x14ac:dyDescent="0.25">
      <c r="A459">
        <v>6</v>
      </c>
      <c r="B459" t="s">
        <v>384</v>
      </c>
      <c r="C459" t="str">
        <f>HYPERLINK("http://www.ncbi.nlm.nih.gov/protein/MBN3318739.1","MBN3318739.1")</f>
        <v>MBN3318739.1</v>
      </c>
      <c r="D459">
        <v>15567</v>
      </c>
      <c r="E459" t="str">
        <f>HYPERLINK("http://www.ncbi.nlm.nih.gov/Taxonomy/Browser/wwwtax.cgi?mode=Info&amp;id=7917&amp;lvl=3&amp;lin=f&amp;keep=1&amp;srchmode=1&amp;unlock","7917")</f>
        <v>7917</v>
      </c>
      <c r="F459" t="s">
        <v>384</v>
      </c>
      <c r="G459" t="str">
        <f>HYPERLINK("http://www.ncbi.nlm.nih.gov/Taxonomy/Browser/wwwtax.cgi?mode=Info&amp;id=7917&amp;lvl=3&amp;lin=f&amp;keep=1&amp;srchmode=1&amp;unlock","Atractosteus spatula")</f>
        <v>Atractosteus spatula</v>
      </c>
      <c r="H459" t="s">
        <v>632</v>
      </c>
      <c r="I459" t="str">
        <f>HYPERLINK("http://www.ncbi.nlm.nih.gov/protein/MBN3318739.1","ANDR protein")</f>
        <v>ANDR protein</v>
      </c>
      <c r="J459" t="s">
        <v>1327</v>
      </c>
      <c r="K459" t="s">
        <v>20</v>
      </c>
      <c r="L459">
        <v>644</v>
      </c>
      <c r="M459" t="s">
        <v>25</v>
      </c>
      <c r="N459" t="s">
        <v>20</v>
      </c>
      <c r="O459" t="s">
        <v>1352</v>
      </c>
      <c r="P459" t="s">
        <v>20</v>
      </c>
      <c r="Q459">
        <v>132.119</v>
      </c>
      <c r="R459" t="s">
        <v>20</v>
      </c>
      <c r="S459" t="s">
        <v>20</v>
      </c>
      <c r="T459">
        <v>650</v>
      </c>
      <c r="U459" t="s">
        <v>1313</v>
      </c>
      <c r="V459" t="s">
        <v>20</v>
      </c>
      <c r="W459" t="s">
        <v>1352</v>
      </c>
      <c r="X459" t="s">
        <v>20</v>
      </c>
      <c r="Y459">
        <v>146.14599999999999</v>
      </c>
      <c r="Z459" t="s">
        <v>20</v>
      </c>
      <c r="AA459" t="s">
        <v>20</v>
      </c>
      <c r="AB459">
        <v>691</v>
      </c>
      <c r="AC459" t="s">
        <v>1314</v>
      </c>
      <c r="AD459" t="s">
        <v>20</v>
      </c>
      <c r="AE459" t="s">
        <v>1353</v>
      </c>
      <c r="AF459" t="s">
        <v>20</v>
      </c>
      <c r="AG459">
        <v>174.203</v>
      </c>
      <c r="AH459" t="s">
        <v>20</v>
      </c>
      <c r="AI459" t="s">
        <v>20</v>
      </c>
      <c r="AJ459">
        <v>816</v>
      </c>
      <c r="AK459" t="s">
        <v>1315</v>
      </c>
      <c r="AL459" t="s">
        <v>20</v>
      </c>
      <c r="AM459" t="s">
        <v>1354</v>
      </c>
      <c r="AN459" t="s">
        <v>20</v>
      </c>
      <c r="AO459">
        <v>119.119</v>
      </c>
      <c r="AP459" t="s">
        <v>20</v>
      </c>
      <c r="AQ459" t="s">
        <v>20</v>
      </c>
    </row>
    <row r="460" spans="1:43" x14ac:dyDescent="0.25">
      <c r="A460">
        <v>6</v>
      </c>
      <c r="B460" t="s">
        <v>384</v>
      </c>
      <c r="C460" t="str">
        <f>HYPERLINK("http://www.ncbi.nlm.nih.gov/protein/XP_006632826.1","XP_006632826.1")</f>
        <v>XP_006632826.1</v>
      </c>
      <c r="D460">
        <v>41863</v>
      </c>
      <c r="E460" t="str">
        <f>HYPERLINK("http://www.ncbi.nlm.nih.gov/Taxonomy/Browser/wwwtax.cgi?mode=Info&amp;id=7918&amp;lvl=3&amp;lin=f&amp;keep=1&amp;srchmode=1&amp;unlock","7918")</f>
        <v>7918</v>
      </c>
      <c r="F460" t="s">
        <v>384</v>
      </c>
      <c r="G460" t="str">
        <f>HYPERLINK("http://www.ncbi.nlm.nih.gov/Taxonomy/Browser/wwwtax.cgi?mode=Info&amp;id=7918&amp;lvl=3&amp;lin=f&amp;keep=1&amp;srchmode=1&amp;unlock","Lepisosteus oculatus")</f>
        <v>Lepisosteus oculatus</v>
      </c>
      <c r="H460" t="s">
        <v>537</v>
      </c>
      <c r="I460" t="str">
        <f>HYPERLINK("http://www.ncbi.nlm.nih.gov/protein/XP_006632826.1","PREDICTED: androgen receptor")</f>
        <v>PREDICTED: androgen receptor</v>
      </c>
      <c r="J460" t="s">
        <v>1327</v>
      </c>
      <c r="K460" t="s">
        <v>20</v>
      </c>
      <c r="L460">
        <v>644</v>
      </c>
      <c r="M460" t="s">
        <v>25</v>
      </c>
      <c r="N460" t="s">
        <v>20</v>
      </c>
      <c r="O460" t="s">
        <v>1352</v>
      </c>
      <c r="P460" t="s">
        <v>20</v>
      </c>
      <c r="Q460">
        <v>132.119</v>
      </c>
      <c r="R460" t="s">
        <v>20</v>
      </c>
      <c r="S460" t="s">
        <v>20</v>
      </c>
      <c r="T460">
        <v>650</v>
      </c>
      <c r="U460" t="s">
        <v>1313</v>
      </c>
      <c r="V460" t="s">
        <v>20</v>
      </c>
      <c r="W460" t="s">
        <v>1352</v>
      </c>
      <c r="X460" t="s">
        <v>20</v>
      </c>
      <c r="Y460">
        <v>146.14599999999999</v>
      </c>
      <c r="Z460" t="s">
        <v>20</v>
      </c>
      <c r="AA460" t="s">
        <v>20</v>
      </c>
      <c r="AB460">
        <v>691</v>
      </c>
      <c r="AC460" t="s">
        <v>1314</v>
      </c>
      <c r="AD460" t="s">
        <v>20</v>
      </c>
      <c r="AE460" t="s">
        <v>1353</v>
      </c>
      <c r="AF460" t="s">
        <v>20</v>
      </c>
      <c r="AG460">
        <v>174.203</v>
      </c>
      <c r="AH460" t="s">
        <v>20</v>
      </c>
      <c r="AI460" t="s">
        <v>20</v>
      </c>
      <c r="AJ460">
        <v>816</v>
      </c>
      <c r="AK460" t="s">
        <v>1315</v>
      </c>
      <c r="AL460" t="s">
        <v>20</v>
      </c>
      <c r="AM460" t="s">
        <v>1354</v>
      </c>
      <c r="AN460" t="s">
        <v>20</v>
      </c>
      <c r="AO460">
        <v>119.119</v>
      </c>
      <c r="AP460" t="s">
        <v>20</v>
      </c>
      <c r="AQ460" t="s">
        <v>20</v>
      </c>
    </row>
    <row r="461" spans="1:43" x14ac:dyDescent="0.25">
      <c r="A461">
        <v>6</v>
      </c>
      <c r="B461" t="s">
        <v>384</v>
      </c>
      <c r="C461" t="str">
        <f>HYPERLINK("http://www.ncbi.nlm.nih.gov/protein/MBN3301371.1","MBN3301371.1")</f>
        <v>MBN3301371.1</v>
      </c>
      <c r="D461">
        <v>16713</v>
      </c>
      <c r="E461" t="str">
        <f>HYPERLINK("http://www.ncbi.nlm.nih.gov/Taxonomy/Browser/wwwtax.cgi?mode=Info&amp;id=7924&amp;lvl=3&amp;lin=f&amp;keep=1&amp;srchmode=1&amp;unlock","7924")</f>
        <v>7924</v>
      </c>
      <c r="F461" t="s">
        <v>384</v>
      </c>
      <c r="G461" t="str">
        <f>HYPERLINK("http://www.ncbi.nlm.nih.gov/Taxonomy/Browser/wwwtax.cgi?mode=Info&amp;id=7924&amp;lvl=3&amp;lin=f&amp;keep=1&amp;srchmode=1&amp;unlock","Amia calva")</f>
        <v>Amia calva</v>
      </c>
      <c r="H461" t="s">
        <v>997</v>
      </c>
      <c r="I461" t="str">
        <f>HYPERLINK("http://www.ncbi.nlm.nih.gov/protein/MBN3301371.1","ANDR protein")</f>
        <v>ANDR protein</v>
      </c>
      <c r="J461" t="s">
        <v>1327</v>
      </c>
      <c r="K461" t="s">
        <v>20</v>
      </c>
      <c r="L461">
        <v>647</v>
      </c>
      <c r="M461" t="s">
        <v>25</v>
      </c>
      <c r="N461" t="s">
        <v>20</v>
      </c>
      <c r="O461" t="s">
        <v>1352</v>
      </c>
      <c r="P461" t="s">
        <v>20</v>
      </c>
      <c r="Q461">
        <v>132.119</v>
      </c>
      <c r="R461" t="s">
        <v>20</v>
      </c>
      <c r="S461" t="s">
        <v>20</v>
      </c>
      <c r="T461">
        <v>653</v>
      </c>
      <c r="U461" t="s">
        <v>1313</v>
      </c>
      <c r="V461" t="s">
        <v>20</v>
      </c>
      <c r="W461" t="s">
        <v>1352</v>
      </c>
      <c r="X461" t="s">
        <v>20</v>
      </c>
      <c r="Y461">
        <v>146.14599999999999</v>
      </c>
      <c r="Z461" t="s">
        <v>20</v>
      </c>
      <c r="AA461" t="s">
        <v>20</v>
      </c>
      <c r="AB461">
        <v>694</v>
      </c>
      <c r="AC461" t="s">
        <v>1314</v>
      </c>
      <c r="AD461" t="s">
        <v>20</v>
      </c>
      <c r="AE461" t="s">
        <v>1353</v>
      </c>
      <c r="AF461" t="s">
        <v>20</v>
      </c>
      <c r="AG461">
        <v>174.203</v>
      </c>
      <c r="AH461" t="s">
        <v>20</v>
      </c>
      <c r="AI461" t="s">
        <v>20</v>
      </c>
      <c r="AJ461">
        <v>819</v>
      </c>
      <c r="AK461" t="s">
        <v>1315</v>
      </c>
      <c r="AL461" t="s">
        <v>20</v>
      </c>
      <c r="AM461" t="s">
        <v>1354</v>
      </c>
      <c r="AN461" t="s">
        <v>20</v>
      </c>
      <c r="AO461">
        <v>119.119</v>
      </c>
      <c r="AP461" t="s">
        <v>20</v>
      </c>
      <c r="AQ461" t="s">
        <v>20</v>
      </c>
    </row>
    <row r="462" spans="1:43" x14ac:dyDescent="0.25">
      <c r="A462">
        <v>6</v>
      </c>
      <c r="B462" t="s">
        <v>384</v>
      </c>
      <c r="C462" t="str">
        <f>HYPERLINK("http://www.ncbi.nlm.nih.gov/protein/XP_010893698.1","XP_010893698.1")</f>
        <v>XP_010893698.1</v>
      </c>
      <c r="D462">
        <v>59853</v>
      </c>
      <c r="E462" t="str">
        <f>HYPERLINK("http://www.ncbi.nlm.nih.gov/Taxonomy/Browser/wwwtax.cgi?mode=Info&amp;id=8010&amp;lvl=3&amp;lin=f&amp;keep=1&amp;srchmode=1&amp;unlock","8010")</f>
        <v>8010</v>
      </c>
      <c r="F462" t="s">
        <v>384</v>
      </c>
      <c r="G462" t="str">
        <f>HYPERLINK("http://www.ncbi.nlm.nih.gov/Taxonomy/Browser/wwwtax.cgi?mode=Info&amp;id=8010&amp;lvl=3&amp;lin=f&amp;keep=1&amp;srchmode=1&amp;unlock","Esox lucius")</f>
        <v>Esox lucius</v>
      </c>
      <c r="H462" t="s">
        <v>489</v>
      </c>
      <c r="I462" t="str">
        <f>HYPERLINK("http://www.ncbi.nlm.nih.gov/protein/XP_010893698.1","androgen receptor isoform X1")</f>
        <v>androgen receptor isoform X1</v>
      </c>
      <c r="J462" t="s">
        <v>1327</v>
      </c>
      <c r="K462" t="s">
        <v>20</v>
      </c>
      <c r="L462">
        <v>636</v>
      </c>
      <c r="M462" t="s">
        <v>25</v>
      </c>
      <c r="N462" t="s">
        <v>20</v>
      </c>
      <c r="O462" t="s">
        <v>1352</v>
      </c>
      <c r="P462" t="s">
        <v>20</v>
      </c>
      <c r="Q462">
        <v>132.119</v>
      </c>
      <c r="R462" t="s">
        <v>20</v>
      </c>
      <c r="S462" t="s">
        <v>20</v>
      </c>
      <c r="T462">
        <v>642</v>
      </c>
      <c r="U462" t="s">
        <v>1313</v>
      </c>
      <c r="V462" t="s">
        <v>20</v>
      </c>
      <c r="W462" t="s">
        <v>1352</v>
      </c>
      <c r="X462" t="s">
        <v>20</v>
      </c>
      <c r="Y462">
        <v>146.14599999999999</v>
      </c>
      <c r="Z462" t="s">
        <v>20</v>
      </c>
      <c r="AA462" t="s">
        <v>20</v>
      </c>
      <c r="AB462">
        <v>683</v>
      </c>
      <c r="AC462" t="s">
        <v>1314</v>
      </c>
      <c r="AD462" t="s">
        <v>20</v>
      </c>
      <c r="AE462" t="s">
        <v>1353</v>
      </c>
      <c r="AF462" t="s">
        <v>20</v>
      </c>
      <c r="AG462">
        <v>174.203</v>
      </c>
      <c r="AH462" t="s">
        <v>20</v>
      </c>
      <c r="AI462" t="s">
        <v>20</v>
      </c>
      <c r="AJ462">
        <v>806</v>
      </c>
      <c r="AK462" t="s">
        <v>1315</v>
      </c>
      <c r="AL462" t="s">
        <v>20</v>
      </c>
      <c r="AM462" t="s">
        <v>1354</v>
      </c>
      <c r="AN462" t="s">
        <v>20</v>
      </c>
      <c r="AO462">
        <v>119.119</v>
      </c>
      <c r="AP462" t="s">
        <v>20</v>
      </c>
      <c r="AQ462" t="s">
        <v>20</v>
      </c>
    </row>
    <row r="463" spans="1:43" x14ac:dyDescent="0.25">
      <c r="A463">
        <v>6</v>
      </c>
      <c r="B463" t="s">
        <v>384</v>
      </c>
      <c r="C463" t="str">
        <f>HYPERLINK("http://www.ncbi.nlm.nih.gov/protein/XP_028838042.1","XP_028838042.1")</f>
        <v>XP_028838042.1</v>
      </c>
      <c r="D463">
        <v>50098</v>
      </c>
      <c r="E463" t="str">
        <f>HYPERLINK("http://www.ncbi.nlm.nih.gov/Taxonomy/Browser/wwwtax.cgi?mode=Info&amp;id=299321&amp;lvl=3&amp;lin=f&amp;keep=1&amp;srchmode=1&amp;unlock","299321")</f>
        <v>299321</v>
      </c>
      <c r="F463" t="s">
        <v>384</v>
      </c>
      <c r="G463" t="str">
        <f>HYPERLINK("http://www.ncbi.nlm.nih.gov/Taxonomy/Browser/wwwtax.cgi?mode=Info&amp;id=299321&amp;lvl=3&amp;lin=f&amp;keep=1&amp;srchmode=1&amp;unlock","Denticeps clupeoides")</f>
        <v>Denticeps clupeoides</v>
      </c>
      <c r="H463" t="s">
        <v>506</v>
      </c>
      <c r="I463" t="str">
        <f>HYPERLINK("http://www.ncbi.nlm.nih.gov/protein/XP_028838042.1","androgen receptor-like")</f>
        <v>androgen receptor-like</v>
      </c>
      <c r="J463" t="s">
        <v>1327</v>
      </c>
      <c r="K463" t="s">
        <v>20</v>
      </c>
      <c r="L463">
        <v>516</v>
      </c>
      <c r="M463" t="s">
        <v>25</v>
      </c>
      <c r="N463" t="s">
        <v>20</v>
      </c>
      <c r="O463" t="s">
        <v>1352</v>
      </c>
      <c r="P463" t="s">
        <v>20</v>
      </c>
      <c r="Q463">
        <v>132.119</v>
      </c>
      <c r="R463" t="s">
        <v>20</v>
      </c>
      <c r="S463" t="s">
        <v>20</v>
      </c>
      <c r="T463">
        <v>522</v>
      </c>
      <c r="U463" t="s">
        <v>1313</v>
      </c>
      <c r="V463" t="s">
        <v>20</v>
      </c>
      <c r="W463" t="s">
        <v>1352</v>
      </c>
      <c r="X463" t="s">
        <v>20</v>
      </c>
      <c r="Y463">
        <v>146.14599999999999</v>
      </c>
      <c r="Z463" t="s">
        <v>20</v>
      </c>
      <c r="AA463" t="s">
        <v>20</v>
      </c>
      <c r="AB463">
        <v>563</v>
      </c>
      <c r="AC463" t="s">
        <v>1314</v>
      </c>
      <c r="AD463" t="s">
        <v>20</v>
      </c>
      <c r="AE463" t="s">
        <v>1353</v>
      </c>
      <c r="AF463" t="s">
        <v>20</v>
      </c>
      <c r="AG463">
        <v>174.203</v>
      </c>
      <c r="AH463" t="s">
        <v>20</v>
      </c>
      <c r="AI463" t="s">
        <v>20</v>
      </c>
      <c r="AJ463">
        <v>686</v>
      </c>
      <c r="AK463" t="s">
        <v>1315</v>
      </c>
      <c r="AL463" t="s">
        <v>20</v>
      </c>
      <c r="AM463" t="s">
        <v>1354</v>
      </c>
      <c r="AN463" t="s">
        <v>20</v>
      </c>
      <c r="AO463">
        <v>119.119</v>
      </c>
      <c r="AP463" t="s">
        <v>20</v>
      </c>
      <c r="AQ463" t="s">
        <v>20</v>
      </c>
    </row>
    <row r="464" spans="1:43" x14ac:dyDescent="0.25">
      <c r="A464">
        <v>6</v>
      </c>
      <c r="B464" t="s">
        <v>384</v>
      </c>
      <c r="C464" t="str">
        <f>HYPERLINK("http://www.ncbi.nlm.nih.gov/protein/XP_023689872.1","XP_023689872.1")</f>
        <v>XP_023689872.1</v>
      </c>
      <c r="D464">
        <v>55296</v>
      </c>
      <c r="E464" t="str">
        <f>HYPERLINK("http://www.ncbi.nlm.nih.gov/Taxonomy/Browser/wwwtax.cgi?mode=Info&amp;id=1676925&amp;lvl=3&amp;lin=f&amp;keep=1&amp;srchmode=1&amp;unlock","1676925")</f>
        <v>1676925</v>
      </c>
      <c r="F464" t="s">
        <v>384</v>
      </c>
      <c r="G464" t="str">
        <f>HYPERLINK("http://www.ncbi.nlm.nih.gov/Taxonomy/Browser/wwwtax.cgi?mode=Info&amp;id=1676925&amp;lvl=3&amp;lin=f&amp;keep=1&amp;srchmode=1&amp;unlock","Paramormyrops kingsleyae")</f>
        <v>Paramormyrops kingsleyae</v>
      </c>
      <c r="H464" t="s">
        <v>651</v>
      </c>
      <c r="I464" t="str">
        <f>HYPERLINK("http://www.ncbi.nlm.nih.gov/protein/XP_023689872.1","androgen receptor-like")</f>
        <v>androgen receptor-like</v>
      </c>
      <c r="J464" t="s">
        <v>1327</v>
      </c>
      <c r="K464" t="s">
        <v>20</v>
      </c>
      <c r="L464">
        <v>630</v>
      </c>
      <c r="M464" t="s">
        <v>25</v>
      </c>
      <c r="N464" t="s">
        <v>20</v>
      </c>
      <c r="O464" t="s">
        <v>1352</v>
      </c>
      <c r="P464" t="s">
        <v>20</v>
      </c>
      <c r="Q464">
        <v>132.119</v>
      </c>
      <c r="R464" t="s">
        <v>20</v>
      </c>
      <c r="S464" t="s">
        <v>20</v>
      </c>
      <c r="T464">
        <v>636</v>
      </c>
      <c r="U464" t="s">
        <v>1313</v>
      </c>
      <c r="V464" t="s">
        <v>20</v>
      </c>
      <c r="W464" t="s">
        <v>1352</v>
      </c>
      <c r="X464" t="s">
        <v>20</v>
      </c>
      <c r="Y464">
        <v>146.14599999999999</v>
      </c>
      <c r="Z464" t="s">
        <v>20</v>
      </c>
      <c r="AA464" t="s">
        <v>20</v>
      </c>
      <c r="AB464">
        <v>677</v>
      </c>
      <c r="AC464" t="s">
        <v>1314</v>
      </c>
      <c r="AD464" t="s">
        <v>20</v>
      </c>
      <c r="AE464" t="s">
        <v>1353</v>
      </c>
      <c r="AF464" t="s">
        <v>20</v>
      </c>
      <c r="AG464">
        <v>174.203</v>
      </c>
      <c r="AH464" t="s">
        <v>20</v>
      </c>
      <c r="AI464" t="s">
        <v>20</v>
      </c>
      <c r="AJ464">
        <v>800</v>
      </c>
      <c r="AK464" t="s">
        <v>1315</v>
      </c>
      <c r="AL464" t="s">
        <v>20</v>
      </c>
      <c r="AM464" t="s">
        <v>1354</v>
      </c>
      <c r="AN464" t="s">
        <v>20</v>
      </c>
      <c r="AO464">
        <v>119.119</v>
      </c>
      <c r="AP464" t="s">
        <v>20</v>
      </c>
      <c r="AQ464" t="s">
        <v>20</v>
      </c>
    </row>
    <row r="465" spans="1:43" x14ac:dyDescent="0.25">
      <c r="A465">
        <v>6</v>
      </c>
      <c r="B465" t="s">
        <v>384</v>
      </c>
      <c r="C465" t="str">
        <f>HYPERLINK("http://www.ncbi.nlm.nih.gov/protein/XP_035289658.1","XP_035289658.1")</f>
        <v>XP_035289658.1</v>
      </c>
      <c r="D465">
        <v>58879</v>
      </c>
      <c r="E465" t="str">
        <f>HYPERLINK("http://www.ncbi.nlm.nih.gov/Taxonomy/Browser/wwwtax.cgi?mode=Info&amp;id=7936&amp;lvl=3&amp;lin=f&amp;keep=1&amp;srchmode=1&amp;unlock","7936")</f>
        <v>7936</v>
      </c>
      <c r="F465" t="s">
        <v>384</v>
      </c>
      <c r="G465" t="str">
        <f>HYPERLINK("http://www.ncbi.nlm.nih.gov/Taxonomy/Browser/wwwtax.cgi?mode=Info&amp;id=7936&amp;lvl=3&amp;lin=f&amp;keep=1&amp;srchmode=1&amp;unlock","Anguilla anguilla")</f>
        <v>Anguilla anguilla</v>
      </c>
      <c r="H465" t="s">
        <v>619</v>
      </c>
      <c r="I465" t="str">
        <f>HYPERLINK("http://www.ncbi.nlm.nih.gov/protein/XP_035289658.1","androgen receptor-like")</f>
        <v>androgen receptor-like</v>
      </c>
      <c r="J465" t="s">
        <v>1327</v>
      </c>
      <c r="K465" t="s">
        <v>20</v>
      </c>
      <c r="L465">
        <v>584</v>
      </c>
      <c r="M465" t="s">
        <v>25</v>
      </c>
      <c r="N465" t="s">
        <v>20</v>
      </c>
      <c r="O465" t="s">
        <v>1352</v>
      </c>
      <c r="P465" t="s">
        <v>20</v>
      </c>
      <c r="Q465">
        <v>132.119</v>
      </c>
      <c r="R465" t="s">
        <v>20</v>
      </c>
      <c r="S465" t="s">
        <v>20</v>
      </c>
      <c r="T465">
        <v>590</v>
      </c>
      <c r="U465" t="s">
        <v>1313</v>
      </c>
      <c r="V465" t="s">
        <v>20</v>
      </c>
      <c r="W465" t="s">
        <v>1352</v>
      </c>
      <c r="X465" t="s">
        <v>20</v>
      </c>
      <c r="Y465">
        <v>146.14599999999999</v>
      </c>
      <c r="Z465" t="s">
        <v>20</v>
      </c>
      <c r="AA465" t="s">
        <v>20</v>
      </c>
      <c r="AB465">
        <v>631</v>
      </c>
      <c r="AC465" t="s">
        <v>1314</v>
      </c>
      <c r="AD465" t="s">
        <v>20</v>
      </c>
      <c r="AE465" t="s">
        <v>1353</v>
      </c>
      <c r="AF465" t="s">
        <v>20</v>
      </c>
      <c r="AG465">
        <v>174.203</v>
      </c>
      <c r="AH465" t="s">
        <v>20</v>
      </c>
      <c r="AI465" t="s">
        <v>20</v>
      </c>
      <c r="AJ465">
        <v>754</v>
      </c>
      <c r="AK465" t="s">
        <v>1315</v>
      </c>
      <c r="AL465" t="s">
        <v>20</v>
      </c>
      <c r="AM465" t="s">
        <v>1354</v>
      </c>
      <c r="AN465" t="s">
        <v>20</v>
      </c>
      <c r="AO465">
        <v>119.119</v>
      </c>
      <c r="AP465" t="s">
        <v>20</v>
      </c>
      <c r="AQ465" t="s">
        <v>20</v>
      </c>
    </row>
    <row r="466" spans="1:43" x14ac:dyDescent="0.25">
      <c r="A466">
        <v>6</v>
      </c>
      <c r="B466" t="s">
        <v>384</v>
      </c>
      <c r="C466" t="str">
        <f>HYPERLINK("http://www.ncbi.nlm.nih.gov/protein/BAA83805.1","BAA83805.1")</f>
        <v>BAA83805.1</v>
      </c>
      <c r="D466">
        <v>702</v>
      </c>
      <c r="E466" t="str">
        <f>HYPERLINK("http://www.ncbi.nlm.nih.gov/Taxonomy/Browser/wwwtax.cgi?mode=Info&amp;id=7937&amp;lvl=3&amp;lin=f&amp;keep=1&amp;srchmode=1&amp;unlock","7937")</f>
        <v>7937</v>
      </c>
      <c r="F466" t="s">
        <v>384</v>
      </c>
      <c r="G466" t="str">
        <f>HYPERLINK("http://www.ncbi.nlm.nih.gov/Taxonomy/Browser/wwwtax.cgi?mode=Info&amp;id=7937&amp;lvl=3&amp;lin=f&amp;keep=1&amp;srchmode=1&amp;unlock","Anguilla japonica")</f>
        <v>Anguilla japonica</v>
      </c>
      <c r="H466" t="s">
        <v>886</v>
      </c>
      <c r="I466" t="str">
        <f>HYPERLINK("http://www.ncbi.nlm.nih.gov/protein/BAA83805.1","androgen receptor-beta")</f>
        <v>androgen receptor-beta</v>
      </c>
      <c r="J466" t="s">
        <v>1327</v>
      </c>
      <c r="K466" t="s">
        <v>20</v>
      </c>
      <c r="L466">
        <v>584</v>
      </c>
      <c r="M466" t="s">
        <v>25</v>
      </c>
      <c r="N466" t="s">
        <v>20</v>
      </c>
      <c r="O466" t="s">
        <v>1352</v>
      </c>
      <c r="P466" t="s">
        <v>20</v>
      </c>
      <c r="Q466">
        <v>132.119</v>
      </c>
      <c r="R466" t="s">
        <v>20</v>
      </c>
      <c r="S466" t="s">
        <v>20</v>
      </c>
      <c r="T466">
        <v>590</v>
      </c>
      <c r="U466" t="s">
        <v>1313</v>
      </c>
      <c r="V466" t="s">
        <v>20</v>
      </c>
      <c r="W466" t="s">
        <v>1352</v>
      </c>
      <c r="X466" t="s">
        <v>20</v>
      </c>
      <c r="Y466">
        <v>146.14599999999999</v>
      </c>
      <c r="Z466" t="s">
        <v>20</v>
      </c>
      <c r="AA466" t="s">
        <v>20</v>
      </c>
      <c r="AB466">
        <v>631</v>
      </c>
      <c r="AC466" t="s">
        <v>1314</v>
      </c>
      <c r="AD466" t="s">
        <v>20</v>
      </c>
      <c r="AE466" t="s">
        <v>1353</v>
      </c>
      <c r="AF466" t="s">
        <v>20</v>
      </c>
      <c r="AG466">
        <v>174.203</v>
      </c>
      <c r="AH466" t="s">
        <v>20</v>
      </c>
      <c r="AI466" t="s">
        <v>20</v>
      </c>
      <c r="AJ466">
        <v>754</v>
      </c>
      <c r="AK466" t="s">
        <v>1315</v>
      </c>
      <c r="AL466" t="s">
        <v>20</v>
      </c>
      <c r="AM466" t="s">
        <v>1354</v>
      </c>
      <c r="AN466" t="s">
        <v>20</v>
      </c>
      <c r="AO466">
        <v>119.119</v>
      </c>
      <c r="AP466" t="s">
        <v>20</v>
      </c>
      <c r="AQ466" t="s">
        <v>20</v>
      </c>
    </row>
    <row r="467" spans="1:43" x14ac:dyDescent="0.25">
      <c r="A467">
        <v>6</v>
      </c>
      <c r="B467" t="s">
        <v>384</v>
      </c>
      <c r="C467" t="str">
        <f>HYPERLINK("http://www.ncbi.nlm.nih.gov/protein/XP_024250063.1","XP_024250063.1")</f>
        <v>XP_024250063.1</v>
      </c>
      <c r="D467">
        <v>73759</v>
      </c>
      <c r="E467" t="str">
        <f>HYPERLINK("http://www.ncbi.nlm.nih.gov/Taxonomy/Browser/wwwtax.cgi?mode=Info&amp;id=74940&amp;lvl=3&amp;lin=f&amp;keep=1&amp;srchmode=1&amp;unlock","74940")</f>
        <v>74940</v>
      </c>
      <c r="F467" t="s">
        <v>384</v>
      </c>
      <c r="G467" t="str">
        <f>HYPERLINK("http://www.ncbi.nlm.nih.gov/Taxonomy/Browser/wwwtax.cgi?mode=Info&amp;id=74940&amp;lvl=3&amp;lin=f&amp;keep=1&amp;srchmode=1&amp;unlock","Oncorhynchus tshawytscha")</f>
        <v>Oncorhynchus tshawytscha</v>
      </c>
      <c r="H467" t="s">
        <v>500</v>
      </c>
      <c r="I467" t="str">
        <f>HYPERLINK("http://www.ncbi.nlm.nih.gov/protein/XP_024250063.1","androgen receptor-like isoform X1")</f>
        <v>androgen receptor-like isoform X1</v>
      </c>
      <c r="J467" t="s">
        <v>1327</v>
      </c>
      <c r="K467" t="s">
        <v>20</v>
      </c>
      <c r="L467">
        <v>641</v>
      </c>
      <c r="M467" t="s">
        <v>25</v>
      </c>
      <c r="N467" t="s">
        <v>20</v>
      </c>
      <c r="O467" t="s">
        <v>1352</v>
      </c>
      <c r="P467" t="s">
        <v>20</v>
      </c>
      <c r="Q467">
        <v>132.119</v>
      </c>
      <c r="R467" t="s">
        <v>20</v>
      </c>
      <c r="S467" t="s">
        <v>20</v>
      </c>
      <c r="T467">
        <v>647</v>
      </c>
      <c r="U467" t="s">
        <v>1313</v>
      </c>
      <c r="V467" t="s">
        <v>20</v>
      </c>
      <c r="W467" t="s">
        <v>1352</v>
      </c>
      <c r="X467" t="s">
        <v>20</v>
      </c>
      <c r="Y467">
        <v>146.14599999999999</v>
      </c>
      <c r="Z467" t="s">
        <v>20</v>
      </c>
      <c r="AA467" t="s">
        <v>20</v>
      </c>
      <c r="AB467">
        <v>688</v>
      </c>
      <c r="AC467" t="s">
        <v>1314</v>
      </c>
      <c r="AD467" t="s">
        <v>20</v>
      </c>
      <c r="AE467" t="s">
        <v>1353</v>
      </c>
      <c r="AF467" t="s">
        <v>20</v>
      </c>
      <c r="AG467">
        <v>174.203</v>
      </c>
      <c r="AH467" t="s">
        <v>20</v>
      </c>
      <c r="AI467" t="s">
        <v>20</v>
      </c>
      <c r="AJ467">
        <v>811</v>
      </c>
      <c r="AK467" t="s">
        <v>1315</v>
      </c>
      <c r="AL467" t="s">
        <v>20</v>
      </c>
      <c r="AM467" t="s">
        <v>1354</v>
      </c>
      <c r="AN467" t="s">
        <v>20</v>
      </c>
      <c r="AO467">
        <v>119.119</v>
      </c>
      <c r="AP467" t="s">
        <v>20</v>
      </c>
      <c r="AQ467" t="s">
        <v>20</v>
      </c>
    </row>
    <row r="468" spans="1:43" x14ac:dyDescent="0.25">
      <c r="A468">
        <v>6</v>
      </c>
      <c r="B468" t="s">
        <v>384</v>
      </c>
      <c r="C468" t="str">
        <f>HYPERLINK("http://www.ncbi.nlm.nih.gov/protein/KAA0717190.1","KAA0717190.1")</f>
        <v>KAA0717190.1</v>
      </c>
      <c r="D468">
        <v>24328</v>
      </c>
      <c r="E468" t="str">
        <f>HYPERLINK("http://www.ncbi.nlm.nih.gov/Taxonomy/Browser/wwwtax.cgi?mode=Info&amp;id=1572043&amp;lvl=3&amp;lin=f&amp;keep=1&amp;srchmode=1&amp;unlock","1572043")</f>
        <v>1572043</v>
      </c>
      <c r="F468" t="s">
        <v>384</v>
      </c>
      <c r="G468" t="str">
        <f>HYPERLINK("http://www.ncbi.nlm.nih.gov/Taxonomy/Browser/wwwtax.cgi?mode=Info&amp;id=1572043&amp;lvl=3&amp;lin=f&amp;keep=1&amp;srchmode=1&amp;unlock","Triplophysa tibetana")</f>
        <v>Triplophysa tibetana</v>
      </c>
      <c r="H468" t="s">
        <v>612</v>
      </c>
      <c r="I468" t="str">
        <f>HYPERLINK("http://www.ncbi.nlm.nih.gov/protein/KAA0717190.1","Androgen receptor")</f>
        <v>Androgen receptor</v>
      </c>
      <c r="J468" t="s">
        <v>1327</v>
      </c>
      <c r="K468" t="s">
        <v>20</v>
      </c>
      <c r="L468">
        <v>651</v>
      </c>
      <c r="M468" t="s">
        <v>25</v>
      </c>
      <c r="N468" t="s">
        <v>20</v>
      </c>
      <c r="O468" t="s">
        <v>1352</v>
      </c>
      <c r="P468" t="s">
        <v>20</v>
      </c>
      <c r="Q468">
        <v>132.119</v>
      </c>
      <c r="R468" t="s">
        <v>20</v>
      </c>
      <c r="S468" t="s">
        <v>20</v>
      </c>
      <c r="T468">
        <v>657</v>
      </c>
      <c r="U468" t="s">
        <v>1313</v>
      </c>
      <c r="V468" t="s">
        <v>20</v>
      </c>
      <c r="W468" t="s">
        <v>1352</v>
      </c>
      <c r="X468" t="s">
        <v>20</v>
      </c>
      <c r="Y468">
        <v>146.14599999999999</v>
      </c>
      <c r="Z468" t="s">
        <v>20</v>
      </c>
      <c r="AA468" t="s">
        <v>20</v>
      </c>
      <c r="AB468">
        <v>698</v>
      </c>
      <c r="AC468" t="s">
        <v>1314</v>
      </c>
      <c r="AD468" t="s">
        <v>20</v>
      </c>
      <c r="AE468" t="s">
        <v>1353</v>
      </c>
      <c r="AF468" t="s">
        <v>20</v>
      </c>
      <c r="AG468">
        <v>174.203</v>
      </c>
      <c r="AH468" t="s">
        <v>20</v>
      </c>
      <c r="AI468" t="s">
        <v>20</v>
      </c>
      <c r="AJ468">
        <v>821</v>
      </c>
      <c r="AK468" t="s">
        <v>1315</v>
      </c>
      <c r="AL468" t="s">
        <v>20</v>
      </c>
      <c r="AM468" t="s">
        <v>1354</v>
      </c>
      <c r="AN468" t="s">
        <v>20</v>
      </c>
      <c r="AO468">
        <v>119.119</v>
      </c>
      <c r="AP468" t="s">
        <v>20</v>
      </c>
      <c r="AQ468" t="s">
        <v>20</v>
      </c>
    </row>
    <row r="469" spans="1:43" x14ac:dyDescent="0.25">
      <c r="A469">
        <v>6</v>
      </c>
      <c r="B469" t="s">
        <v>384</v>
      </c>
      <c r="C469" t="str">
        <f>HYPERLINK("http://www.ncbi.nlm.nih.gov/protein/XP_023823693.1","XP_023823693.1")</f>
        <v>XP_023823693.1</v>
      </c>
      <c r="D469">
        <v>60779</v>
      </c>
      <c r="E469" t="str">
        <f>HYPERLINK("http://www.ncbi.nlm.nih.gov/Taxonomy/Browser/wwwtax.cgi?mode=Info&amp;id=8036&amp;lvl=3&amp;lin=f&amp;keep=1&amp;srchmode=1&amp;unlock","8036")</f>
        <v>8036</v>
      </c>
      <c r="F469" t="s">
        <v>384</v>
      </c>
      <c r="G469" t="str">
        <f>HYPERLINK("http://www.ncbi.nlm.nih.gov/Taxonomy/Browser/wwwtax.cgi?mode=Info&amp;id=8036&amp;lvl=3&amp;lin=f&amp;keep=1&amp;srchmode=1&amp;unlock","Salvelinus alpinus")</f>
        <v>Salvelinus alpinus</v>
      </c>
      <c r="H469" t="s">
        <v>483</v>
      </c>
      <c r="I469" t="str">
        <f>HYPERLINK("http://www.ncbi.nlm.nih.gov/protein/XP_023823693.1","androgen receptor")</f>
        <v>androgen receptor</v>
      </c>
      <c r="J469" t="s">
        <v>1327</v>
      </c>
      <c r="K469" t="s">
        <v>20</v>
      </c>
      <c r="L469">
        <v>640</v>
      </c>
      <c r="M469" t="s">
        <v>25</v>
      </c>
      <c r="N469" t="s">
        <v>20</v>
      </c>
      <c r="O469" t="s">
        <v>1352</v>
      </c>
      <c r="P469" t="s">
        <v>20</v>
      </c>
      <c r="Q469">
        <v>132.119</v>
      </c>
      <c r="R469" t="s">
        <v>20</v>
      </c>
      <c r="S469" t="s">
        <v>20</v>
      </c>
      <c r="T469">
        <v>646</v>
      </c>
      <c r="U469" t="s">
        <v>1313</v>
      </c>
      <c r="V469" t="s">
        <v>20</v>
      </c>
      <c r="W469" t="s">
        <v>1352</v>
      </c>
      <c r="X469" t="s">
        <v>20</v>
      </c>
      <c r="Y469">
        <v>146.14599999999999</v>
      </c>
      <c r="Z469" t="s">
        <v>20</v>
      </c>
      <c r="AA469" t="s">
        <v>20</v>
      </c>
      <c r="AB469">
        <v>687</v>
      </c>
      <c r="AC469" t="s">
        <v>1314</v>
      </c>
      <c r="AD469" t="s">
        <v>20</v>
      </c>
      <c r="AE469" t="s">
        <v>1353</v>
      </c>
      <c r="AF469" t="s">
        <v>20</v>
      </c>
      <c r="AG469">
        <v>174.203</v>
      </c>
      <c r="AH469" t="s">
        <v>20</v>
      </c>
      <c r="AI469" t="s">
        <v>20</v>
      </c>
      <c r="AJ469">
        <v>810</v>
      </c>
      <c r="AK469" t="s">
        <v>1315</v>
      </c>
      <c r="AL469" t="s">
        <v>20</v>
      </c>
      <c r="AM469" t="s">
        <v>1354</v>
      </c>
      <c r="AN469" t="s">
        <v>20</v>
      </c>
      <c r="AO469">
        <v>119.119</v>
      </c>
      <c r="AP469" t="s">
        <v>20</v>
      </c>
      <c r="AQ469" t="s">
        <v>20</v>
      </c>
    </row>
    <row r="470" spans="1:43" x14ac:dyDescent="0.25">
      <c r="A470">
        <v>6</v>
      </c>
      <c r="B470" t="s">
        <v>384</v>
      </c>
      <c r="C470" t="str">
        <f>HYPERLINK("http://www.ncbi.nlm.nih.gov/protein/XP_008301461.1","XP_008301461.1")</f>
        <v>XP_008301461.1</v>
      </c>
      <c r="D470">
        <v>31743</v>
      </c>
      <c r="E470" t="str">
        <f>HYPERLINK("http://www.ncbi.nlm.nih.gov/Taxonomy/Browser/wwwtax.cgi?mode=Info&amp;id=144197&amp;lvl=3&amp;lin=f&amp;keep=1&amp;srchmode=1&amp;unlock","144197")</f>
        <v>144197</v>
      </c>
      <c r="F470" t="s">
        <v>384</v>
      </c>
      <c r="G470" t="str">
        <f>HYPERLINK("http://www.ncbi.nlm.nih.gov/Taxonomy/Browser/wwwtax.cgi?mode=Info&amp;id=144197&amp;lvl=3&amp;lin=f&amp;keep=1&amp;srchmode=1&amp;unlock","Stegastes partitus")</f>
        <v>Stegastes partitus</v>
      </c>
      <c r="H470" t="s">
        <v>546</v>
      </c>
      <c r="I470" t="str">
        <f>HYPERLINK("http://www.ncbi.nlm.nih.gov/protein/XP_008301461.1","PREDICTED: androgen receptor-like isoform X2")</f>
        <v>PREDICTED: androgen receptor-like isoform X2</v>
      </c>
      <c r="J470" t="s">
        <v>1327</v>
      </c>
      <c r="K470" t="s">
        <v>20</v>
      </c>
      <c r="L470">
        <v>544</v>
      </c>
      <c r="M470" t="s">
        <v>25</v>
      </c>
      <c r="N470" t="s">
        <v>20</v>
      </c>
      <c r="O470" t="s">
        <v>1352</v>
      </c>
      <c r="P470" t="s">
        <v>20</v>
      </c>
      <c r="Q470">
        <v>132.119</v>
      </c>
      <c r="R470" t="s">
        <v>20</v>
      </c>
      <c r="S470" t="s">
        <v>20</v>
      </c>
      <c r="T470">
        <v>550</v>
      </c>
      <c r="U470" t="s">
        <v>1313</v>
      </c>
      <c r="V470" t="s">
        <v>20</v>
      </c>
      <c r="W470" t="s">
        <v>1352</v>
      </c>
      <c r="X470" t="s">
        <v>20</v>
      </c>
      <c r="Y470">
        <v>146.14599999999999</v>
      </c>
      <c r="Z470" t="s">
        <v>20</v>
      </c>
      <c r="AA470" t="s">
        <v>20</v>
      </c>
      <c r="AB470">
        <v>591</v>
      </c>
      <c r="AC470" t="s">
        <v>1314</v>
      </c>
      <c r="AD470" t="s">
        <v>20</v>
      </c>
      <c r="AE470" t="s">
        <v>1353</v>
      </c>
      <c r="AF470" t="s">
        <v>20</v>
      </c>
      <c r="AG470">
        <v>174.203</v>
      </c>
      <c r="AH470" t="s">
        <v>20</v>
      </c>
      <c r="AI470" t="s">
        <v>20</v>
      </c>
      <c r="AJ470">
        <v>714</v>
      </c>
      <c r="AK470" t="s">
        <v>1315</v>
      </c>
      <c r="AL470" t="s">
        <v>20</v>
      </c>
      <c r="AM470" t="s">
        <v>1354</v>
      </c>
      <c r="AN470" t="s">
        <v>20</v>
      </c>
      <c r="AO470">
        <v>119.119</v>
      </c>
      <c r="AP470" t="s">
        <v>20</v>
      </c>
      <c r="AQ470" t="s">
        <v>20</v>
      </c>
    </row>
    <row r="471" spans="1:43" x14ac:dyDescent="0.25">
      <c r="A471">
        <v>6</v>
      </c>
      <c r="B471" t="s">
        <v>384</v>
      </c>
      <c r="C471" t="str">
        <f>HYPERLINK("http://www.ncbi.nlm.nih.gov/protein/NP_001117657.1","NP_001117657.1")</f>
        <v>NP_001117657.1</v>
      </c>
      <c r="D471">
        <v>150751</v>
      </c>
      <c r="E471" t="str">
        <f>HYPERLINK("http://www.ncbi.nlm.nih.gov/Taxonomy/Browser/wwwtax.cgi?mode=Info&amp;id=8022&amp;lvl=3&amp;lin=f&amp;keep=1&amp;srchmode=1&amp;unlock","8022")</f>
        <v>8022</v>
      </c>
      <c r="F471" t="s">
        <v>384</v>
      </c>
      <c r="G471" t="str">
        <f>HYPERLINK("http://www.ncbi.nlm.nih.gov/Taxonomy/Browser/wwwtax.cgi?mode=Info&amp;id=8022&amp;lvl=3&amp;lin=f&amp;keep=1&amp;srchmode=1&amp;unlock","Oncorhynchus mykiss")</f>
        <v>Oncorhynchus mykiss</v>
      </c>
      <c r="H471" t="s">
        <v>482</v>
      </c>
      <c r="I471" t="str">
        <f>HYPERLINK("http://www.ncbi.nlm.nih.gov/protein/NP_001117657.1","androgen receptor beta")</f>
        <v>androgen receptor beta</v>
      </c>
      <c r="J471" t="s">
        <v>1327</v>
      </c>
      <c r="K471" t="s">
        <v>20</v>
      </c>
      <c r="L471">
        <v>640</v>
      </c>
      <c r="M471" t="s">
        <v>25</v>
      </c>
      <c r="N471" t="s">
        <v>20</v>
      </c>
      <c r="O471" t="s">
        <v>1352</v>
      </c>
      <c r="P471" t="s">
        <v>20</v>
      </c>
      <c r="Q471">
        <v>132.119</v>
      </c>
      <c r="R471" t="s">
        <v>20</v>
      </c>
      <c r="S471" t="s">
        <v>20</v>
      </c>
      <c r="T471">
        <v>646</v>
      </c>
      <c r="U471" t="s">
        <v>1313</v>
      </c>
      <c r="V471" t="s">
        <v>20</v>
      </c>
      <c r="W471" t="s">
        <v>1352</v>
      </c>
      <c r="X471" t="s">
        <v>20</v>
      </c>
      <c r="Y471">
        <v>146.14599999999999</v>
      </c>
      <c r="Z471" t="s">
        <v>20</v>
      </c>
      <c r="AA471" t="s">
        <v>20</v>
      </c>
      <c r="AB471">
        <v>687</v>
      </c>
      <c r="AC471" t="s">
        <v>1314</v>
      </c>
      <c r="AD471" t="s">
        <v>20</v>
      </c>
      <c r="AE471" t="s">
        <v>1353</v>
      </c>
      <c r="AF471" t="s">
        <v>20</v>
      </c>
      <c r="AG471">
        <v>174.203</v>
      </c>
      <c r="AH471" t="s">
        <v>20</v>
      </c>
      <c r="AI471" t="s">
        <v>20</v>
      </c>
      <c r="AJ471">
        <v>810</v>
      </c>
      <c r="AK471" t="s">
        <v>1315</v>
      </c>
      <c r="AL471" t="s">
        <v>20</v>
      </c>
      <c r="AM471" t="s">
        <v>1354</v>
      </c>
      <c r="AN471" t="s">
        <v>20</v>
      </c>
      <c r="AO471">
        <v>119.119</v>
      </c>
      <c r="AP471" t="s">
        <v>20</v>
      </c>
      <c r="AQ471" t="s">
        <v>20</v>
      </c>
    </row>
    <row r="472" spans="1:43" x14ac:dyDescent="0.25">
      <c r="A472">
        <v>6</v>
      </c>
      <c r="B472" t="s">
        <v>384</v>
      </c>
      <c r="C472" t="str">
        <f>HYPERLINK("http://www.ncbi.nlm.nih.gov/protein/XP_026104666.1","XP_026104666.1")</f>
        <v>XP_026104666.1</v>
      </c>
      <c r="D472">
        <v>98599</v>
      </c>
      <c r="E472" t="str">
        <f>HYPERLINK("http://www.ncbi.nlm.nih.gov/Taxonomy/Browser/wwwtax.cgi?mode=Info&amp;id=7957&amp;lvl=3&amp;lin=f&amp;keep=1&amp;srchmode=1&amp;unlock","7957")</f>
        <v>7957</v>
      </c>
      <c r="F472" t="s">
        <v>384</v>
      </c>
      <c r="G472" t="str">
        <f>HYPERLINK("http://www.ncbi.nlm.nih.gov/Taxonomy/Browser/wwwtax.cgi?mode=Info&amp;id=7957&amp;lvl=3&amp;lin=f&amp;keep=1&amp;srchmode=1&amp;unlock","Carassius auratus")</f>
        <v>Carassius auratus</v>
      </c>
      <c r="H472" t="s">
        <v>518</v>
      </c>
      <c r="I472" t="str">
        <f>HYPERLINK("http://www.ncbi.nlm.nih.gov/protein/XP_026104666.1","androgen receptor-like")</f>
        <v>androgen receptor-like</v>
      </c>
      <c r="J472" t="s">
        <v>1327</v>
      </c>
      <c r="K472" t="s">
        <v>20</v>
      </c>
      <c r="L472">
        <v>656</v>
      </c>
      <c r="M472" t="s">
        <v>25</v>
      </c>
      <c r="N472" t="s">
        <v>20</v>
      </c>
      <c r="O472" t="s">
        <v>1352</v>
      </c>
      <c r="P472" t="s">
        <v>20</v>
      </c>
      <c r="Q472">
        <v>132.119</v>
      </c>
      <c r="R472" t="s">
        <v>20</v>
      </c>
      <c r="S472" t="s">
        <v>20</v>
      </c>
      <c r="T472">
        <v>662</v>
      </c>
      <c r="U472" t="s">
        <v>1313</v>
      </c>
      <c r="V472" t="s">
        <v>20</v>
      </c>
      <c r="W472" t="s">
        <v>1352</v>
      </c>
      <c r="X472" t="s">
        <v>20</v>
      </c>
      <c r="Y472">
        <v>146.14599999999999</v>
      </c>
      <c r="Z472" t="s">
        <v>20</v>
      </c>
      <c r="AA472" t="s">
        <v>20</v>
      </c>
      <c r="AB472">
        <v>703</v>
      </c>
      <c r="AC472" t="s">
        <v>1314</v>
      </c>
      <c r="AD472" t="s">
        <v>20</v>
      </c>
      <c r="AE472" t="s">
        <v>1353</v>
      </c>
      <c r="AF472" t="s">
        <v>20</v>
      </c>
      <c r="AG472">
        <v>174.203</v>
      </c>
      <c r="AH472" t="s">
        <v>20</v>
      </c>
      <c r="AI472" t="s">
        <v>20</v>
      </c>
      <c r="AJ472">
        <v>826</v>
      </c>
      <c r="AK472" t="s">
        <v>1315</v>
      </c>
      <c r="AL472" t="s">
        <v>20</v>
      </c>
      <c r="AM472" t="s">
        <v>1354</v>
      </c>
      <c r="AN472" t="s">
        <v>20</v>
      </c>
      <c r="AO472">
        <v>119.119</v>
      </c>
      <c r="AP472" t="s">
        <v>20</v>
      </c>
      <c r="AQ472" t="s">
        <v>20</v>
      </c>
    </row>
    <row r="473" spans="1:43" x14ac:dyDescent="0.25">
      <c r="A473">
        <v>6</v>
      </c>
      <c r="B473" t="s">
        <v>384</v>
      </c>
      <c r="C473" t="str">
        <f>HYPERLINK("http://www.ncbi.nlm.nih.gov/protein/XP_029526655.1","XP_029526655.1")</f>
        <v>XP_029526655.1</v>
      </c>
      <c r="D473">
        <v>69382</v>
      </c>
      <c r="E473" t="str">
        <f>HYPERLINK("http://www.ncbi.nlm.nih.gov/Taxonomy/Browser/wwwtax.cgi?mode=Info&amp;id=8023&amp;lvl=3&amp;lin=f&amp;keep=1&amp;srchmode=1&amp;unlock","8023")</f>
        <v>8023</v>
      </c>
      <c r="F473" t="s">
        <v>384</v>
      </c>
      <c r="G473" t="str">
        <f>HYPERLINK("http://www.ncbi.nlm.nih.gov/Taxonomy/Browser/wwwtax.cgi?mode=Info&amp;id=8023&amp;lvl=3&amp;lin=f&amp;keep=1&amp;srchmode=1&amp;unlock","Oncorhynchus nerka")</f>
        <v>Oncorhynchus nerka</v>
      </c>
      <c r="H473" t="s">
        <v>479</v>
      </c>
      <c r="I473" t="str">
        <f>HYPERLINK("http://www.ncbi.nlm.nih.gov/protein/XP_029526655.1","androgen receptor-like isoform X1")</f>
        <v>androgen receptor-like isoform X1</v>
      </c>
      <c r="J473" t="s">
        <v>1327</v>
      </c>
      <c r="K473" t="s">
        <v>20</v>
      </c>
      <c r="L473">
        <v>640</v>
      </c>
      <c r="M473" t="s">
        <v>25</v>
      </c>
      <c r="N473" t="s">
        <v>20</v>
      </c>
      <c r="O473" t="s">
        <v>1352</v>
      </c>
      <c r="P473" t="s">
        <v>20</v>
      </c>
      <c r="Q473">
        <v>132.119</v>
      </c>
      <c r="R473" t="s">
        <v>20</v>
      </c>
      <c r="S473" t="s">
        <v>20</v>
      </c>
      <c r="T473">
        <v>646</v>
      </c>
      <c r="U473" t="s">
        <v>1313</v>
      </c>
      <c r="V473" t="s">
        <v>20</v>
      </c>
      <c r="W473" t="s">
        <v>1352</v>
      </c>
      <c r="X473" t="s">
        <v>20</v>
      </c>
      <c r="Y473">
        <v>146.14599999999999</v>
      </c>
      <c r="Z473" t="s">
        <v>20</v>
      </c>
      <c r="AA473" t="s">
        <v>20</v>
      </c>
      <c r="AB473">
        <v>687</v>
      </c>
      <c r="AC473" t="s">
        <v>1314</v>
      </c>
      <c r="AD473" t="s">
        <v>20</v>
      </c>
      <c r="AE473" t="s">
        <v>1353</v>
      </c>
      <c r="AF473" t="s">
        <v>20</v>
      </c>
      <c r="AG473">
        <v>174.203</v>
      </c>
      <c r="AH473" t="s">
        <v>20</v>
      </c>
      <c r="AI473" t="s">
        <v>20</v>
      </c>
      <c r="AJ473">
        <v>810</v>
      </c>
      <c r="AK473" t="s">
        <v>1315</v>
      </c>
      <c r="AL473" t="s">
        <v>20</v>
      </c>
      <c r="AM473" t="s">
        <v>1354</v>
      </c>
      <c r="AN473" t="s">
        <v>20</v>
      </c>
      <c r="AO473">
        <v>119.119</v>
      </c>
      <c r="AP473" t="s">
        <v>20</v>
      </c>
      <c r="AQ473" t="s">
        <v>20</v>
      </c>
    </row>
    <row r="474" spans="1:43" x14ac:dyDescent="0.25">
      <c r="A474">
        <v>6</v>
      </c>
      <c r="B474" t="s">
        <v>384</v>
      </c>
      <c r="C474" t="str">
        <f>HYPERLINK("http://www.ncbi.nlm.nih.gov/protein/XP_035636547.1","XP_035636547.1")</f>
        <v>XP_035636547.1</v>
      </c>
      <c r="D474">
        <v>67512</v>
      </c>
      <c r="E474" t="str">
        <f>HYPERLINK("http://www.ncbi.nlm.nih.gov/Taxonomy/Browser/wwwtax.cgi?mode=Info&amp;id=8018&amp;lvl=3&amp;lin=f&amp;keep=1&amp;srchmode=1&amp;unlock","8018")</f>
        <v>8018</v>
      </c>
      <c r="F474" t="s">
        <v>384</v>
      </c>
      <c r="G474" t="str">
        <f>HYPERLINK("http://www.ncbi.nlm.nih.gov/Taxonomy/Browser/wwwtax.cgi?mode=Info&amp;id=8018&amp;lvl=3&amp;lin=f&amp;keep=1&amp;srchmode=1&amp;unlock","Oncorhynchus keta")</f>
        <v>Oncorhynchus keta</v>
      </c>
      <c r="H474" t="s">
        <v>492</v>
      </c>
      <c r="I474" t="str">
        <f>HYPERLINK("http://www.ncbi.nlm.nih.gov/protein/XP_035636547.1","androgen receptor-like isoform X1")</f>
        <v>androgen receptor-like isoform X1</v>
      </c>
      <c r="J474" t="s">
        <v>1327</v>
      </c>
      <c r="K474" t="s">
        <v>20</v>
      </c>
      <c r="L474">
        <v>640</v>
      </c>
      <c r="M474" t="s">
        <v>25</v>
      </c>
      <c r="N474" t="s">
        <v>20</v>
      </c>
      <c r="O474" t="s">
        <v>1352</v>
      </c>
      <c r="P474" t="s">
        <v>20</v>
      </c>
      <c r="Q474">
        <v>132.119</v>
      </c>
      <c r="R474" t="s">
        <v>20</v>
      </c>
      <c r="S474" t="s">
        <v>20</v>
      </c>
      <c r="T474">
        <v>646</v>
      </c>
      <c r="U474" t="s">
        <v>1313</v>
      </c>
      <c r="V474" t="s">
        <v>20</v>
      </c>
      <c r="W474" t="s">
        <v>1352</v>
      </c>
      <c r="X474" t="s">
        <v>20</v>
      </c>
      <c r="Y474">
        <v>146.14599999999999</v>
      </c>
      <c r="Z474" t="s">
        <v>20</v>
      </c>
      <c r="AA474" t="s">
        <v>20</v>
      </c>
      <c r="AB474">
        <v>687</v>
      </c>
      <c r="AC474" t="s">
        <v>1314</v>
      </c>
      <c r="AD474" t="s">
        <v>20</v>
      </c>
      <c r="AE474" t="s">
        <v>1353</v>
      </c>
      <c r="AF474" t="s">
        <v>20</v>
      </c>
      <c r="AG474">
        <v>174.203</v>
      </c>
      <c r="AH474" t="s">
        <v>20</v>
      </c>
      <c r="AI474" t="s">
        <v>20</v>
      </c>
      <c r="AJ474">
        <v>810</v>
      </c>
      <c r="AK474" t="s">
        <v>1315</v>
      </c>
      <c r="AL474" t="s">
        <v>20</v>
      </c>
      <c r="AM474" t="s">
        <v>1354</v>
      </c>
      <c r="AN474" t="s">
        <v>20</v>
      </c>
      <c r="AO474">
        <v>119.119</v>
      </c>
      <c r="AP474" t="s">
        <v>20</v>
      </c>
      <c r="AQ474" t="s">
        <v>20</v>
      </c>
    </row>
    <row r="475" spans="1:43" x14ac:dyDescent="0.25">
      <c r="A475">
        <v>6</v>
      </c>
      <c r="B475" t="s">
        <v>384</v>
      </c>
      <c r="C475" t="str">
        <f>HYPERLINK("http://www.ncbi.nlm.nih.gov/protein/XP_020319720.1","XP_020319720.1")</f>
        <v>XP_020319720.1</v>
      </c>
      <c r="D475">
        <v>89590</v>
      </c>
      <c r="E475" t="str">
        <f>HYPERLINK("http://www.ncbi.nlm.nih.gov/Taxonomy/Browser/wwwtax.cgi?mode=Info&amp;id=8019&amp;lvl=3&amp;lin=f&amp;keep=1&amp;srchmode=1&amp;unlock","8019")</f>
        <v>8019</v>
      </c>
      <c r="F475" t="s">
        <v>384</v>
      </c>
      <c r="G475" t="str">
        <f>HYPERLINK("http://www.ncbi.nlm.nih.gov/Taxonomy/Browser/wwwtax.cgi?mode=Info&amp;id=8019&amp;lvl=3&amp;lin=f&amp;keep=1&amp;srchmode=1&amp;unlock","Oncorhynchus kisutch")</f>
        <v>Oncorhynchus kisutch</v>
      </c>
      <c r="H475" t="s">
        <v>501</v>
      </c>
      <c r="I475" t="str">
        <f>HYPERLINK("http://www.ncbi.nlm.nih.gov/protein/XP_020319720.1","androgen receptor-like isoform X1")</f>
        <v>androgen receptor-like isoform X1</v>
      </c>
      <c r="J475" t="s">
        <v>1327</v>
      </c>
      <c r="K475" t="s">
        <v>20</v>
      </c>
      <c r="L475">
        <v>640</v>
      </c>
      <c r="M475" t="s">
        <v>25</v>
      </c>
      <c r="N475" t="s">
        <v>20</v>
      </c>
      <c r="O475" t="s">
        <v>1352</v>
      </c>
      <c r="P475" t="s">
        <v>20</v>
      </c>
      <c r="Q475">
        <v>132.119</v>
      </c>
      <c r="R475" t="s">
        <v>20</v>
      </c>
      <c r="S475" t="s">
        <v>20</v>
      </c>
      <c r="T475">
        <v>646</v>
      </c>
      <c r="U475" t="s">
        <v>1313</v>
      </c>
      <c r="V475" t="s">
        <v>20</v>
      </c>
      <c r="W475" t="s">
        <v>1352</v>
      </c>
      <c r="X475" t="s">
        <v>20</v>
      </c>
      <c r="Y475">
        <v>146.14599999999999</v>
      </c>
      <c r="Z475" t="s">
        <v>20</v>
      </c>
      <c r="AA475" t="s">
        <v>20</v>
      </c>
      <c r="AB475">
        <v>687</v>
      </c>
      <c r="AC475" t="s">
        <v>1314</v>
      </c>
      <c r="AD475" t="s">
        <v>20</v>
      </c>
      <c r="AE475" t="s">
        <v>1353</v>
      </c>
      <c r="AF475" t="s">
        <v>20</v>
      </c>
      <c r="AG475">
        <v>174.203</v>
      </c>
      <c r="AH475" t="s">
        <v>20</v>
      </c>
      <c r="AI475" t="s">
        <v>20</v>
      </c>
      <c r="AJ475">
        <v>810</v>
      </c>
      <c r="AK475" t="s">
        <v>1315</v>
      </c>
      <c r="AL475" t="s">
        <v>20</v>
      </c>
      <c r="AM475" t="s">
        <v>1354</v>
      </c>
      <c r="AN475" t="s">
        <v>20</v>
      </c>
      <c r="AO475">
        <v>119.119</v>
      </c>
      <c r="AP475" t="s">
        <v>20</v>
      </c>
      <c r="AQ475" t="s">
        <v>20</v>
      </c>
    </row>
    <row r="476" spans="1:43" x14ac:dyDescent="0.25">
      <c r="A476">
        <v>6</v>
      </c>
      <c r="B476" t="s">
        <v>384</v>
      </c>
      <c r="C476" t="str">
        <f>HYPERLINK("http://www.ncbi.nlm.nih.gov/protein/XP_038861580.1","XP_038861580.1")</f>
        <v>XP_038861580.1</v>
      </c>
      <c r="D476">
        <v>58413</v>
      </c>
      <c r="E476" t="str">
        <f>HYPERLINK("http://www.ncbi.nlm.nih.gov/Taxonomy/Browser/wwwtax.cgi?mode=Info&amp;id=8040&amp;lvl=3&amp;lin=f&amp;keep=1&amp;srchmode=1&amp;unlock","8040")</f>
        <v>8040</v>
      </c>
      <c r="F476" t="s">
        <v>384</v>
      </c>
      <c r="G476" t="str">
        <f>HYPERLINK("http://www.ncbi.nlm.nih.gov/Taxonomy/Browser/wwwtax.cgi?mode=Info&amp;id=8040&amp;lvl=3&amp;lin=f&amp;keep=1&amp;srchmode=1&amp;unlock","Salvelinus namaycush")</f>
        <v>Salvelinus namaycush</v>
      </c>
      <c r="H476" t="s">
        <v>480</v>
      </c>
      <c r="I476" t="str">
        <f>HYPERLINK("http://www.ncbi.nlm.nih.gov/protein/XP_038861580.1","androgen receptor-like isoform X1")</f>
        <v>androgen receptor-like isoform X1</v>
      </c>
      <c r="J476" t="s">
        <v>1327</v>
      </c>
      <c r="K476" t="s">
        <v>20</v>
      </c>
      <c r="L476">
        <v>640</v>
      </c>
      <c r="M476" t="s">
        <v>25</v>
      </c>
      <c r="N476" t="s">
        <v>20</v>
      </c>
      <c r="O476" t="s">
        <v>1352</v>
      </c>
      <c r="P476" t="s">
        <v>20</v>
      </c>
      <c r="Q476">
        <v>132.119</v>
      </c>
      <c r="R476" t="s">
        <v>20</v>
      </c>
      <c r="S476" t="s">
        <v>20</v>
      </c>
      <c r="T476">
        <v>646</v>
      </c>
      <c r="U476" t="s">
        <v>1313</v>
      </c>
      <c r="V476" t="s">
        <v>20</v>
      </c>
      <c r="W476" t="s">
        <v>1352</v>
      </c>
      <c r="X476" t="s">
        <v>20</v>
      </c>
      <c r="Y476">
        <v>146.14599999999999</v>
      </c>
      <c r="Z476" t="s">
        <v>20</v>
      </c>
      <c r="AA476" t="s">
        <v>20</v>
      </c>
      <c r="AB476">
        <v>687</v>
      </c>
      <c r="AC476" t="s">
        <v>1314</v>
      </c>
      <c r="AD476" t="s">
        <v>20</v>
      </c>
      <c r="AE476" t="s">
        <v>1353</v>
      </c>
      <c r="AF476" t="s">
        <v>20</v>
      </c>
      <c r="AG476">
        <v>174.203</v>
      </c>
      <c r="AH476" t="s">
        <v>20</v>
      </c>
      <c r="AI476" t="s">
        <v>20</v>
      </c>
      <c r="AJ476">
        <v>810</v>
      </c>
      <c r="AK476" t="s">
        <v>1315</v>
      </c>
      <c r="AL476" t="s">
        <v>20</v>
      </c>
      <c r="AM476" t="s">
        <v>1354</v>
      </c>
      <c r="AN476" t="s">
        <v>20</v>
      </c>
      <c r="AO476">
        <v>119.119</v>
      </c>
      <c r="AP476" t="s">
        <v>20</v>
      </c>
      <c r="AQ476" t="s">
        <v>20</v>
      </c>
    </row>
    <row r="477" spans="1:43" x14ac:dyDescent="0.25">
      <c r="A477">
        <v>6</v>
      </c>
      <c r="B477" t="s">
        <v>384</v>
      </c>
      <c r="C477" t="str">
        <f>HYPERLINK("http://www.ncbi.nlm.nih.gov/protein/XP_014052302.1","XP_014052302.1")</f>
        <v>XP_014052302.1</v>
      </c>
      <c r="D477">
        <v>111579</v>
      </c>
      <c r="E477" t="str">
        <f>HYPERLINK("http://www.ncbi.nlm.nih.gov/Taxonomy/Browser/wwwtax.cgi?mode=Info&amp;id=8030&amp;lvl=3&amp;lin=f&amp;keep=1&amp;srchmode=1&amp;unlock","8030")</f>
        <v>8030</v>
      </c>
      <c r="F477" t="s">
        <v>384</v>
      </c>
      <c r="G477" t="str">
        <f>HYPERLINK("http://www.ncbi.nlm.nih.gov/Taxonomy/Browser/wwwtax.cgi?mode=Info&amp;id=8030&amp;lvl=3&amp;lin=f&amp;keep=1&amp;srchmode=1&amp;unlock","Salmo salar")</f>
        <v>Salmo salar</v>
      </c>
      <c r="H477" t="s">
        <v>490</v>
      </c>
      <c r="I477" t="str">
        <f>HYPERLINK("http://www.ncbi.nlm.nih.gov/protein/XP_014052302.1","PREDICTED: androgen receptor isoform X1")</f>
        <v>PREDICTED: androgen receptor isoform X1</v>
      </c>
      <c r="J477" t="s">
        <v>1327</v>
      </c>
      <c r="K477" t="s">
        <v>20</v>
      </c>
      <c r="L477">
        <v>640</v>
      </c>
      <c r="M477" t="s">
        <v>25</v>
      </c>
      <c r="N477" t="s">
        <v>20</v>
      </c>
      <c r="O477" t="s">
        <v>1352</v>
      </c>
      <c r="P477" t="s">
        <v>20</v>
      </c>
      <c r="Q477">
        <v>132.119</v>
      </c>
      <c r="R477" t="s">
        <v>20</v>
      </c>
      <c r="S477" t="s">
        <v>20</v>
      </c>
      <c r="T477">
        <v>646</v>
      </c>
      <c r="U477" t="s">
        <v>1313</v>
      </c>
      <c r="V477" t="s">
        <v>20</v>
      </c>
      <c r="W477" t="s">
        <v>1352</v>
      </c>
      <c r="X477" t="s">
        <v>20</v>
      </c>
      <c r="Y477">
        <v>146.14599999999999</v>
      </c>
      <c r="Z477" t="s">
        <v>20</v>
      </c>
      <c r="AA477" t="s">
        <v>20</v>
      </c>
      <c r="AB477">
        <v>687</v>
      </c>
      <c r="AC477" t="s">
        <v>1314</v>
      </c>
      <c r="AD477" t="s">
        <v>20</v>
      </c>
      <c r="AE477" t="s">
        <v>1353</v>
      </c>
      <c r="AF477" t="s">
        <v>20</v>
      </c>
      <c r="AG477">
        <v>174.203</v>
      </c>
      <c r="AH477" t="s">
        <v>20</v>
      </c>
      <c r="AI477" t="s">
        <v>20</v>
      </c>
      <c r="AJ477">
        <v>810</v>
      </c>
      <c r="AK477" t="s">
        <v>1315</v>
      </c>
      <c r="AL477" t="s">
        <v>20</v>
      </c>
      <c r="AM477" t="s">
        <v>1354</v>
      </c>
      <c r="AN477" t="s">
        <v>20</v>
      </c>
      <c r="AO477">
        <v>119.119</v>
      </c>
      <c r="AP477" t="s">
        <v>20</v>
      </c>
      <c r="AQ477" t="s">
        <v>20</v>
      </c>
    </row>
    <row r="478" spans="1:43" x14ac:dyDescent="0.25">
      <c r="A478">
        <v>6</v>
      </c>
      <c r="B478" t="s">
        <v>384</v>
      </c>
      <c r="C478" t="str">
        <f>HYPERLINK("http://www.ncbi.nlm.nih.gov/protein/XP_029556707.1","XP_029556707.1")</f>
        <v>XP_029556707.1</v>
      </c>
      <c r="D478">
        <v>88634</v>
      </c>
      <c r="E478" t="str">
        <f>HYPERLINK("http://www.ncbi.nlm.nih.gov/Taxonomy/Browser/wwwtax.cgi?mode=Info&amp;id=8032&amp;lvl=3&amp;lin=f&amp;keep=1&amp;srchmode=1&amp;unlock","8032")</f>
        <v>8032</v>
      </c>
      <c r="F478" t="s">
        <v>384</v>
      </c>
      <c r="G478" t="str">
        <f>HYPERLINK("http://www.ncbi.nlm.nih.gov/Taxonomy/Browser/wwwtax.cgi?mode=Info&amp;id=8032&amp;lvl=3&amp;lin=f&amp;keep=1&amp;srchmode=1&amp;unlock","Salmo trutta")</f>
        <v>Salmo trutta</v>
      </c>
      <c r="H478" t="s">
        <v>491</v>
      </c>
      <c r="I478" t="str">
        <f>HYPERLINK("http://www.ncbi.nlm.nih.gov/protein/XP_029556707.1","androgen receptor-like isoform X1")</f>
        <v>androgen receptor-like isoform X1</v>
      </c>
      <c r="J478" t="s">
        <v>1327</v>
      </c>
      <c r="K478" t="s">
        <v>20</v>
      </c>
      <c r="L478">
        <v>640</v>
      </c>
      <c r="M478" t="s">
        <v>25</v>
      </c>
      <c r="N478" t="s">
        <v>20</v>
      </c>
      <c r="O478" t="s">
        <v>1352</v>
      </c>
      <c r="P478" t="s">
        <v>20</v>
      </c>
      <c r="Q478">
        <v>132.119</v>
      </c>
      <c r="R478" t="s">
        <v>20</v>
      </c>
      <c r="S478" t="s">
        <v>20</v>
      </c>
      <c r="T478">
        <v>646</v>
      </c>
      <c r="U478" t="s">
        <v>1313</v>
      </c>
      <c r="V478" t="s">
        <v>20</v>
      </c>
      <c r="W478" t="s">
        <v>1352</v>
      </c>
      <c r="X478" t="s">
        <v>20</v>
      </c>
      <c r="Y478">
        <v>146.14599999999999</v>
      </c>
      <c r="Z478" t="s">
        <v>20</v>
      </c>
      <c r="AA478" t="s">
        <v>20</v>
      </c>
      <c r="AB478">
        <v>687</v>
      </c>
      <c r="AC478" t="s">
        <v>1314</v>
      </c>
      <c r="AD478" t="s">
        <v>20</v>
      </c>
      <c r="AE478" t="s">
        <v>1353</v>
      </c>
      <c r="AF478" t="s">
        <v>20</v>
      </c>
      <c r="AG478">
        <v>174.203</v>
      </c>
      <c r="AH478" t="s">
        <v>20</v>
      </c>
      <c r="AI478" t="s">
        <v>20</v>
      </c>
      <c r="AJ478">
        <v>810</v>
      </c>
      <c r="AK478" t="s">
        <v>1315</v>
      </c>
      <c r="AL478" t="s">
        <v>20</v>
      </c>
      <c r="AM478" t="s">
        <v>1354</v>
      </c>
      <c r="AN478" t="s">
        <v>20</v>
      </c>
      <c r="AO478">
        <v>119.119</v>
      </c>
      <c r="AP478" t="s">
        <v>20</v>
      </c>
      <c r="AQ478" t="s">
        <v>20</v>
      </c>
    </row>
    <row r="479" spans="1:43" x14ac:dyDescent="0.25">
      <c r="A479">
        <v>6</v>
      </c>
      <c r="B479" t="s">
        <v>384</v>
      </c>
      <c r="C479" t="str">
        <f>HYPERLINK("http://www.ncbi.nlm.nih.gov/protein/AIQ77651.1","AIQ77651.1")</f>
        <v>AIQ77651.1</v>
      </c>
      <c r="D479">
        <v>89392</v>
      </c>
      <c r="E479" t="str">
        <f>HYPERLINK("http://www.ncbi.nlm.nih.gov/Taxonomy/Browser/wwwtax.cgi?mode=Info&amp;id=7906&amp;lvl=3&amp;lin=f&amp;keep=1&amp;srchmode=1&amp;unlock","7906")</f>
        <v>7906</v>
      </c>
      <c r="F479" t="s">
        <v>384</v>
      </c>
      <c r="G479" t="str">
        <f>HYPERLINK("http://www.ncbi.nlm.nih.gov/Taxonomy/Browser/wwwtax.cgi?mode=Info&amp;id=7906&amp;lvl=3&amp;lin=f&amp;keep=1&amp;srchmode=1&amp;unlock","Acipenser ruthenus")</f>
        <v>Acipenser ruthenus</v>
      </c>
      <c r="H479" t="s">
        <v>512</v>
      </c>
      <c r="I479" t="str">
        <f>HYPERLINK("http://www.ncbi.nlm.nih.gov/protein/AIQ77651.1","androgen receptor")</f>
        <v>androgen receptor</v>
      </c>
      <c r="J479" t="s">
        <v>1327</v>
      </c>
      <c r="K479" t="s">
        <v>20</v>
      </c>
      <c r="L479">
        <v>628</v>
      </c>
      <c r="M479" t="s">
        <v>25</v>
      </c>
      <c r="N479" t="s">
        <v>20</v>
      </c>
      <c r="O479" t="s">
        <v>1352</v>
      </c>
      <c r="P479" t="s">
        <v>20</v>
      </c>
      <c r="Q479">
        <v>132.119</v>
      </c>
      <c r="R479" t="s">
        <v>20</v>
      </c>
      <c r="S479" t="s">
        <v>20</v>
      </c>
      <c r="T479">
        <v>634</v>
      </c>
      <c r="U479" t="s">
        <v>1313</v>
      </c>
      <c r="V479" t="s">
        <v>20</v>
      </c>
      <c r="W479" t="s">
        <v>1352</v>
      </c>
      <c r="X479" t="s">
        <v>20</v>
      </c>
      <c r="Y479">
        <v>146.14599999999999</v>
      </c>
      <c r="Z479" t="s">
        <v>20</v>
      </c>
      <c r="AA479" t="s">
        <v>20</v>
      </c>
      <c r="AB479">
        <v>675</v>
      </c>
      <c r="AC479" t="s">
        <v>1314</v>
      </c>
      <c r="AD479" t="s">
        <v>20</v>
      </c>
      <c r="AE479" t="s">
        <v>1353</v>
      </c>
      <c r="AF479" t="s">
        <v>20</v>
      </c>
      <c r="AG479">
        <v>174.203</v>
      </c>
      <c r="AH479" t="s">
        <v>20</v>
      </c>
      <c r="AI479" t="s">
        <v>20</v>
      </c>
      <c r="AJ479">
        <v>798</v>
      </c>
      <c r="AK479" t="s">
        <v>1315</v>
      </c>
      <c r="AL479" t="s">
        <v>20</v>
      </c>
      <c r="AM479" t="s">
        <v>1354</v>
      </c>
      <c r="AN479" t="s">
        <v>20</v>
      </c>
      <c r="AO479">
        <v>119.119</v>
      </c>
      <c r="AP479" t="s">
        <v>20</v>
      </c>
      <c r="AQ479" t="s">
        <v>20</v>
      </c>
    </row>
    <row r="480" spans="1:43" x14ac:dyDescent="0.25">
      <c r="A480">
        <v>6</v>
      </c>
      <c r="B480" t="s">
        <v>384</v>
      </c>
      <c r="C480" t="str">
        <f>HYPERLINK("http://www.ncbi.nlm.nih.gov/protein/XP_023153051.1","XP_023153051.1")</f>
        <v>XP_023153051.1</v>
      </c>
      <c r="D480">
        <v>48634</v>
      </c>
      <c r="E480" t="str">
        <f>HYPERLINK("http://www.ncbi.nlm.nih.gov/Taxonomy/Browser/wwwtax.cgi?mode=Info&amp;id=80972&amp;lvl=3&amp;lin=f&amp;keep=1&amp;srchmode=1&amp;unlock","80972")</f>
        <v>80972</v>
      </c>
      <c r="F480" t="s">
        <v>384</v>
      </c>
      <c r="G480" t="str">
        <f>HYPERLINK("http://www.ncbi.nlm.nih.gov/Taxonomy/Browser/wwwtax.cgi?mode=Info&amp;id=80972&amp;lvl=3&amp;lin=f&amp;keep=1&amp;srchmode=1&amp;unlock","Amphiprion ocellaris")</f>
        <v>Amphiprion ocellaris</v>
      </c>
      <c r="H480" t="s">
        <v>525</v>
      </c>
      <c r="I480" t="str">
        <f>HYPERLINK("http://www.ncbi.nlm.nih.gov/protein/XP_023153051.1","androgen receptor isoform X1")</f>
        <v>androgen receptor isoform X1</v>
      </c>
      <c r="J480" t="s">
        <v>1327</v>
      </c>
      <c r="K480" t="s">
        <v>20</v>
      </c>
      <c r="L480">
        <v>514</v>
      </c>
      <c r="M480" t="s">
        <v>25</v>
      </c>
      <c r="N480" t="s">
        <v>20</v>
      </c>
      <c r="O480" t="s">
        <v>1352</v>
      </c>
      <c r="P480" t="s">
        <v>20</v>
      </c>
      <c r="Q480">
        <v>132.119</v>
      </c>
      <c r="R480" t="s">
        <v>20</v>
      </c>
      <c r="S480" t="s">
        <v>20</v>
      </c>
      <c r="T480">
        <v>520</v>
      </c>
      <c r="U480" t="s">
        <v>1313</v>
      </c>
      <c r="V480" t="s">
        <v>20</v>
      </c>
      <c r="W480" t="s">
        <v>1352</v>
      </c>
      <c r="X480" t="s">
        <v>20</v>
      </c>
      <c r="Y480">
        <v>146.14599999999999</v>
      </c>
      <c r="Z480" t="s">
        <v>20</v>
      </c>
      <c r="AA480" t="s">
        <v>20</v>
      </c>
      <c r="AB480">
        <v>561</v>
      </c>
      <c r="AC480" t="s">
        <v>1314</v>
      </c>
      <c r="AD480" t="s">
        <v>20</v>
      </c>
      <c r="AE480" t="s">
        <v>1353</v>
      </c>
      <c r="AF480" t="s">
        <v>20</v>
      </c>
      <c r="AG480">
        <v>174.203</v>
      </c>
      <c r="AH480" t="s">
        <v>20</v>
      </c>
      <c r="AI480" t="s">
        <v>20</v>
      </c>
      <c r="AJ480">
        <v>684</v>
      </c>
      <c r="AK480" t="s">
        <v>1315</v>
      </c>
      <c r="AL480" t="s">
        <v>20</v>
      </c>
      <c r="AM480" t="s">
        <v>1354</v>
      </c>
      <c r="AN480" t="s">
        <v>20</v>
      </c>
      <c r="AO480">
        <v>119.119</v>
      </c>
      <c r="AP480" t="s">
        <v>20</v>
      </c>
      <c r="AQ480" t="s">
        <v>20</v>
      </c>
    </row>
    <row r="481" spans="1:43" x14ac:dyDescent="0.25">
      <c r="A481">
        <v>6</v>
      </c>
      <c r="B481" t="s">
        <v>384</v>
      </c>
      <c r="C481" t="str">
        <f>HYPERLINK("http://www.ncbi.nlm.nih.gov/protein/XP_029113724.1","XP_029113724.1")</f>
        <v>XP_029113724.1</v>
      </c>
      <c r="D481">
        <v>72416</v>
      </c>
      <c r="E481" t="str">
        <f>HYPERLINK("http://www.ncbi.nlm.nih.gov/Taxonomy/Browser/wwwtax.cgi?mode=Info&amp;id=113540&amp;lvl=3&amp;lin=f&amp;keep=1&amp;srchmode=1&amp;unlock","113540")</f>
        <v>113540</v>
      </c>
      <c r="F481" t="s">
        <v>384</v>
      </c>
      <c r="G481" t="str">
        <f>HYPERLINK("http://www.ncbi.nlm.nih.gov/Taxonomy/Browser/wwwtax.cgi?mode=Info&amp;id=113540&amp;lvl=3&amp;lin=f&amp;keep=1&amp;srchmode=1&amp;unlock","Scleropages formosus")</f>
        <v>Scleropages formosus</v>
      </c>
      <c r="H481" t="s">
        <v>627</v>
      </c>
      <c r="I481" t="str">
        <f>HYPERLINK("http://www.ncbi.nlm.nih.gov/protein/XP_029113724.1","androgen receptor")</f>
        <v>androgen receptor</v>
      </c>
      <c r="J481" t="s">
        <v>1327</v>
      </c>
      <c r="K481" t="s">
        <v>20</v>
      </c>
      <c r="L481">
        <v>614</v>
      </c>
      <c r="M481" t="s">
        <v>25</v>
      </c>
      <c r="N481" t="s">
        <v>20</v>
      </c>
      <c r="O481" t="s">
        <v>1352</v>
      </c>
      <c r="P481" t="s">
        <v>20</v>
      </c>
      <c r="Q481">
        <v>132.119</v>
      </c>
      <c r="R481" t="s">
        <v>20</v>
      </c>
      <c r="S481" t="s">
        <v>20</v>
      </c>
      <c r="T481">
        <v>620</v>
      </c>
      <c r="U481" t="s">
        <v>1313</v>
      </c>
      <c r="V481" t="s">
        <v>20</v>
      </c>
      <c r="W481" t="s">
        <v>1352</v>
      </c>
      <c r="X481" t="s">
        <v>20</v>
      </c>
      <c r="Y481">
        <v>146.14599999999999</v>
      </c>
      <c r="Z481" t="s">
        <v>20</v>
      </c>
      <c r="AA481" t="s">
        <v>20</v>
      </c>
      <c r="AB481">
        <v>661</v>
      </c>
      <c r="AC481" t="s">
        <v>1314</v>
      </c>
      <c r="AD481" t="s">
        <v>20</v>
      </c>
      <c r="AE481" t="s">
        <v>1353</v>
      </c>
      <c r="AF481" t="s">
        <v>20</v>
      </c>
      <c r="AG481">
        <v>174.203</v>
      </c>
      <c r="AH481" t="s">
        <v>20</v>
      </c>
      <c r="AI481" t="s">
        <v>20</v>
      </c>
      <c r="AJ481">
        <v>784</v>
      </c>
      <c r="AK481" t="s">
        <v>1315</v>
      </c>
      <c r="AL481" t="s">
        <v>20</v>
      </c>
      <c r="AM481" t="s">
        <v>1354</v>
      </c>
      <c r="AN481" t="s">
        <v>20</v>
      </c>
      <c r="AO481">
        <v>119.119</v>
      </c>
      <c r="AP481" t="s">
        <v>20</v>
      </c>
      <c r="AQ481" t="s">
        <v>20</v>
      </c>
    </row>
    <row r="482" spans="1:43" x14ac:dyDescent="0.25">
      <c r="A482">
        <v>6</v>
      </c>
      <c r="B482" t="s">
        <v>384</v>
      </c>
      <c r="C482" t="str">
        <f>HYPERLINK("http://www.ncbi.nlm.nih.gov/protein/XP_012678441.2","XP_012678441.2")</f>
        <v>XP_012678441.2</v>
      </c>
      <c r="D482">
        <v>43045</v>
      </c>
      <c r="E482" t="str">
        <f>HYPERLINK("http://www.ncbi.nlm.nih.gov/Taxonomy/Browser/wwwtax.cgi?mode=Info&amp;id=7950&amp;lvl=3&amp;lin=f&amp;keep=1&amp;srchmode=1&amp;unlock","7950")</f>
        <v>7950</v>
      </c>
      <c r="F482" t="s">
        <v>384</v>
      </c>
      <c r="G482" t="str">
        <f>HYPERLINK("http://www.ncbi.nlm.nih.gov/Taxonomy/Browser/wwwtax.cgi?mode=Info&amp;id=7950&amp;lvl=3&amp;lin=f&amp;keep=1&amp;srchmode=1&amp;unlock","Clupea harengus")</f>
        <v>Clupea harengus</v>
      </c>
      <c r="H482" t="s">
        <v>385</v>
      </c>
      <c r="I482" t="str">
        <f>HYPERLINK("http://www.ncbi.nlm.nih.gov/protein/XP_012678441.2","androgen receptor")</f>
        <v>androgen receptor</v>
      </c>
      <c r="J482" t="s">
        <v>1327</v>
      </c>
      <c r="K482" t="s">
        <v>20</v>
      </c>
      <c r="L482">
        <v>628</v>
      </c>
      <c r="M482" t="s">
        <v>25</v>
      </c>
      <c r="N482" t="s">
        <v>20</v>
      </c>
      <c r="O482" t="s">
        <v>1352</v>
      </c>
      <c r="P482" t="s">
        <v>20</v>
      </c>
      <c r="Q482">
        <v>132.119</v>
      </c>
      <c r="R482" t="s">
        <v>20</v>
      </c>
      <c r="S482" t="s">
        <v>20</v>
      </c>
      <c r="T482">
        <v>634</v>
      </c>
      <c r="U482" t="s">
        <v>1316</v>
      </c>
      <c r="V482" t="s">
        <v>25</v>
      </c>
      <c r="W482" t="s">
        <v>1353</v>
      </c>
      <c r="X482" t="s">
        <v>25</v>
      </c>
      <c r="Y482">
        <v>155.15600000000001</v>
      </c>
      <c r="Z482" t="s">
        <v>20</v>
      </c>
      <c r="AA482" t="s">
        <v>20</v>
      </c>
      <c r="AB482">
        <v>675</v>
      </c>
      <c r="AC482" t="s">
        <v>1314</v>
      </c>
      <c r="AD482" t="s">
        <v>20</v>
      </c>
      <c r="AE482" t="s">
        <v>1353</v>
      </c>
      <c r="AF482" t="s">
        <v>20</v>
      </c>
      <c r="AG482">
        <v>174.203</v>
      </c>
      <c r="AH482" t="s">
        <v>20</v>
      </c>
      <c r="AI482" t="s">
        <v>20</v>
      </c>
      <c r="AJ482">
        <v>798</v>
      </c>
      <c r="AK482" t="s">
        <v>1315</v>
      </c>
      <c r="AL482" t="s">
        <v>20</v>
      </c>
      <c r="AM482" t="s">
        <v>1354</v>
      </c>
      <c r="AN482" t="s">
        <v>20</v>
      </c>
      <c r="AO482">
        <v>119.119</v>
      </c>
      <c r="AP482" t="s">
        <v>20</v>
      </c>
      <c r="AQ482" t="s">
        <v>20</v>
      </c>
    </row>
    <row r="483" spans="1:43" x14ac:dyDescent="0.25">
      <c r="A483">
        <v>6</v>
      </c>
      <c r="B483" t="s">
        <v>384</v>
      </c>
      <c r="C483" t="str">
        <f>HYPERLINK("http://www.ncbi.nlm.nih.gov/protein/AKP99415.1","AKP99415.1")</f>
        <v>AKP99415.1</v>
      </c>
      <c r="D483">
        <v>606</v>
      </c>
      <c r="E483" t="str">
        <f>HYPERLINK("http://www.ncbi.nlm.nih.gov/Taxonomy/Browser/wwwtax.cgi?mode=Info&amp;id=101364&amp;lvl=3&amp;lin=f&amp;keep=1&amp;srchmode=1&amp;unlock","101364")</f>
        <v>101364</v>
      </c>
      <c r="F483" t="s">
        <v>384</v>
      </c>
      <c r="G483" t="str">
        <f>HYPERLINK("http://www.ncbi.nlm.nih.gov/Taxonomy/Browser/wwwtax.cgi?mode=Info&amp;id=101364&amp;lvl=3&amp;lin=f&amp;keep=1&amp;srchmode=1&amp;unlock","Carassius gibelio")</f>
        <v>Carassius gibelio</v>
      </c>
      <c r="H483" t="s">
        <v>999</v>
      </c>
      <c r="I483" t="str">
        <f>HYPERLINK("http://www.ncbi.nlm.nih.gov/protein/AKP99415.1","androgen receptor")</f>
        <v>androgen receptor</v>
      </c>
      <c r="J483" t="s">
        <v>1327</v>
      </c>
      <c r="K483" t="s">
        <v>20</v>
      </c>
      <c r="L483">
        <v>639</v>
      </c>
      <c r="M483" t="s">
        <v>25</v>
      </c>
      <c r="N483" t="s">
        <v>20</v>
      </c>
      <c r="O483" t="s">
        <v>1352</v>
      </c>
      <c r="P483" t="s">
        <v>20</v>
      </c>
      <c r="Q483">
        <v>132.119</v>
      </c>
      <c r="R483" t="s">
        <v>20</v>
      </c>
      <c r="S483" t="s">
        <v>20</v>
      </c>
      <c r="T483">
        <v>645</v>
      </c>
      <c r="U483" t="s">
        <v>1313</v>
      </c>
      <c r="V483" t="s">
        <v>20</v>
      </c>
      <c r="W483" t="s">
        <v>1352</v>
      </c>
      <c r="X483" t="s">
        <v>20</v>
      </c>
      <c r="Y483">
        <v>146.14599999999999</v>
      </c>
      <c r="Z483" t="s">
        <v>20</v>
      </c>
      <c r="AA483" t="s">
        <v>20</v>
      </c>
      <c r="AB483">
        <v>686</v>
      </c>
      <c r="AC483" t="s">
        <v>1314</v>
      </c>
      <c r="AD483" t="s">
        <v>20</v>
      </c>
      <c r="AE483" t="s">
        <v>1353</v>
      </c>
      <c r="AF483" t="s">
        <v>20</v>
      </c>
      <c r="AG483">
        <v>174.203</v>
      </c>
      <c r="AH483" t="s">
        <v>20</v>
      </c>
      <c r="AI483" t="s">
        <v>20</v>
      </c>
      <c r="AJ483">
        <v>809</v>
      </c>
      <c r="AK483" t="s">
        <v>1315</v>
      </c>
      <c r="AL483" t="s">
        <v>20</v>
      </c>
      <c r="AM483" t="s">
        <v>1354</v>
      </c>
      <c r="AN483" t="s">
        <v>20</v>
      </c>
      <c r="AO483">
        <v>119.119</v>
      </c>
      <c r="AP483" t="s">
        <v>20</v>
      </c>
      <c r="AQ483" t="s">
        <v>20</v>
      </c>
    </row>
    <row r="484" spans="1:43" x14ac:dyDescent="0.25">
      <c r="A484">
        <v>6</v>
      </c>
      <c r="B484" t="s">
        <v>384</v>
      </c>
      <c r="C484" t="str">
        <f>HYPERLINK("http://www.ncbi.nlm.nih.gov/protein/ADC35724.1","ADC35724.1")</f>
        <v>ADC35724.1</v>
      </c>
      <c r="D484">
        <v>371</v>
      </c>
      <c r="E484" t="str">
        <f>HYPERLINK("http://www.ncbi.nlm.nih.gov/Taxonomy/Browser/wwwtax.cgi?mode=Info&amp;id=143606&amp;lvl=3&amp;lin=f&amp;keep=1&amp;srchmode=1&amp;unlock","143606")</f>
        <v>143606</v>
      </c>
      <c r="F484" t="s">
        <v>384</v>
      </c>
      <c r="G484" t="str">
        <f>HYPERLINK("http://www.ncbi.nlm.nih.gov/Taxonomy/Browser/wwwtax.cgi?mode=Info&amp;id=143606&amp;lvl=3&amp;lin=f&amp;keep=1&amp;srchmode=1&amp;unlock","Gobiocypris rarus")</f>
        <v>Gobiocypris rarus</v>
      </c>
      <c r="H484" t="s">
        <v>529</v>
      </c>
      <c r="I484" t="str">
        <f>HYPERLINK("http://www.ncbi.nlm.nih.gov/protein/ADC35724.1","androgen receptor")</f>
        <v>androgen receptor</v>
      </c>
      <c r="J484" t="s">
        <v>1327</v>
      </c>
      <c r="K484" t="s">
        <v>20</v>
      </c>
      <c r="L484">
        <v>631</v>
      </c>
      <c r="M484" t="s">
        <v>25</v>
      </c>
      <c r="N484" t="s">
        <v>20</v>
      </c>
      <c r="O484" t="s">
        <v>1352</v>
      </c>
      <c r="P484" t="s">
        <v>20</v>
      </c>
      <c r="Q484">
        <v>132.119</v>
      </c>
      <c r="R484" t="s">
        <v>20</v>
      </c>
      <c r="S484" t="s">
        <v>20</v>
      </c>
      <c r="T484">
        <v>637</v>
      </c>
      <c r="U484" t="s">
        <v>1313</v>
      </c>
      <c r="V484" t="s">
        <v>20</v>
      </c>
      <c r="W484" t="s">
        <v>1352</v>
      </c>
      <c r="X484" t="s">
        <v>20</v>
      </c>
      <c r="Y484">
        <v>146.14599999999999</v>
      </c>
      <c r="Z484" t="s">
        <v>20</v>
      </c>
      <c r="AA484" t="s">
        <v>20</v>
      </c>
      <c r="AB484">
        <v>678</v>
      </c>
      <c r="AC484" t="s">
        <v>1314</v>
      </c>
      <c r="AD484" t="s">
        <v>20</v>
      </c>
      <c r="AE484" t="s">
        <v>1353</v>
      </c>
      <c r="AF484" t="s">
        <v>20</v>
      </c>
      <c r="AG484">
        <v>174.203</v>
      </c>
      <c r="AH484" t="s">
        <v>20</v>
      </c>
      <c r="AI484" t="s">
        <v>20</v>
      </c>
      <c r="AJ484">
        <v>801</v>
      </c>
      <c r="AK484" t="s">
        <v>1315</v>
      </c>
      <c r="AL484" t="s">
        <v>20</v>
      </c>
      <c r="AM484" t="s">
        <v>1354</v>
      </c>
      <c r="AN484" t="s">
        <v>20</v>
      </c>
      <c r="AO484">
        <v>119.119</v>
      </c>
      <c r="AP484" t="s">
        <v>20</v>
      </c>
      <c r="AQ484" t="s">
        <v>20</v>
      </c>
    </row>
    <row r="485" spans="1:43" x14ac:dyDescent="0.25">
      <c r="A485">
        <v>6</v>
      </c>
      <c r="B485" t="s">
        <v>384</v>
      </c>
      <c r="C485" t="str">
        <f>HYPERLINK("http://www.ncbi.nlm.nih.gov/protein/XP_035522133.1","XP_035522133.1")</f>
        <v>XP_035522133.1</v>
      </c>
      <c r="D485">
        <v>31138</v>
      </c>
      <c r="E485" t="str">
        <f>HYPERLINK("http://www.ncbi.nlm.nih.gov/Taxonomy/Browser/wwwtax.cgi?mode=Info&amp;id=34816&amp;lvl=3&amp;lin=f&amp;keep=1&amp;srchmode=1&amp;unlock","34816")</f>
        <v>34816</v>
      </c>
      <c r="F485" t="s">
        <v>384</v>
      </c>
      <c r="G485" t="str">
        <f>HYPERLINK("http://www.ncbi.nlm.nih.gov/Taxonomy/Browser/wwwtax.cgi?mode=Info&amp;id=34816&amp;lvl=3&amp;lin=f&amp;keep=1&amp;srchmode=1&amp;unlock","Morone saxatilis")</f>
        <v>Morone saxatilis</v>
      </c>
      <c r="H485" t="s">
        <v>555</v>
      </c>
      <c r="I485" t="str">
        <f>HYPERLINK("http://www.ncbi.nlm.nih.gov/protein/XP_035522133.1","androgen receptor-like")</f>
        <v>androgen receptor-like</v>
      </c>
      <c r="J485" t="s">
        <v>1327</v>
      </c>
      <c r="K485" t="s">
        <v>20</v>
      </c>
      <c r="L485">
        <v>555</v>
      </c>
      <c r="M485" t="s">
        <v>25</v>
      </c>
      <c r="N485" t="s">
        <v>20</v>
      </c>
      <c r="O485" t="s">
        <v>1352</v>
      </c>
      <c r="P485" t="s">
        <v>20</v>
      </c>
      <c r="Q485">
        <v>132.119</v>
      </c>
      <c r="R485" t="s">
        <v>20</v>
      </c>
      <c r="S485" t="s">
        <v>20</v>
      </c>
      <c r="T485">
        <v>561</v>
      </c>
      <c r="U485" t="s">
        <v>1313</v>
      </c>
      <c r="V485" t="s">
        <v>20</v>
      </c>
      <c r="W485" t="s">
        <v>1352</v>
      </c>
      <c r="X485" t="s">
        <v>20</v>
      </c>
      <c r="Y485">
        <v>146.14599999999999</v>
      </c>
      <c r="Z485" t="s">
        <v>20</v>
      </c>
      <c r="AA485" t="s">
        <v>20</v>
      </c>
      <c r="AB485">
        <v>602</v>
      </c>
      <c r="AC485" t="s">
        <v>1314</v>
      </c>
      <c r="AD485" t="s">
        <v>20</v>
      </c>
      <c r="AE485" t="s">
        <v>1353</v>
      </c>
      <c r="AF485" t="s">
        <v>20</v>
      </c>
      <c r="AG485">
        <v>174.203</v>
      </c>
      <c r="AH485" t="s">
        <v>20</v>
      </c>
      <c r="AI485" t="s">
        <v>20</v>
      </c>
      <c r="AJ485">
        <v>725</v>
      </c>
      <c r="AK485" t="s">
        <v>1315</v>
      </c>
      <c r="AL485" t="s">
        <v>20</v>
      </c>
      <c r="AM485" t="s">
        <v>1354</v>
      </c>
      <c r="AN485" t="s">
        <v>20</v>
      </c>
      <c r="AO485">
        <v>119.119</v>
      </c>
      <c r="AP485" t="s">
        <v>20</v>
      </c>
      <c r="AQ485" t="s">
        <v>20</v>
      </c>
    </row>
    <row r="486" spans="1:43" x14ac:dyDescent="0.25">
      <c r="A486">
        <v>6</v>
      </c>
      <c r="B486" t="s">
        <v>384</v>
      </c>
      <c r="C486" t="str">
        <f>HYPERLINK("http://www.ncbi.nlm.nih.gov/protein/ACA96518.1","ACA96518.1")</f>
        <v>ACA96518.1</v>
      </c>
      <c r="D486">
        <v>70</v>
      </c>
      <c r="E486" t="str">
        <f>HYPERLINK("http://www.ncbi.nlm.nih.gov/Taxonomy/Browser/wwwtax.cgi?mode=Info&amp;id=75369&amp;lvl=3&amp;lin=f&amp;keep=1&amp;srchmode=1&amp;unlock","75369")</f>
        <v>75369</v>
      </c>
      <c r="F486" t="s">
        <v>384</v>
      </c>
      <c r="G486" t="str">
        <f>HYPERLINK("http://www.ncbi.nlm.nih.gov/Taxonomy/Browser/wwwtax.cgi?mode=Info&amp;id=75369&amp;lvl=3&amp;lin=f&amp;keep=1&amp;srchmode=1&amp;unlock","Spinibarbus denticulatus")</f>
        <v>Spinibarbus denticulatus</v>
      </c>
      <c r="H486" t="s">
        <v>529</v>
      </c>
      <c r="I486" t="str">
        <f>HYPERLINK("http://www.ncbi.nlm.nih.gov/protein/ACA96518.1","androgen receptor protein")</f>
        <v>androgen receptor protein</v>
      </c>
      <c r="J486" t="s">
        <v>1327</v>
      </c>
      <c r="K486" t="s">
        <v>20</v>
      </c>
      <c r="L486">
        <v>652</v>
      </c>
      <c r="M486" t="s">
        <v>25</v>
      </c>
      <c r="N486" t="s">
        <v>20</v>
      </c>
      <c r="O486" t="s">
        <v>1352</v>
      </c>
      <c r="P486" t="s">
        <v>20</v>
      </c>
      <c r="Q486">
        <v>132.119</v>
      </c>
      <c r="R486" t="s">
        <v>20</v>
      </c>
      <c r="S486" t="s">
        <v>20</v>
      </c>
      <c r="T486">
        <v>658</v>
      </c>
      <c r="U486" t="s">
        <v>1313</v>
      </c>
      <c r="V486" t="s">
        <v>20</v>
      </c>
      <c r="W486" t="s">
        <v>1352</v>
      </c>
      <c r="X486" t="s">
        <v>20</v>
      </c>
      <c r="Y486">
        <v>146.14599999999999</v>
      </c>
      <c r="Z486" t="s">
        <v>20</v>
      </c>
      <c r="AA486" t="s">
        <v>20</v>
      </c>
      <c r="AB486">
        <v>699</v>
      </c>
      <c r="AC486" t="s">
        <v>1314</v>
      </c>
      <c r="AD486" t="s">
        <v>20</v>
      </c>
      <c r="AE486" t="s">
        <v>1353</v>
      </c>
      <c r="AF486" t="s">
        <v>20</v>
      </c>
      <c r="AG486">
        <v>174.203</v>
      </c>
      <c r="AH486" t="s">
        <v>20</v>
      </c>
      <c r="AI486" t="s">
        <v>20</v>
      </c>
      <c r="AJ486">
        <v>822</v>
      </c>
      <c r="AK486" t="s">
        <v>1315</v>
      </c>
      <c r="AL486" t="s">
        <v>20</v>
      </c>
      <c r="AM486" t="s">
        <v>1354</v>
      </c>
      <c r="AN486" t="s">
        <v>20</v>
      </c>
      <c r="AO486">
        <v>119.119</v>
      </c>
      <c r="AP486" t="s">
        <v>20</v>
      </c>
      <c r="AQ486" t="s">
        <v>20</v>
      </c>
    </row>
    <row r="487" spans="1:43" x14ac:dyDescent="0.25">
      <c r="A487">
        <v>6</v>
      </c>
      <c r="B487" t="s">
        <v>384</v>
      </c>
      <c r="C487" t="str">
        <f>HYPERLINK("http://www.ncbi.nlm.nih.gov/protein/XP_030648983.1","XP_030648983.1")</f>
        <v>XP_030648983.1</v>
      </c>
      <c r="D487">
        <v>30173</v>
      </c>
      <c r="E487" t="str">
        <f>HYPERLINK("http://www.ncbi.nlm.nih.gov/Taxonomy/Browser/wwwtax.cgi?mode=Info&amp;id=29144&amp;lvl=3&amp;lin=f&amp;keep=1&amp;srchmode=1&amp;unlock","29144")</f>
        <v>29144</v>
      </c>
      <c r="F487" t="s">
        <v>384</v>
      </c>
      <c r="G487" t="str">
        <f>HYPERLINK("http://www.ncbi.nlm.nih.gov/Taxonomy/Browser/wwwtax.cgi?mode=Info&amp;id=29144&amp;lvl=3&amp;lin=f&amp;keep=1&amp;srchmode=1&amp;unlock","Chanos chanos")</f>
        <v>Chanos chanos</v>
      </c>
      <c r="H487" t="s">
        <v>658</v>
      </c>
      <c r="I487" t="str">
        <f>HYPERLINK("http://www.ncbi.nlm.nih.gov/protein/XP_030648983.1","androgen receptor")</f>
        <v>androgen receptor</v>
      </c>
      <c r="J487" t="s">
        <v>1327</v>
      </c>
      <c r="K487" t="s">
        <v>20</v>
      </c>
      <c r="L487">
        <v>654</v>
      </c>
      <c r="M487" t="s">
        <v>25</v>
      </c>
      <c r="N487" t="s">
        <v>20</v>
      </c>
      <c r="O487" t="s">
        <v>1352</v>
      </c>
      <c r="P487" t="s">
        <v>20</v>
      </c>
      <c r="Q487">
        <v>132.119</v>
      </c>
      <c r="R487" t="s">
        <v>20</v>
      </c>
      <c r="S487" t="s">
        <v>20</v>
      </c>
      <c r="T487">
        <v>660</v>
      </c>
      <c r="U487" t="s">
        <v>1313</v>
      </c>
      <c r="V487" t="s">
        <v>20</v>
      </c>
      <c r="W487" t="s">
        <v>1352</v>
      </c>
      <c r="X487" t="s">
        <v>20</v>
      </c>
      <c r="Y487">
        <v>146.14599999999999</v>
      </c>
      <c r="Z487" t="s">
        <v>20</v>
      </c>
      <c r="AA487" t="s">
        <v>20</v>
      </c>
      <c r="AB487">
        <v>701</v>
      </c>
      <c r="AC487" t="s">
        <v>1314</v>
      </c>
      <c r="AD487" t="s">
        <v>20</v>
      </c>
      <c r="AE487" t="s">
        <v>1353</v>
      </c>
      <c r="AF487" t="s">
        <v>20</v>
      </c>
      <c r="AG487">
        <v>174.203</v>
      </c>
      <c r="AH487" t="s">
        <v>20</v>
      </c>
      <c r="AI487" t="s">
        <v>20</v>
      </c>
      <c r="AJ487">
        <v>824</v>
      </c>
      <c r="AK487" t="s">
        <v>1315</v>
      </c>
      <c r="AL487" t="s">
        <v>20</v>
      </c>
      <c r="AM487" t="s">
        <v>1354</v>
      </c>
      <c r="AN487" t="s">
        <v>20</v>
      </c>
      <c r="AO487">
        <v>119.119</v>
      </c>
      <c r="AP487" t="s">
        <v>20</v>
      </c>
      <c r="AQ487" t="s">
        <v>20</v>
      </c>
    </row>
    <row r="488" spans="1:43" x14ac:dyDescent="0.25">
      <c r="A488">
        <v>6</v>
      </c>
      <c r="B488" t="s">
        <v>384</v>
      </c>
      <c r="C488" t="str">
        <f>HYPERLINK("http://www.ncbi.nlm.nih.gov/protein/XP_029925114.1","XP_029925114.1")</f>
        <v>XP_029925114.1</v>
      </c>
      <c r="D488">
        <v>38165</v>
      </c>
      <c r="E488" t="str">
        <f>HYPERLINK("http://www.ncbi.nlm.nih.gov/Taxonomy/Browser/wwwtax.cgi?mode=Info&amp;id=586833&amp;lvl=3&amp;lin=f&amp;keep=1&amp;srchmode=1&amp;unlock","586833")</f>
        <v>586833</v>
      </c>
      <c r="F488" t="s">
        <v>384</v>
      </c>
      <c r="G488" t="str">
        <f>HYPERLINK("http://www.ncbi.nlm.nih.gov/Taxonomy/Browser/wwwtax.cgi?mode=Info&amp;id=586833&amp;lvl=3&amp;lin=f&amp;keep=1&amp;srchmode=1&amp;unlock","Myripristis murdjan")</f>
        <v>Myripristis murdjan</v>
      </c>
      <c r="H488" t="s">
        <v>533</v>
      </c>
      <c r="I488" t="str">
        <f>HYPERLINK("http://www.ncbi.nlm.nih.gov/protein/XP_029925114.1","androgen receptor-like")</f>
        <v>androgen receptor-like</v>
      </c>
      <c r="J488" t="s">
        <v>1327</v>
      </c>
      <c r="K488" t="s">
        <v>20</v>
      </c>
      <c r="L488">
        <v>564</v>
      </c>
      <c r="M488" t="s">
        <v>25</v>
      </c>
      <c r="N488" t="s">
        <v>20</v>
      </c>
      <c r="O488" t="s">
        <v>1352</v>
      </c>
      <c r="P488" t="s">
        <v>20</v>
      </c>
      <c r="Q488">
        <v>132.119</v>
      </c>
      <c r="R488" t="s">
        <v>20</v>
      </c>
      <c r="S488" t="s">
        <v>20</v>
      </c>
      <c r="T488">
        <v>570</v>
      </c>
      <c r="U488" t="s">
        <v>1313</v>
      </c>
      <c r="V488" t="s">
        <v>20</v>
      </c>
      <c r="W488" t="s">
        <v>1352</v>
      </c>
      <c r="X488" t="s">
        <v>20</v>
      </c>
      <c r="Y488">
        <v>146.14599999999999</v>
      </c>
      <c r="Z488" t="s">
        <v>20</v>
      </c>
      <c r="AA488" t="s">
        <v>20</v>
      </c>
      <c r="AB488">
        <v>611</v>
      </c>
      <c r="AC488" t="s">
        <v>1314</v>
      </c>
      <c r="AD488" t="s">
        <v>20</v>
      </c>
      <c r="AE488" t="s">
        <v>1353</v>
      </c>
      <c r="AF488" t="s">
        <v>20</v>
      </c>
      <c r="AG488">
        <v>174.203</v>
      </c>
      <c r="AH488" t="s">
        <v>20</v>
      </c>
      <c r="AI488" t="s">
        <v>20</v>
      </c>
      <c r="AJ488">
        <v>734</v>
      </c>
      <c r="AK488" t="s">
        <v>1315</v>
      </c>
      <c r="AL488" t="s">
        <v>20</v>
      </c>
      <c r="AM488" t="s">
        <v>1354</v>
      </c>
      <c r="AN488" t="s">
        <v>20</v>
      </c>
      <c r="AO488">
        <v>119.119</v>
      </c>
      <c r="AP488" t="s">
        <v>20</v>
      </c>
      <c r="AQ488" t="s">
        <v>20</v>
      </c>
    </row>
    <row r="489" spans="1:43" x14ac:dyDescent="0.25">
      <c r="A489">
        <v>6</v>
      </c>
      <c r="B489" t="s">
        <v>384</v>
      </c>
      <c r="C489" t="str">
        <f>HYPERLINK("http://www.ncbi.nlm.nih.gov/protein/AFU35774.1","AFU35774.1")</f>
        <v>AFU35774.1</v>
      </c>
      <c r="D489">
        <v>57</v>
      </c>
      <c r="E489" t="str">
        <f>HYPERLINK("http://www.ncbi.nlm.nih.gov/Taxonomy/Browser/wwwtax.cgi?mode=Info&amp;id=564874&amp;lvl=3&amp;lin=f&amp;keep=1&amp;srchmode=1&amp;unlock","564874")</f>
        <v>564874</v>
      </c>
      <c r="F489" t="s">
        <v>384</v>
      </c>
      <c r="G489" t="str">
        <f>HYPERLINK("http://www.ncbi.nlm.nih.gov/Taxonomy/Browser/wwwtax.cgi?mode=Info&amp;id=564874&amp;lvl=3&amp;lin=f&amp;keep=1&amp;srchmode=1&amp;unlock","Carassius auratus ssp. 'Pengze'")</f>
        <v>Carassius auratus ssp. 'Pengze'</v>
      </c>
      <c r="H489" t="s">
        <v>1001</v>
      </c>
      <c r="I489" t="str">
        <f>HYPERLINK("http://www.ncbi.nlm.nih.gov/protein/AFU35774.1","androgen receptor")</f>
        <v>androgen receptor</v>
      </c>
      <c r="J489" t="s">
        <v>1327</v>
      </c>
      <c r="K489" t="s">
        <v>20</v>
      </c>
      <c r="L489">
        <v>623</v>
      </c>
      <c r="M489" t="s">
        <v>25</v>
      </c>
      <c r="N489" t="s">
        <v>20</v>
      </c>
      <c r="O489" t="s">
        <v>1352</v>
      </c>
      <c r="P489" t="s">
        <v>20</v>
      </c>
      <c r="Q489">
        <v>132.119</v>
      </c>
      <c r="R489" t="s">
        <v>20</v>
      </c>
      <c r="S489" t="s">
        <v>20</v>
      </c>
      <c r="T489">
        <v>629</v>
      </c>
      <c r="U489" t="s">
        <v>1313</v>
      </c>
      <c r="V489" t="s">
        <v>20</v>
      </c>
      <c r="W489" t="s">
        <v>1352</v>
      </c>
      <c r="X489" t="s">
        <v>20</v>
      </c>
      <c r="Y489">
        <v>146.14599999999999</v>
      </c>
      <c r="Z489" t="s">
        <v>20</v>
      </c>
      <c r="AA489" t="s">
        <v>20</v>
      </c>
      <c r="AB489">
        <v>670</v>
      </c>
      <c r="AC489" t="s">
        <v>1314</v>
      </c>
      <c r="AD489" t="s">
        <v>20</v>
      </c>
      <c r="AE489" t="s">
        <v>1353</v>
      </c>
      <c r="AF489" t="s">
        <v>20</v>
      </c>
      <c r="AG489">
        <v>174.203</v>
      </c>
      <c r="AH489" t="s">
        <v>20</v>
      </c>
      <c r="AI489" t="s">
        <v>20</v>
      </c>
      <c r="AJ489">
        <v>793</v>
      </c>
      <c r="AK489" t="s">
        <v>1315</v>
      </c>
      <c r="AL489" t="s">
        <v>20</v>
      </c>
      <c r="AM489" t="s">
        <v>1354</v>
      </c>
      <c r="AN489" t="s">
        <v>20</v>
      </c>
      <c r="AO489">
        <v>119.119</v>
      </c>
      <c r="AP489" t="s">
        <v>20</v>
      </c>
      <c r="AQ489" t="s">
        <v>20</v>
      </c>
    </row>
    <row r="490" spans="1:43" x14ac:dyDescent="0.25">
      <c r="A490">
        <v>6</v>
      </c>
      <c r="B490" t="s">
        <v>384</v>
      </c>
      <c r="C490" t="str">
        <f>HYPERLINK("http://www.ncbi.nlm.nih.gov/protein/XP_016430523.1","XP_016430523.1")</f>
        <v>XP_016430523.1</v>
      </c>
      <c r="D490">
        <v>68583</v>
      </c>
      <c r="E490" t="str">
        <f>HYPERLINK("http://www.ncbi.nlm.nih.gov/Taxonomy/Browser/wwwtax.cgi?mode=Info&amp;id=307959&amp;lvl=3&amp;lin=f&amp;keep=1&amp;srchmode=1&amp;unlock","307959")</f>
        <v>307959</v>
      </c>
      <c r="F490" t="s">
        <v>384</v>
      </c>
      <c r="G490" t="str">
        <f>HYPERLINK("http://www.ncbi.nlm.nih.gov/Taxonomy/Browser/wwwtax.cgi?mode=Info&amp;id=307959&amp;lvl=3&amp;lin=f&amp;keep=1&amp;srchmode=1&amp;unlock","Sinocyclocheilus rhinocerous")</f>
        <v>Sinocyclocheilus rhinocerous</v>
      </c>
      <c r="H490" t="s">
        <v>529</v>
      </c>
      <c r="I490" t="str">
        <f>HYPERLINK("http://www.ncbi.nlm.nih.gov/protein/XP_016430523.1","PREDICTED: androgen receptor-like")</f>
        <v>PREDICTED: androgen receptor-like</v>
      </c>
      <c r="J490" t="s">
        <v>1327</v>
      </c>
      <c r="K490" t="s">
        <v>20</v>
      </c>
      <c r="L490">
        <v>649</v>
      </c>
      <c r="M490" t="s">
        <v>25</v>
      </c>
      <c r="N490" t="s">
        <v>20</v>
      </c>
      <c r="O490" t="s">
        <v>1352</v>
      </c>
      <c r="P490" t="s">
        <v>20</v>
      </c>
      <c r="Q490">
        <v>132.119</v>
      </c>
      <c r="R490" t="s">
        <v>20</v>
      </c>
      <c r="S490" t="s">
        <v>20</v>
      </c>
      <c r="T490">
        <v>655</v>
      </c>
      <c r="U490" t="s">
        <v>1313</v>
      </c>
      <c r="V490" t="s">
        <v>20</v>
      </c>
      <c r="W490" t="s">
        <v>1352</v>
      </c>
      <c r="X490" t="s">
        <v>20</v>
      </c>
      <c r="Y490">
        <v>146.14599999999999</v>
      </c>
      <c r="Z490" t="s">
        <v>20</v>
      </c>
      <c r="AA490" t="s">
        <v>20</v>
      </c>
      <c r="AB490">
        <v>696</v>
      </c>
      <c r="AC490" t="s">
        <v>1314</v>
      </c>
      <c r="AD490" t="s">
        <v>20</v>
      </c>
      <c r="AE490" t="s">
        <v>1353</v>
      </c>
      <c r="AF490" t="s">
        <v>20</v>
      </c>
      <c r="AG490">
        <v>174.203</v>
      </c>
      <c r="AH490" t="s">
        <v>20</v>
      </c>
      <c r="AI490" t="s">
        <v>20</v>
      </c>
      <c r="AJ490">
        <v>819</v>
      </c>
      <c r="AK490" t="s">
        <v>1315</v>
      </c>
      <c r="AL490" t="s">
        <v>20</v>
      </c>
      <c r="AM490" t="s">
        <v>1354</v>
      </c>
      <c r="AN490" t="s">
        <v>20</v>
      </c>
      <c r="AO490">
        <v>119.119</v>
      </c>
      <c r="AP490" t="s">
        <v>20</v>
      </c>
      <c r="AQ490" t="s">
        <v>20</v>
      </c>
    </row>
    <row r="491" spans="1:43" x14ac:dyDescent="0.25">
      <c r="A491">
        <v>6</v>
      </c>
      <c r="B491" t="s">
        <v>384</v>
      </c>
      <c r="C491" t="str">
        <f>HYPERLINK("http://www.ncbi.nlm.nih.gov/protein/XP_022067774.1","XP_022067774.1")</f>
        <v>XP_022067774.1</v>
      </c>
      <c r="D491">
        <v>36648</v>
      </c>
      <c r="E491" t="str">
        <f>HYPERLINK("http://www.ncbi.nlm.nih.gov/Taxonomy/Browser/wwwtax.cgi?mode=Info&amp;id=80966&amp;lvl=3&amp;lin=f&amp;keep=1&amp;srchmode=1&amp;unlock","80966")</f>
        <v>80966</v>
      </c>
      <c r="F491" t="s">
        <v>384</v>
      </c>
      <c r="G491" t="str">
        <f>HYPERLINK("http://www.ncbi.nlm.nih.gov/Taxonomy/Browser/wwwtax.cgi?mode=Info&amp;id=80966&amp;lvl=3&amp;lin=f&amp;keep=1&amp;srchmode=1&amp;unlock","Acanthochromis polyacanthus")</f>
        <v>Acanthochromis polyacanthus</v>
      </c>
      <c r="H491" t="s">
        <v>1002</v>
      </c>
      <c r="I491" t="str">
        <f>HYPERLINK("http://www.ncbi.nlm.nih.gov/protein/XP_022067774.1","androgen receptor")</f>
        <v>androgen receptor</v>
      </c>
      <c r="J491" t="s">
        <v>1327</v>
      </c>
      <c r="K491" t="s">
        <v>20</v>
      </c>
      <c r="L491">
        <v>514</v>
      </c>
      <c r="M491" t="s">
        <v>25</v>
      </c>
      <c r="N491" t="s">
        <v>20</v>
      </c>
      <c r="O491" t="s">
        <v>1352</v>
      </c>
      <c r="P491" t="s">
        <v>20</v>
      </c>
      <c r="Q491">
        <v>132.119</v>
      </c>
      <c r="R491" t="s">
        <v>20</v>
      </c>
      <c r="S491" t="s">
        <v>20</v>
      </c>
      <c r="T491">
        <v>520</v>
      </c>
      <c r="U491" t="s">
        <v>1313</v>
      </c>
      <c r="V491" t="s">
        <v>20</v>
      </c>
      <c r="W491" t="s">
        <v>1352</v>
      </c>
      <c r="X491" t="s">
        <v>20</v>
      </c>
      <c r="Y491">
        <v>146.14599999999999</v>
      </c>
      <c r="Z491" t="s">
        <v>20</v>
      </c>
      <c r="AA491" t="s">
        <v>20</v>
      </c>
      <c r="AB491">
        <v>561</v>
      </c>
      <c r="AC491" t="s">
        <v>1314</v>
      </c>
      <c r="AD491" t="s">
        <v>20</v>
      </c>
      <c r="AE491" t="s">
        <v>1353</v>
      </c>
      <c r="AF491" t="s">
        <v>20</v>
      </c>
      <c r="AG491">
        <v>174.203</v>
      </c>
      <c r="AH491" t="s">
        <v>20</v>
      </c>
      <c r="AI491" t="s">
        <v>20</v>
      </c>
      <c r="AJ491">
        <v>684</v>
      </c>
      <c r="AK491" t="s">
        <v>1315</v>
      </c>
      <c r="AL491" t="s">
        <v>20</v>
      </c>
      <c r="AM491" t="s">
        <v>1354</v>
      </c>
      <c r="AN491" t="s">
        <v>20</v>
      </c>
      <c r="AO491">
        <v>119.119</v>
      </c>
      <c r="AP491" t="s">
        <v>20</v>
      </c>
      <c r="AQ491" t="s">
        <v>20</v>
      </c>
    </row>
    <row r="492" spans="1:43" x14ac:dyDescent="0.25">
      <c r="A492">
        <v>6</v>
      </c>
      <c r="B492" t="s">
        <v>384</v>
      </c>
      <c r="C492" t="str">
        <f>HYPERLINK("http://www.ncbi.nlm.nih.gov/protein/ANA50341.1","ANA50341.1")</f>
        <v>ANA50341.1</v>
      </c>
      <c r="D492">
        <v>5</v>
      </c>
      <c r="E492" t="str">
        <f>HYPERLINK("http://www.ncbi.nlm.nih.gov/Taxonomy/Browser/wwwtax.cgi?mode=Info&amp;id=749193&amp;lvl=3&amp;lin=f&amp;keep=1&amp;srchmode=1&amp;unlock","749193")</f>
        <v>749193</v>
      </c>
      <c r="F492" t="s">
        <v>384</v>
      </c>
      <c r="G492" t="str">
        <f>HYPERLINK("http://www.ncbi.nlm.nih.gov/Taxonomy/Browser/wwwtax.cgi?mode=Info&amp;id=749193&amp;lvl=3&amp;lin=f&amp;keep=1&amp;srchmode=1&amp;unlock","Cyprinus carpio 'singuonensis'")</f>
        <v>Cyprinus carpio 'singuonensis'</v>
      </c>
      <c r="H492" t="s">
        <v>625</v>
      </c>
      <c r="I492" t="str">
        <f>HYPERLINK("http://www.ncbi.nlm.nih.gov/protein/ANA50341.1","androgen receptor")</f>
        <v>androgen receptor</v>
      </c>
      <c r="J492" t="s">
        <v>1327</v>
      </c>
      <c r="K492" t="s">
        <v>20</v>
      </c>
      <c r="L492">
        <v>666</v>
      </c>
      <c r="M492" t="s">
        <v>25</v>
      </c>
      <c r="N492" t="s">
        <v>20</v>
      </c>
      <c r="O492" t="s">
        <v>1352</v>
      </c>
      <c r="P492" t="s">
        <v>20</v>
      </c>
      <c r="Q492">
        <v>132.119</v>
      </c>
      <c r="R492" t="s">
        <v>20</v>
      </c>
      <c r="S492" t="s">
        <v>20</v>
      </c>
      <c r="T492">
        <v>672</v>
      </c>
      <c r="U492" t="s">
        <v>1313</v>
      </c>
      <c r="V492" t="s">
        <v>20</v>
      </c>
      <c r="W492" t="s">
        <v>1352</v>
      </c>
      <c r="X492" t="s">
        <v>20</v>
      </c>
      <c r="Y492">
        <v>146.14599999999999</v>
      </c>
      <c r="Z492" t="s">
        <v>20</v>
      </c>
      <c r="AA492" t="s">
        <v>20</v>
      </c>
      <c r="AB492">
        <v>713</v>
      </c>
      <c r="AC492" t="s">
        <v>1314</v>
      </c>
      <c r="AD492" t="s">
        <v>20</v>
      </c>
      <c r="AE492" t="s">
        <v>1353</v>
      </c>
      <c r="AF492" t="s">
        <v>20</v>
      </c>
      <c r="AG492">
        <v>174.203</v>
      </c>
      <c r="AH492" t="s">
        <v>20</v>
      </c>
      <c r="AI492" t="s">
        <v>20</v>
      </c>
      <c r="AJ492">
        <v>836</v>
      </c>
      <c r="AK492" t="s">
        <v>1315</v>
      </c>
      <c r="AL492" t="s">
        <v>20</v>
      </c>
      <c r="AM492" t="s">
        <v>1354</v>
      </c>
      <c r="AN492" t="s">
        <v>20</v>
      </c>
      <c r="AO492">
        <v>119.119</v>
      </c>
      <c r="AP492" t="s">
        <v>20</v>
      </c>
      <c r="AQ492" t="s">
        <v>20</v>
      </c>
    </row>
    <row r="493" spans="1:43" x14ac:dyDescent="0.25">
      <c r="A493">
        <v>6</v>
      </c>
      <c r="B493" t="s">
        <v>384</v>
      </c>
      <c r="C493" t="str">
        <f>HYPERLINK("http://www.ncbi.nlm.nih.gov/protein/AGN52747.1","AGN52747.1")</f>
        <v>AGN52747.1</v>
      </c>
      <c r="D493">
        <v>250</v>
      </c>
      <c r="E493" t="str">
        <f>HYPERLINK("http://www.ncbi.nlm.nih.gov/Taxonomy/Browser/wwwtax.cgi?mode=Info&amp;id=111304&amp;lvl=3&amp;lin=f&amp;keep=1&amp;srchmode=1&amp;unlock","111304")</f>
        <v>111304</v>
      </c>
      <c r="F493" t="s">
        <v>384</v>
      </c>
      <c r="G493" t="str">
        <f>HYPERLINK("http://www.ncbi.nlm.nih.gov/Taxonomy/Browser/wwwtax.cgi?mode=Info&amp;id=111304&amp;lvl=3&amp;lin=f&amp;keep=1&amp;srchmode=1&amp;unlock","Acipenser schrenckii")</f>
        <v>Acipenser schrenckii</v>
      </c>
      <c r="H493" t="s">
        <v>1004</v>
      </c>
      <c r="I493" t="str">
        <f>HYPERLINK("http://www.ncbi.nlm.nih.gov/protein/AGN52747.1","androgen receptor")</f>
        <v>androgen receptor</v>
      </c>
      <c r="J493" t="s">
        <v>1327</v>
      </c>
      <c r="K493" t="s">
        <v>20</v>
      </c>
      <c r="L493">
        <v>628</v>
      </c>
      <c r="M493" t="s">
        <v>25</v>
      </c>
      <c r="N493" t="s">
        <v>20</v>
      </c>
      <c r="O493" t="s">
        <v>1352</v>
      </c>
      <c r="P493" t="s">
        <v>20</v>
      </c>
      <c r="Q493">
        <v>132.119</v>
      </c>
      <c r="R493" t="s">
        <v>20</v>
      </c>
      <c r="S493" t="s">
        <v>20</v>
      </c>
      <c r="T493">
        <v>634</v>
      </c>
      <c r="U493" t="s">
        <v>1313</v>
      </c>
      <c r="V493" t="s">
        <v>20</v>
      </c>
      <c r="W493" t="s">
        <v>1352</v>
      </c>
      <c r="X493" t="s">
        <v>20</v>
      </c>
      <c r="Y493">
        <v>146.14599999999999</v>
      </c>
      <c r="Z493" t="s">
        <v>20</v>
      </c>
      <c r="AA493" t="s">
        <v>20</v>
      </c>
      <c r="AB493">
        <v>675</v>
      </c>
      <c r="AC493" t="s">
        <v>1314</v>
      </c>
      <c r="AD493" t="s">
        <v>20</v>
      </c>
      <c r="AE493" t="s">
        <v>1353</v>
      </c>
      <c r="AF493" t="s">
        <v>20</v>
      </c>
      <c r="AG493">
        <v>174.203</v>
      </c>
      <c r="AH493" t="s">
        <v>20</v>
      </c>
      <c r="AI493" t="s">
        <v>20</v>
      </c>
      <c r="AJ493">
        <v>798</v>
      </c>
      <c r="AK493" t="s">
        <v>1315</v>
      </c>
      <c r="AL493" t="s">
        <v>20</v>
      </c>
      <c r="AM493" t="s">
        <v>1354</v>
      </c>
      <c r="AN493" t="s">
        <v>20</v>
      </c>
      <c r="AO493">
        <v>119.119</v>
      </c>
      <c r="AP493" t="s">
        <v>20</v>
      </c>
      <c r="AQ493" t="s">
        <v>20</v>
      </c>
    </row>
    <row r="494" spans="1:43" x14ac:dyDescent="0.25">
      <c r="A494">
        <v>6</v>
      </c>
      <c r="B494" t="s">
        <v>384</v>
      </c>
      <c r="C494" t="str">
        <f>HYPERLINK("http://www.ncbi.nlm.nih.gov/protein/XP_028276724.1","XP_028276724.1")</f>
        <v>XP_028276724.1</v>
      </c>
      <c r="D494">
        <v>41035</v>
      </c>
      <c r="E494" t="str">
        <f>HYPERLINK("http://www.ncbi.nlm.nih.gov/Taxonomy/Browser/wwwtax.cgi?mode=Info&amp;id=210632&amp;lvl=3&amp;lin=f&amp;keep=1&amp;srchmode=1&amp;unlock","210632")</f>
        <v>210632</v>
      </c>
      <c r="F494" t="s">
        <v>384</v>
      </c>
      <c r="G494" t="str">
        <f>HYPERLINK("http://www.ncbi.nlm.nih.gov/Taxonomy/Browser/wwwtax.cgi?mode=Info&amp;id=210632&amp;lvl=3&amp;lin=f&amp;keep=1&amp;srchmode=1&amp;unlock","Parambassis ranga")</f>
        <v>Parambassis ranga</v>
      </c>
      <c r="H494" t="s">
        <v>549</v>
      </c>
      <c r="I494" t="str">
        <f>HYPERLINK("http://www.ncbi.nlm.nih.gov/protein/XP_028276724.1","androgen receptor")</f>
        <v>androgen receptor</v>
      </c>
      <c r="J494" t="s">
        <v>1327</v>
      </c>
      <c r="K494" t="s">
        <v>20</v>
      </c>
      <c r="L494">
        <v>544</v>
      </c>
      <c r="M494" t="s">
        <v>25</v>
      </c>
      <c r="N494" t="s">
        <v>20</v>
      </c>
      <c r="O494" t="s">
        <v>1352</v>
      </c>
      <c r="P494" t="s">
        <v>20</v>
      </c>
      <c r="Q494">
        <v>132.119</v>
      </c>
      <c r="R494" t="s">
        <v>20</v>
      </c>
      <c r="S494" t="s">
        <v>20</v>
      </c>
      <c r="T494">
        <v>550</v>
      </c>
      <c r="U494" t="s">
        <v>1313</v>
      </c>
      <c r="V494" t="s">
        <v>20</v>
      </c>
      <c r="W494" t="s">
        <v>1352</v>
      </c>
      <c r="X494" t="s">
        <v>20</v>
      </c>
      <c r="Y494">
        <v>146.14599999999999</v>
      </c>
      <c r="Z494" t="s">
        <v>20</v>
      </c>
      <c r="AA494" t="s">
        <v>20</v>
      </c>
      <c r="AB494">
        <v>591</v>
      </c>
      <c r="AC494" t="s">
        <v>1314</v>
      </c>
      <c r="AD494" t="s">
        <v>20</v>
      </c>
      <c r="AE494" t="s">
        <v>1353</v>
      </c>
      <c r="AF494" t="s">
        <v>20</v>
      </c>
      <c r="AG494">
        <v>174.203</v>
      </c>
      <c r="AH494" t="s">
        <v>20</v>
      </c>
      <c r="AI494" t="s">
        <v>20</v>
      </c>
      <c r="AJ494">
        <v>714</v>
      </c>
      <c r="AK494" t="s">
        <v>1315</v>
      </c>
      <c r="AL494" t="s">
        <v>20</v>
      </c>
      <c r="AM494" t="s">
        <v>1354</v>
      </c>
      <c r="AN494" t="s">
        <v>20</v>
      </c>
      <c r="AO494">
        <v>119.119</v>
      </c>
      <c r="AP494" t="s">
        <v>20</v>
      </c>
      <c r="AQ494" t="s">
        <v>20</v>
      </c>
    </row>
    <row r="495" spans="1:43" x14ac:dyDescent="0.25">
      <c r="A495">
        <v>6</v>
      </c>
      <c r="B495" t="s">
        <v>384</v>
      </c>
      <c r="C495" t="str">
        <f>HYPERLINK("http://www.ncbi.nlm.nih.gov/protein/AAU09477.1","AAU09477.1")</f>
        <v>AAU09477.1</v>
      </c>
      <c r="D495">
        <v>92</v>
      </c>
      <c r="E495" t="str">
        <f>HYPERLINK("http://www.ncbi.nlm.nih.gov/Taxonomy/Browser/wwwtax.cgi?mode=Info&amp;id=29154&amp;lvl=3&amp;lin=f&amp;keep=1&amp;srchmode=1&amp;unlock","29154")</f>
        <v>29154</v>
      </c>
      <c r="F495" t="s">
        <v>384</v>
      </c>
      <c r="G495" t="str">
        <f>HYPERLINK("http://www.ncbi.nlm.nih.gov/Taxonomy/Browser/wwwtax.cgi?mode=Info&amp;id=29154&amp;lvl=3&amp;lin=f&amp;keep=1&amp;srchmode=1&amp;unlock","Micropogonias undulatus")</f>
        <v>Micropogonias undulatus</v>
      </c>
      <c r="H495" t="s">
        <v>1005</v>
      </c>
      <c r="I495" t="str">
        <f>HYPERLINK("http://www.ncbi.nlm.nih.gov/protein/AAU09477.1","nuclear androgen receptor")</f>
        <v>nuclear androgen receptor</v>
      </c>
      <c r="J495" t="s">
        <v>1327</v>
      </c>
      <c r="K495" t="s">
        <v>20</v>
      </c>
      <c r="L495">
        <v>544</v>
      </c>
      <c r="M495" t="s">
        <v>25</v>
      </c>
      <c r="N495" t="s">
        <v>20</v>
      </c>
      <c r="O495" t="s">
        <v>1352</v>
      </c>
      <c r="P495" t="s">
        <v>20</v>
      </c>
      <c r="Q495">
        <v>132.119</v>
      </c>
      <c r="R495" t="s">
        <v>20</v>
      </c>
      <c r="S495" t="s">
        <v>20</v>
      </c>
      <c r="T495">
        <v>550</v>
      </c>
      <c r="U495" t="s">
        <v>1313</v>
      </c>
      <c r="V495" t="s">
        <v>20</v>
      </c>
      <c r="W495" t="s">
        <v>1352</v>
      </c>
      <c r="X495" t="s">
        <v>20</v>
      </c>
      <c r="Y495">
        <v>146.14599999999999</v>
      </c>
      <c r="Z495" t="s">
        <v>20</v>
      </c>
      <c r="AA495" t="s">
        <v>20</v>
      </c>
      <c r="AB495">
        <v>591</v>
      </c>
      <c r="AC495" t="s">
        <v>1314</v>
      </c>
      <c r="AD495" t="s">
        <v>20</v>
      </c>
      <c r="AE495" t="s">
        <v>1353</v>
      </c>
      <c r="AF495" t="s">
        <v>20</v>
      </c>
      <c r="AG495">
        <v>174.203</v>
      </c>
      <c r="AH495" t="s">
        <v>20</v>
      </c>
      <c r="AI495" t="s">
        <v>20</v>
      </c>
      <c r="AJ495">
        <v>714</v>
      </c>
      <c r="AK495" t="s">
        <v>1315</v>
      </c>
      <c r="AL495" t="s">
        <v>20</v>
      </c>
      <c r="AM495" t="s">
        <v>1354</v>
      </c>
      <c r="AN495" t="s">
        <v>20</v>
      </c>
      <c r="AO495">
        <v>119.119</v>
      </c>
      <c r="AP495" t="s">
        <v>20</v>
      </c>
      <c r="AQ495" t="s">
        <v>20</v>
      </c>
    </row>
    <row r="496" spans="1:43" x14ac:dyDescent="0.25">
      <c r="A496">
        <v>6</v>
      </c>
      <c r="B496" t="s">
        <v>384</v>
      </c>
      <c r="C496" t="str">
        <f>HYPERLINK("http://www.ncbi.nlm.nih.gov/protein/XP_030009492.1","XP_030009492.1")</f>
        <v>XP_030009492.1</v>
      </c>
      <c r="D496">
        <v>42352</v>
      </c>
      <c r="E496" t="str">
        <f>HYPERLINK("http://www.ncbi.nlm.nih.gov/Taxonomy/Browser/wwwtax.cgi?mode=Info&amp;id=375764&amp;lvl=3&amp;lin=f&amp;keep=1&amp;srchmode=1&amp;unlock","375764")</f>
        <v>375764</v>
      </c>
      <c r="F496" t="s">
        <v>384</v>
      </c>
      <c r="G496" t="str">
        <f>HYPERLINK("http://www.ncbi.nlm.nih.gov/Taxonomy/Browser/wwwtax.cgi?mode=Info&amp;id=375764&amp;lvl=3&amp;lin=f&amp;keep=1&amp;srchmode=1&amp;unlock","Sphaeramia orbicularis")</f>
        <v>Sphaeramia orbicularis</v>
      </c>
      <c r="H496" t="s">
        <v>561</v>
      </c>
      <c r="I496" t="str">
        <f>HYPERLINK("http://www.ncbi.nlm.nih.gov/protein/XP_030009492.1","androgen receptor-like")</f>
        <v>androgen receptor-like</v>
      </c>
      <c r="J496" t="s">
        <v>1327</v>
      </c>
      <c r="K496" t="s">
        <v>20</v>
      </c>
      <c r="L496">
        <v>516</v>
      </c>
      <c r="M496" t="s">
        <v>25</v>
      </c>
      <c r="N496" t="s">
        <v>20</v>
      </c>
      <c r="O496" t="s">
        <v>1352</v>
      </c>
      <c r="P496" t="s">
        <v>20</v>
      </c>
      <c r="Q496">
        <v>132.119</v>
      </c>
      <c r="R496" t="s">
        <v>20</v>
      </c>
      <c r="S496" t="s">
        <v>20</v>
      </c>
      <c r="T496">
        <v>522</v>
      </c>
      <c r="U496" t="s">
        <v>1313</v>
      </c>
      <c r="V496" t="s">
        <v>20</v>
      </c>
      <c r="W496" t="s">
        <v>1352</v>
      </c>
      <c r="X496" t="s">
        <v>20</v>
      </c>
      <c r="Y496">
        <v>146.14599999999999</v>
      </c>
      <c r="Z496" t="s">
        <v>20</v>
      </c>
      <c r="AA496" t="s">
        <v>20</v>
      </c>
      <c r="AB496">
        <v>563</v>
      </c>
      <c r="AC496" t="s">
        <v>1314</v>
      </c>
      <c r="AD496" t="s">
        <v>20</v>
      </c>
      <c r="AE496" t="s">
        <v>1353</v>
      </c>
      <c r="AF496" t="s">
        <v>20</v>
      </c>
      <c r="AG496">
        <v>174.203</v>
      </c>
      <c r="AH496" t="s">
        <v>20</v>
      </c>
      <c r="AI496" t="s">
        <v>20</v>
      </c>
      <c r="AJ496">
        <v>687</v>
      </c>
      <c r="AK496" t="s">
        <v>1315</v>
      </c>
      <c r="AL496" t="s">
        <v>20</v>
      </c>
      <c r="AM496" t="s">
        <v>1354</v>
      </c>
      <c r="AN496" t="s">
        <v>20</v>
      </c>
      <c r="AO496">
        <v>119.119</v>
      </c>
      <c r="AP496" t="s">
        <v>20</v>
      </c>
      <c r="AQ496" t="s">
        <v>20</v>
      </c>
    </row>
    <row r="497" spans="1:43" x14ac:dyDescent="0.25">
      <c r="A497">
        <v>6</v>
      </c>
      <c r="B497" t="s">
        <v>384</v>
      </c>
      <c r="C497" t="str">
        <f>HYPERLINK("http://www.ncbi.nlm.nih.gov/protein/XP_034461725.1","XP_034461725.1")</f>
        <v>XP_034461725.1</v>
      </c>
      <c r="D497">
        <v>47299</v>
      </c>
      <c r="E497" t="str">
        <f>HYPERLINK("http://www.ncbi.nlm.nih.gov/Taxonomy/Browser/wwwtax.cgi?mode=Info&amp;id=8267&amp;lvl=3&amp;lin=f&amp;keep=1&amp;srchmode=1&amp;unlock","8267")</f>
        <v>8267</v>
      </c>
      <c r="F497" t="s">
        <v>384</v>
      </c>
      <c r="G497" t="str">
        <f>HYPERLINK("http://www.ncbi.nlm.nih.gov/Taxonomy/Browser/wwwtax.cgi?mode=Info&amp;id=8267&amp;lvl=3&amp;lin=f&amp;keep=1&amp;srchmode=1&amp;unlock","Hippoglossus hippoglossus")</f>
        <v>Hippoglossus hippoglossus</v>
      </c>
      <c r="H497" t="s">
        <v>538</v>
      </c>
      <c r="I497" t="str">
        <f>HYPERLINK("http://www.ncbi.nlm.nih.gov/protein/XP_034461725.1","androgen receptor-like isoform X6")</f>
        <v>androgen receptor-like isoform X6</v>
      </c>
      <c r="J497" t="s">
        <v>1327</v>
      </c>
      <c r="K497" t="s">
        <v>20</v>
      </c>
      <c r="L497">
        <v>538</v>
      </c>
      <c r="M497" t="s">
        <v>25</v>
      </c>
      <c r="N497" t="s">
        <v>20</v>
      </c>
      <c r="O497" t="s">
        <v>1352</v>
      </c>
      <c r="P497" t="s">
        <v>20</v>
      </c>
      <c r="Q497">
        <v>132.119</v>
      </c>
      <c r="R497" t="s">
        <v>20</v>
      </c>
      <c r="S497" t="s">
        <v>20</v>
      </c>
      <c r="T497">
        <v>544</v>
      </c>
      <c r="U497" t="s">
        <v>1313</v>
      </c>
      <c r="V497" t="s">
        <v>20</v>
      </c>
      <c r="W497" t="s">
        <v>1352</v>
      </c>
      <c r="X497" t="s">
        <v>20</v>
      </c>
      <c r="Y497">
        <v>146.14599999999999</v>
      </c>
      <c r="Z497" t="s">
        <v>20</v>
      </c>
      <c r="AA497" t="s">
        <v>20</v>
      </c>
      <c r="AB497">
        <v>585</v>
      </c>
      <c r="AC497" t="s">
        <v>1314</v>
      </c>
      <c r="AD497" t="s">
        <v>20</v>
      </c>
      <c r="AE497" t="s">
        <v>1353</v>
      </c>
      <c r="AF497" t="s">
        <v>20</v>
      </c>
      <c r="AG497">
        <v>174.203</v>
      </c>
      <c r="AH497" t="s">
        <v>20</v>
      </c>
      <c r="AI497" t="s">
        <v>20</v>
      </c>
      <c r="AJ497">
        <v>708</v>
      </c>
      <c r="AK497" t="s">
        <v>1315</v>
      </c>
      <c r="AL497" t="s">
        <v>20</v>
      </c>
      <c r="AM497" t="s">
        <v>1354</v>
      </c>
      <c r="AN497" t="s">
        <v>20</v>
      </c>
      <c r="AO497">
        <v>119.119</v>
      </c>
      <c r="AP497" t="s">
        <v>20</v>
      </c>
      <c r="AQ497" t="s">
        <v>20</v>
      </c>
    </row>
    <row r="498" spans="1:43" x14ac:dyDescent="0.25">
      <c r="A498">
        <v>6</v>
      </c>
      <c r="B498" t="s">
        <v>384</v>
      </c>
      <c r="C498" t="str">
        <f>HYPERLINK("http://www.ncbi.nlm.nih.gov/protein/XP_039505961.1","XP_039505961.1")</f>
        <v>XP_039505961.1</v>
      </c>
      <c r="D498">
        <v>96106</v>
      </c>
      <c r="E498" t="str">
        <f>HYPERLINK("http://www.ncbi.nlm.nih.gov/Taxonomy/Browser/wwwtax.cgi?mode=Info&amp;id=90988&amp;lvl=3&amp;lin=f&amp;keep=1&amp;srchmode=1&amp;unlock","90988")</f>
        <v>90988</v>
      </c>
      <c r="F498" t="s">
        <v>384</v>
      </c>
      <c r="G498" t="str">
        <f>HYPERLINK("http://www.ncbi.nlm.nih.gov/Taxonomy/Browser/wwwtax.cgi?mode=Info&amp;id=90988&amp;lvl=3&amp;lin=f&amp;keep=1&amp;srchmode=1&amp;unlock","Pimephales promelas")</f>
        <v>Pimephales promelas</v>
      </c>
      <c r="H498" t="s">
        <v>513</v>
      </c>
      <c r="I498" t="str">
        <f>HYPERLINK("http://www.ncbi.nlm.nih.gov/protein/XP_039505961.1","androgen receptor")</f>
        <v>androgen receptor</v>
      </c>
      <c r="J498" t="s">
        <v>1327</v>
      </c>
      <c r="K498" t="s">
        <v>20</v>
      </c>
      <c r="L498">
        <v>626</v>
      </c>
      <c r="M498" t="s">
        <v>25</v>
      </c>
      <c r="N498" t="s">
        <v>20</v>
      </c>
      <c r="O498" t="s">
        <v>1352</v>
      </c>
      <c r="P498" t="s">
        <v>20</v>
      </c>
      <c r="Q498">
        <v>132.119</v>
      </c>
      <c r="R498" t="s">
        <v>20</v>
      </c>
      <c r="S498" t="s">
        <v>20</v>
      </c>
      <c r="T498">
        <v>632</v>
      </c>
      <c r="U498" t="s">
        <v>1313</v>
      </c>
      <c r="V498" t="s">
        <v>20</v>
      </c>
      <c r="W498" t="s">
        <v>1352</v>
      </c>
      <c r="X498" t="s">
        <v>20</v>
      </c>
      <c r="Y498">
        <v>146.14599999999999</v>
      </c>
      <c r="Z498" t="s">
        <v>20</v>
      </c>
      <c r="AA498" t="s">
        <v>20</v>
      </c>
      <c r="AB498">
        <v>673</v>
      </c>
      <c r="AC498" t="s">
        <v>1314</v>
      </c>
      <c r="AD498" t="s">
        <v>20</v>
      </c>
      <c r="AE498" t="s">
        <v>1353</v>
      </c>
      <c r="AF498" t="s">
        <v>20</v>
      </c>
      <c r="AG498">
        <v>174.203</v>
      </c>
      <c r="AH498" t="s">
        <v>20</v>
      </c>
      <c r="AI498" t="s">
        <v>20</v>
      </c>
      <c r="AJ498">
        <v>796</v>
      </c>
      <c r="AK498" t="s">
        <v>1315</v>
      </c>
      <c r="AL498" t="s">
        <v>20</v>
      </c>
      <c r="AM498" t="s">
        <v>1354</v>
      </c>
      <c r="AN498" t="s">
        <v>20</v>
      </c>
      <c r="AO498">
        <v>119.119</v>
      </c>
      <c r="AP498" t="s">
        <v>20</v>
      </c>
      <c r="AQ498" t="s">
        <v>20</v>
      </c>
    </row>
    <row r="499" spans="1:43" x14ac:dyDescent="0.25">
      <c r="A499">
        <v>6</v>
      </c>
      <c r="B499" t="s">
        <v>384</v>
      </c>
      <c r="C499" t="str">
        <f>HYPERLINK("http://www.ncbi.nlm.nih.gov/protein/AGV29986.1","AGV29986.1")</f>
        <v>AGV29986.1</v>
      </c>
      <c r="D499">
        <v>37796</v>
      </c>
      <c r="E499" t="str">
        <f>HYPERLINK("http://www.ncbi.nlm.nih.gov/Taxonomy/Browser/wwwtax.cgi?mode=Info&amp;id=8255&amp;lvl=3&amp;lin=f&amp;keep=1&amp;srchmode=1&amp;unlock","8255")</f>
        <v>8255</v>
      </c>
      <c r="F499" t="s">
        <v>384</v>
      </c>
      <c r="G499" t="str">
        <f>HYPERLINK("http://www.ncbi.nlm.nih.gov/Taxonomy/Browser/wwwtax.cgi?mode=Info&amp;id=8255&amp;lvl=3&amp;lin=f&amp;keep=1&amp;srchmode=1&amp;unlock","Paralichthys olivaceus")</f>
        <v>Paralichthys olivaceus</v>
      </c>
      <c r="H499" t="s">
        <v>563</v>
      </c>
      <c r="I499" t="str">
        <f>HYPERLINK("http://www.ncbi.nlm.nih.gov/protein/AGV29986.1","androgen receptor beta")</f>
        <v>androgen receptor beta</v>
      </c>
      <c r="J499" t="s">
        <v>1327</v>
      </c>
      <c r="K499" t="s">
        <v>20</v>
      </c>
      <c r="L499">
        <v>533</v>
      </c>
      <c r="M499" t="s">
        <v>25</v>
      </c>
      <c r="N499" t="s">
        <v>20</v>
      </c>
      <c r="O499" t="s">
        <v>1352</v>
      </c>
      <c r="P499" t="s">
        <v>20</v>
      </c>
      <c r="Q499">
        <v>132.119</v>
      </c>
      <c r="R499" t="s">
        <v>20</v>
      </c>
      <c r="S499" t="s">
        <v>20</v>
      </c>
      <c r="T499">
        <v>539</v>
      </c>
      <c r="U499" t="s">
        <v>1313</v>
      </c>
      <c r="V499" t="s">
        <v>20</v>
      </c>
      <c r="W499" t="s">
        <v>1352</v>
      </c>
      <c r="X499" t="s">
        <v>20</v>
      </c>
      <c r="Y499">
        <v>146.14599999999999</v>
      </c>
      <c r="Z499" t="s">
        <v>20</v>
      </c>
      <c r="AA499" t="s">
        <v>20</v>
      </c>
      <c r="AB499">
        <v>580</v>
      </c>
      <c r="AC499" t="s">
        <v>1314</v>
      </c>
      <c r="AD499" t="s">
        <v>20</v>
      </c>
      <c r="AE499" t="s">
        <v>1353</v>
      </c>
      <c r="AF499" t="s">
        <v>20</v>
      </c>
      <c r="AG499">
        <v>174.203</v>
      </c>
      <c r="AH499" t="s">
        <v>20</v>
      </c>
      <c r="AI499" t="s">
        <v>20</v>
      </c>
      <c r="AJ499">
        <v>703</v>
      </c>
      <c r="AK499" t="s">
        <v>1315</v>
      </c>
      <c r="AL499" t="s">
        <v>20</v>
      </c>
      <c r="AM499" t="s">
        <v>1354</v>
      </c>
      <c r="AN499" t="s">
        <v>20</v>
      </c>
      <c r="AO499">
        <v>119.119</v>
      </c>
      <c r="AP499" t="s">
        <v>20</v>
      </c>
      <c r="AQ499" t="s">
        <v>20</v>
      </c>
    </row>
    <row r="500" spans="1:43" x14ac:dyDescent="0.25">
      <c r="A500">
        <v>6</v>
      </c>
      <c r="B500" t="s">
        <v>384</v>
      </c>
      <c r="C500" t="str">
        <f>HYPERLINK("http://www.ncbi.nlm.nih.gov/protein/XP_035034996.1","XP_035034996.1")</f>
        <v>XP_035034996.1</v>
      </c>
      <c r="D500">
        <v>65062</v>
      </c>
      <c r="E500" t="str">
        <f>HYPERLINK("http://www.ncbi.nlm.nih.gov/Taxonomy/Browser/wwwtax.cgi?mode=Info&amp;id=195615&amp;lvl=3&amp;lin=f&amp;keep=1&amp;srchmode=1&amp;unlock","195615")</f>
        <v>195615</v>
      </c>
      <c r="F500" t="s">
        <v>384</v>
      </c>
      <c r="G500" t="str">
        <f>HYPERLINK("http://www.ncbi.nlm.nih.gov/Taxonomy/Browser/wwwtax.cgi?mode=Info&amp;id=195615&amp;lvl=3&amp;lin=f&amp;keep=1&amp;srchmode=1&amp;unlock","Hippoglossus stenolepis")</f>
        <v>Hippoglossus stenolepis</v>
      </c>
      <c r="H500" t="s">
        <v>524</v>
      </c>
      <c r="I500" t="str">
        <f>HYPERLINK("http://www.ncbi.nlm.nih.gov/protein/XP_035034996.1","androgen receptor-like isoform X6")</f>
        <v>androgen receptor-like isoform X6</v>
      </c>
      <c r="J500" t="s">
        <v>1327</v>
      </c>
      <c r="K500" t="s">
        <v>20</v>
      </c>
      <c r="L500">
        <v>538</v>
      </c>
      <c r="M500" t="s">
        <v>25</v>
      </c>
      <c r="N500" t="s">
        <v>20</v>
      </c>
      <c r="O500" t="s">
        <v>1352</v>
      </c>
      <c r="P500" t="s">
        <v>20</v>
      </c>
      <c r="Q500">
        <v>132.119</v>
      </c>
      <c r="R500" t="s">
        <v>20</v>
      </c>
      <c r="S500" t="s">
        <v>20</v>
      </c>
      <c r="T500">
        <v>544</v>
      </c>
      <c r="U500" t="s">
        <v>1313</v>
      </c>
      <c r="V500" t="s">
        <v>20</v>
      </c>
      <c r="W500" t="s">
        <v>1352</v>
      </c>
      <c r="X500" t="s">
        <v>20</v>
      </c>
      <c r="Y500">
        <v>146.14599999999999</v>
      </c>
      <c r="Z500" t="s">
        <v>20</v>
      </c>
      <c r="AA500" t="s">
        <v>20</v>
      </c>
      <c r="AB500">
        <v>585</v>
      </c>
      <c r="AC500" t="s">
        <v>1314</v>
      </c>
      <c r="AD500" t="s">
        <v>20</v>
      </c>
      <c r="AE500" t="s">
        <v>1353</v>
      </c>
      <c r="AF500" t="s">
        <v>20</v>
      </c>
      <c r="AG500">
        <v>174.203</v>
      </c>
      <c r="AH500" t="s">
        <v>20</v>
      </c>
      <c r="AI500" t="s">
        <v>20</v>
      </c>
      <c r="AJ500">
        <v>708</v>
      </c>
      <c r="AK500" t="s">
        <v>1315</v>
      </c>
      <c r="AL500" t="s">
        <v>20</v>
      </c>
      <c r="AM500" t="s">
        <v>1354</v>
      </c>
      <c r="AN500" t="s">
        <v>20</v>
      </c>
      <c r="AO500">
        <v>119.119</v>
      </c>
      <c r="AP500" t="s">
        <v>20</v>
      </c>
      <c r="AQ500" t="s">
        <v>20</v>
      </c>
    </row>
    <row r="501" spans="1:43" x14ac:dyDescent="0.25">
      <c r="A501">
        <v>6</v>
      </c>
      <c r="B501" t="s">
        <v>384</v>
      </c>
      <c r="C501" t="str">
        <f>HYPERLINK("http://www.ncbi.nlm.nih.gov/protein/XP_030601688.1","XP_030601688.1")</f>
        <v>XP_030601688.1</v>
      </c>
      <c r="D501">
        <v>41125</v>
      </c>
      <c r="E501" t="str">
        <f>HYPERLINK("http://www.ncbi.nlm.nih.gov/Taxonomy/Browser/wwwtax.cgi?mode=Info&amp;id=63155&amp;lvl=3&amp;lin=f&amp;keep=1&amp;srchmode=1&amp;unlock","63155")</f>
        <v>63155</v>
      </c>
      <c r="F501" t="s">
        <v>384</v>
      </c>
      <c r="G501" t="str">
        <f>HYPERLINK("http://www.ncbi.nlm.nih.gov/Taxonomy/Browser/wwwtax.cgi?mode=Info&amp;id=63155&amp;lvl=3&amp;lin=f&amp;keep=1&amp;srchmode=1&amp;unlock","Archocentrus centrarchus")</f>
        <v>Archocentrus centrarchus</v>
      </c>
      <c r="H501" t="s">
        <v>622</v>
      </c>
      <c r="I501" t="str">
        <f>HYPERLINK("http://www.ncbi.nlm.nih.gov/protein/XP_030601688.1","androgen receptor-like")</f>
        <v>androgen receptor-like</v>
      </c>
      <c r="J501" t="s">
        <v>1327</v>
      </c>
      <c r="K501" t="s">
        <v>20</v>
      </c>
      <c r="L501">
        <v>541</v>
      </c>
      <c r="M501" t="s">
        <v>25</v>
      </c>
      <c r="N501" t="s">
        <v>20</v>
      </c>
      <c r="O501" t="s">
        <v>1352</v>
      </c>
      <c r="P501" t="s">
        <v>20</v>
      </c>
      <c r="Q501">
        <v>132.119</v>
      </c>
      <c r="R501" t="s">
        <v>20</v>
      </c>
      <c r="S501" t="s">
        <v>20</v>
      </c>
      <c r="T501">
        <v>547</v>
      </c>
      <c r="U501" t="s">
        <v>1313</v>
      </c>
      <c r="V501" t="s">
        <v>20</v>
      </c>
      <c r="W501" t="s">
        <v>1352</v>
      </c>
      <c r="X501" t="s">
        <v>20</v>
      </c>
      <c r="Y501">
        <v>146.14599999999999</v>
      </c>
      <c r="Z501" t="s">
        <v>20</v>
      </c>
      <c r="AA501" t="s">
        <v>20</v>
      </c>
      <c r="AB501">
        <v>588</v>
      </c>
      <c r="AC501" t="s">
        <v>1314</v>
      </c>
      <c r="AD501" t="s">
        <v>20</v>
      </c>
      <c r="AE501" t="s">
        <v>1353</v>
      </c>
      <c r="AF501" t="s">
        <v>20</v>
      </c>
      <c r="AG501">
        <v>174.203</v>
      </c>
      <c r="AH501" t="s">
        <v>20</v>
      </c>
      <c r="AI501" t="s">
        <v>20</v>
      </c>
      <c r="AJ501">
        <v>711</v>
      </c>
      <c r="AK501" t="s">
        <v>1315</v>
      </c>
      <c r="AL501" t="s">
        <v>20</v>
      </c>
      <c r="AM501" t="s">
        <v>1354</v>
      </c>
      <c r="AN501" t="s">
        <v>20</v>
      </c>
      <c r="AO501">
        <v>119.119</v>
      </c>
      <c r="AP501" t="s">
        <v>20</v>
      </c>
      <c r="AQ501" t="s">
        <v>20</v>
      </c>
    </row>
    <row r="502" spans="1:43" x14ac:dyDescent="0.25">
      <c r="A502">
        <v>6</v>
      </c>
      <c r="B502" t="s">
        <v>384</v>
      </c>
      <c r="C502" t="str">
        <f>HYPERLINK("http://www.ncbi.nlm.nih.gov/protein/ABO21344.1","ABO21344.1")</f>
        <v>ABO21344.1</v>
      </c>
      <c r="D502">
        <v>87653</v>
      </c>
      <c r="E502" t="str">
        <f>HYPERLINK("http://www.ncbi.nlm.nih.gov/Taxonomy/Browser/wwwtax.cgi?mode=Info&amp;id=7955&amp;lvl=3&amp;lin=f&amp;keep=1&amp;srchmode=1&amp;unlock","7955")</f>
        <v>7955</v>
      </c>
      <c r="F502" t="s">
        <v>384</v>
      </c>
      <c r="G502" t="str">
        <f>HYPERLINK("http://www.ncbi.nlm.nih.gov/Taxonomy/Browser/wwwtax.cgi?mode=Info&amp;id=7955&amp;lvl=3&amp;lin=f&amp;keep=1&amp;srchmode=1&amp;unlock","Danio rerio")</f>
        <v>Danio rerio</v>
      </c>
      <c r="H502" t="s">
        <v>535</v>
      </c>
      <c r="I502" t="str">
        <f>HYPERLINK("http://www.ncbi.nlm.nih.gov/protein/ABO21344.1","androgen receptor")</f>
        <v>androgen receptor</v>
      </c>
      <c r="J502" t="s">
        <v>1327</v>
      </c>
      <c r="K502" t="s">
        <v>20</v>
      </c>
      <c r="L502">
        <v>655</v>
      </c>
      <c r="M502" t="s">
        <v>25</v>
      </c>
      <c r="N502" t="s">
        <v>20</v>
      </c>
      <c r="O502" t="s">
        <v>1352</v>
      </c>
      <c r="P502" t="s">
        <v>20</v>
      </c>
      <c r="Q502">
        <v>132.119</v>
      </c>
      <c r="R502" t="s">
        <v>20</v>
      </c>
      <c r="S502" t="s">
        <v>20</v>
      </c>
      <c r="T502">
        <v>661</v>
      </c>
      <c r="U502" t="s">
        <v>1313</v>
      </c>
      <c r="V502" t="s">
        <v>20</v>
      </c>
      <c r="W502" t="s">
        <v>1352</v>
      </c>
      <c r="X502" t="s">
        <v>20</v>
      </c>
      <c r="Y502">
        <v>146.14599999999999</v>
      </c>
      <c r="Z502" t="s">
        <v>20</v>
      </c>
      <c r="AA502" t="s">
        <v>20</v>
      </c>
      <c r="AB502">
        <v>702</v>
      </c>
      <c r="AC502" t="s">
        <v>1314</v>
      </c>
      <c r="AD502" t="s">
        <v>20</v>
      </c>
      <c r="AE502" t="s">
        <v>1353</v>
      </c>
      <c r="AF502" t="s">
        <v>20</v>
      </c>
      <c r="AG502">
        <v>174.203</v>
      </c>
      <c r="AH502" t="s">
        <v>20</v>
      </c>
      <c r="AI502" t="s">
        <v>20</v>
      </c>
      <c r="AJ502">
        <v>825</v>
      </c>
      <c r="AK502" t="s">
        <v>1315</v>
      </c>
      <c r="AL502" t="s">
        <v>20</v>
      </c>
      <c r="AM502" t="s">
        <v>1354</v>
      </c>
      <c r="AN502" t="s">
        <v>20</v>
      </c>
      <c r="AO502">
        <v>119.119</v>
      </c>
      <c r="AP502" t="s">
        <v>20</v>
      </c>
      <c r="AQ502" t="s">
        <v>20</v>
      </c>
    </row>
    <row r="503" spans="1:43" x14ac:dyDescent="0.25">
      <c r="A503">
        <v>6</v>
      </c>
      <c r="B503" t="s">
        <v>384</v>
      </c>
      <c r="C503" t="str">
        <f>HYPERLINK("http://www.ncbi.nlm.nih.gov/protein/XP_016358255.1","XP_016358255.1")</f>
        <v>XP_016358255.1</v>
      </c>
      <c r="D503">
        <v>68489</v>
      </c>
      <c r="E503" t="str">
        <f>HYPERLINK("http://www.ncbi.nlm.nih.gov/Taxonomy/Browser/wwwtax.cgi?mode=Info&amp;id=1608454&amp;lvl=3&amp;lin=f&amp;keep=1&amp;srchmode=1&amp;unlock","1608454")</f>
        <v>1608454</v>
      </c>
      <c r="F503" t="s">
        <v>384</v>
      </c>
      <c r="G503" t="str">
        <f>HYPERLINK("http://www.ncbi.nlm.nih.gov/Taxonomy/Browser/wwwtax.cgi?mode=Info&amp;id=1608454&amp;lvl=3&amp;lin=f&amp;keep=1&amp;srchmode=1&amp;unlock","Sinocyclocheilus anshuiensis")</f>
        <v>Sinocyclocheilus anshuiensis</v>
      </c>
      <c r="H503" t="s">
        <v>529</v>
      </c>
      <c r="I503" t="str">
        <f>HYPERLINK("http://www.ncbi.nlm.nih.gov/protein/XP_016358255.1","PREDICTED: androgen receptor-like")</f>
        <v>PREDICTED: androgen receptor-like</v>
      </c>
      <c r="J503" t="s">
        <v>1327</v>
      </c>
      <c r="K503" t="s">
        <v>20</v>
      </c>
      <c r="L503">
        <v>576</v>
      </c>
      <c r="M503" t="s">
        <v>25</v>
      </c>
      <c r="N503" t="s">
        <v>20</v>
      </c>
      <c r="O503" t="s">
        <v>1352</v>
      </c>
      <c r="P503" t="s">
        <v>20</v>
      </c>
      <c r="Q503">
        <v>132.119</v>
      </c>
      <c r="R503" t="s">
        <v>20</v>
      </c>
      <c r="S503" t="s">
        <v>20</v>
      </c>
      <c r="T503">
        <v>582</v>
      </c>
      <c r="U503" t="s">
        <v>1313</v>
      </c>
      <c r="V503" t="s">
        <v>20</v>
      </c>
      <c r="W503" t="s">
        <v>1352</v>
      </c>
      <c r="X503" t="s">
        <v>20</v>
      </c>
      <c r="Y503">
        <v>146.14599999999999</v>
      </c>
      <c r="Z503" t="s">
        <v>20</v>
      </c>
      <c r="AA503" t="s">
        <v>20</v>
      </c>
      <c r="AB503">
        <v>623</v>
      </c>
      <c r="AC503" t="s">
        <v>1314</v>
      </c>
      <c r="AD503" t="s">
        <v>20</v>
      </c>
      <c r="AE503" t="s">
        <v>1353</v>
      </c>
      <c r="AF503" t="s">
        <v>20</v>
      </c>
      <c r="AG503">
        <v>174.203</v>
      </c>
      <c r="AH503" t="s">
        <v>20</v>
      </c>
      <c r="AI503" t="s">
        <v>20</v>
      </c>
      <c r="AJ503">
        <v>746</v>
      </c>
      <c r="AK503" t="s">
        <v>1315</v>
      </c>
      <c r="AL503" t="s">
        <v>20</v>
      </c>
      <c r="AM503" t="s">
        <v>1354</v>
      </c>
      <c r="AN503" t="s">
        <v>20</v>
      </c>
      <c r="AO503">
        <v>119.119</v>
      </c>
      <c r="AP503" t="s">
        <v>20</v>
      </c>
      <c r="AQ503" t="s">
        <v>20</v>
      </c>
    </row>
    <row r="504" spans="1:43" x14ac:dyDescent="0.25">
      <c r="A504">
        <v>6</v>
      </c>
      <c r="B504" t="s">
        <v>384</v>
      </c>
      <c r="C504" t="str">
        <f>HYPERLINK("http://www.ncbi.nlm.nih.gov/protein/AMQ81677.1","AMQ81677.1")</f>
        <v>AMQ81677.1</v>
      </c>
      <c r="D504">
        <v>75</v>
      </c>
      <c r="E504" t="str">
        <f>HYPERLINK("http://www.ncbi.nlm.nih.gov/Taxonomy/Browser/wwwtax.cgi?mode=Info&amp;id=77794&amp;lvl=3&amp;lin=f&amp;keep=1&amp;srchmode=1&amp;unlock","77794")</f>
        <v>77794</v>
      </c>
      <c r="F504" t="s">
        <v>384</v>
      </c>
      <c r="G504" t="str">
        <f>HYPERLINK("http://www.ncbi.nlm.nih.gov/Taxonomy/Browser/wwwtax.cgi?mode=Info&amp;id=77794&amp;lvl=3&amp;lin=f&amp;keep=1&amp;srchmode=1&amp;unlock","Luciobarbus capito")</f>
        <v>Luciobarbus capito</v>
      </c>
      <c r="H504" t="s">
        <v>1006</v>
      </c>
      <c r="I504" t="str">
        <f>HYPERLINK("http://www.ncbi.nlm.nih.gov/protein/AMQ81677.1","androgen receptor protein")</f>
        <v>androgen receptor protein</v>
      </c>
      <c r="J504" t="s">
        <v>1327</v>
      </c>
      <c r="K504" t="s">
        <v>20</v>
      </c>
      <c r="L504">
        <v>636</v>
      </c>
      <c r="M504" t="s">
        <v>25</v>
      </c>
      <c r="N504" t="s">
        <v>20</v>
      </c>
      <c r="O504" t="s">
        <v>1352</v>
      </c>
      <c r="P504" t="s">
        <v>20</v>
      </c>
      <c r="Q504">
        <v>132.119</v>
      </c>
      <c r="R504" t="s">
        <v>20</v>
      </c>
      <c r="S504" t="s">
        <v>20</v>
      </c>
      <c r="T504">
        <v>642</v>
      </c>
      <c r="U504" t="s">
        <v>1313</v>
      </c>
      <c r="V504" t="s">
        <v>20</v>
      </c>
      <c r="W504" t="s">
        <v>1352</v>
      </c>
      <c r="X504" t="s">
        <v>20</v>
      </c>
      <c r="Y504">
        <v>146.14599999999999</v>
      </c>
      <c r="Z504" t="s">
        <v>20</v>
      </c>
      <c r="AA504" t="s">
        <v>20</v>
      </c>
      <c r="AB504">
        <v>683</v>
      </c>
      <c r="AC504" t="s">
        <v>1314</v>
      </c>
      <c r="AD504" t="s">
        <v>20</v>
      </c>
      <c r="AE504" t="s">
        <v>1353</v>
      </c>
      <c r="AF504" t="s">
        <v>20</v>
      </c>
      <c r="AG504">
        <v>174.203</v>
      </c>
      <c r="AH504" t="s">
        <v>20</v>
      </c>
      <c r="AI504" t="s">
        <v>20</v>
      </c>
      <c r="AJ504">
        <v>806</v>
      </c>
      <c r="AK504" t="s">
        <v>1315</v>
      </c>
      <c r="AL504" t="s">
        <v>20</v>
      </c>
      <c r="AM504" t="s">
        <v>1354</v>
      </c>
      <c r="AN504" t="s">
        <v>20</v>
      </c>
      <c r="AO504">
        <v>119.119</v>
      </c>
      <c r="AP504" t="s">
        <v>20</v>
      </c>
      <c r="AQ504" t="s">
        <v>20</v>
      </c>
    </row>
    <row r="505" spans="1:43" x14ac:dyDescent="0.25">
      <c r="A505">
        <v>6</v>
      </c>
      <c r="B505" t="s">
        <v>384</v>
      </c>
      <c r="C505" t="str">
        <f>HYPERLINK("http://www.ncbi.nlm.nih.gov/protein/AEO13404.1","AEO13404.1")</f>
        <v>AEO13404.1</v>
      </c>
      <c r="D505">
        <v>54133</v>
      </c>
      <c r="E505" t="str">
        <f>HYPERLINK("http://www.ncbi.nlm.nih.gov/Taxonomy/Browser/wwwtax.cgi?mode=Info&amp;id=8175&amp;lvl=3&amp;lin=f&amp;keep=1&amp;srchmode=1&amp;unlock","8175")</f>
        <v>8175</v>
      </c>
      <c r="F505" t="s">
        <v>384</v>
      </c>
      <c r="G505" t="str">
        <f>HYPERLINK("http://www.ncbi.nlm.nih.gov/Taxonomy/Browser/wwwtax.cgi?mode=Info&amp;id=8175&amp;lvl=3&amp;lin=f&amp;keep=1&amp;srchmode=1&amp;unlock","Sparus aurata")</f>
        <v>Sparus aurata</v>
      </c>
      <c r="H505" t="s">
        <v>567</v>
      </c>
      <c r="I505" t="str">
        <f>HYPERLINK("http://www.ncbi.nlm.nih.gov/protein/AEO13404.1","androgen receptor")</f>
        <v>androgen receptor</v>
      </c>
      <c r="J505" t="s">
        <v>1327</v>
      </c>
      <c r="K505" t="s">
        <v>20</v>
      </c>
      <c r="L505">
        <v>527</v>
      </c>
      <c r="M505" t="s">
        <v>25</v>
      </c>
      <c r="N505" t="s">
        <v>20</v>
      </c>
      <c r="O505" t="s">
        <v>1352</v>
      </c>
      <c r="P505" t="s">
        <v>20</v>
      </c>
      <c r="Q505">
        <v>132.119</v>
      </c>
      <c r="R505" t="s">
        <v>20</v>
      </c>
      <c r="S505" t="s">
        <v>20</v>
      </c>
      <c r="T505">
        <v>533</v>
      </c>
      <c r="U505" t="s">
        <v>1313</v>
      </c>
      <c r="V505" t="s">
        <v>20</v>
      </c>
      <c r="W505" t="s">
        <v>1352</v>
      </c>
      <c r="X505" t="s">
        <v>20</v>
      </c>
      <c r="Y505">
        <v>146.14599999999999</v>
      </c>
      <c r="Z505" t="s">
        <v>20</v>
      </c>
      <c r="AA505" t="s">
        <v>20</v>
      </c>
      <c r="AB505">
        <v>574</v>
      </c>
      <c r="AC505" t="s">
        <v>1314</v>
      </c>
      <c r="AD505" t="s">
        <v>20</v>
      </c>
      <c r="AE505" t="s">
        <v>1353</v>
      </c>
      <c r="AF505" t="s">
        <v>20</v>
      </c>
      <c r="AG505">
        <v>174.203</v>
      </c>
      <c r="AH505" t="s">
        <v>20</v>
      </c>
      <c r="AI505" t="s">
        <v>20</v>
      </c>
      <c r="AJ505">
        <v>697</v>
      </c>
      <c r="AK505" t="s">
        <v>1315</v>
      </c>
      <c r="AL505" t="s">
        <v>20</v>
      </c>
      <c r="AM505" t="s">
        <v>1354</v>
      </c>
      <c r="AN505" t="s">
        <v>20</v>
      </c>
      <c r="AO505">
        <v>119.119</v>
      </c>
      <c r="AP505" t="s">
        <v>20</v>
      </c>
      <c r="AQ505" t="s">
        <v>20</v>
      </c>
    </row>
    <row r="506" spans="1:43" x14ac:dyDescent="0.25">
      <c r="A506">
        <v>6</v>
      </c>
      <c r="B506" t="s">
        <v>384</v>
      </c>
      <c r="C506" t="str">
        <f>HYPERLINK("http://www.ncbi.nlm.nih.gov/protein/RXN28713.1","RXN28713.1")</f>
        <v>RXN28713.1</v>
      </c>
      <c r="D506">
        <v>37718</v>
      </c>
      <c r="E506" t="str">
        <f>HYPERLINK("http://www.ncbi.nlm.nih.gov/Taxonomy/Browser/wwwtax.cgi?mode=Info&amp;id=84645&amp;lvl=3&amp;lin=f&amp;keep=1&amp;srchmode=1&amp;unlock","84645")</f>
        <v>84645</v>
      </c>
      <c r="F506" t="s">
        <v>384</v>
      </c>
      <c r="G506" t="str">
        <f>HYPERLINK("http://www.ncbi.nlm.nih.gov/Taxonomy/Browser/wwwtax.cgi?mode=Info&amp;id=84645&amp;lvl=3&amp;lin=f&amp;keep=1&amp;srchmode=1&amp;unlock","Labeo rohita")</f>
        <v>Labeo rohita</v>
      </c>
      <c r="H506" t="s">
        <v>516</v>
      </c>
      <c r="I506" t="str">
        <f>HYPERLINK("http://www.ncbi.nlm.nih.gov/protein/RXN28713.1","androgen receptor")</f>
        <v>androgen receptor</v>
      </c>
      <c r="J506" t="s">
        <v>1327</v>
      </c>
      <c r="K506" t="s">
        <v>20</v>
      </c>
      <c r="L506">
        <v>654</v>
      </c>
      <c r="M506" t="s">
        <v>25</v>
      </c>
      <c r="N506" t="s">
        <v>20</v>
      </c>
      <c r="O506" t="s">
        <v>1352</v>
      </c>
      <c r="P506" t="s">
        <v>20</v>
      </c>
      <c r="Q506">
        <v>132.119</v>
      </c>
      <c r="R506" t="s">
        <v>20</v>
      </c>
      <c r="S506" t="s">
        <v>20</v>
      </c>
      <c r="T506">
        <v>660</v>
      </c>
      <c r="U506" t="s">
        <v>1313</v>
      </c>
      <c r="V506" t="s">
        <v>20</v>
      </c>
      <c r="W506" t="s">
        <v>1352</v>
      </c>
      <c r="X506" t="s">
        <v>20</v>
      </c>
      <c r="Y506">
        <v>146.14599999999999</v>
      </c>
      <c r="Z506" t="s">
        <v>20</v>
      </c>
      <c r="AA506" t="s">
        <v>20</v>
      </c>
      <c r="AB506">
        <v>701</v>
      </c>
      <c r="AC506" t="s">
        <v>1314</v>
      </c>
      <c r="AD506" t="s">
        <v>20</v>
      </c>
      <c r="AE506" t="s">
        <v>1353</v>
      </c>
      <c r="AF506" t="s">
        <v>20</v>
      </c>
      <c r="AG506">
        <v>174.203</v>
      </c>
      <c r="AH506" t="s">
        <v>20</v>
      </c>
      <c r="AI506" t="s">
        <v>20</v>
      </c>
      <c r="AJ506">
        <v>835</v>
      </c>
      <c r="AK506" t="s">
        <v>1315</v>
      </c>
      <c r="AL506" t="s">
        <v>20</v>
      </c>
      <c r="AM506" t="s">
        <v>1354</v>
      </c>
      <c r="AN506" t="s">
        <v>20</v>
      </c>
      <c r="AO506">
        <v>119.119</v>
      </c>
      <c r="AP506" t="s">
        <v>20</v>
      </c>
      <c r="AQ506" t="s">
        <v>20</v>
      </c>
    </row>
    <row r="507" spans="1:43" x14ac:dyDescent="0.25">
      <c r="A507">
        <v>6</v>
      </c>
      <c r="B507" t="s">
        <v>384</v>
      </c>
      <c r="C507" t="str">
        <f>HYPERLINK("http://www.ncbi.nlm.nih.gov/protein/AAT76433.1","AAT76433.1")</f>
        <v>AAT76433.1</v>
      </c>
      <c r="D507">
        <v>2729</v>
      </c>
      <c r="E507" t="str">
        <f>HYPERLINK("http://www.ncbi.nlm.nih.gov/Taxonomy/Browser/wwwtax.cgi?mode=Info&amp;id=13489&amp;lvl=3&amp;lin=f&amp;keep=1&amp;srchmode=1&amp;unlock","13489")</f>
        <v>13489</v>
      </c>
      <c r="F507" t="s">
        <v>384</v>
      </c>
      <c r="G507" t="str">
        <f>HYPERLINK("http://www.ncbi.nlm.nih.gov/Taxonomy/Browser/wwwtax.cgi?mode=Info&amp;id=13489&amp;lvl=3&amp;lin=f&amp;keep=1&amp;srchmode=1&amp;unlock","Dicentrarchus labrax")</f>
        <v>Dicentrarchus labrax</v>
      </c>
      <c r="H507" t="s">
        <v>840</v>
      </c>
      <c r="I507" t="str">
        <f>HYPERLINK("http://www.ncbi.nlm.nih.gov/protein/AAT76433.1","androgen receptor")</f>
        <v>androgen receptor</v>
      </c>
      <c r="J507" t="s">
        <v>1327</v>
      </c>
      <c r="K507" t="s">
        <v>20</v>
      </c>
      <c r="L507">
        <v>554</v>
      </c>
      <c r="M507" t="s">
        <v>25</v>
      </c>
      <c r="N507" t="s">
        <v>20</v>
      </c>
      <c r="O507" t="s">
        <v>1352</v>
      </c>
      <c r="P507" t="s">
        <v>20</v>
      </c>
      <c r="Q507">
        <v>132.119</v>
      </c>
      <c r="R507" t="s">
        <v>20</v>
      </c>
      <c r="S507" t="s">
        <v>20</v>
      </c>
      <c r="T507">
        <v>560</v>
      </c>
      <c r="U507" t="s">
        <v>1313</v>
      </c>
      <c r="V507" t="s">
        <v>20</v>
      </c>
      <c r="W507" t="s">
        <v>1352</v>
      </c>
      <c r="X507" t="s">
        <v>20</v>
      </c>
      <c r="Y507">
        <v>146.14599999999999</v>
      </c>
      <c r="Z507" t="s">
        <v>20</v>
      </c>
      <c r="AA507" t="s">
        <v>20</v>
      </c>
      <c r="AB507">
        <v>601</v>
      </c>
      <c r="AC507" t="s">
        <v>1314</v>
      </c>
      <c r="AD507" t="s">
        <v>20</v>
      </c>
      <c r="AE507" t="s">
        <v>1353</v>
      </c>
      <c r="AF507" t="s">
        <v>20</v>
      </c>
      <c r="AG507">
        <v>174.203</v>
      </c>
      <c r="AH507" t="s">
        <v>20</v>
      </c>
      <c r="AI507" t="s">
        <v>20</v>
      </c>
      <c r="AJ507">
        <v>724</v>
      </c>
      <c r="AK507" t="s">
        <v>1315</v>
      </c>
      <c r="AL507" t="s">
        <v>20</v>
      </c>
      <c r="AM507" t="s">
        <v>1354</v>
      </c>
      <c r="AN507" t="s">
        <v>20</v>
      </c>
      <c r="AO507">
        <v>119.119</v>
      </c>
      <c r="AP507" t="s">
        <v>20</v>
      </c>
      <c r="AQ507" t="s">
        <v>20</v>
      </c>
    </row>
    <row r="508" spans="1:43" x14ac:dyDescent="0.25">
      <c r="A508">
        <v>6</v>
      </c>
      <c r="B508" t="s">
        <v>384</v>
      </c>
      <c r="C508" t="str">
        <f>HYPERLINK("http://www.ncbi.nlm.nih.gov/protein/BAA33451.1","BAA33451.1")</f>
        <v>BAA33451.1</v>
      </c>
      <c r="D508">
        <v>337</v>
      </c>
      <c r="E508" t="str">
        <f>HYPERLINK("http://www.ncbi.nlm.nih.gov/Taxonomy/Browser/wwwtax.cgi?mode=Info&amp;id=143350&amp;lvl=3&amp;lin=f&amp;keep=1&amp;srchmode=1&amp;unlock","143350")</f>
        <v>143350</v>
      </c>
      <c r="F508" t="s">
        <v>384</v>
      </c>
      <c r="G508" t="str">
        <f>HYPERLINK("http://www.ncbi.nlm.nih.gov/Taxonomy/Browser/wwwtax.cgi?mode=Info&amp;id=143350&amp;lvl=3&amp;lin=f&amp;keep=1&amp;srchmode=1&amp;unlock","Pagrus major")</f>
        <v>Pagrus major</v>
      </c>
      <c r="H508" t="s">
        <v>955</v>
      </c>
      <c r="I508" t="str">
        <f>HYPERLINK("http://www.ncbi.nlm.nih.gov/protein/BAA33451.1","androgen receptor")</f>
        <v>androgen receptor</v>
      </c>
      <c r="J508" t="s">
        <v>1327</v>
      </c>
      <c r="K508" t="s">
        <v>20</v>
      </c>
      <c r="L508">
        <v>556</v>
      </c>
      <c r="M508" t="s">
        <v>25</v>
      </c>
      <c r="N508" t="s">
        <v>20</v>
      </c>
      <c r="O508" t="s">
        <v>1352</v>
      </c>
      <c r="P508" t="s">
        <v>20</v>
      </c>
      <c r="Q508">
        <v>132.119</v>
      </c>
      <c r="R508" t="s">
        <v>20</v>
      </c>
      <c r="S508" t="s">
        <v>20</v>
      </c>
      <c r="T508">
        <v>562</v>
      </c>
      <c r="U508" t="s">
        <v>1313</v>
      </c>
      <c r="V508" t="s">
        <v>20</v>
      </c>
      <c r="W508" t="s">
        <v>1352</v>
      </c>
      <c r="X508" t="s">
        <v>20</v>
      </c>
      <c r="Y508">
        <v>146.14599999999999</v>
      </c>
      <c r="Z508" t="s">
        <v>20</v>
      </c>
      <c r="AA508" t="s">
        <v>20</v>
      </c>
      <c r="AB508">
        <v>603</v>
      </c>
      <c r="AC508" t="s">
        <v>1314</v>
      </c>
      <c r="AD508" t="s">
        <v>20</v>
      </c>
      <c r="AE508" t="s">
        <v>1353</v>
      </c>
      <c r="AF508" t="s">
        <v>20</v>
      </c>
      <c r="AG508">
        <v>174.203</v>
      </c>
      <c r="AH508" t="s">
        <v>20</v>
      </c>
      <c r="AI508" t="s">
        <v>20</v>
      </c>
      <c r="AJ508">
        <v>726</v>
      </c>
      <c r="AK508" t="s">
        <v>1315</v>
      </c>
      <c r="AL508" t="s">
        <v>20</v>
      </c>
      <c r="AM508" t="s">
        <v>1354</v>
      </c>
      <c r="AN508" t="s">
        <v>20</v>
      </c>
      <c r="AO508">
        <v>119.119</v>
      </c>
      <c r="AP508" t="s">
        <v>20</v>
      </c>
      <c r="AQ508" t="s">
        <v>20</v>
      </c>
    </row>
    <row r="509" spans="1:43" x14ac:dyDescent="0.25">
      <c r="A509">
        <v>6</v>
      </c>
      <c r="B509" t="s">
        <v>384</v>
      </c>
      <c r="C509" t="str">
        <f>HYPERLINK("http://www.ncbi.nlm.nih.gov/protein/XP_034539180.1","XP_034539180.1")</f>
        <v>XP_034539180.1</v>
      </c>
      <c r="D509">
        <v>39441</v>
      </c>
      <c r="E509" t="str">
        <f>HYPERLINK("http://www.ncbi.nlm.nih.gov/Taxonomy/Browser/wwwtax.cgi?mode=Info&amp;id=1203425&amp;lvl=3&amp;lin=f&amp;keep=1&amp;srchmode=1&amp;unlock","1203425")</f>
        <v>1203425</v>
      </c>
      <c r="F509" t="s">
        <v>384</v>
      </c>
      <c r="G509" t="str">
        <f>HYPERLINK("http://www.ncbi.nlm.nih.gov/Taxonomy/Browser/wwwtax.cgi?mode=Info&amp;id=1203425&amp;lvl=3&amp;lin=f&amp;keep=1&amp;srchmode=1&amp;unlock","Notolabrus celidotus")</f>
        <v>Notolabrus celidotus</v>
      </c>
      <c r="H509" t="s">
        <v>572</v>
      </c>
      <c r="I509" t="str">
        <f>HYPERLINK("http://www.ncbi.nlm.nih.gov/protein/XP_034539180.1","androgen receptor isoform X2")</f>
        <v>androgen receptor isoform X2</v>
      </c>
      <c r="J509" t="s">
        <v>1327</v>
      </c>
      <c r="K509" t="s">
        <v>20</v>
      </c>
      <c r="L509">
        <v>514</v>
      </c>
      <c r="M509" t="s">
        <v>25</v>
      </c>
      <c r="N509" t="s">
        <v>20</v>
      </c>
      <c r="O509" t="s">
        <v>1352</v>
      </c>
      <c r="P509" t="s">
        <v>20</v>
      </c>
      <c r="Q509">
        <v>132.119</v>
      </c>
      <c r="R509" t="s">
        <v>20</v>
      </c>
      <c r="S509" t="s">
        <v>20</v>
      </c>
      <c r="T509">
        <v>520</v>
      </c>
      <c r="U509" t="s">
        <v>1313</v>
      </c>
      <c r="V509" t="s">
        <v>20</v>
      </c>
      <c r="W509" t="s">
        <v>1352</v>
      </c>
      <c r="X509" t="s">
        <v>20</v>
      </c>
      <c r="Y509">
        <v>146.14599999999999</v>
      </c>
      <c r="Z509" t="s">
        <v>20</v>
      </c>
      <c r="AA509" t="s">
        <v>20</v>
      </c>
      <c r="AB509">
        <v>561</v>
      </c>
      <c r="AC509" t="s">
        <v>1314</v>
      </c>
      <c r="AD509" t="s">
        <v>20</v>
      </c>
      <c r="AE509" t="s">
        <v>1353</v>
      </c>
      <c r="AF509" t="s">
        <v>20</v>
      </c>
      <c r="AG509">
        <v>174.203</v>
      </c>
      <c r="AH509" t="s">
        <v>20</v>
      </c>
      <c r="AI509" t="s">
        <v>20</v>
      </c>
      <c r="AJ509">
        <v>684</v>
      </c>
      <c r="AK509" t="s">
        <v>1315</v>
      </c>
      <c r="AL509" t="s">
        <v>20</v>
      </c>
      <c r="AM509" t="s">
        <v>1354</v>
      </c>
      <c r="AN509" t="s">
        <v>20</v>
      </c>
      <c r="AO509">
        <v>119.119</v>
      </c>
      <c r="AP509" t="s">
        <v>20</v>
      </c>
      <c r="AQ509" t="s">
        <v>20</v>
      </c>
    </row>
    <row r="510" spans="1:43" x14ac:dyDescent="0.25">
      <c r="A510">
        <v>6</v>
      </c>
      <c r="B510" t="s">
        <v>384</v>
      </c>
      <c r="C510" t="str">
        <f>HYPERLINK("http://www.ncbi.nlm.nih.gov/protein/AXZ78408.1","AXZ78408.1")</f>
        <v>AXZ78408.1</v>
      </c>
      <c r="D510">
        <v>166</v>
      </c>
      <c r="E510" t="str">
        <f>HYPERLINK("http://www.ncbi.nlm.nih.gov/Taxonomy/Browser/wwwtax.cgi?mode=Info&amp;id=241271&amp;lvl=3&amp;lin=f&amp;keep=1&amp;srchmode=1&amp;unlock","241271")</f>
        <v>241271</v>
      </c>
      <c r="F510" t="s">
        <v>384</v>
      </c>
      <c r="G510" t="str">
        <f>HYPERLINK("http://www.ncbi.nlm.nih.gov/Taxonomy/Browser/wwwtax.cgi?mode=Info&amp;id=241271&amp;lvl=3&amp;lin=f&amp;keep=1&amp;srchmode=1&amp;unlock","Cheilinus undulatus")</f>
        <v>Cheilinus undulatus</v>
      </c>
      <c r="H510" t="s">
        <v>1008</v>
      </c>
      <c r="I510" t="str">
        <f>HYPERLINK("http://www.ncbi.nlm.nih.gov/protein/AXZ78408.1","androgen receptor")</f>
        <v>androgen receptor</v>
      </c>
      <c r="J510" t="s">
        <v>1327</v>
      </c>
      <c r="K510" t="s">
        <v>20</v>
      </c>
      <c r="L510">
        <v>542</v>
      </c>
      <c r="M510" t="s">
        <v>25</v>
      </c>
      <c r="N510" t="s">
        <v>20</v>
      </c>
      <c r="O510" t="s">
        <v>1352</v>
      </c>
      <c r="P510" t="s">
        <v>20</v>
      </c>
      <c r="Q510">
        <v>132.119</v>
      </c>
      <c r="R510" t="s">
        <v>20</v>
      </c>
      <c r="S510" t="s">
        <v>20</v>
      </c>
      <c r="T510">
        <v>548</v>
      </c>
      <c r="U510" t="s">
        <v>1313</v>
      </c>
      <c r="V510" t="s">
        <v>20</v>
      </c>
      <c r="W510" t="s">
        <v>1352</v>
      </c>
      <c r="X510" t="s">
        <v>20</v>
      </c>
      <c r="Y510">
        <v>146.14599999999999</v>
      </c>
      <c r="Z510" t="s">
        <v>20</v>
      </c>
      <c r="AA510" t="s">
        <v>20</v>
      </c>
      <c r="AB510">
        <v>589</v>
      </c>
      <c r="AC510" t="s">
        <v>1314</v>
      </c>
      <c r="AD510" t="s">
        <v>20</v>
      </c>
      <c r="AE510" t="s">
        <v>1353</v>
      </c>
      <c r="AF510" t="s">
        <v>20</v>
      </c>
      <c r="AG510">
        <v>174.203</v>
      </c>
      <c r="AH510" t="s">
        <v>20</v>
      </c>
      <c r="AI510" t="s">
        <v>20</v>
      </c>
      <c r="AJ510">
        <v>712</v>
      </c>
      <c r="AK510" t="s">
        <v>1315</v>
      </c>
      <c r="AL510" t="s">
        <v>20</v>
      </c>
      <c r="AM510" t="s">
        <v>1354</v>
      </c>
      <c r="AN510" t="s">
        <v>20</v>
      </c>
      <c r="AO510">
        <v>119.119</v>
      </c>
      <c r="AP510" t="s">
        <v>20</v>
      </c>
      <c r="AQ510" t="s">
        <v>20</v>
      </c>
    </row>
    <row r="511" spans="1:43" x14ac:dyDescent="0.25">
      <c r="A511">
        <v>6</v>
      </c>
      <c r="B511" t="s">
        <v>384</v>
      </c>
      <c r="C511" t="str">
        <f>HYPERLINK("http://www.ncbi.nlm.nih.gov/protein/XP_016142988.1","XP_016142988.1")</f>
        <v>XP_016142988.1</v>
      </c>
      <c r="D511">
        <v>67440</v>
      </c>
      <c r="E511" t="str">
        <f>HYPERLINK("http://www.ncbi.nlm.nih.gov/Taxonomy/Browser/wwwtax.cgi?mode=Info&amp;id=75366&amp;lvl=3&amp;lin=f&amp;keep=1&amp;srchmode=1&amp;unlock","75366")</f>
        <v>75366</v>
      </c>
      <c r="F511" t="s">
        <v>384</v>
      </c>
      <c r="G511" t="str">
        <f>HYPERLINK("http://www.ncbi.nlm.nih.gov/Taxonomy/Browser/wwwtax.cgi?mode=Info&amp;id=75366&amp;lvl=3&amp;lin=f&amp;keep=1&amp;srchmode=1&amp;unlock","Sinocyclocheilus grahami")</f>
        <v>Sinocyclocheilus grahami</v>
      </c>
      <c r="H511" t="s">
        <v>529</v>
      </c>
      <c r="I511" t="str">
        <f>HYPERLINK("http://www.ncbi.nlm.nih.gov/protein/XP_016142988.1","PREDICTED: androgen receptor-like")</f>
        <v>PREDICTED: androgen receptor-like</v>
      </c>
      <c r="J511" t="s">
        <v>1327</v>
      </c>
      <c r="K511" t="s">
        <v>20</v>
      </c>
      <c r="L511">
        <v>639</v>
      </c>
      <c r="M511" t="s">
        <v>25</v>
      </c>
      <c r="N511" t="s">
        <v>20</v>
      </c>
      <c r="O511" t="s">
        <v>1352</v>
      </c>
      <c r="P511" t="s">
        <v>20</v>
      </c>
      <c r="Q511">
        <v>132.119</v>
      </c>
      <c r="R511" t="s">
        <v>20</v>
      </c>
      <c r="S511" t="s">
        <v>20</v>
      </c>
      <c r="T511">
        <v>645</v>
      </c>
      <c r="U511" t="s">
        <v>1313</v>
      </c>
      <c r="V511" t="s">
        <v>20</v>
      </c>
      <c r="W511" t="s">
        <v>1352</v>
      </c>
      <c r="X511" t="s">
        <v>20</v>
      </c>
      <c r="Y511">
        <v>146.14599999999999</v>
      </c>
      <c r="Z511" t="s">
        <v>20</v>
      </c>
      <c r="AA511" t="s">
        <v>20</v>
      </c>
      <c r="AB511">
        <v>686</v>
      </c>
      <c r="AC511" t="s">
        <v>1314</v>
      </c>
      <c r="AD511" t="s">
        <v>20</v>
      </c>
      <c r="AE511" t="s">
        <v>1353</v>
      </c>
      <c r="AF511" t="s">
        <v>20</v>
      </c>
      <c r="AG511">
        <v>174.203</v>
      </c>
      <c r="AH511" t="s">
        <v>20</v>
      </c>
      <c r="AI511" t="s">
        <v>20</v>
      </c>
      <c r="AJ511">
        <v>809</v>
      </c>
      <c r="AK511" t="s">
        <v>1315</v>
      </c>
      <c r="AL511" t="s">
        <v>20</v>
      </c>
      <c r="AM511" t="s">
        <v>1354</v>
      </c>
      <c r="AN511" t="s">
        <v>20</v>
      </c>
      <c r="AO511">
        <v>119.119</v>
      </c>
      <c r="AP511" t="s">
        <v>20</v>
      </c>
      <c r="AQ511" t="s">
        <v>20</v>
      </c>
    </row>
    <row r="512" spans="1:43" x14ac:dyDescent="0.25">
      <c r="A512">
        <v>6</v>
      </c>
      <c r="B512" t="s">
        <v>384</v>
      </c>
      <c r="C512" t="str">
        <f>HYPERLINK("http://www.ncbi.nlm.nih.gov/protein/XP_026227849.1","XP_026227849.1")</f>
        <v>XP_026227849.1</v>
      </c>
      <c r="D512">
        <v>40631</v>
      </c>
      <c r="E512" t="str">
        <f>HYPERLINK("http://www.ncbi.nlm.nih.gov/Taxonomy/Browser/wwwtax.cgi?mode=Info&amp;id=64144&amp;lvl=3&amp;lin=f&amp;keep=1&amp;srchmode=1&amp;unlock","64144")</f>
        <v>64144</v>
      </c>
      <c r="F512" t="s">
        <v>384</v>
      </c>
      <c r="G512" t="str">
        <f>HYPERLINK("http://www.ncbi.nlm.nih.gov/Taxonomy/Browser/wwwtax.cgi?mode=Info&amp;id=64144&amp;lvl=3&amp;lin=f&amp;keep=1&amp;srchmode=1&amp;unlock","Anabas testudineus")</f>
        <v>Anabas testudineus</v>
      </c>
      <c r="H512" t="s">
        <v>553</v>
      </c>
      <c r="I512" t="str">
        <f>HYPERLINK("http://www.ncbi.nlm.nih.gov/protein/XP_026227849.1","androgen receptor")</f>
        <v>androgen receptor</v>
      </c>
      <c r="J512" t="s">
        <v>1327</v>
      </c>
      <c r="K512" t="s">
        <v>20</v>
      </c>
      <c r="L512">
        <v>535</v>
      </c>
      <c r="M512" t="s">
        <v>25</v>
      </c>
      <c r="N512" t="s">
        <v>20</v>
      </c>
      <c r="O512" t="s">
        <v>1352</v>
      </c>
      <c r="P512" t="s">
        <v>20</v>
      </c>
      <c r="Q512">
        <v>132.119</v>
      </c>
      <c r="R512" t="s">
        <v>20</v>
      </c>
      <c r="S512" t="s">
        <v>20</v>
      </c>
      <c r="T512">
        <v>541</v>
      </c>
      <c r="U512" t="s">
        <v>1313</v>
      </c>
      <c r="V512" t="s">
        <v>20</v>
      </c>
      <c r="W512" t="s">
        <v>1352</v>
      </c>
      <c r="X512" t="s">
        <v>20</v>
      </c>
      <c r="Y512">
        <v>146.14599999999999</v>
      </c>
      <c r="Z512" t="s">
        <v>20</v>
      </c>
      <c r="AA512" t="s">
        <v>20</v>
      </c>
      <c r="AB512">
        <v>582</v>
      </c>
      <c r="AC512" t="s">
        <v>1314</v>
      </c>
      <c r="AD512" t="s">
        <v>20</v>
      </c>
      <c r="AE512" t="s">
        <v>1353</v>
      </c>
      <c r="AF512" t="s">
        <v>20</v>
      </c>
      <c r="AG512">
        <v>174.203</v>
      </c>
      <c r="AH512" t="s">
        <v>20</v>
      </c>
      <c r="AI512" t="s">
        <v>20</v>
      </c>
      <c r="AJ512">
        <v>705</v>
      </c>
      <c r="AK512" t="s">
        <v>1315</v>
      </c>
      <c r="AL512" t="s">
        <v>20</v>
      </c>
      <c r="AM512" t="s">
        <v>1354</v>
      </c>
      <c r="AN512" t="s">
        <v>20</v>
      </c>
      <c r="AO512">
        <v>119.119</v>
      </c>
      <c r="AP512" t="s">
        <v>20</v>
      </c>
      <c r="AQ512" t="s">
        <v>20</v>
      </c>
    </row>
    <row r="513" spans="1:43" x14ac:dyDescent="0.25">
      <c r="A513">
        <v>6</v>
      </c>
      <c r="B513" t="s">
        <v>384</v>
      </c>
      <c r="C513" t="str">
        <f>HYPERLINK("http://www.ncbi.nlm.nih.gov/protein/XP_004557452.2","XP_004557452.2")</f>
        <v>XP_004557452.2</v>
      </c>
      <c r="D513">
        <v>46437</v>
      </c>
      <c r="E513" t="str">
        <f>HYPERLINK("http://www.ncbi.nlm.nih.gov/Taxonomy/Browser/wwwtax.cgi?mode=Info&amp;id=106582&amp;lvl=3&amp;lin=f&amp;keep=1&amp;srchmode=1&amp;unlock","106582")</f>
        <v>106582</v>
      </c>
      <c r="F513" t="s">
        <v>384</v>
      </c>
      <c r="G513" t="str">
        <f>HYPERLINK("http://www.ncbi.nlm.nih.gov/Taxonomy/Browser/wwwtax.cgi?mode=Info&amp;id=106582&amp;lvl=3&amp;lin=f&amp;keep=1&amp;srchmode=1&amp;unlock","Maylandia zebra")</f>
        <v>Maylandia zebra</v>
      </c>
      <c r="H513" t="s">
        <v>641</v>
      </c>
      <c r="I513" t="str">
        <f>HYPERLINK("http://www.ncbi.nlm.nih.gov/protein/XP_004557452.2","androgen receptor")</f>
        <v>androgen receptor</v>
      </c>
      <c r="J513" t="s">
        <v>1327</v>
      </c>
      <c r="K513" t="s">
        <v>20</v>
      </c>
      <c r="L513">
        <v>550</v>
      </c>
      <c r="M513" t="s">
        <v>25</v>
      </c>
      <c r="N513" t="s">
        <v>20</v>
      </c>
      <c r="O513" t="s">
        <v>1352</v>
      </c>
      <c r="P513" t="s">
        <v>20</v>
      </c>
      <c r="Q513">
        <v>132.119</v>
      </c>
      <c r="R513" t="s">
        <v>20</v>
      </c>
      <c r="S513" t="s">
        <v>20</v>
      </c>
      <c r="T513">
        <v>556</v>
      </c>
      <c r="U513" t="s">
        <v>1313</v>
      </c>
      <c r="V513" t="s">
        <v>20</v>
      </c>
      <c r="W513" t="s">
        <v>1352</v>
      </c>
      <c r="X513" t="s">
        <v>20</v>
      </c>
      <c r="Y513">
        <v>146.14599999999999</v>
      </c>
      <c r="Z513" t="s">
        <v>20</v>
      </c>
      <c r="AA513" t="s">
        <v>20</v>
      </c>
      <c r="AB513">
        <v>597</v>
      </c>
      <c r="AC513" t="s">
        <v>1314</v>
      </c>
      <c r="AD513" t="s">
        <v>20</v>
      </c>
      <c r="AE513" t="s">
        <v>1353</v>
      </c>
      <c r="AF513" t="s">
        <v>20</v>
      </c>
      <c r="AG513">
        <v>174.203</v>
      </c>
      <c r="AH513" t="s">
        <v>20</v>
      </c>
      <c r="AI513" t="s">
        <v>20</v>
      </c>
      <c r="AJ513">
        <v>720</v>
      </c>
      <c r="AK513" t="s">
        <v>1315</v>
      </c>
      <c r="AL513" t="s">
        <v>20</v>
      </c>
      <c r="AM513" t="s">
        <v>1354</v>
      </c>
      <c r="AN513" t="s">
        <v>20</v>
      </c>
      <c r="AO513">
        <v>119.119</v>
      </c>
      <c r="AP513" t="s">
        <v>20</v>
      </c>
      <c r="AQ513" t="s">
        <v>20</v>
      </c>
    </row>
    <row r="514" spans="1:43" x14ac:dyDescent="0.25">
      <c r="A514">
        <v>6</v>
      </c>
      <c r="B514" t="s">
        <v>384</v>
      </c>
      <c r="C514" t="str">
        <f>HYPERLINK("http://www.ncbi.nlm.nih.gov/protein/XP_031610595.1","XP_031610595.1")</f>
        <v>XP_031610595.1</v>
      </c>
      <c r="D514">
        <v>49810</v>
      </c>
      <c r="E514" t="str">
        <f>HYPERLINK("http://www.ncbi.nlm.nih.gov/Taxonomy/Browser/wwwtax.cgi?mode=Info&amp;id=47969&amp;lvl=3&amp;lin=f&amp;keep=1&amp;srchmode=1&amp;unlock","47969")</f>
        <v>47969</v>
      </c>
      <c r="F514" t="s">
        <v>384</v>
      </c>
      <c r="G514" t="str">
        <f>HYPERLINK("http://www.ncbi.nlm.nih.gov/Taxonomy/Browser/wwwtax.cgi?mode=Info&amp;id=47969&amp;lvl=3&amp;lin=f&amp;keep=1&amp;srchmode=1&amp;unlock","Oreochromis aureus")</f>
        <v>Oreochromis aureus</v>
      </c>
      <c r="H514" t="s">
        <v>626</v>
      </c>
      <c r="I514" t="str">
        <f>HYPERLINK("http://www.ncbi.nlm.nih.gov/protein/XP_031610595.1","androgen receptor")</f>
        <v>androgen receptor</v>
      </c>
      <c r="J514" t="s">
        <v>1327</v>
      </c>
      <c r="K514" t="s">
        <v>20</v>
      </c>
      <c r="L514">
        <v>550</v>
      </c>
      <c r="M514" t="s">
        <v>25</v>
      </c>
      <c r="N514" t="s">
        <v>20</v>
      </c>
      <c r="O514" t="s">
        <v>1352</v>
      </c>
      <c r="P514" t="s">
        <v>20</v>
      </c>
      <c r="Q514">
        <v>132.119</v>
      </c>
      <c r="R514" t="s">
        <v>20</v>
      </c>
      <c r="S514" t="s">
        <v>20</v>
      </c>
      <c r="T514">
        <v>556</v>
      </c>
      <c r="U514" t="s">
        <v>1313</v>
      </c>
      <c r="V514" t="s">
        <v>20</v>
      </c>
      <c r="W514" t="s">
        <v>1352</v>
      </c>
      <c r="X514" t="s">
        <v>20</v>
      </c>
      <c r="Y514">
        <v>146.14599999999999</v>
      </c>
      <c r="Z514" t="s">
        <v>20</v>
      </c>
      <c r="AA514" t="s">
        <v>20</v>
      </c>
      <c r="AB514">
        <v>597</v>
      </c>
      <c r="AC514" t="s">
        <v>1314</v>
      </c>
      <c r="AD514" t="s">
        <v>20</v>
      </c>
      <c r="AE514" t="s">
        <v>1353</v>
      </c>
      <c r="AF514" t="s">
        <v>20</v>
      </c>
      <c r="AG514">
        <v>174.203</v>
      </c>
      <c r="AH514" t="s">
        <v>20</v>
      </c>
      <c r="AI514" t="s">
        <v>20</v>
      </c>
      <c r="AJ514">
        <v>720</v>
      </c>
      <c r="AK514" t="s">
        <v>1315</v>
      </c>
      <c r="AL514" t="s">
        <v>20</v>
      </c>
      <c r="AM514" t="s">
        <v>1354</v>
      </c>
      <c r="AN514" t="s">
        <v>20</v>
      </c>
      <c r="AO514">
        <v>119.119</v>
      </c>
      <c r="AP514" t="s">
        <v>20</v>
      </c>
      <c r="AQ514" t="s">
        <v>20</v>
      </c>
    </row>
    <row r="515" spans="1:43" x14ac:dyDescent="0.25">
      <c r="A515">
        <v>6</v>
      </c>
      <c r="B515" t="s">
        <v>384</v>
      </c>
      <c r="C515" t="str">
        <f>HYPERLINK("http://www.ncbi.nlm.nih.gov/protein/NP_001290296.1","NP_001290296.1")</f>
        <v>NP_001290296.1</v>
      </c>
      <c r="D515">
        <v>94451</v>
      </c>
      <c r="E515" t="str">
        <f>HYPERLINK("http://www.ncbi.nlm.nih.gov/Taxonomy/Browser/wwwtax.cgi?mode=Info&amp;id=215358&amp;lvl=3&amp;lin=f&amp;keep=1&amp;srchmode=1&amp;unlock","215358")</f>
        <v>215358</v>
      </c>
      <c r="F515" t="s">
        <v>384</v>
      </c>
      <c r="G515" t="str">
        <f>HYPERLINK("http://www.ncbi.nlm.nih.gov/Taxonomy/Browser/wwwtax.cgi?mode=Info&amp;id=215358&amp;lvl=3&amp;lin=f&amp;keep=1&amp;srchmode=1&amp;unlock","Larimichthys crocea")</f>
        <v>Larimichthys crocea</v>
      </c>
      <c r="H515" t="s">
        <v>557</v>
      </c>
      <c r="I515" t="str">
        <f>HYPERLINK("http://www.ncbi.nlm.nih.gov/protein/NP_001290296.1","androgen receptor")</f>
        <v>androgen receptor</v>
      </c>
      <c r="J515" t="s">
        <v>1327</v>
      </c>
      <c r="K515" t="s">
        <v>20</v>
      </c>
      <c r="L515">
        <v>537</v>
      </c>
      <c r="M515" t="s">
        <v>25</v>
      </c>
      <c r="N515" t="s">
        <v>20</v>
      </c>
      <c r="O515" t="s">
        <v>1352</v>
      </c>
      <c r="P515" t="s">
        <v>20</v>
      </c>
      <c r="Q515">
        <v>132.119</v>
      </c>
      <c r="R515" t="s">
        <v>20</v>
      </c>
      <c r="S515" t="s">
        <v>20</v>
      </c>
      <c r="T515">
        <v>543</v>
      </c>
      <c r="U515" t="s">
        <v>1313</v>
      </c>
      <c r="V515" t="s">
        <v>20</v>
      </c>
      <c r="W515" t="s">
        <v>1352</v>
      </c>
      <c r="X515" t="s">
        <v>20</v>
      </c>
      <c r="Y515">
        <v>146.14599999999999</v>
      </c>
      <c r="Z515" t="s">
        <v>20</v>
      </c>
      <c r="AA515" t="s">
        <v>20</v>
      </c>
      <c r="AB515">
        <v>584</v>
      </c>
      <c r="AC515" t="s">
        <v>1314</v>
      </c>
      <c r="AD515" t="s">
        <v>20</v>
      </c>
      <c r="AE515" t="s">
        <v>1353</v>
      </c>
      <c r="AF515" t="s">
        <v>20</v>
      </c>
      <c r="AG515">
        <v>174.203</v>
      </c>
      <c r="AH515" t="s">
        <v>20</v>
      </c>
      <c r="AI515" t="s">
        <v>20</v>
      </c>
      <c r="AJ515">
        <v>707</v>
      </c>
      <c r="AK515" t="s">
        <v>1315</v>
      </c>
      <c r="AL515" t="s">
        <v>20</v>
      </c>
      <c r="AM515" t="s">
        <v>1354</v>
      </c>
      <c r="AN515" t="s">
        <v>20</v>
      </c>
      <c r="AO515">
        <v>119.119</v>
      </c>
      <c r="AP515" t="s">
        <v>20</v>
      </c>
      <c r="AQ515" t="s">
        <v>20</v>
      </c>
    </row>
    <row r="516" spans="1:43" x14ac:dyDescent="0.25">
      <c r="A516">
        <v>6</v>
      </c>
      <c r="B516" t="s">
        <v>384</v>
      </c>
      <c r="C516" t="str">
        <f>HYPERLINK("http://www.ncbi.nlm.nih.gov/protein/XP_036378850.1","XP_036378850.1")</f>
        <v>XP_036378850.1</v>
      </c>
      <c r="D516">
        <v>40209</v>
      </c>
      <c r="E516" t="str">
        <f>HYPERLINK("http://www.ncbi.nlm.nih.gov/Taxonomy/Browser/wwwtax.cgi?mode=Info&amp;id=118141&amp;lvl=3&amp;lin=f&amp;keep=1&amp;srchmode=1&amp;unlock","118141")</f>
        <v>118141</v>
      </c>
      <c r="F516" t="s">
        <v>384</v>
      </c>
      <c r="G516" t="str">
        <f>HYPERLINK("http://www.ncbi.nlm.nih.gov/Taxonomy/Browser/wwwtax.cgi?mode=Info&amp;id=118141&amp;lvl=3&amp;lin=f&amp;keep=1&amp;srchmode=1&amp;unlock","Megalops cyprinoides")</f>
        <v>Megalops cyprinoides</v>
      </c>
      <c r="H516" t="s">
        <v>564</v>
      </c>
      <c r="I516" t="str">
        <f>HYPERLINK("http://www.ncbi.nlm.nih.gov/protein/XP_036378850.1","androgen receptor")</f>
        <v>androgen receptor</v>
      </c>
      <c r="J516" t="s">
        <v>1327</v>
      </c>
      <c r="K516" t="s">
        <v>20</v>
      </c>
      <c r="L516">
        <v>648</v>
      </c>
      <c r="M516" t="s">
        <v>25</v>
      </c>
      <c r="N516" t="s">
        <v>20</v>
      </c>
      <c r="O516" t="s">
        <v>1352</v>
      </c>
      <c r="P516" t="s">
        <v>20</v>
      </c>
      <c r="Q516">
        <v>132.119</v>
      </c>
      <c r="R516" t="s">
        <v>20</v>
      </c>
      <c r="S516" t="s">
        <v>20</v>
      </c>
      <c r="T516">
        <v>654</v>
      </c>
      <c r="U516" t="s">
        <v>1313</v>
      </c>
      <c r="V516" t="s">
        <v>20</v>
      </c>
      <c r="W516" t="s">
        <v>1352</v>
      </c>
      <c r="X516" t="s">
        <v>20</v>
      </c>
      <c r="Y516">
        <v>146.14599999999999</v>
      </c>
      <c r="Z516" t="s">
        <v>20</v>
      </c>
      <c r="AA516" t="s">
        <v>20</v>
      </c>
      <c r="AB516">
        <v>695</v>
      </c>
      <c r="AC516" t="s">
        <v>1314</v>
      </c>
      <c r="AD516" t="s">
        <v>20</v>
      </c>
      <c r="AE516" t="s">
        <v>1353</v>
      </c>
      <c r="AF516" t="s">
        <v>20</v>
      </c>
      <c r="AG516">
        <v>174.203</v>
      </c>
      <c r="AH516" t="s">
        <v>20</v>
      </c>
      <c r="AI516" t="s">
        <v>20</v>
      </c>
      <c r="AJ516">
        <v>818</v>
      </c>
      <c r="AK516" t="s">
        <v>1315</v>
      </c>
      <c r="AL516" t="s">
        <v>20</v>
      </c>
      <c r="AM516" t="s">
        <v>1354</v>
      </c>
      <c r="AN516" t="s">
        <v>20</v>
      </c>
      <c r="AO516">
        <v>119.119</v>
      </c>
      <c r="AP516" t="s">
        <v>20</v>
      </c>
      <c r="AQ516" t="s">
        <v>20</v>
      </c>
    </row>
    <row r="517" spans="1:43" x14ac:dyDescent="0.25">
      <c r="A517">
        <v>6</v>
      </c>
      <c r="B517" t="s">
        <v>384</v>
      </c>
      <c r="C517" t="str">
        <f>HYPERLINK("http://www.ncbi.nlm.nih.gov/protein/XP_035382924.1","XP_035382924.1")</f>
        <v>XP_035382924.1</v>
      </c>
      <c r="D517">
        <v>45368</v>
      </c>
      <c r="E517" t="str">
        <f>HYPERLINK("http://www.ncbi.nlm.nih.gov/Taxonomy/Browser/wwwtax.cgi?mode=Info&amp;id=8005&amp;lvl=3&amp;lin=f&amp;keep=1&amp;srchmode=1&amp;unlock","8005")</f>
        <v>8005</v>
      </c>
      <c r="F517" t="s">
        <v>384</v>
      </c>
      <c r="G517" t="str">
        <f>HYPERLINK("http://www.ncbi.nlm.nih.gov/Taxonomy/Browser/wwwtax.cgi?mode=Info&amp;id=8005&amp;lvl=3&amp;lin=f&amp;keep=1&amp;srchmode=1&amp;unlock","Electrophorus electricus")</f>
        <v>Electrophorus electricus</v>
      </c>
      <c r="H517" t="s">
        <v>606</v>
      </c>
      <c r="I517" t="str">
        <f>HYPERLINK("http://www.ncbi.nlm.nih.gov/protein/XP_035382924.1","androgen receptor isoform X1")</f>
        <v>androgen receptor isoform X1</v>
      </c>
      <c r="J517" t="s">
        <v>1327</v>
      </c>
      <c r="K517" t="s">
        <v>20</v>
      </c>
      <c r="L517">
        <v>643</v>
      </c>
      <c r="M517" t="s">
        <v>25</v>
      </c>
      <c r="N517" t="s">
        <v>20</v>
      </c>
      <c r="O517" t="s">
        <v>1352</v>
      </c>
      <c r="P517" t="s">
        <v>20</v>
      </c>
      <c r="Q517">
        <v>132.119</v>
      </c>
      <c r="R517" t="s">
        <v>20</v>
      </c>
      <c r="S517" t="s">
        <v>20</v>
      </c>
      <c r="T517">
        <v>649</v>
      </c>
      <c r="U517" t="s">
        <v>1313</v>
      </c>
      <c r="V517" t="s">
        <v>20</v>
      </c>
      <c r="W517" t="s">
        <v>1352</v>
      </c>
      <c r="X517" t="s">
        <v>20</v>
      </c>
      <c r="Y517">
        <v>146.14599999999999</v>
      </c>
      <c r="Z517" t="s">
        <v>20</v>
      </c>
      <c r="AA517" t="s">
        <v>20</v>
      </c>
      <c r="AB517">
        <v>690</v>
      </c>
      <c r="AC517" t="s">
        <v>1314</v>
      </c>
      <c r="AD517" t="s">
        <v>20</v>
      </c>
      <c r="AE517" t="s">
        <v>1353</v>
      </c>
      <c r="AF517" t="s">
        <v>20</v>
      </c>
      <c r="AG517">
        <v>174.203</v>
      </c>
      <c r="AH517" t="s">
        <v>20</v>
      </c>
      <c r="AI517" t="s">
        <v>20</v>
      </c>
      <c r="AJ517">
        <v>813</v>
      </c>
      <c r="AK517" t="s">
        <v>1315</v>
      </c>
      <c r="AL517" t="s">
        <v>20</v>
      </c>
      <c r="AM517" t="s">
        <v>1354</v>
      </c>
      <c r="AN517" t="s">
        <v>20</v>
      </c>
      <c r="AO517">
        <v>119.119</v>
      </c>
      <c r="AP517" t="s">
        <v>20</v>
      </c>
      <c r="AQ517" t="s">
        <v>20</v>
      </c>
    </row>
    <row r="518" spans="1:43" x14ac:dyDescent="0.25">
      <c r="A518">
        <v>6</v>
      </c>
      <c r="B518" t="s">
        <v>384</v>
      </c>
      <c r="C518" t="str">
        <f>HYPERLINK("http://www.ncbi.nlm.nih.gov/protein/XP_035481930.1","XP_035481930.1")</f>
        <v>XP_035481930.1</v>
      </c>
      <c r="D518">
        <v>101851</v>
      </c>
      <c r="E518" t="str">
        <f>HYPERLINK("http://www.ncbi.nlm.nih.gov/Taxonomy/Browser/wwwtax.cgi?mode=Info&amp;id=52904&amp;lvl=3&amp;lin=f&amp;keep=1&amp;srchmode=1&amp;unlock","52904")</f>
        <v>52904</v>
      </c>
      <c r="F518" t="s">
        <v>384</v>
      </c>
      <c r="G518" t="str">
        <f>HYPERLINK("http://www.ncbi.nlm.nih.gov/Taxonomy/Browser/wwwtax.cgi?mode=Info&amp;id=52904&amp;lvl=3&amp;lin=f&amp;keep=1&amp;srchmode=1&amp;unlock","Scophthalmus maximus")</f>
        <v>Scophthalmus maximus</v>
      </c>
      <c r="H518" t="s">
        <v>595</v>
      </c>
      <c r="I518" t="str">
        <f>HYPERLINK("http://www.ncbi.nlm.nih.gov/protein/XP_035481930.1","androgen receptor-like isoform X2")</f>
        <v>androgen receptor-like isoform X2</v>
      </c>
      <c r="J518" t="s">
        <v>1327</v>
      </c>
      <c r="K518" t="s">
        <v>20</v>
      </c>
      <c r="L518">
        <v>527</v>
      </c>
      <c r="M518" t="s">
        <v>25</v>
      </c>
      <c r="N518" t="s">
        <v>20</v>
      </c>
      <c r="O518" t="s">
        <v>1352</v>
      </c>
      <c r="P518" t="s">
        <v>20</v>
      </c>
      <c r="Q518">
        <v>132.119</v>
      </c>
      <c r="R518" t="s">
        <v>20</v>
      </c>
      <c r="S518" t="s">
        <v>20</v>
      </c>
      <c r="T518">
        <v>533</v>
      </c>
      <c r="U518" t="s">
        <v>1313</v>
      </c>
      <c r="V518" t="s">
        <v>20</v>
      </c>
      <c r="W518" t="s">
        <v>1352</v>
      </c>
      <c r="X518" t="s">
        <v>20</v>
      </c>
      <c r="Y518">
        <v>146.14599999999999</v>
      </c>
      <c r="Z518" t="s">
        <v>20</v>
      </c>
      <c r="AA518" t="s">
        <v>20</v>
      </c>
      <c r="AB518">
        <v>574</v>
      </c>
      <c r="AC518" t="s">
        <v>1314</v>
      </c>
      <c r="AD518" t="s">
        <v>20</v>
      </c>
      <c r="AE518" t="s">
        <v>1353</v>
      </c>
      <c r="AF518" t="s">
        <v>20</v>
      </c>
      <c r="AG518">
        <v>174.203</v>
      </c>
      <c r="AH518" t="s">
        <v>20</v>
      </c>
      <c r="AI518" t="s">
        <v>20</v>
      </c>
      <c r="AJ518">
        <v>697</v>
      </c>
      <c r="AK518" t="s">
        <v>1315</v>
      </c>
      <c r="AL518" t="s">
        <v>20</v>
      </c>
      <c r="AM518" t="s">
        <v>1354</v>
      </c>
      <c r="AN518" t="s">
        <v>20</v>
      </c>
      <c r="AO518">
        <v>119.119</v>
      </c>
      <c r="AP518" t="s">
        <v>20</v>
      </c>
      <c r="AQ518" t="s">
        <v>20</v>
      </c>
    </row>
    <row r="519" spans="1:43" x14ac:dyDescent="0.25">
      <c r="A519">
        <v>6</v>
      </c>
      <c r="B519" t="s">
        <v>384</v>
      </c>
      <c r="C519" t="str">
        <f>HYPERLINK("http://www.ncbi.nlm.nih.gov/protein/ALK16305.1","ALK16305.1")</f>
        <v>ALK16305.1</v>
      </c>
      <c r="D519">
        <v>25404</v>
      </c>
      <c r="E519" t="str">
        <f>HYPERLINK("http://www.ncbi.nlm.nih.gov/Taxonomy/Browser/wwwtax.cgi?mode=Info&amp;id=150288&amp;lvl=3&amp;lin=f&amp;keep=1&amp;srchmode=1&amp;unlock","150288")</f>
        <v>150288</v>
      </c>
      <c r="F519" t="s">
        <v>384</v>
      </c>
      <c r="G519" t="str">
        <f>HYPERLINK("http://www.ncbi.nlm.nih.gov/Taxonomy/Browser/wwwtax.cgi?mode=Info&amp;id=150288&amp;lvl=3&amp;lin=f&amp;keep=1&amp;srchmode=1&amp;unlock","Boleophthalmus pectinirostris")</f>
        <v>Boleophthalmus pectinirostris</v>
      </c>
      <c r="H519" t="s">
        <v>521</v>
      </c>
      <c r="I519" t="str">
        <f>HYPERLINK("http://www.ncbi.nlm.nih.gov/protein/ALK16305.1","androgen receptor")</f>
        <v>androgen receptor</v>
      </c>
      <c r="J519" t="s">
        <v>1327</v>
      </c>
      <c r="K519" t="s">
        <v>20</v>
      </c>
      <c r="L519">
        <v>499</v>
      </c>
      <c r="M519" t="s">
        <v>25</v>
      </c>
      <c r="N519" t="s">
        <v>20</v>
      </c>
      <c r="O519" t="s">
        <v>1352</v>
      </c>
      <c r="P519" t="s">
        <v>20</v>
      </c>
      <c r="Q519">
        <v>132.119</v>
      </c>
      <c r="R519" t="s">
        <v>20</v>
      </c>
      <c r="S519" t="s">
        <v>20</v>
      </c>
      <c r="T519">
        <v>505</v>
      </c>
      <c r="U519" t="s">
        <v>1313</v>
      </c>
      <c r="V519" t="s">
        <v>20</v>
      </c>
      <c r="W519" t="s">
        <v>1352</v>
      </c>
      <c r="X519" t="s">
        <v>20</v>
      </c>
      <c r="Y519">
        <v>146.14599999999999</v>
      </c>
      <c r="Z519" t="s">
        <v>20</v>
      </c>
      <c r="AA519" t="s">
        <v>20</v>
      </c>
      <c r="AB519">
        <v>546</v>
      </c>
      <c r="AC519" t="s">
        <v>1314</v>
      </c>
      <c r="AD519" t="s">
        <v>20</v>
      </c>
      <c r="AE519" t="s">
        <v>1353</v>
      </c>
      <c r="AF519" t="s">
        <v>20</v>
      </c>
      <c r="AG519">
        <v>174.203</v>
      </c>
      <c r="AH519" t="s">
        <v>20</v>
      </c>
      <c r="AI519" t="s">
        <v>20</v>
      </c>
      <c r="AJ519">
        <v>669</v>
      </c>
      <c r="AK519" t="s">
        <v>1315</v>
      </c>
      <c r="AL519" t="s">
        <v>20</v>
      </c>
      <c r="AM519" t="s">
        <v>1354</v>
      </c>
      <c r="AN519" t="s">
        <v>20</v>
      </c>
      <c r="AO519">
        <v>119.119</v>
      </c>
      <c r="AP519" t="s">
        <v>20</v>
      </c>
      <c r="AQ519" t="s">
        <v>20</v>
      </c>
    </row>
    <row r="520" spans="1:43" x14ac:dyDescent="0.25">
      <c r="A520">
        <v>6</v>
      </c>
      <c r="B520" t="s">
        <v>384</v>
      </c>
      <c r="C520" t="str">
        <f>HYPERLINK("http://www.ncbi.nlm.nih.gov/protein/TKS83515.1","TKS83515.1")</f>
        <v>TKS83515.1</v>
      </c>
      <c r="D520">
        <v>28569</v>
      </c>
      <c r="E520" t="str">
        <f>HYPERLINK("http://www.ncbi.nlm.nih.gov/Taxonomy/Browser/wwwtax.cgi?mode=Info&amp;id=240159&amp;lvl=3&amp;lin=f&amp;keep=1&amp;srchmode=1&amp;unlock","240159")</f>
        <v>240159</v>
      </c>
      <c r="F520" t="s">
        <v>384</v>
      </c>
      <c r="G520" t="str">
        <f>HYPERLINK("http://www.ncbi.nlm.nih.gov/Taxonomy/Browser/wwwtax.cgi?mode=Info&amp;id=240159&amp;lvl=3&amp;lin=f&amp;keep=1&amp;srchmode=1&amp;unlock","Collichthys lucidus")</f>
        <v>Collichthys lucidus</v>
      </c>
      <c r="H520" t="s">
        <v>528</v>
      </c>
      <c r="I520" t="str">
        <f>HYPERLINK("http://www.ncbi.nlm.nih.gov/protein/TKS83515.1","Androgen receptor")</f>
        <v>Androgen receptor</v>
      </c>
      <c r="J520" t="s">
        <v>1327</v>
      </c>
      <c r="K520" t="s">
        <v>20</v>
      </c>
      <c r="L520">
        <v>443</v>
      </c>
      <c r="M520" t="s">
        <v>25</v>
      </c>
      <c r="N520" t="s">
        <v>20</v>
      </c>
      <c r="O520" t="s">
        <v>1352</v>
      </c>
      <c r="P520" t="s">
        <v>20</v>
      </c>
      <c r="Q520">
        <v>132.119</v>
      </c>
      <c r="R520" t="s">
        <v>20</v>
      </c>
      <c r="S520" t="s">
        <v>20</v>
      </c>
      <c r="T520">
        <v>449</v>
      </c>
      <c r="U520" t="s">
        <v>1313</v>
      </c>
      <c r="V520" t="s">
        <v>20</v>
      </c>
      <c r="W520" t="s">
        <v>1352</v>
      </c>
      <c r="X520" t="s">
        <v>20</v>
      </c>
      <c r="Y520">
        <v>146.14599999999999</v>
      </c>
      <c r="Z520" t="s">
        <v>20</v>
      </c>
      <c r="AA520" t="s">
        <v>20</v>
      </c>
      <c r="AB520">
        <v>490</v>
      </c>
      <c r="AC520" t="s">
        <v>1314</v>
      </c>
      <c r="AD520" t="s">
        <v>20</v>
      </c>
      <c r="AE520" t="s">
        <v>1353</v>
      </c>
      <c r="AF520" t="s">
        <v>20</v>
      </c>
      <c r="AG520">
        <v>174.203</v>
      </c>
      <c r="AH520" t="s">
        <v>20</v>
      </c>
      <c r="AI520" t="s">
        <v>20</v>
      </c>
      <c r="AJ520">
        <v>613</v>
      </c>
      <c r="AK520" t="s">
        <v>1315</v>
      </c>
      <c r="AL520" t="s">
        <v>20</v>
      </c>
      <c r="AM520" t="s">
        <v>1354</v>
      </c>
      <c r="AN520" t="s">
        <v>20</v>
      </c>
      <c r="AO520">
        <v>119.119</v>
      </c>
      <c r="AP520" t="s">
        <v>20</v>
      </c>
      <c r="AQ520" t="s">
        <v>20</v>
      </c>
    </row>
    <row r="521" spans="1:43" x14ac:dyDescent="0.25">
      <c r="A521">
        <v>6</v>
      </c>
      <c r="B521" t="s">
        <v>384</v>
      </c>
      <c r="C521" t="str">
        <f>HYPERLINK("http://www.ncbi.nlm.nih.gov/protein/ADI24924.1","ADI24924.1")</f>
        <v>ADI24924.1</v>
      </c>
      <c r="D521">
        <v>54</v>
      </c>
      <c r="E521" t="str">
        <f>HYPERLINK("http://www.ncbi.nlm.nih.gov/Taxonomy/Browser/wwwtax.cgi?mode=Info&amp;id=98377&amp;lvl=3&amp;lin=f&amp;keep=1&amp;srchmode=1&amp;unlock","98377")</f>
        <v>98377</v>
      </c>
      <c r="F521" t="s">
        <v>384</v>
      </c>
      <c r="G521" t="str">
        <f>HYPERLINK("http://www.ncbi.nlm.nih.gov/Taxonomy/Browser/wwwtax.cgi?mode=Info&amp;id=98377&amp;lvl=3&amp;lin=f&amp;keep=1&amp;srchmode=1&amp;unlock","Pseudolabrus sieboldi")</f>
        <v>Pseudolabrus sieboldi</v>
      </c>
      <c r="H521" t="s">
        <v>1009</v>
      </c>
      <c r="I521" t="str">
        <f>HYPERLINK("http://www.ncbi.nlm.nih.gov/protein/ADI24924.1","androgen receptor")</f>
        <v>androgen receptor</v>
      </c>
      <c r="J521" t="s">
        <v>1327</v>
      </c>
      <c r="K521" t="s">
        <v>20</v>
      </c>
      <c r="L521">
        <v>544</v>
      </c>
      <c r="M521" t="s">
        <v>25</v>
      </c>
      <c r="N521" t="s">
        <v>20</v>
      </c>
      <c r="O521" t="s">
        <v>1352</v>
      </c>
      <c r="P521" t="s">
        <v>20</v>
      </c>
      <c r="Q521">
        <v>132.119</v>
      </c>
      <c r="R521" t="s">
        <v>20</v>
      </c>
      <c r="S521" t="s">
        <v>20</v>
      </c>
      <c r="T521">
        <v>550</v>
      </c>
      <c r="U521" t="s">
        <v>1313</v>
      </c>
      <c r="V521" t="s">
        <v>20</v>
      </c>
      <c r="W521" t="s">
        <v>1352</v>
      </c>
      <c r="X521" t="s">
        <v>20</v>
      </c>
      <c r="Y521">
        <v>146.14599999999999</v>
      </c>
      <c r="Z521" t="s">
        <v>20</v>
      </c>
      <c r="AA521" t="s">
        <v>20</v>
      </c>
      <c r="AB521">
        <v>591</v>
      </c>
      <c r="AC521" t="s">
        <v>1314</v>
      </c>
      <c r="AD521" t="s">
        <v>20</v>
      </c>
      <c r="AE521" t="s">
        <v>1353</v>
      </c>
      <c r="AF521" t="s">
        <v>20</v>
      </c>
      <c r="AG521">
        <v>174.203</v>
      </c>
      <c r="AH521" t="s">
        <v>20</v>
      </c>
      <c r="AI521" t="s">
        <v>20</v>
      </c>
      <c r="AJ521">
        <v>714</v>
      </c>
      <c r="AK521" t="s">
        <v>1315</v>
      </c>
      <c r="AL521" t="s">
        <v>20</v>
      </c>
      <c r="AM521" t="s">
        <v>1354</v>
      </c>
      <c r="AN521" t="s">
        <v>20</v>
      </c>
      <c r="AO521">
        <v>119.119</v>
      </c>
      <c r="AP521" t="s">
        <v>20</v>
      </c>
      <c r="AQ521" t="s">
        <v>20</v>
      </c>
    </row>
    <row r="522" spans="1:43" x14ac:dyDescent="0.25">
      <c r="A522">
        <v>6</v>
      </c>
      <c r="B522" t="s">
        <v>384</v>
      </c>
      <c r="C522" t="str">
        <f>HYPERLINK("http://www.ncbi.nlm.nih.gov/protein/BAI58984.1","BAI58984.1")</f>
        <v>BAI58984.1</v>
      </c>
      <c r="D522">
        <v>47310</v>
      </c>
      <c r="E522" t="str">
        <f>HYPERLINK("http://www.ncbi.nlm.nih.gov/Taxonomy/Browser/wwwtax.cgi?mode=Info&amp;id=8090&amp;lvl=3&amp;lin=f&amp;keep=1&amp;srchmode=1&amp;unlock","8090")</f>
        <v>8090</v>
      </c>
      <c r="F522" t="s">
        <v>384</v>
      </c>
      <c r="G522" t="str">
        <f>HYPERLINK("http://www.ncbi.nlm.nih.gov/Taxonomy/Browser/wwwtax.cgi?mode=Info&amp;id=8090&amp;lvl=3&amp;lin=f&amp;keep=1&amp;srchmode=1&amp;unlock","Oryzias latipes")</f>
        <v>Oryzias latipes</v>
      </c>
      <c r="H522" t="s">
        <v>644</v>
      </c>
      <c r="I522" t="str">
        <f>HYPERLINK("http://www.ncbi.nlm.nih.gov/protein/BAI58984.1","androgen receptor beta subtype")</f>
        <v>androgen receptor beta subtype</v>
      </c>
      <c r="J522" t="s">
        <v>1327</v>
      </c>
      <c r="K522" t="s">
        <v>20</v>
      </c>
      <c r="L522">
        <v>531</v>
      </c>
      <c r="M522" t="s">
        <v>25</v>
      </c>
      <c r="N522" t="s">
        <v>20</v>
      </c>
      <c r="O522" t="s">
        <v>1352</v>
      </c>
      <c r="P522" t="s">
        <v>20</v>
      </c>
      <c r="Q522">
        <v>132.119</v>
      </c>
      <c r="R522" t="s">
        <v>20</v>
      </c>
      <c r="S522" t="s">
        <v>20</v>
      </c>
      <c r="T522">
        <v>537</v>
      </c>
      <c r="U522" t="s">
        <v>1313</v>
      </c>
      <c r="V522" t="s">
        <v>20</v>
      </c>
      <c r="W522" t="s">
        <v>1352</v>
      </c>
      <c r="X522" t="s">
        <v>20</v>
      </c>
      <c r="Y522">
        <v>146.14599999999999</v>
      </c>
      <c r="Z522" t="s">
        <v>20</v>
      </c>
      <c r="AA522" t="s">
        <v>20</v>
      </c>
      <c r="AB522">
        <v>578</v>
      </c>
      <c r="AC522" t="s">
        <v>1314</v>
      </c>
      <c r="AD522" t="s">
        <v>20</v>
      </c>
      <c r="AE522" t="s">
        <v>1353</v>
      </c>
      <c r="AF522" t="s">
        <v>20</v>
      </c>
      <c r="AG522">
        <v>174.203</v>
      </c>
      <c r="AH522" t="s">
        <v>20</v>
      </c>
      <c r="AI522" t="s">
        <v>20</v>
      </c>
      <c r="AJ522">
        <v>701</v>
      </c>
      <c r="AK522" t="s">
        <v>1315</v>
      </c>
      <c r="AL522" t="s">
        <v>20</v>
      </c>
      <c r="AM522" t="s">
        <v>1354</v>
      </c>
      <c r="AN522" t="s">
        <v>20</v>
      </c>
      <c r="AO522">
        <v>119.119</v>
      </c>
      <c r="AP522" t="s">
        <v>20</v>
      </c>
      <c r="AQ522" t="s">
        <v>20</v>
      </c>
    </row>
    <row r="523" spans="1:43" x14ac:dyDescent="0.25">
      <c r="A523">
        <v>6</v>
      </c>
      <c r="B523" t="s">
        <v>384</v>
      </c>
      <c r="C523" t="str">
        <f>HYPERLINK("http://www.ncbi.nlm.nih.gov/protein/XP_040907264.1","XP_040907264.1")</f>
        <v>XP_040907264.1</v>
      </c>
      <c r="D523">
        <v>38442</v>
      </c>
      <c r="E523" t="str">
        <f>HYPERLINK("http://www.ncbi.nlm.nih.gov/Taxonomy/Browser/wwwtax.cgi?mode=Info&amp;id=941984&amp;lvl=3&amp;lin=f&amp;keep=1&amp;srchmode=1&amp;unlock","941984")</f>
        <v>941984</v>
      </c>
      <c r="F523" t="s">
        <v>384</v>
      </c>
      <c r="G523" t="str">
        <f>HYPERLINK("http://www.ncbi.nlm.nih.gov/Taxonomy/Browser/wwwtax.cgi?mode=Info&amp;id=941984&amp;lvl=3&amp;lin=f&amp;keep=1&amp;srchmode=1&amp;unlock","Toxotes jaculatrix")</f>
        <v>Toxotes jaculatrix</v>
      </c>
      <c r="H523" t="s">
        <v>531</v>
      </c>
      <c r="I523" t="str">
        <f>HYPERLINK("http://www.ncbi.nlm.nih.gov/protein/XP_040907264.1","androgen receptor isoform X1")</f>
        <v>androgen receptor isoform X1</v>
      </c>
      <c r="J523" t="s">
        <v>1327</v>
      </c>
      <c r="K523" t="s">
        <v>20</v>
      </c>
      <c r="L523">
        <v>542</v>
      </c>
      <c r="M523" t="s">
        <v>25</v>
      </c>
      <c r="N523" t="s">
        <v>20</v>
      </c>
      <c r="O523" t="s">
        <v>1352</v>
      </c>
      <c r="P523" t="s">
        <v>20</v>
      </c>
      <c r="Q523">
        <v>132.119</v>
      </c>
      <c r="R523" t="s">
        <v>20</v>
      </c>
      <c r="S523" t="s">
        <v>20</v>
      </c>
      <c r="T523">
        <v>548</v>
      </c>
      <c r="U523" t="s">
        <v>1313</v>
      </c>
      <c r="V523" t="s">
        <v>20</v>
      </c>
      <c r="W523" t="s">
        <v>1352</v>
      </c>
      <c r="X523" t="s">
        <v>20</v>
      </c>
      <c r="Y523">
        <v>146.14599999999999</v>
      </c>
      <c r="Z523" t="s">
        <v>20</v>
      </c>
      <c r="AA523" t="s">
        <v>20</v>
      </c>
      <c r="AB523">
        <v>589</v>
      </c>
      <c r="AC523" t="s">
        <v>1314</v>
      </c>
      <c r="AD523" t="s">
        <v>20</v>
      </c>
      <c r="AE523" t="s">
        <v>1353</v>
      </c>
      <c r="AF523" t="s">
        <v>20</v>
      </c>
      <c r="AG523">
        <v>174.203</v>
      </c>
      <c r="AH523" t="s">
        <v>20</v>
      </c>
      <c r="AI523" t="s">
        <v>20</v>
      </c>
      <c r="AJ523">
        <v>712</v>
      </c>
      <c r="AK523" t="s">
        <v>1315</v>
      </c>
      <c r="AL523" t="s">
        <v>20</v>
      </c>
      <c r="AM523" t="s">
        <v>1354</v>
      </c>
      <c r="AN523" t="s">
        <v>20</v>
      </c>
      <c r="AO523">
        <v>119.119</v>
      </c>
      <c r="AP523" t="s">
        <v>20</v>
      </c>
      <c r="AQ523" t="s">
        <v>20</v>
      </c>
    </row>
    <row r="524" spans="1:43" x14ac:dyDescent="0.25">
      <c r="A524">
        <v>6</v>
      </c>
      <c r="B524" t="s">
        <v>384</v>
      </c>
      <c r="C524" t="str">
        <f>HYPERLINK("http://www.ncbi.nlm.nih.gov/protein/AYM51328.1","AYM51328.1")</f>
        <v>AYM51328.1</v>
      </c>
      <c r="D524">
        <v>49355</v>
      </c>
      <c r="E524" t="str">
        <f>HYPERLINK("http://www.ncbi.nlm.nih.gov/Taxonomy/Browser/wwwtax.cgi?mode=Info&amp;id=158456&amp;lvl=3&amp;lin=f&amp;keep=1&amp;srchmode=1&amp;unlock","158456")</f>
        <v>158456</v>
      </c>
      <c r="F524" t="s">
        <v>384</v>
      </c>
      <c r="G524" t="str">
        <f>HYPERLINK("http://www.ncbi.nlm.nih.gov/Taxonomy/Browser/wwwtax.cgi?mode=Info&amp;id=158456&amp;lvl=3&amp;lin=f&amp;keep=1&amp;srchmode=1&amp;unlock","Betta splendens")</f>
        <v>Betta splendens</v>
      </c>
      <c r="H524" t="s">
        <v>592</v>
      </c>
      <c r="I524" t="str">
        <f>HYPERLINK("http://www.ncbi.nlm.nih.gov/protein/AYM51328.1","androgen receptor ARb")</f>
        <v>androgen receptor ARb</v>
      </c>
      <c r="J524" t="s">
        <v>1327</v>
      </c>
      <c r="K524" t="s">
        <v>20</v>
      </c>
      <c r="L524">
        <v>528</v>
      </c>
      <c r="M524" t="s">
        <v>25</v>
      </c>
      <c r="N524" t="s">
        <v>20</v>
      </c>
      <c r="O524" t="s">
        <v>1352</v>
      </c>
      <c r="P524" t="s">
        <v>20</v>
      </c>
      <c r="Q524">
        <v>132.119</v>
      </c>
      <c r="R524" t="s">
        <v>20</v>
      </c>
      <c r="S524" t="s">
        <v>20</v>
      </c>
      <c r="T524">
        <v>534</v>
      </c>
      <c r="U524" t="s">
        <v>1313</v>
      </c>
      <c r="V524" t="s">
        <v>20</v>
      </c>
      <c r="W524" t="s">
        <v>1352</v>
      </c>
      <c r="X524" t="s">
        <v>20</v>
      </c>
      <c r="Y524">
        <v>146.14599999999999</v>
      </c>
      <c r="Z524" t="s">
        <v>20</v>
      </c>
      <c r="AA524" t="s">
        <v>20</v>
      </c>
      <c r="AB524">
        <v>575</v>
      </c>
      <c r="AC524" t="s">
        <v>1314</v>
      </c>
      <c r="AD524" t="s">
        <v>20</v>
      </c>
      <c r="AE524" t="s">
        <v>1353</v>
      </c>
      <c r="AF524" t="s">
        <v>20</v>
      </c>
      <c r="AG524">
        <v>174.203</v>
      </c>
      <c r="AH524" t="s">
        <v>20</v>
      </c>
      <c r="AI524" t="s">
        <v>20</v>
      </c>
      <c r="AJ524">
        <v>698</v>
      </c>
      <c r="AK524" t="s">
        <v>1315</v>
      </c>
      <c r="AL524" t="s">
        <v>20</v>
      </c>
      <c r="AM524" t="s">
        <v>1354</v>
      </c>
      <c r="AN524" t="s">
        <v>20</v>
      </c>
      <c r="AO524">
        <v>119.119</v>
      </c>
      <c r="AP524" t="s">
        <v>20</v>
      </c>
      <c r="AQ524" t="s">
        <v>20</v>
      </c>
    </row>
    <row r="525" spans="1:43" x14ac:dyDescent="0.25">
      <c r="A525">
        <v>6</v>
      </c>
      <c r="B525" t="s">
        <v>384</v>
      </c>
      <c r="C525" t="str">
        <f>HYPERLINK("http://www.ncbi.nlm.nih.gov/protein/XP_026039080.1","XP_026039080.1")</f>
        <v>XP_026039080.1</v>
      </c>
      <c r="D525">
        <v>52755</v>
      </c>
      <c r="E525" t="str">
        <f>HYPERLINK("http://www.ncbi.nlm.nih.gov/Taxonomy/Browser/wwwtax.cgi?mode=Info&amp;id=8154&amp;lvl=3&amp;lin=f&amp;keep=1&amp;srchmode=1&amp;unlock","8154")</f>
        <v>8154</v>
      </c>
      <c r="F525" t="s">
        <v>384</v>
      </c>
      <c r="G525" t="str">
        <f>HYPERLINK("http://www.ncbi.nlm.nih.gov/Taxonomy/Browser/wwwtax.cgi?mode=Info&amp;id=8154&amp;lvl=3&amp;lin=f&amp;keep=1&amp;srchmode=1&amp;unlock","Astatotilapia calliptera")</f>
        <v>Astatotilapia calliptera</v>
      </c>
      <c r="H525" t="s">
        <v>640</v>
      </c>
      <c r="I525" t="str">
        <f>HYPERLINK("http://www.ncbi.nlm.nih.gov/protein/XP_026039080.1","androgen receptor-like")</f>
        <v>androgen receptor-like</v>
      </c>
      <c r="J525" t="s">
        <v>1327</v>
      </c>
      <c r="K525" t="s">
        <v>20</v>
      </c>
      <c r="L525">
        <v>550</v>
      </c>
      <c r="M525" t="s">
        <v>25</v>
      </c>
      <c r="N525" t="s">
        <v>20</v>
      </c>
      <c r="O525" t="s">
        <v>1352</v>
      </c>
      <c r="P525" t="s">
        <v>20</v>
      </c>
      <c r="Q525">
        <v>132.119</v>
      </c>
      <c r="R525" t="s">
        <v>20</v>
      </c>
      <c r="S525" t="s">
        <v>20</v>
      </c>
      <c r="T525">
        <v>556</v>
      </c>
      <c r="U525" t="s">
        <v>1313</v>
      </c>
      <c r="V525" t="s">
        <v>20</v>
      </c>
      <c r="W525" t="s">
        <v>1352</v>
      </c>
      <c r="X525" t="s">
        <v>20</v>
      </c>
      <c r="Y525">
        <v>146.14599999999999</v>
      </c>
      <c r="Z525" t="s">
        <v>20</v>
      </c>
      <c r="AA525" t="s">
        <v>20</v>
      </c>
      <c r="AB525">
        <v>597</v>
      </c>
      <c r="AC525" t="s">
        <v>1314</v>
      </c>
      <c r="AD525" t="s">
        <v>20</v>
      </c>
      <c r="AE525" t="s">
        <v>1353</v>
      </c>
      <c r="AF525" t="s">
        <v>20</v>
      </c>
      <c r="AG525">
        <v>174.203</v>
      </c>
      <c r="AH525" t="s">
        <v>20</v>
      </c>
      <c r="AI525" t="s">
        <v>20</v>
      </c>
      <c r="AJ525">
        <v>720</v>
      </c>
      <c r="AK525" t="s">
        <v>1315</v>
      </c>
      <c r="AL525" t="s">
        <v>20</v>
      </c>
      <c r="AM525" t="s">
        <v>1354</v>
      </c>
      <c r="AN525" t="s">
        <v>20</v>
      </c>
      <c r="AO525">
        <v>119.119</v>
      </c>
      <c r="AP525" t="s">
        <v>20</v>
      </c>
      <c r="AQ525" t="s">
        <v>20</v>
      </c>
    </row>
    <row r="526" spans="1:43" x14ac:dyDescent="0.25">
      <c r="A526">
        <v>6</v>
      </c>
      <c r="B526" t="s">
        <v>384</v>
      </c>
      <c r="C526" t="str">
        <f>HYPERLINK("http://www.ncbi.nlm.nih.gov/protein/XP_015816533.1","XP_015816533.1")</f>
        <v>XP_015816533.1</v>
      </c>
      <c r="D526">
        <v>70065</v>
      </c>
      <c r="E526" t="str">
        <f>HYPERLINK("http://www.ncbi.nlm.nih.gov/Taxonomy/Browser/wwwtax.cgi?mode=Info&amp;id=105023&amp;lvl=3&amp;lin=f&amp;keep=1&amp;srchmode=1&amp;unlock","105023")</f>
        <v>105023</v>
      </c>
      <c r="F526" t="s">
        <v>384</v>
      </c>
      <c r="G526" t="str">
        <f>HYPERLINK("http://www.ncbi.nlm.nih.gov/Taxonomy/Browser/wwwtax.cgi?mode=Info&amp;id=105023&amp;lvl=3&amp;lin=f&amp;keep=1&amp;srchmode=1&amp;unlock","Nothobranchius furzeri")</f>
        <v>Nothobranchius furzeri</v>
      </c>
      <c r="H526" t="s">
        <v>556</v>
      </c>
      <c r="I526" t="str">
        <f>HYPERLINK("http://www.ncbi.nlm.nih.gov/protein/XP_015816533.1","PREDICTED: androgen receptor")</f>
        <v>PREDICTED: androgen receptor</v>
      </c>
      <c r="J526" t="s">
        <v>1327</v>
      </c>
      <c r="K526" t="s">
        <v>20</v>
      </c>
      <c r="L526">
        <v>503</v>
      </c>
      <c r="M526" t="s">
        <v>25</v>
      </c>
      <c r="N526" t="s">
        <v>20</v>
      </c>
      <c r="O526" t="s">
        <v>1352</v>
      </c>
      <c r="P526" t="s">
        <v>20</v>
      </c>
      <c r="Q526">
        <v>132.119</v>
      </c>
      <c r="R526" t="s">
        <v>20</v>
      </c>
      <c r="S526" t="s">
        <v>20</v>
      </c>
      <c r="T526">
        <v>509</v>
      </c>
      <c r="U526" t="s">
        <v>1313</v>
      </c>
      <c r="V526" t="s">
        <v>20</v>
      </c>
      <c r="W526" t="s">
        <v>1352</v>
      </c>
      <c r="X526" t="s">
        <v>20</v>
      </c>
      <c r="Y526">
        <v>146.14599999999999</v>
      </c>
      <c r="Z526" t="s">
        <v>20</v>
      </c>
      <c r="AA526" t="s">
        <v>20</v>
      </c>
      <c r="AB526">
        <v>550</v>
      </c>
      <c r="AC526" t="s">
        <v>1314</v>
      </c>
      <c r="AD526" t="s">
        <v>20</v>
      </c>
      <c r="AE526" t="s">
        <v>1353</v>
      </c>
      <c r="AF526" t="s">
        <v>20</v>
      </c>
      <c r="AG526">
        <v>174.203</v>
      </c>
      <c r="AH526" t="s">
        <v>20</v>
      </c>
      <c r="AI526" t="s">
        <v>20</v>
      </c>
      <c r="AJ526">
        <v>673</v>
      </c>
      <c r="AK526" t="s">
        <v>1315</v>
      </c>
      <c r="AL526" t="s">
        <v>20</v>
      </c>
      <c r="AM526" t="s">
        <v>1354</v>
      </c>
      <c r="AN526" t="s">
        <v>20</v>
      </c>
      <c r="AO526">
        <v>119.119</v>
      </c>
      <c r="AP526" t="s">
        <v>20</v>
      </c>
      <c r="AQ526" t="s">
        <v>20</v>
      </c>
    </row>
    <row r="527" spans="1:43" x14ac:dyDescent="0.25">
      <c r="A527">
        <v>6</v>
      </c>
      <c r="B527" t="s">
        <v>384</v>
      </c>
      <c r="C527" t="str">
        <f>HYPERLINK("http://www.ncbi.nlm.nih.gov/protein/XP_037605001.1","XP_037605001.1")</f>
        <v>XP_037605001.1</v>
      </c>
      <c r="D527">
        <v>50721</v>
      </c>
      <c r="E527" t="str">
        <f>HYPERLINK("http://www.ncbi.nlm.nih.gov/Taxonomy/Browser/wwwtax.cgi?mode=Info&amp;id=72105&amp;lvl=3&amp;lin=f&amp;keep=1&amp;srchmode=1&amp;unlock","72105")</f>
        <v>72105</v>
      </c>
      <c r="F527" t="s">
        <v>384</v>
      </c>
      <c r="G527" t="str">
        <f>HYPERLINK("http://www.ncbi.nlm.nih.gov/Taxonomy/Browser/wwwtax.cgi?mode=Info&amp;id=72105&amp;lvl=3&amp;lin=f&amp;keep=1&amp;srchmode=1&amp;unlock","Sebastes umbrosus")</f>
        <v>Sebastes umbrosus</v>
      </c>
      <c r="H527" t="s">
        <v>611</v>
      </c>
      <c r="I527" t="str">
        <f>HYPERLINK("http://www.ncbi.nlm.nih.gov/protein/XP_037605001.1","androgen receptor-like isoform X2")</f>
        <v>androgen receptor-like isoform X2</v>
      </c>
      <c r="J527" t="s">
        <v>1327</v>
      </c>
      <c r="K527" t="s">
        <v>20</v>
      </c>
      <c r="L527">
        <v>556</v>
      </c>
      <c r="M527" t="s">
        <v>25</v>
      </c>
      <c r="N527" t="s">
        <v>20</v>
      </c>
      <c r="O527" t="s">
        <v>1352</v>
      </c>
      <c r="P527" t="s">
        <v>20</v>
      </c>
      <c r="Q527">
        <v>132.119</v>
      </c>
      <c r="R527" t="s">
        <v>20</v>
      </c>
      <c r="S527" t="s">
        <v>20</v>
      </c>
      <c r="T527">
        <v>562</v>
      </c>
      <c r="U527" t="s">
        <v>1313</v>
      </c>
      <c r="V527" t="s">
        <v>20</v>
      </c>
      <c r="W527" t="s">
        <v>1352</v>
      </c>
      <c r="X527" t="s">
        <v>20</v>
      </c>
      <c r="Y527">
        <v>146.14599999999999</v>
      </c>
      <c r="Z527" t="s">
        <v>20</v>
      </c>
      <c r="AA527" t="s">
        <v>20</v>
      </c>
      <c r="AB527">
        <v>603</v>
      </c>
      <c r="AC527" t="s">
        <v>1314</v>
      </c>
      <c r="AD527" t="s">
        <v>20</v>
      </c>
      <c r="AE527" t="s">
        <v>1353</v>
      </c>
      <c r="AF527" t="s">
        <v>20</v>
      </c>
      <c r="AG527">
        <v>174.203</v>
      </c>
      <c r="AH527" t="s">
        <v>20</v>
      </c>
      <c r="AI527" t="s">
        <v>20</v>
      </c>
      <c r="AJ527">
        <v>726</v>
      </c>
      <c r="AK527" t="s">
        <v>1315</v>
      </c>
      <c r="AL527" t="s">
        <v>20</v>
      </c>
      <c r="AM527" t="s">
        <v>1354</v>
      </c>
      <c r="AN527" t="s">
        <v>20</v>
      </c>
      <c r="AO527">
        <v>119.119</v>
      </c>
      <c r="AP527" t="s">
        <v>20</v>
      </c>
      <c r="AQ527" t="s">
        <v>20</v>
      </c>
    </row>
    <row r="528" spans="1:43" x14ac:dyDescent="0.25">
      <c r="A528">
        <v>6</v>
      </c>
      <c r="B528" t="s">
        <v>384</v>
      </c>
      <c r="C528" t="str">
        <f>HYPERLINK("http://www.ncbi.nlm.nih.gov/protein/XP_031175918.1","XP_031175918.1")</f>
        <v>XP_031175918.1</v>
      </c>
      <c r="D528">
        <v>56683</v>
      </c>
      <c r="E528" t="str">
        <f>HYPERLINK("http://www.ncbi.nlm.nih.gov/Taxonomy/Browser/wwwtax.cgi?mode=Info&amp;id=283035&amp;lvl=3&amp;lin=f&amp;keep=1&amp;srchmode=1&amp;unlock","283035")</f>
        <v>283035</v>
      </c>
      <c r="F528" t="s">
        <v>384</v>
      </c>
      <c r="G528" t="str">
        <f>HYPERLINK("http://www.ncbi.nlm.nih.gov/Taxonomy/Browser/wwwtax.cgi?mode=Info&amp;id=283035&amp;lvl=3&amp;lin=f&amp;keep=1&amp;srchmode=1&amp;unlock","Sander lucioperca")</f>
        <v>Sander lucioperca</v>
      </c>
      <c r="H528" t="s">
        <v>539</v>
      </c>
      <c r="I528" t="str">
        <f>HYPERLINK("http://www.ncbi.nlm.nih.gov/protein/XP_031175918.1","androgen receptor-like isoform X2")</f>
        <v>androgen receptor-like isoform X2</v>
      </c>
      <c r="J528" t="s">
        <v>1327</v>
      </c>
      <c r="K528" t="s">
        <v>20</v>
      </c>
      <c r="L528">
        <v>545</v>
      </c>
      <c r="M528" t="s">
        <v>25</v>
      </c>
      <c r="N528" t="s">
        <v>20</v>
      </c>
      <c r="O528" t="s">
        <v>1352</v>
      </c>
      <c r="P528" t="s">
        <v>20</v>
      </c>
      <c r="Q528">
        <v>132.119</v>
      </c>
      <c r="R528" t="s">
        <v>20</v>
      </c>
      <c r="S528" t="s">
        <v>20</v>
      </c>
      <c r="T528">
        <v>551</v>
      </c>
      <c r="U528" t="s">
        <v>1313</v>
      </c>
      <c r="V528" t="s">
        <v>20</v>
      </c>
      <c r="W528" t="s">
        <v>1352</v>
      </c>
      <c r="X528" t="s">
        <v>20</v>
      </c>
      <c r="Y528">
        <v>146.14599999999999</v>
      </c>
      <c r="Z528" t="s">
        <v>20</v>
      </c>
      <c r="AA528" t="s">
        <v>20</v>
      </c>
      <c r="AB528">
        <v>592</v>
      </c>
      <c r="AC528" t="s">
        <v>1314</v>
      </c>
      <c r="AD528" t="s">
        <v>20</v>
      </c>
      <c r="AE528" t="s">
        <v>1353</v>
      </c>
      <c r="AF528" t="s">
        <v>20</v>
      </c>
      <c r="AG528">
        <v>174.203</v>
      </c>
      <c r="AH528" t="s">
        <v>20</v>
      </c>
      <c r="AI528" t="s">
        <v>20</v>
      </c>
      <c r="AJ528">
        <v>715</v>
      </c>
      <c r="AK528" t="s">
        <v>1315</v>
      </c>
      <c r="AL528" t="s">
        <v>20</v>
      </c>
      <c r="AM528" t="s">
        <v>1354</v>
      </c>
      <c r="AN528" t="s">
        <v>20</v>
      </c>
      <c r="AO528">
        <v>119.119</v>
      </c>
      <c r="AP528" t="s">
        <v>20</v>
      </c>
      <c r="AQ528" t="s">
        <v>20</v>
      </c>
    </row>
    <row r="529" spans="1:43" x14ac:dyDescent="0.25">
      <c r="A529">
        <v>6</v>
      </c>
      <c r="B529" t="s">
        <v>384</v>
      </c>
      <c r="C529" t="str">
        <f>HYPERLINK("http://www.ncbi.nlm.nih.gov/protein/XP_034034639.1","XP_034034639.1")</f>
        <v>XP_034034639.1</v>
      </c>
      <c r="D529">
        <v>36364</v>
      </c>
      <c r="E529" t="str">
        <f>HYPERLINK("http://www.ncbi.nlm.nih.gov/Taxonomy/Browser/wwwtax.cgi?mode=Info&amp;id=390379&amp;lvl=3&amp;lin=f&amp;keep=1&amp;srchmode=1&amp;unlock","390379")</f>
        <v>390379</v>
      </c>
      <c r="F529" t="s">
        <v>384</v>
      </c>
      <c r="G529" t="str">
        <f>HYPERLINK("http://www.ncbi.nlm.nih.gov/Taxonomy/Browser/wwwtax.cgi?mode=Info&amp;id=390379&amp;lvl=3&amp;lin=f&amp;keep=1&amp;srchmode=1&amp;unlock","Thalassophryne amazonica")</f>
        <v>Thalassophryne amazonica</v>
      </c>
      <c r="H529" t="s">
        <v>609</v>
      </c>
      <c r="I529" t="str">
        <f>HYPERLINK("http://www.ncbi.nlm.nih.gov/protein/XP_034034639.1","androgen receptor-like isoform X1")</f>
        <v>androgen receptor-like isoform X1</v>
      </c>
      <c r="J529" t="s">
        <v>1327</v>
      </c>
      <c r="K529" t="s">
        <v>20</v>
      </c>
      <c r="L529">
        <v>503</v>
      </c>
      <c r="M529" t="s">
        <v>25</v>
      </c>
      <c r="N529" t="s">
        <v>20</v>
      </c>
      <c r="O529" t="s">
        <v>1352</v>
      </c>
      <c r="P529" t="s">
        <v>20</v>
      </c>
      <c r="Q529">
        <v>132.119</v>
      </c>
      <c r="R529" t="s">
        <v>20</v>
      </c>
      <c r="S529" t="s">
        <v>20</v>
      </c>
      <c r="T529">
        <v>509</v>
      </c>
      <c r="U529" t="s">
        <v>1313</v>
      </c>
      <c r="V529" t="s">
        <v>20</v>
      </c>
      <c r="W529" t="s">
        <v>1352</v>
      </c>
      <c r="X529" t="s">
        <v>20</v>
      </c>
      <c r="Y529">
        <v>146.14599999999999</v>
      </c>
      <c r="Z529" t="s">
        <v>20</v>
      </c>
      <c r="AA529" t="s">
        <v>20</v>
      </c>
      <c r="AB529">
        <v>550</v>
      </c>
      <c r="AC529" t="s">
        <v>1314</v>
      </c>
      <c r="AD529" t="s">
        <v>20</v>
      </c>
      <c r="AE529" t="s">
        <v>1353</v>
      </c>
      <c r="AF529" t="s">
        <v>20</v>
      </c>
      <c r="AG529">
        <v>174.203</v>
      </c>
      <c r="AH529" t="s">
        <v>20</v>
      </c>
      <c r="AI529" t="s">
        <v>20</v>
      </c>
      <c r="AJ529">
        <v>673</v>
      </c>
      <c r="AK529" t="s">
        <v>1315</v>
      </c>
      <c r="AL529" t="s">
        <v>20</v>
      </c>
      <c r="AM529" t="s">
        <v>1354</v>
      </c>
      <c r="AN529" t="s">
        <v>20</v>
      </c>
      <c r="AO529">
        <v>119.119</v>
      </c>
      <c r="AP529" t="s">
        <v>20</v>
      </c>
      <c r="AQ529" t="s">
        <v>20</v>
      </c>
    </row>
    <row r="530" spans="1:43" x14ac:dyDescent="0.25">
      <c r="A530">
        <v>6</v>
      </c>
      <c r="B530" t="s">
        <v>384</v>
      </c>
      <c r="C530" t="str">
        <f>HYPERLINK("http://www.ncbi.nlm.nih.gov/protein/XP_040005544.1","XP_040005544.1")</f>
        <v>XP_040005544.1</v>
      </c>
      <c r="D530">
        <v>44807</v>
      </c>
      <c r="E530" t="str">
        <f>HYPERLINK("http://www.ncbi.nlm.nih.gov/Taxonomy/Browser/wwwtax.cgi?mode=Info&amp;id=8245&amp;lvl=3&amp;lin=f&amp;keep=1&amp;srchmode=1&amp;unlock","8245")</f>
        <v>8245</v>
      </c>
      <c r="F530" t="s">
        <v>384</v>
      </c>
      <c r="G530" t="str">
        <f>HYPERLINK("http://www.ncbi.nlm.nih.gov/Taxonomy/Browser/wwwtax.cgi?mode=Info&amp;id=8245&amp;lvl=3&amp;lin=f&amp;keep=1&amp;srchmode=1&amp;unlock","Xiphias gladius")</f>
        <v>Xiphias gladius</v>
      </c>
      <c r="H530" t="s">
        <v>573</v>
      </c>
      <c r="I530" t="str">
        <f>HYPERLINK("http://www.ncbi.nlm.nih.gov/protein/XP_040005544.1","androgen receptor-like isoform X3")</f>
        <v>androgen receptor-like isoform X3</v>
      </c>
      <c r="J530" t="s">
        <v>1327</v>
      </c>
      <c r="K530" t="s">
        <v>20</v>
      </c>
      <c r="L530">
        <v>547</v>
      </c>
      <c r="M530" t="s">
        <v>25</v>
      </c>
      <c r="N530" t="s">
        <v>20</v>
      </c>
      <c r="O530" t="s">
        <v>1352</v>
      </c>
      <c r="P530" t="s">
        <v>20</v>
      </c>
      <c r="Q530">
        <v>132.119</v>
      </c>
      <c r="R530" t="s">
        <v>20</v>
      </c>
      <c r="S530" t="s">
        <v>20</v>
      </c>
      <c r="T530">
        <v>553</v>
      </c>
      <c r="U530" t="s">
        <v>1313</v>
      </c>
      <c r="V530" t="s">
        <v>20</v>
      </c>
      <c r="W530" t="s">
        <v>1352</v>
      </c>
      <c r="X530" t="s">
        <v>20</v>
      </c>
      <c r="Y530">
        <v>146.14599999999999</v>
      </c>
      <c r="Z530" t="s">
        <v>20</v>
      </c>
      <c r="AA530" t="s">
        <v>20</v>
      </c>
      <c r="AB530">
        <v>594</v>
      </c>
      <c r="AC530" t="s">
        <v>1314</v>
      </c>
      <c r="AD530" t="s">
        <v>20</v>
      </c>
      <c r="AE530" t="s">
        <v>1353</v>
      </c>
      <c r="AF530" t="s">
        <v>20</v>
      </c>
      <c r="AG530">
        <v>174.203</v>
      </c>
      <c r="AH530" t="s">
        <v>20</v>
      </c>
      <c r="AI530" t="s">
        <v>20</v>
      </c>
      <c r="AJ530">
        <v>717</v>
      </c>
      <c r="AK530" t="s">
        <v>1315</v>
      </c>
      <c r="AL530" t="s">
        <v>20</v>
      </c>
      <c r="AM530" t="s">
        <v>1354</v>
      </c>
      <c r="AN530" t="s">
        <v>20</v>
      </c>
      <c r="AO530">
        <v>119.119</v>
      </c>
      <c r="AP530" t="s">
        <v>20</v>
      </c>
      <c r="AQ530" t="s">
        <v>20</v>
      </c>
    </row>
    <row r="531" spans="1:43" x14ac:dyDescent="0.25">
      <c r="A531">
        <v>6</v>
      </c>
      <c r="B531" t="s">
        <v>384</v>
      </c>
      <c r="C531" t="str">
        <f>HYPERLINK("http://www.ncbi.nlm.nih.gov/protein/XP_032389182.1","XP_032389182.1")</f>
        <v>XP_032389182.1</v>
      </c>
      <c r="D531">
        <v>64531</v>
      </c>
      <c r="E531" t="str">
        <f>HYPERLINK("http://www.ncbi.nlm.nih.gov/Taxonomy/Browser/wwwtax.cgi?mode=Info&amp;id=54343&amp;lvl=3&amp;lin=f&amp;keep=1&amp;srchmode=1&amp;unlock","54343")</f>
        <v>54343</v>
      </c>
      <c r="F531" t="s">
        <v>384</v>
      </c>
      <c r="G531" t="str">
        <f>HYPERLINK("http://www.ncbi.nlm.nih.gov/Taxonomy/Browser/wwwtax.cgi?mode=Info&amp;id=54343&amp;lvl=3&amp;lin=f&amp;keep=1&amp;srchmode=1&amp;unlock","Etheostoma spectabile")</f>
        <v>Etheostoma spectabile</v>
      </c>
      <c r="H531" t="s">
        <v>568</v>
      </c>
      <c r="I531" t="str">
        <f>HYPERLINK("http://www.ncbi.nlm.nih.gov/protein/XP_032389182.1","androgen receptor-like isoform X2")</f>
        <v>androgen receptor-like isoform X2</v>
      </c>
      <c r="J531" t="s">
        <v>1327</v>
      </c>
      <c r="K531" t="s">
        <v>20</v>
      </c>
      <c r="L531">
        <v>545</v>
      </c>
      <c r="M531" t="s">
        <v>25</v>
      </c>
      <c r="N531" t="s">
        <v>20</v>
      </c>
      <c r="O531" t="s">
        <v>1352</v>
      </c>
      <c r="P531" t="s">
        <v>20</v>
      </c>
      <c r="Q531">
        <v>132.119</v>
      </c>
      <c r="R531" t="s">
        <v>20</v>
      </c>
      <c r="S531" t="s">
        <v>20</v>
      </c>
      <c r="T531">
        <v>551</v>
      </c>
      <c r="U531" t="s">
        <v>1313</v>
      </c>
      <c r="V531" t="s">
        <v>20</v>
      </c>
      <c r="W531" t="s">
        <v>1352</v>
      </c>
      <c r="X531" t="s">
        <v>20</v>
      </c>
      <c r="Y531">
        <v>146.14599999999999</v>
      </c>
      <c r="Z531" t="s">
        <v>20</v>
      </c>
      <c r="AA531" t="s">
        <v>20</v>
      </c>
      <c r="AB531">
        <v>592</v>
      </c>
      <c r="AC531" t="s">
        <v>1314</v>
      </c>
      <c r="AD531" t="s">
        <v>20</v>
      </c>
      <c r="AE531" t="s">
        <v>1353</v>
      </c>
      <c r="AF531" t="s">
        <v>20</v>
      </c>
      <c r="AG531">
        <v>174.203</v>
      </c>
      <c r="AH531" t="s">
        <v>20</v>
      </c>
      <c r="AI531" t="s">
        <v>20</v>
      </c>
      <c r="AJ531">
        <v>715</v>
      </c>
      <c r="AK531" t="s">
        <v>1315</v>
      </c>
      <c r="AL531" t="s">
        <v>20</v>
      </c>
      <c r="AM531" t="s">
        <v>1354</v>
      </c>
      <c r="AN531" t="s">
        <v>20</v>
      </c>
      <c r="AO531">
        <v>119.119</v>
      </c>
      <c r="AP531" t="s">
        <v>20</v>
      </c>
      <c r="AQ531" t="s">
        <v>20</v>
      </c>
    </row>
    <row r="532" spans="1:43" x14ac:dyDescent="0.25">
      <c r="A532">
        <v>6</v>
      </c>
      <c r="B532" t="s">
        <v>384</v>
      </c>
      <c r="C532" t="str">
        <f>HYPERLINK("http://www.ncbi.nlm.nih.gov/protein/XP_037323699.1","XP_037323699.1")</f>
        <v>XP_037323699.1</v>
      </c>
      <c r="D532">
        <v>43840</v>
      </c>
      <c r="E532" t="str">
        <f>HYPERLINK("http://www.ncbi.nlm.nih.gov/Taxonomy/Browser/wwwtax.cgi?mode=Info&amp;id=134920&amp;lvl=3&amp;lin=f&amp;keep=1&amp;srchmode=1&amp;unlock","134920")</f>
        <v>134920</v>
      </c>
      <c r="F532" t="s">
        <v>384</v>
      </c>
      <c r="G532" t="str">
        <f>HYPERLINK("http://www.ncbi.nlm.nih.gov/Taxonomy/Browser/wwwtax.cgi?mode=Info&amp;id=134920&amp;lvl=3&amp;lin=f&amp;keep=1&amp;srchmode=1&amp;unlock","Pungitius pungitius")</f>
        <v>Pungitius pungitius</v>
      </c>
      <c r="H532" t="s">
        <v>617</v>
      </c>
      <c r="I532" t="str">
        <f>HYPERLINK("http://www.ncbi.nlm.nih.gov/protein/XP_037323699.1","androgen receptor-like")</f>
        <v>androgen receptor-like</v>
      </c>
      <c r="J532" t="s">
        <v>1327</v>
      </c>
      <c r="K532" t="s">
        <v>20</v>
      </c>
      <c r="L532">
        <v>546</v>
      </c>
      <c r="M532" t="s">
        <v>25</v>
      </c>
      <c r="N532" t="s">
        <v>20</v>
      </c>
      <c r="O532" t="s">
        <v>1352</v>
      </c>
      <c r="P532" t="s">
        <v>20</v>
      </c>
      <c r="Q532">
        <v>132.119</v>
      </c>
      <c r="R532" t="s">
        <v>20</v>
      </c>
      <c r="S532" t="s">
        <v>20</v>
      </c>
      <c r="T532">
        <v>552</v>
      </c>
      <c r="U532" t="s">
        <v>1313</v>
      </c>
      <c r="V532" t="s">
        <v>20</v>
      </c>
      <c r="W532" t="s">
        <v>1352</v>
      </c>
      <c r="X532" t="s">
        <v>20</v>
      </c>
      <c r="Y532">
        <v>146.14599999999999</v>
      </c>
      <c r="Z532" t="s">
        <v>20</v>
      </c>
      <c r="AA532" t="s">
        <v>20</v>
      </c>
      <c r="AB532">
        <v>593</v>
      </c>
      <c r="AC532" t="s">
        <v>1314</v>
      </c>
      <c r="AD532" t="s">
        <v>20</v>
      </c>
      <c r="AE532" t="s">
        <v>1353</v>
      </c>
      <c r="AF532" t="s">
        <v>20</v>
      </c>
      <c r="AG532">
        <v>174.203</v>
      </c>
      <c r="AH532" t="s">
        <v>20</v>
      </c>
      <c r="AI532" t="s">
        <v>20</v>
      </c>
      <c r="AJ532">
        <v>716</v>
      </c>
      <c r="AK532" t="s">
        <v>1315</v>
      </c>
      <c r="AL532" t="s">
        <v>20</v>
      </c>
      <c r="AM532" t="s">
        <v>1354</v>
      </c>
      <c r="AN532" t="s">
        <v>20</v>
      </c>
      <c r="AO532">
        <v>119.119</v>
      </c>
      <c r="AP532" t="s">
        <v>20</v>
      </c>
      <c r="AQ532" t="s">
        <v>20</v>
      </c>
    </row>
    <row r="533" spans="1:43" x14ac:dyDescent="0.25">
      <c r="A533">
        <v>6</v>
      </c>
      <c r="B533" t="s">
        <v>384</v>
      </c>
      <c r="C533" t="str">
        <f>HYPERLINK("http://www.ncbi.nlm.nih.gov/protein/XP_018547304.1","XP_018547304.1")</f>
        <v>XP_018547304.1</v>
      </c>
      <c r="D533">
        <v>45628</v>
      </c>
      <c r="E533" t="str">
        <f>HYPERLINK("http://www.ncbi.nlm.nih.gov/Taxonomy/Browser/wwwtax.cgi?mode=Info&amp;id=8187&amp;lvl=3&amp;lin=f&amp;keep=1&amp;srchmode=1&amp;unlock","8187")</f>
        <v>8187</v>
      </c>
      <c r="F533" t="s">
        <v>384</v>
      </c>
      <c r="G533" t="str">
        <f>HYPERLINK("http://www.ncbi.nlm.nih.gov/Taxonomy/Browser/wwwtax.cgi?mode=Info&amp;id=8187&amp;lvl=3&amp;lin=f&amp;keep=1&amp;srchmode=1&amp;unlock","Lates calcarifer")</f>
        <v>Lates calcarifer</v>
      </c>
      <c r="H533" t="s">
        <v>532</v>
      </c>
      <c r="I533" t="str">
        <f>HYPERLINK("http://www.ncbi.nlm.nih.gov/protein/XP_018547304.1","PREDICTED: androgen receptor-like")</f>
        <v>PREDICTED: androgen receptor-like</v>
      </c>
      <c r="J533" t="s">
        <v>1327</v>
      </c>
      <c r="K533" t="s">
        <v>20</v>
      </c>
      <c r="L533">
        <v>552</v>
      </c>
      <c r="M533" t="s">
        <v>25</v>
      </c>
      <c r="N533" t="s">
        <v>20</v>
      </c>
      <c r="O533" t="s">
        <v>1352</v>
      </c>
      <c r="P533" t="s">
        <v>20</v>
      </c>
      <c r="Q533">
        <v>132.119</v>
      </c>
      <c r="R533" t="s">
        <v>20</v>
      </c>
      <c r="S533" t="s">
        <v>20</v>
      </c>
      <c r="T533">
        <v>558</v>
      </c>
      <c r="U533" t="s">
        <v>1313</v>
      </c>
      <c r="V533" t="s">
        <v>20</v>
      </c>
      <c r="W533" t="s">
        <v>1352</v>
      </c>
      <c r="X533" t="s">
        <v>20</v>
      </c>
      <c r="Y533">
        <v>146.14599999999999</v>
      </c>
      <c r="Z533" t="s">
        <v>20</v>
      </c>
      <c r="AA533" t="s">
        <v>20</v>
      </c>
      <c r="AB533">
        <v>599</v>
      </c>
      <c r="AC533" t="s">
        <v>1314</v>
      </c>
      <c r="AD533" t="s">
        <v>20</v>
      </c>
      <c r="AE533" t="s">
        <v>1353</v>
      </c>
      <c r="AF533" t="s">
        <v>20</v>
      </c>
      <c r="AG533">
        <v>174.203</v>
      </c>
      <c r="AH533" t="s">
        <v>20</v>
      </c>
      <c r="AI533" t="s">
        <v>20</v>
      </c>
      <c r="AJ533">
        <v>722</v>
      </c>
      <c r="AK533" t="s">
        <v>1315</v>
      </c>
      <c r="AL533" t="s">
        <v>20</v>
      </c>
      <c r="AM533" t="s">
        <v>1354</v>
      </c>
      <c r="AN533" t="s">
        <v>20</v>
      </c>
      <c r="AO533">
        <v>119.119</v>
      </c>
      <c r="AP533" t="s">
        <v>20</v>
      </c>
      <c r="AQ533" t="s">
        <v>20</v>
      </c>
    </row>
    <row r="534" spans="1:43" x14ac:dyDescent="0.25">
      <c r="A534">
        <v>6</v>
      </c>
      <c r="B534" t="s">
        <v>384</v>
      </c>
      <c r="C534" t="str">
        <f>HYPERLINK("http://www.ncbi.nlm.nih.gov/protein/XP_005737903.1","XP_005737903.1")</f>
        <v>XP_005737903.1</v>
      </c>
      <c r="D534">
        <v>38743</v>
      </c>
      <c r="E534" t="str">
        <f>HYPERLINK("http://www.ncbi.nlm.nih.gov/Taxonomy/Browser/wwwtax.cgi?mode=Info&amp;id=303518&amp;lvl=3&amp;lin=f&amp;keep=1&amp;srchmode=1&amp;unlock","303518")</f>
        <v>303518</v>
      </c>
      <c r="F534" t="s">
        <v>384</v>
      </c>
      <c r="G534" t="str">
        <f>HYPERLINK("http://www.ncbi.nlm.nih.gov/Taxonomy/Browser/wwwtax.cgi?mode=Info&amp;id=303518&amp;lvl=3&amp;lin=f&amp;keep=1&amp;srchmode=1&amp;unlock","Pundamilia nyererei")</f>
        <v>Pundamilia nyererei</v>
      </c>
      <c r="H534" t="s">
        <v>637</v>
      </c>
      <c r="I534" t="str">
        <f>HYPERLINK("http://www.ncbi.nlm.nih.gov/protein/XP_005737903.1","PREDICTED: androgen receptor")</f>
        <v>PREDICTED: androgen receptor</v>
      </c>
      <c r="J534" t="s">
        <v>1327</v>
      </c>
      <c r="K534" t="s">
        <v>20</v>
      </c>
      <c r="L534">
        <v>550</v>
      </c>
      <c r="M534" t="s">
        <v>25</v>
      </c>
      <c r="N534" t="s">
        <v>20</v>
      </c>
      <c r="O534" t="s">
        <v>1352</v>
      </c>
      <c r="P534" t="s">
        <v>20</v>
      </c>
      <c r="Q534">
        <v>132.119</v>
      </c>
      <c r="R534" t="s">
        <v>20</v>
      </c>
      <c r="S534" t="s">
        <v>20</v>
      </c>
      <c r="T534">
        <v>556</v>
      </c>
      <c r="U534" t="s">
        <v>1313</v>
      </c>
      <c r="V534" t="s">
        <v>20</v>
      </c>
      <c r="W534" t="s">
        <v>1352</v>
      </c>
      <c r="X534" t="s">
        <v>20</v>
      </c>
      <c r="Y534">
        <v>146.14599999999999</v>
      </c>
      <c r="Z534" t="s">
        <v>20</v>
      </c>
      <c r="AA534" t="s">
        <v>20</v>
      </c>
      <c r="AB534">
        <v>597</v>
      </c>
      <c r="AC534" t="s">
        <v>1314</v>
      </c>
      <c r="AD534" t="s">
        <v>20</v>
      </c>
      <c r="AE534" t="s">
        <v>1353</v>
      </c>
      <c r="AF534" t="s">
        <v>20</v>
      </c>
      <c r="AG534">
        <v>174.203</v>
      </c>
      <c r="AH534" t="s">
        <v>20</v>
      </c>
      <c r="AI534" t="s">
        <v>20</v>
      </c>
      <c r="AJ534">
        <v>720</v>
      </c>
      <c r="AK534" t="s">
        <v>1315</v>
      </c>
      <c r="AL534" t="s">
        <v>20</v>
      </c>
      <c r="AM534" t="s">
        <v>1354</v>
      </c>
      <c r="AN534" t="s">
        <v>20</v>
      </c>
      <c r="AO534">
        <v>119.119</v>
      </c>
      <c r="AP534" t="s">
        <v>20</v>
      </c>
      <c r="AQ534" t="s">
        <v>20</v>
      </c>
    </row>
    <row r="535" spans="1:43" x14ac:dyDescent="0.25">
      <c r="A535">
        <v>6</v>
      </c>
      <c r="B535" t="s">
        <v>384</v>
      </c>
      <c r="C535" t="str">
        <f>HYPERLINK("http://www.ncbi.nlm.nih.gov/protein/QIA46600.1","QIA46600.1")</f>
        <v>QIA46600.1</v>
      </c>
      <c r="D535">
        <v>90</v>
      </c>
      <c r="E535" t="str">
        <f>HYPERLINK("http://www.ncbi.nlm.nih.gov/Taxonomy/Browser/wwwtax.cgi?mode=Info&amp;id=104658&amp;lvl=3&amp;lin=f&amp;keep=1&amp;srchmode=1&amp;unlock","104658")</f>
        <v>104658</v>
      </c>
      <c r="F535" t="s">
        <v>384</v>
      </c>
      <c r="G535" t="str">
        <f>HYPERLINK("http://www.ncbi.nlm.nih.gov/Taxonomy/Browser/wwwtax.cgi?mode=Info&amp;id=104658&amp;lvl=3&amp;lin=f&amp;keep=1&amp;srchmode=1&amp;unlock","Oryzias curvinotus")</f>
        <v>Oryzias curvinotus</v>
      </c>
      <c r="H535" t="s">
        <v>1011</v>
      </c>
      <c r="I535" t="str">
        <f>HYPERLINK("http://www.ncbi.nlm.nih.gov/protein/QIA46600.1","androgen receptor beta")</f>
        <v>androgen receptor beta</v>
      </c>
      <c r="J535" t="s">
        <v>1327</v>
      </c>
      <c r="K535" t="s">
        <v>20</v>
      </c>
      <c r="L535">
        <v>531</v>
      </c>
      <c r="M535" t="s">
        <v>25</v>
      </c>
      <c r="N535" t="s">
        <v>20</v>
      </c>
      <c r="O535" t="s">
        <v>1352</v>
      </c>
      <c r="P535" t="s">
        <v>20</v>
      </c>
      <c r="Q535">
        <v>132.119</v>
      </c>
      <c r="R535" t="s">
        <v>20</v>
      </c>
      <c r="S535" t="s">
        <v>20</v>
      </c>
      <c r="T535">
        <v>537</v>
      </c>
      <c r="U535" t="s">
        <v>1313</v>
      </c>
      <c r="V535" t="s">
        <v>20</v>
      </c>
      <c r="W535" t="s">
        <v>1352</v>
      </c>
      <c r="X535" t="s">
        <v>20</v>
      </c>
      <c r="Y535">
        <v>146.14599999999999</v>
      </c>
      <c r="Z535" t="s">
        <v>20</v>
      </c>
      <c r="AA535" t="s">
        <v>20</v>
      </c>
      <c r="AB535">
        <v>578</v>
      </c>
      <c r="AC535" t="s">
        <v>1314</v>
      </c>
      <c r="AD535" t="s">
        <v>20</v>
      </c>
      <c r="AE535" t="s">
        <v>1353</v>
      </c>
      <c r="AF535" t="s">
        <v>20</v>
      </c>
      <c r="AG535">
        <v>174.203</v>
      </c>
      <c r="AH535" t="s">
        <v>20</v>
      </c>
      <c r="AI535" t="s">
        <v>20</v>
      </c>
      <c r="AJ535">
        <v>701</v>
      </c>
      <c r="AK535" t="s">
        <v>1315</v>
      </c>
      <c r="AL535" t="s">
        <v>20</v>
      </c>
      <c r="AM535" t="s">
        <v>1354</v>
      </c>
      <c r="AN535" t="s">
        <v>20</v>
      </c>
      <c r="AO535">
        <v>119.119</v>
      </c>
      <c r="AP535" t="s">
        <v>20</v>
      </c>
      <c r="AQ535" t="s">
        <v>20</v>
      </c>
    </row>
    <row r="536" spans="1:43" x14ac:dyDescent="0.25">
      <c r="A536">
        <v>6</v>
      </c>
      <c r="B536" t="s">
        <v>384</v>
      </c>
      <c r="C536" t="str">
        <f>HYPERLINK("http://www.ncbi.nlm.nih.gov/protein/XP_033834092.1","XP_033834092.1")</f>
        <v>XP_033834092.1</v>
      </c>
      <c r="D536">
        <v>27762</v>
      </c>
      <c r="E536" t="str">
        <f>HYPERLINK("http://www.ncbi.nlm.nih.gov/Taxonomy/Browser/wwwtax.cgi?mode=Info&amp;id=409849&amp;lvl=3&amp;lin=f&amp;keep=1&amp;srchmode=1&amp;unlock","409849")</f>
        <v>409849</v>
      </c>
      <c r="F536" t="s">
        <v>384</v>
      </c>
      <c r="G536" t="str">
        <f>HYPERLINK("http://www.ncbi.nlm.nih.gov/Taxonomy/Browser/wwwtax.cgi?mode=Info&amp;id=409849&amp;lvl=3&amp;lin=f&amp;keep=1&amp;srchmode=1&amp;unlock","Periophthalmus magnuspinnatus")</f>
        <v>Periophthalmus magnuspinnatus</v>
      </c>
      <c r="H536" t="s">
        <v>594</v>
      </c>
      <c r="I536" t="str">
        <f>HYPERLINK("http://www.ncbi.nlm.nih.gov/protein/XP_033834092.1","androgen receptor isoform X1")</f>
        <v>androgen receptor isoform X1</v>
      </c>
      <c r="J536" t="s">
        <v>1327</v>
      </c>
      <c r="K536" t="s">
        <v>20</v>
      </c>
      <c r="L536">
        <v>498</v>
      </c>
      <c r="M536" t="s">
        <v>25</v>
      </c>
      <c r="N536" t="s">
        <v>20</v>
      </c>
      <c r="O536" t="s">
        <v>1352</v>
      </c>
      <c r="P536" t="s">
        <v>20</v>
      </c>
      <c r="Q536">
        <v>132.119</v>
      </c>
      <c r="R536" t="s">
        <v>20</v>
      </c>
      <c r="S536" t="s">
        <v>20</v>
      </c>
      <c r="T536">
        <v>504</v>
      </c>
      <c r="U536" t="s">
        <v>1313</v>
      </c>
      <c r="V536" t="s">
        <v>20</v>
      </c>
      <c r="W536" t="s">
        <v>1352</v>
      </c>
      <c r="X536" t="s">
        <v>20</v>
      </c>
      <c r="Y536">
        <v>146.14599999999999</v>
      </c>
      <c r="Z536" t="s">
        <v>20</v>
      </c>
      <c r="AA536" t="s">
        <v>20</v>
      </c>
      <c r="AB536">
        <v>545</v>
      </c>
      <c r="AC536" t="s">
        <v>1314</v>
      </c>
      <c r="AD536" t="s">
        <v>20</v>
      </c>
      <c r="AE536" t="s">
        <v>1353</v>
      </c>
      <c r="AF536" t="s">
        <v>20</v>
      </c>
      <c r="AG536">
        <v>174.203</v>
      </c>
      <c r="AH536" t="s">
        <v>20</v>
      </c>
      <c r="AI536" t="s">
        <v>20</v>
      </c>
      <c r="AJ536">
        <v>668</v>
      </c>
      <c r="AK536" t="s">
        <v>1315</v>
      </c>
      <c r="AL536" t="s">
        <v>20</v>
      </c>
      <c r="AM536" t="s">
        <v>1354</v>
      </c>
      <c r="AN536" t="s">
        <v>20</v>
      </c>
      <c r="AO536">
        <v>119.119</v>
      </c>
      <c r="AP536" t="s">
        <v>20</v>
      </c>
      <c r="AQ536" t="s">
        <v>20</v>
      </c>
    </row>
    <row r="537" spans="1:43" x14ac:dyDescent="0.25">
      <c r="A537">
        <v>6</v>
      </c>
      <c r="B537" t="s">
        <v>384</v>
      </c>
      <c r="C537" t="str">
        <f>HYPERLINK("http://www.ncbi.nlm.nih.gov/protein/XP_017315035.1","XP_017315035.1")</f>
        <v>XP_017315035.1</v>
      </c>
      <c r="D537">
        <v>51410</v>
      </c>
      <c r="E537" t="str">
        <f>HYPERLINK("http://www.ncbi.nlm.nih.gov/Taxonomy/Browser/wwwtax.cgi?mode=Info&amp;id=7998&amp;lvl=3&amp;lin=f&amp;keep=1&amp;srchmode=1&amp;unlock","7998")</f>
        <v>7998</v>
      </c>
      <c r="F537" t="s">
        <v>384</v>
      </c>
      <c r="G537" t="str">
        <f>HYPERLINK("http://www.ncbi.nlm.nih.gov/Taxonomy/Browser/wwwtax.cgi?mode=Info&amp;id=7998&amp;lvl=3&amp;lin=f&amp;keep=1&amp;srchmode=1&amp;unlock","Ictalurus punctatus")</f>
        <v>Ictalurus punctatus</v>
      </c>
      <c r="H537" t="s">
        <v>593</v>
      </c>
      <c r="I537" t="str">
        <f>HYPERLINK("http://www.ncbi.nlm.nih.gov/protein/XP_017315035.1","PREDICTED: androgen receptor")</f>
        <v>PREDICTED: androgen receptor</v>
      </c>
      <c r="J537" t="s">
        <v>1327</v>
      </c>
      <c r="K537" t="s">
        <v>20</v>
      </c>
      <c r="L537">
        <v>615</v>
      </c>
      <c r="M537" t="s">
        <v>25</v>
      </c>
      <c r="N537" t="s">
        <v>20</v>
      </c>
      <c r="O537" t="s">
        <v>1352</v>
      </c>
      <c r="P537" t="s">
        <v>20</v>
      </c>
      <c r="Q537">
        <v>132.119</v>
      </c>
      <c r="R537" t="s">
        <v>20</v>
      </c>
      <c r="S537" t="s">
        <v>20</v>
      </c>
      <c r="T537">
        <v>621</v>
      </c>
      <c r="U537" t="s">
        <v>1313</v>
      </c>
      <c r="V537" t="s">
        <v>20</v>
      </c>
      <c r="W537" t="s">
        <v>1352</v>
      </c>
      <c r="X537" t="s">
        <v>20</v>
      </c>
      <c r="Y537">
        <v>146.14599999999999</v>
      </c>
      <c r="Z537" t="s">
        <v>20</v>
      </c>
      <c r="AA537" t="s">
        <v>20</v>
      </c>
      <c r="AB537">
        <v>662</v>
      </c>
      <c r="AC537" t="s">
        <v>1314</v>
      </c>
      <c r="AD537" t="s">
        <v>20</v>
      </c>
      <c r="AE537" t="s">
        <v>1353</v>
      </c>
      <c r="AF537" t="s">
        <v>20</v>
      </c>
      <c r="AG537">
        <v>174.203</v>
      </c>
      <c r="AH537" t="s">
        <v>20</v>
      </c>
      <c r="AI537" t="s">
        <v>20</v>
      </c>
      <c r="AJ537">
        <v>785</v>
      </c>
      <c r="AK537" t="s">
        <v>1315</v>
      </c>
      <c r="AL537" t="s">
        <v>20</v>
      </c>
      <c r="AM537" t="s">
        <v>1354</v>
      </c>
      <c r="AN537" t="s">
        <v>20</v>
      </c>
      <c r="AO537">
        <v>119.119</v>
      </c>
      <c r="AP537" t="s">
        <v>20</v>
      </c>
      <c r="AQ537" t="s">
        <v>20</v>
      </c>
    </row>
    <row r="538" spans="1:43" x14ac:dyDescent="0.25">
      <c r="A538">
        <v>6</v>
      </c>
      <c r="B538" t="s">
        <v>384</v>
      </c>
      <c r="C538" t="str">
        <f>HYPERLINK("http://www.ncbi.nlm.nih.gov/protein/XP_028451343.1","XP_028451343.1")</f>
        <v>XP_028451343.1</v>
      </c>
      <c r="D538">
        <v>65039</v>
      </c>
      <c r="E538" t="str">
        <f>HYPERLINK("http://www.ncbi.nlm.nih.gov/Taxonomy/Browser/wwwtax.cgi?mode=Info&amp;id=8167&amp;lvl=3&amp;lin=f&amp;keep=1&amp;srchmode=1&amp;unlock","8167")</f>
        <v>8167</v>
      </c>
      <c r="F538" t="s">
        <v>384</v>
      </c>
      <c r="G538" t="str">
        <f>HYPERLINK("http://www.ncbi.nlm.nih.gov/Taxonomy/Browser/wwwtax.cgi?mode=Info&amp;id=8167&amp;lvl=3&amp;lin=f&amp;keep=1&amp;srchmode=1&amp;unlock","Perca flavescens")</f>
        <v>Perca flavescens</v>
      </c>
      <c r="H538" t="s">
        <v>545</v>
      </c>
      <c r="I538" t="str">
        <f>HYPERLINK("http://www.ncbi.nlm.nih.gov/protein/XP_028451343.1","androgen receptor-like isoform X2")</f>
        <v>androgen receptor-like isoform X2</v>
      </c>
      <c r="J538" t="s">
        <v>1327</v>
      </c>
      <c r="K538" t="s">
        <v>20</v>
      </c>
      <c r="L538">
        <v>544</v>
      </c>
      <c r="M538" t="s">
        <v>25</v>
      </c>
      <c r="N538" t="s">
        <v>20</v>
      </c>
      <c r="O538" t="s">
        <v>1352</v>
      </c>
      <c r="P538" t="s">
        <v>20</v>
      </c>
      <c r="Q538">
        <v>132.119</v>
      </c>
      <c r="R538" t="s">
        <v>20</v>
      </c>
      <c r="S538" t="s">
        <v>20</v>
      </c>
      <c r="T538">
        <v>550</v>
      </c>
      <c r="U538" t="s">
        <v>1313</v>
      </c>
      <c r="V538" t="s">
        <v>20</v>
      </c>
      <c r="W538" t="s">
        <v>1352</v>
      </c>
      <c r="X538" t="s">
        <v>20</v>
      </c>
      <c r="Y538">
        <v>146.14599999999999</v>
      </c>
      <c r="Z538" t="s">
        <v>20</v>
      </c>
      <c r="AA538" t="s">
        <v>20</v>
      </c>
      <c r="AB538">
        <v>591</v>
      </c>
      <c r="AC538" t="s">
        <v>1314</v>
      </c>
      <c r="AD538" t="s">
        <v>20</v>
      </c>
      <c r="AE538" t="s">
        <v>1353</v>
      </c>
      <c r="AF538" t="s">
        <v>20</v>
      </c>
      <c r="AG538">
        <v>174.203</v>
      </c>
      <c r="AH538" t="s">
        <v>20</v>
      </c>
      <c r="AI538" t="s">
        <v>20</v>
      </c>
      <c r="AJ538">
        <v>714</v>
      </c>
      <c r="AK538" t="s">
        <v>1315</v>
      </c>
      <c r="AL538" t="s">
        <v>20</v>
      </c>
      <c r="AM538" t="s">
        <v>1354</v>
      </c>
      <c r="AN538" t="s">
        <v>20</v>
      </c>
      <c r="AO538">
        <v>119.119</v>
      </c>
      <c r="AP538" t="s">
        <v>20</v>
      </c>
      <c r="AQ538" t="s">
        <v>20</v>
      </c>
    </row>
    <row r="539" spans="1:43" x14ac:dyDescent="0.25">
      <c r="A539">
        <v>6</v>
      </c>
      <c r="B539" t="s">
        <v>384</v>
      </c>
      <c r="C539" t="str">
        <f>HYPERLINK("http://www.ncbi.nlm.nih.gov/protein/XP_024118528.1","XP_024118528.1")</f>
        <v>XP_024118528.1</v>
      </c>
      <c r="D539">
        <v>69259</v>
      </c>
      <c r="E539" t="str">
        <f>HYPERLINK("http://www.ncbi.nlm.nih.gov/Taxonomy/Browser/wwwtax.cgi?mode=Info&amp;id=30732&amp;lvl=3&amp;lin=f&amp;keep=1&amp;srchmode=1&amp;unlock","30732")</f>
        <v>30732</v>
      </c>
      <c r="F539" t="s">
        <v>384</v>
      </c>
      <c r="G539" t="str">
        <f>HYPERLINK("http://www.ncbi.nlm.nih.gov/Taxonomy/Browser/wwwtax.cgi?mode=Info&amp;id=30732&amp;lvl=3&amp;lin=f&amp;keep=1&amp;srchmode=1&amp;unlock","Oryzias melastigma")</f>
        <v>Oryzias melastigma</v>
      </c>
      <c r="H539" t="s">
        <v>645</v>
      </c>
      <c r="I539" t="str">
        <f>HYPERLINK("http://www.ncbi.nlm.nih.gov/protein/XP_024118528.1","androgen receptor isoform X2")</f>
        <v>androgen receptor isoform X2</v>
      </c>
      <c r="J539" t="s">
        <v>1327</v>
      </c>
      <c r="K539" t="s">
        <v>20</v>
      </c>
      <c r="L539">
        <v>504</v>
      </c>
      <c r="M539" t="s">
        <v>25</v>
      </c>
      <c r="N539" t="s">
        <v>20</v>
      </c>
      <c r="O539" t="s">
        <v>1352</v>
      </c>
      <c r="P539" t="s">
        <v>20</v>
      </c>
      <c r="Q539">
        <v>132.119</v>
      </c>
      <c r="R539" t="s">
        <v>20</v>
      </c>
      <c r="S539" t="s">
        <v>20</v>
      </c>
      <c r="T539">
        <v>510</v>
      </c>
      <c r="U539" t="s">
        <v>1313</v>
      </c>
      <c r="V539" t="s">
        <v>20</v>
      </c>
      <c r="W539" t="s">
        <v>1352</v>
      </c>
      <c r="X539" t="s">
        <v>20</v>
      </c>
      <c r="Y539">
        <v>146.14599999999999</v>
      </c>
      <c r="Z539" t="s">
        <v>20</v>
      </c>
      <c r="AA539" t="s">
        <v>20</v>
      </c>
      <c r="AB539">
        <v>551</v>
      </c>
      <c r="AC539" t="s">
        <v>1314</v>
      </c>
      <c r="AD539" t="s">
        <v>20</v>
      </c>
      <c r="AE539" t="s">
        <v>1353</v>
      </c>
      <c r="AF539" t="s">
        <v>20</v>
      </c>
      <c r="AG539">
        <v>174.203</v>
      </c>
      <c r="AH539" t="s">
        <v>20</v>
      </c>
      <c r="AI539" t="s">
        <v>20</v>
      </c>
      <c r="AJ539">
        <v>674</v>
      </c>
      <c r="AK539" t="s">
        <v>1315</v>
      </c>
      <c r="AL539" t="s">
        <v>20</v>
      </c>
      <c r="AM539" t="s">
        <v>1354</v>
      </c>
      <c r="AN539" t="s">
        <v>20</v>
      </c>
      <c r="AO539">
        <v>119.119</v>
      </c>
      <c r="AP539" t="s">
        <v>20</v>
      </c>
      <c r="AQ539" t="s">
        <v>20</v>
      </c>
    </row>
    <row r="540" spans="1:43" x14ac:dyDescent="0.25">
      <c r="A540">
        <v>6</v>
      </c>
      <c r="B540" t="s">
        <v>384</v>
      </c>
      <c r="C540" t="str">
        <f>HYPERLINK("http://www.ncbi.nlm.nih.gov/protein/XP_031712793.1","XP_031712793.1")</f>
        <v>XP_031712793.1</v>
      </c>
      <c r="D540">
        <v>41911</v>
      </c>
      <c r="E540" t="str">
        <f>HYPERLINK("http://www.ncbi.nlm.nih.gov/Taxonomy/Browser/wwwtax.cgi?mode=Info&amp;id=433405&amp;lvl=3&amp;lin=f&amp;keep=1&amp;srchmode=1&amp;unlock","433405")</f>
        <v>433405</v>
      </c>
      <c r="F540" t="s">
        <v>384</v>
      </c>
      <c r="G540" t="str">
        <f>HYPERLINK("http://www.ncbi.nlm.nih.gov/Taxonomy/Browser/wwwtax.cgi?mode=Info&amp;id=433405&amp;lvl=3&amp;lin=f&amp;keep=1&amp;srchmode=1&amp;unlock","Anarrhichthys ocellatus")</f>
        <v>Anarrhichthys ocellatus</v>
      </c>
      <c r="H540" t="s">
        <v>536</v>
      </c>
      <c r="I540" t="str">
        <f>HYPERLINK("http://www.ncbi.nlm.nih.gov/protein/XP_031712793.1","androgen receptor-like")</f>
        <v>androgen receptor-like</v>
      </c>
      <c r="J540" t="s">
        <v>1327</v>
      </c>
      <c r="K540" t="s">
        <v>20</v>
      </c>
      <c r="L540">
        <v>521</v>
      </c>
      <c r="M540" t="s">
        <v>25</v>
      </c>
      <c r="N540" t="s">
        <v>20</v>
      </c>
      <c r="O540" t="s">
        <v>1352</v>
      </c>
      <c r="P540" t="s">
        <v>20</v>
      </c>
      <c r="Q540">
        <v>132.119</v>
      </c>
      <c r="R540" t="s">
        <v>20</v>
      </c>
      <c r="S540" t="s">
        <v>20</v>
      </c>
      <c r="T540">
        <v>527</v>
      </c>
      <c r="U540" t="s">
        <v>1313</v>
      </c>
      <c r="V540" t="s">
        <v>20</v>
      </c>
      <c r="W540" t="s">
        <v>1352</v>
      </c>
      <c r="X540" t="s">
        <v>20</v>
      </c>
      <c r="Y540">
        <v>146.14599999999999</v>
      </c>
      <c r="Z540" t="s">
        <v>20</v>
      </c>
      <c r="AA540" t="s">
        <v>20</v>
      </c>
      <c r="AB540">
        <v>568</v>
      </c>
      <c r="AC540" t="s">
        <v>1314</v>
      </c>
      <c r="AD540" t="s">
        <v>20</v>
      </c>
      <c r="AE540" t="s">
        <v>1353</v>
      </c>
      <c r="AF540" t="s">
        <v>20</v>
      </c>
      <c r="AG540">
        <v>174.203</v>
      </c>
      <c r="AH540" t="s">
        <v>20</v>
      </c>
      <c r="AI540" t="s">
        <v>20</v>
      </c>
      <c r="AJ540">
        <v>691</v>
      </c>
      <c r="AK540" t="s">
        <v>1315</v>
      </c>
      <c r="AL540" t="s">
        <v>20</v>
      </c>
      <c r="AM540" t="s">
        <v>1354</v>
      </c>
      <c r="AN540" t="s">
        <v>20</v>
      </c>
      <c r="AO540">
        <v>119.119</v>
      </c>
      <c r="AP540" t="s">
        <v>20</v>
      </c>
      <c r="AQ540" t="s">
        <v>20</v>
      </c>
    </row>
    <row r="541" spans="1:43" x14ac:dyDescent="0.25">
      <c r="A541">
        <v>6</v>
      </c>
      <c r="B541" t="s">
        <v>384</v>
      </c>
      <c r="C541" t="str">
        <f>HYPERLINK("http://www.ncbi.nlm.nih.gov/protein/XP_034407052.1","XP_034407052.1")</f>
        <v>XP_034407052.1</v>
      </c>
      <c r="D541">
        <v>38712</v>
      </c>
      <c r="E541" t="str">
        <f>HYPERLINK("http://www.ncbi.nlm.nih.gov/Taxonomy/Browser/wwwtax.cgi?mode=Info&amp;id=8103&amp;lvl=3&amp;lin=f&amp;keep=1&amp;srchmode=1&amp;unlock","8103")</f>
        <v>8103</v>
      </c>
      <c r="F541" t="s">
        <v>384</v>
      </c>
      <c r="G541" t="str">
        <f>HYPERLINK("http://www.ncbi.nlm.nih.gov/Taxonomy/Browser/wwwtax.cgi?mode=Info&amp;id=8103&amp;lvl=3&amp;lin=f&amp;keep=1&amp;srchmode=1&amp;unlock","Cyclopterus lumpus")</f>
        <v>Cyclopterus lumpus</v>
      </c>
      <c r="H541" t="s">
        <v>481</v>
      </c>
      <c r="I541" t="str">
        <f>HYPERLINK("http://www.ncbi.nlm.nih.gov/protein/XP_034407052.1","androgen receptor-like isoform X1")</f>
        <v>androgen receptor-like isoform X1</v>
      </c>
      <c r="J541" t="s">
        <v>1327</v>
      </c>
      <c r="K541" t="s">
        <v>20</v>
      </c>
      <c r="L541">
        <v>550</v>
      </c>
      <c r="M541" t="s">
        <v>25</v>
      </c>
      <c r="N541" t="s">
        <v>20</v>
      </c>
      <c r="O541" t="s">
        <v>1352</v>
      </c>
      <c r="P541" t="s">
        <v>20</v>
      </c>
      <c r="Q541">
        <v>132.119</v>
      </c>
      <c r="R541" t="s">
        <v>20</v>
      </c>
      <c r="S541" t="s">
        <v>20</v>
      </c>
      <c r="T541">
        <v>556</v>
      </c>
      <c r="U541" t="s">
        <v>1313</v>
      </c>
      <c r="V541" t="s">
        <v>20</v>
      </c>
      <c r="W541" t="s">
        <v>1352</v>
      </c>
      <c r="X541" t="s">
        <v>20</v>
      </c>
      <c r="Y541">
        <v>146.14599999999999</v>
      </c>
      <c r="Z541" t="s">
        <v>20</v>
      </c>
      <c r="AA541" t="s">
        <v>20</v>
      </c>
      <c r="AB541">
        <v>597</v>
      </c>
      <c r="AC541" t="s">
        <v>1314</v>
      </c>
      <c r="AD541" t="s">
        <v>20</v>
      </c>
      <c r="AE541" t="s">
        <v>1353</v>
      </c>
      <c r="AF541" t="s">
        <v>20</v>
      </c>
      <c r="AG541">
        <v>174.203</v>
      </c>
      <c r="AH541" t="s">
        <v>20</v>
      </c>
      <c r="AI541" t="s">
        <v>20</v>
      </c>
      <c r="AJ541">
        <v>720</v>
      </c>
      <c r="AK541" t="s">
        <v>1315</v>
      </c>
      <c r="AL541" t="s">
        <v>20</v>
      </c>
      <c r="AM541" t="s">
        <v>1354</v>
      </c>
      <c r="AN541" t="s">
        <v>20</v>
      </c>
      <c r="AO541">
        <v>119.119</v>
      </c>
      <c r="AP541" t="s">
        <v>20</v>
      </c>
      <c r="AQ541" t="s">
        <v>20</v>
      </c>
    </row>
    <row r="542" spans="1:43" x14ac:dyDescent="0.25">
      <c r="A542">
        <v>6</v>
      </c>
      <c r="B542" t="s">
        <v>384</v>
      </c>
      <c r="C542" t="str">
        <f>HYPERLINK("http://www.ncbi.nlm.nih.gov/protein/XP_025766635.1","XP_025766635.1")</f>
        <v>XP_025766635.1</v>
      </c>
      <c r="D542">
        <v>63394</v>
      </c>
      <c r="E542" t="str">
        <f>HYPERLINK("http://www.ncbi.nlm.nih.gov/Taxonomy/Browser/wwwtax.cgi?mode=Info&amp;id=8128&amp;lvl=3&amp;lin=f&amp;keep=1&amp;srchmode=1&amp;unlock","8128")</f>
        <v>8128</v>
      </c>
      <c r="F542" t="s">
        <v>384</v>
      </c>
      <c r="G542" t="str">
        <f>HYPERLINK("http://www.ncbi.nlm.nih.gov/Taxonomy/Browser/wwwtax.cgi?mode=Info&amp;id=8128&amp;lvl=3&amp;lin=f&amp;keep=1&amp;srchmode=1&amp;unlock","Oreochromis niloticus")</f>
        <v>Oreochromis niloticus</v>
      </c>
      <c r="H542" t="s">
        <v>628</v>
      </c>
      <c r="I542" t="str">
        <f>HYPERLINK("http://www.ncbi.nlm.nih.gov/protein/XP_025766635.1","androgen receptor-like")</f>
        <v>androgen receptor-like</v>
      </c>
      <c r="J542" t="s">
        <v>1327</v>
      </c>
      <c r="K542" t="s">
        <v>20</v>
      </c>
      <c r="L542">
        <v>550</v>
      </c>
      <c r="M542" t="s">
        <v>25</v>
      </c>
      <c r="N542" t="s">
        <v>20</v>
      </c>
      <c r="O542" t="s">
        <v>1352</v>
      </c>
      <c r="P542" t="s">
        <v>20</v>
      </c>
      <c r="Q542">
        <v>132.119</v>
      </c>
      <c r="R542" t="s">
        <v>20</v>
      </c>
      <c r="S542" t="s">
        <v>20</v>
      </c>
      <c r="T542">
        <v>556</v>
      </c>
      <c r="U542" t="s">
        <v>1313</v>
      </c>
      <c r="V542" t="s">
        <v>20</v>
      </c>
      <c r="W542" t="s">
        <v>1352</v>
      </c>
      <c r="X542" t="s">
        <v>20</v>
      </c>
      <c r="Y542">
        <v>146.14599999999999</v>
      </c>
      <c r="Z542" t="s">
        <v>20</v>
      </c>
      <c r="AA542" t="s">
        <v>20</v>
      </c>
      <c r="AB542">
        <v>597</v>
      </c>
      <c r="AC542" t="s">
        <v>1314</v>
      </c>
      <c r="AD542" t="s">
        <v>20</v>
      </c>
      <c r="AE542" t="s">
        <v>1353</v>
      </c>
      <c r="AF542" t="s">
        <v>20</v>
      </c>
      <c r="AG542">
        <v>174.203</v>
      </c>
      <c r="AH542" t="s">
        <v>20</v>
      </c>
      <c r="AI542" t="s">
        <v>20</v>
      </c>
      <c r="AJ542">
        <v>720</v>
      </c>
      <c r="AK542" t="s">
        <v>1315</v>
      </c>
      <c r="AL542" t="s">
        <v>20</v>
      </c>
      <c r="AM542" t="s">
        <v>1354</v>
      </c>
      <c r="AN542" t="s">
        <v>20</v>
      </c>
      <c r="AO542">
        <v>119.119</v>
      </c>
      <c r="AP542" t="s">
        <v>20</v>
      </c>
      <c r="AQ542" t="s">
        <v>20</v>
      </c>
    </row>
    <row r="543" spans="1:43" x14ac:dyDescent="0.25">
      <c r="A543">
        <v>6</v>
      </c>
      <c r="B543" t="s">
        <v>384</v>
      </c>
      <c r="C543" t="str">
        <f>HYPERLINK("http://www.ncbi.nlm.nih.gov/protein/XP_022601703.1","XP_022601703.1")</f>
        <v>XP_022601703.1</v>
      </c>
      <c r="D543">
        <v>32883</v>
      </c>
      <c r="E543" t="str">
        <f>HYPERLINK("http://www.ncbi.nlm.nih.gov/Taxonomy/Browser/wwwtax.cgi?mode=Info&amp;id=41447&amp;lvl=3&amp;lin=f&amp;keep=1&amp;srchmode=1&amp;unlock","41447")</f>
        <v>41447</v>
      </c>
      <c r="F543" t="s">
        <v>384</v>
      </c>
      <c r="G543" t="str">
        <f>HYPERLINK("http://www.ncbi.nlm.nih.gov/Taxonomy/Browser/wwwtax.cgi?mode=Info&amp;id=41447&amp;lvl=3&amp;lin=f&amp;keep=1&amp;srchmode=1&amp;unlock","Seriola dumerili")</f>
        <v>Seriola dumerili</v>
      </c>
      <c r="H543" t="s">
        <v>584</v>
      </c>
      <c r="I543" t="str">
        <f>HYPERLINK("http://www.ncbi.nlm.nih.gov/protein/XP_022601703.1","androgen receptor-like isoform X2")</f>
        <v>androgen receptor-like isoform X2</v>
      </c>
      <c r="J543" t="s">
        <v>1327</v>
      </c>
      <c r="K543" t="s">
        <v>20</v>
      </c>
      <c r="L543">
        <v>587</v>
      </c>
      <c r="M543" t="s">
        <v>25</v>
      </c>
      <c r="N543" t="s">
        <v>20</v>
      </c>
      <c r="O543" t="s">
        <v>1352</v>
      </c>
      <c r="P543" t="s">
        <v>20</v>
      </c>
      <c r="Q543">
        <v>132.119</v>
      </c>
      <c r="R543" t="s">
        <v>20</v>
      </c>
      <c r="S543" t="s">
        <v>20</v>
      </c>
      <c r="T543">
        <v>593</v>
      </c>
      <c r="U543" t="s">
        <v>1313</v>
      </c>
      <c r="V543" t="s">
        <v>20</v>
      </c>
      <c r="W543" t="s">
        <v>1352</v>
      </c>
      <c r="X543" t="s">
        <v>20</v>
      </c>
      <c r="Y543">
        <v>146.14599999999999</v>
      </c>
      <c r="Z543" t="s">
        <v>20</v>
      </c>
      <c r="AA543" t="s">
        <v>20</v>
      </c>
      <c r="AB543">
        <v>634</v>
      </c>
      <c r="AC543" t="s">
        <v>1314</v>
      </c>
      <c r="AD543" t="s">
        <v>20</v>
      </c>
      <c r="AE543" t="s">
        <v>1353</v>
      </c>
      <c r="AF543" t="s">
        <v>20</v>
      </c>
      <c r="AG543">
        <v>174.203</v>
      </c>
      <c r="AH543" t="s">
        <v>20</v>
      </c>
      <c r="AI543" t="s">
        <v>20</v>
      </c>
      <c r="AJ543">
        <v>757</v>
      </c>
      <c r="AK543" t="s">
        <v>1315</v>
      </c>
      <c r="AL543" t="s">
        <v>20</v>
      </c>
      <c r="AM543" t="s">
        <v>1354</v>
      </c>
      <c r="AN543" t="s">
        <v>20</v>
      </c>
      <c r="AO543">
        <v>119.119</v>
      </c>
      <c r="AP543" t="s">
        <v>20</v>
      </c>
      <c r="AQ543" t="s">
        <v>20</v>
      </c>
    </row>
    <row r="544" spans="1:43" x14ac:dyDescent="0.25">
      <c r="A544">
        <v>6</v>
      </c>
      <c r="B544" t="s">
        <v>384</v>
      </c>
      <c r="C544" t="str">
        <f>HYPERLINK("http://www.ncbi.nlm.nih.gov/protein/BAI49424.1","BAI49424.1")</f>
        <v>BAI49424.1</v>
      </c>
      <c r="D544">
        <v>6</v>
      </c>
      <c r="E544" t="str">
        <f>HYPERLINK("http://www.ncbi.nlm.nih.gov/Taxonomy/Browser/wwwtax.cgi?mode=Info&amp;id=328639&amp;lvl=3&amp;lin=f&amp;keep=1&amp;srchmode=1&amp;unlock","328639")</f>
        <v>328639</v>
      </c>
      <c r="F544" t="s">
        <v>384</v>
      </c>
      <c r="G544" t="str">
        <f>HYPERLINK("http://www.ncbi.nlm.nih.gov/Taxonomy/Browser/wwwtax.cgi?mode=Info&amp;id=328639&amp;lvl=3&amp;lin=f&amp;keep=1&amp;srchmode=1&amp;unlock","Acipenser ruthenus x Huso huso")</f>
        <v>Acipenser ruthenus x Huso huso</v>
      </c>
      <c r="H544" t="s">
        <v>1012</v>
      </c>
      <c r="I544" t="str">
        <f>HYPERLINK("http://www.ncbi.nlm.nih.gov/protein/BAI49424.1","androgen receptor")</f>
        <v>androgen receptor</v>
      </c>
      <c r="J544" t="s">
        <v>1327</v>
      </c>
      <c r="K544" t="s">
        <v>20</v>
      </c>
      <c r="L544">
        <v>628</v>
      </c>
      <c r="M544" t="s">
        <v>25</v>
      </c>
      <c r="N544" t="s">
        <v>20</v>
      </c>
      <c r="O544" t="s">
        <v>1352</v>
      </c>
      <c r="P544" t="s">
        <v>20</v>
      </c>
      <c r="Q544">
        <v>132.119</v>
      </c>
      <c r="R544" t="s">
        <v>20</v>
      </c>
      <c r="S544" t="s">
        <v>20</v>
      </c>
      <c r="T544">
        <v>634</v>
      </c>
      <c r="U544" t="s">
        <v>1313</v>
      </c>
      <c r="V544" t="s">
        <v>20</v>
      </c>
      <c r="W544" t="s">
        <v>1352</v>
      </c>
      <c r="X544" t="s">
        <v>20</v>
      </c>
      <c r="Y544">
        <v>146.14599999999999</v>
      </c>
      <c r="Z544" t="s">
        <v>20</v>
      </c>
      <c r="AA544" t="s">
        <v>20</v>
      </c>
      <c r="AB544">
        <v>675</v>
      </c>
      <c r="AC544" t="s">
        <v>1314</v>
      </c>
      <c r="AD544" t="s">
        <v>20</v>
      </c>
      <c r="AE544" t="s">
        <v>1353</v>
      </c>
      <c r="AF544" t="s">
        <v>20</v>
      </c>
      <c r="AG544">
        <v>174.203</v>
      </c>
      <c r="AH544" t="s">
        <v>20</v>
      </c>
      <c r="AI544" t="s">
        <v>20</v>
      </c>
      <c r="AJ544">
        <v>798</v>
      </c>
      <c r="AK544" t="s">
        <v>1315</v>
      </c>
      <c r="AL544" t="s">
        <v>20</v>
      </c>
      <c r="AM544" t="s">
        <v>1354</v>
      </c>
      <c r="AN544" t="s">
        <v>20</v>
      </c>
      <c r="AO544">
        <v>119.119</v>
      </c>
      <c r="AP544" t="s">
        <v>20</v>
      </c>
      <c r="AQ544" t="s">
        <v>20</v>
      </c>
    </row>
    <row r="545" spans="1:43" x14ac:dyDescent="0.25">
      <c r="A545">
        <v>6</v>
      </c>
      <c r="B545" t="s">
        <v>384</v>
      </c>
      <c r="C545" t="str">
        <f>HYPERLINK("http://www.ncbi.nlm.nih.gov/protein/XP_039633383.1","XP_039633383.1")</f>
        <v>XP_039633383.1</v>
      </c>
      <c r="D545">
        <v>74410</v>
      </c>
      <c r="E545" t="str">
        <f>HYPERLINK("http://www.ncbi.nlm.nih.gov/Taxonomy/Browser/wwwtax.cgi?mode=Info&amp;id=8168&amp;lvl=3&amp;lin=f&amp;keep=1&amp;srchmode=1&amp;unlock","8168")</f>
        <v>8168</v>
      </c>
      <c r="F545" t="s">
        <v>384</v>
      </c>
      <c r="G545" t="str">
        <f>HYPERLINK("http://www.ncbi.nlm.nih.gov/Taxonomy/Browser/wwwtax.cgi?mode=Info&amp;id=8168&amp;lvl=3&amp;lin=f&amp;keep=1&amp;srchmode=1&amp;unlock","Perca fluviatilis")</f>
        <v>Perca fluviatilis</v>
      </c>
      <c r="H545" t="s">
        <v>582</v>
      </c>
      <c r="I545" t="str">
        <f>HYPERLINK("http://www.ncbi.nlm.nih.gov/protein/XP_039633383.1","androgen receptor-like isoform X2")</f>
        <v>androgen receptor-like isoform X2</v>
      </c>
      <c r="J545" t="s">
        <v>1327</v>
      </c>
      <c r="K545" t="s">
        <v>20</v>
      </c>
      <c r="L545">
        <v>546</v>
      </c>
      <c r="M545" t="s">
        <v>25</v>
      </c>
      <c r="N545" t="s">
        <v>20</v>
      </c>
      <c r="O545" t="s">
        <v>1352</v>
      </c>
      <c r="P545" t="s">
        <v>20</v>
      </c>
      <c r="Q545">
        <v>132.119</v>
      </c>
      <c r="R545" t="s">
        <v>20</v>
      </c>
      <c r="S545" t="s">
        <v>20</v>
      </c>
      <c r="T545">
        <v>552</v>
      </c>
      <c r="U545" t="s">
        <v>1313</v>
      </c>
      <c r="V545" t="s">
        <v>20</v>
      </c>
      <c r="W545" t="s">
        <v>1352</v>
      </c>
      <c r="X545" t="s">
        <v>20</v>
      </c>
      <c r="Y545">
        <v>146.14599999999999</v>
      </c>
      <c r="Z545" t="s">
        <v>20</v>
      </c>
      <c r="AA545" t="s">
        <v>20</v>
      </c>
      <c r="AB545">
        <v>593</v>
      </c>
      <c r="AC545" t="s">
        <v>1314</v>
      </c>
      <c r="AD545" t="s">
        <v>20</v>
      </c>
      <c r="AE545" t="s">
        <v>1353</v>
      </c>
      <c r="AF545" t="s">
        <v>20</v>
      </c>
      <c r="AG545">
        <v>174.203</v>
      </c>
      <c r="AH545" t="s">
        <v>20</v>
      </c>
      <c r="AI545" t="s">
        <v>20</v>
      </c>
      <c r="AJ545">
        <v>716</v>
      </c>
      <c r="AK545" t="s">
        <v>1315</v>
      </c>
      <c r="AL545" t="s">
        <v>20</v>
      </c>
      <c r="AM545" t="s">
        <v>1354</v>
      </c>
      <c r="AN545" t="s">
        <v>20</v>
      </c>
      <c r="AO545">
        <v>119.119</v>
      </c>
      <c r="AP545" t="s">
        <v>20</v>
      </c>
      <c r="AQ545" t="s">
        <v>20</v>
      </c>
    </row>
    <row r="546" spans="1:43" x14ac:dyDescent="0.25">
      <c r="A546">
        <v>6</v>
      </c>
      <c r="B546" t="s">
        <v>384</v>
      </c>
      <c r="C546" t="str">
        <f>HYPERLINK("http://www.ncbi.nlm.nih.gov/protein/XP_036974842.1","XP_036974842.1")</f>
        <v>XP_036974842.1</v>
      </c>
      <c r="D546">
        <v>54695</v>
      </c>
      <c r="E546" t="str">
        <f>HYPERLINK("http://www.ncbi.nlm.nih.gov/Taxonomy/Browser/wwwtax.cgi?mode=Info&amp;id=8177&amp;lvl=3&amp;lin=f&amp;keep=1&amp;srchmode=1&amp;unlock","8177")</f>
        <v>8177</v>
      </c>
      <c r="F546" t="s">
        <v>384</v>
      </c>
      <c r="G546" t="str">
        <f>HYPERLINK("http://www.ncbi.nlm.nih.gov/Taxonomy/Browser/wwwtax.cgi?mode=Info&amp;id=8177&amp;lvl=3&amp;lin=f&amp;keep=1&amp;srchmode=1&amp;unlock","Acanthopagrus latus")</f>
        <v>Acanthopagrus latus</v>
      </c>
      <c r="H546" t="s">
        <v>570</v>
      </c>
      <c r="I546" t="str">
        <f>HYPERLINK("http://www.ncbi.nlm.nih.gov/protein/XP_036974842.1","androgen receptor-like")</f>
        <v>androgen receptor-like</v>
      </c>
      <c r="J546" t="s">
        <v>1327</v>
      </c>
      <c r="K546" t="s">
        <v>20</v>
      </c>
      <c r="L546">
        <v>560</v>
      </c>
      <c r="M546" t="s">
        <v>25</v>
      </c>
      <c r="N546" t="s">
        <v>20</v>
      </c>
      <c r="O546" t="s">
        <v>1352</v>
      </c>
      <c r="P546" t="s">
        <v>20</v>
      </c>
      <c r="Q546">
        <v>132.119</v>
      </c>
      <c r="R546" t="s">
        <v>20</v>
      </c>
      <c r="S546" t="s">
        <v>20</v>
      </c>
      <c r="T546">
        <v>566</v>
      </c>
      <c r="U546" t="s">
        <v>1313</v>
      </c>
      <c r="V546" t="s">
        <v>20</v>
      </c>
      <c r="W546" t="s">
        <v>1352</v>
      </c>
      <c r="X546" t="s">
        <v>20</v>
      </c>
      <c r="Y546">
        <v>146.14599999999999</v>
      </c>
      <c r="Z546" t="s">
        <v>20</v>
      </c>
      <c r="AA546" t="s">
        <v>20</v>
      </c>
      <c r="AB546">
        <v>607</v>
      </c>
      <c r="AC546" t="s">
        <v>1314</v>
      </c>
      <c r="AD546" t="s">
        <v>20</v>
      </c>
      <c r="AE546" t="s">
        <v>1353</v>
      </c>
      <c r="AF546" t="s">
        <v>20</v>
      </c>
      <c r="AG546">
        <v>174.203</v>
      </c>
      <c r="AH546" t="s">
        <v>20</v>
      </c>
      <c r="AI546" t="s">
        <v>20</v>
      </c>
      <c r="AJ546">
        <v>730</v>
      </c>
      <c r="AK546" t="s">
        <v>1315</v>
      </c>
      <c r="AL546" t="s">
        <v>20</v>
      </c>
      <c r="AM546" t="s">
        <v>1354</v>
      </c>
      <c r="AN546" t="s">
        <v>20</v>
      </c>
      <c r="AO546">
        <v>119.119</v>
      </c>
      <c r="AP546" t="s">
        <v>20</v>
      </c>
      <c r="AQ546" t="s">
        <v>20</v>
      </c>
    </row>
    <row r="547" spans="1:43" x14ac:dyDescent="0.25">
      <c r="A547">
        <v>6</v>
      </c>
      <c r="B547" t="s">
        <v>384</v>
      </c>
      <c r="C547" t="str">
        <f>HYPERLINK("http://www.ncbi.nlm.nih.gov/protein/XP_012720156.2","XP_012720156.2")</f>
        <v>XP_012720156.2</v>
      </c>
      <c r="D547">
        <v>50120</v>
      </c>
      <c r="E547" t="str">
        <f>HYPERLINK("http://www.ncbi.nlm.nih.gov/Taxonomy/Browser/wwwtax.cgi?mode=Info&amp;id=8078&amp;lvl=3&amp;lin=f&amp;keep=1&amp;srchmode=1&amp;unlock","8078")</f>
        <v>8078</v>
      </c>
      <c r="F547" t="s">
        <v>384</v>
      </c>
      <c r="G547" t="str">
        <f>HYPERLINK("http://www.ncbi.nlm.nih.gov/Taxonomy/Browser/wwwtax.cgi?mode=Info&amp;id=8078&amp;lvl=3&amp;lin=f&amp;keep=1&amp;srchmode=1&amp;unlock","Fundulus heteroclitus")</f>
        <v>Fundulus heteroclitus</v>
      </c>
      <c r="H547" t="s">
        <v>571</v>
      </c>
      <c r="I547" t="str">
        <f>HYPERLINK("http://www.ncbi.nlm.nih.gov/protein/XP_012720156.2","androgen receptor")</f>
        <v>androgen receptor</v>
      </c>
      <c r="J547" t="s">
        <v>1327</v>
      </c>
      <c r="K547" t="s">
        <v>20</v>
      </c>
      <c r="L547">
        <v>539</v>
      </c>
      <c r="M547" t="s">
        <v>25</v>
      </c>
      <c r="N547" t="s">
        <v>20</v>
      </c>
      <c r="O547" t="s">
        <v>1352</v>
      </c>
      <c r="P547" t="s">
        <v>20</v>
      </c>
      <c r="Q547">
        <v>132.119</v>
      </c>
      <c r="R547" t="s">
        <v>20</v>
      </c>
      <c r="S547" t="s">
        <v>20</v>
      </c>
      <c r="T547">
        <v>545</v>
      </c>
      <c r="U547" t="s">
        <v>1313</v>
      </c>
      <c r="V547" t="s">
        <v>20</v>
      </c>
      <c r="W547" t="s">
        <v>1352</v>
      </c>
      <c r="X547" t="s">
        <v>20</v>
      </c>
      <c r="Y547">
        <v>146.14599999999999</v>
      </c>
      <c r="Z547" t="s">
        <v>20</v>
      </c>
      <c r="AA547" t="s">
        <v>20</v>
      </c>
      <c r="AB547">
        <v>586</v>
      </c>
      <c r="AC547" t="s">
        <v>1314</v>
      </c>
      <c r="AD547" t="s">
        <v>20</v>
      </c>
      <c r="AE547" t="s">
        <v>1353</v>
      </c>
      <c r="AF547" t="s">
        <v>20</v>
      </c>
      <c r="AG547">
        <v>174.203</v>
      </c>
      <c r="AH547" t="s">
        <v>20</v>
      </c>
      <c r="AI547" t="s">
        <v>20</v>
      </c>
      <c r="AJ547">
        <v>709</v>
      </c>
      <c r="AK547" t="s">
        <v>1315</v>
      </c>
      <c r="AL547" t="s">
        <v>20</v>
      </c>
      <c r="AM547" t="s">
        <v>1354</v>
      </c>
      <c r="AN547" t="s">
        <v>20</v>
      </c>
      <c r="AO547">
        <v>119.119</v>
      </c>
      <c r="AP547" t="s">
        <v>20</v>
      </c>
      <c r="AQ547" t="s">
        <v>20</v>
      </c>
    </row>
    <row r="548" spans="1:43" x14ac:dyDescent="0.25">
      <c r="A548">
        <v>6</v>
      </c>
      <c r="B548" t="s">
        <v>384</v>
      </c>
      <c r="C548" t="str">
        <f>HYPERLINK("http://www.ncbi.nlm.nih.gov/protein/AAO61694.1","AAO61694.1")</f>
        <v>AAO61694.1</v>
      </c>
      <c r="D548">
        <v>282</v>
      </c>
      <c r="E548" t="str">
        <f>HYPERLINK("http://www.ncbi.nlm.nih.gov/Taxonomy/Browser/wwwtax.cgi?mode=Info&amp;id=72011&amp;lvl=3&amp;lin=f&amp;keep=1&amp;srchmode=1&amp;unlock","72011")</f>
        <v>72011</v>
      </c>
      <c r="F548" t="s">
        <v>384</v>
      </c>
      <c r="G548" t="str">
        <f>HYPERLINK("http://www.ncbi.nlm.nih.gov/Taxonomy/Browser/wwwtax.cgi?mode=Info&amp;id=72011&amp;lvl=3&amp;lin=f&amp;keep=1&amp;srchmode=1&amp;unlock","Acanthopagrus schlegelii")</f>
        <v>Acanthopagrus schlegelii</v>
      </c>
      <c r="H548" t="s">
        <v>690</v>
      </c>
      <c r="I548" t="str">
        <f>HYPERLINK("http://www.ncbi.nlm.nih.gov/protein/AAO61694.1","androgen receptor")</f>
        <v>androgen receptor</v>
      </c>
      <c r="J548" t="s">
        <v>1327</v>
      </c>
      <c r="K548" t="s">
        <v>20</v>
      </c>
      <c r="L548">
        <v>558</v>
      </c>
      <c r="M548" t="s">
        <v>25</v>
      </c>
      <c r="N548" t="s">
        <v>20</v>
      </c>
      <c r="O548" t="s">
        <v>1352</v>
      </c>
      <c r="P548" t="s">
        <v>20</v>
      </c>
      <c r="Q548">
        <v>132.119</v>
      </c>
      <c r="R548" t="s">
        <v>20</v>
      </c>
      <c r="S548" t="s">
        <v>20</v>
      </c>
      <c r="T548">
        <v>564</v>
      </c>
      <c r="U548" t="s">
        <v>1313</v>
      </c>
      <c r="V548" t="s">
        <v>20</v>
      </c>
      <c r="W548" t="s">
        <v>1352</v>
      </c>
      <c r="X548" t="s">
        <v>20</v>
      </c>
      <c r="Y548">
        <v>146.14599999999999</v>
      </c>
      <c r="Z548" t="s">
        <v>20</v>
      </c>
      <c r="AA548" t="s">
        <v>20</v>
      </c>
      <c r="AB548">
        <v>605</v>
      </c>
      <c r="AC548" t="s">
        <v>1314</v>
      </c>
      <c r="AD548" t="s">
        <v>20</v>
      </c>
      <c r="AE548" t="s">
        <v>1353</v>
      </c>
      <c r="AF548" t="s">
        <v>20</v>
      </c>
      <c r="AG548">
        <v>174.203</v>
      </c>
      <c r="AH548" t="s">
        <v>20</v>
      </c>
      <c r="AI548" t="s">
        <v>20</v>
      </c>
      <c r="AJ548">
        <v>728</v>
      </c>
      <c r="AK548" t="s">
        <v>1315</v>
      </c>
      <c r="AL548" t="s">
        <v>20</v>
      </c>
      <c r="AM548" t="s">
        <v>1354</v>
      </c>
      <c r="AN548" t="s">
        <v>20</v>
      </c>
      <c r="AO548">
        <v>119.119</v>
      </c>
      <c r="AP548" t="s">
        <v>20</v>
      </c>
      <c r="AQ548" t="s">
        <v>20</v>
      </c>
    </row>
    <row r="549" spans="1:43" x14ac:dyDescent="0.25">
      <c r="A549">
        <v>6</v>
      </c>
      <c r="B549" t="s">
        <v>384</v>
      </c>
      <c r="C549" t="str">
        <f>HYPERLINK("http://www.ncbi.nlm.nih.gov/protein/QAV54758.1","QAV54758.1")</f>
        <v>QAV54758.1</v>
      </c>
      <c r="D549">
        <v>272</v>
      </c>
      <c r="E549" t="str">
        <f>HYPERLINK("http://www.ncbi.nlm.nih.gov/Taxonomy/Browser/wwwtax.cgi?mode=Info&amp;id=86224&amp;lvl=3&amp;lin=f&amp;keep=1&amp;srchmode=1&amp;unlock","86224")</f>
        <v>86224</v>
      </c>
      <c r="F549" t="s">
        <v>384</v>
      </c>
      <c r="G549" t="str">
        <f>HYPERLINK("http://www.ncbi.nlm.nih.gov/Taxonomy/Browser/wwwtax.cgi?mode=Info&amp;id=86224&amp;lvl=3&amp;lin=f&amp;keep=1&amp;srchmode=1&amp;unlock","Bostrychus sinensis")</f>
        <v>Bostrychus sinensis</v>
      </c>
      <c r="H549" t="s">
        <v>1013</v>
      </c>
      <c r="I549" t="str">
        <f>HYPERLINK("http://www.ncbi.nlm.nih.gov/protein/QAV54758.1","androgen receptor beta")</f>
        <v>androgen receptor beta</v>
      </c>
      <c r="J549" t="s">
        <v>1327</v>
      </c>
      <c r="K549" t="s">
        <v>20</v>
      </c>
      <c r="L549">
        <v>509</v>
      </c>
      <c r="M549" t="s">
        <v>25</v>
      </c>
      <c r="N549" t="s">
        <v>20</v>
      </c>
      <c r="O549" t="s">
        <v>1352</v>
      </c>
      <c r="P549" t="s">
        <v>20</v>
      </c>
      <c r="Q549">
        <v>132.119</v>
      </c>
      <c r="R549" t="s">
        <v>20</v>
      </c>
      <c r="S549" t="s">
        <v>20</v>
      </c>
      <c r="T549">
        <v>515</v>
      </c>
      <c r="U549" t="s">
        <v>1313</v>
      </c>
      <c r="V549" t="s">
        <v>20</v>
      </c>
      <c r="W549" t="s">
        <v>1352</v>
      </c>
      <c r="X549" t="s">
        <v>20</v>
      </c>
      <c r="Y549">
        <v>146.14599999999999</v>
      </c>
      <c r="Z549" t="s">
        <v>20</v>
      </c>
      <c r="AA549" t="s">
        <v>20</v>
      </c>
      <c r="AB549">
        <v>556</v>
      </c>
      <c r="AC549" t="s">
        <v>1314</v>
      </c>
      <c r="AD549" t="s">
        <v>20</v>
      </c>
      <c r="AE549" t="s">
        <v>1353</v>
      </c>
      <c r="AF549" t="s">
        <v>20</v>
      </c>
      <c r="AG549">
        <v>174.203</v>
      </c>
      <c r="AH549" t="s">
        <v>20</v>
      </c>
      <c r="AI549" t="s">
        <v>20</v>
      </c>
      <c r="AJ549">
        <v>679</v>
      </c>
      <c r="AK549" t="s">
        <v>1315</v>
      </c>
      <c r="AL549" t="s">
        <v>20</v>
      </c>
      <c r="AM549" t="s">
        <v>1354</v>
      </c>
      <c r="AN549" t="s">
        <v>20</v>
      </c>
      <c r="AO549">
        <v>119.119</v>
      </c>
      <c r="AP549" t="s">
        <v>20</v>
      </c>
      <c r="AQ549" t="s">
        <v>20</v>
      </c>
    </row>
    <row r="550" spans="1:43" x14ac:dyDescent="0.25">
      <c r="A550">
        <v>6</v>
      </c>
      <c r="B550" t="s">
        <v>384</v>
      </c>
      <c r="C550" t="str">
        <f>HYPERLINK("http://www.ncbi.nlm.nih.gov/protein/XP_023266520.1","XP_023266520.1")</f>
        <v>XP_023266520.1</v>
      </c>
      <c r="D550">
        <v>38822</v>
      </c>
      <c r="E550" t="str">
        <f>HYPERLINK("http://www.ncbi.nlm.nih.gov/Taxonomy/Browser/wwwtax.cgi?mode=Info&amp;id=1841481&amp;lvl=3&amp;lin=f&amp;keep=1&amp;srchmode=1&amp;unlock","1841481")</f>
        <v>1841481</v>
      </c>
      <c r="F550" t="s">
        <v>384</v>
      </c>
      <c r="G550" t="str">
        <f>HYPERLINK("http://www.ncbi.nlm.nih.gov/Taxonomy/Browser/wwwtax.cgi?mode=Info&amp;id=1841481&amp;lvl=3&amp;lin=f&amp;keep=1&amp;srchmode=1&amp;unlock","Seriola lalandi dorsalis")</f>
        <v>Seriola lalandi dorsalis</v>
      </c>
      <c r="H550" t="s">
        <v>591</v>
      </c>
      <c r="I550" t="str">
        <f>HYPERLINK("http://www.ncbi.nlm.nih.gov/protein/XP_023266520.1","androgen receptor")</f>
        <v>androgen receptor</v>
      </c>
      <c r="J550" t="s">
        <v>1327</v>
      </c>
      <c r="K550" t="s">
        <v>20</v>
      </c>
      <c r="L550">
        <v>539</v>
      </c>
      <c r="M550" t="s">
        <v>25</v>
      </c>
      <c r="N550" t="s">
        <v>20</v>
      </c>
      <c r="O550" t="s">
        <v>1352</v>
      </c>
      <c r="P550" t="s">
        <v>20</v>
      </c>
      <c r="Q550">
        <v>132.119</v>
      </c>
      <c r="R550" t="s">
        <v>20</v>
      </c>
      <c r="S550" t="s">
        <v>20</v>
      </c>
      <c r="T550">
        <v>545</v>
      </c>
      <c r="U550" t="s">
        <v>1313</v>
      </c>
      <c r="V550" t="s">
        <v>20</v>
      </c>
      <c r="W550" t="s">
        <v>1352</v>
      </c>
      <c r="X550" t="s">
        <v>20</v>
      </c>
      <c r="Y550">
        <v>146.14599999999999</v>
      </c>
      <c r="Z550" t="s">
        <v>20</v>
      </c>
      <c r="AA550" t="s">
        <v>20</v>
      </c>
      <c r="AB550">
        <v>586</v>
      </c>
      <c r="AC550" t="s">
        <v>1314</v>
      </c>
      <c r="AD550" t="s">
        <v>20</v>
      </c>
      <c r="AE550" t="s">
        <v>1353</v>
      </c>
      <c r="AF550" t="s">
        <v>20</v>
      </c>
      <c r="AG550">
        <v>174.203</v>
      </c>
      <c r="AH550" t="s">
        <v>20</v>
      </c>
      <c r="AI550" t="s">
        <v>20</v>
      </c>
      <c r="AJ550">
        <v>709</v>
      </c>
      <c r="AK550" t="s">
        <v>1315</v>
      </c>
      <c r="AL550" t="s">
        <v>20</v>
      </c>
      <c r="AM550" t="s">
        <v>1354</v>
      </c>
      <c r="AN550" t="s">
        <v>20</v>
      </c>
      <c r="AO550">
        <v>119.119</v>
      </c>
      <c r="AP550" t="s">
        <v>20</v>
      </c>
      <c r="AQ550" t="s">
        <v>20</v>
      </c>
    </row>
    <row r="551" spans="1:43" x14ac:dyDescent="0.25">
      <c r="A551">
        <v>6</v>
      </c>
      <c r="B551" t="s">
        <v>384</v>
      </c>
      <c r="C551" t="str">
        <f>HYPERLINK("http://www.ncbi.nlm.nih.gov/protein/ANN14185.1","ANN14185.1")</f>
        <v>ANN14185.1</v>
      </c>
      <c r="D551">
        <v>49656</v>
      </c>
      <c r="E551" t="str">
        <f>HYPERLINK("http://www.ncbi.nlm.nih.gov/Taxonomy/Browser/wwwtax.cgi?mode=Info&amp;id=48698&amp;lvl=3&amp;lin=f&amp;keep=1&amp;srchmode=1&amp;unlock","48698")</f>
        <v>48698</v>
      </c>
      <c r="F551" t="s">
        <v>384</v>
      </c>
      <c r="G551" t="str">
        <f>HYPERLINK("http://www.ncbi.nlm.nih.gov/Taxonomy/Browser/wwwtax.cgi?mode=Info&amp;id=48698&amp;lvl=3&amp;lin=f&amp;keep=1&amp;srchmode=1&amp;unlock","Poecilia formosa")</f>
        <v>Poecilia formosa</v>
      </c>
      <c r="H551" t="s">
        <v>613</v>
      </c>
      <c r="I551" t="str">
        <f>HYPERLINK("http://www.ncbi.nlm.nih.gov/protein/ANN14185.1","androgen receptor beta")</f>
        <v>androgen receptor beta</v>
      </c>
      <c r="J551" t="s">
        <v>1327</v>
      </c>
      <c r="K551" t="s">
        <v>20</v>
      </c>
      <c r="L551">
        <v>544</v>
      </c>
      <c r="M551" t="s">
        <v>25</v>
      </c>
      <c r="N551" t="s">
        <v>20</v>
      </c>
      <c r="O551" t="s">
        <v>1352</v>
      </c>
      <c r="P551" t="s">
        <v>20</v>
      </c>
      <c r="Q551">
        <v>132.119</v>
      </c>
      <c r="R551" t="s">
        <v>20</v>
      </c>
      <c r="S551" t="s">
        <v>20</v>
      </c>
      <c r="T551">
        <v>550</v>
      </c>
      <c r="U551" t="s">
        <v>1313</v>
      </c>
      <c r="V551" t="s">
        <v>20</v>
      </c>
      <c r="W551" t="s">
        <v>1352</v>
      </c>
      <c r="X551" t="s">
        <v>20</v>
      </c>
      <c r="Y551">
        <v>146.14599999999999</v>
      </c>
      <c r="Z551" t="s">
        <v>20</v>
      </c>
      <c r="AA551" t="s">
        <v>20</v>
      </c>
      <c r="AB551">
        <v>591</v>
      </c>
      <c r="AC551" t="s">
        <v>1314</v>
      </c>
      <c r="AD551" t="s">
        <v>20</v>
      </c>
      <c r="AE551" t="s">
        <v>1353</v>
      </c>
      <c r="AF551" t="s">
        <v>20</v>
      </c>
      <c r="AG551">
        <v>174.203</v>
      </c>
      <c r="AH551" t="s">
        <v>20</v>
      </c>
      <c r="AI551" t="s">
        <v>20</v>
      </c>
      <c r="AJ551">
        <v>714</v>
      </c>
      <c r="AK551" t="s">
        <v>1315</v>
      </c>
      <c r="AL551" t="s">
        <v>20</v>
      </c>
      <c r="AM551" t="s">
        <v>1354</v>
      </c>
      <c r="AN551" t="s">
        <v>20</v>
      </c>
      <c r="AO551">
        <v>119.119</v>
      </c>
      <c r="AP551" t="s">
        <v>20</v>
      </c>
      <c r="AQ551" t="s">
        <v>20</v>
      </c>
    </row>
    <row r="552" spans="1:43" x14ac:dyDescent="0.25">
      <c r="A552">
        <v>6</v>
      </c>
      <c r="B552" t="s">
        <v>384</v>
      </c>
      <c r="C552" t="str">
        <f>HYPERLINK("http://www.ncbi.nlm.nih.gov/protein/AKJ74871.1","AKJ74871.1")</f>
        <v>AKJ74871.1</v>
      </c>
      <c r="D552">
        <v>47232</v>
      </c>
      <c r="E552" t="str">
        <f>HYPERLINK("http://www.ncbi.nlm.nih.gov/Taxonomy/Browser/wwwtax.cgi?mode=Info&amp;id=48699&amp;lvl=3&amp;lin=f&amp;keep=1&amp;srchmode=1&amp;unlock","48699")</f>
        <v>48699</v>
      </c>
      <c r="F552" t="s">
        <v>384</v>
      </c>
      <c r="G552" t="str">
        <f>HYPERLINK("http://www.ncbi.nlm.nih.gov/Taxonomy/Browser/wwwtax.cgi?mode=Info&amp;id=48699&amp;lvl=3&amp;lin=f&amp;keep=1&amp;srchmode=1&amp;unlock","Poecilia latipinna")</f>
        <v>Poecilia latipinna</v>
      </c>
      <c r="H552" t="s">
        <v>600</v>
      </c>
      <c r="I552" t="str">
        <f>HYPERLINK("http://www.ncbi.nlm.nih.gov/protein/AKJ74871.1","androgen receptor beta")</f>
        <v>androgen receptor beta</v>
      </c>
      <c r="J552" t="s">
        <v>1327</v>
      </c>
      <c r="K552" t="s">
        <v>20</v>
      </c>
      <c r="L552">
        <v>544</v>
      </c>
      <c r="M552" t="s">
        <v>25</v>
      </c>
      <c r="N552" t="s">
        <v>20</v>
      </c>
      <c r="O552" t="s">
        <v>1352</v>
      </c>
      <c r="P552" t="s">
        <v>20</v>
      </c>
      <c r="Q552">
        <v>132.119</v>
      </c>
      <c r="R552" t="s">
        <v>20</v>
      </c>
      <c r="S552" t="s">
        <v>20</v>
      </c>
      <c r="T552">
        <v>550</v>
      </c>
      <c r="U552" t="s">
        <v>1313</v>
      </c>
      <c r="V552" t="s">
        <v>20</v>
      </c>
      <c r="W552" t="s">
        <v>1352</v>
      </c>
      <c r="X552" t="s">
        <v>20</v>
      </c>
      <c r="Y552">
        <v>146.14599999999999</v>
      </c>
      <c r="Z552" t="s">
        <v>20</v>
      </c>
      <c r="AA552" t="s">
        <v>20</v>
      </c>
      <c r="AB552">
        <v>591</v>
      </c>
      <c r="AC552" t="s">
        <v>1314</v>
      </c>
      <c r="AD552" t="s">
        <v>20</v>
      </c>
      <c r="AE552" t="s">
        <v>1353</v>
      </c>
      <c r="AF552" t="s">
        <v>20</v>
      </c>
      <c r="AG552">
        <v>174.203</v>
      </c>
      <c r="AH552" t="s">
        <v>20</v>
      </c>
      <c r="AI552" t="s">
        <v>20</v>
      </c>
      <c r="AJ552">
        <v>714</v>
      </c>
      <c r="AK552" t="s">
        <v>1315</v>
      </c>
      <c r="AL552" t="s">
        <v>20</v>
      </c>
      <c r="AM552" t="s">
        <v>1354</v>
      </c>
      <c r="AN552" t="s">
        <v>20</v>
      </c>
      <c r="AO552">
        <v>119.119</v>
      </c>
      <c r="AP552" t="s">
        <v>20</v>
      </c>
      <c r="AQ552" t="s">
        <v>20</v>
      </c>
    </row>
    <row r="553" spans="1:43" x14ac:dyDescent="0.25">
      <c r="A553">
        <v>6</v>
      </c>
      <c r="B553" t="s">
        <v>384</v>
      </c>
      <c r="C553" t="str">
        <f>HYPERLINK("http://www.ncbi.nlm.nih.gov/protein/BAD52084.1","BAD52084.1")</f>
        <v>BAD52084.1</v>
      </c>
      <c r="D553">
        <v>19610</v>
      </c>
      <c r="E553" t="str">
        <f>HYPERLINK("http://www.ncbi.nlm.nih.gov/Taxonomy/Browser/wwwtax.cgi?mode=Info&amp;id=33528&amp;lvl=3&amp;lin=f&amp;keep=1&amp;srchmode=1&amp;unlock","33528")</f>
        <v>33528</v>
      </c>
      <c r="F553" t="s">
        <v>384</v>
      </c>
      <c r="G553" t="str">
        <f>HYPERLINK("http://www.ncbi.nlm.nih.gov/Taxonomy/Browser/wwwtax.cgi?mode=Info&amp;id=33528&amp;lvl=3&amp;lin=f&amp;keep=1&amp;srchmode=1&amp;unlock","Gambusia affinis")</f>
        <v>Gambusia affinis</v>
      </c>
      <c r="H553" t="s">
        <v>569</v>
      </c>
      <c r="I553" t="str">
        <f>HYPERLINK("http://www.ncbi.nlm.nih.gov/protein/BAD52084.1","androgen receptor")</f>
        <v>androgen receptor</v>
      </c>
      <c r="J553" t="s">
        <v>1327</v>
      </c>
      <c r="K553" t="s">
        <v>20</v>
      </c>
      <c r="L553">
        <v>542</v>
      </c>
      <c r="M553" t="s">
        <v>25</v>
      </c>
      <c r="N553" t="s">
        <v>20</v>
      </c>
      <c r="O553" t="s">
        <v>1352</v>
      </c>
      <c r="P553" t="s">
        <v>20</v>
      </c>
      <c r="Q553">
        <v>132.119</v>
      </c>
      <c r="R553" t="s">
        <v>20</v>
      </c>
      <c r="S553" t="s">
        <v>20</v>
      </c>
      <c r="T553">
        <v>548</v>
      </c>
      <c r="U553" t="s">
        <v>1313</v>
      </c>
      <c r="V553" t="s">
        <v>20</v>
      </c>
      <c r="W553" t="s">
        <v>1352</v>
      </c>
      <c r="X553" t="s">
        <v>20</v>
      </c>
      <c r="Y553">
        <v>146.14599999999999</v>
      </c>
      <c r="Z553" t="s">
        <v>20</v>
      </c>
      <c r="AA553" t="s">
        <v>20</v>
      </c>
      <c r="AB553">
        <v>589</v>
      </c>
      <c r="AC553" t="s">
        <v>1314</v>
      </c>
      <c r="AD553" t="s">
        <v>20</v>
      </c>
      <c r="AE553" t="s">
        <v>1353</v>
      </c>
      <c r="AF553" t="s">
        <v>20</v>
      </c>
      <c r="AG553">
        <v>174.203</v>
      </c>
      <c r="AH553" t="s">
        <v>20</v>
      </c>
      <c r="AI553" t="s">
        <v>20</v>
      </c>
      <c r="AJ553">
        <v>712</v>
      </c>
      <c r="AK553" t="s">
        <v>1315</v>
      </c>
      <c r="AL553" t="s">
        <v>20</v>
      </c>
      <c r="AM553" t="s">
        <v>1354</v>
      </c>
      <c r="AN553" t="s">
        <v>20</v>
      </c>
      <c r="AO553">
        <v>119.119</v>
      </c>
      <c r="AP553" t="s">
        <v>20</v>
      </c>
      <c r="AQ553" t="s">
        <v>20</v>
      </c>
    </row>
    <row r="554" spans="1:43" x14ac:dyDescent="0.25">
      <c r="A554">
        <v>6</v>
      </c>
      <c r="B554" t="s">
        <v>384</v>
      </c>
      <c r="C554" t="str">
        <f>HYPERLINK("http://www.ncbi.nlm.nih.gov/protein/XP_014822347.1","XP_014822347.1")</f>
        <v>XP_014822347.1</v>
      </c>
      <c r="D554">
        <v>47807</v>
      </c>
      <c r="E554" t="str">
        <f>HYPERLINK("http://www.ncbi.nlm.nih.gov/Taxonomy/Browser/wwwtax.cgi?mode=Info&amp;id=48701&amp;lvl=3&amp;lin=f&amp;keep=1&amp;srchmode=1&amp;unlock","48701")</f>
        <v>48701</v>
      </c>
      <c r="F554" t="s">
        <v>384</v>
      </c>
      <c r="G554" t="str">
        <f>HYPERLINK("http://www.ncbi.nlm.nih.gov/Taxonomy/Browser/wwwtax.cgi?mode=Info&amp;id=48701&amp;lvl=3&amp;lin=f&amp;keep=1&amp;srchmode=1&amp;unlock","Poecilia mexicana")</f>
        <v>Poecilia mexicana</v>
      </c>
      <c r="H554" t="s">
        <v>615</v>
      </c>
      <c r="I554" t="str">
        <f>HYPERLINK("http://www.ncbi.nlm.nih.gov/protein/XP_014822347.1","PREDICTED: androgen receptor-like")</f>
        <v>PREDICTED: androgen receptor-like</v>
      </c>
      <c r="J554" t="s">
        <v>1327</v>
      </c>
      <c r="K554" t="s">
        <v>20</v>
      </c>
      <c r="L554">
        <v>542</v>
      </c>
      <c r="M554" t="s">
        <v>25</v>
      </c>
      <c r="N554" t="s">
        <v>20</v>
      </c>
      <c r="O554" t="s">
        <v>1352</v>
      </c>
      <c r="P554" t="s">
        <v>20</v>
      </c>
      <c r="Q554">
        <v>132.119</v>
      </c>
      <c r="R554" t="s">
        <v>20</v>
      </c>
      <c r="S554" t="s">
        <v>20</v>
      </c>
      <c r="T554">
        <v>548</v>
      </c>
      <c r="U554" t="s">
        <v>1313</v>
      </c>
      <c r="V554" t="s">
        <v>20</v>
      </c>
      <c r="W554" t="s">
        <v>1352</v>
      </c>
      <c r="X554" t="s">
        <v>20</v>
      </c>
      <c r="Y554">
        <v>146.14599999999999</v>
      </c>
      <c r="Z554" t="s">
        <v>20</v>
      </c>
      <c r="AA554" t="s">
        <v>20</v>
      </c>
      <c r="AB554">
        <v>589</v>
      </c>
      <c r="AC554" t="s">
        <v>1314</v>
      </c>
      <c r="AD554" t="s">
        <v>20</v>
      </c>
      <c r="AE554" t="s">
        <v>1353</v>
      </c>
      <c r="AF554" t="s">
        <v>20</v>
      </c>
      <c r="AG554">
        <v>174.203</v>
      </c>
      <c r="AH554" t="s">
        <v>20</v>
      </c>
      <c r="AI554" t="s">
        <v>20</v>
      </c>
      <c r="AJ554">
        <v>712</v>
      </c>
      <c r="AK554" t="s">
        <v>1315</v>
      </c>
      <c r="AL554" t="s">
        <v>20</v>
      </c>
      <c r="AM554" t="s">
        <v>1354</v>
      </c>
      <c r="AN554" t="s">
        <v>20</v>
      </c>
      <c r="AO554">
        <v>119.119</v>
      </c>
      <c r="AP554" t="s">
        <v>20</v>
      </c>
      <c r="AQ554" t="s">
        <v>20</v>
      </c>
    </row>
    <row r="555" spans="1:43" x14ac:dyDescent="0.25">
      <c r="A555">
        <v>6</v>
      </c>
      <c r="B555" t="s">
        <v>384</v>
      </c>
      <c r="C555" t="str">
        <f>HYPERLINK("http://www.ncbi.nlm.nih.gov/protein/XP_027887592.1","XP_027887592.1")</f>
        <v>XP_027887592.1</v>
      </c>
      <c r="D555">
        <v>47115</v>
      </c>
      <c r="E555" t="str">
        <f>HYPERLINK("http://www.ncbi.nlm.nih.gov/Taxonomy/Browser/wwwtax.cgi?mode=Info&amp;id=32473&amp;lvl=3&amp;lin=f&amp;keep=1&amp;srchmode=1&amp;unlock","32473")</f>
        <v>32473</v>
      </c>
      <c r="F555" t="s">
        <v>384</v>
      </c>
      <c r="G555" t="str">
        <f>HYPERLINK("http://www.ncbi.nlm.nih.gov/Taxonomy/Browser/wwwtax.cgi?mode=Info&amp;id=32473&amp;lvl=3&amp;lin=f&amp;keep=1&amp;srchmode=1&amp;unlock","Xiphophorus couchianus")</f>
        <v>Xiphophorus couchianus</v>
      </c>
      <c r="H555" t="s">
        <v>621</v>
      </c>
      <c r="I555" t="str">
        <f>HYPERLINK("http://www.ncbi.nlm.nih.gov/protein/XP_027887592.1","androgen receptor-like")</f>
        <v>androgen receptor-like</v>
      </c>
      <c r="J555" t="s">
        <v>1327</v>
      </c>
      <c r="K555" t="s">
        <v>20</v>
      </c>
      <c r="L555">
        <v>541</v>
      </c>
      <c r="M555" t="s">
        <v>25</v>
      </c>
      <c r="N555" t="s">
        <v>20</v>
      </c>
      <c r="O555" t="s">
        <v>1352</v>
      </c>
      <c r="P555" t="s">
        <v>20</v>
      </c>
      <c r="Q555">
        <v>132.119</v>
      </c>
      <c r="R555" t="s">
        <v>20</v>
      </c>
      <c r="S555" t="s">
        <v>20</v>
      </c>
      <c r="T555">
        <v>547</v>
      </c>
      <c r="U555" t="s">
        <v>1313</v>
      </c>
      <c r="V555" t="s">
        <v>20</v>
      </c>
      <c r="W555" t="s">
        <v>1352</v>
      </c>
      <c r="X555" t="s">
        <v>20</v>
      </c>
      <c r="Y555">
        <v>146.14599999999999</v>
      </c>
      <c r="Z555" t="s">
        <v>20</v>
      </c>
      <c r="AA555" t="s">
        <v>20</v>
      </c>
      <c r="AB555">
        <v>588</v>
      </c>
      <c r="AC555" t="s">
        <v>1314</v>
      </c>
      <c r="AD555" t="s">
        <v>20</v>
      </c>
      <c r="AE555" t="s">
        <v>1353</v>
      </c>
      <c r="AF555" t="s">
        <v>20</v>
      </c>
      <c r="AG555">
        <v>174.203</v>
      </c>
      <c r="AH555" t="s">
        <v>20</v>
      </c>
      <c r="AI555" t="s">
        <v>20</v>
      </c>
      <c r="AJ555">
        <v>711</v>
      </c>
      <c r="AK555" t="s">
        <v>1315</v>
      </c>
      <c r="AL555" t="s">
        <v>20</v>
      </c>
      <c r="AM555" t="s">
        <v>1354</v>
      </c>
      <c r="AN555" t="s">
        <v>20</v>
      </c>
      <c r="AO555">
        <v>119.119</v>
      </c>
      <c r="AP555" t="s">
        <v>20</v>
      </c>
      <c r="AQ555" t="s">
        <v>20</v>
      </c>
    </row>
    <row r="556" spans="1:43" x14ac:dyDescent="0.25">
      <c r="A556">
        <v>6</v>
      </c>
      <c r="B556" t="s">
        <v>384</v>
      </c>
      <c r="C556" t="str">
        <f>HYPERLINK("http://www.ncbi.nlm.nih.gov/protein/XP_005806705.1","XP_005806705.1")</f>
        <v>XP_005806705.1</v>
      </c>
      <c r="D556">
        <v>43734</v>
      </c>
      <c r="E556" t="str">
        <f>HYPERLINK("http://www.ncbi.nlm.nih.gov/Taxonomy/Browser/wwwtax.cgi?mode=Info&amp;id=8083&amp;lvl=3&amp;lin=f&amp;keep=1&amp;srchmode=1&amp;unlock","8083")</f>
        <v>8083</v>
      </c>
      <c r="F556" t="s">
        <v>384</v>
      </c>
      <c r="G556" t="str">
        <f>HYPERLINK("http://www.ncbi.nlm.nih.gov/Taxonomy/Browser/wwwtax.cgi?mode=Info&amp;id=8083&amp;lvl=3&amp;lin=f&amp;keep=1&amp;srchmode=1&amp;unlock","Xiphophorus maculatus")</f>
        <v>Xiphophorus maculatus</v>
      </c>
      <c r="H556" t="s">
        <v>624</v>
      </c>
      <c r="I556" t="str">
        <f>HYPERLINK("http://www.ncbi.nlm.nih.gov/protein/XP_005806705.1","androgen receptor")</f>
        <v>androgen receptor</v>
      </c>
      <c r="J556" t="s">
        <v>1327</v>
      </c>
      <c r="K556" t="s">
        <v>20</v>
      </c>
      <c r="L556">
        <v>541</v>
      </c>
      <c r="M556" t="s">
        <v>25</v>
      </c>
      <c r="N556" t="s">
        <v>20</v>
      </c>
      <c r="O556" t="s">
        <v>1352</v>
      </c>
      <c r="P556" t="s">
        <v>20</v>
      </c>
      <c r="Q556">
        <v>132.119</v>
      </c>
      <c r="R556" t="s">
        <v>20</v>
      </c>
      <c r="S556" t="s">
        <v>20</v>
      </c>
      <c r="T556">
        <v>547</v>
      </c>
      <c r="U556" t="s">
        <v>1313</v>
      </c>
      <c r="V556" t="s">
        <v>20</v>
      </c>
      <c r="W556" t="s">
        <v>1352</v>
      </c>
      <c r="X556" t="s">
        <v>20</v>
      </c>
      <c r="Y556">
        <v>146.14599999999999</v>
      </c>
      <c r="Z556" t="s">
        <v>20</v>
      </c>
      <c r="AA556" t="s">
        <v>20</v>
      </c>
      <c r="AB556">
        <v>588</v>
      </c>
      <c r="AC556" t="s">
        <v>1314</v>
      </c>
      <c r="AD556" t="s">
        <v>20</v>
      </c>
      <c r="AE556" t="s">
        <v>1353</v>
      </c>
      <c r="AF556" t="s">
        <v>20</v>
      </c>
      <c r="AG556">
        <v>174.203</v>
      </c>
      <c r="AH556" t="s">
        <v>20</v>
      </c>
      <c r="AI556" t="s">
        <v>20</v>
      </c>
      <c r="AJ556">
        <v>711</v>
      </c>
      <c r="AK556" t="s">
        <v>1315</v>
      </c>
      <c r="AL556" t="s">
        <v>20</v>
      </c>
      <c r="AM556" t="s">
        <v>1354</v>
      </c>
      <c r="AN556" t="s">
        <v>20</v>
      </c>
      <c r="AO556">
        <v>119.119</v>
      </c>
      <c r="AP556" t="s">
        <v>20</v>
      </c>
      <c r="AQ556" t="s">
        <v>20</v>
      </c>
    </row>
    <row r="557" spans="1:43" x14ac:dyDescent="0.25">
      <c r="A557">
        <v>6</v>
      </c>
      <c r="B557" t="s">
        <v>384</v>
      </c>
      <c r="C557" t="str">
        <f>HYPERLINK("http://www.ncbi.nlm.nih.gov/protein/XP_032432731.1","XP_032432731.1")</f>
        <v>XP_032432731.1</v>
      </c>
      <c r="D557">
        <v>46452</v>
      </c>
      <c r="E557" t="str">
        <f>HYPERLINK("http://www.ncbi.nlm.nih.gov/Taxonomy/Browser/wwwtax.cgi?mode=Info&amp;id=8084&amp;lvl=3&amp;lin=f&amp;keep=1&amp;srchmode=1&amp;unlock","8084")</f>
        <v>8084</v>
      </c>
      <c r="F557" t="s">
        <v>384</v>
      </c>
      <c r="G557" t="str">
        <f>HYPERLINK("http://www.ncbi.nlm.nih.gov/Taxonomy/Browser/wwwtax.cgi?mode=Info&amp;id=8084&amp;lvl=3&amp;lin=f&amp;keep=1&amp;srchmode=1&amp;unlock","Xiphophorus hellerii")</f>
        <v>Xiphophorus hellerii</v>
      </c>
      <c r="H557" t="s">
        <v>620</v>
      </c>
      <c r="I557" t="str">
        <f>HYPERLINK("http://www.ncbi.nlm.nih.gov/protein/XP_032432731.1","androgen receptor-like")</f>
        <v>androgen receptor-like</v>
      </c>
      <c r="J557" t="s">
        <v>1327</v>
      </c>
      <c r="K557" t="s">
        <v>20</v>
      </c>
      <c r="L557">
        <v>543</v>
      </c>
      <c r="M557" t="s">
        <v>25</v>
      </c>
      <c r="N557" t="s">
        <v>20</v>
      </c>
      <c r="O557" t="s">
        <v>1352</v>
      </c>
      <c r="P557" t="s">
        <v>20</v>
      </c>
      <c r="Q557">
        <v>132.119</v>
      </c>
      <c r="R557" t="s">
        <v>20</v>
      </c>
      <c r="S557" t="s">
        <v>20</v>
      </c>
      <c r="T557">
        <v>549</v>
      </c>
      <c r="U557" t="s">
        <v>1313</v>
      </c>
      <c r="V557" t="s">
        <v>20</v>
      </c>
      <c r="W557" t="s">
        <v>1352</v>
      </c>
      <c r="X557" t="s">
        <v>20</v>
      </c>
      <c r="Y557">
        <v>146.14599999999999</v>
      </c>
      <c r="Z557" t="s">
        <v>20</v>
      </c>
      <c r="AA557" t="s">
        <v>20</v>
      </c>
      <c r="AB557">
        <v>590</v>
      </c>
      <c r="AC557" t="s">
        <v>1314</v>
      </c>
      <c r="AD557" t="s">
        <v>20</v>
      </c>
      <c r="AE557" t="s">
        <v>1353</v>
      </c>
      <c r="AF557" t="s">
        <v>20</v>
      </c>
      <c r="AG557">
        <v>174.203</v>
      </c>
      <c r="AH557" t="s">
        <v>20</v>
      </c>
      <c r="AI557" t="s">
        <v>20</v>
      </c>
      <c r="AJ557">
        <v>713</v>
      </c>
      <c r="AK557" t="s">
        <v>1315</v>
      </c>
      <c r="AL557" t="s">
        <v>20</v>
      </c>
      <c r="AM557" t="s">
        <v>1354</v>
      </c>
      <c r="AN557" t="s">
        <v>20</v>
      </c>
      <c r="AO557">
        <v>119.119</v>
      </c>
      <c r="AP557" t="s">
        <v>20</v>
      </c>
      <c r="AQ557" t="s">
        <v>20</v>
      </c>
    </row>
    <row r="558" spans="1:43" x14ac:dyDescent="0.25">
      <c r="A558">
        <v>6</v>
      </c>
      <c r="B558" t="s">
        <v>384</v>
      </c>
      <c r="C558" t="str">
        <f>HYPERLINK("http://www.ncbi.nlm.nih.gov/protein/AIZ00467.1","AIZ00467.1")</f>
        <v>AIZ00467.1</v>
      </c>
      <c r="D558">
        <v>24</v>
      </c>
      <c r="E558" t="str">
        <f>HYPERLINK("http://www.ncbi.nlm.nih.gov/Taxonomy/Browser/wwwtax.cgi?mode=Info&amp;id=120844&amp;lvl=3&amp;lin=f&amp;keep=1&amp;srchmode=1&amp;unlock","120844")</f>
        <v>120844</v>
      </c>
      <c r="F558" t="s">
        <v>384</v>
      </c>
      <c r="G558" t="str">
        <f>HYPERLINK("http://www.ncbi.nlm.nih.gov/Taxonomy/Browser/wwwtax.cgi?mode=Info&amp;id=120844&amp;lvl=3&amp;lin=f&amp;keep=1&amp;srchmode=1&amp;unlock","Melanotaenia fluviatilis")</f>
        <v>Melanotaenia fluviatilis</v>
      </c>
      <c r="H558" t="s">
        <v>1015</v>
      </c>
      <c r="I558" t="str">
        <f>HYPERLINK("http://www.ncbi.nlm.nih.gov/protein/AIZ00467.1","androgen receptor beta")</f>
        <v>androgen receptor beta</v>
      </c>
      <c r="J558" t="s">
        <v>1327</v>
      </c>
      <c r="K558" t="s">
        <v>20</v>
      </c>
      <c r="L558">
        <v>552</v>
      </c>
      <c r="M558" t="s">
        <v>25</v>
      </c>
      <c r="N558" t="s">
        <v>20</v>
      </c>
      <c r="O558" t="s">
        <v>1352</v>
      </c>
      <c r="P558" t="s">
        <v>20</v>
      </c>
      <c r="Q558">
        <v>132.119</v>
      </c>
      <c r="R558" t="s">
        <v>20</v>
      </c>
      <c r="S558" t="s">
        <v>20</v>
      </c>
      <c r="T558">
        <v>558</v>
      </c>
      <c r="U558" t="s">
        <v>1313</v>
      </c>
      <c r="V558" t="s">
        <v>20</v>
      </c>
      <c r="W558" t="s">
        <v>1352</v>
      </c>
      <c r="X558" t="s">
        <v>20</v>
      </c>
      <c r="Y558">
        <v>146.14599999999999</v>
      </c>
      <c r="Z558" t="s">
        <v>20</v>
      </c>
      <c r="AA558" t="s">
        <v>20</v>
      </c>
      <c r="AB558">
        <v>599</v>
      </c>
      <c r="AC558" t="s">
        <v>1314</v>
      </c>
      <c r="AD558" t="s">
        <v>20</v>
      </c>
      <c r="AE558" t="s">
        <v>1353</v>
      </c>
      <c r="AF558" t="s">
        <v>20</v>
      </c>
      <c r="AG558">
        <v>174.203</v>
      </c>
      <c r="AH558" t="s">
        <v>20</v>
      </c>
      <c r="AI558" t="s">
        <v>20</v>
      </c>
      <c r="AJ558">
        <v>722</v>
      </c>
      <c r="AK558" t="s">
        <v>1315</v>
      </c>
      <c r="AL558" t="s">
        <v>20</v>
      </c>
      <c r="AM558" t="s">
        <v>1354</v>
      </c>
      <c r="AN558" t="s">
        <v>20</v>
      </c>
      <c r="AO558">
        <v>119.119</v>
      </c>
      <c r="AP558" t="s">
        <v>20</v>
      </c>
      <c r="AQ558" t="s">
        <v>20</v>
      </c>
    </row>
    <row r="559" spans="1:43" x14ac:dyDescent="0.25">
      <c r="A559">
        <v>6</v>
      </c>
      <c r="B559" t="s">
        <v>384</v>
      </c>
      <c r="C559" t="str">
        <f>HYPERLINK("http://www.ncbi.nlm.nih.gov/protein/XP_030217061.1","XP_030217061.1")</f>
        <v>XP_030217061.1</v>
      </c>
      <c r="D559">
        <v>47233</v>
      </c>
      <c r="E559" t="str">
        <f>HYPERLINK("http://www.ncbi.nlm.nih.gov/Taxonomy/Browser/wwwtax.cgi?mode=Info&amp;id=8049&amp;lvl=3&amp;lin=f&amp;keep=1&amp;srchmode=1&amp;unlock","8049")</f>
        <v>8049</v>
      </c>
      <c r="F559" t="s">
        <v>384</v>
      </c>
      <c r="G559" t="str">
        <f>HYPERLINK("http://www.ncbi.nlm.nih.gov/Taxonomy/Browser/wwwtax.cgi?mode=Info&amp;id=8049&amp;lvl=3&amp;lin=f&amp;keep=1&amp;srchmode=1&amp;unlock","Gadus morhua")</f>
        <v>Gadus morhua</v>
      </c>
      <c r="H559" t="s">
        <v>566</v>
      </c>
      <c r="I559" t="str">
        <f>HYPERLINK("http://www.ncbi.nlm.nih.gov/protein/XP_030217061.1","androgen receptor-like")</f>
        <v>androgen receptor-like</v>
      </c>
      <c r="J559" t="s">
        <v>1327</v>
      </c>
      <c r="K559" t="s">
        <v>20</v>
      </c>
      <c r="L559">
        <v>574</v>
      </c>
      <c r="M559" t="s">
        <v>25</v>
      </c>
      <c r="N559" t="s">
        <v>20</v>
      </c>
      <c r="O559" t="s">
        <v>1352</v>
      </c>
      <c r="P559" t="s">
        <v>20</v>
      </c>
      <c r="Q559">
        <v>132.119</v>
      </c>
      <c r="R559" t="s">
        <v>20</v>
      </c>
      <c r="S559" t="s">
        <v>20</v>
      </c>
      <c r="T559">
        <v>580</v>
      </c>
      <c r="U559" t="s">
        <v>1313</v>
      </c>
      <c r="V559" t="s">
        <v>20</v>
      </c>
      <c r="W559" t="s">
        <v>1352</v>
      </c>
      <c r="X559" t="s">
        <v>20</v>
      </c>
      <c r="Y559">
        <v>146.14599999999999</v>
      </c>
      <c r="Z559" t="s">
        <v>20</v>
      </c>
      <c r="AA559" t="s">
        <v>20</v>
      </c>
      <c r="AB559">
        <v>621</v>
      </c>
      <c r="AC559" t="s">
        <v>1314</v>
      </c>
      <c r="AD559" t="s">
        <v>20</v>
      </c>
      <c r="AE559" t="s">
        <v>1353</v>
      </c>
      <c r="AF559" t="s">
        <v>20</v>
      </c>
      <c r="AG559">
        <v>174.203</v>
      </c>
      <c r="AH559" t="s">
        <v>20</v>
      </c>
      <c r="AI559" t="s">
        <v>20</v>
      </c>
      <c r="AJ559">
        <v>744</v>
      </c>
      <c r="AK559" t="s">
        <v>1315</v>
      </c>
      <c r="AL559" t="s">
        <v>20</v>
      </c>
      <c r="AM559" t="s">
        <v>1354</v>
      </c>
      <c r="AN559" t="s">
        <v>20</v>
      </c>
      <c r="AO559">
        <v>119.119</v>
      </c>
      <c r="AP559" t="s">
        <v>20</v>
      </c>
      <c r="AQ559" t="s">
        <v>20</v>
      </c>
    </row>
    <row r="560" spans="1:43" x14ac:dyDescent="0.25">
      <c r="A560">
        <v>6</v>
      </c>
      <c r="B560" t="s">
        <v>384</v>
      </c>
      <c r="C560" t="str">
        <f>HYPERLINK("http://www.ncbi.nlm.nih.gov/protein/XP_034745283.1","XP_034745283.1")</f>
        <v>XP_034745283.1</v>
      </c>
      <c r="D560">
        <v>45233</v>
      </c>
      <c r="E560" t="str">
        <f>HYPERLINK("http://www.ncbi.nlm.nih.gov/Taxonomy/Browser/wwwtax.cgi?mode=Info&amp;id=417921&amp;lvl=3&amp;lin=f&amp;keep=1&amp;srchmode=1&amp;unlock","417921")</f>
        <v>417921</v>
      </c>
      <c r="F560" t="s">
        <v>384</v>
      </c>
      <c r="G560" t="str">
        <f>HYPERLINK("http://www.ncbi.nlm.nih.gov/Taxonomy/Browser/wwwtax.cgi?mode=Info&amp;id=417921&amp;lvl=3&amp;lin=f&amp;keep=1&amp;srchmode=1&amp;unlock","Etheostoma cragini")</f>
        <v>Etheostoma cragini</v>
      </c>
      <c r="H560" t="s">
        <v>544</v>
      </c>
      <c r="I560" t="str">
        <f>HYPERLINK("http://www.ncbi.nlm.nih.gov/protein/XP_034745283.1","androgen receptor-like isoform X2")</f>
        <v>androgen receptor-like isoform X2</v>
      </c>
      <c r="J560" t="s">
        <v>1327</v>
      </c>
      <c r="K560" t="s">
        <v>20</v>
      </c>
      <c r="L560">
        <v>545</v>
      </c>
      <c r="M560" t="s">
        <v>25</v>
      </c>
      <c r="N560" t="s">
        <v>20</v>
      </c>
      <c r="O560" t="s">
        <v>1352</v>
      </c>
      <c r="P560" t="s">
        <v>20</v>
      </c>
      <c r="Q560">
        <v>132.119</v>
      </c>
      <c r="R560" t="s">
        <v>20</v>
      </c>
      <c r="S560" t="s">
        <v>20</v>
      </c>
      <c r="T560">
        <v>551</v>
      </c>
      <c r="U560" t="s">
        <v>1313</v>
      </c>
      <c r="V560" t="s">
        <v>20</v>
      </c>
      <c r="W560" t="s">
        <v>1352</v>
      </c>
      <c r="X560" t="s">
        <v>20</v>
      </c>
      <c r="Y560">
        <v>146.14599999999999</v>
      </c>
      <c r="Z560" t="s">
        <v>20</v>
      </c>
      <c r="AA560" t="s">
        <v>20</v>
      </c>
      <c r="AB560">
        <v>592</v>
      </c>
      <c r="AC560" t="s">
        <v>1314</v>
      </c>
      <c r="AD560" t="s">
        <v>20</v>
      </c>
      <c r="AE560" t="s">
        <v>1353</v>
      </c>
      <c r="AF560" t="s">
        <v>20</v>
      </c>
      <c r="AG560">
        <v>174.203</v>
      </c>
      <c r="AH560" t="s">
        <v>20</v>
      </c>
      <c r="AI560" t="s">
        <v>20</v>
      </c>
      <c r="AJ560">
        <v>715</v>
      </c>
      <c r="AK560" t="s">
        <v>1315</v>
      </c>
      <c r="AL560" t="s">
        <v>20</v>
      </c>
      <c r="AM560" t="s">
        <v>1354</v>
      </c>
      <c r="AN560" t="s">
        <v>20</v>
      </c>
      <c r="AO560">
        <v>119.119</v>
      </c>
      <c r="AP560" t="s">
        <v>20</v>
      </c>
      <c r="AQ560" t="s">
        <v>20</v>
      </c>
    </row>
    <row r="561" spans="1:43" x14ac:dyDescent="0.25">
      <c r="A561">
        <v>6</v>
      </c>
      <c r="B561" t="s">
        <v>384</v>
      </c>
      <c r="C561" t="str">
        <f>HYPERLINK("http://www.ncbi.nlm.nih.gov/protein/XP_037389456.1","XP_037389456.1")</f>
        <v>XP_037389456.1</v>
      </c>
      <c r="D561">
        <v>50677</v>
      </c>
      <c r="E561" t="str">
        <f>HYPERLINK("http://www.ncbi.nlm.nih.gov/Taxonomy/Browser/wwwtax.cgi?mode=Info&amp;id=42514&amp;lvl=3&amp;lin=f&amp;keep=1&amp;srchmode=1&amp;unlock","42514")</f>
        <v>42514</v>
      </c>
      <c r="F561" t="s">
        <v>384</v>
      </c>
      <c r="G561" t="str">
        <f>HYPERLINK("http://www.ncbi.nlm.nih.gov/Taxonomy/Browser/wwwtax.cgi?mode=Info&amp;id=42514&amp;lvl=3&amp;lin=f&amp;keep=1&amp;srchmode=1&amp;unlock","Pygocentrus nattereri")</f>
        <v>Pygocentrus nattereri</v>
      </c>
      <c r="H561" t="s">
        <v>510</v>
      </c>
      <c r="I561" t="str">
        <f>HYPERLINK("http://www.ncbi.nlm.nih.gov/protein/XP_037389456.1","androgen receptor isoform X1")</f>
        <v>androgen receptor isoform X1</v>
      </c>
      <c r="J561" t="s">
        <v>1327</v>
      </c>
      <c r="K561" t="s">
        <v>20</v>
      </c>
      <c r="L561">
        <v>561</v>
      </c>
      <c r="M561" t="s">
        <v>25</v>
      </c>
      <c r="N561" t="s">
        <v>20</v>
      </c>
      <c r="O561" t="s">
        <v>1352</v>
      </c>
      <c r="P561" t="s">
        <v>20</v>
      </c>
      <c r="Q561">
        <v>132.119</v>
      </c>
      <c r="R561" t="s">
        <v>20</v>
      </c>
      <c r="S561" t="s">
        <v>20</v>
      </c>
      <c r="T561">
        <v>567</v>
      </c>
      <c r="U561" t="s">
        <v>1313</v>
      </c>
      <c r="V561" t="s">
        <v>20</v>
      </c>
      <c r="W561" t="s">
        <v>1352</v>
      </c>
      <c r="X561" t="s">
        <v>20</v>
      </c>
      <c r="Y561">
        <v>146.14599999999999</v>
      </c>
      <c r="Z561" t="s">
        <v>20</v>
      </c>
      <c r="AA561" t="s">
        <v>20</v>
      </c>
      <c r="AB561">
        <v>608</v>
      </c>
      <c r="AC561" t="s">
        <v>1314</v>
      </c>
      <c r="AD561" t="s">
        <v>20</v>
      </c>
      <c r="AE561" t="s">
        <v>1353</v>
      </c>
      <c r="AF561" t="s">
        <v>20</v>
      </c>
      <c r="AG561">
        <v>174.203</v>
      </c>
      <c r="AH561" t="s">
        <v>20</v>
      </c>
      <c r="AI561" t="s">
        <v>20</v>
      </c>
      <c r="AJ561">
        <v>731</v>
      </c>
      <c r="AK561" t="s">
        <v>1315</v>
      </c>
      <c r="AL561" t="s">
        <v>20</v>
      </c>
      <c r="AM561" t="s">
        <v>1354</v>
      </c>
      <c r="AN561" t="s">
        <v>20</v>
      </c>
      <c r="AO561">
        <v>119.119</v>
      </c>
      <c r="AP561" t="s">
        <v>20</v>
      </c>
      <c r="AQ561" t="s">
        <v>20</v>
      </c>
    </row>
    <row r="562" spans="1:43" x14ac:dyDescent="0.25">
      <c r="A562">
        <v>6</v>
      </c>
      <c r="B562" t="s">
        <v>384</v>
      </c>
      <c r="C562" t="str">
        <f>HYPERLINK("http://www.ncbi.nlm.nih.gov/protein/XP_008425737.1","XP_008425737.1")</f>
        <v>XP_008425737.1</v>
      </c>
      <c r="D562">
        <v>45406</v>
      </c>
      <c r="E562" t="str">
        <f>HYPERLINK("http://www.ncbi.nlm.nih.gov/Taxonomy/Browser/wwwtax.cgi?mode=Info&amp;id=8081&amp;lvl=3&amp;lin=f&amp;keep=1&amp;srchmode=1&amp;unlock","8081")</f>
        <v>8081</v>
      </c>
      <c r="F562" t="s">
        <v>384</v>
      </c>
      <c r="G562" t="str">
        <f>HYPERLINK("http://www.ncbi.nlm.nih.gov/Taxonomy/Browser/wwwtax.cgi?mode=Info&amp;id=8081&amp;lvl=3&amp;lin=f&amp;keep=1&amp;srchmode=1&amp;unlock","Poecilia reticulata")</f>
        <v>Poecilia reticulata</v>
      </c>
      <c r="H562" t="s">
        <v>631</v>
      </c>
      <c r="I562" t="str">
        <f>HYPERLINK("http://www.ncbi.nlm.nih.gov/protein/XP_008425737.1","PREDICTED: androgen receptor-like isoform X1")</f>
        <v>PREDICTED: androgen receptor-like isoform X1</v>
      </c>
      <c r="J562" t="s">
        <v>1327</v>
      </c>
      <c r="K562" t="s">
        <v>20</v>
      </c>
      <c r="L562">
        <v>544</v>
      </c>
      <c r="M562" t="s">
        <v>25</v>
      </c>
      <c r="N562" t="s">
        <v>20</v>
      </c>
      <c r="O562" t="s">
        <v>1352</v>
      </c>
      <c r="P562" t="s">
        <v>20</v>
      </c>
      <c r="Q562">
        <v>132.119</v>
      </c>
      <c r="R562" t="s">
        <v>20</v>
      </c>
      <c r="S562" t="s">
        <v>20</v>
      </c>
      <c r="T562">
        <v>550</v>
      </c>
      <c r="U562" t="s">
        <v>1313</v>
      </c>
      <c r="V562" t="s">
        <v>20</v>
      </c>
      <c r="W562" t="s">
        <v>1352</v>
      </c>
      <c r="X562" t="s">
        <v>20</v>
      </c>
      <c r="Y562">
        <v>146.14599999999999</v>
      </c>
      <c r="Z562" t="s">
        <v>20</v>
      </c>
      <c r="AA562" t="s">
        <v>20</v>
      </c>
      <c r="AB562">
        <v>591</v>
      </c>
      <c r="AC562" t="s">
        <v>1314</v>
      </c>
      <c r="AD562" t="s">
        <v>20</v>
      </c>
      <c r="AE562" t="s">
        <v>1353</v>
      </c>
      <c r="AF562" t="s">
        <v>20</v>
      </c>
      <c r="AG562">
        <v>174.203</v>
      </c>
      <c r="AH562" t="s">
        <v>20</v>
      </c>
      <c r="AI562" t="s">
        <v>20</v>
      </c>
      <c r="AJ562">
        <v>714</v>
      </c>
      <c r="AK562" t="s">
        <v>1315</v>
      </c>
      <c r="AL562" t="s">
        <v>20</v>
      </c>
      <c r="AM562" t="s">
        <v>1354</v>
      </c>
      <c r="AN562" t="s">
        <v>20</v>
      </c>
      <c r="AO562">
        <v>119.119</v>
      </c>
      <c r="AP562" t="s">
        <v>20</v>
      </c>
      <c r="AQ562" t="s">
        <v>20</v>
      </c>
    </row>
    <row r="563" spans="1:43" x14ac:dyDescent="0.25">
      <c r="A563">
        <v>6</v>
      </c>
      <c r="B563" t="s">
        <v>384</v>
      </c>
      <c r="C563" t="str">
        <f>HYPERLINK("http://www.ncbi.nlm.nih.gov/protein/XP_038564523.1","XP_038564523.1")</f>
        <v>XP_038564523.1</v>
      </c>
      <c r="D563">
        <v>48256</v>
      </c>
      <c r="E563" t="str">
        <f>HYPERLINK("http://www.ncbi.nlm.nih.gov/Taxonomy/Browser/wwwtax.cgi?mode=Info&amp;id=27706&amp;lvl=3&amp;lin=f&amp;keep=1&amp;srchmode=1&amp;unlock","27706")</f>
        <v>27706</v>
      </c>
      <c r="F563" t="s">
        <v>384</v>
      </c>
      <c r="G563" t="str">
        <f>HYPERLINK("http://www.ncbi.nlm.nih.gov/Taxonomy/Browser/wwwtax.cgi?mode=Info&amp;id=27706&amp;lvl=3&amp;lin=f&amp;keep=1&amp;srchmode=1&amp;unlock","Micropterus salmoides")</f>
        <v>Micropterus salmoides</v>
      </c>
      <c r="H563" t="s">
        <v>541</v>
      </c>
      <c r="I563" t="str">
        <f>HYPERLINK("http://www.ncbi.nlm.nih.gov/protein/XP_038564523.1","androgen receptor-like isoform X5")</f>
        <v>androgen receptor-like isoform X5</v>
      </c>
      <c r="J563" t="s">
        <v>1327</v>
      </c>
      <c r="K563" t="s">
        <v>20</v>
      </c>
      <c r="L563">
        <v>545</v>
      </c>
      <c r="M563" t="s">
        <v>25</v>
      </c>
      <c r="N563" t="s">
        <v>20</v>
      </c>
      <c r="O563" t="s">
        <v>1352</v>
      </c>
      <c r="P563" t="s">
        <v>20</v>
      </c>
      <c r="Q563">
        <v>132.119</v>
      </c>
      <c r="R563" t="s">
        <v>20</v>
      </c>
      <c r="S563" t="s">
        <v>20</v>
      </c>
      <c r="T563">
        <v>551</v>
      </c>
      <c r="U563" t="s">
        <v>1313</v>
      </c>
      <c r="V563" t="s">
        <v>20</v>
      </c>
      <c r="W563" t="s">
        <v>1352</v>
      </c>
      <c r="X563" t="s">
        <v>20</v>
      </c>
      <c r="Y563">
        <v>146.14599999999999</v>
      </c>
      <c r="Z563" t="s">
        <v>20</v>
      </c>
      <c r="AA563" t="s">
        <v>20</v>
      </c>
      <c r="AB563">
        <v>592</v>
      </c>
      <c r="AC563" t="s">
        <v>1314</v>
      </c>
      <c r="AD563" t="s">
        <v>20</v>
      </c>
      <c r="AE563" t="s">
        <v>1353</v>
      </c>
      <c r="AF563" t="s">
        <v>20</v>
      </c>
      <c r="AG563">
        <v>174.203</v>
      </c>
      <c r="AH563" t="s">
        <v>20</v>
      </c>
      <c r="AI563" t="s">
        <v>20</v>
      </c>
      <c r="AJ563">
        <v>715</v>
      </c>
      <c r="AK563" t="s">
        <v>1315</v>
      </c>
      <c r="AL563" t="s">
        <v>20</v>
      </c>
      <c r="AM563" t="s">
        <v>1354</v>
      </c>
      <c r="AN563" t="s">
        <v>20</v>
      </c>
      <c r="AO563">
        <v>119.119</v>
      </c>
      <c r="AP563" t="s">
        <v>20</v>
      </c>
      <c r="AQ563" t="s">
        <v>20</v>
      </c>
    </row>
    <row r="564" spans="1:43" x14ac:dyDescent="0.25">
      <c r="A564">
        <v>6</v>
      </c>
      <c r="B564" t="s">
        <v>384</v>
      </c>
      <c r="C564" t="str">
        <f>HYPERLINK("http://www.ncbi.nlm.nih.gov/protein/ADQ43815.1","ADQ43815.1")</f>
        <v>ADQ43815.1</v>
      </c>
      <c r="D564">
        <v>1801</v>
      </c>
      <c r="E564" t="str">
        <f>HYPERLINK("http://www.ncbi.nlm.nih.gov/Taxonomy/Browser/wwwtax.cgi?mode=Info&amp;id=94232&amp;lvl=3&amp;lin=f&amp;keep=1&amp;srchmode=1&amp;unlock","94232")</f>
        <v>94232</v>
      </c>
      <c r="F564" t="s">
        <v>384</v>
      </c>
      <c r="G564" t="str">
        <f>HYPERLINK("http://www.ncbi.nlm.nih.gov/Taxonomy/Browser/wwwtax.cgi?mode=Info&amp;id=94232&amp;lvl=3&amp;lin=f&amp;keep=1&amp;srchmode=1&amp;unlock","Epinephelus coioides")</f>
        <v>Epinephelus coioides</v>
      </c>
      <c r="H564" t="s">
        <v>558</v>
      </c>
      <c r="I564" t="str">
        <f>HYPERLINK("http://www.ncbi.nlm.nih.gov/protein/ADQ43815.1","androgen receptor")</f>
        <v>androgen receptor</v>
      </c>
      <c r="J564" t="s">
        <v>1327</v>
      </c>
      <c r="K564" t="s">
        <v>20</v>
      </c>
      <c r="L564">
        <v>546</v>
      </c>
      <c r="M564" t="s">
        <v>25</v>
      </c>
      <c r="N564" t="s">
        <v>20</v>
      </c>
      <c r="O564" t="s">
        <v>1352</v>
      </c>
      <c r="P564" t="s">
        <v>20</v>
      </c>
      <c r="Q564">
        <v>132.119</v>
      </c>
      <c r="R564" t="s">
        <v>20</v>
      </c>
      <c r="S564" t="s">
        <v>20</v>
      </c>
      <c r="T564">
        <v>552</v>
      </c>
      <c r="U564" t="s">
        <v>1313</v>
      </c>
      <c r="V564" t="s">
        <v>20</v>
      </c>
      <c r="W564" t="s">
        <v>1352</v>
      </c>
      <c r="X564" t="s">
        <v>20</v>
      </c>
      <c r="Y564">
        <v>146.14599999999999</v>
      </c>
      <c r="Z564" t="s">
        <v>20</v>
      </c>
      <c r="AA564" t="s">
        <v>20</v>
      </c>
      <c r="AB564">
        <v>593</v>
      </c>
      <c r="AC564" t="s">
        <v>1314</v>
      </c>
      <c r="AD564" t="s">
        <v>20</v>
      </c>
      <c r="AE564" t="s">
        <v>1353</v>
      </c>
      <c r="AF564" t="s">
        <v>20</v>
      </c>
      <c r="AG564">
        <v>174.203</v>
      </c>
      <c r="AH564" t="s">
        <v>20</v>
      </c>
      <c r="AI564" t="s">
        <v>20</v>
      </c>
      <c r="AJ564">
        <v>716</v>
      </c>
      <c r="AK564" t="s">
        <v>1315</v>
      </c>
      <c r="AL564" t="s">
        <v>20</v>
      </c>
      <c r="AM564" t="s">
        <v>1354</v>
      </c>
      <c r="AN564" t="s">
        <v>20</v>
      </c>
      <c r="AO564">
        <v>119.119</v>
      </c>
      <c r="AP564" t="s">
        <v>20</v>
      </c>
      <c r="AQ564" t="s">
        <v>20</v>
      </c>
    </row>
    <row r="565" spans="1:43" x14ac:dyDescent="0.25">
      <c r="A565">
        <v>6</v>
      </c>
      <c r="B565" t="s">
        <v>384</v>
      </c>
      <c r="C565" t="str">
        <f>HYPERLINK("http://www.ncbi.nlm.nih.gov/protein/XP_029132506.1","XP_029132506.1")</f>
        <v>XP_029132506.1</v>
      </c>
      <c r="D565">
        <v>36766</v>
      </c>
      <c r="E565" t="str">
        <f>HYPERLINK("http://www.ncbi.nlm.nih.gov/Taxonomy/Browser/wwwtax.cgi?mode=Info&amp;id=56723&amp;lvl=3&amp;lin=f&amp;keep=1&amp;srchmode=1&amp;unlock","56723")</f>
        <v>56723</v>
      </c>
      <c r="F565" t="s">
        <v>384</v>
      </c>
      <c r="G565" t="str">
        <f>HYPERLINK("http://www.ncbi.nlm.nih.gov/Taxonomy/Browser/wwwtax.cgi?mode=Info&amp;id=56723&amp;lvl=3&amp;lin=f&amp;keep=1&amp;srchmode=1&amp;unlock","Labrus bergylta")</f>
        <v>Labrus bergylta</v>
      </c>
      <c r="H565" t="s">
        <v>623</v>
      </c>
      <c r="I565" t="str">
        <f>HYPERLINK("http://www.ncbi.nlm.nih.gov/protein/XP_029132506.1","androgen receptor-like")</f>
        <v>androgen receptor-like</v>
      </c>
      <c r="J565" t="s">
        <v>1327</v>
      </c>
      <c r="K565" t="s">
        <v>20</v>
      </c>
      <c r="L565">
        <v>535</v>
      </c>
      <c r="M565" t="s">
        <v>25</v>
      </c>
      <c r="N565" t="s">
        <v>20</v>
      </c>
      <c r="O565" t="s">
        <v>1352</v>
      </c>
      <c r="P565" t="s">
        <v>20</v>
      </c>
      <c r="Q565">
        <v>132.119</v>
      </c>
      <c r="R565" t="s">
        <v>20</v>
      </c>
      <c r="S565" t="s">
        <v>20</v>
      </c>
      <c r="T565">
        <v>541</v>
      </c>
      <c r="U565" t="s">
        <v>1313</v>
      </c>
      <c r="V565" t="s">
        <v>20</v>
      </c>
      <c r="W565" t="s">
        <v>1352</v>
      </c>
      <c r="X565" t="s">
        <v>20</v>
      </c>
      <c r="Y565">
        <v>146.14599999999999</v>
      </c>
      <c r="Z565" t="s">
        <v>20</v>
      </c>
      <c r="AA565" t="s">
        <v>20</v>
      </c>
      <c r="AB565">
        <v>582</v>
      </c>
      <c r="AC565" t="s">
        <v>1314</v>
      </c>
      <c r="AD565" t="s">
        <v>20</v>
      </c>
      <c r="AE565" t="s">
        <v>1353</v>
      </c>
      <c r="AF565" t="s">
        <v>20</v>
      </c>
      <c r="AG565">
        <v>174.203</v>
      </c>
      <c r="AH565" t="s">
        <v>20</v>
      </c>
      <c r="AI565" t="s">
        <v>20</v>
      </c>
      <c r="AJ565">
        <v>705</v>
      </c>
      <c r="AK565" t="s">
        <v>1315</v>
      </c>
      <c r="AL565" t="s">
        <v>20</v>
      </c>
      <c r="AM565" t="s">
        <v>1354</v>
      </c>
      <c r="AN565" t="s">
        <v>20</v>
      </c>
      <c r="AO565">
        <v>119.119</v>
      </c>
      <c r="AP565" t="s">
        <v>20</v>
      </c>
      <c r="AQ565" t="s">
        <v>20</v>
      </c>
    </row>
    <row r="566" spans="1:43" x14ac:dyDescent="0.25">
      <c r="A566">
        <v>6</v>
      </c>
      <c r="B566" t="s">
        <v>384</v>
      </c>
      <c r="C566" t="str">
        <f>HYPERLINK("http://www.ncbi.nlm.nih.gov/protein/XP_033465903.1","XP_033465903.1")</f>
        <v>XP_033465903.1</v>
      </c>
      <c r="D566">
        <v>43073</v>
      </c>
      <c r="E566" t="str">
        <f>HYPERLINK("http://www.ncbi.nlm.nih.gov/Taxonomy/Browser/wwwtax.cgi?mode=Info&amp;id=310571&amp;lvl=3&amp;lin=f&amp;keep=1&amp;srchmode=1&amp;unlock","310571")</f>
        <v>310571</v>
      </c>
      <c r="F566" t="s">
        <v>384</v>
      </c>
      <c r="G566" t="str">
        <f>HYPERLINK("http://www.ncbi.nlm.nih.gov/Taxonomy/Browser/wwwtax.cgi?mode=Info&amp;id=310571&amp;lvl=3&amp;lin=f&amp;keep=1&amp;srchmode=1&amp;unlock","Epinephelus lanceolatus")</f>
        <v>Epinephelus lanceolatus</v>
      </c>
      <c r="H566" t="s">
        <v>515</v>
      </c>
      <c r="I566" t="str">
        <f>HYPERLINK("http://www.ncbi.nlm.nih.gov/protein/XP_033465903.1","androgen receptor-like")</f>
        <v>androgen receptor-like</v>
      </c>
      <c r="J566" t="s">
        <v>1327</v>
      </c>
      <c r="K566" t="s">
        <v>20</v>
      </c>
      <c r="L566">
        <v>546</v>
      </c>
      <c r="M566" t="s">
        <v>25</v>
      </c>
      <c r="N566" t="s">
        <v>20</v>
      </c>
      <c r="O566" t="s">
        <v>1352</v>
      </c>
      <c r="P566" t="s">
        <v>20</v>
      </c>
      <c r="Q566">
        <v>132.119</v>
      </c>
      <c r="R566" t="s">
        <v>20</v>
      </c>
      <c r="S566" t="s">
        <v>20</v>
      </c>
      <c r="T566">
        <v>552</v>
      </c>
      <c r="U566" t="s">
        <v>1313</v>
      </c>
      <c r="V566" t="s">
        <v>20</v>
      </c>
      <c r="W566" t="s">
        <v>1352</v>
      </c>
      <c r="X566" t="s">
        <v>20</v>
      </c>
      <c r="Y566">
        <v>146.14599999999999</v>
      </c>
      <c r="Z566" t="s">
        <v>20</v>
      </c>
      <c r="AA566" t="s">
        <v>20</v>
      </c>
      <c r="AB566">
        <v>593</v>
      </c>
      <c r="AC566" t="s">
        <v>1314</v>
      </c>
      <c r="AD566" t="s">
        <v>20</v>
      </c>
      <c r="AE566" t="s">
        <v>1353</v>
      </c>
      <c r="AF566" t="s">
        <v>20</v>
      </c>
      <c r="AG566">
        <v>174.203</v>
      </c>
      <c r="AH566" t="s">
        <v>20</v>
      </c>
      <c r="AI566" t="s">
        <v>20</v>
      </c>
      <c r="AJ566">
        <v>716</v>
      </c>
      <c r="AK566" t="s">
        <v>1315</v>
      </c>
      <c r="AL566" t="s">
        <v>20</v>
      </c>
      <c r="AM566" t="s">
        <v>1354</v>
      </c>
      <c r="AN566" t="s">
        <v>20</v>
      </c>
      <c r="AO566">
        <v>119.119</v>
      </c>
      <c r="AP566" t="s">
        <v>20</v>
      </c>
      <c r="AQ566" t="s">
        <v>20</v>
      </c>
    </row>
    <row r="567" spans="1:43" x14ac:dyDescent="0.25">
      <c r="A567">
        <v>6</v>
      </c>
      <c r="B567" t="s">
        <v>384</v>
      </c>
      <c r="C567" t="str">
        <f>HYPERLINK("http://www.ncbi.nlm.nih.gov/protein/XP_026184784.1","XP_026184784.1")</f>
        <v>XP_026184784.1</v>
      </c>
      <c r="D567">
        <v>42451</v>
      </c>
      <c r="E567" t="str">
        <f>HYPERLINK("http://www.ncbi.nlm.nih.gov/Taxonomy/Browser/wwwtax.cgi?mode=Info&amp;id=205130&amp;lvl=3&amp;lin=f&amp;keep=1&amp;srchmode=1&amp;unlock","205130")</f>
        <v>205130</v>
      </c>
      <c r="F567" t="s">
        <v>384</v>
      </c>
      <c r="G567" t="str">
        <f>HYPERLINK("http://www.ncbi.nlm.nih.gov/Taxonomy/Browser/wwwtax.cgi?mode=Info&amp;id=205130&amp;lvl=3&amp;lin=f&amp;keep=1&amp;srchmode=1&amp;unlock","Mastacembelus armatus")</f>
        <v>Mastacembelus armatus</v>
      </c>
      <c r="H567" t="s">
        <v>540</v>
      </c>
      <c r="I567" t="str">
        <f>HYPERLINK("http://www.ncbi.nlm.nih.gov/protein/XP_026184784.1","androgen receptor-like")</f>
        <v>androgen receptor-like</v>
      </c>
      <c r="J567" t="s">
        <v>1327</v>
      </c>
      <c r="K567" t="s">
        <v>20</v>
      </c>
      <c r="L567">
        <v>526</v>
      </c>
      <c r="M567" t="s">
        <v>25</v>
      </c>
      <c r="N567" t="s">
        <v>20</v>
      </c>
      <c r="O567" t="s">
        <v>1352</v>
      </c>
      <c r="P567" t="s">
        <v>20</v>
      </c>
      <c r="Q567">
        <v>132.119</v>
      </c>
      <c r="R567" t="s">
        <v>20</v>
      </c>
      <c r="S567" t="s">
        <v>20</v>
      </c>
      <c r="T567">
        <v>532</v>
      </c>
      <c r="U567" t="s">
        <v>1313</v>
      </c>
      <c r="V567" t="s">
        <v>20</v>
      </c>
      <c r="W567" t="s">
        <v>1352</v>
      </c>
      <c r="X567" t="s">
        <v>20</v>
      </c>
      <c r="Y567">
        <v>146.14599999999999</v>
      </c>
      <c r="Z567" t="s">
        <v>20</v>
      </c>
      <c r="AA567" t="s">
        <v>20</v>
      </c>
      <c r="AB567">
        <v>573</v>
      </c>
      <c r="AC567" t="s">
        <v>1314</v>
      </c>
      <c r="AD567" t="s">
        <v>20</v>
      </c>
      <c r="AE567" t="s">
        <v>1353</v>
      </c>
      <c r="AF567" t="s">
        <v>20</v>
      </c>
      <c r="AG567">
        <v>174.203</v>
      </c>
      <c r="AH567" t="s">
        <v>20</v>
      </c>
      <c r="AI567" t="s">
        <v>20</v>
      </c>
      <c r="AJ567">
        <v>696</v>
      </c>
      <c r="AK567" t="s">
        <v>1315</v>
      </c>
      <c r="AL567" t="s">
        <v>20</v>
      </c>
      <c r="AM567" t="s">
        <v>1354</v>
      </c>
      <c r="AN567" t="s">
        <v>20</v>
      </c>
      <c r="AO567">
        <v>119.119</v>
      </c>
      <c r="AP567" t="s">
        <v>20</v>
      </c>
      <c r="AQ567" t="s">
        <v>20</v>
      </c>
    </row>
    <row r="568" spans="1:43" x14ac:dyDescent="0.25">
      <c r="A568">
        <v>6</v>
      </c>
      <c r="B568" t="s">
        <v>384</v>
      </c>
      <c r="C568" t="str">
        <f>HYPERLINK("http://www.ncbi.nlm.nih.gov/protein/XP_024866192.1","XP_024866192.1")</f>
        <v>XP_024866192.1</v>
      </c>
      <c r="D568">
        <v>43416</v>
      </c>
      <c r="E568" t="str">
        <f>HYPERLINK("http://www.ncbi.nlm.nih.gov/Taxonomy/Browser/wwwtax.cgi?mode=Info&amp;id=37003&amp;lvl=3&amp;lin=f&amp;keep=1&amp;srchmode=1&amp;unlock","37003")</f>
        <v>37003</v>
      </c>
      <c r="F568" t="s">
        <v>384</v>
      </c>
      <c r="G568" t="str">
        <f>HYPERLINK("http://www.ncbi.nlm.nih.gov/Taxonomy/Browser/wwwtax.cgi?mode=Info&amp;id=37003&amp;lvl=3&amp;lin=f&amp;keep=1&amp;srchmode=1&amp;unlock","Kryptolebias marmoratus")</f>
        <v>Kryptolebias marmoratus</v>
      </c>
      <c r="H568" t="s">
        <v>583</v>
      </c>
      <c r="I568" t="str">
        <f>HYPERLINK("http://www.ncbi.nlm.nih.gov/protein/XP_024866192.1","androgen receptor isoform X1")</f>
        <v>androgen receptor isoform X1</v>
      </c>
      <c r="J568" t="s">
        <v>1327</v>
      </c>
      <c r="K568" t="s">
        <v>20</v>
      </c>
      <c r="L568">
        <v>529</v>
      </c>
      <c r="M568" t="s">
        <v>25</v>
      </c>
      <c r="N568" t="s">
        <v>20</v>
      </c>
      <c r="O568" t="s">
        <v>1352</v>
      </c>
      <c r="P568" t="s">
        <v>20</v>
      </c>
      <c r="Q568">
        <v>132.119</v>
      </c>
      <c r="R568" t="s">
        <v>20</v>
      </c>
      <c r="S568" t="s">
        <v>20</v>
      </c>
      <c r="T568">
        <v>535</v>
      </c>
      <c r="U568" t="s">
        <v>1313</v>
      </c>
      <c r="V568" t="s">
        <v>20</v>
      </c>
      <c r="W568" t="s">
        <v>1352</v>
      </c>
      <c r="X568" t="s">
        <v>20</v>
      </c>
      <c r="Y568">
        <v>146.14599999999999</v>
      </c>
      <c r="Z568" t="s">
        <v>20</v>
      </c>
      <c r="AA568" t="s">
        <v>20</v>
      </c>
      <c r="AB568">
        <v>576</v>
      </c>
      <c r="AC568" t="s">
        <v>1314</v>
      </c>
      <c r="AD568" t="s">
        <v>20</v>
      </c>
      <c r="AE568" t="s">
        <v>1353</v>
      </c>
      <c r="AF568" t="s">
        <v>20</v>
      </c>
      <c r="AG568">
        <v>174.203</v>
      </c>
      <c r="AH568" t="s">
        <v>20</v>
      </c>
      <c r="AI568" t="s">
        <v>20</v>
      </c>
      <c r="AJ568">
        <v>699</v>
      </c>
      <c r="AK568" t="s">
        <v>1315</v>
      </c>
      <c r="AL568" t="s">
        <v>20</v>
      </c>
      <c r="AM568" t="s">
        <v>1354</v>
      </c>
      <c r="AN568" t="s">
        <v>20</v>
      </c>
      <c r="AO568">
        <v>119.119</v>
      </c>
      <c r="AP568" t="s">
        <v>20</v>
      </c>
      <c r="AQ568" t="s">
        <v>20</v>
      </c>
    </row>
    <row r="569" spans="1:43" x14ac:dyDescent="0.25">
      <c r="A569">
        <v>6</v>
      </c>
      <c r="B569" t="s">
        <v>384</v>
      </c>
      <c r="C569" t="str">
        <f>HYPERLINK("http://www.ncbi.nlm.nih.gov/protein/XP_020454405.1","XP_020454405.1")</f>
        <v>XP_020454405.1</v>
      </c>
      <c r="D569">
        <v>40892</v>
      </c>
      <c r="E569" t="str">
        <f>HYPERLINK("http://www.ncbi.nlm.nih.gov/Taxonomy/Browser/wwwtax.cgi?mode=Info&amp;id=43700&amp;lvl=3&amp;lin=f&amp;keep=1&amp;srchmode=1&amp;unlock","43700")</f>
        <v>43700</v>
      </c>
      <c r="F569" t="s">
        <v>384</v>
      </c>
      <c r="G569" t="str">
        <f>HYPERLINK("http://www.ncbi.nlm.nih.gov/Taxonomy/Browser/wwwtax.cgi?mode=Info&amp;id=43700&amp;lvl=3&amp;lin=f&amp;keep=1&amp;srchmode=1&amp;unlock","Monopterus albus")</f>
        <v>Monopterus albus</v>
      </c>
      <c r="H569" t="s">
        <v>547</v>
      </c>
      <c r="I569" t="str">
        <f>HYPERLINK("http://www.ncbi.nlm.nih.gov/protein/XP_020454405.1","androgen receptor")</f>
        <v>androgen receptor</v>
      </c>
      <c r="J569" t="s">
        <v>1327</v>
      </c>
      <c r="K569" t="s">
        <v>20</v>
      </c>
      <c r="L569">
        <v>533</v>
      </c>
      <c r="M569" t="s">
        <v>25</v>
      </c>
      <c r="N569" t="s">
        <v>20</v>
      </c>
      <c r="O569" t="s">
        <v>1352</v>
      </c>
      <c r="P569" t="s">
        <v>20</v>
      </c>
      <c r="Q569">
        <v>132.119</v>
      </c>
      <c r="R569" t="s">
        <v>20</v>
      </c>
      <c r="S569" t="s">
        <v>20</v>
      </c>
      <c r="T569">
        <v>539</v>
      </c>
      <c r="U569" t="s">
        <v>1313</v>
      </c>
      <c r="V569" t="s">
        <v>20</v>
      </c>
      <c r="W569" t="s">
        <v>1352</v>
      </c>
      <c r="X569" t="s">
        <v>20</v>
      </c>
      <c r="Y569">
        <v>146.14599999999999</v>
      </c>
      <c r="Z569" t="s">
        <v>20</v>
      </c>
      <c r="AA569" t="s">
        <v>20</v>
      </c>
      <c r="AB569">
        <v>580</v>
      </c>
      <c r="AC569" t="s">
        <v>1314</v>
      </c>
      <c r="AD569" t="s">
        <v>20</v>
      </c>
      <c r="AE569" t="s">
        <v>1353</v>
      </c>
      <c r="AF569" t="s">
        <v>20</v>
      </c>
      <c r="AG569">
        <v>174.203</v>
      </c>
      <c r="AH569" t="s">
        <v>20</v>
      </c>
      <c r="AI569" t="s">
        <v>20</v>
      </c>
      <c r="AJ569">
        <v>703</v>
      </c>
      <c r="AK569" t="s">
        <v>1315</v>
      </c>
      <c r="AL569" t="s">
        <v>20</v>
      </c>
      <c r="AM569" t="s">
        <v>1354</v>
      </c>
      <c r="AN569" t="s">
        <v>20</v>
      </c>
      <c r="AO569">
        <v>119.119</v>
      </c>
      <c r="AP569" t="s">
        <v>20</v>
      </c>
      <c r="AQ569" t="s">
        <v>20</v>
      </c>
    </row>
    <row r="570" spans="1:43" x14ac:dyDescent="0.25">
      <c r="A570">
        <v>6</v>
      </c>
      <c r="B570" t="s">
        <v>384</v>
      </c>
      <c r="C570" t="str">
        <f>HYPERLINK("http://www.ncbi.nlm.nih.gov/protein/XP_039870565.1","XP_039870565.1")</f>
        <v>XP_039870565.1</v>
      </c>
      <c r="D570">
        <v>53697</v>
      </c>
      <c r="E570" t="str">
        <f>HYPERLINK("http://www.ncbi.nlm.nih.gov/Taxonomy/Browser/wwwtax.cgi?mode=Info&amp;id=43689&amp;lvl=3&amp;lin=f&amp;keep=1&amp;srchmode=1&amp;unlock","43689")</f>
        <v>43689</v>
      </c>
      <c r="F570" t="s">
        <v>384</v>
      </c>
      <c r="G570" t="str">
        <f>HYPERLINK("http://www.ncbi.nlm.nih.gov/Taxonomy/Browser/wwwtax.cgi?mode=Info&amp;id=43689&amp;lvl=3&amp;lin=f&amp;keep=1&amp;srchmode=1&amp;unlock","Simochromis diagramma")</f>
        <v>Simochromis diagramma</v>
      </c>
      <c r="H570" t="s">
        <v>637</v>
      </c>
      <c r="I570" t="str">
        <f>HYPERLINK("http://www.ncbi.nlm.nih.gov/protein/XP_039870565.1","androgen receptor-like")</f>
        <v>androgen receptor-like</v>
      </c>
      <c r="J570" t="s">
        <v>1327</v>
      </c>
      <c r="K570" t="s">
        <v>20</v>
      </c>
      <c r="L570">
        <v>547</v>
      </c>
      <c r="M570" t="s">
        <v>25</v>
      </c>
      <c r="N570" t="s">
        <v>20</v>
      </c>
      <c r="O570" t="s">
        <v>1352</v>
      </c>
      <c r="P570" t="s">
        <v>20</v>
      </c>
      <c r="Q570">
        <v>132.119</v>
      </c>
      <c r="R570" t="s">
        <v>20</v>
      </c>
      <c r="S570" t="s">
        <v>20</v>
      </c>
      <c r="T570">
        <v>553</v>
      </c>
      <c r="U570" t="s">
        <v>1313</v>
      </c>
      <c r="V570" t="s">
        <v>20</v>
      </c>
      <c r="W570" t="s">
        <v>1352</v>
      </c>
      <c r="X570" t="s">
        <v>20</v>
      </c>
      <c r="Y570">
        <v>146.14599999999999</v>
      </c>
      <c r="Z570" t="s">
        <v>20</v>
      </c>
      <c r="AA570" t="s">
        <v>20</v>
      </c>
      <c r="AB570">
        <v>594</v>
      </c>
      <c r="AC570" t="s">
        <v>1314</v>
      </c>
      <c r="AD570" t="s">
        <v>20</v>
      </c>
      <c r="AE570" t="s">
        <v>1353</v>
      </c>
      <c r="AF570" t="s">
        <v>20</v>
      </c>
      <c r="AG570">
        <v>174.203</v>
      </c>
      <c r="AH570" t="s">
        <v>20</v>
      </c>
      <c r="AI570" t="s">
        <v>20</v>
      </c>
      <c r="AJ570">
        <v>717</v>
      </c>
      <c r="AK570" t="s">
        <v>1315</v>
      </c>
      <c r="AL570" t="s">
        <v>20</v>
      </c>
      <c r="AM570" t="s">
        <v>1354</v>
      </c>
      <c r="AN570" t="s">
        <v>20</v>
      </c>
      <c r="AO570">
        <v>119.119</v>
      </c>
      <c r="AP570" t="s">
        <v>20</v>
      </c>
      <c r="AQ570" t="s">
        <v>20</v>
      </c>
    </row>
    <row r="571" spans="1:43" x14ac:dyDescent="0.25">
      <c r="A571">
        <v>6</v>
      </c>
      <c r="B571" t="s">
        <v>384</v>
      </c>
      <c r="C571" t="str">
        <f>HYPERLINK("http://www.ncbi.nlm.nih.gov/protein/XP_038144388.1","XP_038144388.1")</f>
        <v>XP_038144388.1</v>
      </c>
      <c r="D571">
        <v>42390</v>
      </c>
      <c r="E571" t="str">
        <f>HYPERLINK("http://www.ncbi.nlm.nih.gov/Taxonomy/Browser/wwwtax.cgi?mode=Info&amp;id=77115&amp;lvl=3&amp;lin=f&amp;keep=1&amp;srchmode=1&amp;unlock","77115")</f>
        <v>77115</v>
      </c>
      <c r="F571" t="s">
        <v>384</v>
      </c>
      <c r="G571" t="str">
        <f>HYPERLINK("http://www.ncbi.nlm.nih.gov/Taxonomy/Browser/wwwtax.cgi?mode=Info&amp;id=77115&amp;lvl=3&amp;lin=f&amp;keep=1&amp;srchmode=1&amp;unlock","Cyprinodon tularosa")</f>
        <v>Cyprinodon tularosa</v>
      </c>
      <c r="H571" t="s">
        <v>597</v>
      </c>
      <c r="I571" t="str">
        <f>HYPERLINK("http://www.ncbi.nlm.nih.gov/protein/XP_038144388.1","androgen receptor-like")</f>
        <v>androgen receptor-like</v>
      </c>
      <c r="J571" t="s">
        <v>1327</v>
      </c>
      <c r="K571" t="s">
        <v>20</v>
      </c>
      <c r="L571">
        <v>526</v>
      </c>
      <c r="M571" t="s">
        <v>25</v>
      </c>
      <c r="N571" t="s">
        <v>20</v>
      </c>
      <c r="O571" t="s">
        <v>1352</v>
      </c>
      <c r="P571" t="s">
        <v>20</v>
      </c>
      <c r="Q571">
        <v>132.119</v>
      </c>
      <c r="R571" t="s">
        <v>20</v>
      </c>
      <c r="S571" t="s">
        <v>20</v>
      </c>
      <c r="T571">
        <v>532</v>
      </c>
      <c r="U571" t="s">
        <v>1313</v>
      </c>
      <c r="V571" t="s">
        <v>20</v>
      </c>
      <c r="W571" t="s">
        <v>1352</v>
      </c>
      <c r="X571" t="s">
        <v>20</v>
      </c>
      <c r="Y571">
        <v>146.14599999999999</v>
      </c>
      <c r="Z571" t="s">
        <v>20</v>
      </c>
      <c r="AA571" t="s">
        <v>20</v>
      </c>
      <c r="AB571">
        <v>573</v>
      </c>
      <c r="AC571" t="s">
        <v>1314</v>
      </c>
      <c r="AD571" t="s">
        <v>20</v>
      </c>
      <c r="AE571" t="s">
        <v>1353</v>
      </c>
      <c r="AF571" t="s">
        <v>20</v>
      </c>
      <c r="AG571">
        <v>174.203</v>
      </c>
      <c r="AH571" t="s">
        <v>20</v>
      </c>
      <c r="AI571" t="s">
        <v>20</v>
      </c>
      <c r="AJ571">
        <v>696</v>
      </c>
      <c r="AK571" t="s">
        <v>1315</v>
      </c>
      <c r="AL571" t="s">
        <v>20</v>
      </c>
      <c r="AM571" t="s">
        <v>1354</v>
      </c>
      <c r="AN571" t="s">
        <v>20</v>
      </c>
      <c r="AO571">
        <v>119.119</v>
      </c>
      <c r="AP571" t="s">
        <v>20</v>
      </c>
      <c r="AQ571" t="s">
        <v>20</v>
      </c>
    </row>
    <row r="572" spans="1:43" x14ac:dyDescent="0.25">
      <c r="A572">
        <v>6</v>
      </c>
      <c r="B572" t="s">
        <v>384</v>
      </c>
      <c r="C572" t="str">
        <f>HYPERLINK("http://www.ncbi.nlm.nih.gov/protein/NP_001273260.1","NP_001273260.1")</f>
        <v>NP_001273260.1</v>
      </c>
      <c r="D572">
        <v>45053</v>
      </c>
      <c r="E572" t="str">
        <f>HYPERLINK("http://www.ncbi.nlm.nih.gov/Taxonomy/Browser/wwwtax.cgi?mode=Info&amp;id=8153&amp;lvl=3&amp;lin=f&amp;keep=1&amp;srchmode=1&amp;unlock","8153")</f>
        <v>8153</v>
      </c>
      <c r="F572" t="s">
        <v>384</v>
      </c>
      <c r="G572" t="str">
        <f>HYPERLINK("http://www.ncbi.nlm.nih.gov/Taxonomy/Browser/wwwtax.cgi?mode=Info&amp;id=8153&amp;lvl=3&amp;lin=f&amp;keep=1&amp;srchmode=1&amp;unlock","Haplochromis burtoni")</f>
        <v>Haplochromis burtoni</v>
      </c>
      <c r="H572" t="s">
        <v>639</v>
      </c>
      <c r="I572" t="str">
        <f>HYPERLINK("http://www.ncbi.nlm.nih.gov/protein/NP_001273260.1","androgen receptor-like")</f>
        <v>androgen receptor-like</v>
      </c>
      <c r="J572" t="s">
        <v>1327</v>
      </c>
      <c r="K572" t="s">
        <v>20</v>
      </c>
      <c r="L572">
        <v>550</v>
      </c>
      <c r="M572" t="s">
        <v>25</v>
      </c>
      <c r="N572" t="s">
        <v>20</v>
      </c>
      <c r="O572" t="s">
        <v>1352</v>
      </c>
      <c r="P572" t="s">
        <v>20</v>
      </c>
      <c r="Q572">
        <v>132.119</v>
      </c>
      <c r="R572" t="s">
        <v>20</v>
      </c>
      <c r="S572" t="s">
        <v>20</v>
      </c>
      <c r="T572">
        <v>556</v>
      </c>
      <c r="U572" t="s">
        <v>1313</v>
      </c>
      <c r="V572" t="s">
        <v>20</v>
      </c>
      <c r="W572" t="s">
        <v>1352</v>
      </c>
      <c r="X572" t="s">
        <v>20</v>
      </c>
      <c r="Y572">
        <v>146.14599999999999</v>
      </c>
      <c r="Z572" t="s">
        <v>20</v>
      </c>
      <c r="AA572" t="s">
        <v>20</v>
      </c>
      <c r="AB572">
        <v>597</v>
      </c>
      <c r="AC572" t="s">
        <v>1314</v>
      </c>
      <c r="AD572" t="s">
        <v>20</v>
      </c>
      <c r="AE572" t="s">
        <v>1353</v>
      </c>
      <c r="AF572" t="s">
        <v>20</v>
      </c>
      <c r="AG572">
        <v>174.203</v>
      </c>
      <c r="AH572" t="s">
        <v>20</v>
      </c>
      <c r="AI572" t="s">
        <v>20</v>
      </c>
      <c r="AJ572">
        <v>720</v>
      </c>
      <c r="AK572" t="s">
        <v>1315</v>
      </c>
      <c r="AL572" t="s">
        <v>20</v>
      </c>
      <c r="AM572" t="s">
        <v>1354</v>
      </c>
      <c r="AN572" t="s">
        <v>20</v>
      </c>
      <c r="AO572">
        <v>119.119</v>
      </c>
      <c r="AP572" t="s">
        <v>20</v>
      </c>
      <c r="AQ572" t="s">
        <v>20</v>
      </c>
    </row>
    <row r="573" spans="1:43" x14ac:dyDescent="0.25">
      <c r="A573">
        <v>6</v>
      </c>
      <c r="B573" t="s">
        <v>384</v>
      </c>
      <c r="C573" t="str">
        <f>HYPERLINK("http://www.ncbi.nlm.nih.gov/protein/XP_015239533.1","XP_015239533.1")</f>
        <v>XP_015239533.1</v>
      </c>
      <c r="D573">
        <v>36661</v>
      </c>
      <c r="E573" t="str">
        <f>HYPERLINK("http://www.ncbi.nlm.nih.gov/Taxonomy/Browser/wwwtax.cgi?mode=Info&amp;id=28743&amp;lvl=3&amp;lin=f&amp;keep=1&amp;srchmode=1&amp;unlock","28743")</f>
        <v>28743</v>
      </c>
      <c r="F573" t="s">
        <v>384</v>
      </c>
      <c r="G573" t="str">
        <f>HYPERLINK("http://www.ncbi.nlm.nih.gov/Taxonomy/Browser/wwwtax.cgi?mode=Info&amp;id=28743&amp;lvl=3&amp;lin=f&amp;keep=1&amp;srchmode=1&amp;unlock","Cyprinodon variegatus")</f>
        <v>Cyprinodon variegatus</v>
      </c>
      <c r="H573" t="s">
        <v>596</v>
      </c>
      <c r="I573" t="str">
        <f>HYPERLINK("http://www.ncbi.nlm.nih.gov/protein/XP_015239533.1","PREDICTED: androgen receptor-like")</f>
        <v>PREDICTED: androgen receptor-like</v>
      </c>
      <c r="J573" t="s">
        <v>1327</v>
      </c>
      <c r="K573" t="s">
        <v>20</v>
      </c>
      <c r="L573">
        <v>526</v>
      </c>
      <c r="M573" t="s">
        <v>25</v>
      </c>
      <c r="N573" t="s">
        <v>20</v>
      </c>
      <c r="O573" t="s">
        <v>1352</v>
      </c>
      <c r="P573" t="s">
        <v>20</v>
      </c>
      <c r="Q573">
        <v>132.119</v>
      </c>
      <c r="R573" t="s">
        <v>20</v>
      </c>
      <c r="S573" t="s">
        <v>20</v>
      </c>
      <c r="T573">
        <v>532</v>
      </c>
      <c r="U573" t="s">
        <v>1313</v>
      </c>
      <c r="V573" t="s">
        <v>20</v>
      </c>
      <c r="W573" t="s">
        <v>1352</v>
      </c>
      <c r="X573" t="s">
        <v>20</v>
      </c>
      <c r="Y573">
        <v>146.14599999999999</v>
      </c>
      <c r="Z573" t="s">
        <v>20</v>
      </c>
      <c r="AA573" t="s">
        <v>20</v>
      </c>
      <c r="AB573">
        <v>573</v>
      </c>
      <c r="AC573" t="s">
        <v>1314</v>
      </c>
      <c r="AD573" t="s">
        <v>20</v>
      </c>
      <c r="AE573" t="s">
        <v>1353</v>
      </c>
      <c r="AF573" t="s">
        <v>20</v>
      </c>
      <c r="AG573">
        <v>174.203</v>
      </c>
      <c r="AH573" t="s">
        <v>20</v>
      </c>
      <c r="AI573" t="s">
        <v>20</v>
      </c>
      <c r="AJ573">
        <v>696</v>
      </c>
      <c r="AK573" t="s">
        <v>1315</v>
      </c>
      <c r="AL573" t="s">
        <v>20</v>
      </c>
      <c r="AM573" t="s">
        <v>1354</v>
      </c>
      <c r="AN573" t="s">
        <v>20</v>
      </c>
      <c r="AO573">
        <v>119.119</v>
      </c>
      <c r="AP573" t="s">
        <v>20</v>
      </c>
      <c r="AQ573" t="s">
        <v>20</v>
      </c>
    </row>
    <row r="574" spans="1:43" x14ac:dyDescent="0.25">
      <c r="A574">
        <v>6</v>
      </c>
      <c r="B574" t="s">
        <v>384</v>
      </c>
      <c r="C574" t="str">
        <f>HYPERLINK("http://www.ncbi.nlm.nih.gov/protein/XP_029956536.1","XP_029956536.1")</f>
        <v>XP_029956536.1</v>
      </c>
      <c r="D574">
        <v>39284</v>
      </c>
      <c r="E574" t="str">
        <f>HYPERLINK("http://www.ncbi.nlm.nih.gov/Taxonomy/Browser/wwwtax.cgi?mode=Info&amp;id=181472&amp;lvl=3&amp;lin=f&amp;keep=1&amp;srchmode=1&amp;unlock","181472")</f>
        <v>181472</v>
      </c>
      <c r="F574" t="s">
        <v>384</v>
      </c>
      <c r="G574" t="str">
        <f>HYPERLINK("http://www.ncbi.nlm.nih.gov/Taxonomy/Browser/wwwtax.cgi?mode=Info&amp;id=181472&amp;lvl=3&amp;lin=f&amp;keep=1&amp;srchmode=1&amp;unlock","Salarias fasciatus")</f>
        <v>Salarias fasciatus</v>
      </c>
      <c r="H574" t="s">
        <v>534</v>
      </c>
      <c r="I574" t="str">
        <f>HYPERLINK("http://www.ncbi.nlm.nih.gov/protein/XP_029956536.1","androgen receptor-like")</f>
        <v>androgen receptor-like</v>
      </c>
      <c r="J574" t="s">
        <v>1327</v>
      </c>
      <c r="K574" t="s">
        <v>20</v>
      </c>
      <c r="L574">
        <v>550</v>
      </c>
      <c r="M574" t="s">
        <v>25</v>
      </c>
      <c r="N574" t="s">
        <v>20</v>
      </c>
      <c r="O574" t="s">
        <v>1352</v>
      </c>
      <c r="P574" t="s">
        <v>20</v>
      </c>
      <c r="Q574">
        <v>132.119</v>
      </c>
      <c r="R574" t="s">
        <v>20</v>
      </c>
      <c r="S574" t="s">
        <v>20</v>
      </c>
      <c r="T574">
        <v>556</v>
      </c>
      <c r="U574" t="s">
        <v>1313</v>
      </c>
      <c r="V574" t="s">
        <v>20</v>
      </c>
      <c r="W574" t="s">
        <v>1352</v>
      </c>
      <c r="X574" t="s">
        <v>20</v>
      </c>
      <c r="Y574">
        <v>146.14599999999999</v>
      </c>
      <c r="Z574" t="s">
        <v>20</v>
      </c>
      <c r="AA574" t="s">
        <v>20</v>
      </c>
      <c r="AB574">
        <v>597</v>
      </c>
      <c r="AC574" t="s">
        <v>1314</v>
      </c>
      <c r="AD574" t="s">
        <v>20</v>
      </c>
      <c r="AE574" t="s">
        <v>1353</v>
      </c>
      <c r="AF574" t="s">
        <v>20</v>
      </c>
      <c r="AG574">
        <v>174.203</v>
      </c>
      <c r="AH574" t="s">
        <v>20</v>
      </c>
      <c r="AI574" t="s">
        <v>20</v>
      </c>
      <c r="AJ574">
        <v>720</v>
      </c>
      <c r="AK574" t="s">
        <v>1315</v>
      </c>
      <c r="AL574" t="s">
        <v>20</v>
      </c>
      <c r="AM574" t="s">
        <v>1354</v>
      </c>
      <c r="AN574" t="s">
        <v>20</v>
      </c>
      <c r="AO574">
        <v>119.119</v>
      </c>
      <c r="AP574" t="s">
        <v>20</v>
      </c>
      <c r="AQ574" t="s">
        <v>20</v>
      </c>
    </row>
    <row r="575" spans="1:43" x14ac:dyDescent="0.25">
      <c r="A575">
        <v>6</v>
      </c>
      <c r="B575" t="s">
        <v>384</v>
      </c>
      <c r="C575" t="str">
        <f>HYPERLINK("http://www.ncbi.nlm.nih.gov/protein/XP_006799593.1","XP_006799593.1")</f>
        <v>XP_006799593.1</v>
      </c>
      <c r="D575">
        <v>36437</v>
      </c>
      <c r="E575" t="str">
        <f>HYPERLINK("http://www.ncbi.nlm.nih.gov/Taxonomy/Browser/wwwtax.cgi?mode=Info&amp;id=32507&amp;lvl=3&amp;lin=f&amp;keep=1&amp;srchmode=1&amp;unlock","32507")</f>
        <v>32507</v>
      </c>
      <c r="F575" t="s">
        <v>384</v>
      </c>
      <c r="G575" t="str">
        <f>HYPERLINK("http://www.ncbi.nlm.nih.gov/Taxonomy/Browser/wwwtax.cgi?mode=Info&amp;id=32507&amp;lvl=3&amp;lin=f&amp;keep=1&amp;srchmode=1&amp;unlock","Neolamprologus brichardi")</f>
        <v>Neolamprologus brichardi</v>
      </c>
      <c r="H575" t="s">
        <v>635</v>
      </c>
      <c r="I575" t="str">
        <f>HYPERLINK("http://www.ncbi.nlm.nih.gov/protein/XP_006799593.1","androgen receptor-like")</f>
        <v>androgen receptor-like</v>
      </c>
      <c r="J575" t="s">
        <v>1327</v>
      </c>
      <c r="K575" t="s">
        <v>20</v>
      </c>
      <c r="L575">
        <v>550</v>
      </c>
      <c r="M575" t="s">
        <v>25</v>
      </c>
      <c r="N575" t="s">
        <v>20</v>
      </c>
      <c r="O575" t="s">
        <v>1352</v>
      </c>
      <c r="P575" t="s">
        <v>20</v>
      </c>
      <c r="Q575">
        <v>132.119</v>
      </c>
      <c r="R575" t="s">
        <v>20</v>
      </c>
      <c r="S575" t="s">
        <v>20</v>
      </c>
      <c r="T575">
        <v>556</v>
      </c>
      <c r="U575" t="s">
        <v>1313</v>
      </c>
      <c r="V575" t="s">
        <v>20</v>
      </c>
      <c r="W575" t="s">
        <v>1352</v>
      </c>
      <c r="X575" t="s">
        <v>20</v>
      </c>
      <c r="Y575">
        <v>146.14599999999999</v>
      </c>
      <c r="Z575" t="s">
        <v>20</v>
      </c>
      <c r="AA575" t="s">
        <v>20</v>
      </c>
      <c r="AB575">
        <v>597</v>
      </c>
      <c r="AC575" t="s">
        <v>1314</v>
      </c>
      <c r="AD575" t="s">
        <v>20</v>
      </c>
      <c r="AE575" t="s">
        <v>1353</v>
      </c>
      <c r="AF575" t="s">
        <v>20</v>
      </c>
      <c r="AG575">
        <v>174.203</v>
      </c>
      <c r="AH575" t="s">
        <v>20</v>
      </c>
      <c r="AI575" t="s">
        <v>20</v>
      </c>
      <c r="AJ575">
        <v>720</v>
      </c>
      <c r="AK575" t="s">
        <v>1315</v>
      </c>
      <c r="AL575" t="s">
        <v>20</v>
      </c>
      <c r="AM575" t="s">
        <v>1354</v>
      </c>
      <c r="AN575" t="s">
        <v>20</v>
      </c>
      <c r="AO575">
        <v>119.119</v>
      </c>
      <c r="AP575" t="s">
        <v>20</v>
      </c>
      <c r="AQ575" t="s">
        <v>20</v>
      </c>
    </row>
    <row r="576" spans="1:43" x14ac:dyDescent="0.25">
      <c r="A576">
        <v>6</v>
      </c>
      <c r="B576" t="s">
        <v>384</v>
      </c>
      <c r="C576" t="str">
        <f>HYPERLINK("http://www.ncbi.nlm.nih.gov/protein/XP_033969271.1","XP_033969271.1")</f>
        <v>XP_033969271.1</v>
      </c>
      <c r="D576">
        <v>41297</v>
      </c>
      <c r="E576" t="str">
        <f>HYPERLINK("http://www.ncbi.nlm.nih.gov/Taxonomy/Browser/wwwtax.cgi?mode=Info&amp;id=40690&amp;lvl=3&amp;lin=f&amp;keep=1&amp;srchmode=1&amp;unlock","40690")</f>
        <v>40690</v>
      </c>
      <c r="F576" t="s">
        <v>384</v>
      </c>
      <c r="G576" t="str">
        <f>HYPERLINK("http://www.ncbi.nlm.nih.gov/Taxonomy/Browser/wwwtax.cgi?mode=Info&amp;id=40690&amp;lvl=3&amp;lin=f&amp;keep=1&amp;srchmode=1&amp;unlock","Trematomus bernacchii")</f>
        <v>Trematomus bernacchii</v>
      </c>
      <c r="H576" t="s">
        <v>603</v>
      </c>
      <c r="I576" t="str">
        <f>HYPERLINK("http://www.ncbi.nlm.nih.gov/protein/XP_033969271.1","androgen receptor isoform X2")</f>
        <v>androgen receptor isoform X2</v>
      </c>
      <c r="J576" t="s">
        <v>1327</v>
      </c>
      <c r="K576" t="s">
        <v>20</v>
      </c>
      <c r="L576">
        <v>517</v>
      </c>
      <c r="M576" t="s">
        <v>25</v>
      </c>
      <c r="N576" t="s">
        <v>20</v>
      </c>
      <c r="O576" t="s">
        <v>1352</v>
      </c>
      <c r="P576" t="s">
        <v>20</v>
      </c>
      <c r="Q576">
        <v>132.119</v>
      </c>
      <c r="R576" t="s">
        <v>20</v>
      </c>
      <c r="S576" t="s">
        <v>20</v>
      </c>
      <c r="T576">
        <v>523</v>
      </c>
      <c r="U576" t="s">
        <v>1313</v>
      </c>
      <c r="V576" t="s">
        <v>20</v>
      </c>
      <c r="W576" t="s">
        <v>1352</v>
      </c>
      <c r="X576" t="s">
        <v>20</v>
      </c>
      <c r="Y576">
        <v>146.14599999999999</v>
      </c>
      <c r="Z576" t="s">
        <v>20</v>
      </c>
      <c r="AA576" t="s">
        <v>20</v>
      </c>
      <c r="AB576">
        <v>564</v>
      </c>
      <c r="AC576" t="s">
        <v>1314</v>
      </c>
      <c r="AD576" t="s">
        <v>20</v>
      </c>
      <c r="AE576" t="s">
        <v>1353</v>
      </c>
      <c r="AF576" t="s">
        <v>20</v>
      </c>
      <c r="AG576">
        <v>174.203</v>
      </c>
      <c r="AH576" t="s">
        <v>20</v>
      </c>
      <c r="AI576" t="s">
        <v>20</v>
      </c>
      <c r="AJ576">
        <v>687</v>
      </c>
      <c r="AK576" t="s">
        <v>1315</v>
      </c>
      <c r="AL576" t="s">
        <v>20</v>
      </c>
      <c r="AM576" t="s">
        <v>1354</v>
      </c>
      <c r="AN576" t="s">
        <v>20</v>
      </c>
      <c r="AO576">
        <v>119.119</v>
      </c>
      <c r="AP576" t="s">
        <v>20</v>
      </c>
      <c r="AQ576" t="s">
        <v>20</v>
      </c>
    </row>
    <row r="577" spans="1:43" x14ac:dyDescent="0.25">
      <c r="A577">
        <v>6</v>
      </c>
      <c r="B577" t="s">
        <v>384</v>
      </c>
      <c r="C577" t="str">
        <f>HYPERLINK("http://www.ncbi.nlm.nih.gov/protein/XP_028321907.1","XP_028321907.1")</f>
        <v>XP_028321907.1</v>
      </c>
      <c r="D577">
        <v>43564</v>
      </c>
      <c r="E577" t="str">
        <f>HYPERLINK("http://www.ncbi.nlm.nih.gov/Taxonomy/Browser/wwwtax.cgi?mode=Info&amp;id=441366&amp;lvl=3&amp;lin=f&amp;keep=1&amp;srchmode=1&amp;unlock","441366")</f>
        <v>441366</v>
      </c>
      <c r="F577" t="s">
        <v>384</v>
      </c>
      <c r="G577" t="str">
        <f>HYPERLINK("http://www.ncbi.nlm.nih.gov/Taxonomy/Browser/wwwtax.cgi?mode=Info&amp;id=441366&amp;lvl=3&amp;lin=f&amp;keep=1&amp;srchmode=1&amp;unlock","Gouania willdenowi")</f>
        <v>Gouania willdenowi</v>
      </c>
      <c r="H577" t="s">
        <v>586</v>
      </c>
      <c r="I577" t="str">
        <f>HYPERLINK("http://www.ncbi.nlm.nih.gov/protein/XP_028321907.1","androgen receptor-like isoform X1")</f>
        <v>androgen receptor-like isoform X1</v>
      </c>
      <c r="J577" t="s">
        <v>1327</v>
      </c>
      <c r="K577" t="s">
        <v>20</v>
      </c>
      <c r="L577">
        <v>530</v>
      </c>
      <c r="M577" t="s">
        <v>25</v>
      </c>
      <c r="N577" t="s">
        <v>20</v>
      </c>
      <c r="O577" t="s">
        <v>1352</v>
      </c>
      <c r="P577" t="s">
        <v>20</v>
      </c>
      <c r="Q577">
        <v>132.119</v>
      </c>
      <c r="R577" t="s">
        <v>20</v>
      </c>
      <c r="S577" t="s">
        <v>20</v>
      </c>
      <c r="T577">
        <v>536</v>
      </c>
      <c r="U577" t="s">
        <v>1313</v>
      </c>
      <c r="V577" t="s">
        <v>20</v>
      </c>
      <c r="W577" t="s">
        <v>1352</v>
      </c>
      <c r="X577" t="s">
        <v>20</v>
      </c>
      <c r="Y577">
        <v>146.14599999999999</v>
      </c>
      <c r="Z577" t="s">
        <v>20</v>
      </c>
      <c r="AA577" t="s">
        <v>20</v>
      </c>
      <c r="AB577">
        <v>577</v>
      </c>
      <c r="AC577" t="s">
        <v>1314</v>
      </c>
      <c r="AD577" t="s">
        <v>20</v>
      </c>
      <c r="AE577" t="s">
        <v>1353</v>
      </c>
      <c r="AF577" t="s">
        <v>20</v>
      </c>
      <c r="AG577">
        <v>174.203</v>
      </c>
      <c r="AH577" t="s">
        <v>20</v>
      </c>
      <c r="AI577" t="s">
        <v>20</v>
      </c>
      <c r="AJ577">
        <v>700</v>
      </c>
      <c r="AK577" t="s">
        <v>1315</v>
      </c>
      <c r="AL577" t="s">
        <v>20</v>
      </c>
      <c r="AM577" t="s">
        <v>1354</v>
      </c>
      <c r="AN577" t="s">
        <v>20</v>
      </c>
      <c r="AO577">
        <v>119.119</v>
      </c>
      <c r="AP577" t="s">
        <v>20</v>
      </c>
      <c r="AQ577" t="s">
        <v>20</v>
      </c>
    </row>
    <row r="578" spans="1:43" x14ac:dyDescent="0.25">
      <c r="A578">
        <v>6</v>
      </c>
      <c r="B578" t="s">
        <v>384</v>
      </c>
      <c r="C578" t="str">
        <f>HYPERLINK("http://www.ncbi.nlm.nih.gov/protein/XP_033954632.1","XP_033954632.1")</f>
        <v>XP_033954632.1</v>
      </c>
      <c r="D578">
        <v>38002</v>
      </c>
      <c r="E578" t="str">
        <f>HYPERLINK("http://www.ncbi.nlm.nih.gov/Taxonomy/Browser/wwwtax.cgi?mode=Info&amp;id=52239&amp;lvl=3&amp;lin=f&amp;keep=1&amp;srchmode=1&amp;unlock","52239")</f>
        <v>52239</v>
      </c>
      <c r="F578" t="s">
        <v>384</v>
      </c>
      <c r="G578" t="str">
        <f>HYPERLINK("http://www.ncbi.nlm.nih.gov/Taxonomy/Browser/wwwtax.cgi?mode=Info&amp;id=52239&amp;lvl=3&amp;lin=f&amp;keep=1&amp;srchmode=1&amp;unlock","Pseudochaenichthys georgianus")</f>
        <v>Pseudochaenichthys georgianus</v>
      </c>
      <c r="H578" t="s">
        <v>576</v>
      </c>
      <c r="I578" t="str">
        <f>HYPERLINK("http://www.ncbi.nlm.nih.gov/protein/XP_033954632.1","androgen receptor")</f>
        <v>androgen receptor</v>
      </c>
      <c r="J578" t="s">
        <v>1327</v>
      </c>
      <c r="K578" t="s">
        <v>20</v>
      </c>
      <c r="L578">
        <v>513</v>
      </c>
      <c r="M578" t="s">
        <v>25</v>
      </c>
      <c r="N578" t="s">
        <v>20</v>
      </c>
      <c r="O578" t="s">
        <v>1352</v>
      </c>
      <c r="P578" t="s">
        <v>20</v>
      </c>
      <c r="Q578">
        <v>132.119</v>
      </c>
      <c r="R578" t="s">
        <v>20</v>
      </c>
      <c r="S578" t="s">
        <v>20</v>
      </c>
      <c r="T578">
        <v>519</v>
      </c>
      <c r="U578" t="s">
        <v>1313</v>
      </c>
      <c r="V578" t="s">
        <v>20</v>
      </c>
      <c r="W578" t="s">
        <v>1352</v>
      </c>
      <c r="X578" t="s">
        <v>20</v>
      </c>
      <c r="Y578">
        <v>146.14599999999999</v>
      </c>
      <c r="Z578" t="s">
        <v>20</v>
      </c>
      <c r="AA578" t="s">
        <v>20</v>
      </c>
      <c r="AB578">
        <v>560</v>
      </c>
      <c r="AC578" t="s">
        <v>1314</v>
      </c>
      <c r="AD578" t="s">
        <v>20</v>
      </c>
      <c r="AE578" t="s">
        <v>1353</v>
      </c>
      <c r="AF578" t="s">
        <v>20</v>
      </c>
      <c r="AG578">
        <v>174.203</v>
      </c>
      <c r="AH578" t="s">
        <v>20</v>
      </c>
      <c r="AI578" t="s">
        <v>20</v>
      </c>
      <c r="AJ578">
        <v>683</v>
      </c>
      <c r="AK578" t="s">
        <v>1315</v>
      </c>
      <c r="AL578" t="s">
        <v>20</v>
      </c>
      <c r="AM578" t="s">
        <v>1354</v>
      </c>
      <c r="AN578" t="s">
        <v>20</v>
      </c>
      <c r="AO578">
        <v>119.119</v>
      </c>
      <c r="AP578" t="s">
        <v>20</v>
      </c>
      <c r="AQ578" t="s">
        <v>20</v>
      </c>
    </row>
    <row r="579" spans="1:43" x14ac:dyDescent="0.25">
      <c r="A579">
        <v>6</v>
      </c>
      <c r="B579" t="s">
        <v>384</v>
      </c>
      <c r="C579" t="str">
        <f>HYPERLINK("http://www.ncbi.nlm.nih.gov/protein/XP_029303737.1","XP_029303737.1")</f>
        <v>XP_029303737.1</v>
      </c>
      <c r="D579">
        <v>37869</v>
      </c>
      <c r="E579" t="str">
        <f>HYPERLINK("http://www.ncbi.nlm.nih.gov/Taxonomy/Browser/wwwtax.cgi?mode=Info&amp;id=56716&amp;lvl=3&amp;lin=f&amp;keep=1&amp;srchmode=1&amp;unlock","56716")</f>
        <v>56716</v>
      </c>
      <c r="F579" t="s">
        <v>384</v>
      </c>
      <c r="G579" t="str">
        <f>HYPERLINK("http://www.ncbi.nlm.nih.gov/Taxonomy/Browser/wwwtax.cgi?mode=Info&amp;id=56716&amp;lvl=3&amp;lin=f&amp;keep=1&amp;srchmode=1&amp;unlock","Cottoperca gobio")</f>
        <v>Cottoperca gobio</v>
      </c>
      <c r="H579" t="s">
        <v>575</v>
      </c>
      <c r="I579" t="str">
        <f>HYPERLINK("http://www.ncbi.nlm.nih.gov/protein/XP_029303737.1","androgen receptor isoform X2")</f>
        <v>androgen receptor isoform X2</v>
      </c>
      <c r="J579" t="s">
        <v>1327</v>
      </c>
      <c r="K579" t="s">
        <v>20</v>
      </c>
      <c r="L579">
        <v>523</v>
      </c>
      <c r="M579" t="s">
        <v>25</v>
      </c>
      <c r="N579" t="s">
        <v>20</v>
      </c>
      <c r="O579" t="s">
        <v>1352</v>
      </c>
      <c r="P579" t="s">
        <v>20</v>
      </c>
      <c r="Q579">
        <v>132.119</v>
      </c>
      <c r="R579" t="s">
        <v>20</v>
      </c>
      <c r="S579" t="s">
        <v>20</v>
      </c>
      <c r="T579">
        <v>529</v>
      </c>
      <c r="U579" t="s">
        <v>1313</v>
      </c>
      <c r="V579" t="s">
        <v>20</v>
      </c>
      <c r="W579" t="s">
        <v>1352</v>
      </c>
      <c r="X579" t="s">
        <v>20</v>
      </c>
      <c r="Y579">
        <v>146.14599999999999</v>
      </c>
      <c r="Z579" t="s">
        <v>20</v>
      </c>
      <c r="AA579" t="s">
        <v>20</v>
      </c>
      <c r="AB579">
        <v>570</v>
      </c>
      <c r="AC579" t="s">
        <v>1314</v>
      </c>
      <c r="AD579" t="s">
        <v>20</v>
      </c>
      <c r="AE579" t="s">
        <v>1353</v>
      </c>
      <c r="AF579" t="s">
        <v>20</v>
      </c>
      <c r="AG579">
        <v>174.203</v>
      </c>
      <c r="AH579" t="s">
        <v>20</v>
      </c>
      <c r="AI579" t="s">
        <v>20</v>
      </c>
      <c r="AJ579">
        <v>693</v>
      </c>
      <c r="AK579" t="s">
        <v>1315</v>
      </c>
      <c r="AL579" t="s">
        <v>20</v>
      </c>
      <c r="AM579" t="s">
        <v>1354</v>
      </c>
      <c r="AN579" t="s">
        <v>20</v>
      </c>
      <c r="AO579">
        <v>119.119</v>
      </c>
      <c r="AP579" t="s">
        <v>20</v>
      </c>
      <c r="AQ579" t="s">
        <v>20</v>
      </c>
    </row>
    <row r="580" spans="1:43" x14ac:dyDescent="0.25">
      <c r="A580">
        <v>6</v>
      </c>
      <c r="B580" t="s">
        <v>384</v>
      </c>
      <c r="C580" t="str">
        <f>HYPERLINK("http://www.ncbi.nlm.nih.gov/protein/XP_011609787.2","XP_011609787.2")</f>
        <v>XP_011609787.2</v>
      </c>
      <c r="D580">
        <v>49062</v>
      </c>
      <c r="E580" t="str">
        <f>HYPERLINK("http://www.ncbi.nlm.nih.gov/Taxonomy/Browser/wwwtax.cgi?mode=Info&amp;id=31033&amp;lvl=3&amp;lin=f&amp;keep=1&amp;srchmode=1&amp;unlock","31033")</f>
        <v>31033</v>
      </c>
      <c r="F580" t="s">
        <v>384</v>
      </c>
      <c r="G580" t="str">
        <f>HYPERLINK("http://www.ncbi.nlm.nih.gov/Taxonomy/Browser/wwwtax.cgi?mode=Info&amp;id=31033&amp;lvl=3&amp;lin=f&amp;keep=1&amp;srchmode=1&amp;unlock","Takifugu rubripes")</f>
        <v>Takifugu rubripes</v>
      </c>
      <c r="H580" t="s">
        <v>630</v>
      </c>
      <c r="I580" t="str">
        <f>HYPERLINK("http://www.ncbi.nlm.nih.gov/protein/XP_011609787.2","androgen receptor-like isoform X2")</f>
        <v>androgen receptor-like isoform X2</v>
      </c>
      <c r="J580" t="s">
        <v>1327</v>
      </c>
      <c r="K580" t="s">
        <v>20</v>
      </c>
      <c r="L580">
        <v>531</v>
      </c>
      <c r="M580" t="s">
        <v>25</v>
      </c>
      <c r="N580" t="s">
        <v>20</v>
      </c>
      <c r="O580" t="s">
        <v>1352</v>
      </c>
      <c r="P580" t="s">
        <v>20</v>
      </c>
      <c r="Q580">
        <v>132.119</v>
      </c>
      <c r="R580" t="s">
        <v>20</v>
      </c>
      <c r="S580" t="s">
        <v>20</v>
      </c>
      <c r="T580">
        <v>537</v>
      </c>
      <c r="U580" t="s">
        <v>1313</v>
      </c>
      <c r="V580" t="s">
        <v>20</v>
      </c>
      <c r="W580" t="s">
        <v>1352</v>
      </c>
      <c r="X580" t="s">
        <v>20</v>
      </c>
      <c r="Y580">
        <v>146.14599999999999</v>
      </c>
      <c r="Z580" t="s">
        <v>20</v>
      </c>
      <c r="AA580" t="s">
        <v>20</v>
      </c>
      <c r="AB580">
        <v>578</v>
      </c>
      <c r="AC580" t="s">
        <v>1314</v>
      </c>
      <c r="AD580" t="s">
        <v>20</v>
      </c>
      <c r="AE580" t="s">
        <v>1353</v>
      </c>
      <c r="AF580" t="s">
        <v>20</v>
      </c>
      <c r="AG580">
        <v>174.203</v>
      </c>
      <c r="AH580" t="s">
        <v>20</v>
      </c>
      <c r="AI580" t="s">
        <v>20</v>
      </c>
      <c r="AJ580">
        <v>701</v>
      </c>
      <c r="AK580" t="s">
        <v>1315</v>
      </c>
      <c r="AL580" t="s">
        <v>20</v>
      </c>
      <c r="AM580" t="s">
        <v>1354</v>
      </c>
      <c r="AN580" t="s">
        <v>20</v>
      </c>
      <c r="AO580">
        <v>119.119</v>
      </c>
      <c r="AP580" t="s">
        <v>20</v>
      </c>
      <c r="AQ580" t="s">
        <v>20</v>
      </c>
    </row>
    <row r="581" spans="1:43" x14ac:dyDescent="0.25">
      <c r="A581">
        <v>6</v>
      </c>
      <c r="B581" t="s">
        <v>384</v>
      </c>
      <c r="C581" t="str">
        <f>HYPERLINK("http://www.ncbi.nlm.nih.gov/protein/XP_022540802.1","XP_022540802.1")</f>
        <v>XP_022540802.1</v>
      </c>
      <c r="D581">
        <v>42884</v>
      </c>
      <c r="E581" t="str">
        <f>HYPERLINK("http://www.ncbi.nlm.nih.gov/Taxonomy/Browser/wwwtax.cgi?mode=Info&amp;id=7994&amp;lvl=3&amp;lin=f&amp;keep=1&amp;srchmode=1&amp;unlock","7994")</f>
        <v>7994</v>
      </c>
      <c r="F581" t="s">
        <v>384</v>
      </c>
      <c r="G581" t="str">
        <f>HYPERLINK("http://www.ncbi.nlm.nih.gov/Taxonomy/Browser/wwwtax.cgi?mode=Info&amp;id=7994&amp;lvl=3&amp;lin=f&amp;keep=1&amp;srchmode=1&amp;unlock","Astyanax mexicanus")</f>
        <v>Astyanax mexicanus</v>
      </c>
      <c r="H581" t="s">
        <v>508</v>
      </c>
      <c r="I581" t="str">
        <f>HYPERLINK("http://www.ncbi.nlm.nih.gov/protein/XP_022540802.1","androgen receptor")</f>
        <v>androgen receptor</v>
      </c>
      <c r="J581" t="s">
        <v>1327</v>
      </c>
      <c r="K581" t="s">
        <v>20</v>
      </c>
      <c r="L581">
        <v>626</v>
      </c>
      <c r="M581" t="s">
        <v>25</v>
      </c>
      <c r="N581" t="s">
        <v>20</v>
      </c>
      <c r="O581" t="s">
        <v>1352</v>
      </c>
      <c r="P581" t="s">
        <v>20</v>
      </c>
      <c r="Q581">
        <v>132.119</v>
      </c>
      <c r="R581" t="s">
        <v>20</v>
      </c>
      <c r="S581" t="s">
        <v>20</v>
      </c>
      <c r="T581">
        <v>632</v>
      </c>
      <c r="U581" t="s">
        <v>1313</v>
      </c>
      <c r="V581" t="s">
        <v>20</v>
      </c>
      <c r="W581" t="s">
        <v>1352</v>
      </c>
      <c r="X581" t="s">
        <v>20</v>
      </c>
      <c r="Y581">
        <v>146.14599999999999</v>
      </c>
      <c r="Z581" t="s">
        <v>20</v>
      </c>
      <c r="AA581" t="s">
        <v>20</v>
      </c>
      <c r="AB581">
        <v>673</v>
      </c>
      <c r="AC581" t="s">
        <v>1314</v>
      </c>
      <c r="AD581" t="s">
        <v>20</v>
      </c>
      <c r="AE581" t="s">
        <v>1353</v>
      </c>
      <c r="AF581" t="s">
        <v>20</v>
      </c>
      <c r="AG581">
        <v>174.203</v>
      </c>
      <c r="AH581" t="s">
        <v>20</v>
      </c>
      <c r="AI581" t="s">
        <v>20</v>
      </c>
      <c r="AJ581">
        <v>796</v>
      </c>
      <c r="AK581" t="s">
        <v>1315</v>
      </c>
      <c r="AL581" t="s">
        <v>20</v>
      </c>
      <c r="AM581" t="s">
        <v>1354</v>
      </c>
      <c r="AN581" t="s">
        <v>20</v>
      </c>
      <c r="AO581">
        <v>119.119</v>
      </c>
      <c r="AP581" t="s">
        <v>20</v>
      </c>
      <c r="AQ581" t="s">
        <v>20</v>
      </c>
    </row>
    <row r="582" spans="1:43" x14ac:dyDescent="0.25">
      <c r="A582">
        <v>6</v>
      </c>
      <c r="B582" t="s">
        <v>384</v>
      </c>
      <c r="C582" t="str">
        <f>HYPERLINK("http://www.ncbi.nlm.nih.gov/protein/XP_013862230.1","XP_013862230.1")</f>
        <v>XP_013862230.1</v>
      </c>
      <c r="D582">
        <v>35359</v>
      </c>
      <c r="E582" t="str">
        <f>HYPERLINK("http://www.ncbi.nlm.nih.gov/Taxonomy/Browser/wwwtax.cgi?mode=Info&amp;id=52670&amp;lvl=3&amp;lin=f&amp;keep=1&amp;srchmode=1&amp;unlock","52670")</f>
        <v>52670</v>
      </c>
      <c r="F582" t="s">
        <v>384</v>
      </c>
      <c r="G582" t="str">
        <f>HYPERLINK("http://www.ncbi.nlm.nih.gov/Taxonomy/Browser/wwwtax.cgi?mode=Info&amp;id=52670&amp;lvl=3&amp;lin=f&amp;keep=1&amp;srchmode=1&amp;unlock","Austrofundulus limnaeus")</f>
        <v>Austrofundulus limnaeus</v>
      </c>
      <c r="H582" t="s">
        <v>520</v>
      </c>
      <c r="I582" t="str">
        <f>HYPERLINK("http://www.ncbi.nlm.nih.gov/protein/XP_013862230.1","PREDICTED: androgen receptor")</f>
        <v>PREDICTED: androgen receptor</v>
      </c>
      <c r="J582" t="s">
        <v>1327</v>
      </c>
      <c r="K582" t="s">
        <v>20</v>
      </c>
      <c r="L582">
        <v>538</v>
      </c>
      <c r="M582" t="s">
        <v>25</v>
      </c>
      <c r="N582" t="s">
        <v>20</v>
      </c>
      <c r="O582" t="s">
        <v>1352</v>
      </c>
      <c r="P582" t="s">
        <v>20</v>
      </c>
      <c r="Q582">
        <v>132.119</v>
      </c>
      <c r="R582" t="s">
        <v>20</v>
      </c>
      <c r="S582" t="s">
        <v>20</v>
      </c>
      <c r="T582">
        <v>544</v>
      </c>
      <c r="U582" t="s">
        <v>1313</v>
      </c>
      <c r="V582" t="s">
        <v>20</v>
      </c>
      <c r="W582" t="s">
        <v>1352</v>
      </c>
      <c r="X582" t="s">
        <v>20</v>
      </c>
      <c r="Y582">
        <v>146.14599999999999</v>
      </c>
      <c r="Z582" t="s">
        <v>20</v>
      </c>
      <c r="AA582" t="s">
        <v>20</v>
      </c>
      <c r="AB582">
        <v>585</v>
      </c>
      <c r="AC582" t="s">
        <v>1314</v>
      </c>
      <c r="AD582" t="s">
        <v>20</v>
      </c>
      <c r="AE582" t="s">
        <v>1353</v>
      </c>
      <c r="AF582" t="s">
        <v>20</v>
      </c>
      <c r="AG582">
        <v>174.203</v>
      </c>
      <c r="AH582" t="s">
        <v>20</v>
      </c>
      <c r="AI582" t="s">
        <v>20</v>
      </c>
      <c r="AJ582">
        <v>708</v>
      </c>
      <c r="AK582" t="s">
        <v>1315</v>
      </c>
      <c r="AL582" t="s">
        <v>20</v>
      </c>
      <c r="AM582" t="s">
        <v>1354</v>
      </c>
      <c r="AN582" t="s">
        <v>20</v>
      </c>
      <c r="AO582">
        <v>119.119</v>
      </c>
      <c r="AP582" t="s">
        <v>20</v>
      </c>
      <c r="AQ582" t="s">
        <v>20</v>
      </c>
    </row>
    <row r="583" spans="1:43" x14ac:dyDescent="0.25">
      <c r="A583">
        <v>6</v>
      </c>
      <c r="B583" t="s">
        <v>384</v>
      </c>
      <c r="C583" t="str">
        <f>HYPERLINK("http://www.ncbi.nlm.nih.gov/protein/XP_008331219.2","XP_008331219.2")</f>
        <v>XP_008331219.2</v>
      </c>
      <c r="D583">
        <v>39998</v>
      </c>
      <c r="E583" t="str">
        <f>HYPERLINK("http://www.ncbi.nlm.nih.gov/Taxonomy/Browser/wwwtax.cgi?mode=Info&amp;id=244447&amp;lvl=3&amp;lin=f&amp;keep=1&amp;srchmode=1&amp;unlock","244447")</f>
        <v>244447</v>
      </c>
      <c r="F583" t="s">
        <v>384</v>
      </c>
      <c r="G583" t="str">
        <f>HYPERLINK("http://www.ncbi.nlm.nih.gov/Taxonomy/Browser/wwwtax.cgi?mode=Info&amp;id=244447&amp;lvl=3&amp;lin=f&amp;keep=1&amp;srchmode=1&amp;unlock","Cynoglossus semilaevis")</f>
        <v>Cynoglossus semilaevis</v>
      </c>
      <c r="H583" t="s">
        <v>580</v>
      </c>
      <c r="I583" t="str">
        <f>HYPERLINK("http://www.ncbi.nlm.nih.gov/protein/XP_008331219.2","androgen receptor")</f>
        <v>androgen receptor</v>
      </c>
      <c r="J583" t="s">
        <v>1327</v>
      </c>
      <c r="K583" t="s">
        <v>25</v>
      </c>
      <c r="L583">
        <v>537</v>
      </c>
      <c r="M583" t="s">
        <v>25</v>
      </c>
      <c r="N583" t="s">
        <v>20</v>
      </c>
      <c r="O583" t="s">
        <v>1352</v>
      </c>
      <c r="P583" t="s">
        <v>20</v>
      </c>
      <c r="Q583">
        <v>132.119</v>
      </c>
      <c r="R583" t="s">
        <v>20</v>
      </c>
      <c r="S583" t="s">
        <v>20</v>
      </c>
      <c r="T583">
        <v>543</v>
      </c>
      <c r="U583" t="s">
        <v>1313</v>
      </c>
      <c r="V583" t="s">
        <v>20</v>
      </c>
      <c r="W583" t="s">
        <v>1352</v>
      </c>
      <c r="X583" t="s">
        <v>20</v>
      </c>
      <c r="Y583">
        <v>146.14599999999999</v>
      </c>
      <c r="Z583" t="s">
        <v>20</v>
      </c>
      <c r="AA583" t="s">
        <v>20</v>
      </c>
      <c r="AB583">
        <v>584</v>
      </c>
      <c r="AC583" t="s">
        <v>1314</v>
      </c>
      <c r="AD583" t="s">
        <v>20</v>
      </c>
      <c r="AE583" t="s">
        <v>1353</v>
      </c>
      <c r="AF583" t="s">
        <v>20</v>
      </c>
      <c r="AG583">
        <v>174.203</v>
      </c>
      <c r="AH583" t="s">
        <v>20</v>
      </c>
      <c r="AI583" t="s">
        <v>20</v>
      </c>
      <c r="AJ583">
        <v>707</v>
      </c>
      <c r="AK583" t="s">
        <v>1318</v>
      </c>
      <c r="AL583" t="s">
        <v>25</v>
      </c>
      <c r="AM583" t="s">
        <v>1355</v>
      </c>
      <c r="AN583" t="s">
        <v>25</v>
      </c>
      <c r="AO583">
        <v>89.093999999999994</v>
      </c>
      <c r="AP583" t="s">
        <v>25</v>
      </c>
      <c r="AQ583" t="s">
        <v>25</v>
      </c>
    </row>
    <row r="584" spans="1:43" x14ac:dyDescent="0.25">
      <c r="A584">
        <v>6</v>
      </c>
      <c r="B584" t="s">
        <v>384</v>
      </c>
      <c r="C584" t="str">
        <f>HYPERLINK("http://www.ncbi.nlm.nih.gov/protein/TWW74919.1","TWW74919.1")</f>
        <v>TWW74919.1</v>
      </c>
      <c r="D584">
        <v>29428</v>
      </c>
      <c r="E584" t="str">
        <f>HYPERLINK("http://www.ncbi.nlm.nih.gov/Taxonomy/Browser/wwwtax.cgi?mode=Info&amp;id=433684&amp;lvl=3&amp;lin=f&amp;keep=1&amp;srchmode=1&amp;unlock","433684")</f>
        <v>433684</v>
      </c>
      <c r="F584" t="s">
        <v>384</v>
      </c>
      <c r="G584" t="str">
        <f>HYPERLINK("http://www.ncbi.nlm.nih.gov/Taxonomy/Browser/wwwtax.cgi?mode=Info&amp;id=433684&amp;lvl=3&amp;lin=f&amp;keep=1&amp;srchmode=1&amp;unlock","Takifugu flavidus")</f>
        <v>Takifugu flavidus</v>
      </c>
      <c r="H584" t="s">
        <v>629</v>
      </c>
      <c r="I584" t="str">
        <f>HYPERLINK("http://www.ncbi.nlm.nih.gov/protein/TWW74919.1","Androgen receptor")</f>
        <v>Androgen receptor</v>
      </c>
      <c r="J584" t="s">
        <v>1327</v>
      </c>
      <c r="K584" t="s">
        <v>20</v>
      </c>
      <c r="L584">
        <v>536</v>
      </c>
      <c r="M584" t="s">
        <v>25</v>
      </c>
      <c r="N584" t="s">
        <v>20</v>
      </c>
      <c r="O584" t="s">
        <v>1352</v>
      </c>
      <c r="P584" t="s">
        <v>20</v>
      </c>
      <c r="Q584">
        <v>132.119</v>
      </c>
      <c r="R584" t="s">
        <v>20</v>
      </c>
      <c r="S584" t="s">
        <v>20</v>
      </c>
      <c r="T584">
        <v>542</v>
      </c>
      <c r="U584" t="s">
        <v>1313</v>
      </c>
      <c r="V584" t="s">
        <v>20</v>
      </c>
      <c r="W584" t="s">
        <v>1352</v>
      </c>
      <c r="X584" t="s">
        <v>20</v>
      </c>
      <c r="Y584">
        <v>146.14599999999999</v>
      </c>
      <c r="Z584" t="s">
        <v>20</v>
      </c>
      <c r="AA584" t="s">
        <v>20</v>
      </c>
      <c r="AB584">
        <v>583</v>
      </c>
      <c r="AC584" t="s">
        <v>1314</v>
      </c>
      <c r="AD584" t="s">
        <v>20</v>
      </c>
      <c r="AE584" t="s">
        <v>1353</v>
      </c>
      <c r="AF584" t="s">
        <v>20</v>
      </c>
      <c r="AG584">
        <v>174.203</v>
      </c>
      <c r="AH584" t="s">
        <v>20</v>
      </c>
      <c r="AI584" t="s">
        <v>20</v>
      </c>
      <c r="AJ584">
        <v>706</v>
      </c>
      <c r="AK584" t="s">
        <v>1315</v>
      </c>
      <c r="AL584" t="s">
        <v>20</v>
      </c>
      <c r="AM584" t="s">
        <v>1354</v>
      </c>
      <c r="AN584" t="s">
        <v>20</v>
      </c>
      <c r="AO584">
        <v>119.119</v>
      </c>
      <c r="AP584" t="s">
        <v>20</v>
      </c>
      <c r="AQ584" t="s">
        <v>20</v>
      </c>
    </row>
    <row r="585" spans="1:43" x14ac:dyDescent="0.25">
      <c r="A585">
        <v>6</v>
      </c>
      <c r="B585" t="s">
        <v>384</v>
      </c>
      <c r="C585" t="str">
        <f>HYPERLINK("http://www.ncbi.nlm.nih.gov/protein/KAF3705889.1","KAF3705889.1")</f>
        <v>KAF3705889.1</v>
      </c>
      <c r="D585">
        <v>22736</v>
      </c>
      <c r="E585" t="str">
        <f>HYPERLINK("http://www.ncbi.nlm.nih.gov/Taxonomy/Browser/wwwtax.cgi?mode=Info&amp;id=215402&amp;lvl=3&amp;lin=f&amp;keep=1&amp;srchmode=1&amp;unlock","215402")</f>
        <v>215402</v>
      </c>
      <c r="F585" t="s">
        <v>384</v>
      </c>
      <c r="G585" t="str">
        <f>HYPERLINK("http://www.ncbi.nlm.nih.gov/Taxonomy/Browser/wwwtax.cgi?mode=Info&amp;id=215402&amp;lvl=3&amp;lin=f&amp;keep=1&amp;srchmode=1&amp;unlock","Channa argus")</f>
        <v>Channa argus</v>
      </c>
      <c r="H585" t="s">
        <v>683</v>
      </c>
      <c r="I585" t="str">
        <f>HYPERLINK("http://www.ncbi.nlm.nih.gov/protein/KAF3705889.1","Androgen receptor Dihydrotestosterone receptor Nuclear receptor subfamily 3 group C member 4")</f>
        <v>Androgen receptor Dihydrotestosterone receptor Nuclear receptor subfamily 3 group C member 4</v>
      </c>
      <c r="J585" t="s">
        <v>1327</v>
      </c>
      <c r="K585" t="s">
        <v>20</v>
      </c>
      <c r="L585">
        <v>517</v>
      </c>
      <c r="M585" t="s">
        <v>25</v>
      </c>
      <c r="N585" t="s">
        <v>20</v>
      </c>
      <c r="O585" t="s">
        <v>1352</v>
      </c>
      <c r="P585" t="s">
        <v>20</v>
      </c>
      <c r="Q585">
        <v>132.119</v>
      </c>
      <c r="R585" t="s">
        <v>20</v>
      </c>
      <c r="S585" t="s">
        <v>20</v>
      </c>
      <c r="T585">
        <v>523</v>
      </c>
      <c r="U585" t="s">
        <v>1313</v>
      </c>
      <c r="V585" t="s">
        <v>20</v>
      </c>
      <c r="W585" t="s">
        <v>1352</v>
      </c>
      <c r="X585" t="s">
        <v>20</v>
      </c>
      <c r="Y585">
        <v>146.14599999999999</v>
      </c>
      <c r="Z585" t="s">
        <v>20</v>
      </c>
      <c r="AA585" t="s">
        <v>20</v>
      </c>
      <c r="AB585">
        <v>564</v>
      </c>
      <c r="AC585" t="s">
        <v>1314</v>
      </c>
      <c r="AD585" t="s">
        <v>20</v>
      </c>
      <c r="AE585" t="s">
        <v>1353</v>
      </c>
      <c r="AF585" t="s">
        <v>20</v>
      </c>
      <c r="AG585">
        <v>174.203</v>
      </c>
      <c r="AH585" t="s">
        <v>20</v>
      </c>
      <c r="AI585" t="s">
        <v>20</v>
      </c>
      <c r="AJ585">
        <v>687</v>
      </c>
      <c r="AK585" t="s">
        <v>1315</v>
      </c>
      <c r="AL585" t="s">
        <v>20</v>
      </c>
      <c r="AM585" t="s">
        <v>1354</v>
      </c>
      <c r="AN585" t="s">
        <v>20</v>
      </c>
      <c r="AO585">
        <v>119.119</v>
      </c>
      <c r="AP585" t="s">
        <v>20</v>
      </c>
      <c r="AQ585" t="s">
        <v>20</v>
      </c>
    </row>
    <row r="586" spans="1:43" x14ac:dyDescent="0.25">
      <c r="A586">
        <v>6</v>
      </c>
      <c r="B586" t="s">
        <v>384</v>
      </c>
      <c r="C586" t="str">
        <f>HYPERLINK("http://www.ncbi.nlm.nih.gov/protein/XP_029375954.1","XP_029375954.1")</f>
        <v>XP_029375954.1</v>
      </c>
      <c r="D586">
        <v>38279</v>
      </c>
      <c r="E586" t="str">
        <f>HYPERLINK("http://www.ncbi.nlm.nih.gov/Taxonomy/Browser/wwwtax.cgi?mode=Info&amp;id=173247&amp;lvl=3&amp;lin=f&amp;keep=1&amp;srchmode=1&amp;unlock","173247")</f>
        <v>173247</v>
      </c>
      <c r="F586" t="s">
        <v>384</v>
      </c>
      <c r="G586" t="str">
        <f>HYPERLINK("http://www.ncbi.nlm.nih.gov/Taxonomy/Browser/wwwtax.cgi?mode=Info&amp;id=173247&amp;lvl=3&amp;lin=f&amp;keep=1&amp;srchmode=1&amp;unlock","Echeneis naucrates")</f>
        <v>Echeneis naucrates</v>
      </c>
      <c r="H586" t="s">
        <v>588</v>
      </c>
      <c r="I586" t="str">
        <f>HYPERLINK("http://www.ncbi.nlm.nih.gov/protein/XP_029375954.1","androgen receptor")</f>
        <v>androgen receptor</v>
      </c>
      <c r="J586" t="s">
        <v>1327</v>
      </c>
      <c r="K586" t="s">
        <v>20</v>
      </c>
      <c r="L586">
        <v>490</v>
      </c>
      <c r="M586" t="s">
        <v>25</v>
      </c>
      <c r="N586" t="s">
        <v>20</v>
      </c>
      <c r="O586" t="s">
        <v>1352</v>
      </c>
      <c r="P586" t="s">
        <v>20</v>
      </c>
      <c r="Q586">
        <v>132.119</v>
      </c>
      <c r="R586" t="s">
        <v>20</v>
      </c>
      <c r="S586" t="s">
        <v>20</v>
      </c>
      <c r="T586">
        <v>496</v>
      </c>
      <c r="U586" t="s">
        <v>1313</v>
      </c>
      <c r="V586" t="s">
        <v>20</v>
      </c>
      <c r="W586" t="s">
        <v>1352</v>
      </c>
      <c r="X586" t="s">
        <v>20</v>
      </c>
      <c r="Y586">
        <v>146.14599999999999</v>
      </c>
      <c r="Z586" t="s">
        <v>20</v>
      </c>
      <c r="AA586" t="s">
        <v>20</v>
      </c>
      <c r="AB586">
        <v>537</v>
      </c>
      <c r="AC586" t="s">
        <v>1314</v>
      </c>
      <c r="AD586" t="s">
        <v>20</v>
      </c>
      <c r="AE586" t="s">
        <v>1353</v>
      </c>
      <c r="AF586" t="s">
        <v>20</v>
      </c>
      <c r="AG586">
        <v>174.203</v>
      </c>
      <c r="AH586" t="s">
        <v>20</v>
      </c>
      <c r="AI586" t="s">
        <v>20</v>
      </c>
      <c r="AJ586">
        <v>660</v>
      </c>
      <c r="AK586" t="s">
        <v>1315</v>
      </c>
      <c r="AL586" t="s">
        <v>20</v>
      </c>
      <c r="AM586" t="s">
        <v>1354</v>
      </c>
      <c r="AN586" t="s">
        <v>20</v>
      </c>
      <c r="AO586">
        <v>119.119</v>
      </c>
      <c r="AP586" t="s">
        <v>20</v>
      </c>
      <c r="AQ586" t="s">
        <v>20</v>
      </c>
    </row>
    <row r="587" spans="1:43" x14ac:dyDescent="0.25">
      <c r="A587">
        <v>6</v>
      </c>
      <c r="B587" t="s">
        <v>384</v>
      </c>
      <c r="C587" t="str">
        <f>HYPERLINK("http://www.ncbi.nlm.nih.gov/protein/XP_036436049.1","XP_036436049.1")</f>
        <v>XP_036436049.1</v>
      </c>
      <c r="D587">
        <v>43803</v>
      </c>
      <c r="E587" t="str">
        <f>HYPERLINK("http://www.ncbi.nlm.nih.gov/Taxonomy/Browser/wwwtax.cgi?mode=Info&amp;id=42526&amp;lvl=3&amp;lin=f&amp;keep=1&amp;srchmode=1&amp;unlock","42526")</f>
        <v>42526</v>
      </c>
      <c r="F587" t="s">
        <v>384</v>
      </c>
      <c r="G587" t="str">
        <f>HYPERLINK("http://www.ncbi.nlm.nih.gov/Taxonomy/Browser/wwwtax.cgi?mode=Info&amp;id=42526&amp;lvl=3&amp;lin=f&amp;keep=1&amp;srchmode=1&amp;unlock","Colossoma macropomum")</f>
        <v>Colossoma macropomum</v>
      </c>
      <c r="H587" t="s">
        <v>507</v>
      </c>
      <c r="I587" t="str">
        <f>HYPERLINK("http://www.ncbi.nlm.nih.gov/protein/XP_036436049.1","androgen receptor-like")</f>
        <v>androgen receptor-like</v>
      </c>
      <c r="J587" t="s">
        <v>1327</v>
      </c>
      <c r="K587" t="s">
        <v>20</v>
      </c>
      <c r="L587">
        <v>159</v>
      </c>
      <c r="M587" t="s">
        <v>25</v>
      </c>
      <c r="N587" t="s">
        <v>20</v>
      </c>
      <c r="O587" t="s">
        <v>1352</v>
      </c>
      <c r="P587" t="s">
        <v>20</v>
      </c>
      <c r="Q587">
        <v>132.119</v>
      </c>
      <c r="R587" t="s">
        <v>20</v>
      </c>
      <c r="S587" t="s">
        <v>20</v>
      </c>
      <c r="T587">
        <v>165</v>
      </c>
      <c r="U587" t="s">
        <v>1313</v>
      </c>
      <c r="V587" t="s">
        <v>20</v>
      </c>
      <c r="W587" t="s">
        <v>1352</v>
      </c>
      <c r="X587" t="s">
        <v>20</v>
      </c>
      <c r="Y587">
        <v>146.14599999999999</v>
      </c>
      <c r="Z587" t="s">
        <v>20</v>
      </c>
      <c r="AA587" t="s">
        <v>20</v>
      </c>
      <c r="AB587">
        <v>206</v>
      </c>
      <c r="AC587" t="s">
        <v>1314</v>
      </c>
      <c r="AD587" t="s">
        <v>20</v>
      </c>
      <c r="AE587" t="s">
        <v>1353</v>
      </c>
      <c r="AF587" t="s">
        <v>20</v>
      </c>
      <c r="AG587">
        <v>174.203</v>
      </c>
      <c r="AH587" t="s">
        <v>20</v>
      </c>
      <c r="AI587" t="s">
        <v>20</v>
      </c>
      <c r="AJ587">
        <v>329</v>
      </c>
      <c r="AK587" t="s">
        <v>1315</v>
      </c>
      <c r="AL587" t="s">
        <v>20</v>
      </c>
      <c r="AM587" t="s">
        <v>1354</v>
      </c>
      <c r="AN587" t="s">
        <v>20</v>
      </c>
      <c r="AO587">
        <v>119.119</v>
      </c>
      <c r="AP587" t="s">
        <v>20</v>
      </c>
      <c r="AQ587" t="s">
        <v>20</v>
      </c>
    </row>
    <row r="588" spans="1:43" x14ac:dyDescent="0.25">
      <c r="A588">
        <v>6</v>
      </c>
      <c r="B588" t="s">
        <v>384</v>
      </c>
      <c r="C588" t="str">
        <f>HYPERLINK("http://www.ncbi.nlm.nih.gov/protein/BBG06101.1","BBG06101.1")</f>
        <v>BBG06101.1</v>
      </c>
      <c r="D588">
        <v>183</v>
      </c>
      <c r="E588" t="str">
        <f>HYPERLINK("http://www.ncbi.nlm.nih.gov/Taxonomy/Browser/wwwtax.cgi?mode=Info&amp;id=109274&amp;lvl=3&amp;lin=f&amp;keep=1&amp;srchmode=1&amp;unlock","109274")</f>
        <v>109274</v>
      </c>
      <c r="F588" t="s">
        <v>384</v>
      </c>
      <c r="G588" t="str">
        <f>HYPERLINK("http://www.ncbi.nlm.nih.gov/Taxonomy/Browser/wwwtax.cgi?mode=Info&amp;id=109274&amp;lvl=3&amp;lin=f&amp;keep=1&amp;srchmode=1&amp;unlock","Hippocampus abdominalis")</f>
        <v>Hippocampus abdominalis</v>
      </c>
      <c r="H588" t="s">
        <v>1021</v>
      </c>
      <c r="I588" t="str">
        <f>HYPERLINK("http://www.ncbi.nlm.nih.gov/protein/BBG06101.1","androgen receptor beta")</f>
        <v>androgen receptor beta</v>
      </c>
      <c r="J588" t="s">
        <v>1327</v>
      </c>
      <c r="K588" t="s">
        <v>20</v>
      </c>
      <c r="L588">
        <v>491</v>
      </c>
      <c r="M588" t="s">
        <v>25</v>
      </c>
      <c r="N588" t="s">
        <v>20</v>
      </c>
      <c r="O588" t="s">
        <v>1352</v>
      </c>
      <c r="P588" t="s">
        <v>20</v>
      </c>
      <c r="Q588">
        <v>132.119</v>
      </c>
      <c r="R588" t="s">
        <v>20</v>
      </c>
      <c r="S588" t="s">
        <v>20</v>
      </c>
      <c r="T588">
        <v>497</v>
      </c>
      <c r="U588" t="s">
        <v>1313</v>
      </c>
      <c r="V588" t="s">
        <v>20</v>
      </c>
      <c r="W588" t="s">
        <v>1352</v>
      </c>
      <c r="X588" t="s">
        <v>20</v>
      </c>
      <c r="Y588">
        <v>146.14599999999999</v>
      </c>
      <c r="Z588" t="s">
        <v>20</v>
      </c>
      <c r="AA588" t="s">
        <v>20</v>
      </c>
      <c r="AB588">
        <v>538</v>
      </c>
      <c r="AC588" t="s">
        <v>1314</v>
      </c>
      <c r="AD588" t="s">
        <v>20</v>
      </c>
      <c r="AE588" t="s">
        <v>1353</v>
      </c>
      <c r="AF588" t="s">
        <v>20</v>
      </c>
      <c r="AG588">
        <v>174.203</v>
      </c>
      <c r="AH588" t="s">
        <v>20</v>
      </c>
      <c r="AI588" t="s">
        <v>20</v>
      </c>
      <c r="AJ588">
        <v>660</v>
      </c>
      <c r="AK588" t="s">
        <v>1315</v>
      </c>
      <c r="AL588" t="s">
        <v>20</v>
      </c>
      <c r="AM588" t="s">
        <v>1354</v>
      </c>
      <c r="AN588" t="s">
        <v>20</v>
      </c>
      <c r="AO588">
        <v>119.119</v>
      </c>
      <c r="AP588" t="s">
        <v>20</v>
      </c>
      <c r="AQ588" t="s">
        <v>20</v>
      </c>
    </row>
    <row r="589" spans="1:43" x14ac:dyDescent="0.25">
      <c r="A589">
        <v>6</v>
      </c>
      <c r="B589" t="s">
        <v>384</v>
      </c>
      <c r="C589" t="str">
        <f>HYPERLINK("http://www.ncbi.nlm.nih.gov/protein/XP_019719865.1","XP_019719865.1")</f>
        <v>XP_019719865.1</v>
      </c>
      <c r="D589">
        <v>42023</v>
      </c>
      <c r="E589" t="str">
        <f>HYPERLINK("http://www.ncbi.nlm.nih.gov/Taxonomy/Browser/wwwtax.cgi?mode=Info&amp;id=109280&amp;lvl=3&amp;lin=f&amp;keep=1&amp;srchmode=1&amp;unlock","109280")</f>
        <v>109280</v>
      </c>
      <c r="F589" t="s">
        <v>384</v>
      </c>
      <c r="G589" t="str">
        <f>HYPERLINK("http://www.ncbi.nlm.nih.gov/Taxonomy/Browser/wwwtax.cgi?mode=Info&amp;id=109280&amp;lvl=3&amp;lin=f&amp;keep=1&amp;srchmode=1&amp;unlock","Hippocampus comes")</f>
        <v>Hippocampus comes</v>
      </c>
      <c r="H589" t="s">
        <v>499</v>
      </c>
      <c r="I589" t="str">
        <f>HYPERLINK("http://www.ncbi.nlm.nih.gov/protein/XP_019719865.1","PREDICTED: androgen receptor-like")</f>
        <v>PREDICTED: androgen receptor-like</v>
      </c>
      <c r="J589" t="s">
        <v>1327</v>
      </c>
      <c r="K589" t="s">
        <v>20</v>
      </c>
      <c r="L589">
        <v>491</v>
      </c>
      <c r="M589" t="s">
        <v>25</v>
      </c>
      <c r="N589" t="s">
        <v>20</v>
      </c>
      <c r="O589" t="s">
        <v>1352</v>
      </c>
      <c r="P589" t="s">
        <v>20</v>
      </c>
      <c r="Q589">
        <v>132.119</v>
      </c>
      <c r="R589" t="s">
        <v>20</v>
      </c>
      <c r="S589" t="s">
        <v>20</v>
      </c>
      <c r="T589">
        <v>497</v>
      </c>
      <c r="U589" t="s">
        <v>1313</v>
      </c>
      <c r="V589" t="s">
        <v>20</v>
      </c>
      <c r="W589" t="s">
        <v>1352</v>
      </c>
      <c r="X589" t="s">
        <v>20</v>
      </c>
      <c r="Y589">
        <v>146.14599999999999</v>
      </c>
      <c r="Z589" t="s">
        <v>20</v>
      </c>
      <c r="AA589" t="s">
        <v>20</v>
      </c>
      <c r="AB589">
        <v>538</v>
      </c>
      <c r="AC589" t="s">
        <v>1314</v>
      </c>
      <c r="AD589" t="s">
        <v>20</v>
      </c>
      <c r="AE589" t="s">
        <v>1353</v>
      </c>
      <c r="AF589" t="s">
        <v>20</v>
      </c>
      <c r="AG589">
        <v>174.203</v>
      </c>
      <c r="AH589" t="s">
        <v>20</v>
      </c>
      <c r="AI589" t="s">
        <v>20</v>
      </c>
      <c r="AJ589">
        <v>660</v>
      </c>
      <c r="AK589" t="s">
        <v>1315</v>
      </c>
      <c r="AL589" t="s">
        <v>20</v>
      </c>
      <c r="AM589" t="s">
        <v>1354</v>
      </c>
      <c r="AN589" t="s">
        <v>20</v>
      </c>
      <c r="AO589">
        <v>119.119</v>
      </c>
      <c r="AP589" t="s">
        <v>20</v>
      </c>
      <c r="AQ589" t="s">
        <v>20</v>
      </c>
    </row>
    <row r="590" spans="1:43" x14ac:dyDescent="0.25">
      <c r="A590">
        <v>6</v>
      </c>
      <c r="B590" t="s">
        <v>384</v>
      </c>
      <c r="C590" t="str">
        <f>HYPERLINK("http://www.ncbi.nlm.nih.gov/protein/XP_037124887.1","XP_037124887.1")</f>
        <v>XP_037124887.1</v>
      </c>
      <c r="D590">
        <v>41996</v>
      </c>
      <c r="E590" t="str">
        <f>HYPERLINK("http://www.ncbi.nlm.nih.gov/Taxonomy/Browser/wwwtax.cgi?mode=Info&amp;id=161584&amp;lvl=3&amp;lin=f&amp;keep=1&amp;srchmode=1&amp;unlock","161584")</f>
        <v>161584</v>
      </c>
      <c r="F590" t="s">
        <v>384</v>
      </c>
      <c r="G590" t="str">
        <f>HYPERLINK("http://www.ncbi.nlm.nih.gov/Taxonomy/Browser/wwwtax.cgi?mode=Info&amp;id=161584&amp;lvl=3&amp;lin=f&amp;keep=1&amp;srchmode=1&amp;unlock","Syngnathus acus")</f>
        <v>Syngnathus acus</v>
      </c>
      <c r="H590" t="s">
        <v>530</v>
      </c>
      <c r="I590" t="str">
        <f>HYPERLINK("http://www.ncbi.nlm.nih.gov/protein/XP_037124887.1","androgen receptor-like")</f>
        <v>androgen receptor-like</v>
      </c>
      <c r="J590" t="s">
        <v>1327</v>
      </c>
      <c r="K590" t="s">
        <v>20</v>
      </c>
      <c r="L590">
        <v>503</v>
      </c>
      <c r="M590" t="s">
        <v>25</v>
      </c>
      <c r="N590" t="s">
        <v>20</v>
      </c>
      <c r="O590" t="s">
        <v>1352</v>
      </c>
      <c r="P590" t="s">
        <v>20</v>
      </c>
      <c r="Q590">
        <v>132.119</v>
      </c>
      <c r="R590" t="s">
        <v>20</v>
      </c>
      <c r="S590" t="s">
        <v>20</v>
      </c>
      <c r="T590">
        <v>509</v>
      </c>
      <c r="U590" t="s">
        <v>1313</v>
      </c>
      <c r="V590" t="s">
        <v>20</v>
      </c>
      <c r="W590" t="s">
        <v>1352</v>
      </c>
      <c r="X590" t="s">
        <v>20</v>
      </c>
      <c r="Y590">
        <v>146.14599999999999</v>
      </c>
      <c r="Z590" t="s">
        <v>20</v>
      </c>
      <c r="AA590" t="s">
        <v>20</v>
      </c>
      <c r="AB590">
        <v>550</v>
      </c>
      <c r="AC590" t="s">
        <v>1314</v>
      </c>
      <c r="AD590" t="s">
        <v>20</v>
      </c>
      <c r="AE590" t="s">
        <v>1353</v>
      </c>
      <c r="AF590" t="s">
        <v>20</v>
      </c>
      <c r="AG590">
        <v>174.203</v>
      </c>
      <c r="AH590" t="s">
        <v>20</v>
      </c>
      <c r="AI590" t="s">
        <v>20</v>
      </c>
      <c r="AJ590">
        <v>672</v>
      </c>
      <c r="AK590" t="s">
        <v>1315</v>
      </c>
      <c r="AL590" t="s">
        <v>20</v>
      </c>
      <c r="AM590" t="s">
        <v>1354</v>
      </c>
      <c r="AN590" t="s">
        <v>20</v>
      </c>
      <c r="AO590">
        <v>119.119</v>
      </c>
      <c r="AP590" t="s">
        <v>20</v>
      </c>
      <c r="AQ590" t="s">
        <v>20</v>
      </c>
    </row>
    <row r="591" spans="1:43" x14ac:dyDescent="0.25">
      <c r="A591">
        <v>6</v>
      </c>
      <c r="B591" t="s">
        <v>384</v>
      </c>
      <c r="C591" t="str">
        <f>HYPERLINK("http://www.ncbi.nlm.nih.gov/protein/MBN3284675.1","MBN3284675.1")</f>
        <v>MBN3284675.1</v>
      </c>
      <c r="D591">
        <v>18732</v>
      </c>
      <c r="E591" t="str">
        <f>HYPERLINK("http://www.ncbi.nlm.nih.gov/Taxonomy/Browser/wwwtax.cgi?mode=Info&amp;id=7913&amp;lvl=3&amp;lin=f&amp;keep=1&amp;srchmode=1&amp;unlock","7913")</f>
        <v>7913</v>
      </c>
      <c r="F591" t="s">
        <v>384</v>
      </c>
      <c r="G591" t="str">
        <f>HYPERLINK("http://www.ncbi.nlm.nih.gov/Taxonomy/Browser/wwwtax.cgi?mode=Info&amp;id=7913&amp;lvl=3&amp;lin=f&amp;keep=1&amp;srchmode=1&amp;unlock","Polyodon spathula")</f>
        <v>Polyodon spathula</v>
      </c>
      <c r="H591" t="s">
        <v>694</v>
      </c>
      <c r="I591" t="str">
        <f>HYPERLINK("http://www.ncbi.nlm.nih.gov/protein/MBN3284675.1","ANDR protein")</f>
        <v>ANDR protein</v>
      </c>
      <c r="J591" t="s">
        <v>1327</v>
      </c>
      <c r="K591" t="s">
        <v>20</v>
      </c>
      <c r="L591">
        <v>624</v>
      </c>
      <c r="M591" t="s">
        <v>25</v>
      </c>
      <c r="N591" t="s">
        <v>20</v>
      </c>
      <c r="O591" t="s">
        <v>1352</v>
      </c>
      <c r="P591" t="s">
        <v>20</v>
      </c>
      <c r="Q591">
        <v>132.119</v>
      </c>
      <c r="R591" t="s">
        <v>20</v>
      </c>
      <c r="S591" t="s">
        <v>20</v>
      </c>
      <c r="T591">
        <v>630</v>
      </c>
      <c r="U591" t="s">
        <v>1313</v>
      </c>
      <c r="V591" t="s">
        <v>20</v>
      </c>
      <c r="W591" t="s">
        <v>1352</v>
      </c>
      <c r="X591" t="s">
        <v>20</v>
      </c>
      <c r="Y591">
        <v>146.14599999999999</v>
      </c>
      <c r="Z591" t="s">
        <v>20</v>
      </c>
      <c r="AA591" t="s">
        <v>20</v>
      </c>
      <c r="AB591">
        <v>671</v>
      </c>
      <c r="AC591" t="s">
        <v>1314</v>
      </c>
      <c r="AD591" t="s">
        <v>20</v>
      </c>
      <c r="AE591" t="s">
        <v>1353</v>
      </c>
      <c r="AF591" t="s">
        <v>20</v>
      </c>
      <c r="AG591">
        <v>174.203</v>
      </c>
      <c r="AH591" t="s">
        <v>20</v>
      </c>
      <c r="AI591" t="s">
        <v>20</v>
      </c>
      <c r="AJ591">
        <v>792</v>
      </c>
      <c r="AK591" t="s">
        <v>1315</v>
      </c>
      <c r="AL591" t="s">
        <v>20</v>
      </c>
      <c r="AM591" t="s">
        <v>1354</v>
      </c>
      <c r="AN591" t="s">
        <v>20</v>
      </c>
      <c r="AO591">
        <v>119.119</v>
      </c>
      <c r="AP591" t="s">
        <v>20</v>
      </c>
      <c r="AQ591" t="s">
        <v>20</v>
      </c>
    </row>
    <row r="592" spans="1:43" x14ac:dyDescent="0.25">
      <c r="A592">
        <v>6</v>
      </c>
      <c r="B592" t="s">
        <v>384</v>
      </c>
      <c r="C592" t="str">
        <f>HYPERLINK("http://www.ncbi.nlm.nih.gov/protein/XP_037531326.1","XP_037531326.1")</f>
        <v>XP_037531326.1</v>
      </c>
      <c r="D592">
        <v>24152</v>
      </c>
      <c r="E592" t="str">
        <f>HYPERLINK("http://www.ncbi.nlm.nih.gov/Taxonomy/Browser/wwwtax.cgi?mode=Info&amp;id=451745&amp;lvl=3&amp;lin=f&amp;keep=1&amp;srchmode=1&amp;unlock","451745")</f>
        <v>451745</v>
      </c>
      <c r="F592" t="s">
        <v>384</v>
      </c>
      <c r="G592" t="str">
        <f>HYPERLINK("http://www.ncbi.nlm.nih.gov/Taxonomy/Browser/wwwtax.cgi?mode=Info&amp;id=451745&amp;lvl=3&amp;lin=f&amp;keep=1&amp;srchmode=1&amp;unlock","Nematolebias whitei")</f>
        <v>Nematolebias whitei</v>
      </c>
      <c r="H592" t="s">
        <v>565</v>
      </c>
      <c r="I592" t="str">
        <f>HYPERLINK("http://www.ncbi.nlm.nih.gov/protein/XP_037531326.1","androgen receptor-like")</f>
        <v>androgen receptor-like</v>
      </c>
      <c r="J592" t="s">
        <v>1327</v>
      </c>
      <c r="K592" t="s">
        <v>20</v>
      </c>
      <c r="L592">
        <v>468</v>
      </c>
      <c r="M592" t="s">
        <v>25</v>
      </c>
      <c r="N592" t="s">
        <v>20</v>
      </c>
      <c r="O592" t="s">
        <v>1352</v>
      </c>
      <c r="P592" t="s">
        <v>20</v>
      </c>
      <c r="Q592">
        <v>132.119</v>
      </c>
      <c r="R592" t="s">
        <v>20</v>
      </c>
      <c r="S592" t="s">
        <v>20</v>
      </c>
      <c r="T592">
        <v>474</v>
      </c>
      <c r="U592" t="s">
        <v>1313</v>
      </c>
      <c r="V592" t="s">
        <v>20</v>
      </c>
      <c r="W592" t="s">
        <v>1352</v>
      </c>
      <c r="X592" t="s">
        <v>20</v>
      </c>
      <c r="Y592">
        <v>146.14599999999999</v>
      </c>
      <c r="Z592" t="s">
        <v>20</v>
      </c>
      <c r="AA592" t="s">
        <v>20</v>
      </c>
      <c r="AB592">
        <v>515</v>
      </c>
      <c r="AC592" t="s">
        <v>1314</v>
      </c>
      <c r="AD592" t="s">
        <v>20</v>
      </c>
      <c r="AE592" t="s">
        <v>1353</v>
      </c>
      <c r="AF592" t="s">
        <v>20</v>
      </c>
      <c r="AG592">
        <v>174.203</v>
      </c>
      <c r="AH592" t="s">
        <v>20</v>
      </c>
      <c r="AI592" t="s">
        <v>20</v>
      </c>
      <c r="AJ592">
        <v>638</v>
      </c>
      <c r="AK592" t="s">
        <v>1315</v>
      </c>
      <c r="AL592" t="s">
        <v>20</v>
      </c>
      <c r="AM592" t="s">
        <v>1354</v>
      </c>
      <c r="AN592" t="s">
        <v>20</v>
      </c>
      <c r="AO592">
        <v>119.119</v>
      </c>
      <c r="AP592" t="s">
        <v>20</v>
      </c>
      <c r="AQ592" t="s">
        <v>20</v>
      </c>
    </row>
    <row r="593" spans="1:43" x14ac:dyDescent="0.25">
      <c r="A593">
        <v>6</v>
      </c>
      <c r="B593" t="s">
        <v>384</v>
      </c>
      <c r="C593" t="str">
        <f>HYPERLINK("http://www.ncbi.nlm.nih.gov/protein/TNN47793.1","TNN47793.1")</f>
        <v>TNN47793.1</v>
      </c>
      <c r="D593">
        <v>68294</v>
      </c>
      <c r="E593" t="str">
        <f>HYPERLINK("http://www.ncbi.nlm.nih.gov/Taxonomy/Browser/wwwtax.cgi?mode=Info&amp;id=230148&amp;lvl=3&amp;lin=f&amp;keep=1&amp;srchmode=1&amp;unlock","230148")</f>
        <v>230148</v>
      </c>
      <c r="F593" t="s">
        <v>384</v>
      </c>
      <c r="G593" t="str">
        <f>HYPERLINK("http://www.ncbi.nlm.nih.gov/Taxonomy/Browser/wwwtax.cgi?mode=Info&amp;id=230148&amp;lvl=3&amp;lin=f&amp;keep=1&amp;srchmode=1&amp;unlock","Liparis tanakae")</f>
        <v>Liparis tanakae</v>
      </c>
      <c r="H593" t="s">
        <v>542</v>
      </c>
      <c r="I593" t="str">
        <f>HYPERLINK("http://www.ncbi.nlm.nih.gov/protein/TNN47793.1","Androgen receptor")</f>
        <v>Androgen receptor</v>
      </c>
      <c r="J593" t="s">
        <v>1327</v>
      </c>
      <c r="K593" t="s">
        <v>25</v>
      </c>
      <c r="L593">
        <v>483</v>
      </c>
      <c r="M593" t="s">
        <v>25</v>
      </c>
      <c r="N593" t="s">
        <v>20</v>
      </c>
      <c r="O593" t="s">
        <v>1352</v>
      </c>
      <c r="P593" t="s">
        <v>20</v>
      </c>
      <c r="Q593">
        <v>132.119</v>
      </c>
      <c r="R593" t="s">
        <v>20</v>
      </c>
      <c r="S593" t="s">
        <v>20</v>
      </c>
      <c r="T593">
        <v>489</v>
      </c>
      <c r="U593" t="s">
        <v>1313</v>
      </c>
      <c r="V593" t="s">
        <v>20</v>
      </c>
      <c r="W593" t="s">
        <v>1352</v>
      </c>
      <c r="X593" t="s">
        <v>20</v>
      </c>
      <c r="Y593">
        <v>146.14599999999999</v>
      </c>
      <c r="Z593" t="s">
        <v>20</v>
      </c>
      <c r="AA593" t="s">
        <v>20</v>
      </c>
      <c r="AB593">
        <v>530</v>
      </c>
      <c r="AC593" t="s">
        <v>1314</v>
      </c>
      <c r="AD593" t="s">
        <v>20</v>
      </c>
      <c r="AE593" t="s">
        <v>1353</v>
      </c>
      <c r="AF593" t="s">
        <v>20</v>
      </c>
      <c r="AG593">
        <v>174.203</v>
      </c>
      <c r="AH593" t="s">
        <v>20</v>
      </c>
      <c r="AI593" t="s">
        <v>20</v>
      </c>
      <c r="AJ593" t="s">
        <v>1317</v>
      </c>
      <c r="AK593" t="s">
        <v>1317</v>
      </c>
      <c r="AL593" t="s">
        <v>25</v>
      </c>
      <c r="AM593" t="s">
        <v>1317</v>
      </c>
      <c r="AN593" t="s">
        <v>25</v>
      </c>
      <c r="AO593" t="s">
        <v>1317</v>
      </c>
      <c r="AP593" t="s">
        <v>25</v>
      </c>
      <c r="AQ593" t="s">
        <v>25</v>
      </c>
    </row>
    <row r="594" spans="1:43" x14ac:dyDescent="0.25">
      <c r="A594">
        <v>6</v>
      </c>
      <c r="B594" t="s">
        <v>522</v>
      </c>
      <c r="C594" t="str">
        <f>HYPERLINK("http://www.ncbi.nlm.nih.gov/protein/XP_039622287.1","XP_039622287.1")</f>
        <v>XP_039622287.1</v>
      </c>
      <c r="D594">
        <v>64388</v>
      </c>
      <c r="E594" t="str">
        <f>HYPERLINK("http://www.ncbi.nlm.nih.gov/Taxonomy/Browser/wwwtax.cgi?mode=Info&amp;id=55291&amp;lvl=3&amp;lin=f&amp;keep=1&amp;srchmode=1&amp;unlock","55291")</f>
        <v>55291</v>
      </c>
      <c r="F594" t="s">
        <v>522</v>
      </c>
      <c r="G594" t="str">
        <f>HYPERLINK("http://www.ncbi.nlm.nih.gov/Taxonomy/Browser/wwwtax.cgi?mode=Info&amp;id=55291&amp;lvl=3&amp;lin=f&amp;keep=1&amp;srchmode=1&amp;unlock","Polypterus senegalus")</f>
        <v>Polypterus senegalus</v>
      </c>
      <c r="H594" t="s">
        <v>554</v>
      </c>
      <c r="I594" t="str">
        <f>HYPERLINK("http://www.ncbi.nlm.nih.gov/protein/XP_039622287.1","androgen receptor")</f>
        <v>androgen receptor</v>
      </c>
      <c r="J594" t="s">
        <v>1328</v>
      </c>
      <c r="K594" t="s">
        <v>20</v>
      </c>
      <c r="L594">
        <v>578</v>
      </c>
      <c r="M594" t="s">
        <v>25</v>
      </c>
      <c r="N594" t="s">
        <v>20</v>
      </c>
      <c r="O594" t="s">
        <v>1352</v>
      </c>
      <c r="P594" t="s">
        <v>20</v>
      </c>
      <c r="Q594">
        <v>132.119</v>
      </c>
      <c r="R594" t="s">
        <v>20</v>
      </c>
      <c r="S594" t="s">
        <v>20</v>
      </c>
      <c r="T594">
        <v>584</v>
      </c>
      <c r="U594" t="s">
        <v>1313</v>
      </c>
      <c r="V594" t="s">
        <v>20</v>
      </c>
      <c r="W594" t="s">
        <v>1352</v>
      </c>
      <c r="X594" t="s">
        <v>20</v>
      </c>
      <c r="Y594">
        <v>146.14599999999999</v>
      </c>
      <c r="Z594" t="s">
        <v>20</v>
      </c>
      <c r="AA594" t="s">
        <v>20</v>
      </c>
      <c r="AB594">
        <v>625</v>
      </c>
      <c r="AC594" t="s">
        <v>1314</v>
      </c>
      <c r="AD594" t="s">
        <v>20</v>
      </c>
      <c r="AE594" t="s">
        <v>1353</v>
      </c>
      <c r="AF594" t="s">
        <v>20</v>
      </c>
      <c r="AG594">
        <v>174.203</v>
      </c>
      <c r="AH594" t="s">
        <v>20</v>
      </c>
      <c r="AI594" t="s">
        <v>20</v>
      </c>
      <c r="AJ594">
        <v>750</v>
      </c>
      <c r="AK594" t="s">
        <v>1315</v>
      </c>
      <c r="AL594" t="s">
        <v>20</v>
      </c>
      <c r="AM594" t="s">
        <v>1354</v>
      </c>
      <c r="AN594" t="s">
        <v>20</v>
      </c>
      <c r="AO594">
        <v>119.119</v>
      </c>
      <c r="AP594" t="s">
        <v>20</v>
      </c>
      <c r="AQ594" t="s">
        <v>20</v>
      </c>
    </row>
    <row r="595" spans="1:43" x14ac:dyDescent="0.25">
      <c r="A595">
        <v>6</v>
      </c>
      <c r="B595" t="s">
        <v>522</v>
      </c>
      <c r="C595" t="str">
        <f>HYPERLINK("http://www.ncbi.nlm.nih.gov/protein/XP_028671330.1","XP_028671330.1")</f>
        <v>XP_028671330.1</v>
      </c>
      <c r="D595">
        <v>35768</v>
      </c>
      <c r="E595" t="str">
        <f>HYPERLINK("http://www.ncbi.nlm.nih.gov/Taxonomy/Browser/wwwtax.cgi?mode=Info&amp;id=27687&amp;lvl=3&amp;lin=f&amp;keep=1&amp;srchmode=1&amp;unlock","27687")</f>
        <v>27687</v>
      </c>
      <c r="F595" t="s">
        <v>522</v>
      </c>
      <c r="G595" t="str">
        <f>HYPERLINK("http://www.ncbi.nlm.nih.gov/Taxonomy/Browser/wwwtax.cgi?mode=Info&amp;id=27687&amp;lvl=3&amp;lin=f&amp;keep=1&amp;srchmode=1&amp;unlock","Erpetoichthys calabaricus")</f>
        <v>Erpetoichthys calabaricus</v>
      </c>
      <c r="H595" t="s">
        <v>523</v>
      </c>
      <c r="I595" t="str">
        <f>HYPERLINK("http://www.ncbi.nlm.nih.gov/protein/XP_028671330.1","androgen receptor")</f>
        <v>androgen receptor</v>
      </c>
      <c r="J595" t="s">
        <v>1328</v>
      </c>
      <c r="K595" t="s">
        <v>20</v>
      </c>
      <c r="L595">
        <v>578</v>
      </c>
      <c r="M595" t="s">
        <v>25</v>
      </c>
      <c r="N595" t="s">
        <v>20</v>
      </c>
      <c r="O595" t="s">
        <v>1352</v>
      </c>
      <c r="P595" t="s">
        <v>20</v>
      </c>
      <c r="Q595">
        <v>132.119</v>
      </c>
      <c r="R595" t="s">
        <v>20</v>
      </c>
      <c r="S595" t="s">
        <v>20</v>
      </c>
      <c r="T595">
        <v>584</v>
      </c>
      <c r="U595" t="s">
        <v>1313</v>
      </c>
      <c r="V595" t="s">
        <v>20</v>
      </c>
      <c r="W595" t="s">
        <v>1352</v>
      </c>
      <c r="X595" t="s">
        <v>20</v>
      </c>
      <c r="Y595">
        <v>146.14599999999999</v>
      </c>
      <c r="Z595" t="s">
        <v>20</v>
      </c>
      <c r="AA595" t="s">
        <v>20</v>
      </c>
      <c r="AB595">
        <v>625</v>
      </c>
      <c r="AC595" t="s">
        <v>1314</v>
      </c>
      <c r="AD595" t="s">
        <v>20</v>
      </c>
      <c r="AE595" t="s">
        <v>1353</v>
      </c>
      <c r="AF595" t="s">
        <v>20</v>
      </c>
      <c r="AG595">
        <v>174.203</v>
      </c>
      <c r="AH595" t="s">
        <v>20</v>
      </c>
      <c r="AI595" t="s">
        <v>20</v>
      </c>
      <c r="AJ595">
        <v>750</v>
      </c>
      <c r="AK595" t="s">
        <v>1315</v>
      </c>
      <c r="AL595" t="s">
        <v>20</v>
      </c>
      <c r="AM595" t="s">
        <v>1354</v>
      </c>
      <c r="AN595" t="s">
        <v>20</v>
      </c>
      <c r="AO595">
        <v>119.119</v>
      </c>
      <c r="AP595" t="s">
        <v>20</v>
      </c>
      <c r="AQ595" t="s">
        <v>20</v>
      </c>
    </row>
    <row r="596" spans="1:43" x14ac:dyDescent="0.25">
      <c r="A596">
        <v>6</v>
      </c>
      <c r="B596" t="s">
        <v>550</v>
      </c>
      <c r="C596" t="str">
        <f>HYPERLINK("http://www.ncbi.nlm.nih.gov/protein/XP_038630283.1","XP_038630283.1")</f>
        <v>XP_038630283.1</v>
      </c>
      <c r="D596">
        <v>50056</v>
      </c>
      <c r="E596" t="str">
        <f>HYPERLINK("http://www.ncbi.nlm.nih.gov/Taxonomy/Browser/wwwtax.cgi?mode=Info&amp;id=7830&amp;lvl=3&amp;lin=f&amp;keep=1&amp;srchmode=1&amp;unlock","7830")</f>
        <v>7830</v>
      </c>
      <c r="F596" t="s">
        <v>550</v>
      </c>
      <c r="G596" t="str">
        <f>HYPERLINK("http://www.ncbi.nlm.nih.gov/Taxonomy/Browser/wwwtax.cgi?mode=Info&amp;id=7830&amp;lvl=3&amp;lin=f&amp;keep=1&amp;srchmode=1&amp;unlock","Scyliorhinus canicula")</f>
        <v>Scyliorhinus canicula</v>
      </c>
      <c r="H596" t="s">
        <v>614</v>
      </c>
      <c r="I596" t="str">
        <f>HYPERLINK("http://www.ncbi.nlm.nih.gov/protein/XP_038630283.1","androgen receptor isoform X1")</f>
        <v>androgen receptor isoform X1</v>
      </c>
      <c r="J596" t="s">
        <v>1329</v>
      </c>
      <c r="K596" t="s">
        <v>20</v>
      </c>
      <c r="L596">
        <v>639</v>
      </c>
      <c r="M596" t="s">
        <v>25</v>
      </c>
      <c r="N596" t="s">
        <v>20</v>
      </c>
      <c r="O596" t="s">
        <v>1352</v>
      </c>
      <c r="P596" t="s">
        <v>20</v>
      </c>
      <c r="Q596">
        <v>132.119</v>
      </c>
      <c r="R596" t="s">
        <v>20</v>
      </c>
      <c r="S596" t="s">
        <v>20</v>
      </c>
      <c r="T596">
        <v>645</v>
      </c>
      <c r="U596" t="s">
        <v>1313</v>
      </c>
      <c r="V596" t="s">
        <v>20</v>
      </c>
      <c r="W596" t="s">
        <v>1352</v>
      </c>
      <c r="X596" t="s">
        <v>20</v>
      </c>
      <c r="Y596">
        <v>146.14599999999999</v>
      </c>
      <c r="Z596" t="s">
        <v>20</v>
      </c>
      <c r="AA596" t="s">
        <v>20</v>
      </c>
      <c r="AB596">
        <v>686</v>
      </c>
      <c r="AC596" t="s">
        <v>1314</v>
      </c>
      <c r="AD596" t="s">
        <v>20</v>
      </c>
      <c r="AE596" t="s">
        <v>1353</v>
      </c>
      <c r="AF596" t="s">
        <v>20</v>
      </c>
      <c r="AG596">
        <v>174.203</v>
      </c>
      <c r="AH596" t="s">
        <v>20</v>
      </c>
      <c r="AI596" t="s">
        <v>20</v>
      </c>
      <c r="AJ596">
        <v>811</v>
      </c>
      <c r="AK596" t="s">
        <v>1315</v>
      </c>
      <c r="AL596" t="s">
        <v>20</v>
      </c>
      <c r="AM596" t="s">
        <v>1354</v>
      </c>
      <c r="AN596" t="s">
        <v>20</v>
      </c>
      <c r="AO596">
        <v>119.119</v>
      </c>
      <c r="AP596" t="s">
        <v>20</v>
      </c>
      <c r="AQ596" t="s">
        <v>20</v>
      </c>
    </row>
    <row r="597" spans="1:43" x14ac:dyDescent="0.25">
      <c r="A597">
        <v>6</v>
      </c>
      <c r="B597" t="s">
        <v>550</v>
      </c>
      <c r="C597" t="str">
        <f>HYPERLINK("http://www.ncbi.nlm.nih.gov/protein/ABW79801.1","ABW79801.1")</f>
        <v>ABW79801.1</v>
      </c>
      <c r="D597">
        <v>316</v>
      </c>
      <c r="E597" t="str">
        <f>HYPERLINK("http://www.ncbi.nlm.nih.gov/Taxonomy/Browser/wwwtax.cgi?mode=Info&amp;id=7782&amp;lvl=3&amp;lin=f&amp;keep=1&amp;srchmode=1&amp;unlock","7782")</f>
        <v>7782</v>
      </c>
      <c r="F597" t="s">
        <v>550</v>
      </c>
      <c r="G597" t="str">
        <f>HYPERLINK("http://www.ncbi.nlm.nih.gov/Taxonomy/Browser/wwwtax.cgi?mode=Info&amp;id=7782&amp;lvl=3&amp;lin=f&amp;keep=1&amp;srchmode=1&amp;unlock","Leucoraja erinacea")</f>
        <v>Leucoraja erinacea</v>
      </c>
      <c r="H597" t="s">
        <v>1003</v>
      </c>
      <c r="I597" t="str">
        <f>HYPERLINK("http://www.ncbi.nlm.nih.gov/protein/ABW79801.1","testicular androgen receptor, partial")</f>
        <v>testicular androgen receptor, partial</v>
      </c>
      <c r="J597" t="s">
        <v>1329</v>
      </c>
      <c r="K597" t="s">
        <v>20</v>
      </c>
      <c r="L597">
        <v>525</v>
      </c>
      <c r="M597" t="s">
        <v>25</v>
      </c>
      <c r="N597" t="s">
        <v>20</v>
      </c>
      <c r="O597" t="s">
        <v>1352</v>
      </c>
      <c r="P597" t="s">
        <v>20</v>
      </c>
      <c r="Q597">
        <v>132.119</v>
      </c>
      <c r="R597" t="s">
        <v>20</v>
      </c>
      <c r="S597" t="s">
        <v>20</v>
      </c>
      <c r="T597">
        <v>531</v>
      </c>
      <c r="U597" t="s">
        <v>1313</v>
      </c>
      <c r="V597" t="s">
        <v>20</v>
      </c>
      <c r="W597" t="s">
        <v>1352</v>
      </c>
      <c r="X597" t="s">
        <v>20</v>
      </c>
      <c r="Y597">
        <v>146.14599999999999</v>
      </c>
      <c r="Z597" t="s">
        <v>20</v>
      </c>
      <c r="AA597" t="s">
        <v>20</v>
      </c>
      <c r="AB597">
        <v>572</v>
      </c>
      <c r="AC597" t="s">
        <v>1314</v>
      </c>
      <c r="AD597" t="s">
        <v>20</v>
      </c>
      <c r="AE597" t="s">
        <v>1353</v>
      </c>
      <c r="AF597" t="s">
        <v>20</v>
      </c>
      <c r="AG597">
        <v>174.203</v>
      </c>
      <c r="AH597" t="s">
        <v>20</v>
      </c>
      <c r="AI597" t="s">
        <v>20</v>
      </c>
      <c r="AJ597">
        <v>697</v>
      </c>
      <c r="AK597" t="s">
        <v>1330</v>
      </c>
      <c r="AL597" t="s">
        <v>25</v>
      </c>
      <c r="AM597" t="s">
        <v>1354</v>
      </c>
      <c r="AN597" t="s">
        <v>20</v>
      </c>
      <c r="AO597">
        <v>105.093</v>
      </c>
      <c r="AP597" t="s">
        <v>20</v>
      </c>
      <c r="AQ597" t="s">
        <v>20</v>
      </c>
    </row>
    <row r="598" spans="1:43" x14ac:dyDescent="0.25">
      <c r="A598">
        <v>6</v>
      </c>
      <c r="B598" t="s">
        <v>550</v>
      </c>
      <c r="C598" t="str">
        <f>HYPERLINK("http://www.ncbi.nlm.nih.gov/protein/AAP55843.2","AAP55843.2")</f>
        <v>AAP55843.2</v>
      </c>
      <c r="D598">
        <v>517</v>
      </c>
      <c r="E598" t="str">
        <f>HYPERLINK("http://www.ncbi.nlm.nih.gov/Taxonomy/Browser/wwwtax.cgi?mode=Info&amp;id=7797&amp;lvl=3&amp;lin=f&amp;keep=1&amp;srchmode=1&amp;unlock","7797")</f>
        <v>7797</v>
      </c>
      <c r="F598" t="s">
        <v>550</v>
      </c>
      <c r="G598" t="str">
        <f>HYPERLINK("http://www.ncbi.nlm.nih.gov/Taxonomy/Browser/wwwtax.cgi?mode=Info&amp;id=7797&amp;lvl=3&amp;lin=f&amp;keep=1&amp;srchmode=1&amp;unlock","Squalus acanthias")</f>
        <v>Squalus acanthias</v>
      </c>
      <c r="H598" t="s">
        <v>1007</v>
      </c>
      <c r="I598" t="str">
        <f>HYPERLINK("http://www.ncbi.nlm.nih.gov/protein/AAP55843.2","androgen receptor, partial")</f>
        <v>androgen receptor, partial</v>
      </c>
      <c r="J598" t="s">
        <v>1329</v>
      </c>
      <c r="K598" t="s">
        <v>20</v>
      </c>
      <c r="L598">
        <v>564</v>
      </c>
      <c r="M598" t="s">
        <v>25</v>
      </c>
      <c r="N598" t="s">
        <v>20</v>
      </c>
      <c r="O598" t="s">
        <v>1352</v>
      </c>
      <c r="P598" t="s">
        <v>20</v>
      </c>
      <c r="Q598">
        <v>132.119</v>
      </c>
      <c r="R598" t="s">
        <v>20</v>
      </c>
      <c r="S598" t="s">
        <v>20</v>
      </c>
      <c r="T598">
        <v>570</v>
      </c>
      <c r="U598" t="s">
        <v>1313</v>
      </c>
      <c r="V598" t="s">
        <v>20</v>
      </c>
      <c r="W598" t="s">
        <v>1352</v>
      </c>
      <c r="X598" t="s">
        <v>20</v>
      </c>
      <c r="Y598">
        <v>146.14599999999999</v>
      </c>
      <c r="Z598" t="s">
        <v>20</v>
      </c>
      <c r="AA598" t="s">
        <v>20</v>
      </c>
      <c r="AB598">
        <v>611</v>
      </c>
      <c r="AC598" t="s">
        <v>1314</v>
      </c>
      <c r="AD598" t="s">
        <v>20</v>
      </c>
      <c r="AE598" t="s">
        <v>1353</v>
      </c>
      <c r="AF598" t="s">
        <v>20</v>
      </c>
      <c r="AG598">
        <v>174.203</v>
      </c>
      <c r="AH598" t="s">
        <v>20</v>
      </c>
      <c r="AI598" t="s">
        <v>20</v>
      </c>
      <c r="AJ598">
        <v>736</v>
      </c>
      <c r="AK598" t="s">
        <v>1315</v>
      </c>
      <c r="AL598" t="s">
        <v>20</v>
      </c>
      <c r="AM598" t="s">
        <v>1354</v>
      </c>
      <c r="AN598" t="s">
        <v>20</v>
      </c>
      <c r="AO598">
        <v>119.119</v>
      </c>
      <c r="AP598" t="s">
        <v>20</v>
      </c>
      <c r="AQ598" t="s">
        <v>20</v>
      </c>
    </row>
    <row r="599" spans="1:43" x14ac:dyDescent="0.25">
      <c r="A599">
        <v>6</v>
      </c>
      <c r="B599" t="s">
        <v>550</v>
      </c>
      <c r="C599" t="str">
        <f>HYPERLINK("http://www.ncbi.nlm.nih.gov/protein/XP_007892483.1","XP_007892483.1")</f>
        <v>XP_007892483.1</v>
      </c>
      <c r="D599">
        <v>32968</v>
      </c>
      <c r="E599" t="str">
        <f>HYPERLINK("http://www.ncbi.nlm.nih.gov/Taxonomy/Browser/wwwtax.cgi?mode=Info&amp;id=7868&amp;lvl=3&amp;lin=f&amp;keep=1&amp;srchmode=1&amp;unlock","7868")</f>
        <v>7868</v>
      </c>
      <c r="F599" t="s">
        <v>550</v>
      </c>
      <c r="G599" t="str">
        <f>HYPERLINK("http://www.ncbi.nlm.nih.gov/Taxonomy/Browser/wwwtax.cgi?mode=Info&amp;id=7868&amp;lvl=3&amp;lin=f&amp;keep=1&amp;srchmode=1&amp;unlock","Callorhinchus milii")</f>
        <v>Callorhinchus milii</v>
      </c>
      <c r="H599" t="s">
        <v>608</v>
      </c>
      <c r="I599" t="str">
        <f>HYPERLINK("http://www.ncbi.nlm.nih.gov/protein/XP_007892483.1","PREDICTED: androgen receptor isoform X2")</f>
        <v>PREDICTED: androgen receptor isoform X2</v>
      </c>
      <c r="J599" t="s">
        <v>1329</v>
      </c>
      <c r="K599" t="s">
        <v>20</v>
      </c>
      <c r="L599">
        <v>159</v>
      </c>
      <c r="M599" t="s">
        <v>25</v>
      </c>
      <c r="N599" t="s">
        <v>20</v>
      </c>
      <c r="O599" t="s">
        <v>1352</v>
      </c>
      <c r="P599" t="s">
        <v>20</v>
      </c>
      <c r="Q599">
        <v>132.119</v>
      </c>
      <c r="R599" t="s">
        <v>20</v>
      </c>
      <c r="S599" t="s">
        <v>20</v>
      </c>
      <c r="T599">
        <v>165</v>
      </c>
      <c r="U599" t="s">
        <v>1313</v>
      </c>
      <c r="V599" t="s">
        <v>20</v>
      </c>
      <c r="W599" t="s">
        <v>1352</v>
      </c>
      <c r="X599" t="s">
        <v>20</v>
      </c>
      <c r="Y599">
        <v>146.14599999999999</v>
      </c>
      <c r="Z599" t="s">
        <v>20</v>
      </c>
      <c r="AA599" t="s">
        <v>20</v>
      </c>
      <c r="AB599">
        <v>206</v>
      </c>
      <c r="AC599" t="s">
        <v>1314</v>
      </c>
      <c r="AD599" t="s">
        <v>20</v>
      </c>
      <c r="AE599" t="s">
        <v>1353</v>
      </c>
      <c r="AF599" t="s">
        <v>20</v>
      </c>
      <c r="AG599">
        <v>174.203</v>
      </c>
      <c r="AH599" t="s">
        <v>20</v>
      </c>
      <c r="AI599" t="s">
        <v>20</v>
      </c>
      <c r="AJ599">
        <v>331</v>
      </c>
      <c r="AK599" t="s">
        <v>1315</v>
      </c>
      <c r="AL599" t="s">
        <v>20</v>
      </c>
      <c r="AM599" t="s">
        <v>1354</v>
      </c>
      <c r="AN599" t="s">
        <v>20</v>
      </c>
      <c r="AO599">
        <v>119.119</v>
      </c>
      <c r="AP599" t="s">
        <v>20</v>
      </c>
      <c r="AQ599" t="s">
        <v>20</v>
      </c>
    </row>
    <row r="600" spans="1:43" x14ac:dyDescent="0.25">
      <c r="A600">
        <v>6</v>
      </c>
      <c r="B600" t="s">
        <v>687</v>
      </c>
      <c r="C600" t="str">
        <f>HYPERLINK("http://www.ncbi.nlm.nih.gov/protein/AWT24623.1","AWT24623.1")</f>
        <v>AWT24623.1</v>
      </c>
      <c r="D600">
        <v>351</v>
      </c>
      <c r="E600" t="str">
        <f>HYPERLINK("http://www.ncbi.nlm.nih.gov/Taxonomy/Browser/wwwtax.cgi?mode=Info&amp;id=7888&amp;lvl=3&amp;lin=f&amp;keep=1&amp;srchmode=1&amp;unlock","7888")</f>
        <v>7888</v>
      </c>
      <c r="F600" t="s">
        <v>687</v>
      </c>
      <c r="G600" t="str">
        <f>HYPERLINK("http://www.ncbi.nlm.nih.gov/Taxonomy/Browser/wwwtax.cgi?mode=Info&amp;id=7888&amp;lvl=3&amp;lin=f&amp;keep=1&amp;srchmode=1&amp;unlock","Protopterus annectens")</f>
        <v>Protopterus annectens</v>
      </c>
      <c r="H600" t="s">
        <v>1010</v>
      </c>
      <c r="I600" t="str">
        <f>HYPERLINK("http://www.ncbi.nlm.nih.gov/protein/AWT24623.1","AR")</f>
        <v>AR</v>
      </c>
      <c r="J600" t="s">
        <v>1331</v>
      </c>
      <c r="K600" t="s">
        <v>20</v>
      </c>
      <c r="L600">
        <v>665</v>
      </c>
      <c r="M600" t="s">
        <v>25</v>
      </c>
      <c r="N600" t="s">
        <v>20</v>
      </c>
      <c r="O600" t="s">
        <v>1352</v>
      </c>
      <c r="P600" t="s">
        <v>20</v>
      </c>
      <c r="Q600">
        <v>132.119</v>
      </c>
      <c r="R600" t="s">
        <v>20</v>
      </c>
      <c r="S600" t="s">
        <v>20</v>
      </c>
      <c r="T600">
        <v>671</v>
      </c>
      <c r="U600" t="s">
        <v>1313</v>
      </c>
      <c r="V600" t="s">
        <v>20</v>
      </c>
      <c r="W600" t="s">
        <v>1352</v>
      </c>
      <c r="X600" t="s">
        <v>20</v>
      </c>
      <c r="Y600">
        <v>146.14599999999999</v>
      </c>
      <c r="Z600" t="s">
        <v>20</v>
      </c>
      <c r="AA600" t="s">
        <v>20</v>
      </c>
      <c r="AB600">
        <v>712</v>
      </c>
      <c r="AC600" t="s">
        <v>1314</v>
      </c>
      <c r="AD600" t="s">
        <v>20</v>
      </c>
      <c r="AE600" t="s">
        <v>1353</v>
      </c>
      <c r="AF600" t="s">
        <v>20</v>
      </c>
      <c r="AG600">
        <v>174.203</v>
      </c>
      <c r="AH600" t="s">
        <v>20</v>
      </c>
      <c r="AI600" t="s">
        <v>20</v>
      </c>
      <c r="AJ600">
        <v>833</v>
      </c>
      <c r="AK600" t="s">
        <v>1315</v>
      </c>
      <c r="AL600" t="s">
        <v>20</v>
      </c>
      <c r="AM600" t="s">
        <v>1354</v>
      </c>
      <c r="AN600" t="s">
        <v>20</v>
      </c>
      <c r="AO600">
        <v>119.119</v>
      </c>
      <c r="AP600" t="s">
        <v>20</v>
      </c>
      <c r="AQ600" t="s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7532F-4A89-4DD1-A2D9-56C50BB5A3DC}">
  <dimension ref="A1:I12"/>
  <sheetViews>
    <sheetView workbookViewId="0"/>
  </sheetViews>
  <sheetFormatPr defaultRowHeight="15" x14ac:dyDescent="0.25"/>
  <sheetData>
    <row r="1" spans="1:9" x14ac:dyDescent="0.25">
      <c r="A1" t="s">
        <v>4</v>
      </c>
      <c r="B1" t="s">
        <v>1356</v>
      </c>
      <c r="C1" t="s">
        <v>1359</v>
      </c>
      <c r="D1" t="s">
        <v>1360</v>
      </c>
      <c r="E1" t="s">
        <v>1361</v>
      </c>
      <c r="F1" t="s">
        <v>1362</v>
      </c>
      <c r="G1" t="s">
        <v>1363</v>
      </c>
      <c r="H1" t="s">
        <v>1364</v>
      </c>
      <c r="I1" t="s">
        <v>1365</v>
      </c>
    </row>
    <row r="2" spans="1:9" x14ac:dyDescent="0.25">
      <c r="A2" t="s">
        <v>18</v>
      </c>
      <c r="B2">
        <v>159</v>
      </c>
      <c r="C2" t="s">
        <v>20</v>
      </c>
      <c r="D2">
        <v>148</v>
      </c>
      <c r="E2">
        <v>11</v>
      </c>
      <c r="F2" t="s">
        <v>1366</v>
      </c>
      <c r="G2" t="s">
        <v>1367</v>
      </c>
      <c r="H2" t="s">
        <v>1368</v>
      </c>
      <c r="I2" t="s">
        <v>1369</v>
      </c>
    </row>
    <row r="3" spans="1:9" x14ac:dyDescent="0.25">
      <c r="A3" t="s">
        <v>134</v>
      </c>
      <c r="B3">
        <v>10</v>
      </c>
      <c r="C3" t="s">
        <v>20</v>
      </c>
      <c r="D3">
        <v>10</v>
      </c>
      <c r="E3">
        <v>0</v>
      </c>
      <c r="F3" t="s">
        <v>25</v>
      </c>
      <c r="G3" t="s">
        <v>1313</v>
      </c>
      <c r="H3" t="s">
        <v>1314</v>
      </c>
      <c r="I3" t="s">
        <v>1315</v>
      </c>
    </row>
    <row r="4" spans="1:9" x14ac:dyDescent="0.25">
      <c r="A4" t="s">
        <v>236</v>
      </c>
      <c r="B4">
        <v>17</v>
      </c>
      <c r="C4" t="s">
        <v>20</v>
      </c>
      <c r="D4">
        <v>15</v>
      </c>
      <c r="E4">
        <v>2</v>
      </c>
      <c r="F4" t="s">
        <v>1366</v>
      </c>
      <c r="G4" t="s">
        <v>1367</v>
      </c>
      <c r="H4" t="s">
        <v>1314</v>
      </c>
      <c r="I4" t="s">
        <v>1315</v>
      </c>
    </row>
    <row r="5" spans="1:9" x14ac:dyDescent="0.25">
      <c r="A5" t="s">
        <v>321</v>
      </c>
      <c r="B5">
        <v>9</v>
      </c>
      <c r="C5" t="s">
        <v>20</v>
      </c>
      <c r="D5">
        <v>9</v>
      </c>
      <c r="E5">
        <v>0</v>
      </c>
      <c r="F5" t="s">
        <v>25</v>
      </c>
      <c r="G5" t="s">
        <v>1313</v>
      </c>
      <c r="H5" t="s">
        <v>1314</v>
      </c>
      <c r="I5" t="s">
        <v>1315</v>
      </c>
    </row>
    <row r="6" spans="1:9" x14ac:dyDescent="0.25">
      <c r="A6" t="s">
        <v>167</v>
      </c>
      <c r="B6">
        <v>257</v>
      </c>
      <c r="C6" t="s">
        <v>20</v>
      </c>
      <c r="D6">
        <v>245</v>
      </c>
      <c r="E6">
        <v>12</v>
      </c>
      <c r="F6" t="s">
        <v>1366</v>
      </c>
      <c r="G6" t="s">
        <v>1370</v>
      </c>
      <c r="H6" t="s">
        <v>1371</v>
      </c>
      <c r="I6" t="s">
        <v>1369</v>
      </c>
    </row>
    <row r="7" spans="1:9" x14ac:dyDescent="0.25">
      <c r="A7" t="s">
        <v>384</v>
      </c>
      <c r="B7">
        <v>136</v>
      </c>
      <c r="C7" t="s">
        <v>20</v>
      </c>
      <c r="D7">
        <v>134</v>
      </c>
      <c r="E7">
        <v>2</v>
      </c>
      <c r="F7" t="s">
        <v>25</v>
      </c>
      <c r="G7" t="s">
        <v>1372</v>
      </c>
      <c r="H7" t="s">
        <v>1314</v>
      </c>
      <c r="I7" t="s">
        <v>1373</v>
      </c>
    </row>
    <row r="8" spans="1:9" x14ac:dyDescent="0.25">
      <c r="A8" t="s">
        <v>371</v>
      </c>
      <c r="B8">
        <v>3</v>
      </c>
      <c r="C8" t="s">
        <v>20</v>
      </c>
      <c r="D8">
        <v>3</v>
      </c>
      <c r="E8">
        <v>0</v>
      </c>
      <c r="F8" t="s">
        <v>25</v>
      </c>
      <c r="G8" t="s">
        <v>1313</v>
      </c>
      <c r="H8" t="s">
        <v>1314</v>
      </c>
      <c r="I8" t="s">
        <v>1315</v>
      </c>
    </row>
    <row r="9" spans="1:9" x14ac:dyDescent="0.25">
      <c r="A9" t="s">
        <v>646</v>
      </c>
      <c r="B9">
        <v>1</v>
      </c>
      <c r="C9" t="s">
        <v>20</v>
      </c>
      <c r="D9">
        <v>1</v>
      </c>
      <c r="E9">
        <v>0</v>
      </c>
      <c r="F9" t="s">
        <v>25</v>
      </c>
      <c r="G9" t="s">
        <v>1313</v>
      </c>
      <c r="H9" t="s">
        <v>1314</v>
      </c>
      <c r="I9" t="s">
        <v>1315</v>
      </c>
    </row>
    <row r="10" spans="1:9" x14ac:dyDescent="0.25">
      <c r="A10" t="s">
        <v>522</v>
      </c>
      <c r="B10">
        <v>2</v>
      </c>
      <c r="C10" t="s">
        <v>20</v>
      </c>
      <c r="D10">
        <v>2</v>
      </c>
      <c r="E10">
        <v>0</v>
      </c>
      <c r="F10" t="s">
        <v>25</v>
      </c>
      <c r="G10" t="s">
        <v>1313</v>
      </c>
      <c r="H10" t="s">
        <v>1314</v>
      </c>
      <c r="I10" t="s">
        <v>1315</v>
      </c>
    </row>
    <row r="11" spans="1:9" x14ac:dyDescent="0.25">
      <c r="A11" t="s">
        <v>550</v>
      </c>
      <c r="B11">
        <v>4</v>
      </c>
      <c r="C11" t="s">
        <v>20</v>
      </c>
      <c r="D11">
        <v>4</v>
      </c>
      <c r="E11">
        <v>0</v>
      </c>
      <c r="F11" t="s">
        <v>25</v>
      </c>
      <c r="G11" t="s">
        <v>1313</v>
      </c>
      <c r="H11" t="s">
        <v>1314</v>
      </c>
      <c r="I11" t="s">
        <v>1374</v>
      </c>
    </row>
    <row r="12" spans="1:9" x14ac:dyDescent="0.25">
      <c r="A12" t="s">
        <v>687</v>
      </c>
      <c r="B12">
        <v>1</v>
      </c>
      <c r="C12" t="s">
        <v>20</v>
      </c>
      <c r="D12">
        <v>1</v>
      </c>
      <c r="E12">
        <v>0</v>
      </c>
      <c r="F12" t="s">
        <v>25</v>
      </c>
      <c r="G12" t="s">
        <v>1313</v>
      </c>
      <c r="H12" t="s">
        <v>1314</v>
      </c>
      <c r="I12" t="s">
        <v>1315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6D2CF-70FF-4E25-9C35-4809EC96F919}">
  <dimension ref="A1:F44"/>
  <sheetViews>
    <sheetView workbookViewId="0">
      <selection activeCell="I29" sqref="I29"/>
    </sheetView>
  </sheetViews>
  <sheetFormatPr defaultRowHeight="15" x14ac:dyDescent="0.25"/>
  <sheetData>
    <row r="1" spans="1:6" x14ac:dyDescent="0.25">
      <c r="A1" t="s">
        <v>4</v>
      </c>
      <c r="B1" t="s">
        <v>5</v>
      </c>
      <c r="C1" t="s">
        <v>1356</v>
      </c>
      <c r="D1" t="s">
        <v>1357</v>
      </c>
      <c r="E1" t="s">
        <v>1358</v>
      </c>
      <c r="F1" t="s">
        <v>14</v>
      </c>
    </row>
    <row r="2" spans="1:6" x14ac:dyDescent="0.25">
      <c r="A2" t="s">
        <v>18</v>
      </c>
      <c r="B2" t="s">
        <v>18</v>
      </c>
      <c r="C2">
        <v>172</v>
      </c>
      <c r="D2">
        <v>86.32</v>
      </c>
      <c r="E2">
        <v>88.01</v>
      </c>
      <c r="F2" t="s">
        <v>20</v>
      </c>
    </row>
    <row r="3" spans="1:6" x14ac:dyDescent="0.25">
      <c r="A3" t="s">
        <v>134</v>
      </c>
      <c r="B3" t="s">
        <v>134</v>
      </c>
      <c r="C3">
        <v>16</v>
      </c>
      <c r="D3">
        <v>54.5</v>
      </c>
      <c r="E3">
        <v>64.650000000000006</v>
      </c>
      <c r="F3" t="s">
        <v>20</v>
      </c>
    </row>
    <row r="4" spans="1:6" x14ac:dyDescent="0.25">
      <c r="A4" t="s">
        <v>167</v>
      </c>
      <c r="B4" t="s">
        <v>167</v>
      </c>
      <c r="C4">
        <v>367</v>
      </c>
      <c r="D4">
        <v>74.959999999999994</v>
      </c>
      <c r="E4">
        <v>76.489999999999995</v>
      </c>
      <c r="F4" t="s">
        <v>20</v>
      </c>
    </row>
    <row r="5" spans="1:6" x14ac:dyDescent="0.25">
      <c r="A5" t="s">
        <v>236</v>
      </c>
      <c r="B5" t="s">
        <v>236</v>
      </c>
      <c r="C5">
        <v>18</v>
      </c>
      <c r="D5">
        <v>54.25</v>
      </c>
      <c r="E5">
        <v>45.72</v>
      </c>
      <c r="F5" t="s">
        <v>20</v>
      </c>
    </row>
    <row r="6" spans="1:6" x14ac:dyDescent="0.25">
      <c r="A6" t="s">
        <v>321</v>
      </c>
      <c r="B6" t="s">
        <v>321</v>
      </c>
      <c r="C6">
        <v>10</v>
      </c>
      <c r="D6">
        <v>76.349999999999994</v>
      </c>
      <c r="E6">
        <v>76.41</v>
      </c>
      <c r="F6" t="s">
        <v>20</v>
      </c>
    </row>
    <row r="7" spans="1:6" x14ac:dyDescent="0.25">
      <c r="A7" t="s">
        <v>371</v>
      </c>
      <c r="B7" t="s">
        <v>371</v>
      </c>
      <c r="C7">
        <v>4</v>
      </c>
      <c r="D7">
        <v>74.81</v>
      </c>
      <c r="E7">
        <v>75.11</v>
      </c>
      <c r="F7" t="s">
        <v>20</v>
      </c>
    </row>
    <row r="8" spans="1:6" x14ac:dyDescent="0.25">
      <c r="A8" t="s">
        <v>384</v>
      </c>
      <c r="B8" t="s">
        <v>384</v>
      </c>
      <c r="C8">
        <v>154</v>
      </c>
      <c r="D8">
        <v>60.16</v>
      </c>
      <c r="E8">
        <v>65.650000000000006</v>
      </c>
      <c r="F8" t="s">
        <v>20</v>
      </c>
    </row>
    <row r="9" spans="1:6" x14ac:dyDescent="0.25">
      <c r="A9" t="s">
        <v>522</v>
      </c>
      <c r="B9" t="s">
        <v>522</v>
      </c>
      <c r="C9">
        <v>2</v>
      </c>
      <c r="D9">
        <v>67.63</v>
      </c>
      <c r="E9">
        <v>67.63</v>
      </c>
      <c r="F9" t="s">
        <v>20</v>
      </c>
    </row>
    <row r="10" spans="1:6" x14ac:dyDescent="0.25">
      <c r="A10" t="s">
        <v>550</v>
      </c>
      <c r="B10" t="s">
        <v>550</v>
      </c>
      <c r="C10">
        <v>7</v>
      </c>
      <c r="D10">
        <v>59.45</v>
      </c>
      <c r="E10">
        <v>63.05</v>
      </c>
      <c r="F10" t="s">
        <v>20</v>
      </c>
    </row>
    <row r="11" spans="1:6" x14ac:dyDescent="0.25">
      <c r="A11" t="s">
        <v>646</v>
      </c>
      <c r="B11" t="s">
        <v>646</v>
      </c>
      <c r="C11">
        <v>1</v>
      </c>
      <c r="D11">
        <v>51.75</v>
      </c>
      <c r="E11">
        <v>51.75</v>
      </c>
      <c r="F11" t="s">
        <v>20</v>
      </c>
    </row>
    <row r="12" spans="1:6" x14ac:dyDescent="0.25">
      <c r="A12" t="s">
        <v>680</v>
      </c>
      <c r="B12" t="s">
        <v>680</v>
      </c>
      <c r="C12">
        <v>1</v>
      </c>
      <c r="D12">
        <v>39.08</v>
      </c>
      <c r="E12">
        <v>39.08</v>
      </c>
      <c r="F12" t="s">
        <v>25</v>
      </c>
    </row>
    <row r="13" spans="1:6" x14ac:dyDescent="0.25">
      <c r="A13" t="s">
        <v>687</v>
      </c>
      <c r="B13" t="s">
        <v>687</v>
      </c>
      <c r="C13">
        <v>1</v>
      </c>
      <c r="D13">
        <v>37.4</v>
      </c>
      <c r="E13">
        <v>37.4</v>
      </c>
      <c r="F13" t="s">
        <v>25</v>
      </c>
    </row>
    <row r="14" spans="1:6" x14ac:dyDescent="0.25">
      <c r="A14" t="s">
        <v>691</v>
      </c>
      <c r="B14" t="s">
        <v>691</v>
      </c>
      <c r="C14">
        <v>4</v>
      </c>
      <c r="D14">
        <v>32.130000000000003</v>
      </c>
      <c r="E14">
        <v>31.45</v>
      </c>
      <c r="F14" t="s">
        <v>25</v>
      </c>
    </row>
    <row r="15" spans="1:6" x14ac:dyDescent="0.25">
      <c r="A15" t="s">
        <v>696</v>
      </c>
      <c r="B15" t="s">
        <v>696</v>
      </c>
      <c r="C15">
        <v>1</v>
      </c>
      <c r="D15">
        <v>30.07</v>
      </c>
      <c r="E15">
        <v>30.07</v>
      </c>
      <c r="F15" t="s">
        <v>25</v>
      </c>
    </row>
    <row r="16" spans="1:6" x14ac:dyDescent="0.25">
      <c r="A16" t="s">
        <v>698</v>
      </c>
      <c r="B16" t="s">
        <v>698</v>
      </c>
      <c r="C16">
        <v>206</v>
      </c>
      <c r="D16">
        <v>22.1</v>
      </c>
      <c r="E16">
        <v>21.98</v>
      </c>
      <c r="F16" t="s">
        <v>20</v>
      </c>
    </row>
    <row r="17" spans="1:6" x14ac:dyDescent="0.25">
      <c r="A17" t="s">
        <v>700</v>
      </c>
      <c r="B17" t="s">
        <v>700</v>
      </c>
      <c r="C17">
        <v>29</v>
      </c>
      <c r="D17">
        <v>23.55</v>
      </c>
      <c r="E17">
        <v>23.81</v>
      </c>
      <c r="F17" t="s">
        <v>25</v>
      </c>
    </row>
    <row r="18" spans="1:6" x14ac:dyDescent="0.25">
      <c r="A18" t="s">
        <v>704</v>
      </c>
      <c r="B18" t="s">
        <v>704</v>
      </c>
      <c r="C18">
        <v>3</v>
      </c>
      <c r="D18">
        <v>28.04</v>
      </c>
      <c r="E18">
        <v>28.24</v>
      </c>
      <c r="F18" t="s">
        <v>25</v>
      </c>
    </row>
    <row r="19" spans="1:6" x14ac:dyDescent="0.25">
      <c r="A19" t="s">
        <v>709</v>
      </c>
      <c r="B19" t="s">
        <v>709</v>
      </c>
      <c r="C19">
        <v>5</v>
      </c>
      <c r="D19">
        <v>23.97</v>
      </c>
      <c r="E19">
        <v>25.03</v>
      </c>
      <c r="F19" t="s">
        <v>25</v>
      </c>
    </row>
    <row r="20" spans="1:6" x14ac:dyDescent="0.25">
      <c r="A20" t="s">
        <v>715</v>
      </c>
      <c r="B20" t="s">
        <v>715</v>
      </c>
      <c r="C20">
        <v>2</v>
      </c>
      <c r="D20">
        <v>27.32</v>
      </c>
      <c r="E20">
        <v>27.32</v>
      </c>
      <c r="F20" t="s">
        <v>25</v>
      </c>
    </row>
    <row r="21" spans="1:6" x14ac:dyDescent="0.25">
      <c r="A21" t="s">
        <v>720</v>
      </c>
      <c r="B21" t="s">
        <v>720</v>
      </c>
      <c r="C21">
        <v>1</v>
      </c>
      <c r="D21">
        <v>27.02</v>
      </c>
      <c r="E21">
        <v>27.02</v>
      </c>
      <c r="F21" t="s">
        <v>25</v>
      </c>
    </row>
    <row r="22" spans="1:6" x14ac:dyDescent="0.25">
      <c r="A22" t="s">
        <v>725</v>
      </c>
      <c r="B22" t="s">
        <v>725</v>
      </c>
      <c r="C22">
        <v>3</v>
      </c>
      <c r="D22">
        <v>23.81</v>
      </c>
      <c r="E22">
        <v>26.41</v>
      </c>
      <c r="F22" t="s">
        <v>25</v>
      </c>
    </row>
    <row r="23" spans="1:6" x14ac:dyDescent="0.25">
      <c r="A23" t="s">
        <v>742</v>
      </c>
      <c r="B23" t="s">
        <v>742</v>
      </c>
      <c r="C23">
        <v>17</v>
      </c>
      <c r="D23">
        <v>22.14</v>
      </c>
      <c r="E23">
        <v>22.29</v>
      </c>
      <c r="F23" t="s">
        <v>20</v>
      </c>
    </row>
    <row r="24" spans="1:6" x14ac:dyDescent="0.25">
      <c r="A24" t="s">
        <v>746</v>
      </c>
      <c r="B24" t="s">
        <v>746</v>
      </c>
      <c r="C24">
        <v>2</v>
      </c>
      <c r="D24">
        <v>23.05</v>
      </c>
      <c r="E24">
        <v>23.05</v>
      </c>
      <c r="F24" t="s">
        <v>25</v>
      </c>
    </row>
    <row r="25" spans="1:6" x14ac:dyDescent="0.25">
      <c r="A25" t="s">
        <v>748</v>
      </c>
      <c r="B25" t="s">
        <v>748</v>
      </c>
      <c r="C25">
        <v>1</v>
      </c>
      <c r="D25">
        <v>25.03</v>
      </c>
      <c r="E25">
        <v>25.03</v>
      </c>
      <c r="F25" t="s">
        <v>25</v>
      </c>
    </row>
    <row r="26" spans="1:6" x14ac:dyDescent="0.25">
      <c r="A26" t="s">
        <v>760</v>
      </c>
      <c r="B26" t="s">
        <v>760</v>
      </c>
      <c r="C26">
        <v>8</v>
      </c>
      <c r="D26">
        <v>21.88</v>
      </c>
      <c r="E26">
        <v>22.36</v>
      </c>
      <c r="F26" t="s">
        <v>25</v>
      </c>
    </row>
    <row r="27" spans="1:6" x14ac:dyDescent="0.25">
      <c r="A27" t="s">
        <v>763</v>
      </c>
      <c r="B27" t="s">
        <v>763</v>
      </c>
      <c r="C27">
        <v>5</v>
      </c>
      <c r="D27">
        <v>21.09</v>
      </c>
      <c r="E27">
        <v>20.3</v>
      </c>
      <c r="F27" t="s">
        <v>25</v>
      </c>
    </row>
    <row r="28" spans="1:6" x14ac:dyDescent="0.25">
      <c r="A28" t="s">
        <v>765</v>
      </c>
      <c r="B28" t="s">
        <v>765</v>
      </c>
      <c r="C28">
        <v>2</v>
      </c>
      <c r="D28">
        <v>23.74</v>
      </c>
      <c r="E28">
        <v>23.74</v>
      </c>
      <c r="F28" t="s">
        <v>25</v>
      </c>
    </row>
    <row r="29" spans="1:6" x14ac:dyDescent="0.25">
      <c r="A29" t="s">
        <v>768</v>
      </c>
      <c r="B29" t="s">
        <v>768</v>
      </c>
      <c r="C29">
        <v>1</v>
      </c>
      <c r="D29">
        <v>24.27</v>
      </c>
      <c r="E29">
        <v>24.27</v>
      </c>
      <c r="F29" t="s">
        <v>25</v>
      </c>
    </row>
    <row r="30" spans="1:6" x14ac:dyDescent="0.25">
      <c r="A30" t="s">
        <v>786</v>
      </c>
      <c r="B30" t="s">
        <v>786</v>
      </c>
      <c r="C30">
        <v>3</v>
      </c>
      <c r="D30">
        <v>21.88</v>
      </c>
      <c r="E30">
        <v>22.29</v>
      </c>
      <c r="F30" t="s">
        <v>25</v>
      </c>
    </row>
    <row r="31" spans="1:6" x14ac:dyDescent="0.25">
      <c r="A31" t="s">
        <v>793</v>
      </c>
      <c r="B31" t="s">
        <v>793</v>
      </c>
      <c r="C31">
        <v>14</v>
      </c>
      <c r="D31">
        <v>20.9</v>
      </c>
      <c r="E31">
        <v>20.22</v>
      </c>
      <c r="F31" t="s">
        <v>25</v>
      </c>
    </row>
    <row r="32" spans="1:6" x14ac:dyDescent="0.25">
      <c r="A32" t="s">
        <v>797</v>
      </c>
      <c r="B32" t="s">
        <v>797</v>
      </c>
      <c r="C32">
        <v>1</v>
      </c>
      <c r="D32">
        <v>23.35</v>
      </c>
      <c r="E32">
        <v>23.35</v>
      </c>
      <c r="F32" t="s">
        <v>25</v>
      </c>
    </row>
    <row r="33" spans="1:6" x14ac:dyDescent="0.25">
      <c r="A33" t="s">
        <v>802</v>
      </c>
      <c r="B33" t="s">
        <v>802</v>
      </c>
      <c r="C33">
        <v>13</v>
      </c>
      <c r="D33">
        <v>21.75</v>
      </c>
      <c r="E33">
        <v>22.9</v>
      </c>
      <c r="F33" t="s">
        <v>25</v>
      </c>
    </row>
    <row r="34" spans="1:6" x14ac:dyDescent="0.25">
      <c r="A34" t="s">
        <v>806</v>
      </c>
      <c r="B34" t="s">
        <v>806</v>
      </c>
      <c r="C34">
        <v>1</v>
      </c>
      <c r="D34">
        <v>23.2</v>
      </c>
      <c r="E34">
        <v>23.2</v>
      </c>
      <c r="F34" t="s">
        <v>25</v>
      </c>
    </row>
    <row r="35" spans="1:6" x14ac:dyDescent="0.25">
      <c r="A35" t="s">
        <v>811</v>
      </c>
      <c r="B35" t="s">
        <v>811</v>
      </c>
      <c r="C35">
        <v>1</v>
      </c>
      <c r="D35">
        <v>22.9</v>
      </c>
      <c r="E35">
        <v>22.9</v>
      </c>
      <c r="F35" t="s">
        <v>25</v>
      </c>
    </row>
    <row r="36" spans="1:6" x14ac:dyDescent="0.25">
      <c r="A36" t="s">
        <v>817</v>
      </c>
      <c r="B36" t="s">
        <v>817</v>
      </c>
      <c r="C36">
        <v>1</v>
      </c>
      <c r="D36">
        <v>22.74</v>
      </c>
      <c r="E36">
        <v>22.74</v>
      </c>
      <c r="F36" t="s">
        <v>25</v>
      </c>
    </row>
    <row r="37" spans="1:6" x14ac:dyDescent="0.25">
      <c r="A37" t="s">
        <v>822</v>
      </c>
      <c r="B37" t="s">
        <v>822</v>
      </c>
      <c r="C37">
        <v>2</v>
      </c>
      <c r="D37">
        <v>22.36</v>
      </c>
      <c r="E37">
        <v>22.36</v>
      </c>
      <c r="F37" t="s">
        <v>25</v>
      </c>
    </row>
    <row r="38" spans="1:6" x14ac:dyDescent="0.25">
      <c r="A38" t="s">
        <v>826</v>
      </c>
      <c r="B38" t="s">
        <v>826</v>
      </c>
      <c r="C38">
        <v>1</v>
      </c>
      <c r="D38">
        <v>22.44</v>
      </c>
      <c r="E38">
        <v>22.44</v>
      </c>
      <c r="F38" t="s">
        <v>25</v>
      </c>
    </row>
    <row r="39" spans="1:6" x14ac:dyDescent="0.25">
      <c r="A39" t="s">
        <v>855</v>
      </c>
      <c r="B39" t="s">
        <v>855</v>
      </c>
      <c r="C39">
        <v>6</v>
      </c>
      <c r="D39">
        <v>19.440000000000001</v>
      </c>
      <c r="E39">
        <v>19.309999999999999</v>
      </c>
      <c r="F39" t="s">
        <v>25</v>
      </c>
    </row>
    <row r="40" spans="1:6" x14ac:dyDescent="0.25">
      <c r="A40" t="s">
        <v>861</v>
      </c>
      <c r="B40" t="s">
        <v>861</v>
      </c>
      <c r="C40">
        <v>1</v>
      </c>
      <c r="D40">
        <v>21.22</v>
      </c>
      <c r="E40">
        <v>21.22</v>
      </c>
      <c r="F40" t="s">
        <v>25</v>
      </c>
    </row>
    <row r="41" spans="1:6" x14ac:dyDescent="0.25">
      <c r="A41" t="s">
        <v>864</v>
      </c>
      <c r="B41" t="s">
        <v>864</v>
      </c>
      <c r="C41">
        <v>2</v>
      </c>
      <c r="D41">
        <v>21.06</v>
      </c>
      <c r="E41">
        <v>21.06</v>
      </c>
      <c r="F41" t="s">
        <v>25</v>
      </c>
    </row>
    <row r="42" spans="1:6" x14ac:dyDescent="0.25">
      <c r="A42" t="s">
        <v>869</v>
      </c>
      <c r="B42" t="s">
        <v>869</v>
      </c>
      <c r="C42">
        <v>15</v>
      </c>
      <c r="D42">
        <v>19.21</v>
      </c>
      <c r="E42">
        <v>18.93</v>
      </c>
      <c r="F42" t="s">
        <v>25</v>
      </c>
    </row>
    <row r="43" spans="1:6" x14ac:dyDescent="0.25">
      <c r="A43" t="s">
        <v>907</v>
      </c>
      <c r="B43" t="s">
        <v>907</v>
      </c>
      <c r="C43">
        <v>4</v>
      </c>
      <c r="D43">
        <v>19.079999999999998</v>
      </c>
      <c r="E43">
        <v>19.23</v>
      </c>
      <c r="F43" t="s">
        <v>25</v>
      </c>
    </row>
    <row r="44" spans="1:6" x14ac:dyDescent="0.25">
      <c r="A44" t="s">
        <v>929</v>
      </c>
      <c r="B44" t="s">
        <v>929</v>
      </c>
      <c r="C44">
        <v>4</v>
      </c>
      <c r="D44">
        <v>18.93</v>
      </c>
      <c r="E44">
        <v>19</v>
      </c>
      <c r="F44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497D5-0714-4EB0-9604-8FC54903E465}">
  <dimension ref="A1:N714"/>
  <sheetViews>
    <sheetView workbookViewId="0">
      <selection activeCell="R17" sqref="R17"/>
    </sheetView>
  </sheetViews>
  <sheetFormatPr defaultRowHeight="15" x14ac:dyDescent="0.25"/>
  <sheetData>
    <row r="1" spans="1:14" x14ac:dyDescent="0.25">
      <c r="A1" t="s">
        <v>0</v>
      </c>
      <c r="B1" t="s">
        <v>1298</v>
      </c>
      <c r="C1" t="s">
        <v>1</v>
      </c>
      <c r="D1" t="s">
        <v>2</v>
      </c>
      <c r="E1" t="s">
        <v>3</v>
      </c>
      <c r="F1" t="s">
        <v>4</v>
      </c>
      <c r="G1" t="s">
        <v>6</v>
      </c>
      <c r="H1" t="s">
        <v>7</v>
      </c>
      <c r="I1" t="s">
        <v>8</v>
      </c>
      <c r="J1" t="s">
        <v>15</v>
      </c>
      <c r="K1" t="s">
        <v>1299</v>
      </c>
      <c r="L1" t="s">
        <v>1300</v>
      </c>
      <c r="M1" t="s">
        <v>1301</v>
      </c>
      <c r="N1" t="s">
        <v>1302</v>
      </c>
    </row>
    <row r="2" spans="1:14" x14ac:dyDescent="0.25">
      <c r="A2">
        <v>6</v>
      </c>
      <c r="B2" t="s">
        <v>18</v>
      </c>
      <c r="C2" t="str">
        <f>HYPERLINK("http://www.ncbi.nlm.nih.gov/protein/NP_001434.1","NP_001434.1")</f>
        <v>NP_001434.1</v>
      </c>
      <c r="D2">
        <v>2603582</v>
      </c>
      <c r="E2" t="str">
        <f>HYPERLINK("http://www.ncbi.nlm.nih.gov/Taxonomy/Browser/wwwtax.cgi?mode=Info&amp;id=9606&amp;lvl=3&amp;lin=f&amp;keep=1&amp;srchmode=1&amp;unlock","9606")</f>
        <v>9606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HYPERLINK("http://www.ncbi.nlm.nih.gov/protein/NP_001434.1","fatty acid-binding protein, liver")</f>
        <v>fatty acid-binding protein, liver</v>
      </c>
      <c r="J2" t="s">
        <v>1381</v>
      </c>
      <c r="K2" t="s">
        <v>20</v>
      </c>
      <c r="L2">
        <v>50</v>
      </c>
      <c r="M2" t="s">
        <v>1380</v>
      </c>
      <c r="N2" t="s">
        <v>20</v>
      </c>
    </row>
    <row r="3" spans="1:14" x14ac:dyDescent="0.25">
      <c r="A3">
        <v>6</v>
      </c>
      <c r="B3" t="s">
        <v>18</v>
      </c>
      <c r="C3" t="str">
        <f>HYPERLINK("http://www.ncbi.nlm.nih.gov/protein/XP_003805902.1","XP_003805902.1")</f>
        <v>XP_003805902.1</v>
      </c>
      <c r="D3">
        <v>71982</v>
      </c>
      <c r="E3" t="str">
        <f>HYPERLINK("http://www.ncbi.nlm.nih.gov/Taxonomy/Browser/wwwtax.cgi?mode=Info&amp;id=9597&amp;lvl=3&amp;lin=f&amp;keep=1&amp;srchmode=1&amp;unlock","9597")</f>
        <v>9597</v>
      </c>
      <c r="F3" t="s">
        <v>18</v>
      </c>
      <c r="G3" t="str">
        <f>HYPERLINK("http://www.ncbi.nlm.nih.gov/Taxonomy/Browser/wwwtax.cgi?mode=Info&amp;id=9597&amp;lvl=3&amp;lin=f&amp;keep=1&amp;srchmode=1&amp;unlock","Pan paniscus")</f>
        <v>Pan paniscus</v>
      </c>
      <c r="H3" t="s">
        <v>23</v>
      </c>
      <c r="I3" t="str">
        <f>HYPERLINK("http://www.ncbi.nlm.nih.gov/protein/XP_003805902.1","fatty acid-binding protein, liver isoform X1")</f>
        <v>fatty acid-binding protein, liver isoform X1</v>
      </c>
      <c r="J3" t="s">
        <v>1381</v>
      </c>
      <c r="K3" t="s">
        <v>20</v>
      </c>
      <c r="L3">
        <v>50</v>
      </c>
      <c r="M3" t="s">
        <v>1380</v>
      </c>
      <c r="N3" t="s">
        <v>20</v>
      </c>
    </row>
    <row r="4" spans="1:14" x14ac:dyDescent="0.25">
      <c r="A4">
        <v>6</v>
      </c>
      <c r="B4" t="s">
        <v>18</v>
      </c>
      <c r="C4" t="str">
        <f>HYPERLINK("http://www.ncbi.nlm.nih.gov/protein/XP_001140263.1","XP_001140263.1")</f>
        <v>XP_001140263.1</v>
      </c>
      <c r="D4">
        <v>171683</v>
      </c>
      <c r="E4" t="str">
        <f>HYPERLINK("http://www.ncbi.nlm.nih.gov/Taxonomy/Browser/wwwtax.cgi?mode=Info&amp;id=9598&amp;lvl=3&amp;lin=f&amp;keep=1&amp;srchmode=1&amp;unlock","9598")</f>
        <v>9598</v>
      </c>
      <c r="F4" t="s">
        <v>18</v>
      </c>
      <c r="G4" t="str">
        <f>HYPERLINK("http://www.ncbi.nlm.nih.gov/Taxonomy/Browser/wwwtax.cgi?mode=Info&amp;id=9598&amp;lvl=3&amp;lin=f&amp;keep=1&amp;srchmode=1&amp;unlock","Pan troglodytes")</f>
        <v>Pan troglodytes</v>
      </c>
      <c r="H4" t="s">
        <v>22</v>
      </c>
      <c r="I4" t="str">
        <f>HYPERLINK("http://www.ncbi.nlm.nih.gov/protein/XP_001140263.1","fatty acid-binding protein, liver")</f>
        <v>fatty acid-binding protein, liver</v>
      </c>
      <c r="J4" t="s">
        <v>1381</v>
      </c>
      <c r="K4" t="s">
        <v>20</v>
      </c>
      <c r="L4">
        <v>50</v>
      </c>
      <c r="M4" t="s">
        <v>1380</v>
      </c>
      <c r="N4" t="s">
        <v>20</v>
      </c>
    </row>
    <row r="5" spans="1:14" x14ac:dyDescent="0.25">
      <c r="A5">
        <v>6</v>
      </c>
      <c r="B5" t="s">
        <v>18</v>
      </c>
      <c r="C5" t="str">
        <f>HYPERLINK("http://www.ncbi.nlm.nih.gov/protein/XP_004029642.1","XP_004029642.1")</f>
        <v>XP_004029642.1</v>
      </c>
      <c r="D5">
        <v>52137</v>
      </c>
      <c r="E5" t="str">
        <f>HYPERLINK("http://www.ncbi.nlm.nih.gov/Taxonomy/Browser/wwwtax.cgi?mode=Info&amp;id=9595&amp;lvl=3&amp;lin=f&amp;keep=1&amp;srchmode=1&amp;unlock","9595")</f>
        <v>9595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HYPERLINK("http://www.ncbi.nlm.nih.gov/protein/XP_004029642.1","fatty acid-binding protein, liver")</f>
        <v>fatty acid-binding protein, liver</v>
      </c>
      <c r="J5" t="s">
        <v>1381</v>
      </c>
      <c r="K5" t="s">
        <v>20</v>
      </c>
      <c r="L5">
        <v>50</v>
      </c>
      <c r="M5" t="s">
        <v>1380</v>
      </c>
      <c r="N5" t="s">
        <v>20</v>
      </c>
    </row>
    <row r="6" spans="1:14" x14ac:dyDescent="0.25">
      <c r="A6">
        <v>6</v>
      </c>
      <c r="B6" t="s">
        <v>18</v>
      </c>
      <c r="C6" t="str">
        <f>HYPERLINK("http://www.ncbi.nlm.nih.gov/protein/XP_003268834.1","XP_003268834.1")</f>
        <v>XP_003268834.1</v>
      </c>
      <c r="D6">
        <v>51657</v>
      </c>
      <c r="E6" t="str">
        <f>HYPERLINK("http://www.ncbi.nlm.nih.gov/Taxonomy/Browser/wwwtax.cgi?mode=Info&amp;id=61853&amp;lvl=3&amp;lin=f&amp;keep=1&amp;srchmode=1&amp;unlock","61853")</f>
        <v>61853</v>
      </c>
      <c r="F6" t="s">
        <v>18</v>
      </c>
      <c r="G6" t="str">
        <f>HYPERLINK("http://www.ncbi.nlm.nih.gov/Taxonomy/Browser/wwwtax.cgi?mode=Info&amp;id=61853&amp;lvl=3&amp;lin=f&amp;keep=1&amp;srchmode=1&amp;unlock","Nomascus leucogenys")</f>
        <v>Nomascus leucogenys</v>
      </c>
      <c r="H6" t="s">
        <v>27</v>
      </c>
      <c r="I6" t="str">
        <f>HYPERLINK("http://www.ncbi.nlm.nih.gov/protein/XP_003268834.1","fatty acid-binding protein, liver")</f>
        <v>fatty acid-binding protein, liver</v>
      </c>
      <c r="J6" t="s">
        <v>1381</v>
      </c>
      <c r="K6" t="s">
        <v>20</v>
      </c>
      <c r="L6">
        <v>50</v>
      </c>
      <c r="M6" t="s">
        <v>1380</v>
      </c>
      <c r="N6" t="s">
        <v>20</v>
      </c>
    </row>
    <row r="7" spans="1:14" x14ac:dyDescent="0.25">
      <c r="A7">
        <v>6</v>
      </c>
      <c r="B7" t="s">
        <v>18</v>
      </c>
      <c r="C7" t="str">
        <f>HYPERLINK("http://www.ncbi.nlm.nih.gov/protein/XP_032033286.1","XP_032033286.1")</f>
        <v>XP_032033286.1</v>
      </c>
      <c r="D7">
        <v>54538</v>
      </c>
      <c r="E7" t="str">
        <f>HYPERLINK("http://www.ncbi.nlm.nih.gov/Taxonomy/Browser/wwwtax.cgi?mode=Info&amp;id=81572&amp;lvl=3&amp;lin=f&amp;keep=1&amp;srchmode=1&amp;unlock","81572")</f>
        <v>81572</v>
      </c>
      <c r="F7" t="s">
        <v>18</v>
      </c>
      <c r="G7" t="str">
        <f>HYPERLINK("http://www.ncbi.nlm.nih.gov/Taxonomy/Browser/wwwtax.cgi?mode=Info&amp;id=81572&amp;lvl=3&amp;lin=f&amp;keep=1&amp;srchmode=1&amp;unlock","Hylobates moloch")</f>
        <v>Hylobates moloch</v>
      </c>
      <c r="H7" t="s">
        <v>26</v>
      </c>
      <c r="I7" t="str">
        <f>HYPERLINK("http://www.ncbi.nlm.nih.gov/protein/XP_032033286.1","fatty acid-binding protein, liver")</f>
        <v>fatty acid-binding protein, liver</v>
      </c>
      <c r="J7" t="s">
        <v>1381</v>
      </c>
      <c r="K7" t="s">
        <v>20</v>
      </c>
      <c r="L7">
        <v>50</v>
      </c>
      <c r="M7" t="s">
        <v>1380</v>
      </c>
      <c r="N7" t="s">
        <v>20</v>
      </c>
    </row>
    <row r="8" spans="1:14" x14ac:dyDescent="0.25">
      <c r="A8">
        <v>6</v>
      </c>
      <c r="B8" t="s">
        <v>18</v>
      </c>
      <c r="C8" t="str">
        <f>HYPERLINK("http://www.ncbi.nlm.nih.gov/protein/NP_001125017.1","NP_001125017.1")</f>
        <v>NP_001125017.1</v>
      </c>
      <c r="D8">
        <v>141069</v>
      </c>
      <c r="E8" t="str">
        <f>HYPERLINK("http://www.ncbi.nlm.nih.gov/Taxonomy/Browser/wwwtax.cgi?mode=Info&amp;id=9601&amp;lvl=3&amp;lin=f&amp;keep=1&amp;srchmode=1&amp;unlock","9601")</f>
        <v>9601</v>
      </c>
      <c r="F8" t="s">
        <v>18</v>
      </c>
      <c r="G8" t="str">
        <f>HYPERLINK("http://www.ncbi.nlm.nih.gov/Taxonomy/Browser/wwwtax.cgi?mode=Info&amp;id=9601&amp;lvl=3&amp;lin=f&amp;keep=1&amp;srchmode=1&amp;unlock","Pongo abelii")</f>
        <v>Pongo abelii</v>
      </c>
      <c r="H8" t="s">
        <v>28</v>
      </c>
      <c r="I8" t="str">
        <f>HYPERLINK("http://www.ncbi.nlm.nih.gov/protein/NP_001125017.1","fatty acid-binding protein, liver")</f>
        <v>fatty acid-binding protein, liver</v>
      </c>
      <c r="J8" t="s">
        <v>1381</v>
      </c>
      <c r="K8" t="s">
        <v>20</v>
      </c>
      <c r="L8">
        <v>50</v>
      </c>
      <c r="M8" t="s">
        <v>1380</v>
      </c>
      <c r="N8" t="s">
        <v>20</v>
      </c>
    </row>
    <row r="9" spans="1:14" x14ac:dyDescent="0.25">
      <c r="A9">
        <v>6</v>
      </c>
      <c r="B9" t="s">
        <v>18</v>
      </c>
      <c r="C9" t="str">
        <f>HYPERLINK("http://www.ncbi.nlm.nih.gov/protein/XP_014968302.1","XP_014968302.1")</f>
        <v>XP_014968302.1</v>
      </c>
      <c r="D9">
        <v>177851</v>
      </c>
      <c r="E9" t="str">
        <f>HYPERLINK("http://www.ncbi.nlm.nih.gov/Taxonomy/Browser/wwwtax.cgi?mode=Info&amp;id=9544&amp;lvl=3&amp;lin=f&amp;keep=1&amp;srchmode=1&amp;unlock","9544")</f>
        <v>9544</v>
      </c>
      <c r="F9" t="s">
        <v>18</v>
      </c>
      <c r="G9" t="str">
        <f>HYPERLINK("http://www.ncbi.nlm.nih.gov/Taxonomy/Browser/wwwtax.cgi?mode=Info&amp;id=9544&amp;lvl=3&amp;lin=f&amp;keep=1&amp;srchmode=1&amp;unlock","Macaca mulatta")</f>
        <v>Macaca mulatta</v>
      </c>
      <c r="H9" t="s">
        <v>29</v>
      </c>
      <c r="I9" t="str">
        <f>HYPERLINK("http://www.ncbi.nlm.nih.gov/protein/XP_014968302.1","fatty acid-binding protein, liver")</f>
        <v>fatty acid-binding protein, liver</v>
      </c>
      <c r="J9" t="s">
        <v>1381</v>
      </c>
      <c r="K9" t="s">
        <v>20</v>
      </c>
      <c r="L9">
        <v>50</v>
      </c>
      <c r="M9" t="s">
        <v>1380</v>
      </c>
      <c r="N9" t="s">
        <v>20</v>
      </c>
    </row>
    <row r="10" spans="1:14" x14ac:dyDescent="0.25">
      <c r="A10">
        <v>6</v>
      </c>
      <c r="B10" t="s">
        <v>18</v>
      </c>
      <c r="C10" t="str">
        <f>HYPERLINK("http://www.ncbi.nlm.nih.gov/protein/XP_011764356.1","XP_011764356.1")</f>
        <v>XP_011764356.1</v>
      </c>
      <c r="D10">
        <v>68712</v>
      </c>
      <c r="E10" t="str">
        <f>HYPERLINK("http://www.ncbi.nlm.nih.gov/Taxonomy/Browser/wwwtax.cgi?mode=Info&amp;id=9545&amp;lvl=3&amp;lin=f&amp;keep=1&amp;srchmode=1&amp;unlock","9545")</f>
        <v>9545</v>
      </c>
      <c r="F10" t="s">
        <v>18</v>
      </c>
      <c r="G10" t="str">
        <f>HYPERLINK("http://www.ncbi.nlm.nih.gov/Taxonomy/Browser/wwwtax.cgi?mode=Info&amp;id=9545&amp;lvl=3&amp;lin=f&amp;keep=1&amp;srchmode=1&amp;unlock","Macaca nemestrina")</f>
        <v>Macaca nemestrina</v>
      </c>
      <c r="H10" t="s">
        <v>30</v>
      </c>
      <c r="I10" t="str">
        <f>HYPERLINK("http://www.ncbi.nlm.nih.gov/protein/XP_011764356.1","fatty acid-binding protein, liver")</f>
        <v>fatty acid-binding protein, liver</v>
      </c>
      <c r="J10" t="s">
        <v>1381</v>
      </c>
      <c r="K10" t="s">
        <v>20</v>
      </c>
      <c r="L10">
        <v>50</v>
      </c>
      <c r="M10" t="s">
        <v>1380</v>
      </c>
      <c r="N10" t="s">
        <v>20</v>
      </c>
    </row>
    <row r="11" spans="1:14" x14ac:dyDescent="0.25">
      <c r="A11">
        <v>6</v>
      </c>
      <c r="B11" t="s">
        <v>18</v>
      </c>
      <c r="C11" t="str">
        <f>HYPERLINK("http://www.ncbi.nlm.nih.gov/protein/XP_005575408.1","XP_005575408.1")</f>
        <v>XP_005575408.1</v>
      </c>
      <c r="D11">
        <v>98680</v>
      </c>
      <c r="E11" t="str">
        <f>HYPERLINK("http://www.ncbi.nlm.nih.gov/Taxonomy/Browser/wwwtax.cgi?mode=Info&amp;id=9541&amp;lvl=3&amp;lin=f&amp;keep=1&amp;srchmode=1&amp;unlock","9541")</f>
        <v>9541</v>
      </c>
      <c r="F11" t="s">
        <v>18</v>
      </c>
      <c r="G11" t="str">
        <f>HYPERLINK("http://www.ncbi.nlm.nih.gov/Taxonomy/Browser/wwwtax.cgi?mode=Info&amp;id=9541&amp;lvl=3&amp;lin=f&amp;keep=1&amp;srchmode=1&amp;unlock","Macaca fascicularis")</f>
        <v>Macaca fascicularis</v>
      </c>
      <c r="H11" t="s">
        <v>31</v>
      </c>
      <c r="I11" t="str">
        <f>HYPERLINK("http://www.ncbi.nlm.nih.gov/protein/XP_005575408.1","PREDICTED: fatty acid-binding protein, liver")</f>
        <v>PREDICTED: fatty acid-binding protein, liver</v>
      </c>
      <c r="J11" t="s">
        <v>1381</v>
      </c>
      <c r="K11" t="s">
        <v>20</v>
      </c>
      <c r="L11">
        <v>50</v>
      </c>
      <c r="M11" t="s">
        <v>1380</v>
      </c>
      <c r="N11" t="s">
        <v>20</v>
      </c>
    </row>
    <row r="12" spans="1:14" x14ac:dyDescent="0.25">
      <c r="A12">
        <v>6</v>
      </c>
      <c r="B12" t="s">
        <v>18</v>
      </c>
      <c r="C12" t="str">
        <f>HYPERLINK("http://www.ncbi.nlm.nih.gov/protein/XP_023050665.1","XP_023050665.1")</f>
        <v>XP_023050665.1</v>
      </c>
      <c r="D12">
        <v>55467</v>
      </c>
      <c r="E12" t="str">
        <f>HYPERLINK("http://www.ncbi.nlm.nih.gov/Taxonomy/Browser/wwwtax.cgi?mode=Info&amp;id=591936&amp;lvl=3&amp;lin=f&amp;keep=1&amp;srchmode=1&amp;unlock","591936")</f>
        <v>591936</v>
      </c>
      <c r="F12" t="s">
        <v>18</v>
      </c>
      <c r="G12" t="str">
        <f>HYPERLINK("http://www.ncbi.nlm.nih.gov/Taxonomy/Browser/wwwtax.cgi?mode=Info&amp;id=591936&amp;lvl=3&amp;lin=f&amp;keep=1&amp;srchmode=1&amp;unlock","Piliocolobus tephrosceles")</f>
        <v>Piliocolobus tephrosceles</v>
      </c>
      <c r="H12" t="s">
        <v>33</v>
      </c>
      <c r="I12" t="str">
        <f>HYPERLINK("http://www.ncbi.nlm.nih.gov/protein/XP_023050665.1","fatty acid-binding protein, liver")</f>
        <v>fatty acid-binding protein, liver</v>
      </c>
      <c r="J12" t="s">
        <v>1381</v>
      </c>
      <c r="K12" t="s">
        <v>20</v>
      </c>
      <c r="L12">
        <v>50</v>
      </c>
      <c r="M12" t="s">
        <v>1380</v>
      </c>
      <c r="N12" t="s">
        <v>20</v>
      </c>
    </row>
    <row r="13" spans="1:14" x14ac:dyDescent="0.25">
      <c r="A13">
        <v>6</v>
      </c>
      <c r="B13" t="s">
        <v>18</v>
      </c>
      <c r="C13" t="str">
        <f>HYPERLINK("http://www.ncbi.nlm.nih.gov/protein/XP_011808498.1","XP_011808498.1")</f>
        <v>XP_011808498.1</v>
      </c>
      <c r="D13">
        <v>38676</v>
      </c>
      <c r="E13" t="str">
        <f>HYPERLINK("http://www.ncbi.nlm.nih.gov/Taxonomy/Browser/wwwtax.cgi?mode=Info&amp;id=336983&amp;lvl=3&amp;lin=f&amp;keep=1&amp;srchmode=1&amp;unlock","336983")</f>
        <v>336983</v>
      </c>
      <c r="F13" t="s">
        <v>18</v>
      </c>
      <c r="G13" t="str">
        <f>HYPERLINK("http://www.ncbi.nlm.nih.gov/Taxonomy/Browser/wwwtax.cgi?mode=Info&amp;id=336983&amp;lvl=3&amp;lin=f&amp;keep=1&amp;srchmode=1&amp;unlock","Colobus angolensis palliatus")</f>
        <v>Colobus angolensis palliatus</v>
      </c>
      <c r="H13" t="s">
        <v>32</v>
      </c>
      <c r="I13" t="str">
        <f>HYPERLINK("http://www.ncbi.nlm.nih.gov/protein/XP_011808498.1","PREDICTED: fatty acid-binding protein, liver")</f>
        <v>PREDICTED: fatty acid-binding protein, liver</v>
      </c>
      <c r="J13" t="s">
        <v>1381</v>
      </c>
      <c r="K13" t="s">
        <v>20</v>
      </c>
      <c r="L13">
        <v>50</v>
      </c>
      <c r="M13" t="s">
        <v>1380</v>
      </c>
      <c r="N13" t="s">
        <v>20</v>
      </c>
    </row>
    <row r="14" spans="1:14" x14ac:dyDescent="0.25">
      <c r="A14">
        <v>6</v>
      </c>
      <c r="B14" t="s">
        <v>18</v>
      </c>
      <c r="C14" t="str">
        <f>HYPERLINK("http://www.ncbi.nlm.nih.gov/protein/XP_010376732.1","XP_010376732.1")</f>
        <v>XP_010376732.1</v>
      </c>
      <c r="D14">
        <v>53902</v>
      </c>
      <c r="E14" t="str">
        <f>HYPERLINK("http://www.ncbi.nlm.nih.gov/Taxonomy/Browser/wwwtax.cgi?mode=Info&amp;id=61622&amp;lvl=3&amp;lin=f&amp;keep=1&amp;srchmode=1&amp;unlock","61622")</f>
        <v>61622</v>
      </c>
      <c r="F14" t="s">
        <v>18</v>
      </c>
      <c r="G14" t="str">
        <f>HYPERLINK("http://www.ncbi.nlm.nih.gov/Taxonomy/Browser/wwwtax.cgi?mode=Info&amp;id=61622&amp;lvl=3&amp;lin=f&amp;keep=1&amp;srchmode=1&amp;unlock","Rhinopithecus roxellana")</f>
        <v>Rhinopithecus roxellana</v>
      </c>
      <c r="H14" t="s">
        <v>36</v>
      </c>
      <c r="I14" t="str">
        <f>HYPERLINK("http://www.ncbi.nlm.nih.gov/protein/XP_010376732.1","fatty acid-binding protein, liver")</f>
        <v>fatty acid-binding protein, liver</v>
      </c>
      <c r="J14" t="s">
        <v>1381</v>
      </c>
      <c r="K14" t="s">
        <v>20</v>
      </c>
      <c r="L14">
        <v>50</v>
      </c>
      <c r="M14" t="s">
        <v>1380</v>
      </c>
      <c r="N14" t="s">
        <v>20</v>
      </c>
    </row>
    <row r="15" spans="1:14" x14ac:dyDescent="0.25">
      <c r="A15">
        <v>6</v>
      </c>
      <c r="B15" t="s">
        <v>18</v>
      </c>
      <c r="C15" t="str">
        <f>HYPERLINK("http://www.ncbi.nlm.nih.gov/protein/XP_017713075.1","XP_017713075.1")</f>
        <v>XP_017713075.1</v>
      </c>
      <c r="D15">
        <v>49685</v>
      </c>
      <c r="E15" t="str">
        <f>HYPERLINK("http://www.ncbi.nlm.nih.gov/Taxonomy/Browser/wwwtax.cgi?mode=Info&amp;id=61621&amp;lvl=3&amp;lin=f&amp;keep=1&amp;srchmode=1&amp;unlock","61621")</f>
        <v>61621</v>
      </c>
      <c r="F15" t="s">
        <v>18</v>
      </c>
      <c r="G15" t="str">
        <f>HYPERLINK("http://www.ncbi.nlm.nih.gov/Taxonomy/Browser/wwwtax.cgi?mode=Info&amp;id=61621&amp;lvl=3&amp;lin=f&amp;keep=1&amp;srchmode=1&amp;unlock","Rhinopithecus bieti")</f>
        <v>Rhinopithecus bieti</v>
      </c>
      <c r="H15" t="s">
        <v>34</v>
      </c>
      <c r="I15" t="str">
        <f>HYPERLINK("http://www.ncbi.nlm.nih.gov/protein/XP_017713075.1","PREDICTED: fatty acid-binding protein, liver")</f>
        <v>PREDICTED: fatty acid-binding protein, liver</v>
      </c>
      <c r="J15" t="s">
        <v>1381</v>
      </c>
      <c r="K15" t="s">
        <v>20</v>
      </c>
      <c r="L15">
        <v>50</v>
      </c>
      <c r="M15" t="s">
        <v>1380</v>
      </c>
      <c r="N15" t="s">
        <v>20</v>
      </c>
    </row>
    <row r="16" spans="1:14" x14ac:dyDescent="0.25">
      <c r="A16">
        <v>6</v>
      </c>
      <c r="B16" t="s">
        <v>18</v>
      </c>
      <c r="C16" t="str">
        <f>HYPERLINK("http://www.ncbi.nlm.nih.gov/protein/XP_033031288.1","XP_033031288.1")</f>
        <v>XP_033031288.1</v>
      </c>
      <c r="D16">
        <v>64510</v>
      </c>
      <c r="E16" t="str">
        <f>HYPERLINK("http://www.ncbi.nlm.nih.gov/Taxonomy/Browser/wwwtax.cgi?mode=Info&amp;id=54180&amp;lvl=3&amp;lin=f&amp;keep=1&amp;srchmode=1&amp;unlock","54180")</f>
        <v>54180</v>
      </c>
      <c r="F16" t="s">
        <v>18</v>
      </c>
      <c r="G16" t="str">
        <f>HYPERLINK("http://www.ncbi.nlm.nih.gov/Taxonomy/Browser/wwwtax.cgi?mode=Info&amp;id=54180&amp;lvl=3&amp;lin=f&amp;keep=1&amp;srchmode=1&amp;unlock","Trachypithecus francoisi")</f>
        <v>Trachypithecus francoisi</v>
      </c>
      <c r="H16" t="s">
        <v>35</v>
      </c>
      <c r="I16" t="str">
        <f>HYPERLINK("http://www.ncbi.nlm.nih.gov/protein/XP_033031288.1","fatty acid-binding protein, liver")</f>
        <v>fatty acid-binding protein, liver</v>
      </c>
      <c r="J16" t="s">
        <v>1381</v>
      </c>
      <c r="K16" t="s">
        <v>20</v>
      </c>
      <c r="L16">
        <v>50</v>
      </c>
      <c r="M16" t="s">
        <v>1380</v>
      </c>
      <c r="N16" t="s">
        <v>20</v>
      </c>
    </row>
    <row r="17" spans="1:14" x14ac:dyDescent="0.25">
      <c r="A17">
        <v>6</v>
      </c>
      <c r="B17" t="s">
        <v>18</v>
      </c>
      <c r="C17" t="str">
        <f>HYPERLINK("http://www.ncbi.nlm.nih.gov/protein/XP_002922387.1","XP_002922387.1")</f>
        <v>XP_002922387.1</v>
      </c>
      <c r="D17">
        <v>73410</v>
      </c>
      <c r="E17" t="str">
        <f>HYPERLINK("http://www.ncbi.nlm.nih.gov/Taxonomy/Browser/wwwtax.cgi?mode=Info&amp;id=9646&amp;lvl=3&amp;lin=f&amp;keep=1&amp;srchmode=1&amp;unlock","9646")</f>
        <v>9646</v>
      </c>
      <c r="F17" t="s">
        <v>18</v>
      </c>
      <c r="G17" t="str">
        <f>HYPERLINK("http://www.ncbi.nlm.nih.gov/Taxonomy/Browser/wwwtax.cgi?mode=Info&amp;id=9646&amp;lvl=3&amp;lin=f&amp;keep=1&amp;srchmode=1&amp;unlock","Ailuropoda melanoleuca")</f>
        <v>Ailuropoda melanoleuca</v>
      </c>
      <c r="H17" t="s">
        <v>37</v>
      </c>
      <c r="I17" t="str">
        <f>HYPERLINK("http://www.ncbi.nlm.nih.gov/protein/XP_002922387.1","fatty acid-binding protein, liver")</f>
        <v>fatty acid-binding protein, liver</v>
      </c>
      <c r="J17" t="s">
        <v>1381</v>
      </c>
      <c r="K17" t="s">
        <v>25</v>
      </c>
      <c r="L17">
        <v>50</v>
      </c>
      <c r="M17" t="s">
        <v>1382</v>
      </c>
      <c r="N17" t="s">
        <v>25</v>
      </c>
    </row>
    <row r="18" spans="1:14" x14ac:dyDescent="0.25">
      <c r="A18">
        <v>6</v>
      </c>
      <c r="B18" t="s">
        <v>18</v>
      </c>
      <c r="C18" t="str">
        <f>HYPERLINK("http://www.ncbi.nlm.nih.gov/protein/XP_003908995.2","XP_003908995.2")</f>
        <v>XP_003908995.2</v>
      </c>
      <c r="D18">
        <v>73528</v>
      </c>
      <c r="E18" t="str">
        <f>HYPERLINK("http://www.ncbi.nlm.nih.gov/Taxonomy/Browser/wwwtax.cgi?mode=Info&amp;id=9555&amp;lvl=3&amp;lin=f&amp;keep=1&amp;srchmode=1&amp;unlock","9555")</f>
        <v>9555</v>
      </c>
      <c r="F18" t="s">
        <v>18</v>
      </c>
      <c r="G18" t="str">
        <f>HYPERLINK("http://www.ncbi.nlm.nih.gov/Taxonomy/Browser/wwwtax.cgi?mode=Info&amp;id=9555&amp;lvl=3&amp;lin=f&amp;keep=1&amp;srchmode=1&amp;unlock","Papio anubis")</f>
        <v>Papio anubis</v>
      </c>
      <c r="H18" t="s">
        <v>38</v>
      </c>
      <c r="I18" t="str">
        <f>HYPERLINK("http://www.ncbi.nlm.nih.gov/protein/XP_003908995.2","fatty acid-binding protein, liver")</f>
        <v>fatty acid-binding protein, liver</v>
      </c>
      <c r="J18" t="s">
        <v>1381</v>
      </c>
      <c r="K18" t="s">
        <v>20</v>
      </c>
      <c r="L18">
        <v>50</v>
      </c>
      <c r="M18" t="s">
        <v>1380</v>
      </c>
      <c r="N18" t="s">
        <v>20</v>
      </c>
    </row>
    <row r="19" spans="1:14" x14ac:dyDescent="0.25">
      <c r="A19">
        <v>6</v>
      </c>
      <c r="B19" t="s">
        <v>18</v>
      </c>
      <c r="C19" t="str">
        <f>HYPERLINK("http://www.ncbi.nlm.nih.gov/protein/CAD7676679.1","CAD7676679.1")</f>
        <v>CAD7676679.1</v>
      </c>
      <c r="D19">
        <v>27261</v>
      </c>
      <c r="E19" t="str">
        <f>HYPERLINK("http://www.ncbi.nlm.nih.gov/Taxonomy/Browser/wwwtax.cgi?mode=Info&amp;id=34880&amp;lvl=3&amp;lin=f&amp;keep=1&amp;srchmode=1&amp;unlock","34880")</f>
        <v>34880</v>
      </c>
      <c r="F19" t="s">
        <v>18</v>
      </c>
      <c r="G19" t="str">
        <f>HYPERLINK("http://www.ncbi.nlm.nih.gov/Taxonomy/Browser/wwwtax.cgi?mode=Info&amp;id=34880&amp;lvl=3&amp;lin=f&amp;keep=1&amp;srchmode=1&amp;unlock","Nyctereutes procyonoides")</f>
        <v>Nyctereutes procyonoides</v>
      </c>
      <c r="H19" t="s">
        <v>39</v>
      </c>
      <c r="I19" t="str">
        <f>HYPERLINK("http://www.ncbi.nlm.nih.gov/protein/CAD7676679.1","unnamed protein product")</f>
        <v>unnamed protein product</v>
      </c>
      <c r="J19" t="s">
        <v>1381</v>
      </c>
      <c r="K19" t="s">
        <v>25</v>
      </c>
      <c r="L19">
        <v>50</v>
      </c>
      <c r="M19" t="s">
        <v>1382</v>
      </c>
      <c r="N19" t="s">
        <v>25</v>
      </c>
    </row>
    <row r="20" spans="1:14" x14ac:dyDescent="0.25">
      <c r="A20">
        <v>6</v>
      </c>
      <c r="B20" t="s">
        <v>18</v>
      </c>
      <c r="C20" t="str">
        <f>HYPERLINK("http://www.ncbi.nlm.nih.gov/protein/XP_025850451.1","XP_025850451.1")</f>
        <v>XP_025850451.1</v>
      </c>
      <c r="D20">
        <v>38432</v>
      </c>
      <c r="E20" t="str">
        <f>HYPERLINK("http://www.ncbi.nlm.nih.gov/Taxonomy/Browser/wwwtax.cgi?mode=Info&amp;id=9627&amp;lvl=3&amp;lin=f&amp;keep=1&amp;srchmode=1&amp;unlock","9627")</f>
        <v>9627</v>
      </c>
      <c r="F20" t="s">
        <v>18</v>
      </c>
      <c r="G20" t="str">
        <f>HYPERLINK("http://www.ncbi.nlm.nih.gov/Taxonomy/Browser/wwwtax.cgi?mode=Info&amp;id=9627&amp;lvl=3&amp;lin=f&amp;keep=1&amp;srchmode=1&amp;unlock","Vulpes vulpes")</f>
        <v>Vulpes vulpes</v>
      </c>
      <c r="H20" t="s">
        <v>40</v>
      </c>
      <c r="I20" t="str">
        <f>HYPERLINK("http://www.ncbi.nlm.nih.gov/protein/XP_025850451.1","fatty acid-binding protein, liver")</f>
        <v>fatty acid-binding protein, liver</v>
      </c>
      <c r="J20" t="s">
        <v>1381</v>
      </c>
      <c r="K20" t="s">
        <v>25</v>
      </c>
      <c r="L20">
        <v>50</v>
      </c>
      <c r="M20" t="s">
        <v>1382</v>
      </c>
      <c r="N20" t="s">
        <v>25</v>
      </c>
    </row>
    <row r="21" spans="1:14" x14ac:dyDescent="0.25">
      <c r="A21">
        <v>6</v>
      </c>
      <c r="B21" t="s">
        <v>18</v>
      </c>
      <c r="C21" t="str">
        <f>HYPERLINK("http://www.ncbi.nlm.nih.gov/protein/XP_025209942.1","XP_025209942.1")</f>
        <v>XP_025209942.1</v>
      </c>
      <c r="D21">
        <v>52581</v>
      </c>
      <c r="E21" t="str">
        <f>HYPERLINK("http://www.ncbi.nlm.nih.gov/Taxonomy/Browser/wwwtax.cgi?mode=Info&amp;id=9565&amp;lvl=3&amp;lin=f&amp;keep=1&amp;srchmode=1&amp;unlock","9565")</f>
        <v>9565</v>
      </c>
      <c r="F21" t="s">
        <v>18</v>
      </c>
      <c r="G21" t="str">
        <f>HYPERLINK("http://www.ncbi.nlm.nih.gov/Taxonomy/Browser/wwwtax.cgi?mode=Info&amp;id=9565&amp;lvl=3&amp;lin=f&amp;keep=1&amp;srchmode=1&amp;unlock","Theropithecus gelada")</f>
        <v>Theropithecus gelada</v>
      </c>
      <c r="H21" t="s">
        <v>41</v>
      </c>
      <c r="I21" t="str">
        <f>HYPERLINK("http://www.ncbi.nlm.nih.gov/protein/XP_025209942.1","fatty acid-binding protein, liver")</f>
        <v>fatty acid-binding protein, liver</v>
      </c>
      <c r="J21" t="s">
        <v>1381</v>
      </c>
      <c r="K21" t="s">
        <v>20</v>
      </c>
      <c r="L21">
        <v>50</v>
      </c>
      <c r="M21" t="s">
        <v>1380</v>
      </c>
      <c r="N21" t="s">
        <v>20</v>
      </c>
    </row>
    <row r="22" spans="1:14" x14ac:dyDescent="0.25">
      <c r="A22">
        <v>6</v>
      </c>
      <c r="B22" t="s">
        <v>18</v>
      </c>
      <c r="C22" t="str">
        <f>HYPERLINK("http://www.ncbi.nlm.nih.gov/protein/XP_011827150.1","XP_011827150.1")</f>
        <v>XP_011827150.1</v>
      </c>
      <c r="D22">
        <v>38457</v>
      </c>
      <c r="E22" t="str">
        <f>HYPERLINK("http://www.ncbi.nlm.nih.gov/Taxonomy/Browser/wwwtax.cgi?mode=Info&amp;id=9568&amp;lvl=3&amp;lin=f&amp;keep=1&amp;srchmode=1&amp;unlock","9568")</f>
        <v>9568</v>
      </c>
      <c r="F22" t="s">
        <v>18</v>
      </c>
      <c r="G22" t="str">
        <f>HYPERLINK("http://www.ncbi.nlm.nih.gov/Taxonomy/Browser/wwwtax.cgi?mode=Info&amp;id=9568&amp;lvl=3&amp;lin=f&amp;keep=1&amp;srchmode=1&amp;unlock","Mandrillus leucophaeus")</f>
        <v>Mandrillus leucophaeus</v>
      </c>
      <c r="H22" t="s">
        <v>43</v>
      </c>
      <c r="I22" t="str">
        <f>HYPERLINK("http://www.ncbi.nlm.nih.gov/protein/XP_011827150.1","PREDICTED: fatty acid-binding protein, liver")</f>
        <v>PREDICTED: fatty acid-binding protein, liver</v>
      </c>
      <c r="J22" t="s">
        <v>1381</v>
      </c>
      <c r="K22" t="s">
        <v>20</v>
      </c>
      <c r="L22">
        <v>50</v>
      </c>
      <c r="M22" t="s">
        <v>1380</v>
      </c>
      <c r="N22" t="s">
        <v>20</v>
      </c>
    </row>
    <row r="23" spans="1:14" x14ac:dyDescent="0.25">
      <c r="A23">
        <v>6</v>
      </c>
      <c r="B23" t="s">
        <v>18</v>
      </c>
      <c r="C23" t="str">
        <f>HYPERLINK("http://www.ncbi.nlm.nih.gov/protein/VCX10107.1","VCX10107.1")</f>
        <v>VCX10107.1</v>
      </c>
      <c r="D23">
        <v>19820</v>
      </c>
      <c r="E23" t="str">
        <f>HYPERLINK("http://www.ncbi.nlm.nih.gov/Taxonomy/Browser/wwwtax.cgi?mode=Info&amp;id=48420&amp;lvl=3&amp;lin=f&amp;keep=1&amp;srchmode=1&amp;unlock","48420")</f>
        <v>48420</v>
      </c>
      <c r="F23" t="s">
        <v>18</v>
      </c>
      <c r="G23" t="str">
        <f>HYPERLINK("http://www.ncbi.nlm.nih.gov/Taxonomy/Browser/wwwtax.cgi?mode=Info&amp;id=48420&amp;lvl=3&amp;lin=f&amp;keep=1&amp;srchmode=1&amp;unlock","Gulo gulo")</f>
        <v>Gulo gulo</v>
      </c>
      <c r="H23" t="s">
        <v>42</v>
      </c>
      <c r="I23" t="str">
        <f>HYPERLINK("http://www.ncbi.nlm.nih.gov/protein/VCX10107.1","unnamed protein product")</f>
        <v>unnamed protein product</v>
      </c>
      <c r="J23" t="s">
        <v>1381</v>
      </c>
      <c r="K23" t="s">
        <v>25</v>
      </c>
      <c r="L23">
        <v>50</v>
      </c>
      <c r="M23" t="s">
        <v>1382</v>
      </c>
      <c r="N23" t="s">
        <v>25</v>
      </c>
    </row>
    <row r="24" spans="1:14" x14ac:dyDescent="0.25">
      <c r="A24">
        <v>6</v>
      </c>
      <c r="B24" t="s">
        <v>18</v>
      </c>
      <c r="C24" t="str">
        <f>HYPERLINK("http://www.ncbi.nlm.nih.gov/protein/XP_039108582.1","XP_039108582.1")</f>
        <v>XP_039108582.1</v>
      </c>
      <c r="D24">
        <v>41430</v>
      </c>
      <c r="E24" t="str">
        <f>HYPERLINK("http://www.ncbi.nlm.nih.gov/Taxonomy/Browser/wwwtax.cgi?mode=Info&amp;id=95912&amp;lvl=3&amp;lin=f&amp;keep=1&amp;srchmode=1&amp;unlock","95912")</f>
        <v>95912</v>
      </c>
      <c r="F24" t="s">
        <v>18</v>
      </c>
      <c r="G24" t="str">
        <f>HYPERLINK("http://www.ncbi.nlm.nih.gov/Taxonomy/Browser/wwwtax.cgi?mode=Info&amp;id=95912&amp;lvl=3&amp;lin=f&amp;keep=1&amp;srchmode=1&amp;unlock","Hyaena hyaena")</f>
        <v>Hyaena hyaena</v>
      </c>
      <c r="H24" t="s">
        <v>44</v>
      </c>
      <c r="I24" t="str">
        <f>HYPERLINK("http://www.ncbi.nlm.nih.gov/protein/XP_039108582.1","fatty acid-binding protein, liver")</f>
        <v>fatty acid-binding protein, liver</v>
      </c>
      <c r="J24" t="s">
        <v>1381</v>
      </c>
      <c r="K24" t="s">
        <v>25</v>
      </c>
      <c r="L24">
        <v>50</v>
      </c>
      <c r="M24" t="s">
        <v>1382</v>
      </c>
      <c r="N24" t="s">
        <v>25</v>
      </c>
    </row>
    <row r="25" spans="1:14" x14ac:dyDescent="0.25">
      <c r="A25">
        <v>6</v>
      </c>
      <c r="B25" t="s">
        <v>18</v>
      </c>
      <c r="C25" t="str">
        <f>HYPERLINK("http://www.ncbi.nlm.nih.gov/protein/XP_026336895.1","XP_026336895.1")</f>
        <v>XP_026336895.1</v>
      </c>
      <c r="D25">
        <v>43159</v>
      </c>
      <c r="E25" t="str">
        <f>HYPERLINK("http://www.ncbi.nlm.nih.gov/Taxonomy/Browser/wwwtax.cgi?mode=Info&amp;id=116960&amp;lvl=3&amp;lin=f&amp;keep=1&amp;srchmode=1&amp;unlock","116960")</f>
        <v>116960</v>
      </c>
      <c r="F25" t="s">
        <v>18</v>
      </c>
      <c r="G25" t="str">
        <f>HYPERLINK("http://www.ncbi.nlm.nih.gov/Taxonomy/Browser/wwwtax.cgi?mode=Info&amp;id=116960&amp;lvl=3&amp;lin=f&amp;keep=1&amp;srchmode=1&amp;unlock","Ursus arctos horribilis")</f>
        <v>Ursus arctos horribilis</v>
      </c>
      <c r="H25" t="s">
        <v>45</v>
      </c>
      <c r="I25" t="str">
        <f>HYPERLINK("http://www.ncbi.nlm.nih.gov/protein/XP_026336895.1","fatty acid-binding protein, liver")</f>
        <v>fatty acid-binding protein, liver</v>
      </c>
      <c r="J25" t="s">
        <v>1381</v>
      </c>
      <c r="K25" t="s">
        <v>25</v>
      </c>
      <c r="L25">
        <v>50</v>
      </c>
      <c r="M25" t="s">
        <v>1382</v>
      </c>
      <c r="N25" t="s">
        <v>25</v>
      </c>
    </row>
    <row r="26" spans="1:14" x14ac:dyDescent="0.25">
      <c r="A26">
        <v>6</v>
      </c>
      <c r="B26" t="s">
        <v>18</v>
      </c>
      <c r="C26" t="str">
        <f>HYPERLINK("http://www.ncbi.nlm.nih.gov/protein/XP_006741225.1","XP_006741225.1")</f>
        <v>XP_006741225.1</v>
      </c>
      <c r="D26">
        <v>40472</v>
      </c>
      <c r="E26" t="str">
        <f>HYPERLINK("http://www.ncbi.nlm.nih.gov/Taxonomy/Browser/wwwtax.cgi?mode=Info&amp;id=9713&amp;lvl=3&amp;lin=f&amp;keep=1&amp;srchmode=1&amp;unlock","9713")</f>
        <v>9713</v>
      </c>
      <c r="F26" t="s">
        <v>18</v>
      </c>
      <c r="G26" t="str">
        <f>HYPERLINK("http://www.ncbi.nlm.nih.gov/Taxonomy/Browser/wwwtax.cgi?mode=Info&amp;id=9713&amp;lvl=3&amp;lin=f&amp;keep=1&amp;srchmode=1&amp;unlock","Leptonychotes weddellii")</f>
        <v>Leptonychotes weddellii</v>
      </c>
      <c r="H26" t="s">
        <v>49</v>
      </c>
      <c r="I26" t="str">
        <f>HYPERLINK("http://www.ncbi.nlm.nih.gov/protein/XP_006741225.1","fatty acid-binding protein, liver")</f>
        <v>fatty acid-binding protein, liver</v>
      </c>
      <c r="J26" t="s">
        <v>1381</v>
      </c>
      <c r="K26" t="s">
        <v>25</v>
      </c>
      <c r="L26">
        <v>50</v>
      </c>
      <c r="M26" t="s">
        <v>1382</v>
      </c>
      <c r="N26" t="s">
        <v>25</v>
      </c>
    </row>
    <row r="27" spans="1:14" x14ac:dyDescent="0.25">
      <c r="A27">
        <v>6</v>
      </c>
      <c r="B27" t="s">
        <v>18</v>
      </c>
      <c r="C27" t="str">
        <f>HYPERLINK("http://www.ncbi.nlm.nih.gov/protein/XP_021553255.1","XP_021553255.1")</f>
        <v>XP_021553255.1</v>
      </c>
      <c r="D27">
        <v>28446</v>
      </c>
      <c r="E27" t="str">
        <f>HYPERLINK("http://www.ncbi.nlm.nih.gov/Taxonomy/Browser/wwwtax.cgi?mode=Info&amp;id=29088&amp;lvl=3&amp;lin=f&amp;keep=1&amp;srchmode=1&amp;unlock","29088")</f>
        <v>29088</v>
      </c>
      <c r="F27" t="s">
        <v>18</v>
      </c>
      <c r="G27" t="str">
        <f>HYPERLINK("http://www.ncbi.nlm.nih.gov/Taxonomy/Browser/wwwtax.cgi?mode=Info&amp;id=29088&amp;lvl=3&amp;lin=f&amp;keep=1&amp;srchmode=1&amp;unlock","Neomonachus schauinslandi")</f>
        <v>Neomonachus schauinslandi</v>
      </c>
      <c r="H27" t="s">
        <v>50</v>
      </c>
      <c r="I27" t="str">
        <f>HYPERLINK("http://www.ncbi.nlm.nih.gov/protein/XP_021553255.1","fatty acid-binding protein, liver")</f>
        <v>fatty acid-binding protein, liver</v>
      </c>
      <c r="J27" t="s">
        <v>1381</v>
      </c>
      <c r="K27" t="s">
        <v>25</v>
      </c>
      <c r="L27">
        <v>50</v>
      </c>
      <c r="M27" t="s">
        <v>1382</v>
      </c>
      <c r="N27" t="s">
        <v>25</v>
      </c>
    </row>
    <row r="28" spans="1:14" x14ac:dyDescent="0.25">
      <c r="A28">
        <v>6</v>
      </c>
      <c r="B28" t="s">
        <v>18</v>
      </c>
      <c r="C28" t="str">
        <f>HYPERLINK("http://www.ncbi.nlm.nih.gov/protein/XP_032208604.1","XP_032208604.1")</f>
        <v>XP_032208604.1</v>
      </c>
      <c r="D28">
        <v>60653</v>
      </c>
      <c r="E28" t="str">
        <f>HYPERLINK("http://www.ncbi.nlm.nih.gov/Taxonomy/Browser/wwwtax.cgi?mode=Info&amp;id=36723&amp;lvl=3&amp;lin=f&amp;keep=1&amp;srchmode=1&amp;unlock","36723")</f>
        <v>36723</v>
      </c>
      <c r="F28" t="s">
        <v>18</v>
      </c>
      <c r="G28" t="str">
        <f>HYPERLINK("http://www.ncbi.nlm.nih.gov/Taxonomy/Browser/wwwtax.cgi?mode=Info&amp;id=36723&amp;lvl=3&amp;lin=f&amp;keep=1&amp;srchmode=1&amp;unlock","Mustela erminea")</f>
        <v>Mustela erminea</v>
      </c>
      <c r="H28" t="s">
        <v>51</v>
      </c>
      <c r="I28" t="str">
        <f>HYPERLINK("http://www.ncbi.nlm.nih.gov/protein/XP_032208604.1","fatty acid-binding protein, liver")</f>
        <v>fatty acid-binding protein, liver</v>
      </c>
      <c r="J28" t="s">
        <v>1381</v>
      </c>
      <c r="K28" t="s">
        <v>25</v>
      </c>
      <c r="L28">
        <v>50</v>
      </c>
      <c r="M28" t="s">
        <v>1382</v>
      </c>
      <c r="N28" t="s">
        <v>25</v>
      </c>
    </row>
    <row r="29" spans="1:14" x14ac:dyDescent="0.25">
      <c r="A29">
        <v>6</v>
      </c>
      <c r="B29" t="s">
        <v>18</v>
      </c>
      <c r="C29" t="str">
        <f>HYPERLINK("http://www.ncbi.nlm.nih.gov/protein/XP_032736499.1","XP_032736499.1")</f>
        <v>XP_032736499.1</v>
      </c>
      <c r="D29">
        <v>48403</v>
      </c>
      <c r="E29" t="str">
        <f>HYPERLINK("http://www.ncbi.nlm.nih.gov/Taxonomy/Browser/wwwtax.cgi?mode=Info&amp;id=76717&amp;lvl=3&amp;lin=f&amp;keep=1&amp;srchmode=1&amp;unlock","76717")</f>
        <v>76717</v>
      </c>
      <c r="F29" t="s">
        <v>18</v>
      </c>
      <c r="G29" t="str">
        <f>HYPERLINK("http://www.ncbi.nlm.nih.gov/Taxonomy/Browser/wwwtax.cgi?mode=Info&amp;id=76717&amp;lvl=3&amp;lin=f&amp;keep=1&amp;srchmode=1&amp;unlock","Lontra canadensis")</f>
        <v>Lontra canadensis</v>
      </c>
      <c r="H29" t="s">
        <v>47</v>
      </c>
      <c r="I29" t="str">
        <f>HYPERLINK("http://www.ncbi.nlm.nih.gov/protein/XP_032736499.1","fatty acid-binding protein, liver")</f>
        <v>fatty acid-binding protein, liver</v>
      </c>
      <c r="J29" t="s">
        <v>1381</v>
      </c>
      <c r="K29" t="s">
        <v>25</v>
      </c>
      <c r="L29">
        <v>50</v>
      </c>
      <c r="M29" t="s">
        <v>1382</v>
      </c>
      <c r="N29" t="s">
        <v>25</v>
      </c>
    </row>
    <row r="30" spans="1:14" x14ac:dyDescent="0.25">
      <c r="A30">
        <v>6</v>
      </c>
      <c r="B30" t="s">
        <v>18</v>
      </c>
      <c r="C30" t="str">
        <f>HYPERLINK("http://www.ncbi.nlm.nih.gov/protein/XP_032267051.1","XP_032267051.1")</f>
        <v>XP_032267051.1</v>
      </c>
      <c r="D30">
        <v>45582</v>
      </c>
      <c r="E30" t="str">
        <f>HYPERLINK("http://www.ncbi.nlm.nih.gov/Taxonomy/Browser/wwwtax.cgi?mode=Info&amp;id=9720&amp;lvl=3&amp;lin=f&amp;keep=1&amp;srchmode=1&amp;unlock","9720")</f>
        <v>9720</v>
      </c>
      <c r="F30" t="s">
        <v>18</v>
      </c>
      <c r="G30" t="str">
        <f>HYPERLINK("http://www.ncbi.nlm.nih.gov/Taxonomy/Browser/wwwtax.cgi?mode=Info&amp;id=9720&amp;lvl=3&amp;lin=f&amp;keep=1&amp;srchmode=1&amp;unlock","Phoca vitulina")</f>
        <v>Phoca vitulina</v>
      </c>
      <c r="H30" t="s">
        <v>46</v>
      </c>
      <c r="I30" t="str">
        <f>HYPERLINK("http://www.ncbi.nlm.nih.gov/protein/XP_032267051.1","fatty acid-binding protein, liver")</f>
        <v>fatty acid-binding protein, liver</v>
      </c>
      <c r="J30" t="s">
        <v>1381</v>
      </c>
      <c r="K30" t="s">
        <v>25</v>
      </c>
      <c r="L30">
        <v>50</v>
      </c>
      <c r="M30" t="s">
        <v>1382</v>
      </c>
      <c r="N30" t="s">
        <v>25</v>
      </c>
    </row>
    <row r="31" spans="1:14" x14ac:dyDescent="0.25">
      <c r="A31">
        <v>6</v>
      </c>
      <c r="B31" t="s">
        <v>18</v>
      </c>
      <c r="C31" t="str">
        <f>HYPERLINK("http://www.ncbi.nlm.nih.gov/protein/XP_004742435.1","XP_004742435.1")</f>
        <v>XP_004742435.1</v>
      </c>
      <c r="D31">
        <v>48574</v>
      </c>
      <c r="E31" t="str">
        <f>HYPERLINK("http://www.ncbi.nlm.nih.gov/Taxonomy/Browser/wwwtax.cgi?mode=Info&amp;id=9669&amp;lvl=3&amp;lin=f&amp;keep=1&amp;srchmode=1&amp;unlock","9669")</f>
        <v>9669</v>
      </c>
      <c r="F31" t="s">
        <v>18</v>
      </c>
      <c r="G31" t="str">
        <f>HYPERLINK("http://www.ncbi.nlm.nih.gov/Taxonomy/Browser/wwwtax.cgi?mode=Info&amp;id=9669&amp;lvl=3&amp;lin=f&amp;keep=1&amp;srchmode=1&amp;unlock","Mustela putorius furo")</f>
        <v>Mustela putorius furo</v>
      </c>
      <c r="H31" t="s">
        <v>48</v>
      </c>
      <c r="I31" t="str">
        <f>HYPERLINK("http://www.ncbi.nlm.nih.gov/protein/XP_004742435.1","PREDICTED: fatty acid-binding protein, liver")</f>
        <v>PREDICTED: fatty acid-binding protein, liver</v>
      </c>
      <c r="J31" t="s">
        <v>1381</v>
      </c>
      <c r="K31" t="s">
        <v>25</v>
      </c>
      <c r="L31">
        <v>50</v>
      </c>
      <c r="M31" t="s">
        <v>1382</v>
      </c>
      <c r="N31" t="s">
        <v>25</v>
      </c>
    </row>
    <row r="32" spans="1:14" x14ac:dyDescent="0.25">
      <c r="A32">
        <v>6</v>
      </c>
      <c r="B32" t="s">
        <v>18</v>
      </c>
      <c r="C32" t="str">
        <f>HYPERLINK("http://www.ncbi.nlm.nih.gov/protein/AAX62515.1","AAX62515.1")</f>
        <v>AAX62515.1</v>
      </c>
      <c r="D32">
        <v>83623</v>
      </c>
      <c r="E32" t="str">
        <f>HYPERLINK("http://www.ncbi.nlm.nih.gov/Taxonomy/Browser/wwwtax.cgi?mode=Info&amp;id=9823&amp;lvl=3&amp;lin=f&amp;keep=1&amp;srchmode=1&amp;unlock","9823")</f>
        <v>9823</v>
      </c>
      <c r="F32" t="s">
        <v>18</v>
      </c>
      <c r="G32" t="str">
        <f>HYPERLINK("http://www.ncbi.nlm.nih.gov/Taxonomy/Browser/wwwtax.cgi?mode=Info&amp;id=9823&amp;lvl=3&amp;lin=f&amp;keep=1&amp;srchmode=1&amp;unlock","Sus scrofa")</f>
        <v>Sus scrofa</v>
      </c>
      <c r="H32" t="s">
        <v>55</v>
      </c>
      <c r="I32" t="str">
        <f>HYPERLINK("http://www.ncbi.nlm.nih.gov/protein/AAX62515.1","liver fatty acid binding protein")</f>
        <v>liver fatty acid binding protein</v>
      </c>
      <c r="J32" t="s">
        <v>1381</v>
      </c>
      <c r="K32" t="s">
        <v>25</v>
      </c>
      <c r="L32">
        <v>50</v>
      </c>
      <c r="M32" t="s">
        <v>1382</v>
      </c>
      <c r="N32" t="s">
        <v>25</v>
      </c>
    </row>
    <row r="33" spans="1:14" x14ac:dyDescent="0.25">
      <c r="A33">
        <v>6</v>
      </c>
      <c r="B33" t="s">
        <v>18</v>
      </c>
      <c r="C33" t="str">
        <f>HYPERLINK("http://www.ncbi.nlm.nih.gov/protein/NP_001273980.1","NP_001273980.1")</f>
        <v>NP_001273980.1</v>
      </c>
      <c r="D33">
        <v>136175</v>
      </c>
      <c r="E33" t="str">
        <f>HYPERLINK("http://www.ncbi.nlm.nih.gov/Taxonomy/Browser/wwwtax.cgi?mode=Info&amp;id=9615&amp;lvl=3&amp;lin=f&amp;keep=1&amp;srchmode=1&amp;unlock","9615")</f>
        <v>9615</v>
      </c>
      <c r="F33" t="s">
        <v>18</v>
      </c>
      <c r="G33" t="str">
        <f>HYPERLINK("http://www.ncbi.nlm.nih.gov/Taxonomy/Browser/wwwtax.cgi?mode=Info&amp;id=9615&amp;lvl=3&amp;lin=f&amp;keep=1&amp;srchmode=1&amp;unlock","Canis lupus familiaris")</f>
        <v>Canis lupus familiaris</v>
      </c>
      <c r="H33" t="s">
        <v>54</v>
      </c>
      <c r="I33" t="str">
        <f>HYPERLINK("http://www.ncbi.nlm.nih.gov/protein/NP_001273980.1","fatty acid-binding protein, liver")</f>
        <v>fatty acid-binding protein, liver</v>
      </c>
      <c r="J33" t="s">
        <v>1381</v>
      </c>
      <c r="K33" t="s">
        <v>25</v>
      </c>
      <c r="L33">
        <v>50</v>
      </c>
      <c r="M33" t="s">
        <v>1382</v>
      </c>
      <c r="N33" t="s">
        <v>25</v>
      </c>
    </row>
    <row r="34" spans="1:14" x14ac:dyDescent="0.25">
      <c r="A34">
        <v>6</v>
      </c>
      <c r="B34" t="s">
        <v>18</v>
      </c>
      <c r="C34" t="str">
        <f>HYPERLINK("http://www.ncbi.nlm.nih.gov/protein/XP_008006679.1","XP_008006679.1")</f>
        <v>XP_008006679.1</v>
      </c>
      <c r="D34">
        <v>62297</v>
      </c>
      <c r="E34" t="str">
        <f>HYPERLINK("http://www.ncbi.nlm.nih.gov/Taxonomy/Browser/wwwtax.cgi?mode=Info&amp;id=60711&amp;lvl=3&amp;lin=f&amp;keep=1&amp;srchmode=1&amp;unlock","60711")</f>
        <v>60711</v>
      </c>
      <c r="F34" t="s">
        <v>18</v>
      </c>
      <c r="G34" t="str">
        <f>HYPERLINK("http://www.ncbi.nlm.nih.gov/Taxonomy/Browser/wwwtax.cgi?mode=Info&amp;id=60711&amp;lvl=3&amp;lin=f&amp;keep=1&amp;srchmode=1&amp;unlock","Chlorocebus sabaeus")</f>
        <v>Chlorocebus sabaeus</v>
      </c>
      <c r="H34" t="s">
        <v>52</v>
      </c>
      <c r="I34" t="str">
        <f>HYPERLINK("http://www.ncbi.nlm.nih.gov/protein/XP_008006679.1","fatty acid-binding protein, liver")</f>
        <v>fatty acid-binding protein, liver</v>
      </c>
      <c r="J34" t="s">
        <v>1381</v>
      </c>
      <c r="K34" t="s">
        <v>20</v>
      </c>
      <c r="L34">
        <v>50</v>
      </c>
      <c r="M34" t="s">
        <v>1380</v>
      </c>
      <c r="N34" t="s">
        <v>20</v>
      </c>
    </row>
    <row r="35" spans="1:14" x14ac:dyDescent="0.25">
      <c r="A35">
        <v>6</v>
      </c>
      <c r="B35" t="s">
        <v>18</v>
      </c>
      <c r="C35" t="str">
        <f>HYPERLINK("http://www.ncbi.nlm.nih.gov/protein/XP_025309650.1","XP_025309650.1")</f>
        <v>XP_025309650.1</v>
      </c>
      <c r="D35">
        <v>70986</v>
      </c>
      <c r="E35" t="str">
        <f>HYPERLINK("http://www.ncbi.nlm.nih.gov/Taxonomy/Browser/wwwtax.cgi?mode=Info&amp;id=286419&amp;lvl=3&amp;lin=f&amp;keep=1&amp;srchmode=1&amp;unlock","286419")</f>
        <v>286419</v>
      </c>
      <c r="F35" t="s">
        <v>18</v>
      </c>
      <c r="G35" t="str">
        <f>HYPERLINK("http://www.ncbi.nlm.nih.gov/Taxonomy/Browser/wwwtax.cgi?mode=Info&amp;id=286419&amp;lvl=3&amp;lin=f&amp;keep=1&amp;srchmode=1&amp;unlock","Canis lupus dingo")</f>
        <v>Canis lupus dingo</v>
      </c>
      <c r="H35" t="s">
        <v>53</v>
      </c>
      <c r="I35" t="str">
        <f>HYPERLINK("http://www.ncbi.nlm.nih.gov/protein/XP_025309650.1","fatty acid-binding protein, liver")</f>
        <v>fatty acid-binding protein, liver</v>
      </c>
      <c r="J35" t="s">
        <v>1381</v>
      </c>
      <c r="K35" t="s">
        <v>25</v>
      </c>
      <c r="L35">
        <v>50</v>
      </c>
      <c r="M35" t="s">
        <v>1382</v>
      </c>
      <c r="N35" t="s">
        <v>25</v>
      </c>
    </row>
    <row r="36" spans="1:14" x14ac:dyDescent="0.25">
      <c r="A36">
        <v>6</v>
      </c>
      <c r="B36" t="s">
        <v>18</v>
      </c>
      <c r="C36" t="str">
        <f>HYPERLINK("http://www.ncbi.nlm.nih.gov/protein/XP_029792145.1","XP_029792145.1")</f>
        <v>XP_029792145.1</v>
      </c>
      <c r="D36">
        <v>43355</v>
      </c>
      <c r="E36" t="str">
        <f>HYPERLINK("http://www.ncbi.nlm.nih.gov/Taxonomy/Browser/wwwtax.cgi?mode=Info&amp;id=37032&amp;lvl=3&amp;lin=f&amp;keep=1&amp;srchmode=1&amp;unlock","37032")</f>
        <v>37032</v>
      </c>
      <c r="F36" t="s">
        <v>18</v>
      </c>
      <c r="G36" t="str">
        <f>HYPERLINK("http://www.ncbi.nlm.nih.gov/Taxonomy/Browser/wwwtax.cgi?mode=Info&amp;id=37032&amp;lvl=3&amp;lin=f&amp;keep=1&amp;srchmode=1&amp;unlock","Suricata suricatta")</f>
        <v>Suricata suricatta</v>
      </c>
      <c r="H36" t="s">
        <v>57</v>
      </c>
      <c r="I36" t="str">
        <f>HYPERLINK("http://www.ncbi.nlm.nih.gov/protein/XP_029792145.1","fatty acid-binding protein, liver")</f>
        <v>fatty acid-binding protein, liver</v>
      </c>
      <c r="J36" t="s">
        <v>1381</v>
      </c>
      <c r="K36" t="s">
        <v>25</v>
      </c>
      <c r="L36">
        <v>50</v>
      </c>
      <c r="M36" t="s">
        <v>1382</v>
      </c>
      <c r="N36" t="s">
        <v>25</v>
      </c>
    </row>
    <row r="37" spans="1:14" x14ac:dyDescent="0.25">
      <c r="A37">
        <v>6</v>
      </c>
      <c r="B37" t="s">
        <v>18</v>
      </c>
      <c r="C37" t="str">
        <f>HYPERLINK("http://www.ncbi.nlm.nih.gov/protein/XP_034856360.1","XP_034856360.1")</f>
        <v>XP_034856360.1</v>
      </c>
      <c r="D37">
        <v>64815</v>
      </c>
      <c r="E37" t="str">
        <f>HYPERLINK("http://www.ncbi.nlm.nih.gov/Taxonomy/Browser/wwwtax.cgi?mode=Info&amp;id=9715&amp;lvl=3&amp;lin=f&amp;keep=1&amp;srchmode=1&amp;unlock","9715")</f>
        <v>9715</v>
      </c>
      <c r="F37" t="s">
        <v>18</v>
      </c>
      <c r="G37" t="str">
        <f>HYPERLINK("http://www.ncbi.nlm.nih.gov/Taxonomy/Browser/wwwtax.cgi?mode=Info&amp;id=9715&amp;lvl=3&amp;lin=f&amp;keep=1&amp;srchmode=1&amp;unlock","Mirounga leonina")</f>
        <v>Mirounga leonina</v>
      </c>
      <c r="H37" t="s">
        <v>58</v>
      </c>
      <c r="I37" t="str">
        <f>HYPERLINK("http://www.ncbi.nlm.nih.gov/protein/XP_034856360.1","fatty acid-binding protein, liver")</f>
        <v>fatty acid-binding protein, liver</v>
      </c>
      <c r="J37" t="s">
        <v>1381</v>
      </c>
      <c r="K37" t="s">
        <v>25</v>
      </c>
      <c r="L37">
        <v>50</v>
      </c>
      <c r="M37" t="s">
        <v>1382</v>
      </c>
      <c r="N37" t="s">
        <v>25</v>
      </c>
    </row>
    <row r="38" spans="1:14" x14ac:dyDescent="0.25">
      <c r="A38">
        <v>6</v>
      </c>
      <c r="B38" t="s">
        <v>18</v>
      </c>
      <c r="C38" t="str">
        <f>HYPERLINK("http://www.ncbi.nlm.nih.gov/protein/XP_036787010.1","XP_036787010.1")</f>
        <v>XP_036787010.1</v>
      </c>
      <c r="D38">
        <v>58394</v>
      </c>
      <c r="E38" t="str">
        <f>HYPERLINK("http://www.ncbi.nlm.nih.gov/Taxonomy/Browser/wwwtax.cgi?mode=Info&amp;id=143292&amp;lvl=3&amp;lin=f&amp;keep=1&amp;srchmode=1&amp;unlock","143292")</f>
        <v>143292</v>
      </c>
      <c r="F38" t="s">
        <v>18</v>
      </c>
      <c r="G38" t="str">
        <f>HYPERLINK("http://www.ncbi.nlm.nih.gov/Taxonomy/Browser/wwwtax.cgi?mode=Info&amp;id=143292&amp;lvl=3&amp;lin=f&amp;keep=1&amp;srchmode=1&amp;unlock","Manis pentadactyla")</f>
        <v>Manis pentadactyla</v>
      </c>
      <c r="H38" t="s">
        <v>56</v>
      </c>
      <c r="I38" t="str">
        <f>HYPERLINK("http://www.ncbi.nlm.nih.gov/protein/XP_036787010.1","fatty acid-binding protein, liver")</f>
        <v>fatty acid-binding protein, liver</v>
      </c>
      <c r="J38" t="s">
        <v>1381</v>
      </c>
      <c r="K38" t="s">
        <v>20</v>
      </c>
      <c r="L38">
        <v>50</v>
      </c>
      <c r="M38" t="s">
        <v>1380</v>
      </c>
      <c r="N38" t="s">
        <v>20</v>
      </c>
    </row>
    <row r="39" spans="1:14" x14ac:dyDescent="0.25">
      <c r="A39">
        <v>6</v>
      </c>
      <c r="B39" t="s">
        <v>18</v>
      </c>
      <c r="C39" t="str">
        <f>HYPERLINK("http://www.ncbi.nlm.nih.gov/protein/XP_014931273.1","XP_014931273.1")</f>
        <v>XP_014931273.1</v>
      </c>
      <c r="D39">
        <v>56437</v>
      </c>
      <c r="E39" t="str">
        <f>HYPERLINK("http://www.ncbi.nlm.nih.gov/Taxonomy/Browser/wwwtax.cgi?mode=Info&amp;id=32536&amp;lvl=3&amp;lin=f&amp;keep=1&amp;srchmode=1&amp;unlock","32536")</f>
        <v>32536</v>
      </c>
      <c r="F39" t="s">
        <v>18</v>
      </c>
      <c r="G39" t="str">
        <f>HYPERLINK("http://www.ncbi.nlm.nih.gov/Taxonomy/Browser/wwwtax.cgi?mode=Info&amp;id=32536&amp;lvl=3&amp;lin=f&amp;keep=1&amp;srchmode=1&amp;unlock","Acinonyx jubatus")</f>
        <v>Acinonyx jubatus</v>
      </c>
      <c r="H39" t="s">
        <v>62</v>
      </c>
      <c r="I39" t="str">
        <f>HYPERLINK("http://www.ncbi.nlm.nih.gov/protein/XP_014931273.1","fatty acid-binding protein, liver")</f>
        <v>fatty acid-binding protein, liver</v>
      </c>
      <c r="J39" t="s">
        <v>1381</v>
      </c>
      <c r="K39" t="s">
        <v>25</v>
      </c>
      <c r="L39">
        <v>50</v>
      </c>
      <c r="M39" t="s">
        <v>1382</v>
      </c>
      <c r="N39" t="s">
        <v>25</v>
      </c>
    </row>
    <row r="40" spans="1:14" x14ac:dyDescent="0.25">
      <c r="A40">
        <v>6</v>
      </c>
      <c r="B40" t="s">
        <v>18</v>
      </c>
      <c r="C40" t="str">
        <f>HYPERLINK("http://www.ncbi.nlm.nih.gov/protein/XP_030164911.1","XP_030164911.1")</f>
        <v>XP_030164911.1</v>
      </c>
      <c r="D40">
        <v>42175</v>
      </c>
      <c r="E40" t="str">
        <f>HYPERLINK("http://www.ncbi.nlm.nih.gov/Taxonomy/Browser/wwwtax.cgi?mode=Info&amp;id=61383&amp;lvl=3&amp;lin=f&amp;keep=1&amp;srchmode=1&amp;unlock","61383")</f>
        <v>61383</v>
      </c>
      <c r="F40" t="s">
        <v>18</v>
      </c>
      <c r="G40" t="str">
        <f>HYPERLINK("http://www.ncbi.nlm.nih.gov/Taxonomy/Browser/wwwtax.cgi?mode=Info&amp;id=61383&amp;lvl=3&amp;lin=f&amp;keep=1&amp;srchmode=1&amp;unlock","Lynx canadensis")</f>
        <v>Lynx canadensis</v>
      </c>
      <c r="H40" t="s">
        <v>63</v>
      </c>
      <c r="I40" t="str">
        <f>HYPERLINK("http://www.ncbi.nlm.nih.gov/protein/XP_030164911.1","fatty acid-binding protein, liver")</f>
        <v>fatty acid-binding protein, liver</v>
      </c>
      <c r="J40" t="s">
        <v>1381</v>
      </c>
      <c r="K40" t="s">
        <v>25</v>
      </c>
      <c r="L40">
        <v>50</v>
      </c>
      <c r="M40" t="s">
        <v>1382</v>
      </c>
      <c r="N40" t="s">
        <v>25</v>
      </c>
    </row>
    <row r="41" spans="1:14" x14ac:dyDescent="0.25">
      <c r="A41">
        <v>6</v>
      </c>
      <c r="B41" t="s">
        <v>18</v>
      </c>
      <c r="C41" t="str">
        <f>HYPERLINK("http://www.ncbi.nlm.nih.gov/protein/XP_025783149.1","XP_025783149.1")</f>
        <v>XP_025783149.1</v>
      </c>
      <c r="D41">
        <v>23617</v>
      </c>
      <c r="E41" t="str">
        <f>HYPERLINK("http://www.ncbi.nlm.nih.gov/Taxonomy/Browser/wwwtax.cgi?mode=Info&amp;id=9696&amp;lvl=3&amp;lin=f&amp;keep=1&amp;srchmode=1&amp;unlock","9696")</f>
        <v>9696</v>
      </c>
      <c r="F41" t="s">
        <v>18</v>
      </c>
      <c r="G41" t="str">
        <f>HYPERLINK("http://www.ncbi.nlm.nih.gov/Taxonomy/Browser/wwwtax.cgi?mode=Info&amp;id=9696&amp;lvl=3&amp;lin=f&amp;keep=1&amp;srchmode=1&amp;unlock","Puma concolor")</f>
        <v>Puma concolor</v>
      </c>
      <c r="H41" t="s">
        <v>64</v>
      </c>
      <c r="I41" t="str">
        <f>HYPERLINK("http://www.ncbi.nlm.nih.gov/protein/XP_025783149.1","fatty acid-binding protein, liver")</f>
        <v>fatty acid-binding protein, liver</v>
      </c>
      <c r="J41" t="s">
        <v>1381</v>
      </c>
      <c r="K41" t="s">
        <v>25</v>
      </c>
      <c r="L41">
        <v>50</v>
      </c>
      <c r="M41" t="s">
        <v>1382</v>
      </c>
      <c r="N41" t="s">
        <v>25</v>
      </c>
    </row>
    <row r="42" spans="1:14" x14ac:dyDescent="0.25">
      <c r="A42">
        <v>6</v>
      </c>
      <c r="B42" t="s">
        <v>18</v>
      </c>
      <c r="C42" t="str">
        <f>HYPERLINK("http://www.ncbi.nlm.nih.gov/protein/XP_012328400.1","XP_012328400.1")</f>
        <v>XP_012328400.1</v>
      </c>
      <c r="D42">
        <v>48089</v>
      </c>
      <c r="E42" t="str">
        <f>HYPERLINK("http://www.ncbi.nlm.nih.gov/Taxonomy/Browser/wwwtax.cgi?mode=Info&amp;id=37293&amp;lvl=3&amp;lin=f&amp;keep=1&amp;srchmode=1&amp;unlock","37293")</f>
        <v>37293</v>
      </c>
      <c r="F42" t="s">
        <v>18</v>
      </c>
      <c r="G42" t="str">
        <f>HYPERLINK("http://www.ncbi.nlm.nih.gov/Taxonomy/Browser/wwwtax.cgi?mode=Info&amp;id=37293&amp;lvl=3&amp;lin=f&amp;keep=1&amp;srchmode=1&amp;unlock","Aotus nancymaae")</f>
        <v>Aotus nancymaae</v>
      </c>
      <c r="H42" t="s">
        <v>65</v>
      </c>
      <c r="I42" t="str">
        <f>HYPERLINK("http://www.ncbi.nlm.nih.gov/protein/XP_012328400.1","fatty acid-binding protein, liver")</f>
        <v>fatty acid-binding protein, liver</v>
      </c>
      <c r="J42" t="s">
        <v>1381</v>
      </c>
      <c r="K42" t="s">
        <v>25</v>
      </c>
      <c r="L42">
        <v>50</v>
      </c>
      <c r="M42" t="s">
        <v>1382</v>
      </c>
      <c r="N42" t="s">
        <v>25</v>
      </c>
    </row>
    <row r="43" spans="1:14" x14ac:dyDescent="0.25">
      <c r="A43">
        <v>6</v>
      </c>
      <c r="B43" t="s">
        <v>18</v>
      </c>
      <c r="C43" t="str">
        <f>HYPERLINK("http://www.ncbi.nlm.nih.gov/protein/XP_040352755.1","XP_040352755.1")</f>
        <v>XP_040352755.1</v>
      </c>
      <c r="D43">
        <v>55674</v>
      </c>
      <c r="E43" t="str">
        <f>HYPERLINK("http://www.ncbi.nlm.nih.gov/Taxonomy/Browser/wwwtax.cgi?mode=Info&amp;id=1608482&amp;lvl=3&amp;lin=f&amp;keep=1&amp;srchmode=1&amp;unlock","1608482")</f>
        <v>1608482</v>
      </c>
      <c r="F43" t="s">
        <v>18</v>
      </c>
      <c r="G43" t="str">
        <f>HYPERLINK("http://www.ncbi.nlm.nih.gov/Taxonomy/Browser/wwwtax.cgi?mode=Info&amp;id=1608482&amp;lvl=3&amp;lin=f&amp;keep=1&amp;srchmode=1&amp;unlock","Puma yagouaroundi")</f>
        <v>Puma yagouaroundi</v>
      </c>
      <c r="H43" t="s">
        <v>66</v>
      </c>
      <c r="I43" t="str">
        <f>HYPERLINK("http://www.ncbi.nlm.nih.gov/protein/XP_040352755.1","fatty acid-binding protein, liver")</f>
        <v>fatty acid-binding protein, liver</v>
      </c>
      <c r="J43" t="s">
        <v>1381</v>
      </c>
      <c r="K43" t="s">
        <v>25</v>
      </c>
      <c r="L43">
        <v>50</v>
      </c>
      <c r="M43" t="s">
        <v>1382</v>
      </c>
      <c r="N43" t="s">
        <v>25</v>
      </c>
    </row>
    <row r="44" spans="1:14" x14ac:dyDescent="0.25">
      <c r="A44">
        <v>6</v>
      </c>
      <c r="B44" t="s">
        <v>18</v>
      </c>
      <c r="C44" t="str">
        <f>HYPERLINK("http://www.ncbi.nlm.nih.gov/protein/XP_027476370.1","XP_027476370.1")</f>
        <v>XP_027476370.1</v>
      </c>
      <c r="D44">
        <v>61138</v>
      </c>
      <c r="E44" t="str">
        <f>HYPERLINK("http://www.ncbi.nlm.nih.gov/Taxonomy/Browser/wwwtax.cgi?mode=Info&amp;id=9704&amp;lvl=3&amp;lin=f&amp;keep=1&amp;srchmode=1&amp;unlock","9704")</f>
        <v>9704</v>
      </c>
      <c r="F44" t="s">
        <v>18</v>
      </c>
      <c r="G44" t="str">
        <f>HYPERLINK("http://www.ncbi.nlm.nih.gov/Taxonomy/Browser/wwwtax.cgi?mode=Info&amp;id=9704&amp;lvl=3&amp;lin=f&amp;keep=1&amp;srchmode=1&amp;unlock","Zalophus californianus")</f>
        <v>Zalophus californianus</v>
      </c>
      <c r="H44" t="s">
        <v>67</v>
      </c>
      <c r="I44" t="str">
        <f>HYPERLINK("http://www.ncbi.nlm.nih.gov/protein/XP_027476370.1","fatty acid-binding protein, liver")</f>
        <v>fatty acid-binding protein, liver</v>
      </c>
      <c r="J44" t="s">
        <v>1381</v>
      </c>
      <c r="K44" t="s">
        <v>25</v>
      </c>
      <c r="L44">
        <v>50</v>
      </c>
      <c r="M44" t="s">
        <v>1382</v>
      </c>
      <c r="N44" t="s">
        <v>25</v>
      </c>
    </row>
    <row r="45" spans="1:14" x14ac:dyDescent="0.25">
      <c r="A45">
        <v>6</v>
      </c>
      <c r="B45" t="s">
        <v>18</v>
      </c>
      <c r="C45" t="str">
        <f>HYPERLINK("http://www.ncbi.nlm.nih.gov/protein/XP_035932047.1","XP_035932047.1")</f>
        <v>XP_035932047.1</v>
      </c>
      <c r="D45">
        <v>60330</v>
      </c>
      <c r="E45" t="str">
        <f>HYPERLINK("http://www.ncbi.nlm.nih.gov/Taxonomy/Browser/wwwtax.cgi?mode=Info&amp;id=9711&amp;lvl=3&amp;lin=f&amp;keep=1&amp;srchmode=1&amp;unlock","9711")</f>
        <v>9711</v>
      </c>
      <c r="F45" t="s">
        <v>18</v>
      </c>
      <c r="G45" t="str">
        <f>HYPERLINK("http://www.ncbi.nlm.nih.gov/Taxonomy/Browser/wwwtax.cgi?mode=Info&amp;id=9711&amp;lvl=3&amp;lin=f&amp;keep=1&amp;srchmode=1&amp;unlock","Halichoerus grypus")</f>
        <v>Halichoerus grypus</v>
      </c>
      <c r="H45" t="s">
        <v>68</v>
      </c>
      <c r="I45" t="str">
        <f>HYPERLINK("http://www.ncbi.nlm.nih.gov/protein/XP_035932047.1","fatty acid-binding protein, liver")</f>
        <v>fatty acid-binding protein, liver</v>
      </c>
      <c r="J45" t="s">
        <v>1381</v>
      </c>
      <c r="K45" t="s">
        <v>25</v>
      </c>
      <c r="L45">
        <v>50</v>
      </c>
      <c r="M45" t="s">
        <v>1382</v>
      </c>
      <c r="N45" t="s">
        <v>25</v>
      </c>
    </row>
    <row r="46" spans="1:14" x14ac:dyDescent="0.25">
      <c r="A46">
        <v>6</v>
      </c>
      <c r="B46" t="s">
        <v>18</v>
      </c>
      <c r="C46" t="str">
        <f>HYPERLINK("http://www.ncbi.nlm.nih.gov/protein/XP_025723410.1","XP_025723410.1")</f>
        <v>XP_025723410.1</v>
      </c>
      <c r="D46">
        <v>46265</v>
      </c>
      <c r="E46" t="str">
        <f>HYPERLINK("http://www.ncbi.nlm.nih.gov/Taxonomy/Browser/wwwtax.cgi?mode=Info&amp;id=34884&amp;lvl=3&amp;lin=f&amp;keep=1&amp;srchmode=1&amp;unlock","34884")</f>
        <v>34884</v>
      </c>
      <c r="F46" t="s">
        <v>18</v>
      </c>
      <c r="G46" t="str">
        <f>HYPERLINK("http://www.ncbi.nlm.nih.gov/Taxonomy/Browser/wwwtax.cgi?mode=Info&amp;id=34884&amp;lvl=3&amp;lin=f&amp;keep=1&amp;srchmode=1&amp;unlock","Callorhinus ursinus")</f>
        <v>Callorhinus ursinus</v>
      </c>
      <c r="H46" t="s">
        <v>59</v>
      </c>
      <c r="I46" t="str">
        <f>HYPERLINK("http://www.ncbi.nlm.nih.gov/protein/XP_025723410.1","fatty acid-binding protein, liver")</f>
        <v>fatty acid-binding protein, liver</v>
      </c>
      <c r="J46" t="s">
        <v>1381</v>
      </c>
      <c r="K46" t="s">
        <v>25</v>
      </c>
      <c r="L46">
        <v>50</v>
      </c>
      <c r="M46" t="s">
        <v>1382</v>
      </c>
      <c r="N46" t="s">
        <v>25</v>
      </c>
    </row>
    <row r="47" spans="1:14" x14ac:dyDescent="0.25">
      <c r="A47">
        <v>6</v>
      </c>
      <c r="B47" t="s">
        <v>18</v>
      </c>
      <c r="C47" t="str">
        <f>HYPERLINK("http://www.ncbi.nlm.nih.gov/protein/XP_003984285.1","XP_003984285.1")</f>
        <v>XP_003984285.1</v>
      </c>
      <c r="D47">
        <v>57528</v>
      </c>
      <c r="E47" t="str">
        <f>HYPERLINK("http://www.ncbi.nlm.nih.gov/Taxonomy/Browser/wwwtax.cgi?mode=Info&amp;id=9685&amp;lvl=3&amp;lin=f&amp;keep=1&amp;srchmode=1&amp;unlock","9685")</f>
        <v>9685</v>
      </c>
      <c r="F47" t="s">
        <v>18</v>
      </c>
      <c r="G47" t="str">
        <f>HYPERLINK("http://www.ncbi.nlm.nih.gov/Taxonomy/Browser/wwwtax.cgi?mode=Info&amp;id=9685&amp;lvl=3&amp;lin=f&amp;keep=1&amp;srchmode=1&amp;unlock","Felis catus")</f>
        <v>Felis catus</v>
      </c>
      <c r="H47" t="s">
        <v>60</v>
      </c>
      <c r="I47" t="str">
        <f>HYPERLINK("http://www.ncbi.nlm.nih.gov/protein/XP_003984285.1","fatty acid-binding protein, liver")</f>
        <v>fatty acid-binding protein, liver</v>
      </c>
      <c r="J47" t="s">
        <v>1381</v>
      </c>
      <c r="K47" t="s">
        <v>25</v>
      </c>
      <c r="L47">
        <v>50</v>
      </c>
      <c r="M47" t="s">
        <v>1382</v>
      </c>
      <c r="N47" t="s">
        <v>25</v>
      </c>
    </row>
    <row r="48" spans="1:14" x14ac:dyDescent="0.25">
      <c r="A48">
        <v>6</v>
      </c>
      <c r="B48" t="s">
        <v>18</v>
      </c>
      <c r="C48" t="str">
        <f>HYPERLINK("http://www.ncbi.nlm.nih.gov/protein/XP_027978263.1","XP_027978263.1")</f>
        <v>XP_027978263.1</v>
      </c>
      <c r="D48">
        <v>40115</v>
      </c>
      <c r="E48" t="str">
        <f>HYPERLINK("http://www.ncbi.nlm.nih.gov/Taxonomy/Browser/wwwtax.cgi?mode=Info&amp;id=34886&amp;lvl=3&amp;lin=f&amp;keep=1&amp;srchmode=1&amp;unlock","34886")</f>
        <v>34886</v>
      </c>
      <c r="F48" t="s">
        <v>18</v>
      </c>
      <c r="G48" t="str">
        <f>HYPERLINK("http://www.ncbi.nlm.nih.gov/Taxonomy/Browser/wwwtax.cgi?mode=Info&amp;id=34886&amp;lvl=3&amp;lin=f&amp;keep=1&amp;srchmode=1&amp;unlock","Eumetopias jubatus")</f>
        <v>Eumetopias jubatus</v>
      </c>
      <c r="H48" t="s">
        <v>61</v>
      </c>
      <c r="I48" t="str">
        <f>HYPERLINK("http://www.ncbi.nlm.nih.gov/protein/XP_027978263.1","fatty acid-binding protein, liver")</f>
        <v>fatty acid-binding protein, liver</v>
      </c>
      <c r="J48" t="s">
        <v>1381</v>
      </c>
      <c r="K48" t="s">
        <v>25</v>
      </c>
      <c r="L48">
        <v>50</v>
      </c>
      <c r="M48" t="s">
        <v>1382</v>
      </c>
      <c r="N48" t="s">
        <v>25</v>
      </c>
    </row>
    <row r="49" spans="1:14" x14ac:dyDescent="0.25">
      <c r="A49">
        <v>6</v>
      </c>
      <c r="B49" t="s">
        <v>18</v>
      </c>
      <c r="C49" t="str">
        <f>HYPERLINK("http://www.ncbi.nlm.nih.gov/protein/XP_008069922.1","XP_008069922.1")</f>
        <v>XP_008069922.1</v>
      </c>
      <c r="D49">
        <v>33266</v>
      </c>
      <c r="E49" t="str">
        <f>HYPERLINK("http://www.ncbi.nlm.nih.gov/Taxonomy/Browser/wwwtax.cgi?mode=Info&amp;id=1868482&amp;lvl=3&amp;lin=f&amp;keep=1&amp;srchmode=1&amp;unlock","1868482")</f>
        <v>1868482</v>
      </c>
      <c r="F49" t="s">
        <v>18</v>
      </c>
      <c r="G49" t="str">
        <f>HYPERLINK("http://www.ncbi.nlm.nih.gov/Taxonomy/Browser/wwwtax.cgi?mode=Info&amp;id=1868482&amp;lvl=3&amp;lin=f&amp;keep=1&amp;srchmode=1&amp;unlock","Carlito syrichta")</f>
        <v>Carlito syrichta</v>
      </c>
      <c r="H49" t="s">
        <v>69</v>
      </c>
      <c r="I49" t="str">
        <f>HYPERLINK("http://www.ncbi.nlm.nih.gov/protein/XP_008069922.1","fatty acid-binding protein, liver")</f>
        <v>fatty acid-binding protein, liver</v>
      </c>
      <c r="J49" t="s">
        <v>1381</v>
      </c>
      <c r="K49" t="s">
        <v>25</v>
      </c>
      <c r="L49">
        <v>50</v>
      </c>
      <c r="M49" t="s">
        <v>1382</v>
      </c>
      <c r="N49" t="s">
        <v>25</v>
      </c>
    </row>
    <row r="50" spans="1:14" x14ac:dyDescent="0.25">
      <c r="A50">
        <v>6</v>
      </c>
      <c r="B50" t="s">
        <v>18</v>
      </c>
      <c r="C50" t="str">
        <f>HYPERLINK("http://www.ncbi.nlm.nih.gov/protein/XP_006168422.1","XP_006168422.1")</f>
        <v>XP_006168422.1</v>
      </c>
      <c r="D50">
        <v>59503</v>
      </c>
      <c r="E50" t="str">
        <f>HYPERLINK("http://www.ncbi.nlm.nih.gov/Taxonomy/Browser/wwwtax.cgi?mode=Info&amp;id=246437&amp;lvl=3&amp;lin=f&amp;keep=1&amp;srchmode=1&amp;unlock","246437")</f>
        <v>246437</v>
      </c>
      <c r="F50" t="s">
        <v>18</v>
      </c>
      <c r="G50" t="str">
        <f>HYPERLINK("http://www.ncbi.nlm.nih.gov/Taxonomy/Browser/wwwtax.cgi?mode=Info&amp;id=246437&amp;lvl=3&amp;lin=f&amp;keep=1&amp;srchmode=1&amp;unlock","Tupaia chinensis")</f>
        <v>Tupaia chinensis</v>
      </c>
      <c r="H50" t="s">
        <v>70</v>
      </c>
      <c r="I50" t="str">
        <f>HYPERLINK("http://www.ncbi.nlm.nih.gov/protein/XP_006168422.1","fatty acid-binding protein, liver")</f>
        <v>fatty acid-binding protein, liver</v>
      </c>
      <c r="J50" t="s">
        <v>1381</v>
      </c>
      <c r="K50" t="s">
        <v>25</v>
      </c>
      <c r="L50">
        <v>50</v>
      </c>
      <c r="M50" t="s">
        <v>1382</v>
      </c>
      <c r="N50" t="s">
        <v>25</v>
      </c>
    </row>
    <row r="51" spans="1:14" x14ac:dyDescent="0.25">
      <c r="A51">
        <v>6</v>
      </c>
      <c r="B51" t="s">
        <v>18</v>
      </c>
      <c r="C51" t="str">
        <f>HYPERLINK("http://www.ncbi.nlm.nih.gov/protein/XP_022360267.1","XP_022360267.1")</f>
        <v>XP_022360267.1</v>
      </c>
      <c r="D51">
        <v>36593</v>
      </c>
      <c r="E51" t="str">
        <f>HYPERLINK("http://www.ncbi.nlm.nih.gov/Taxonomy/Browser/wwwtax.cgi?mode=Info&amp;id=391180&amp;lvl=3&amp;lin=f&amp;keep=1&amp;srchmode=1&amp;unlock","391180")</f>
        <v>391180</v>
      </c>
      <c r="F51" t="s">
        <v>18</v>
      </c>
      <c r="G51" t="str">
        <f>HYPERLINK("http://www.ncbi.nlm.nih.gov/Taxonomy/Browser/wwwtax.cgi?mode=Info&amp;id=391180&amp;lvl=3&amp;lin=f&amp;keep=1&amp;srchmode=1&amp;unlock","Enhydra lutris kenyoni")</f>
        <v>Enhydra lutris kenyoni</v>
      </c>
      <c r="H51" t="s">
        <v>71</v>
      </c>
      <c r="I51" t="str">
        <f>HYPERLINK("http://www.ncbi.nlm.nih.gov/protein/XP_022360267.1","fatty acid-binding protein, liver")</f>
        <v>fatty acid-binding protein, liver</v>
      </c>
      <c r="J51" t="s">
        <v>1381</v>
      </c>
      <c r="K51" t="s">
        <v>25</v>
      </c>
      <c r="L51">
        <v>50</v>
      </c>
      <c r="M51" t="s">
        <v>1382</v>
      </c>
      <c r="N51" t="s">
        <v>25</v>
      </c>
    </row>
    <row r="52" spans="1:14" x14ac:dyDescent="0.25">
      <c r="A52">
        <v>6</v>
      </c>
      <c r="B52" t="s">
        <v>18</v>
      </c>
      <c r="C52" t="str">
        <f>HYPERLINK("http://www.ncbi.nlm.nih.gov/protein/VFV46488.1","VFV46488.1")</f>
        <v>VFV46488.1</v>
      </c>
      <c r="D52">
        <v>31243</v>
      </c>
      <c r="E52" t="str">
        <f>HYPERLINK("http://www.ncbi.nlm.nih.gov/Taxonomy/Browser/wwwtax.cgi?mode=Info&amp;id=191816&amp;lvl=3&amp;lin=f&amp;keep=1&amp;srchmode=1&amp;unlock","191816")</f>
        <v>191816</v>
      </c>
      <c r="F52" t="s">
        <v>18</v>
      </c>
      <c r="G52" t="str">
        <f>HYPERLINK("http://www.ncbi.nlm.nih.gov/Taxonomy/Browser/wwwtax.cgi?mode=Info&amp;id=191816&amp;lvl=3&amp;lin=f&amp;keep=1&amp;srchmode=1&amp;unlock","Lynx pardinus")</f>
        <v>Lynx pardinus</v>
      </c>
      <c r="H52" t="s">
        <v>72</v>
      </c>
      <c r="I52" t="str">
        <f>HYPERLINK("http://www.ncbi.nlm.nih.gov/protein/VFV46488.1","fatty acid-binding liver")</f>
        <v>fatty acid-binding liver</v>
      </c>
      <c r="J52" t="s">
        <v>1381</v>
      </c>
      <c r="K52" t="s">
        <v>25</v>
      </c>
      <c r="L52">
        <v>50</v>
      </c>
      <c r="M52" t="s">
        <v>1382</v>
      </c>
      <c r="N52" t="s">
        <v>25</v>
      </c>
    </row>
    <row r="53" spans="1:14" x14ac:dyDescent="0.25">
      <c r="A53">
        <v>6</v>
      </c>
      <c r="B53" t="s">
        <v>18</v>
      </c>
      <c r="C53" t="str">
        <f>HYPERLINK("http://www.ncbi.nlm.nih.gov/protein/XP_003942565.1","XP_003942565.1")</f>
        <v>XP_003942565.1</v>
      </c>
      <c r="D53">
        <v>45635</v>
      </c>
      <c r="E53" t="str">
        <f>HYPERLINK("http://www.ncbi.nlm.nih.gov/Taxonomy/Browser/wwwtax.cgi?mode=Info&amp;id=39432&amp;lvl=3&amp;lin=f&amp;keep=1&amp;srchmode=1&amp;unlock","39432")</f>
        <v>39432</v>
      </c>
      <c r="F53" t="s">
        <v>18</v>
      </c>
      <c r="G53" t="str">
        <f>HYPERLINK("http://www.ncbi.nlm.nih.gov/Taxonomy/Browser/wwwtax.cgi?mode=Info&amp;id=39432&amp;lvl=3&amp;lin=f&amp;keep=1&amp;srchmode=1&amp;unlock","Saimiri boliviensis boliviensis")</f>
        <v>Saimiri boliviensis boliviensis</v>
      </c>
      <c r="H53" t="s">
        <v>73</v>
      </c>
      <c r="I53" t="str">
        <f>HYPERLINK("http://www.ncbi.nlm.nih.gov/protein/XP_003942565.1","fatty acid-binding protein, liver")</f>
        <v>fatty acid-binding protein, liver</v>
      </c>
      <c r="J53" t="s">
        <v>1381</v>
      </c>
      <c r="K53" t="s">
        <v>25</v>
      </c>
      <c r="L53">
        <v>50</v>
      </c>
      <c r="M53" t="s">
        <v>1382</v>
      </c>
      <c r="N53" t="s">
        <v>25</v>
      </c>
    </row>
    <row r="54" spans="1:14" x14ac:dyDescent="0.25">
      <c r="A54">
        <v>6</v>
      </c>
      <c r="B54" t="s">
        <v>18</v>
      </c>
      <c r="C54" t="str">
        <f>HYPERLINK("http://www.ncbi.nlm.nih.gov/protein/XP_007082383.1","XP_007082383.1")</f>
        <v>XP_007082383.1</v>
      </c>
      <c r="D54">
        <v>29960</v>
      </c>
      <c r="E54" t="str">
        <f>HYPERLINK("http://www.ncbi.nlm.nih.gov/Taxonomy/Browser/wwwtax.cgi?mode=Info&amp;id=74533&amp;lvl=3&amp;lin=f&amp;keep=1&amp;srchmode=1&amp;unlock","74533")</f>
        <v>74533</v>
      </c>
      <c r="F54" t="s">
        <v>18</v>
      </c>
      <c r="G54" t="str">
        <f>HYPERLINK("http://www.ncbi.nlm.nih.gov/Taxonomy/Browser/wwwtax.cgi?mode=Info&amp;id=74533&amp;lvl=3&amp;lin=f&amp;keep=1&amp;srchmode=1&amp;unlock","Panthera tigris altaica")</f>
        <v>Panthera tigris altaica</v>
      </c>
      <c r="H54" t="s">
        <v>74</v>
      </c>
      <c r="I54" t="str">
        <f>HYPERLINK("http://www.ncbi.nlm.nih.gov/protein/XP_007082383.1","PREDICTED: fatty acid-binding protein, liver")</f>
        <v>PREDICTED: fatty acid-binding protein, liver</v>
      </c>
      <c r="J54" t="s">
        <v>1381</v>
      </c>
      <c r="K54" t="s">
        <v>25</v>
      </c>
      <c r="L54">
        <v>50</v>
      </c>
      <c r="M54" t="s">
        <v>1382</v>
      </c>
      <c r="N54" t="s">
        <v>25</v>
      </c>
    </row>
    <row r="55" spans="1:14" x14ac:dyDescent="0.25">
      <c r="A55">
        <v>6</v>
      </c>
      <c r="B55" t="s">
        <v>18</v>
      </c>
      <c r="C55" t="str">
        <f>HYPERLINK("http://www.ncbi.nlm.nih.gov/protein/XP_019299758.1","XP_019299758.1")</f>
        <v>XP_019299758.1</v>
      </c>
      <c r="D55">
        <v>58570</v>
      </c>
      <c r="E55" t="str">
        <f>HYPERLINK("http://www.ncbi.nlm.nih.gov/Taxonomy/Browser/wwwtax.cgi?mode=Info&amp;id=9691&amp;lvl=3&amp;lin=f&amp;keep=1&amp;srchmode=1&amp;unlock","9691")</f>
        <v>9691</v>
      </c>
      <c r="F55" t="s">
        <v>18</v>
      </c>
      <c r="G55" t="str">
        <f>HYPERLINK("http://www.ncbi.nlm.nih.gov/Taxonomy/Browser/wwwtax.cgi?mode=Info&amp;id=9691&amp;lvl=3&amp;lin=f&amp;keep=1&amp;srchmode=1&amp;unlock","Panthera pardus")</f>
        <v>Panthera pardus</v>
      </c>
      <c r="H55" t="s">
        <v>75</v>
      </c>
      <c r="I55" t="str">
        <f>HYPERLINK("http://www.ncbi.nlm.nih.gov/protein/XP_019299758.1","PREDICTED: fatty acid-binding protein, liver")</f>
        <v>PREDICTED: fatty acid-binding protein, liver</v>
      </c>
      <c r="J55" t="s">
        <v>1381</v>
      </c>
      <c r="K55" t="s">
        <v>25</v>
      </c>
      <c r="L55">
        <v>50</v>
      </c>
      <c r="M55" t="s">
        <v>1382</v>
      </c>
      <c r="N55" t="s">
        <v>25</v>
      </c>
    </row>
    <row r="56" spans="1:14" x14ac:dyDescent="0.25">
      <c r="A56">
        <v>6</v>
      </c>
      <c r="B56" t="s">
        <v>18</v>
      </c>
      <c r="C56" t="str">
        <f>HYPERLINK("http://www.ncbi.nlm.nih.gov/protein/XP_016057263.1","XP_016057263.1")</f>
        <v>XP_016057263.1</v>
      </c>
      <c r="D56">
        <v>29863</v>
      </c>
      <c r="E56" t="str">
        <f>HYPERLINK("http://www.ncbi.nlm.nih.gov/Taxonomy/Browser/wwwtax.cgi?mode=Info&amp;id=291302&amp;lvl=3&amp;lin=f&amp;keep=1&amp;srchmode=1&amp;unlock","291302")</f>
        <v>291302</v>
      </c>
      <c r="F56" t="s">
        <v>18</v>
      </c>
      <c r="G56" t="str">
        <f>HYPERLINK("http://www.ncbi.nlm.nih.gov/Taxonomy/Browser/wwwtax.cgi?mode=Info&amp;id=291302&amp;lvl=3&amp;lin=f&amp;keep=1&amp;srchmode=1&amp;unlock","Miniopterus natalensis")</f>
        <v>Miniopterus natalensis</v>
      </c>
      <c r="H56" t="s">
        <v>77</v>
      </c>
      <c r="I56" t="str">
        <f>HYPERLINK("http://www.ncbi.nlm.nih.gov/protein/XP_016057263.1","PREDICTED: fatty acid-binding protein, liver")</f>
        <v>PREDICTED: fatty acid-binding protein, liver</v>
      </c>
      <c r="J56" t="s">
        <v>1381</v>
      </c>
      <c r="K56" t="s">
        <v>25</v>
      </c>
      <c r="L56">
        <v>50</v>
      </c>
      <c r="M56" t="s">
        <v>1382</v>
      </c>
      <c r="N56" t="s">
        <v>25</v>
      </c>
    </row>
    <row r="57" spans="1:14" x14ac:dyDescent="0.25">
      <c r="A57">
        <v>6</v>
      </c>
      <c r="B57" t="s">
        <v>18</v>
      </c>
      <c r="C57" t="str">
        <f>HYPERLINK("http://www.ncbi.nlm.nih.gov/protein/XP_005338488.1","XP_005338488.1")</f>
        <v>XP_005338488.1</v>
      </c>
      <c r="D57">
        <v>94507</v>
      </c>
      <c r="E57" t="str">
        <f>HYPERLINK("http://www.ncbi.nlm.nih.gov/Taxonomy/Browser/wwwtax.cgi?mode=Info&amp;id=43179&amp;lvl=3&amp;lin=f&amp;keep=1&amp;srchmode=1&amp;unlock","43179")</f>
        <v>43179</v>
      </c>
      <c r="F57" t="s">
        <v>18</v>
      </c>
      <c r="G57" t="str">
        <f>HYPERLINK("http://www.ncbi.nlm.nih.gov/Taxonomy/Browser/wwwtax.cgi?mode=Info&amp;id=43179&amp;lvl=3&amp;lin=f&amp;keep=1&amp;srchmode=1&amp;unlock","Ictidomys tridecemlineatus")</f>
        <v>Ictidomys tridecemlineatus</v>
      </c>
      <c r="H57" t="s">
        <v>78</v>
      </c>
      <c r="I57" t="str">
        <f>HYPERLINK("http://www.ncbi.nlm.nih.gov/protein/XP_005338488.1","fatty acid-binding protein, liver")</f>
        <v>fatty acid-binding protein, liver</v>
      </c>
      <c r="J57" t="s">
        <v>1381</v>
      </c>
      <c r="K57" t="s">
        <v>25</v>
      </c>
      <c r="L57">
        <v>50</v>
      </c>
      <c r="M57" t="s">
        <v>1382</v>
      </c>
      <c r="N57" t="s">
        <v>25</v>
      </c>
    </row>
    <row r="58" spans="1:14" x14ac:dyDescent="0.25">
      <c r="A58">
        <v>6</v>
      </c>
      <c r="B58" t="s">
        <v>18</v>
      </c>
      <c r="C58" t="str">
        <f>HYPERLINK("http://www.ncbi.nlm.nih.gov/protein/XP_027804721.2","XP_027804721.2")</f>
        <v>XP_027804721.2</v>
      </c>
      <c r="D58">
        <v>37737</v>
      </c>
      <c r="E58" t="str">
        <f>HYPERLINK("http://www.ncbi.nlm.nih.gov/Taxonomy/Browser/wwwtax.cgi?mode=Info&amp;id=93162&amp;lvl=3&amp;lin=f&amp;keep=1&amp;srchmode=1&amp;unlock","93162")</f>
        <v>93162</v>
      </c>
      <c r="F58" t="s">
        <v>18</v>
      </c>
      <c r="G58" t="str">
        <f>HYPERLINK("http://www.ncbi.nlm.nih.gov/Taxonomy/Browser/wwwtax.cgi?mode=Info&amp;id=93162&amp;lvl=3&amp;lin=f&amp;keep=1&amp;srchmode=1&amp;unlock","Marmota flaviventris")</f>
        <v>Marmota flaviventris</v>
      </c>
      <c r="H58" t="s">
        <v>76</v>
      </c>
      <c r="I58" t="str">
        <f>HYPERLINK("http://www.ncbi.nlm.nih.gov/protein/XP_027804721.2","fatty acid-binding protein, liver")</f>
        <v>fatty acid-binding protein, liver</v>
      </c>
      <c r="J58" t="s">
        <v>1381</v>
      </c>
      <c r="K58" t="s">
        <v>25</v>
      </c>
      <c r="L58">
        <v>61</v>
      </c>
      <c r="M58" t="s">
        <v>1382</v>
      </c>
      <c r="N58" t="s">
        <v>25</v>
      </c>
    </row>
    <row r="59" spans="1:14" x14ac:dyDescent="0.25">
      <c r="A59">
        <v>6</v>
      </c>
      <c r="B59" t="s">
        <v>18</v>
      </c>
      <c r="C59" t="str">
        <f>HYPERLINK("http://www.ncbi.nlm.nih.gov/protein/XP_015361843.1","XP_015361843.1")</f>
        <v>XP_015361843.1</v>
      </c>
      <c r="D59">
        <v>31077</v>
      </c>
      <c r="E59" t="str">
        <f>HYPERLINK("http://www.ncbi.nlm.nih.gov/Taxonomy/Browser/wwwtax.cgi?mode=Info&amp;id=9994&amp;lvl=3&amp;lin=f&amp;keep=1&amp;srchmode=1&amp;unlock","9994")</f>
        <v>9994</v>
      </c>
      <c r="F59" t="s">
        <v>18</v>
      </c>
      <c r="G59" t="str">
        <f>HYPERLINK("http://www.ncbi.nlm.nih.gov/Taxonomy/Browser/wwwtax.cgi?mode=Info&amp;id=9994&amp;lvl=3&amp;lin=f&amp;keep=1&amp;srchmode=1&amp;unlock","Marmota marmota marmota")</f>
        <v>Marmota marmota marmota</v>
      </c>
      <c r="H59" t="s">
        <v>81</v>
      </c>
      <c r="I59" t="str">
        <f>HYPERLINK("http://www.ncbi.nlm.nih.gov/protein/XP_015361843.1","PREDICTED: fatty acid-binding protein, liver")</f>
        <v>PREDICTED: fatty acid-binding protein, liver</v>
      </c>
      <c r="J59" t="s">
        <v>1381</v>
      </c>
      <c r="K59" t="s">
        <v>25</v>
      </c>
      <c r="L59">
        <v>50</v>
      </c>
      <c r="M59" t="s">
        <v>1382</v>
      </c>
      <c r="N59" t="s">
        <v>25</v>
      </c>
    </row>
    <row r="60" spans="1:14" x14ac:dyDescent="0.25">
      <c r="A60">
        <v>6</v>
      </c>
      <c r="B60" t="s">
        <v>18</v>
      </c>
      <c r="C60" t="str">
        <f>HYPERLINK("http://www.ncbi.nlm.nih.gov/protein/XP_019488527.1","XP_019488527.1")</f>
        <v>XP_019488527.1</v>
      </c>
      <c r="D60">
        <v>46132</v>
      </c>
      <c r="E60" t="str">
        <f>HYPERLINK("http://www.ncbi.nlm.nih.gov/Taxonomy/Browser/wwwtax.cgi?mode=Info&amp;id=186990&amp;lvl=3&amp;lin=f&amp;keep=1&amp;srchmode=1&amp;unlock","186990")</f>
        <v>186990</v>
      </c>
      <c r="F60" t="s">
        <v>18</v>
      </c>
      <c r="G60" t="str">
        <f>HYPERLINK("http://www.ncbi.nlm.nih.gov/Taxonomy/Browser/wwwtax.cgi?mode=Info&amp;id=186990&amp;lvl=3&amp;lin=f&amp;keep=1&amp;srchmode=1&amp;unlock","Hipposideros armiger")</f>
        <v>Hipposideros armiger</v>
      </c>
      <c r="H60" t="s">
        <v>82</v>
      </c>
      <c r="I60" t="str">
        <f>HYPERLINK("http://www.ncbi.nlm.nih.gov/protein/XP_019488527.1","PREDICTED: fatty acid-binding protein, liver")</f>
        <v>PREDICTED: fatty acid-binding protein, liver</v>
      </c>
      <c r="J60" t="s">
        <v>1381</v>
      </c>
      <c r="K60" t="s">
        <v>25</v>
      </c>
      <c r="L60">
        <v>50</v>
      </c>
      <c r="M60" t="s">
        <v>1382</v>
      </c>
      <c r="N60" t="s">
        <v>25</v>
      </c>
    </row>
    <row r="61" spans="1:14" x14ac:dyDescent="0.25">
      <c r="A61">
        <v>6</v>
      </c>
      <c r="B61" t="s">
        <v>18</v>
      </c>
      <c r="C61" t="str">
        <f>HYPERLINK("http://www.ncbi.nlm.nih.gov/protein/XP_008978612.1","XP_008978612.1")</f>
        <v>XP_008978612.1</v>
      </c>
      <c r="D61">
        <v>87648</v>
      </c>
      <c r="E61" t="str">
        <f>HYPERLINK("http://www.ncbi.nlm.nih.gov/Taxonomy/Browser/wwwtax.cgi?mode=Info&amp;id=9483&amp;lvl=3&amp;lin=f&amp;keep=1&amp;srchmode=1&amp;unlock","9483")</f>
        <v>9483</v>
      </c>
      <c r="F61" t="s">
        <v>18</v>
      </c>
      <c r="G61" t="str">
        <f>HYPERLINK("http://www.ncbi.nlm.nih.gov/Taxonomy/Browser/wwwtax.cgi?mode=Info&amp;id=9483&amp;lvl=3&amp;lin=f&amp;keep=1&amp;srchmode=1&amp;unlock","Callithrix jacchus")</f>
        <v>Callithrix jacchus</v>
      </c>
      <c r="H61" t="s">
        <v>79</v>
      </c>
      <c r="I61" t="str">
        <f>HYPERLINK("http://www.ncbi.nlm.nih.gov/protein/XP_008978612.1","fatty acid-binding protein, liver")</f>
        <v>fatty acid-binding protein, liver</v>
      </c>
      <c r="J61" t="s">
        <v>1381</v>
      </c>
      <c r="K61" t="s">
        <v>25</v>
      </c>
      <c r="L61">
        <v>50</v>
      </c>
      <c r="M61" t="s">
        <v>1382</v>
      </c>
      <c r="N61" t="s">
        <v>25</v>
      </c>
    </row>
    <row r="62" spans="1:14" x14ac:dyDescent="0.25">
      <c r="A62">
        <v>6</v>
      </c>
      <c r="B62" t="s">
        <v>18</v>
      </c>
      <c r="C62" t="str">
        <f>HYPERLINK("http://www.ncbi.nlm.nih.gov/protein/KAF7463725.1","KAF7463725.1")</f>
        <v>KAF7463725.1</v>
      </c>
      <c r="D62">
        <v>69383</v>
      </c>
      <c r="E62" t="str">
        <f>HYPERLINK("http://www.ncbi.nlm.nih.gov/Taxonomy/Browser/wwwtax.cgi?mode=Info&amp;id=9995&amp;lvl=3&amp;lin=f&amp;keep=1&amp;srchmode=1&amp;unlock","9995")</f>
        <v>9995</v>
      </c>
      <c r="F62" t="s">
        <v>18</v>
      </c>
      <c r="G62" t="str">
        <f>HYPERLINK("http://www.ncbi.nlm.nih.gov/Taxonomy/Browser/wwwtax.cgi?mode=Info&amp;id=9995&amp;lvl=3&amp;lin=f&amp;keep=1&amp;srchmode=1&amp;unlock","Marmota monax")</f>
        <v>Marmota monax</v>
      </c>
      <c r="H62" t="s">
        <v>80</v>
      </c>
      <c r="I62" t="str">
        <f>HYPERLINK("http://www.ncbi.nlm.nih.gov/protein/KAF7463725.1","fatty acid-binding protein liver")</f>
        <v>fatty acid-binding protein liver</v>
      </c>
      <c r="J62" t="s">
        <v>1381</v>
      </c>
      <c r="K62" t="s">
        <v>25</v>
      </c>
      <c r="L62">
        <v>50</v>
      </c>
      <c r="M62" t="s">
        <v>1382</v>
      </c>
      <c r="N62" t="s">
        <v>25</v>
      </c>
    </row>
    <row r="63" spans="1:14" x14ac:dyDescent="0.25">
      <c r="A63">
        <v>6</v>
      </c>
      <c r="B63" t="s">
        <v>18</v>
      </c>
      <c r="C63" t="str">
        <f>HYPERLINK("http://www.ncbi.nlm.nih.gov/protein/XP_004414263.1","XP_004414263.1")</f>
        <v>XP_004414263.1</v>
      </c>
      <c r="D63">
        <v>31383</v>
      </c>
      <c r="E63" t="str">
        <f>HYPERLINK("http://www.ncbi.nlm.nih.gov/Taxonomy/Browser/wwwtax.cgi?mode=Info&amp;id=9708&amp;lvl=3&amp;lin=f&amp;keep=1&amp;srchmode=1&amp;unlock","9708")</f>
        <v>9708</v>
      </c>
      <c r="F63" t="s">
        <v>18</v>
      </c>
      <c r="G63" t="str">
        <f>HYPERLINK("http://www.ncbi.nlm.nih.gov/Taxonomy/Browser/wwwtax.cgi?mode=Info&amp;id=9708&amp;lvl=3&amp;lin=f&amp;keep=1&amp;srchmode=1&amp;unlock","Odobenus rosmarus divergens")</f>
        <v>Odobenus rosmarus divergens</v>
      </c>
      <c r="H63" t="s">
        <v>83</v>
      </c>
      <c r="I63" t="str">
        <f>HYPERLINK("http://www.ncbi.nlm.nih.gov/protein/XP_004414263.1","PREDICTED: fatty acid-binding protein, liver")</f>
        <v>PREDICTED: fatty acid-binding protein, liver</v>
      </c>
      <c r="J63" t="s">
        <v>1381</v>
      </c>
      <c r="K63" t="s">
        <v>25</v>
      </c>
      <c r="L63">
        <v>50</v>
      </c>
      <c r="M63" t="s">
        <v>1382</v>
      </c>
      <c r="N63" t="s">
        <v>25</v>
      </c>
    </row>
    <row r="64" spans="1:14" x14ac:dyDescent="0.25">
      <c r="A64">
        <v>6</v>
      </c>
      <c r="B64" t="s">
        <v>18</v>
      </c>
      <c r="C64" t="str">
        <f>HYPERLINK("http://www.ncbi.nlm.nih.gov/protein/XP_026265265.1","XP_026265265.1")</f>
        <v>XP_026265265.1</v>
      </c>
      <c r="D64">
        <v>36494</v>
      </c>
      <c r="E64" t="str">
        <f>HYPERLINK("http://www.ncbi.nlm.nih.gov/Taxonomy/Browser/wwwtax.cgi?mode=Info&amp;id=9999&amp;lvl=3&amp;lin=f&amp;keep=1&amp;srchmode=1&amp;unlock","9999")</f>
        <v>9999</v>
      </c>
      <c r="F64" t="s">
        <v>18</v>
      </c>
      <c r="G64" t="str">
        <f>HYPERLINK("http://www.ncbi.nlm.nih.gov/Taxonomy/Browser/wwwtax.cgi?mode=Info&amp;id=9999&amp;lvl=3&amp;lin=f&amp;keep=1&amp;srchmode=1&amp;unlock","Urocitellus parryii")</f>
        <v>Urocitellus parryii</v>
      </c>
      <c r="H64" t="s">
        <v>84</v>
      </c>
      <c r="I64" t="str">
        <f>HYPERLINK("http://www.ncbi.nlm.nih.gov/protein/XP_026265265.1","fatty acid-binding protein, liver")</f>
        <v>fatty acid-binding protein, liver</v>
      </c>
      <c r="J64" t="s">
        <v>1381</v>
      </c>
      <c r="K64" t="s">
        <v>25</v>
      </c>
      <c r="L64">
        <v>50</v>
      </c>
      <c r="M64" t="s">
        <v>1382</v>
      </c>
      <c r="N64" t="s">
        <v>25</v>
      </c>
    </row>
    <row r="65" spans="1:14" x14ac:dyDescent="0.25">
      <c r="A65">
        <v>6</v>
      </c>
      <c r="B65" t="s">
        <v>18</v>
      </c>
      <c r="C65" t="str">
        <f>HYPERLINK("http://www.ncbi.nlm.nih.gov/protein/XP_032099526.1","XP_032099526.1")</f>
        <v>XP_032099526.1</v>
      </c>
      <c r="D65">
        <v>62477</v>
      </c>
      <c r="E65" t="str">
        <f>HYPERLINK("http://www.ncbi.nlm.nih.gov/Taxonomy/Browser/wwwtax.cgi?mode=Info&amp;id=9515&amp;lvl=3&amp;lin=f&amp;keep=1&amp;srchmode=1&amp;unlock","9515")</f>
        <v>9515</v>
      </c>
      <c r="F65" t="s">
        <v>18</v>
      </c>
      <c r="G65" t="str">
        <f>HYPERLINK("http://www.ncbi.nlm.nih.gov/Taxonomy/Browser/wwwtax.cgi?mode=Info&amp;id=9515&amp;lvl=3&amp;lin=f&amp;keep=1&amp;srchmode=1&amp;unlock","Sapajus apella")</f>
        <v>Sapajus apella</v>
      </c>
      <c r="H65" t="s">
        <v>86</v>
      </c>
      <c r="I65" t="str">
        <f>HYPERLINK("http://www.ncbi.nlm.nih.gov/protein/XP_032099526.1","fatty acid-binding protein, liver")</f>
        <v>fatty acid-binding protein, liver</v>
      </c>
      <c r="J65" t="s">
        <v>1381</v>
      </c>
      <c r="K65" t="s">
        <v>25</v>
      </c>
      <c r="L65">
        <v>50</v>
      </c>
      <c r="M65" t="s">
        <v>1382</v>
      </c>
      <c r="N65" t="s">
        <v>25</v>
      </c>
    </row>
    <row r="66" spans="1:14" x14ac:dyDescent="0.25">
      <c r="A66">
        <v>6</v>
      </c>
      <c r="B66" t="s">
        <v>18</v>
      </c>
      <c r="C66" t="str">
        <f>HYPERLINK("http://www.ncbi.nlm.nih.gov/protein/XP_017392153.1","XP_017392153.1")</f>
        <v>XP_017392153.1</v>
      </c>
      <c r="D66">
        <v>55886</v>
      </c>
      <c r="E66" t="str">
        <f>HYPERLINK("http://www.ncbi.nlm.nih.gov/Taxonomy/Browser/wwwtax.cgi?mode=Info&amp;id=2715852&amp;lvl=3&amp;lin=f&amp;keep=1&amp;srchmode=1&amp;unlock","2715852")</f>
        <v>2715852</v>
      </c>
      <c r="F66" t="s">
        <v>18</v>
      </c>
      <c r="G66" t="str">
        <f>HYPERLINK("http://www.ncbi.nlm.nih.gov/Taxonomy/Browser/wwwtax.cgi?mode=Info&amp;id=2715852&amp;lvl=3&amp;lin=f&amp;keep=1&amp;srchmode=1&amp;unlock","Cebus imitator")</f>
        <v>Cebus imitator</v>
      </c>
      <c r="H66" t="s">
        <v>85</v>
      </c>
      <c r="I66" t="str">
        <f>HYPERLINK("http://www.ncbi.nlm.nih.gov/protein/XP_017392153.1","fatty acid-binding protein, liver")</f>
        <v>fatty acid-binding protein, liver</v>
      </c>
      <c r="J66" t="s">
        <v>1381</v>
      </c>
      <c r="K66" t="s">
        <v>25</v>
      </c>
      <c r="L66">
        <v>50</v>
      </c>
      <c r="M66" t="s">
        <v>1382</v>
      </c>
      <c r="N66" t="s">
        <v>25</v>
      </c>
    </row>
    <row r="67" spans="1:14" x14ac:dyDescent="0.25">
      <c r="A67">
        <v>6</v>
      </c>
      <c r="B67" t="s">
        <v>18</v>
      </c>
      <c r="C67" t="str">
        <f>HYPERLINK("http://www.ncbi.nlm.nih.gov/protein/XP_017527706.1","XP_017527706.1")</f>
        <v>XP_017527706.1</v>
      </c>
      <c r="D67">
        <v>56038</v>
      </c>
      <c r="E67" t="str">
        <f>HYPERLINK("http://www.ncbi.nlm.nih.gov/Taxonomy/Browser/wwwtax.cgi?mode=Info&amp;id=9974&amp;lvl=3&amp;lin=f&amp;keep=1&amp;srchmode=1&amp;unlock","9974")</f>
        <v>9974</v>
      </c>
      <c r="F67" t="s">
        <v>18</v>
      </c>
      <c r="G67" t="str">
        <f>HYPERLINK("http://www.ncbi.nlm.nih.gov/Taxonomy/Browser/wwwtax.cgi?mode=Info&amp;id=9974&amp;lvl=3&amp;lin=f&amp;keep=1&amp;srchmode=1&amp;unlock","Manis javanica")</f>
        <v>Manis javanica</v>
      </c>
      <c r="H67" t="s">
        <v>87</v>
      </c>
      <c r="I67" t="str">
        <f>HYPERLINK("http://www.ncbi.nlm.nih.gov/protein/XP_017527706.1","fatty acid-binding protein, liver")</f>
        <v>fatty acid-binding protein, liver</v>
      </c>
      <c r="J67" t="s">
        <v>1381</v>
      </c>
      <c r="K67" t="s">
        <v>20</v>
      </c>
      <c r="L67">
        <v>50</v>
      </c>
      <c r="M67" t="s">
        <v>1380</v>
      </c>
      <c r="N67" t="s">
        <v>20</v>
      </c>
    </row>
    <row r="68" spans="1:14" x14ac:dyDescent="0.25">
      <c r="A68">
        <v>6</v>
      </c>
      <c r="B68" t="s">
        <v>18</v>
      </c>
      <c r="C68" t="str">
        <f>HYPERLINK("http://www.ncbi.nlm.nih.gov/protein/XP_003799233.1","XP_003799233.1")</f>
        <v>XP_003799233.1</v>
      </c>
      <c r="D68">
        <v>33103</v>
      </c>
      <c r="E68" t="str">
        <f>HYPERLINK("http://www.ncbi.nlm.nih.gov/Taxonomy/Browser/wwwtax.cgi?mode=Info&amp;id=30611&amp;lvl=3&amp;lin=f&amp;keep=1&amp;srchmode=1&amp;unlock","30611")</f>
        <v>30611</v>
      </c>
      <c r="F68" t="s">
        <v>18</v>
      </c>
      <c r="G68" t="str">
        <f>HYPERLINK("http://www.ncbi.nlm.nih.gov/Taxonomy/Browser/wwwtax.cgi?mode=Info&amp;id=30611&amp;lvl=3&amp;lin=f&amp;keep=1&amp;srchmode=1&amp;unlock","Otolemur garnettii")</f>
        <v>Otolemur garnettii</v>
      </c>
      <c r="H68" t="s">
        <v>88</v>
      </c>
      <c r="I68" t="str">
        <f>HYPERLINK("http://www.ncbi.nlm.nih.gov/protein/XP_003799233.1","fatty acid-binding protein, liver")</f>
        <v>fatty acid-binding protein, liver</v>
      </c>
      <c r="J68" t="s">
        <v>1381</v>
      </c>
      <c r="K68" t="s">
        <v>25</v>
      </c>
      <c r="L68">
        <v>50</v>
      </c>
      <c r="M68" t="s">
        <v>1382</v>
      </c>
      <c r="N68" t="s">
        <v>25</v>
      </c>
    </row>
    <row r="69" spans="1:14" x14ac:dyDescent="0.25">
      <c r="A69">
        <v>6</v>
      </c>
      <c r="B69" t="s">
        <v>18</v>
      </c>
      <c r="C69" t="str">
        <f>HYPERLINK("http://www.ncbi.nlm.nih.gov/protein/XP_032980104.1","XP_032980104.1")</f>
        <v>XP_032980104.1</v>
      </c>
      <c r="D69">
        <v>90503</v>
      </c>
      <c r="E69" t="str">
        <f>HYPERLINK("http://www.ncbi.nlm.nih.gov/Taxonomy/Browser/wwwtax.cgi?mode=Info&amp;id=59479&amp;lvl=3&amp;lin=f&amp;keep=1&amp;srchmode=1&amp;unlock","59479")</f>
        <v>59479</v>
      </c>
      <c r="F69" t="s">
        <v>18</v>
      </c>
      <c r="G69" t="str">
        <f>HYPERLINK("http://www.ncbi.nlm.nih.gov/Taxonomy/Browser/wwwtax.cgi?mode=Info&amp;id=59479&amp;lvl=3&amp;lin=f&amp;keep=1&amp;srchmode=1&amp;unlock","Rhinolophus ferrumequinum")</f>
        <v>Rhinolophus ferrumequinum</v>
      </c>
      <c r="H69" t="s">
        <v>89</v>
      </c>
      <c r="I69" t="str">
        <f>HYPERLINK("http://www.ncbi.nlm.nih.gov/protein/XP_032980104.1","fatty acid-binding protein, liver")</f>
        <v>fatty acid-binding protein, liver</v>
      </c>
      <c r="J69" t="s">
        <v>1381</v>
      </c>
      <c r="K69" t="s">
        <v>25</v>
      </c>
      <c r="L69">
        <v>50</v>
      </c>
      <c r="M69" t="s">
        <v>1382</v>
      </c>
      <c r="N69" t="s">
        <v>25</v>
      </c>
    </row>
    <row r="70" spans="1:14" x14ac:dyDescent="0.25">
      <c r="A70">
        <v>6</v>
      </c>
      <c r="B70" t="s">
        <v>18</v>
      </c>
      <c r="C70" t="str">
        <f>HYPERLINK("http://www.ncbi.nlm.nih.gov/protein/XP_007952289.1","XP_007952289.1")</f>
        <v>XP_007952289.1</v>
      </c>
      <c r="D70">
        <v>25532</v>
      </c>
      <c r="E70" t="str">
        <f>HYPERLINK("http://www.ncbi.nlm.nih.gov/Taxonomy/Browser/wwwtax.cgi?mode=Info&amp;id=1230840&amp;lvl=3&amp;lin=f&amp;keep=1&amp;srchmode=1&amp;unlock","1230840")</f>
        <v>1230840</v>
      </c>
      <c r="F70" t="s">
        <v>18</v>
      </c>
      <c r="G70" t="str">
        <f>HYPERLINK("http://www.ncbi.nlm.nih.gov/Taxonomy/Browser/wwwtax.cgi?mode=Info&amp;id=1230840&amp;lvl=3&amp;lin=f&amp;keep=1&amp;srchmode=1&amp;unlock","Orycteropus afer afer")</f>
        <v>Orycteropus afer afer</v>
      </c>
      <c r="H70" t="s">
        <v>90</v>
      </c>
      <c r="I70" t="str">
        <f>HYPERLINK("http://www.ncbi.nlm.nih.gov/protein/XP_007952289.1","PREDICTED: fatty acid-binding protein, liver")</f>
        <v>PREDICTED: fatty acid-binding protein, liver</v>
      </c>
      <c r="J70" t="s">
        <v>1381</v>
      </c>
      <c r="K70" t="s">
        <v>25</v>
      </c>
      <c r="L70">
        <v>50</v>
      </c>
      <c r="M70" t="s">
        <v>1382</v>
      </c>
      <c r="N70" t="s">
        <v>25</v>
      </c>
    </row>
    <row r="71" spans="1:14" x14ac:dyDescent="0.25">
      <c r="A71">
        <v>6</v>
      </c>
      <c r="B71" t="s">
        <v>18</v>
      </c>
      <c r="C71" t="str">
        <f>HYPERLINK("http://www.ncbi.nlm.nih.gov/protein/XP_036291857.1","XP_036291857.1")</f>
        <v>XP_036291857.1</v>
      </c>
      <c r="D71">
        <v>93471</v>
      </c>
      <c r="E71" t="str">
        <f>HYPERLINK("http://www.ncbi.nlm.nih.gov/Taxonomy/Browser/wwwtax.cgi?mode=Info&amp;id=59472&amp;lvl=3&amp;lin=f&amp;keep=1&amp;srchmode=1&amp;unlock","59472")</f>
        <v>59472</v>
      </c>
      <c r="F71" t="s">
        <v>18</v>
      </c>
      <c r="G71" t="str">
        <f>HYPERLINK("http://www.ncbi.nlm.nih.gov/Taxonomy/Browser/wwwtax.cgi?mode=Info&amp;id=59472&amp;lvl=3&amp;lin=f&amp;keep=1&amp;srchmode=1&amp;unlock","Pipistrellus kuhlii")</f>
        <v>Pipistrellus kuhlii</v>
      </c>
      <c r="H71" t="s">
        <v>92</v>
      </c>
      <c r="I71" t="str">
        <f>HYPERLINK("http://www.ncbi.nlm.nih.gov/protein/XP_036291857.1","fatty acid-binding protein, liver")</f>
        <v>fatty acid-binding protein, liver</v>
      </c>
      <c r="J71" t="s">
        <v>1381</v>
      </c>
      <c r="K71" t="s">
        <v>25</v>
      </c>
      <c r="L71">
        <v>50</v>
      </c>
      <c r="M71" t="s">
        <v>1382</v>
      </c>
      <c r="N71" t="s">
        <v>25</v>
      </c>
    </row>
    <row r="72" spans="1:14" x14ac:dyDescent="0.25">
      <c r="A72">
        <v>6</v>
      </c>
      <c r="B72" t="s">
        <v>18</v>
      </c>
      <c r="C72" t="str">
        <f>HYPERLINK("http://www.ncbi.nlm.nih.gov/protein/XP_004660563.1","XP_004660563.1")</f>
        <v>XP_004660563.1</v>
      </c>
      <c r="D72">
        <v>25744</v>
      </c>
      <c r="E72" t="str">
        <f>HYPERLINK("http://www.ncbi.nlm.nih.gov/Taxonomy/Browser/wwwtax.cgi?mode=Info&amp;id=51337&amp;lvl=3&amp;lin=f&amp;keep=1&amp;srchmode=1&amp;unlock","51337")</f>
        <v>51337</v>
      </c>
      <c r="F72" t="s">
        <v>18</v>
      </c>
      <c r="G72" t="str">
        <f>HYPERLINK("http://www.ncbi.nlm.nih.gov/Taxonomy/Browser/wwwtax.cgi?mode=Info&amp;id=51337&amp;lvl=3&amp;lin=f&amp;keep=1&amp;srchmode=1&amp;unlock","Jaculus jaculus")</f>
        <v>Jaculus jaculus</v>
      </c>
      <c r="H72" t="s">
        <v>91</v>
      </c>
      <c r="I72" t="str">
        <f>HYPERLINK("http://www.ncbi.nlm.nih.gov/protein/XP_004660563.1","PREDICTED: fatty acid-binding protein, liver")</f>
        <v>PREDICTED: fatty acid-binding protein, liver</v>
      </c>
      <c r="J72" t="s">
        <v>1381</v>
      </c>
      <c r="K72" t="s">
        <v>25</v>
      </c>
      <c r="L72">
        <v>50</v>
      </c>
      <c r="M72" t="s">
        <v>1382</v>
      </c>
      <c r="N72" t="s">
        <v>25</v>
      </c>
    </row>
    <row r="73" spans="1:14" x14ac:dyDescent="0.25">
      <c r="A73">
        <v>6</v>
      </c>
      <c r="B73" t="s">
        <v>18</v>
      </c>
      <c r="C73" t="str">
        <f>HYPERLINK("http://www.ncbi.nlm.nih.gov/protein/XP_012629799.1","XP_012629799.1")</f>
        <v>XP_012629799.1</v>
      </c>
      <c r="D73">
        <v>60035</v>
      </c>
      <c r="E73" t="str">
        <f>HYPERLINK("http://www.ncbi.nlm.nih.gov/Taxonomy/Browser/wwwtax.cgi?mode=Info&amp;id=30608&amp;lvl=3&amp;lin=f&amp;keep=1&amp;srchmode=1&amp;unlock","30608")</f>
        <v>30608</v>
      </c>
      <c r="F73" t="s">
        <v>18</v>
      </c>
      <c r="G73" t="str">
        <f>HYPERLINK("http://www.ncbi.nlm.nih.gov/Taxonomy/Browser/wwwtax.cgi?mode=Info&amp;id=30608&amp;lvl=3&amp;lin=f&amp;keep=1&amp;srchmode=1&amp;unlock","Microcebus murinus")</f>
        <v>Microcebus murinus</v>
      </c>
      <c r="H73" t="s">
        <v>93</v>
      </c>
      <c r="I73" t="str">
        <f>HYPERLINK("http://www.ncbi.nlm.nih.gov/protein/XP_012629799.1","fatty acid-binding protein, liver")</f>
        <v>fatty acid-binding protein, liver</v>
      </c>
      <c r="J73" t="s">
        <v>1381</v>
      </c>
      <c r="K73" t="s">
        <v>25</v>
      </c>
      <c r="L73">
        <v>50</v>
      </c>
      <c r="M73" t="s">
        <v>1382</v>
      </c>
      <c r="N73" t="s">
        <v>25</v>
      </c>
    </row>
    <row r="74" spans="1:14" x14ac:dyDescent="0.25">
      <c r="A74">
        <v>6</v>
      </c>
      <c r="B74" t="s">
        <v>18</v>
      </c>
      <c r="C74" t="str">
        <f>HYPERLINK("http://www.ncbi.nlm.nih.gov/protein/XP_006103078.1","XP_006103078.1")</f>
        <v>XP_006103078.1</v>
      </c>
      <c r="D74">
        <v>44006</v>
      </c>
      <c r="E74" t="str">
        <f>HYPERLINK("http://www.ncbi.nlm.nih.gov/Taxonomy/Browser/wwwtax.cgi?mode=Info&amp;id=59463&amp;lvl=3&amp;lin=f&amp;keep=1&amp;srchmode=1&amp;unlock","59463")</f>
        <v>59463</v>
      </c>
      <c r="F74" t="s">
        <v>18</v>
      </c>
      <c r="G74" t="str">
        <f>HYPERLINK("http://www.ncbi.nlm.nih.gov/Taxonomy/Browser/wwwtax.cgi?mode=Info&amp;id=59463&amp;lvl=3&amp;lin=f&amp;keep=1&amp;srchmode=1&amp;unlock","Myotis lucifugus")</f>
        <v>Myotis lucifugus</v>
      </c>
      <c r="H74" t="s">
        <v>94</v>
      </c>
      <c r="I74" t="str">
        <f>HYPERLINK("http://www.ncbi.nlm.nih.gov/protein/XP_006103078.1","fatty acid-binding protein, liver")</f>
        <v>fatty acid-binding protein, liver</v>
      </c>
      <c r="J74" t="s">
        <v>1381</v>
      </c>
      <c r="K74" t="s">
        <v>25</v>
      </c>
      <c r="L74">
        <v>50</v>
      </c>
      <c r="M74" t="s">
        <v>1382</v>
      </c>
      <c r="N74" t="s">
        <v>25</v>
      </c>
    </row>
    <row r="75" spans="1:14" x14ac:dyDescent="0.25">
      <c r="A75">
        <v>6</v>
      </c>
      <c r="B75" t="s">
        <v>18</v>
      </c>
      <c r="C75" t="str">
        <f>HYPERLINK("http://www.ncbi.nlm.nih.gov/protein/XP_036191465.1","XP_036191465.1")</f>
        <v>XP_036191465.1</v>
      </c>
      <c r="D75">
        <v>106885</v>
      </c>
      <c r="E75" t="str">
        <f>HYPERLINK("http://www.ncbi.nlm.nih.gov/Taxonomy/Browser/wwwtax.cgi?mode=Info&amp;id=51298&amp;lvl=3&amp;lin=f&amp;keep=1&amp;srchmode=1&amp;unlock","51298")</f>
        <v>51298</v>
      </c>
      <c r="F75" t="s">
        <v>18</v>
      </c>
      <c r="G75" t="str">
        <f>HYPERLINK("http://www.ncbi.nlm.nih.gov/Taxonomy/Browser/wwwtax.cgi?mode=Info&amp;id=51298&amp;lvl=3&amp;lin=f&amp;keep=1&amp;srchmode=1&amp;unlock","Myotis myotis")</f>
        <v>Myotis myotis</v>
      </c>
      <c r="H75" t="s">
        <v>77</v>
      </c>
      <c r="I75" t="str">
        <f>HYPERLINK("http://www.ncbi.nlm.nih.gov/protein/XP_036191465.1","fatty acid-binding protein, liver")</f>
        <v>fatty acid-binding protein, liver</v>
      </c>
      <c r="J75" t="s">
        <v>1381</v>
      </c>
      <c r="K75" t="s">
        <v>25</v>
      </c>
      <c r="L75">
        <v>50</v>
      </c>
      <c r="M75" t="s">
        <v>1382</v>
      </c>
      <c r="N75" t="s">
        <v>25</v>
      </c>
    </row>
    <row r="76" spans="1:14" x14ac:dyDescent="0.25">
      <c r="A76">
        <v>6</v>
      </c>
      <c r="B76" t="s">
        <v>18</v>
      </c>
      <c r="C76" t="str">
        <f>HYPERLINK("http://www.ncbi.nlm.nih.gov/protein/XP_005883684.1","XP_005883684.1")</f>
        <v>XP_005883684.1</v>
      </c>
      <c r="D76">
        <v>60288</v>
      </c>
      <c r="E76" t="str">
        <f>HYPERLINK("http://www.ncbi.nlm.nih.gov/Taxonomy/Browser/wwwtax.cgi?mode=Info&amp;id=109478&amp;lvl=3&amp;lin=f&amp;keep=1&amp;srchmode=1&amp;unlock","109478")</f>
        <v>109478</v>
      </c>
      <c r="F76" t="s">
        <v>18</v>
      </c>
      <c r="G76" t="str">
        <f>HYPERLINK("http://www.ncbi.nlm.nih.gov/Taxonomy/Browser/wwwtax.cgi?mode=Info&amp;id=109478&amp;lvl=3&amp;lin=f&amp;keep=1&amp;srchmode=1&amp;unlock","Myotis brandtii")</f>
        <v>Myotis brandtii</v>
      </c>
      <c r="H76" t="s">
        <v>95</v>
      </c>
      <c r="I76" t="str">
        <f>HYPERLINK("http://www.ncbi.nlm.nih.gov/protein/XP_005883684.1","PREDICTED: fatty acid-binding protein, liver isoform X1")</f>
        <v>PREDICTED: fatty acid-binding protein, liver isoform X1</v>
      </c>
      <c r="J76" t="s">
        <v>1381</v>
      </c>
      <c r="K76" t="s">
        <v>25</v>
      </c>
      <c r="L76">
        <v>50</v>
      </c>
      <c r="M76" t="s">
        <v>1382</v>
      </c>
      <c r="N76" t="s">
        <v>25</v>
      </c>
    </row>
    <row r="77" spans="1:14" x14ac:dyDescent="0.25">
      <c r="A77">
        <v>6</v>
      </c>
      <c r="B77" t="s">
        <v>18</v>
      </c>
      <c r="C77" t="str">
        <f>HYPERLINK("http://www.ncbi.nlm.nih.gov/protein/XP_010957262.1","XP_010957262.1")</f>
        <v>XP_010957262.1</v>
      </c>
      <c r="D77">
        <v>29301</v>
      </c>
      <c r="E77" t="str">
        <f>HYPERLINK("http://www.ncbi.nlm.nih.gov/Taxonomy/Browser/wwwtax.cgi?mode=Info&amp;id=9837&amp;lvl=3&amp;lin=f&amp;keep=1&amp;srchmode=1&amp;unlock","9837")</f>
        <v>9837</v>
      </c>
      <c r="F77" t="s">
        <v>18</v>
      </c>
      <c r="G77" t="str">
        <f>HYPERLINK("http://www.ncbi.nlm.nih.gov/Taxonomy/Browser/wwwtax.cgi?mode=Info&amp;id=9837&amp;lvl=3&amp;lin=f&amp;keep=1&amp;srchmode=1&amp;unlock","Camelus bactrianus")</f>
        <v>Camelus bactrianus</v>
      </c>
      <c r="H77" t="s">
        <v>97</v>
      </c>
      <c r="I77" t="str">
        <f>HYPERLINK("http://www.ncbi.nlm.nih.gov/protein/XP_010957262.1","PREDICTED: fatty acid-binding protein, liver")</f>
        <v>PREDICTED: fatty acid-binding protein, liver</v>
      </c>
      <c r="J77" t="s">
        <v>1381</v>
      </c>
      <c r="K77" t="s">
        <v>25</v>
      </c>
      <c r="L77">
        <v>50</v>
      </c>
      <c r="M77" t="s">
        <v>1382</v>
      </c>
      <c r="N77" t="s">
        <v>25</v>
      </c>
    </row>
    <row r="78" spans="1:14" x14ac:dyDescent="0.25">
      <c r="A78">
        <v>6</v>
      </c>
      <c r="B78" t="s">
        <v>18</v>
      </c>
      <c r="C78" t="str">
        <f>HYPERLINK("http://www.ncbi.nlm.nih.gov/protein/XP_006183659.1","XP_006183659.1")</f>
        <v>XP_006183659.1</v>
      </c>
      <c r="D78">
        <v>74736</v>
      </c>
      <c r="E78" t="str">
        <f>HYPERLINK("http://www.ncbi.nlm.nih.gov/Taxonomy/Browser/wwwtax.cgi?mode=Info&amp;id=419612&amp;lvl=3&amp;lin=f&amp;keep=1&amp;srchmode=1&amp;unlock","419612")</f>
        <v>419612</v>
      </c>
      <c r="F78" t="s">
        <v>18</v>
      </c>
      <c r="G78" t="str">
        <f>HYPERLINK("http://www.ncbi.nlm.nih.gov/Taxonomy/Browser/wwwtax.cgi?mode=Info&amp;id=419612&amp;lvl=3&amp;lin=f&amp;keep=1&amp;srchmode=1&amp;unlock","Camelus ferus")</f>
        <v>Camelus ferus</v>
      </c>
      <c r="H78" t="s">
        <v>96</v>
      </c>
      <c r="I78" t="str">
        <f>HYPERLINK("http://www.ncbi.nlm.nih.gov/protein/XP_006183659.1","fatty acid-binding protein, liver")</f>
        <v>fatty acid-binding protein, liver</v>
      </c>
      <c r="J78" t="s">
        <v>1381</v>
      </c>
      <c r="K78" t="s">
        <v>25</v>
      </c>
      <c r="L78">
        <v>50</v>
      </c>
      <c r="M78" t="s">
        <v>1382</v>
      </c>
      <c r="N78" t="s">
        <v>25</v>
      </c>
    </row>
    <row r="79" spans="1:14" x14ac:dyDescent="0.25">
      <c r="A79">
        <v>6</v>
      </c>
      <c r="B79" t="s">
        <v>18</v>
      </c>
      <c r="C79" t="str">
        <f>HYPERLINK("http://www.ncbi.nlm.nih.gov/protein/XP_028373133.1","XP_028373133.1")</f>
        <v>XP_028373133.1</v>
      </c>
      <c r="D79">
        <v>107564</v>
      </c>
      <c r="E79" t="str">
        <f>HYPERLINK("http://www.ncbi.nlm.nih.gov/Taxonomy/Browser/wwwtax.cgi?mode=Info&amp;id=89673&amp;lvl=3&amp;lin=f&amp;keep=1&amp;srchmode=1&amp;unlock","89673")</f>
        <v>89673</v>
      </c>
      <c r="F79" t="s">
        <v>18</v>
      </c>
      <c r="G79" t="str">
        <f>HYPERLINK("http://www.ncbi.nlm.nih.gov/Taxonomy/Browser/wwwtax.cgi?mode=Info&amp;id=89673&amp;lvl=3&amp;lin=f&amp;keep=1&amp;srchmode=1&amp;unlock","Phyllostomus discolor")</f>
        <v>Phyllostomus discolor</v>
      </c>
      <c r="H79" t="s">
        <v>98</v>
      </c>
      <c r="I79" t="str">
        <f>HYPERLINK("http://www.ncbi.nlm.nih.gov/protein/XP_028373133.1","fatty acid-binding protein, liver")</f>
        <v>fatty acid-binding protein, liver</v>
      </c>
      <c r="J79" t="s">
        <v>1381</v>
      </c>
      <c r="K79" t="s">
        <v>25</v>
      </c>
      <c r="L79">
        <v>50</v>
      </c>
      <c r="M79" t="s">
        <v>1382</v>
      </c>
      <c r="N79" t="s">
        <v>25</v>
      </c>
    </row>
    <row r="80" spans="1:14" x14ac:dyDescent="0.25">
      <c r="A80">
        <v>6</v>
      </c>
      <c r="B80" t="s">
        <v>18</v>
      </c>
      <c r="C80" t="str">
        <f>HYPERLINK("http://www.ncbi.nlm.nih.gov/protein/XP_008154150.1","XP_008154150.1")</f>
        <v>XP_008154150.1</v>
      </c>
      <c r="D80">
        <v>50025</v>
      </c>
      <c r="E80" t="str">
        <f>HYPERLINK("http://www.ncbi.nlm.nih.gov/Taxonomy/Browser/wwwtax.cgi?mode=Info&amp;id=29078&amp;lvl=3&amp;lin=f&amp;keep=1&amp;srchmode=1&amp;unlock","29078")</f>
        <v>29078</v>
      </c>
      <c r="F80" t="s">
        <v>18</v>
      </c>
      <c r="G80" t="str">
        <f>HYPERLINK("http://www.ncbi.nlm.nih.gov/Taxonomy/Browser/wwwtax.cgi?mode=Info&amp;id=29078&amp;lvl=3&amp;lin=f&amp;keep=1&amp;srchmode=1&amp;unlock","Eptesicus fuscus")</f>
        <v>Eptesicus fuscus</v>
      </c>
      <c r="H80" t="s">
        <v>99</v>
      </c>
      <c r="I80" t="str">
        <f>HYPERLINK("http://www.ncbi.nlm.nih.gov/protein/XP_008154150.1","fatty acid-binding protein, liver")</f>
        <v>fatty acid-binding protein, liver</v>
      </c>
      <c r="J80" t="s">
        <v>1381</v>
      </c>
      <c r="K80" t="s">
        <v>25</v>
      </c>
      <c r="L80">
        <v>50</v>
      </c>
      <c r="M80" t="s">
        <v>1382</v>
      </c>
      <c r="N80" t="s">
        <v>25</v>
      </c>
    </row>
    <row r="81" spans="1:14" x14ac:dyDescent="0.25">
      <c r="A81">
        <v>6</v>
      </c>
      <c r="B81" t="s">
        <v>18</v>
      </c>
      <c r="C81" t="str">
        <f>HYPERLINK("http://www.ncbi.nlm.nih.gov/protein/XP_006913559.1","XP_006913559.1")</f>
        <v>XP_006913559.1</v>
      </c>
      <c r="D81">
        <v>59367</v>
      </c>
      <c r="E81" t="str">
        <f>HYPERLINK("http://www.ncbi.nlm.nih.gov/Taxonomy/Browser/wwwtax.cgi?mode=Info&amp;id=9402&amp;lvl=3&amp;lin=f&amp;keep=1&amp;srchmode=1&amp;unlock","9402")</f>
        <v>9402</v>
      </c>
      <c r="F81" t="s">
        <v>18</v>
      </c>
      <c r="G81" t="str">
        <f>HYPERLINK("http://www.ncbi.nlm.nih.gov/Taxonomy/Browser/wwwtax.cgi?mode=Info&amp;id=9402&amp;lvl=3&amp;lin=f&amp;keep=1&amp;srchmode=1&amp;unlock","Pteropus alecto")</f>
        <v>Pteropus alecto</v>
      </c>
      <c r="H81" t="s">
        <v>100</v>
      </c>
      <c r="I81" t="str">
        <f>HYPERLINK("http://www.ncbi.nlm.nih.gov/protein/XP_006913559.1","fatty acid-binding protein, liver")</f>
        <v>fatty acid-binding protein, liver</v>
      </c>
      <c r="J81" t="s">
        <v>1381</v>
      </c>
      <c r="K81" t="s">
        <v>25</v>
      </c>
      <c r="L81">
        <v>50</v>
      </c>
      <c r="M81" t="s">
        <v>1382</v>
      </c>
      <c r="N81" t="s">
        <v>25</v>
      </c>
    </row>
    <row r="82" spans="1:14" x14ac:dyDescent="0.25">
      <c r="A82">
        <v>6</v>
      </c>
      <c r="B82" t="s">
        <v>18</v>
      </c>
      <c r="C82" t="str">
        <f>HYPERLINK("http://www.ncbi.nlm.nih.gov/protein/XP_020745143.1","XP_020745143.1")</f>
        <v>XP_020745143.1</v>
      </c>
      <c r="D82">
        <v>48218</v>
      </c>
      <c r="E82" t="str">
        <f>HYPERLINK("http://www.ncbi.nlm.nih.gov/Taxonomy/Browser/wwwtax.cgi?mode=Info&amp;id=9880&amp;lvl=3&amp;lin=f&amp;keep=1&amp;srchmode=1&amp;unlock","9880")</f>
        <v>9880</v>
      </c>
      <c r="F82" t="s">
        <v>18</v>
      </c>
      <c r="G82" t="str">
        <f>HYPERLINK("http://www.ncbi.nlm.nih.gov/Taxonomy/Browser/wwwtax.cgi?mode=Info&amp;id=9880&amp;lvl=3&amp;lin=f&amp;keep=1&amp;srchmode=1&amp;unlock","Odocoileus virginianus texanus")</f>
        <v>Odocoileus virginianus texanus</v>
      </c>
      <c r="H82" t="s">
        <v>101</v>
      </c>
      <c r="I82" t="str">
        <f>HYPERLINK("http://www.ncbi.nlm.nih.gov/protein/XP_020745143.1","fatty acid-binding protein, liver")</f>
        <v>fatty acid-binding protein, liver</v>
      </c>
      <c r="J82" t="s">
        <v>1381</v>
      </c>
      <c r="K82" t="s">
        <v>20</v>
      </c>
      <c r="L82">
        <v>50</v>
      </c>
      <c r="M82" t="s">
        <v>1380</v>
      </c>
      <c r="N82" t="s">
        <v>20</v>
      </c>
    </row>
    <row r="83" spans="1:14" x14ac:dyDescent="0.25">
      <c r="A83">
        <v>6</v>
      </c>
      <c r="B83" t="s">
        <v>18</v>
      </c>
      <c r="C83" t="str">
        <f>HYPERLINK("http://www.ncbi.nlm.nih.gov/protein/XP_008834943.1","XP_008834943.1")</f>
        <v>XP_008834943.1</v>
      </c>
      <c r="D83">
        <v>49440</v>
      </c>
      <c r="E83" t="str">
        <f>HYPERLINK("http://www.ncbi.nlm.nih.gov/Taxonomy/Browser/wwwtax.cgi?mode=Info&amp;id=1026970&amp;lvl=3&amp;lin=f&amp;keep=1&amp;srchmode=1&amp;unlock","1026970")</f>
        <v>1026970</v>
      </c>
      <c r="F83" t="s">
        <v>18</v>
      </c>
      <c r="G83" t="str">
        <f>HYPERLINK("http://www.ncbi.nlm.nih.gov/Taxonomy/Browser/wwwtax.cgi?mode=Info&amp;id=1026970&amp;lvl=3&amp;lin=f&amp;keep=1&amp;srchmode=1&amp;unlock","Nannospalax galili")</f>
        <v>Nannospalax galili</v>
      </c>
      <c r="H83" t="s">
        <v>102</v>
      </c>
      <c r="I83" t="str">
        <f>HYPERLINK("http://www.ncbi.nlm.nih.gov/protein/XP_008834943.1","fatty acid-binding protein, liver")</f>
        <v>fatty acid-binding protein, liver</v>
      </c>
      <c r="J83" t="s">
        <v>1381</v>
      </c>
      <c r="K83" t="s">
        <v>25</v>
      </c>
      <c r="L83">
        <v>50</v>
      </c>
      <c r="M83" t="s">
        <v>1382</v>
      </c>
      <c r="N83" t="s">
        <v>25</v>
      </c>
    </row>
    <row r="84" spans="1:14" x14ac:dyDescent="0.25">
      <c r="A84">
        <v>6</v>
      </c>
      <c r="B84" t="s">
        <v>18</v>
      </c>
      <c r="C84" t="str">
        <f>HYPERLINK("http://www.ncbi.nlm.nih.gov/protein/XP_039708402.1","XP_039708402.1")</f>
        <v>XP_039708402.1</v>
      </c>
      <c r="D84">
        <v>53655</v>
      </c>
      <c r="E84" t="str">
        <f>HYPERLINK("http://www.ncbi.nlm.nih.gov/Taxonomy/Browser/wwwtax.cgi?mode=Info&amp;id=143291&amp;lvl=3&amp;lin=f&amp;keep=1&amp;srchmode=1&amp;unlock","143291")</f>
        <v>143291</v>
      </c>
      <c r="F84" t="s">
        <v>18</v>
      </c>
      <c r="G84" t="str">
        <f>HYPERLINK("http://www.ncbi.nlm.nih.gov/Taxonomy/Browser/wwwtax.cgi?mode=Info&amp;id=143291&amp;lvl=3&amp;lin=f&amp;keep=1&amp;srchmode=1&amp;unlock","Pteropus giganteus")</f>
        <v>Pteropus giganteus</v>
      </c>
      <c r="H84" t="s">
        <v>103</v>
      </c>
      <c r="I84" t="str">
        <f>HYPERLINK("http://www.ncbi.nlm.nih.gov/protein/XP_039708402.1","fatty acid-binding protein, liver")</f>
        <v>fatty acid-binding protein, liver</v>
      </c>
      <c r="J84" t="s">
        <v>1381</v>
      </c>
      <c r="K84" t="s">
        <v>25</v>
      </c>
      <c r="L84">
        <v>50</v>
      </c>
      <c r="M84" t="s">
        <v>1382</v>
      </c>
      <c r="N84" t="s">
        <v>25</v>
      </c>
    </row>
    <row r="85" spans="1:14" x14ac:dyDescent="0.25">
      <c r="A85">
        <v>6</v>
      </c>
      <c r="B85" t="s">
        <v>18</v>
      </c>
      <c r="C85" t="str">
        <f>HYPERLINK("http://www.ncbi.nlm.nih.gov/protein/XP_004642838.1","XP_004642838.1")</f>
        <v>XP_004642838.1</v>
      </c>
      <c r="D85">
        <v>42554</v>
      </c>
      <c r="E85" t="str">
        <f>HYPERLINK("http://www.ncbi.nlm.nih.gov/Taxonomy/Browser/wwwtax.cgi?mode=Info&amp;id=10160&amp;lvl=3&amp;lin=f&amp;keep=1&amp;srchmode=1&amp;unlock","10160")</f>
        <v>10160</v>
      </c>
      <c r="F85" t="s">
        <v>18</v>
      </c>
      <c r="G85" t="str">
        <f>HYPERLINK("http://www.ncbi.nlm.nih.gov/Taxonomy/Browser/wwwtax.cgi?mode=Info&amp;id=10160&amp;lvl=3&amp;lin=f&amp;keep=1&amp;srchmode=1&amp;unlock","Octodon degus")</f>
        <v>Octodon degus</v>
      </c>
      <c r="H85" t="s">
        <v>106</v>
      </c>
      <c r="I85" t="str">
        <f>HYPERLINK("http://www.ncbi.nlm.nih.gov/protein/XP_004642838.1","fatty acid-binding protein, liver")</f>
        <v>fatty acid-binding protein, liver</v>
      </c>
      <c r="J85" t="s">
        <v>1381</v>
      </c>
      <c r="K85" t="s">
        <v>25</v>
      </c>
      <c r="L85">
        <v>50</v>
      </c>
      <c r="M85" t="s">
        <v>1382</v>
      </c>
      <c r="N85" t="s">
        <v>25</v>
      </c>
    </row>
    <row r="86" spans="1:14" x14ac:dyDescent="0.25">
      <c r="A86">
        <v>6</v>
      </c>
      <c r="B86" t="s">
        <v>18</v>
      </c>
      <c r="C86" t="str">
        <f>HYPERLINK("http://www.ncbi.nlm.nih.gov/protein/XP_007533957.1","XP_007533957.1")</f>
        <v>XP_007533957.1</v>
      </c>
      <c r="D86">
        <v>29636</v>
      </c>
      <c r="E86" t="str">
        <f>HYPERLINK("http://www.ncbi.nlm.nih.gov/Taxonomy/Browser/wwwtax.cgi?mode=Info&amp;id=9365&amp;lvl=3&amp;lin=f&amp;keep=1&amp;srchmode=1&amp;unlock","9365")</f>
        <v>9365</v>
      </c>
      <c r="F86" t="s">
        <v>18</v>
      </c>
      <c r="G86" t="str">
        <f>HYPERLINK("http://www.ncbi.nlm.nih.gov/Taxonomy/Browser/wwwtax.cgi?mode=Info&amp;id=9365&amp;lvl=3&amp;lin=f&amp;keep=1&amp;srchmode=1&amp;unlock","Erinaceus europaeus")</f>
        <v>Erinaceus europaeus</v>
      </c>
      <c r="H86" t="s">
        <v>105</v>
      </c>
      <c r="I86" t="str">
        <f>HYPERLINK("http://www.ncbi.nlm.nih.gov/protein/XP_007533957.1","PREDICTED: fatty acid-binding protein, liver")</f>
        <v>PREDICTED: fatty acid-binding protein, liver</v>
      </c>
      <c r="J86" t="s">
        <v>1381</v>
      </c>
      <c r="K86" t="s">
        <v>25</v>
      </c>
      <c r="L86">
        <v>50</v>
      </c>
      <c r="M86" t="s">
        <v>1382</v>
      </c>
      <c r="N86" t="s">
        <v>25</v>
      </c>
    </row>
    <row r="87" spans="1:14" x14ac:dyDescent="0.25">
      <c r="A87">
        <v>6</v>
      </c>
      <c r="B87" t="s">
        <v>18</v>
      </c>
      <c r="C87" t="str">
        <f>HYPERLINK("http://www.ncbi.nlm.nih.gov/protein/XP_012890971.1","XP_012890971.1")</f>
        <v>XP_012890971.1</v>
      </c>
      <c r="D87">
        <v>29406</v>
      </c>
      <c r="E87" t="str">
        <f>HYPERLINK("http://www.ncbi.nlm.nih.gov/Taxonomy/Browser/wwwtax.cgi?mode=Info&amp;id=10020&amp;lvl=3&amp;lin=f&amp;keep=1&amp;srchmode=1&amp;unlock","10020")</f>
        <v>10020</v>
      </c>
      <c r="F87" t="s">
        <v>18</v>
      </c>
      <c r="G87" t="str">
        <f>HYPERLINK("http://www.ncbi.nlm.nih.gov/Taxonomy/Browser/wwwtax.cgi?mode=Info&amp;id=10020&amp;lvl=3&amp;lin=f&amp;keep=1&amp;srchmode=1&amp;unlock","Dipodomys ordii")</f>
        <v>Dipodomys ordii</v>
      </c>
      <c r="H87" t="s">
        <v>107</v>
      </c>
      <c r="I87" t="str">
        <f>HYPERLINK("http://www.ncbi.nlm.nih.gov/protein/XP_012890971.1","PREDICTED: fatty acid-binding protein, liver")</f>
        <v>PREDICTED: fatty acid-binding protein, liver</v>
      </c>
      <c r="J87" t="s">
        <v>1381</v>
      </c>
      <c r="K87" t="s">
        <v>25</v>
      </c>
      <c r="L87">
        <v>50</v>
      </c>
      <c r="M87" t="s">
        <v>1382</v>
      </c>
      <c r="N87" t="s">
        <v>25</v>
      </c>
    </row>
    <row r="88" spans="1:14" x14ac:dyDescent="0.25">
      <c r="A88">
        <v>6</v>
      </c>
      <c r="B88" t="s">
        <v>18</v>
      </c>
      <c r="C88" t="str">
        <f>HYPERLINK("http://www.ncbi.nlm.nih.gov/protein/ADZ29097.1","ADZ29097.1")</f>
        <v>ADZ29097.1</v>
      </c>
      <c r="D88">
        <v>47245</v>
      </c>
      <c r="E88" t="str">
        <f>HYPERLINK("http://www.ncbi.nlm.nih.gov/Taxonomy/Browser/wwwtax.cgi?mode=Info&amp;id=9925&amp;lvl=3&amp;lin=f&amp;keep=1&amp;srchmode=1&amp;unlock","9925")</f>
        <v>9925</v>
      </c>
      <c r="F88" t="s">
        <v>18</v>
      </c>
      <c r="G88" t="str">
        <f>HYPERLINK("http://www.ncbi.nlm.nih.gov/Taxonomy/Browser/wwwtax.cgi?mode=Info&amp;id=9925&amp;lvl=3&amp;lin=f&amp;keep=1&amp;srchmode=1&amp;unlock","Capra hircus")</f>
        <v>Capra hircus</v>
      </c>
      <c r="H88" t="s">
        <v>108</v>
      </c>
      <c r="I88" t="str">
        <f>HYPERLINK("http://www.ncbi.nlm.nih.gov/protein/ADZ29097.1","fatty acid binding protein")</f>
        <v>fatty acid binding protein</v>
      </c>
      <c r="J88" t="s">
        <v>1381</v>
      </c>
      <c r="K88" t="s">
        <v>20</v>
      </c>
      <c r="L88">
        <v>50</v>
      </c>
      <c r="M88" t="s">
        <v>1380</v>
      </c>
      <c r="N88" t="s">
        <v>20</v>
      </c>
    </row>
    <row r="89" spans="1:14" x14ac:dyDescent="0.25">
      <c r="A89">
        <v>6</v>
      </c>
      <c r="B89" t="s">
        <v>18</v>
      </c>
      <c r="C89" t="str">
        <f>HYPERLINK("http://www.ncbi.nlm.nih.gov/protein/XP_004691672.1","XP_004691672.1")</f>
        <v>XP_004691672.1</v>
      </c>
      <c r="D89">
        <v>29269</v>
      </c>
      <c r="E89" t="str">
        <f>HYPERLINK("http://www.ncbi.nlm.nih.gov/Taxonomy/Browser/wwwtax.cgi?mode=Info&amp;id=143302&amp;lvl=3&amp;lin=f&amp;keep=1&amp;srchmode=1&amp;unlock","143302")</f>
        <v>143302</v>
      </c>
      <c r="F89" t="s">
        <v>18</v>
      </c>
      <c r="G89" t="str">
        <f>HYPERLINK("http://www.ncbi.nlm.nih.gov/Taxonomy/Browser/wwwtax.cgi?mode=Info&amp;id=143302&amp;lvl=3&amp;lin=f&amp;keep=1&amp;srchmode=1&amp;unlock","Condylura cristata")</f>
        <v>Condylura cristata</v>
      </c>
      <c r="H89" t="s">
        <v>110</v>
      </c>
      <c r="I89" t="str">
        <f>HYPERLINK("http://www.ncbi.nlm.nih.gov/protein/XP_004691672.1","PREDICTED: fatty acid-binding protein, liver")</f>
        <v>PREDICTED: fatty acid-binding protein, liver</v>
      </c>
      <c r="J89" t="s">
        <v>1381</v>
      </c>
      <c r="K89" t="s">
        <v>25</v>
      </c>
      <c r="L89">
        <v>50</v>
      </c>
      <c r="M89" t="s">
        <v>1382</v>
      </c>
      <c r="N89" t="s">
        <v>25</v>
      </c>
    </row>
    <row r="90" spans="1:14" x14ac:dyDescent="0.25">
      <c r="A90">
        <v>6</v>
      </c>
      <c r="B90" t="s">
        <v>18</v>
      </c>
      <c r="C90" t="str">
        <f>HYPERLINK("http://www.ncbi.nlm.nih.gov/protein/XP_036895787.1","XP_036895787.1")</f>
        <v>XP_036895787.1</v>
      </c>
      <c r="D90">
        <v>43557</v>
      </c>
      <c r="E90" t="str">
        <f>HYPERLINK("http://www.ncbi.nlm.nih.gov/Taxonomy/Browser/wwwtax.cgi?mode=Info&amp;id=192404&amp;lvl=3&amp;lin=f&amp;keep=1&amp;srchmode=1&amp;unlock","192404")</f>
        <v>192404</v>
      </c>
      <c r="F90" t="s">
        <v>18</v>
      </c>
      <c r="G90" t="str">
        <f>HYPERLINK("http://www.ncbi.nlm.nih.gov/Taxonomy/Browser/wwwtax.cgi?mode=Info&amp;id=192404&amp;lvl=3&amp;lin=f&amp;keep=1&amp;srchmode=1&amp;unlock","Sturnira hondurensis")</f>
        <v>Sturnira hondurensis</v>
      </c>
      <c r="H90" t="s">
        <v>111</v>
      </c>
      <c r="I90" t="str">
        <f>HYPERLINK("http://www.ncbi.nlm.nih.gov/protein/XP_036895787.1","fatty acid-binding protein, liver")</f>
        <v>fatty acid-binding protein, liver</v>
      </c>
      <c r="J90" t="s">
        <v>1381</v>
      </c>
      <c r="K90" t="s">
        <v>25</v>
      </c>
      <c r="L90">
        <v>50</v>
      </c>
      <c r="M90" t="s">
        <v>1382</v>
      </c>
      <c r="N90" t="s">
        <v>25</v>
      </c>
    </row>
    <row r="91" spans="1:14" x14ac:dyDescent="0.25">
      <c r="A91">
        <v>6</v>
      </c>
      <c r="B91" t="s">
        <v>18</v>
      </c>
      <c r="C91" t="str">
        <f>HYPERLINK("http://www.ncbi.nlm.nih.gov/protein/XP_037024074.1","XP_037024074.1")</f>
        <v>XP_037024074.1</v>
      </c>
      <c r="D91">
        <v>43356</v>
      </c>
      <c r="E91" t="str">
        <f>HYPERLINK("http://www.ncbi.nlm.nih.gov/Taxonomy/Browser/wwwtax.cgi?mode=Info&amp;id=9417&amp;lvl=3&amp;lin=f&amp;keep=1&amp;srchmode=1&amp;unlock","9417")</f>
        <v>9417</v>
      </c>
      <c r="F91" t="s">
        <v>18</v>
      </c>
      <c r="G91" t="str">
        <f>HYPERLINK("http://www.ncbi.nlm.nih.gov/Taxonomy/Browser/wwwtax.cgi?mode=Info&amp;id=9417&amp;lvl=3&amp;lin=f&amp;keep=1&amp;srchmode=1&amp;unlock","Artibeus jamaicensis")</f>
        <v>Artibeus jamaicensis</v>
      </c>
      <c r="H91" t="s">
        <v>109</v>
      </c>
      <c r="I91" t="str">
        <f>HYPERLINK("http://www.ncbi.nlm.nih.gov/protein/XP_037024074.1","fatty acid-binding protein, liver")</f>
        <v>fatty acid-binding protein, liver</v>
      </c>
      <c r="J91" t="s">
        <v>1381</v>
      </c>
      <c r="K91" t="s">
        <v>20</v>
      </c>
      <c r="L91">
        <v>50</v>
      </c>
      <c r="M91" t="s">
        <v>1380</v>
      </c>
      <c r="N91" t="s">
        <v>20</v>
      </c>
    </row>
    <row r="92" spans="1:14" x14ac:dyDescent="0.25">
      <c r="A92">
        <v>6</v>
      </c>
      <c r="B92" t="s">
        <v>18</v>
      </c>
      <c r="C92" t="str">
        <f>HYPERLINK("http://www.ncbi.nlm.nih.gov/protein/XP_036119160.1","XP_036119160.1")</f>
        <v>XP_036119160.1</v>
      </c>
      <c r="D92">
        <v>96162</v>
      </c>
      <c r="E92" t="str">
        <f>HYPERLINK("http://www.ncbi.nlm.nih.gov/Taxonomy/Browser/wwwtax.cgi?mode=Info&amp;id=27622&amp;lvl=3&amp;lin=f&amp;keep=1&amp;srchmode=1&amp;unlock","27622")</f>
        <v>27622</v>
      </c>
      <c r="F92" t="s">
        <v>18</v>
      </c>
      <c r="G92" t="str">
        <f>HYPERLINK("http://www.ncbi.nlm.nih.gov/Taxonomy/Browser/wwwtax.cgi?mode=Info&amp;id=27622&amp;lvl=3&amp;lin=f&amp;keep=1&amp;srchmode=1&amp;unlock","Molossus molossus")</f>
        <v>Molossus molossus</v>
      </c>
      <c r="H92" t="s">
        <v>112</v>
      </c>
      <c r="I92" t="str">
        <f>HYPERLINK("http://www.ncbi.nlm.nih.gov/protein/XP_036119160.1","fatty acid-binding protein, liver")</f>
        <v>fatty acid-binding protein, liver</v>
      </c>
      <c r="J92" t="s">
        <v>1381</v>
      </c>
      <c r="K92" t="s">
        <v>25</v>
      </c>
      <c r="L92">
        <v>50</v>
      </c>
      <c r="M92" t="s">
        <v>1382</v>
      </c>
      <c r="N92" t="s">
        <v>25</v>
      </c>
    </row>
    <row r="93" spans="1:14" x14ac:dyDescent="0.25">
      <c r="A93">
        <v>6</v>
      </c>
      <c r="B93" t="s">
        <v>18</v>
      </c>
      <c r="C93" t="str">
        <f>HYPERLINK("http://www.ncbi.nlm.nih.gov/protein/XP_006074804.1","XP_006074804.1")</f>
        <v>XP_006074804.1</v>
      </c>
      <c r="D93">
        <v>61063</v>
      </c>
      <c r="E93" t="str">
        <f>HYPERLINK("http://www.ncbi.nlm.nih.gov/Taxonomy/Browser/wwwtax.cgi?mode=Info&amp;id=89462&amp;lvl=3&amp;lin=f&amp;keep=1&amp;srchmode=1&amp;unlock","89462")</f>
        <v>89462</v>
      </c>
      <c r="F93" t="s">
        <v>18</v>
      </c>
      <c r="G93" t="str">
        <f>HYPERLINK("http://www.ncbi.nlm.nih.gov/Taxonomy/Browser/wwwtax.cgi?mode=Info&amp;id=89462&amp;lvl=3&amp;lin=f&amp;keep=1&amp;srchmode=1&amp;unlock","Bubalus bubalis")</f>
        <v>Bubalus bubalis</v>
      </c>
      <c r="H93" t="s">
        <v>113</v>
      </c>
      <c r="I93" t="str">
        <f>HYPERLINK("http://www.ncbi.nlm.nih.gov/protein/XP_006074804.1","fatty acid-binding protein, liver")</f>
        <v>fatty acid-binding protein, liver</v>
      </c>
      <c r="J93" t="s">
        <v>1381</v>
      </c>
      <c r="K93" t="s">
        <v>20</v>
      </c>
      <c r="L93">
        <v>50</v>
      </c>
      <c r="M93" t="s">
        <v>1380</v>
      </c>
      <c r="N93" t="s">
        <v>20</v>
      </c>
    </row>
    <row r="94" spans="1:14" x14ac:dyDescent="0.25">
      <c r="A94">
        <v>6</v>
      </c>
      <c r="B94" t="s">
        <v>18</v>
      </c>
      <c r="C94" t="str">
        <f>HYPERLINK("http://www.ncbi.nlm.nih.gov/protein/XP_004708000.1","XP_004708000.1")</f>
        <v>XP_004708000.1</v>
      </c>
      <c r="D94">
        <v>24944</v>
      </c>
      <c r="E94" t="str">
        <f>HYPERLINK("http://www.ncbi.nlm.nih.gov/Taxonomy/Browser/wwwtax.cgi?mode=Info&amp;id=9371&amp;lvl=3&amp;lin=f&amp;keep=1&amp;srchmode=1&amp;unlock","9371")</f>
        <v>9371</v>
      </c>
      <c r="F94" t="s">
        <v>18</v>
      </c>
      <c r="G94" t="str">
        <f>HYPERLINK("http://www.ncbi.nlm.nih.gov/Taxonomy/Browser/wwwtax.cgi?mode=Info&amp;id=9371&amp;lvl=3&amp;lin=f&amp;keep=1&amp;srchmode=1&amp;unlock","Echinops telfairi")</f>
        <v>Echinops telfairi</v>
      </c>
      <c r="H94" t="s">
        <v>114</v>
      </c>
      <c r="I94" t="str">
        <f>HYPERLINK("http://www.ncbi.nlm.nih.gov/protein/XP_004708000.1","fatty acid-binding protein, liver isoform X1")</f>
        <v>fatty acid-binding protein, liver isoform X1</v>
      </c>
      <c r="J94" t="s">
        <v>1381</v>
      </c>
      <c r="K94" t="s">
        <v>25</v>
      </c>
      <c r="L94">
        <v>50</v>
      </c>
      <c r="M94" t="s">
        <v>1382</v>
      </c>
      <c r="N94" t="s">
        <v>25</v>
      </c>
    </row>
    <row r="95" spans="1:14" x14ac:dyDescent="0.25">
      <c r="A95">
        <v>6</v>
      </c>
      <c r="B95" t="s">
        <v>18</v>
      </c>
      <c r="C95" t="str">
        <f>HYPERLINK("http://www.ncbi.nlm.nih.gov/protein/XP_031297150.1","XP_031297150.1")</f>
        <v>XP_031297150.1</v>
      </c>
      <c r="D95">
        <v>86974</v>
      </c>
      <c r="E95" t="str">
        <f>HYPERLINK("http://www.ncbi.nlm.nih.gov/Taxonomy/Browser/wwwtax.cgi?mode=Info&amp;id=9838&amp;lvl=3&amp;lin=f&amp;keep=1&amp;srchmode=1&amp;unlock","9838")</f>
        <v>9838</v>
      </c>
      <c r="F95" t="s">
        <v>18</v>
      </c>
      <c r="G95" t="str">
        <f>HYPERLINK("http://www.ncbi.nlm.nih.gov/Taxonomy/Browser/wwwtax.cgi?mode=Info&amp;id=9838&amp;lvl=3&amp;lin=f&amp;keep=1&amp;srchmode=1&amp;unlock","Camelus dromedarius")</f>
        <v>Camelus dromedarius</v>
      </c>
      <c r="H95" t="s">
        <v>115</v>
      </c>
      <c r="I95" t="str">
        <f>HYPERLINK("http://www.ncbi.nlm.nih.gov/protein/XP_031297150.1","fatty acid-binding protein, liver")</f>
        <v>fatty acid-binding protein, liver</v>
      </c>
      <c r="J95" t="s">
        <v>1381</v>
      </c>
      <c r="K95" t="s">
        <v>20</v>
      </c>
      <c r="L95">
        <v>50</v>
      </c>
      <c r="M95" t="s">
        <v>1380</v>
      </c>
      <c r="N95" t="s">
        <v>20</v>
      </c>
    </row>
    <row r="96" spans="1:14" x14ac:dyDescent="0.25">
      <c r="A96">
        <v>6</v>
      </c>
      <c r="B96" t="s">
        <v>18</v>
      </c>
      <c r="C96" t="str">
        <f>HYPERLINK("http://www.ncbi.nlm.nih.gov/protein/XP_040080192.1","XP_040080192.1")</f>
        <v>XP_040080192.1</v>
      </c>
      <c r="D96">
        <v>44054</v>
      </c>
      <c r="E96" t="str">
        <f>HYPERLINK("http://www.ncbi.nlm.nih.gov/Taxonomy/Browser/wwwtax.cgi?mode=Info&amp;id=59534&amp;lvl=3&amp;lin=f&amp;keep=1&amp;srchmode=1&amp;unlock","59534")</f>
        <v>59534</v>
      </c>
      <c r="F96" t="s">
        <v>18</v>
      </c>
      <c r="G96" t="str">
        <f>HYPERLINK("http://www.ncbi.nlm.nih.gov/Taxonomy/Browser/wwwtax.cgi?mode=Info&amp;id=59534&amp;lvl=3&amp;lin=f&amp;keep=1&amp;srchmode=1&amp;unlock","Oryx dammah")</f>
        <v>Oryx dammah</v>
      </c>
      <c r="H96" t="s">
        <v>116</v>
      </c>
      <c r="I96" t="str">
        <f>HYPERLINK("http://www.ncbi.nlm.nih.gov/protein/XP_040080192.1","fatty acid-binding protein, liver")</f>
        <v>fatty acid-binding protein, liver</v>
      </c>
      <c r="J96" t="s">
        <v>1381</v>
      </c>
      <c r="K96" t="s">
        <v>20</v>
      </c>
      <c r="L96">
        <v>50</v>
      </c>
      <c r="M96" t="s">
        <v>1380</v>
      </c>
      <c r="N96" t="s">
        <v>20</v>
      </c>
    </row>
    <row r="97" spans="1:14" x14ac:dyDescent="0.25">
      <c r="A97">
        <v>6</v>
      </c>
      <c r="B97" t="s">
        <v>18</v>
      </c>
      <c r="C97" t="str">
        <f>HYPERLINK("http://www.ncbi.nlm.nih.gov/protein/XP_027411292.1","XP_027411292.1")</f>
        <v>XP_027411292.1</v>
      </c>
      <c r="D97">
        <v>54422</v>
      </c>
      <c r="E97" t="str">
        <f>HYPERLINK("http://www.ncbi.nlm.nih.gov/Taxonomy/Browser/wwwtax.cgi?mode=Info&amp;id=30522&amp;lvl=3&amp;lin=f&amp;keep=1&amp;srchmode=1&amp;unlock","30522")</f>
        <v>30522</v>
      </c>
      <c r="F97" t="s">
        <v>18</v>
      </c>
      <c r="G97" t="str">
        <f>HYPERLINK("http://www.ncbi.nlm.nih.gov/Taxonomy/Browser/wwwtax.cgi?mode=Info&amp;id=30522&amp;lvl=3&amp;lin=f&amp;keep=1&amp;srchmode=1&amp;unlock","Bos indicus x Bos taurus")</f>
        <v>Bos indicus x Bos taurus</v>
      </c>
      <c r="H97" t="s">
        <v>121</v>
      </c>
      <c r="I97" t="str">
        <f>HYPERLINK("http://www.ncbi.nlm.nih.gov/protein/XP_027411292.1","fatty acid-binding protein, liver")</f>
        <v>fatty acid-binding protein, liver</v>
      </c>
      <c r="J97" t="s">
        <v>1381</v>
      </c>
      <c r="K97" t="s">
        <v>20</v>
      </c>
      <c r="L97">
        <v>50</v>
      </c>
      <c r="M97" t="s">
        <v>1380</v>
      </c>
      <c r="N97" t="s">
        <v>20</v>
      </c>
    </row>
    <row r="98" spans="1:14" x14ac:dyDescent="0.25">
      <c r="A98">
        <v>6</v>
      </c>
      <c r="B98" t="s">
        <v>18</v>
      </c>
      <c r="C98" t="str">
        <f>HYPERLINK("http://www.ncbi.nlm.nih.gov/protein/XP_003758682.1","XP_003758682.1")</f>
        <v>XP_003758682.1</v>
      </c>
      <c r="D98">
        <v>46282</v>
      </c>
      <c r="E98" t="str">
        <f>HYPERLINK("http://www.ncbi.nlm.nih.gov/Taxonomy/Browser/wwwtax.cgi?mode=Info&amp;id=9305&amp;lvl=3&amp;lin=f&amp;keep=1&amp;srchmode=1&amp;unlock","9305")</f>
        <v>9305</v>
      </c>
      <c r="F98" t="s">
        <v>18</v>
      </c>
      <c r="G98" t="str">
        <f>HYPERLINK("http://www.ncbi.nlm.nih.gov/Taxonomy/Browser/wwwtax.cgi?mode=Info&amp;id=9305&amp;lvl=3&amp;lin=f&amp;keep=1&amp;srchmode=1&amp;unlock","Sarcophilus harrisii")</f>
        <v>Sarcophilus harrisii</v>
      </c>
      <c r="H98" t="s">
        <v>122</v>
      </c>
      <c r="I98" t="str">
        <f>HYPERLINK("http://www.ncbi.nlm.nih.gov/protein/XP_003758682.1","fatty acid-binding protein, liver")</f>
        <v>fatty acid-binding protein, liver</v>
      </c>
      <c r="J98" t="s">
        <v>1381</v>
      </c>
      <c r="K98" t="s">
        <v>25</v>
      </c>
      <c r="L98">
        <v>50</v>
      </c>
      <c r="M98" t="s">
        <v>1382</v>
      </c>
      <c r="N98" t="s">
        <v>25</v>
      </c>
    </row>
    <row r="99" spans="1:14" x14ac:dyDescent="0.25">
      <c r="A99">
        <v>6</v>
      </c>
      <c r="B99" t="s">
        <v>18</v>
      </c>
      <c r="C99" t="str">
        <f>HYPERLINK("http://www.ncbi.nlm.nih.gov/protein/NP_787011.1","NP_787011.1")</f>
        <v>NP_787011.1</v>
      </c>
      <c r="D99">
        <v>134275</v>
      </c>
      <c r="E99" t="str">
        <f>HYPERLINK("http://www.ncbi.nlm.nih.gov/Taxonomy/Browser/wwwtax.cgi?mode=Info&amp;id=9913&amp;lvl=3&amp;lin=f&amp;keep=1&amp;srchmode=1&amp;unlock","9913")</f>
        <v>9913</v>
      </c>
      <c r="F99" t="s">
        <v>18</v>
      </c>
      <c r="G99" t="str">
        <f>HYPERLINK("http://www.ncbi.nlm.nih.gov/Taxonomy/Browser/wwwtax.cgi?mode=Info&amp;id=9913&amp;lvl=3&amp;lin=f&amp;keep=1&amp;srchmode=1&amp;unlock","Bos taurus")</f>
        <v>Bos taurus</v>
      </c>
      <c r="H99" t="s">
        <v>123</v>
      </c>
      <c r="I99" t="str">
        <f>HYPERLINK("http://www.ncbi.nlm.nih.gov/protein/NP_787011.1","fatty acid-binding protein, liver")</f>
        <v>fatty acid-binding protein, liver</v>
      </c>
      <c r="J99" t="s">
        <v>1381</v>
      </c>
      <c r="K99" t="s">
        <v>20</v>
      </c>
      <c r="L99">
        <v>50</v>
      </c>
      <c r="M99" t="s">
        <v>1380</v>
      </c>
      <c r="N99" t="s">
        <v>20</v>
      </c>
    </row>
    <row r="100" spans="1:14" x14ac:dyDescent="0.25">
      <c r="A100">
        <v>6</v>
      </c>
      <c r="B100" t="s">
        <v>18</v>
      </c>
      <c r="C100" t="str">
        <f>HYPERLINK("http://www.ncbi.nlm.nih.gov/protein/XP_010860544.1","XP_010860544.1")</f>
        <v>XP_010860544.1</v>
      </c>
      <c r="D100">
        <v>35574</v>
      </c>
      <c r="E100" t="str">
        <f>HYPERLINK("http://www.ncbi.nlm.nih.gov/Taxonomy/Browser/wwwtax.cgi?mode=Info&amp;id=43346&amp;lvl=3&amp;lin=f&amp;keep=1&amp;srchmode=1&amp;unlock","43346")</f>
        <v>43346</v>
      </c>
      <c r="F100" t="s">
        <v>18</v>
      </c>
      <c r="G100" t="str">
        <f>HYPERLINK("http://www.ncbi.nlm.nih.gov/Taxonomy/Browser/wwwtax.cgi?mode=Info&amp;id=43346&amp;lvl=3&amp;lin=f&amp;keep=1&amp;srchmode=1&amp;unlock","Bison bison bison")</f>
        <v>Bison bison bison</v>
      </c>
      <c r="H100" t="s">
        <v>118</v>
      </c>
      <c r="I100" t="str">
        <f>HYPERLINK("http://www.ncbi.nlm.nih.gov/protein/XP_010860544.1","PREDICTED: fatty acid-binding protein, liver")</f>
        <v>PREDICTED: fatty acid-binding protein, liver</v>
      </c>
      <c r="J100" t="s">
        <v>1381</v>
      </c>
      <c r="K100" t="s">
        <v>20</v>
      </c>
      <c r="L100">
        <v>50</v>
      </c>
      <c r="M100" t="s">
        <v>1380</v>
      </c>
      <c r="N100" t="s">
        <v>20</v>
      </c>
    </row>
    <row r="101" spans="1:14" x14ac:dyDescent="0.25">
      <c r="A101">
        <v>6</v>
      </c>
      <c r="B101" t="s">
        <v>18</v>
      </c>
      <c r="C101" t="str">
        <f>HYPERLINK("http://www.ncbi.nlm.nih.gov/protein/NP_059095.1","NP_059095.1")</f>
        <v>NP_059095.1</v>
      </c>
      <c r="D101">
        <v>329947</v>
      </c>
      <c r="E101" t="str">
        <f>HYPERLINK("http://www.ncbi.nlm.nih.gov/Taxonomy/Browser/wwwtax.cgi?mode=Info&amp;id=10090&amp;lvl=3&amp;lin=f&amp;keep=1&amp;srchmode=1&amp;unlock","10090")</f>
        <v>10090</v>
      </c>
      <c r="F101" t="s">
        <v>18</v>
      </c>
      <c r="G101" t="str">
        <f>HYPERLINK("http://www.ncbi.nlm.nih.gov/Taxonomy/Browser/wwwtax.cgi?mode=Info&amp;id=10090&amp;lvl=3&amp;lin=f&amp;keep=1&amp;srchmode=1&amp;unlock","Mus musculus")</f>
        <v>Mus musculus</v>
      </c>
      <c r="H101" t="s">
        <v>119</v>
      </c>
      <c r="I101" t="str">
        <f>HYPERLINK("http://www.ncbi.nlm.nih.gov/protein/NP_059095.1","fatty acid-binding protein, liver")</f>
        <v>fatty acid-binding protein, liver</v>
      </c>
      <c r="J101" t="s">
        <v>1381</v>
      </c>
      <c r="K101" t="s">
        <v>25</v>
      </c>
      <c r="L101">
        <v>50</v>
      </c>
      <c r="M101" t="s">
        <v>1382</v>
      </c>
      <c r="N101" t="s">
        <v>25</v>
      </c>
    </row>
    <row r="102" spans="1:14" x14ac:dyDescent="0.25">
      <c r="A102">
        <v>6</v>
      </c>
      <c r="B102" t="s">
        <v>18</v>
      </c>
      <c r="C102" t="str">
        <f>HYPERLINK("http://www.ncbi.nlm.nih.gov/protein/XP_003420466.1","XP_003420466.1")</f>
        <v>XP_003420466.1</v>
      </c>
      <c r="D102">
        <v>41920</v>
      </c>
      <c r="E102" t="str">
        <f>HYPERLINK("http://www.ncbi.nlm.nih.gov/Taxonomy/Browser/wwwtax.cgi?mode=Info&amp;id=9785&amp;lvl=3&amp;lin=f&amp;keep=1&amp;srchmode=1&amp;unlock","9785")</f>
        <v>9785</v>
      </c>
      <c r="F102" t="s">
        <v>18</v>
      </c>
      <c r="G102" t="str">
        <f>HYPERLINK("http://www.ncbi.nlm.nih.gov/Taxonomy/Browser/wwwtax.cgi?mode=Info&amp;id=9785&amp;lvl=3&amp;lin=f&amp;keep=1&amp;srchmode=1&amp;unlock","Loxodonta africana")</f>
        <v>Loxodonta africana</v>
      </c>
      <c r="H102" t="s">
        <v>120</v>
      </c>
      <c r="I102" t="str">
        <f>HYPERLINK("http://www.ncbi.nlm.nih.gov/protein/XP_003420466.1","fatty acid-binding protein, liver")</f>
        <v>fatty acid-binding protein, liver</v>
      </c>
      <c r="J102" t="s">
        <v>1381</v>
      </c>
      <c r="K102" t="s">
        <v>20</v>
      </c>
      <c r="L102">
        <v>50</v>
      </c>
      <c r="M102" t="s">
        <v>1380</v>
      </c>
      <c r="N102" t="s">
        <v>20</v>
      </c>
    </row>
    <row r="103" spans="1:14" x14ac:dyDescent="0.25">
      <c r="A103">
        <v>6</v>
      </c>
      <c r="B103" t="s">
        <v>18</v>
      </c>
      <c r="C103" t="str">
        <f>HYPERLINK("http://www.ncbi.nlm.nih.gov/protein/XP_006875917.1","XP_006875917.1")</f>
        <v>XP_006875917.1</v>
      </c>
      <c r="D103">
        <v>25292</v>
      </c>
      <c r="E103" t="str">
        <f>HYPERLINK("http://www.ncbi.nlm.nih.gov/Taxonomy/Browser/wwwtax.cgi?mode=Info&amp;id=185453&amp;lvl=3&amp;lin=f&amp;keep=1&amp;srchmode=1&amp;unlock","185453")</f>
        <v>185453</v>
      </c>
      <c r="F103" t="s">
        <v>18</v>
      </c>
      <c r="G103" t="str">
        <f>HYPERLINK("http://www.ncbi.nlm.nih.gov/Taxonomy/Browser/wwwtax.cgi?mode=Info&amp;id=185453&amp;lvl=3&amp;lin=f&amp;keep=1&amp;srchmode=1&amp;unlock","Chrysochloris asiatica")</f>
        <v>Chrysochloris asiatica</v>
      </c>
      <c r="H103" t="s">
        <v>124</v>
      </c>
      <c r="I103" t="str">
        <f>HYPERLINK("http://www.ncbi.nlm.nih.gov/protein/XP_006875917.1","PREDICTED: fatty acid-binding protein, liver")</f>
        <v>PREDICTED: fatty acid-binding protein, liver</v>
      </c>
      <c r="J103" t="s">
        <v>1381</v>
      </c>
      <c r="K103" t="s">
        <v>25</v>
      </c>
      <c r="L103">
        <v>50</v>
      </c>
      <c r="M103" t="s">
        <v>1382</v>
      </c>
      <c r="N103" t="s">
        <v>25</v>
      </c>
    </row>
    <row r="104" spans="1:14" x14ac:dyDescent="0.25">
      <c r="A104">
        <v>6</v>
      </c>
      <c r="B104" t="s">
        <v>18</v>
      </c>
      <c r="C104" t="str">
        <f>HYPERLINK("http://www.ncbi.nlm.nih.gov/protein/XP_031236734.1","XP_031236734.1")</f>
        <v>XP_031236734.1</v>
      </c>
      <c r="D104">
        <v>54478</v>
      </c>
      <c r="E104" t="str">
        <f>HYPERLINK("http://www.ncbi.nlm.nih.gov/Taxonomy/Browser/wwwtax.cgi?mode=Info&amp;id=35658&amp;lvl=3&amp;lin=f&amp;keep=1&amp;srchmode=1&amp;unlock","35658")</f>
        <v>35658</v>
      </c>
      <c r="F104" t="s">
        <v>18</v>
      </c>
      <c r="G104" t="str">
        <f>HYPERLINK("http://www.ncbi.nlm.nih.gov/Taxonomy/Browser/wwwtax.cgi?mode=Info&amp;id=35658&amp;lvl=3&amp;lin=f&amp;keep=1&amp;srchmode=1&amp;unlock","Mastomys coucha")</f>
        <v>Mastomys coucha</v>
      </c>
      <c r="H104" t="s">
        <v>127</v>
      </c>
      <c r="I104" t="str">
        <f>HYPERLINK("http://www.ncbi.nlm.nih.gov/protein/XP_031236734.1","fatty acid-binding protein, liver")</f>
        <v>fatty acid-binding protein, liver</v>
      </c>
      <c r="J104" t="s">
        <v>1381</v>
      </c>
      <c r="K104" t="s">
        <v>25</v>
      </c>
      <c r="L104">
        <v>50</v>
      </c>
      <c r="M104" t="s">
        <v>1382</v>
      </c>
      <c r="N104" t="s">
        <v>25</v>
      </c>
    </row>
    <row r="105" spans="1:14" x14ac:dyDescent="0.25">
      <c r="A105">
        <v>6</v>
      </c>
      <c r="B105" t="s">
        <v>18</v>
      </c>
      <c r="C105" t="str">
        <f>HYPERLINK("http://www.ncbi.nlm.nih.gov/protein/XP_028716054.1","XP_028716054.1")</f>
        <v>XP_028716054.1</v>
      </c>
      <c r="D105">
        <v>48460</v>
      </c>
      <c r="E105" t="str">
        <f>HYPERLINK("http://www.ncbi.nlm.nih.gov/Taxonomy/Browser/wwwtax.cgi?mode=Info&amp;id=10041&amp;lvl=3&amp;lin=f&amp;keep=1&amp;srchmode=1&amp;unlock","10041")</f>
        <v>10041</v>
      </c>
      <c r="F105" t="s">
        <v>18</v>
      </c>
      <c r="G105" t="str">
        <f>HYPERLINK("http://www.ncbi.nlm.nih.gov/Taxonomy/Browser/wwwtax.cgi?mode=Info&amp;id=10041&amp;lvl=3&amp;lin=f&amp;keep=1&amp;srchmode=1&amp;unlock","Peromyscus leucopus")</f>
        <v>Peromyscus leucopus</v>
      </c>
      <c r="H105" t="s">
        <v>128</v>
      </c>
      <c r="I105" t="str">
        <f>HYPERLINK("http://www.ncbi.nlm.nih.gov/protein/XP_028716054.1","fatty acid-binding protein, liver")</f>
        <v>fatty acid-binding protein, liver</v>
      </c>
      <c r="J105" t="s">
        <v>1381</v>
      </c>
      <c r="K105" t="s">
        <v>25</v>
      </c>
      <c r="L105">
        <v>50</v>
      </c>
      <c r="M105" t="s">
        <v>1382</v>
      </c>
      <c r="N105" t="s">
        <v>25</v>
      </c>
    </row>
    <row r="106" spans="1:14" x14ac:dyDescent="0.25">
      <c r="A106">
        <v>6</v>
      </c>
      <c r="B106" t="s">
        <v>18</v>
      </c>
      <c r="C106" t="str">
        <f>HYPERLINK("http://www.ncbi.nlm.nih.gov/protein/XP_004388282.1","XP_004388282.1")</f>
        <v>XP_004388282.1</v>
      </c>
      <c r="D106">
        <v>37488</v>
      </c>
      <c r="E106" t="str">
        <f>HYPERLINK("http://www.ncbi.nlm.nih.gov/Taxonomy/Browser/wwwtax.cgi?mode=Info&amp;id=127582&amp;lvl=3&amp;lin=f&amp;keep=1&amp;srchmode=1&amp;unlock","127582")</f>
        <v>127582</v>
      </c>
      <c r="F106" t="s">
        <v>18</v>
      </c>
      <c r="G106" t="str">
        <f>HYPERLINK("http://www.ncbi.nlm.nih.gov/Taxonomy/Browser/wwwtax.cgi?mode=Info&amp;id=127582&amp;lvl=3&amp;lin=f&amp;keep=1&amp;srchmode=1&amp;unlock","Trichechus manatus latirostris")</f>
        <v>Trichechus manatus latirostris</v>
      </c>
      <c r="H106" t="s">
        <v>125</v>
      </c>
      <c r="I106" t="str">
        <f>HYPERLINK("http://www.ncbi.nlm.nih.gov/protein/XP_004388282.1","fatty acid-binding protein, liver")</f>
        <v>fatty acid-binding protein, liver</v>
      </c>
      <c r="J106" t="s">
        <v>1381</v>
      </c>
      <c r="K106" t="s">
        <v>25</v>
      </c>
      <c r="L106">
        <v>50</v>
      </c>
      <c r="M106" t="s">
        <v>1382</v>
      </c>
      <c r="N106" t="s">
        <v>25</v>
      </c>
    </row>
    <row r="107" spans="1:14" x14ac:dyDescent="0.25">
      <c r="A107">
        <v>6</v>
      </c>
      <c r="B107" t="s">
        <v>18</v>
      </c>
      <c r="C107" t="str">
        <f>HYPERLINK("http://www.ncbi.nlm.nih.gov/protein/XP_021021254.1","XP_021021254.1")</f>
        <v>XP_021021254.1</v>
      </c>
      <c r="D107">
        <v>47716</v>
      </c>
      <c r="E107" t="str">
        <f>HYPERLINK("http://www.ncbi.nlm.nih.gov/Taxonomy/Browser/wwwtax.cgi?mode=Info&amp;id=10089&amp;lvl=3&amp;lin=f&amp;keep=1&amp;srchmode=1&amp;unlock","10089")</f>
        <v>10089</v>
      </c>
      <c r="F107" t="s">
        <v>18</v>
      </c>
      <c r="G107" t="str">
        <f>HYPERLINK("http://www.ncbi.nlm.nih.gov/Taxonomy/Browser/wwwtax.cgi?mode=Info&amp;id=10089&amp;lvl=3&amp;lin=f&amp;keep=1&amp;srchmode=1&amp;unlock","Mus caroli")</f>
        <v>Mus caroli</v>
      </c>
      <c r="H107" t="s">
        <v>126</v>
      </c>
      <c r="I107" t="str">
        <f>HYPERLINK("http://www.ncbi.nlm.nih.gov/protein/XP_021021254.1","fatty acid-binding protein, liver")</f>
        <v>fatty acid-binding protein, liver</v>
      </c>
      <c r="J107" t="s">
        <v>1381</v>
      </c>
      <c r="K107" t="s">
        <v>25</v>
      </c>
      <c r="L107">
        <v>50</v>
      </c>
      <c r="M107" t="s">
        <v>1382</v>
      </c>
      <c r="N107" t="s">
        <v>25</v>
      </c>
    </row>
    <row r="108" spans="1:14" x14ac:dyDescent="0.25">
      <c r="A108">
        <v>6</v>
      </c>
      <c r="B108" t="s">
        <v>18</v>
      </c>
      <c r="C108" t="str">
        <f>HYPERLINK("http://www.ncbi.nlm.nih.gov/protein/XP_004005947.1","XP_004005947.1")</f>
        <v>XP_004005947.1</v>
      </c>
      <c r="D108">
        <v>73093</v>
      </c>
      <c r="E108" t="str">
        <f>HYPERLINK("http://www.ncbi.nlm.nih.gov/Taxonomy/Browser/wwwtax.cgi?mode=Info&amp;id=9940&amp;lvl=3&amp;lin=f&amp;keep=1&amp;srchmode=1&amp;unlock","9940")</f>
        <v>9940</v>
      </c>
      <c r="F108" t="s">
        <v>18</v>
      </c>
      <c r="G108" t="str">
        <f>HYPERLINK("http://www.ncbi.nlm.nih.gov/Taxonomy/Browser/wwwtax.cgi?mode=Info&amp;id=9940&amp;lvl=3&amp;lin=f&amp;keep=1&amp;srchmode=1&amp;unlock","Ovis aries")</f>
        <v>Ovis aries</v>
      </c>
      <c r="H108" t="s">
        <v>129</v>
      </c>
      <c r="I108" t="str">
        <f>HYPERLINK("http://www.ncbi.nlm.nih.gov/protein/XP_004005947.1","fatty acid-binding protein, liver")</f>
        <v>fatty acid-binding protein, liver</v>
      </c>
      <c r="J108" t="s">
        <v>1381</v>
      </c>
      <c r="K108" t="s">
        <v>20</v>
      </c>
      <c r="L108">
        <v>50</v>
      </c>
      <c r="M108" t="s">
        <v>1380</v>
      </c>
      <c r="N108" t="s">
        <v>20</v>
      </c>
    </row>
    <row r="109" spans="1:14" x14ac:dyDescent="0.25">
      <c r="A109">
        <v>6</v>
      </c>
      <c r="B109" t="s">
        <v>18</v>
      </c>
      <c r="C109" t="str">
        <f>HYPERLINK("http://www.ncbi.nlm.nih.gov/protein/XP_034368414.1","XP_034368414.1")</f>
        <v>XP_034368414.1</v>
      </c>
      <c r="D109">
        <v>41675</v>
      </c>
      <c r="E109" t="str">
        <f>HYPERLINK("http://www.ncbi.nlm.nih.gov/Taxonomy/Browser/wwwtax.cgi?mode=Info&amp;id=61156&amp;lvl=3&amp;lin=f&amp;keep=1&amp;srchmode=1&amp;unlock","61156")</f>
        <v>61156</v>
      </c>
      <c r="F109" t="s">
        <v>18</v>
      </c>
      <c r="G109" t="str">
        <f>HYPERLINK("http://www.ncbi.nlm.nih.gov/Taxonomy/Browser/wwwtax.cgi?mode=Info&amp;id=61156&amp;lvl=3&amp;lin=f&amp;keep=1&amp;srchmode=1&amp;unlock","Arvicanthis niloticus")</f>
        <v>Arvicanthis niloticus</v>
      </c>
      <c r="H109" t="s">
        <v>130</v>
      </c>
      <c r="I109" t="str">
        <f>HYPERLINK("http://www.ncbi.nlm.nih.gov/protein/XP_034368414.1","fatty acid-binding protein, liver")</f>
        <v>fatty acid-binding protein, liver</v>
      </c>
      <c r="J109" t="s">
        <v>1381</v>
      </c>
      <c r="K109" t="s">
        <v>25</v>
      </c>
      <c r="L109">
        <v>50</v>
      </c>
      <c r="M109" t="s">
        <v>1382</v>
      </c>
      <c r="N109" t="s">
        <v>25</v>
      </c>
    </row>
    <row r="110" spans="1:14" x14ac:dyDescent="0.25">
      <c r="A110">
        <v>6</v>
      </c>
      <c r="B110" t="s">
        <v>18</v>
      </c>
      <c r="C110" t="str">
        <f>HYPERLINK("http://www.ncbi.nlm.nih.gov/protein/XP_024414363.1","XP_024414363.1")</f>
        <v>XP_024414363.1</v>
      </c>
      <c r="D110">
        <v>30698</v>
      </c>
      <c r="E110" t="str">
        <f>HYPERLINK("http://www.ncbi.nlm.nih.gov/Taxonomy/Browser/wwwtax.cgi?mode=Info&amp;id=9430&amp;lvl=3&amp;lin=f&amp;keep=1&amp;srchmode=1&amp;unlock","9430")</f>
        <v>9430</v>
      </c>
      <c r="F110" t="s">
        <v>18</v>
      </c>
      <c r="G110" t="str">
        <f>HYPERLINK("http://www.ncbi.nlm.nih.gov/Taxonomy/Browser/wwwtax.cgi?mode=Info&amp;id=9430&amp;lvl=3&amp;lin=f&amp;keep=1&amp;srchmode=1&amp;unlock","Desmodus rotundus")</f>
        <v>Desmodus rotundus</v>
      </c>
      <c r="H110" t="s">
        <v>131</v>
      </c>
      <c r="I110" t="str">
        <f>HYPERLINK("http://www.ncbi.nlm.nih.gov/protein/XP_024414363.1","fatty acid-binding protein, liver")</f>
        <v>fatty acid-binding protein, liver</v>
      </c>
      <c r="J110" t="s">
        <v>1381</v>
      </c>
      <c r="K110" t="s">
        <v>25</v>
      </c>
      <c r="L110">
        <v>50</v>
      </c>
      <c r="M110" t="s">
        <v>1382</v>
      </c>
      <c r="N110" t="s">
        <v>25</v>
      </c>
    </row>
    <row r="111" spans="1:14" x14ac:dyDescent="0.25">
      <c r="A111">
        <v>6</v>
      </c>
      <c r="B111" t="s">
        <v>18</v>
      </c>
      <c r="C111" t="str">
        <f>HYPERLINK("http://www.ncbi.nlm.nih.gov/protein/XP_021047421.1","XP_021047421.1")</f>
        <v>XP_021047421.1</v>
      </c>
      <c r="D111">
        <v>42356</v>
      </c>
      <c r="E111" t="str">
        <f>HYPERLINK("http://www.ncbi.nlm.nih.gov/Taxonomy/Browser/wwwtax.cgi?mode=Info&amp;id=10093&amp;lvl=3&amp;lin=f&amp;keep=1&amp;srchmode=1&amp;unlock","10093")</f>
        <v>10093</v>
      </c>
      <c r="F111" t="s">
        <v>18</v>
      </c>
      <c r="G111" t="str">
        <f>HYPERLINK("http://www.ncbi.nlm.nih.gov/Taxonomy/Browser/wwwtax.cgi?mode=Info&amp;id=10093&amp;lvl=3&amp;lin=f&amp;keep=1&amp;srchmode=1&amp;unlock","Mus pahari")</f>
        <v>Mus pahari</v>
      </c>
      <c r="H111" t="s">
        <v>132</v>
      </c>
      <c r="I111" t="str">
        <f>HYPERLINK("http://www.ncbi.nlm.nih.gov/protein/XP_021047421.1","fatty acid-binding protein, liver")</f>
        <v>fatty acid-binding protein, liver</v>
      </c>
      <c r="J111" t="s">
        <v>1381</v>
      </c>
      <c r="K111" t="s">
        <v>25</v>
      </c>
      <c r="L111">
        <v>50</v>
      </c>
      <c r="M111" t="s">
        <v>1382</v>
      </c>
      <c r="N111" t="s">
        <v>25</v>
      </c>
    </row>
    <row r="112" spans="1:14" x14ac:dyDescent="0.25">
      <c r="A112">
        <v>6</v>
      </c>
      <c r="B112" t="s">
        <v>18</v>
      </c>
      <c r="C112" t="str">
        <f>HYPERLINK("http://www.ncbi.nlm.nih.gov/protein/XP_028618311.1","XP_028618311.1")</f>
        <v>XP_028618311.1</v>
      </c>
      <c r="D112">
        <v>38217</v>
      </c>
      <c r="E112" t="str">
        <f>HYPERLINK("http://www.ncbi.nlm.nih.gov/Taxonomy/Browser/wwwtax.cgi?mode=Info&amp;id=491861&amp;lvl=3&amp;lin=f&amp;keep=1&amp;srchmode=1&amp;unlock","491861")</f>
        <v>491861</v>
      </c>
      <c r="F112" t="s">
        <v>18</v>
      </c>
      <c r="G112" t="str">
        <f>HYPERLINK("http://www.ncbi.nlm.nih.gov/Taxonomy/Browser/wwwtax.cgi?mode=Info&amp;id=491861&amp;lvl=3&amp;lin=f&amp;keep=1&amp;srchmode=1&amp;unlock","Grammomys surdaster")</f>
        <v>Grammomys surdaster</v>
      </c>
      <c r="H112" t="s">
        <v>133</v>
      </c>
      <c r="I112" t="str">
        <f>HYPERLINK("http://www.ncbi.nlm.nih.gov/protein/XP_028618311.1","fatty acid-binding protein, liver")</f>
        <v>fatty acid-binding protein, liver</v>
      </c>
      <c r="J112" t="s">
        <v>1381</v>
      </c>
      <c r="K112" t="s">
        <v>25</v>
      </c>
      <c r="L112">
        <v>50</v>
      </c>
      <c r="M112" t="s">
        <v>1382</v>
      </c>
      <c r="N112" t="s">
        <v>25</v>
      </c>
    </row>
    <row r="113" spans="1:14" x14ac:dyDescent="0.25">
      <c r="A113">
        <v>6</v>
      </c>
      <c r="B113" t="s">
        <v>18</v>
      </c>
      <c r="C113" t="str">
        <f>HYPERLINK("http://www.ncbi.nlm.nih.gov/protein/NP_036688.1","NP_036688.1")</f>
        <v>NP_036688.1</v>
      </c>
      <c r="D113">
        <v>157817</v>
      </c>
      <c r="E113" t="str">
        <f>HYPERLINK("http://www.ncbi.nlm.nih.gov/Taxonomy/Browser/wwwtax.cgi?mode=Info&amp;id=10116&amp;lvl=3&amp;lin=f&amp;keep=1&amp;srchmode=1&amp;unlock","10116")</f>
        <v>10116</v>
      </c>
      <c r="F113" t="s">
        <v>18</v>
      </c>
      <c r="G113" t="str">
        <f>HYPERLINK("http://www.ncbi.nlm.nih.gov/Taxonomy/Browser/wwwtax.cgi?mode=Info&amp;id=10116&amp;lvl=3&amp;lin=f&amp;keep=1&amp;srchmode=1&amp;unlock","Rattus norvegicus")</f>
        <v>Rattus norvegicus</v>
      </c>
      <c r="H113" t="s">
        <v>136</v>
      </c>
      <c r="I113" t="str">
        <f>HYPERLINK("http://www.ncbi.nlm.nih.gov/protein/NP_036688.1","fatty acid-binding protein, liver")</f>
        <v>fatty acid-binding protein, liver</v>
      </c>
      <c r="J113" t="s">
        <v>1381</v>
      </c>
      <c r="K113" t="s">
        <v>25</v>
      </c>
      <c r="L113">
        <v>50</v>
      </c>
      <c r="M113" t="s">
        <v>1382</v>
      </c>
      <c r="N113" t="s">
        <v>25</v>
      </c>
    </row>
    <row r="114" spans="1:14" x14ac:dyDescent="0.25">
      <c r="A114">
        <v>6</v>
      </c>
      <c r="B114" t="s">
        <v>18</v>
      </c>
      <c r="C114" t="str">
        <f>HYPERLINK("http://www.ncbi.nlm.nih.gov/protein/XP_036036299.1","XP_036036299.1")</f>
        <v>XP_036036299.1</v>
      </c>
      <c r="D114">
        <v>43277</v>
      </c>
      <c r="E114" t="str">
        <f>HYPERLINK("http://www.ncbi.nlm.nih.gov/Taxonomy/Browser/wwwtax.cgi?mode=Info&amp;id=38674&amp;lvl=3&amp;lin=f&amp;keep=1&amp;srchmode=1&amp;unlock","38674")</f>
        <v>38674</v>
      </c>
      <c r="F114" t="s">
        <v>18</v>
      </c>
      <c r="G114" t="str">
        <f>HYPERLINK("http://www.ncbi.nlm.nih.gov/Taxonomy/Browser/wwwtax.cgi?mode=Info&amp;id=38674&amp;lvl=3&amp;lin=f&amp;keep=1&amp;srchmode=1&amp;unlock","Onychomys torridus")</f>
        <v>Onychomys torridus</v>
      </c>
      <c r="H114" t="s">
        <v>137</v>
      </c>
      <c r="I114" t="str">
        <f>HYPERLINK("http://www.ncbi.nlm.nih.gov/protein/XP_036036299.1","fatty acid-binding protein, liver")</f>
        <v>fatty acid-binding protein, liver</v>
      </c>
      <c r="J114" t="s">
        <v>1381</v>
      </c>
      <c r="K114" t="s">
        <v>25</v>
      </c>
      <c r="L114">
        <v>50</v>
      </c>
      <c r="M114" t="s">
        <v>1382</v>
      </c>
      <c r="N114" t="s">
        <v>25</v>
      </c>
    </row>
    <row r="115" spans="1:14" x14ac:dyDescent="0.25">
      <c r="A115">
        <v>6</v>
      </c>
      <c r="B115" t="s">
        <v>18</v>
      </c>
      <c r="C115" t="str">
        <f>HYPERLINK("http://www.ncbi.nlm.nih.gov/protein/XP_032762229.1","XP_032762229.1")</f>
        <v>XP_032762229.1</v>
      </c>
      <c r="D115">
        <v>36373</v>
      </c>
      <c r="E115" t="str">
        <f>HYPERLINK("http://www.ncbi.nlm.nih.gov/Taxonomy/Browser/wwwtax.cgi?mode=Info&amp;id=10117&amp;lvl=3&amp;lin=f&amp;keep=1&amp;srchmode=1&amp;unlock","10117")</f>
        <v>10117</v>
      </c>
      <c r="F115" t="s">
        <v>18</v>
      </c>
      <c r="G115" t="str">
        <f>HYPERLINK("http://www.ncbi.nlm.nih.gov/Taxonomy/Browser/wwwtax.cgi?mode=Info&amp;id=10117&amp;lvl=3&amp;lin=f&amp;keep=1&amp;srchmode=1&amp;unlock","Rattus rattus")</f>
        <v>Rattus rattus</v>
      </c>
      <c r="H115" t="s">
        <v>138</v>
      </c>
      <c r="I115" t="str">
        <f>HYPERLINK("http://www.ncbi.nlm.nih.gov/protein/XP_032762229.1","fatty acid-binding protein, liver")</f>
        <v>fatty acid-binding protein, liver</v>
      </c>
      <c r="J115" t="s">
        <v>1381</v>
      </c>
      <c r="K115" t="s">
        <v>25</v>
      </c>
      <c r="L115">
        <v>50</v>
      </c>
      <c r="M115" t="s">
        <v>1382</v>
      </c>
      <c r="N115" t="s">
        <v>25</v>
      </c>
    </row>
    <row r="116" spans="1:14" x14ac:dyDescent="0.25">
      <c r="A116">
        <v>6</v>
      </c>
      <c r="B116" t="s">
        <v>18</v>
      </c>
      <c r="C116" t="str">
        <f>HYPERLINK("http://www.ncbi.nlm.nih.gov/protein/XP_007102601.1","XP_007102601.1")</f>
        <v>XP_007102601.1</v>
      </c>
      <c r="D116">
        <v>51265</v>
      </c>
      <c r="E116" t="str">
        <f>HYPERLINK("http://www.ncbi.nlm.nih.gov/Taxonomy/Browser/wwwtax.cgi?mode=Info&amp;id=9755&amp;lvl=3&amp;lin=f&amp;keep=1&amp;srchmode=1&amp;unlock","9755")</f>
        <v>9755</v>
      </c>
      <c r="F116" t="s">
        <v>18</v>
      </c>
      <c r="G116" t="str">
        <f>HYPERLINK("http://www.ncbi.nlm.nih.gov/Taxonomy/Browser/wwwtax.cgi?mode=Info&amp;id=9755&amp;lvl=3&amp;lin=f&amp;keep=1&amp;srchmode=1&amp;unlock","Physeter catodon")</f>
        <v>Physeter catodon</v>
      </c>
      <c r="H116" t="s">
        <v>139</v>
      </c>
      <c r="I116" t="str">
        <f>HYPERLINK("http://www.ncbi.nlm.nih.gov/protein/XP_007102601.1","fatty acid-binding protein, liver")</f>
        <v>fatty acid-binding protein, liver</v>
      </c>
      <c r="J116" t="s">
        <v>1381</v>
      </c>
      <c r="K116" t="s">
        <v>20</v>
      </c>
      <c r="L116">
        <v>50</v>
      </c>
      <c r="M116" t="s">
        <v>1380</v>
      </c>
      <c r="N116" t="s">
        <v>20</v>
      </c>
    </row>
    <row r="117" spans="1:14" x14ac:dyDescent="0.25">
      <c r="A117">
        <v>6</v>
      </c>
      <c r="B117" t="s">
        <v>18</v>
      </c>
      <c r="C117" t="str">
        <f>HYPERLINK("http://www.ncbi.nlm.nih.gov/protein/XP_003468992.1","XP_003468992.1")</f>
        <v>XP_003468992.1</v>
      </c>
      <c r="D117">
        <v>49097</v>
      </c>
      <c r="E117" t="str">
        <f>HYPERLINK("http://www.ncbi.nlm.nih.gov/Taxonomy/Browser/wwwtax.cgi?mode=Info&amp;id=10141&amp;lvl=3&amp;lin=f&amp;keep=1&amp;srchmode=1&amp;unlock","10141")</f>
        <v>10141</v>
      </c>
      <c r="F117" t="s">
        <v>18</v>
      </c>
      <c r="G117" t="str">
        <f>HYPERLINK("http://www.ncbi.nlm.nih.gov/Taxonomy/Browser/wwwtax.cgi?mode=Info&amp;id=10141&amp;lvl=3&amp;lin=f&amp;keep=1&amp;srchmode=1&amp;unlock","Cavia porcellus")</f>
        <v>Cavia porcellus</v>
      </c>
      <c r="H117" t="s">
        <v>142</v>
      </c>
      <c r="I117" t="str">
        <f>HYPERLINK("http://www.ncbi.nlm.nih.gov/protein/XP_003468992.1","fatty acid-binding protein, liver-like")</f>
        <v>fatty acid-binding protein, liver-like</v>
      </c>
      <c r="J117" t="s">
        <v>1381</v>
      </c>
      <c r="K117" t="s">
        <v>25</v>
      </c>
      <c r="L117">
        <v>50</v>
      </c>
      <c r="M117" t="s">
        <v>1383</v>
      </c>
      <c r="N117" t="s">
        <v>25</v>
      </c>
    </row>
    <row r="118" spans="1:14" x14ac:dyDescent="0.25">
      <c r="A118">
        <v>6</v>
      </c>
      <c r="B118" t="s">
        <v>18</v>
      </c>
      <c r="C118" t="str">
        <f>HYPERLINK("http://www.ncbi.nlm.nih.gov/protein/XP_037384769.1","XP_037384769.1")</f>
        <v>XP_037384769.1</v>
      </c>
      <c r="D118">
        <v>39570</v>
      </c>
      <c r="E118" t="str">
        <f>HYPERLINK("http://www.ncbi.nlm.nih.gov/Taxonomy/Browser/wwwtax.cgi?mode=Info&amp;id=50954&amp;lvl=3&amp;lin=f&amp;keep=1&amp;srchmode=1&amp;unlock","50954")</f>
        <v>50954</v>
      </c>
      <c r="F118" t="s">
        <v>18</v>
      </c>
      <c r="G118" t="str">
        <f>HYPERLINK("http://www.ncbi.nlm.nih.gov/Taxonomy/Browser/wwwtax.cgi?mode=Info&amp;id=50954&amp;lvl=3&amp;lin=f&amp;keep=1&amp;srchmode=1&amp;unlock","Talpa occidentalis")</f>
        <v>Talpa occidentalis</v>
      </c>
      <c r="H118" t="s">
        <v>143</v>
      </c>
      <c r="I118" t="str">
        <f>HYPERLINK("http://www.ncbi.nlm.nih.gov/protein/XP_037384769.1","fatty acid-binding protein, liver")</f>
        <v>fatty acid-binding protein, liver</v>
      </c>
      <c r="J118" t="s">
        <v>1381</v>
      </c>
      <c r="K118" t="s">
        <v>25</v>
      </c>
      <c r="L118">
        <v>50</v>
      </c>
      <c r="M118" t="s">
        <v>1382</v>
      </c>
      <c r="N118" t="s">
        <v>25</v>
      </c>
    </row>
    <row r="119" spans="1:14" x14ac:dyDescent="0.25">
      <c r="A119">
        <v>6</v>
      </c>
      <c r="B119" t="s">
        <v>18</v>
      </c>
      <c r="C119" t="str">
        <f>HYPERLINK("http://www.ncbi.nlm.nih.gov/protein/EHA99113.1","EHA99113.1")</f>
        <v>EHA99113.1</v>
      </c>
      <c r="D119">
        <v>82656</v>
      </c>
      <c r="E119" t="str">
        <f>HYPERLINK("http://www.ncbi.nlm.nih.gov/Taxonomy/Browser/wwwtax.cgi?mode=Info&amp;id=10181&amp;lvl=3&amp;lin=f&amp;keep=1&amp;srchmode=1&amp;unlock","10181")</f>
        <v>10181</v>
      </c>
      <c r="F119" t="s">
        <v>18</v>
      </c>
      <c r="G119" t="str">
        <f>HYPERLINK("http://www.ncbi.nlm.nih.gov/Taxonomy/Browser/wwwtax.cgi?mode=Info&amp;id=10181&amp;lvl=3&amp;lin=f&amp;keep=1&amp;srchmode=1&amp;unlock","Heterocephalus glaber")</f>
        <v>Heterocephalus glaber</v>
      </c>
      <c r="H119" t="s">
        <v>144</v>
      </c>
      <c r="I119" t="str">
        <f>HYPERLINK("http://www.ncbi.nlm.nih.gov/protein/EHA99113.1","Fatty acid-binding protein, liver")</f>
        <v>Fatty acid-binding protein, liver</v>
      </c>
      <c r="J119" t="s">
        <v>1381</v>
      </c>
      <c r="K119" t="s">
        <v>25</v>
      </c>
      <c r="L119">
        <v>50</v>
      </c>
      <c r="M119" t="s">
        <v>1383</v>
      </c>
      <c r="N119" t="s">
        <v>25</v>
      </c>
    </row>
    <row r="120" spans="1:14" x14ac:dyDescent="0.25">
      <c r="A120">
        <v>6</v>
      </c>
      <c r="B120" t="s">
        <v>18</v>
      </c>
      <c r="C120" t="str">
        <f>HYPERLINK("http://www.ncbi.nlm.nih.gov/protein/XP_005364828.1","XP_005364828.1")</f>
        <v>XP_005364828.1</v>
      </c>
      <c r="D120">
        <v>38011</v>
      </c>
      <c r="E120" t="str">
        <f>HYPERLINK("http://www.ncbi.nlm.nih.gov/Taxonomy/Browser/wwwtax.cgi?mode=Info&amp;id=79684&amp;lvl=3&amp;lin=f&amp;keep=1&amp;srchmode=1&amp;unlock","79684")</f>
        <v>79684</v>
      </c>
      <c r="F120" t="s">
        <v>18</v>
      </c>
      <c r="G120" t="str">
        <f>HYPERLINK("http://www.ncbi.nlm.nih.gov/Taxonomy/Browser/wwwtax.cgi?mode=Info&amp;id=79684&amp;lvl=3&amp;lin=f&amp;keep=1&amp;srchmode=1&amp;unlock","Microtus ochrogaster")</f>
        <v>Microtus ochrogaster</v>
      </c>
      <c r="H120" t="s">
        <v>141</v>
      </c>
      <c r="I120" t="str">
        <f>HYPERLINK("http://www.ncbi.nlm.nih.gov/protein/XP_005364828.1","fatty acid-binding protein, liver")</f>
        <v>fatty acid-binding protein, liver</v>
      </c>
      <c r="J120" t="s">
        <v>1381</v>
      </c>
      <c r="K120" t="s">
        <v>25</v>
      </c>
      <c r="L120">
        <v>50</v>
      </c>
      <c r="M120" t="s">
        <v>1382</v>
      </c>
      <c r="N120" t="s">
        <v>25</v>
      </c>
    </row>
    <row r="121" spans="1:14" x14ac:dyDescent="0.25">
      <c r="A121">
        <v>6</v>
      </c>
      <c r="B121" t="s">
        <v>18</v>
      </c>
      <c r="C121" t="str">
        <f>HYPERLINK("http://www.ncbi.nlm.nih.gov/protein/XP_019825838.1","XP_019825838.1")</f>
        <v>XP_019825838.1</v>
      </c>
      <c r="D121">
        <v>37841</v>
      </c>
      <c r="E121" t="str">
        <f>HYPERLINK("http://www.ncbi.nlm.nih.gov/Taxonomy/Browser/wwwtax.cgi?mode=Info&amp;id=9915&amp;lvl=3&amp;lin=f&amp;keep=1&amp;srchmode=1&amp;unlock","9915")</f>
        <v>9915</v>
      </c>
      <c r="F121" t="s">
        <v>18</v>
      </c>
      <c r="G121" t="str">
        <f>HYPERLINK("http://www.ncbi.nlm.nih.gov/Taxonomy/Browser/wwwtax.cgi?mode=Info&amp;id=9915&amp;lvl=3&amp;lin=f&amp;keep=1&amp;srchmode=1&amp;unlock","Bos indicus")</f>
        <v>Bos indicus</v>
      </c>
      <c r="H121" t="s">
        <v>146</v>
      </c>
      <c r="I121" t="str">
        <f>HYPERLINK("http://www.ncbi.nlm.nih.gov/protein/XP_019825838.1","PREDICTED: fatty acid-binding protein, liver")</f>
        <v>PREDICTED: fatty acid-binding protein, liver</v>
      </c>
      <c r="J121" t="s">
        <v>1381</v>
      </c>
      <c r="K121" t="s">
        <v>20</v>
      </c>
      <c r="L121">
        <v>50</v>
      </c>
      <c r="M121" t="s">
        <v>1380</v>
      </c>
      <c r="N121" t="s">
        <v>20</v>
      </c>
    </row>
    <row r="122" spans="1:14" x14ac:dyDescent="0.25">
      <c r="A122">
        <v>6</v>
      </c>
      <c r="B122" t="s">
        <v>18</v>
      </c>
      <c r="C122" t="str">
        <f>HYPERLINK("http://www.ncbi.nlm.nih.gov/protein/XP_038176303.1","XP_038176303.1")</f>
        <v>XP_038176303.1</v>
      </c>
      <c r="D122">
        <v>40931</v>
      </c>
      <c r="E122" t="str">
        <f>HYPERLINK("http://www.ncbi.nlm.nih.gov/Taxonomy/Browser/wwwtax.cgi?mode=Info&amp;id=1047088&amp;lvl=3&amp;lin=f&amp;keep=1&amp;srchmode=1&amp;unlock","1047088")</f>
        <v>1047088</v>
      </c>
      <c r="F122" t="s">
        <v>18</v>
      </c>
      <c r="G122" t="str">
        <f>HYPERLINK("http://www.ncbi.nlm.nih.gov/Taxonomy/Browser/wwwtax.cgi?mode=Info&amp;id=1047088&amp;lvl=3&amp;lin=f&amp;keep=1&amp;srchmode=1&amp;unlock","Arvicola amphibius")</f>
        <v>Arvicola amphibius</v>
      </c>
      <c r="H122" t="s">
        <v>145</v>
      </c>
      <c r="I122" t="str">
        <f>HYPERLINK("http://www.ncbi.nlm.nih.gov/protein/XP_038176303.1","fatty acid-binding protein, liver")</f>
        <v>fatty acid-binding protein, liver</v>
      </c>
      <c r="J122" t="s">
        <v>1381</v>
      </c>
      <c r="K122" t="s">
        <v>25</v>
      </c>
      <c r="L122">
        <v>50</v>
      </c>
      <c r="M122" t="s">
        <v>1382</v>
      </c>
      <c r="N122" t="s">
        <v>25</v>
      </c>
    </row>
    <row r="123" spans="1:14" x14ac:dyDescent="0.25">
      <c r="A123">
        <v>6</v>
      </c>
      <c r="B123" t="s">
        <v>18</v>
      </c>
      <c r="C123" t="str">
        <f>HYPERLINK("http://www.ncbi.nlm.nih.gov/protein/XP_037662897.1","XP_037662897.1")</f>
        <v>XP_037662897.1</v>
      </c>
      <c r="D123">
        <v>54609</v>
      </c>
      <c r="E123" t="str">
        <f>HYPERLINK("http://www.ncbi.nlm.nih.gov/Taxonomy/Browser/wwwtax.cgi?mode=Info&amp;id=27675&amp;lvl=3&amp;lin=f&amp;keep=1&amp;srchmode=1&amp;unlock","27675")</f>
        <v>27675</v>
      </c>
      <c r="F123" t="s">
        <v>18</v>
      </c>
      <c r="G123" t="str">
        <f>HYPERLINK("http://www.ncbi.nlm.nih.gov/Taxonomy/Browser/wwwtax.cgi?mode=Info&amp;id=27675&amp;lvl=3&amp;lin=f&amp;keep=1&amp;srchmode=1&amp;unlock","Choloepus didactylus")</f>
        <v>Choloepus didactylus</v>
      </c>
      <c r="H123" t="s">
        <v>147</v>
      </c>
      <c r="I123" t="str">
        <f>HYPERLINK("http://www.ncbi.nlm.nih.gov/protein/XP_037662897.1","fatty acid-binding protein, liver")</f>
        <v>fatty acid-binding protein, liver</v>
      </c>
      <c r="J123" t="s">
        <v>1381</v>
      </c>
      <c r="K123" t="s">
        <v>25</v>
      </c>
      <c r="L123">
        <v>50</v>
      </c>
      <c r="M123" t="s">
        <v>1382</v>
      </c>
      <c r="N123" t="s">
        <v>25</v>
      </c>
    </row>
    <row r="124" spans="1:14" x14ac:dyDescent="0.25">
      <c r="A124">
        <v>6</v>
      </c>
      <c r="B124" t="s">
        <v>18</v>
      </c>
      <c r="C124" t="str">
        <f>HYPERLINK("http://www.ncbi.nlm.nih.gov/protein/XP_021514644.1","XP_021514644.1")</f>
        <v>XP_021514644.1</v>
      </c>
      <c r="D124">
        <v>39125</v>
      </c>
      <c r="E124" t="str">
        <f>HYPERLINK("http://www.ncbi.nlm.nih.gov/Taxonomy/Browser/wwwtax.cgi?mode=Info&amp;id=10047&amp;lvl=3&amp;lin=f&amp;keep=1&amp;srchmode=1&amp;unlock","10047")</f>
        <v>10047</v>
      </c>
      <c r="F124" t="s">
        <v>18</v>
      </c>
      <c r="G124" t="str">
        <f>HYPERLINK("http://www.ncbi.nlm.nih.gov/Taxonomy/Browser/wwwtax.cgi?mode=Info&amp;id=10047&amp;lvl=3&amp;lin=f&amp;keep=1&amp;srchmode=1&amp;unlock","Meriones unguiculatus")</f>
        <v>Meriones unguiculatus</v>
      </c>
      <c r="H124" t="s">
        <v>148</v>
      </c>
      <c r="I124" t="str">
        <f>HYPERLINK("http://www.ncbi.nlm.nih.gov/protein/XP_021514644.1","fatty acid-binding protein, liver isoform X2")</f>
        <v>fatty acid-binding protein, liver isoform X2</v>
      </c>
      <c r="J124" t="s">
        <v>1381</v>
      </c>
      <c r="K124" t="s">
        <v>25</v>
      </c>
      <c r="L124">
        <v>50</v>
      </c>
      <c r="M124" t="s">
        <v>1382</v>
      </c>
      <c r="N124" t="s">
        <v>25</v>
      </c>
    </row>
    <row r="125" spans="1:14" x14ac:dyDescent="0.25">
      <c r="A125">
        <v>6</v>
      </c>
      <c r="B125" t="s">
        <v>18</v>
      </c>
      <c r="C125" t="str">
        <f>HYPERLINK("http://www.ncbi.nlm.nih.gov/protein/XP_003503959.1","XP_003503959.1")</f>
        <v>XP_003503959.1</v>
      </c>
      <c r="D125">
        <v>138048</v>
      </c>
      <c r="E125" t="str">
        <f>HYPERLINK("http://www.ncbi.nlm.nih.gov/Taxonomy/Browser/wwwtax.cgi?mode=Info&amp;id=10029&amp;lvl=3&amp;lin=f&amp;keep=1&amp;srchmode=1&amp;unlock","10029")</f>
        <v>10029</v>
      </c>
      <c r="F125" t="s">
        <v>18</v>
      </c>
      <c r="G125" t="str">
        <f>HYPERLINK("http://www.ncbi.nlm.nih.gov/Taxonomy/Browser/wwwtax.cgi?mode=Info&amp;id=10029&amp;lvl=3&amp;lin=f&amp;keep=1&amp;srchmode=1&amp;unlock","Cricetulus griseus")</f>
        <v>Cricetulus griseus</v>
      </c>
      <c r="H125" t="s">
        <v>149</v>
      </c>
      <c r="I125" t="str">
        <f>HYPERLINK("http://www.ncbi.nlm.nih.gov/protein/XP_003503959.1","fatty acid-binding protein, liver")</f>
        <v>fatty acid-binding protein, liver</v>
      </c>
      <c r="J125" t="s">
        <v>1381</v>
      </c>
      <c r="K125" t="s">
        <v>25</v>
      </c>
      <c r="L125">
        <v>50</v>
      </c>
      <c r="M125" t="s">
        <v>1382</v>
      </c>
      <c r="N125" t="s">
        <v>25</v>
      </c>
    </row>
    <row r="126" spans="1:14" x14ac:dyDescent="0.25">
      <c r="A126">
        <v>6</v>
      </c>
      <c r="B126" t="s">
        <v>18</v>
      </c>
      <c r="C126" t="str">
        <f>HYPERLINK("http://www.ncbi.nlm.nih.gov/protein/XP_036607948.1","XP_036607948.1")</f>
        <v>XP_036607948.1</v>
      </c>
      <c r="D126">
        <v>35972</v>
      </c>
      <c r="E126" t="str">
        <f>HYPERLINK("http://www.ncbi.nlm.nih.gov/Taxonomy/Browser/wwwtax.cgi?mode=Info&amp;id=9337&amp;lvl=3&amp;lin=f&amp;keep=1&amp;srchmode=1&amp;unlock","9337")</f>
        <v>9337</v>
      </c>
      <c r="F126" t="s">
        <v>18</v>
      </c>
      <c r="G126" t="str">
        <f>HYPERLINK("http://www.ncbi.nlm.nih.gov/Taxonomy/Browser/wwwtax.cgi?mode=Info&amp;id=9337&amp;lvl=3&amp;lin=f&amp;keep=1&amp;srchmode=1&amp;unlock","Trichosurus vulpecula")</f>
        <v>Trichosurus vulpecula</v>
      </c>
      <c r="H126" t="s">
        <v>150</v>
      </c>
      <c r="I126" t="str">
        <f>HYPERLINK("http://www.ncbi.nlm.nih.gov/protein/XP_036607948.1","fatty acid-binding protein, liver-like")</f>
        <v>fatty acid-binding protein, liver-like</v>
      </c>
      <c r="J126" t="s">
        <v>1381</v>
      </c>
      <c r="K126" t="s">
        <v>25</v>
      </c>
      <c r="L126">
        <v>50</v>
      </c>
      <c r="M126" t="s">
        <v>1382</v>
      </c>
      <c r="N126" t="s">
        <v>25</v>
      </c>
    </row>
    <row r="127" spans="1:14" x14ac:dyDescent="0.25">
      <c r="A127">
        <v>6</v>
      </c>
      <c r="B127" t="s">
        <v>18</v>
      </c>
      <c r="C127" t="str">
        <f>HYPERLINK("http://www.ncbi.nlm.nih.gov/protein/XP_006902071.1","XP_006902071.1")</f>
        <v>XP_006902071.1</v>
      </c>
      <c r="D127">
        <v>25292</v>
      </c>
      <c r="E127" t="str">
        <f>HYPERLINK("http://www.ncbi.nlm.nih.gov/Taxonomy/Browser/wwwtax.cgi?mode=Info&amp;id=28737&amp;lvl=3&amp;lin=f&amp;keep=1&amp;srchmode=1&amp;unlock","28737")</f>
        <v>28737</v>
      </c>
      <c r="F127" t="s">
        <v>18</v>
      </c>
      <c r="G127" t="str">
        <f>HYPERLINK("http://www.ncbi.nlm.nih.gov/Taxonomy/Browser/wwwtax.cgi?mode=Info&amp;id=28737&amp;lvl=3&amp;lin=f&amp;keep=1&amp;srchmode=1&amp;unlock","Elephantulus edwardii")</f>
        <v>Elephantulus edwardii</v>
      </c>
      <c r="H127" t="s">
        <v>151</v>
      </c>
      <c r="I127" t="str">
        <f>HYPERLINK("http://www.ncbi.nlm.nih.gov/protein/XP_006902071.1","PREDICTED: fatty acid-binding protein, liver")</f>
        <v>PREDICTED: fatty acid-binding protein, liver</v>
      </c>
      <c r="J127" t="s">
        <v>1381</v>
      </c>
      <c r="K127" t="s">
        <v>25</v>
      </c>
      <c r="L127">
        <v>50</v>
      </c>
      <c r="M127" t="s">
        <v>1382</v>
      </c>
      <c r="N127" t="s">
        <v>25</v>
      </c>
    </row>
    <row r="128" spans="1:14" x14ac:dyDescent="0.25">
      <c r="A128">
        <v>6</v>
      </c>
      <c r="B128" t="s">
        <v>18</v>
      </c>
      <c r="C128" t="str">
        <f>HYPERLINK("http://www.ncbi.nlm.nih.gov/protein/XP_029088039.1","XP_029088039.1")</f>
        <v>XP_029088039.1</v>
      </c>
      <c r="D128">
        <v>65835</v>
      </c>
      <c r="E128" t="str">
        <f>HYPERLINK("http://www.ncbi.nlm.nih.gov/Taxonomy/Browser/wwwtax.cgi?mode=Info&amp;id=40151&amp;lvl=3&amp;lin=f&amp;keep=1&amp;srchmode=1&amp;unlock","40151")</f>
        <v>40151</v>
      </c>
      <c r="F128" t="s">
        <v>18</v>
      </c>
      <c r="G128" t="str">
        <f>HYPERLINK("http://www.ncbi.nlm.nih.gov/Taxonomy/Browser/wwwtax.cgi?mode=Info&amp;id=40151&amp;lvl=3&amp;lin=f&amp;keep=1&amp;srchmode=1&amp;unlock","Monodon monoceros")</f>
        <v>Monodon monoceros</v>
      </c>
      <c r="H128" t="s">
        <v>153</v>
      </c>
      <c r="I128" t="str">
        <f>HYPERLINK("http://www.ncbi.nlm.nih.gov/protein/XP_029088039.1","fatty acid-binding protein, liver")</f>
        <v>fatty acid-binding protein, liver</v>
      </c>
      <c r="J128" t="s">
        <v>1381</v>
      </c>
      <c r="K128" t="s">
        <v>20</v>
      </c>
      <c r="L128">
        <v>50</v>
      </c>
      <c r="M128" t="s">
        <v>1380</v>
      </c>
      <c r="N128" t="s">
        <v>20</v>
      </c>
    </row>
    <row r="129" spans="1:14" x14ac:dyDescent="0.25">
      <c r="A129">
        <v>6</v>
      </c>
      <c r="B129" t="s">
        <v>18</v>
      </c>
      <c r="C129" t="str">
        <f>HYPERLINK("http://www.ncbi.nlm.nih.gov/protein/XP_022411784.1","XP_022411784.1")</f>
        <v>XP_022411784.1</v>
      </c>
      <c r="D129">
        <v>51113</v>
      </c>
      <c r="E129" t="str">
        <f>HYPERLINK("http://www.ncbi.nlm.nih.gov/Taxonomy/Browser/wwwtax.cgi?mode=Info&amp;id=9749&amp;lvl=3&amp;lin=f&amp;keep=1&amp;srchmode=1&amp;unlock","9749")</f>
        <v>9749</v>
      </c>
      <c r="F129" t="s">
        <v>18</v>
      </c>
      <c r="G129" t="str">
        <f>HYPERLINK("http://www.ncbi.nlm.nih.gov/Taxonomy/Browser/wwwtax.cgi?mode=Info&amp;id=9749&amp;lvl=3&amp;lin=f&amp;keep=1&amp;srchmode=1&amp;unlock","Delphinapterus leucas")</f>
        <v>Delphinapterus leucas</v>
      </c>
      <c r="H129" t="s">
        <v>152</v>
      </c>
      <c r="I129" t="str">
        <f>HYPERLINK("http://www.ncbi.nlm.nih.gov/protein/XP_022411784.1","fatty acid-binding protein, liver")</f>
        <v>fatty acid-binding protein, liver</v>
      </c>
      <c r="J129" t="s">
        <v>1381</v>
      </c>
      <c r="K129" t="s">
        <v>20</v>
      </c>
      <c r="L129">
        <v>50</v>
      </c>
      <c r="M129" t="s">
        <v>1380</v>
      </c>
      <c r="N129" t="s">
        <v>20</v>
      </c>
    </row>
    <row r="130" spans="1:14" x14ac:dyDescent="0.25">
      <c r="A130">
        <v>6</v>
      </c>
      <c r="B130" t="s">
        <v>18</v>
      </c>
      <c r="C130" t="str">
        <f>HYPERLINK("http://www.ncbi.nlm.nih.gov/protein/ELK30025.1","ELK30025.1")</f>
        <v>ELK30025.1</v>
      </c>
      <c r="D130">
        <v>48733</v>
      </c>
      <c r="E130" t="str">
        <f>HYPERLINK("http://www.ncbi.nlm.nih.gov/Taxonomy/Browser/wwwtax.cgi?mode=Info&amp;id=225400&amp;lvl=3&amp;lin=f&amp;keep=1&amp;srchmode=1&amp;unlock","225400")</f>
        <v>225400</v>
      </c>
      <c r="F130" t="s">
        <v>18</v>
      </c>
      <c r="G130" t="str">
        <f>HYPERLINK("http://www.ncbi.nlm.nih.gov/Taxonomy/Browser/wwwtax.cgi?mode=Info&amp;id=225400&amp;lvl=3&amp;lin=f&amp;keep=1&amp;srchmode=1&amp;unlock","Myotis davidii")</f>
        <v>Myotis davidii</v>
      </c>
      <c r="H130" t="s">
        <v>77</v>
      </c>
      <c r="I130" t="str">
        <f>HYPERLINK("http://www.ncbi.nlm.nih.gov/protein/ELK30025.1","Fatty acid-binding protein, liver")</f>
        <v>Fatty acid-binding protein, liver</v>
      </c>
      <c r="J130" t="s">
        <v>1381</v>
      </c>
      <c r="K130" t="s">
        <v>25</v>
      </c>
      <c r="L130">
        <v>50</v>
      </c>
      <c r="M130" t="s">
        <v>1382</v>
      </c>
      <c r="N130" t="s">
        <v>25</v>
      </c>
    </row>
    <row r="131" spans="1:14" x14ac:dyDescent="0.25">
      <c r="A131">
        <v>6</v>
      </c>
      <c r="B131" t="s">
        <v>18</v>
      </c>
      <c r="C131" t="str">
        <f>HYPERLINK("http://www.ncbi.nlm.nih.gov/protein/XP_033694291.1","XP_033694291.1")</f>
        <v>XP_033694291.1</v>
      </c>
      <c r="D131">
        <v>57007</v>
      </c>
      <c r="E131" t="str">
        <f>HYPERLINK("http://www.ncbi.nlm.nih.gov/Taxonomy/Browser/wwwtax.cgi?mode=Info&amp;id=9739&amp;lvl=3&amp;lin=f&amp;keep=1&amp;srchmode=1&amp;unlock","9739")</f>
        <v>9739</v>
      </c>
      <c r="F131" t="s">
        <v>18</v>
      </c>
      <c r="G131" t="str">
        <f>HYPERLINK("http://www.ncbi.nlm.nih.gov/Taxonomy/Browser/wwwtax.cgi?mode=Info&amp;id=9739&amp;lvl=3&amp;lin=f&amp;keep=1&amp;srchmode=1&amp;unlock","Tursiops truncatus")</f>
        <v>Tursiops truncatus</v>
      </c>
      <c r="H131" t="s">
        <v>154</v>
      </c>
      <c r="I131" t="str">
        <f>HYPERLINK("http://www.ncbi.nlm.nih.gov/protein/XP_033694291.1","fatty acid-binding protein, liver")</f>
        <v>fatty acid-binding protein, liver</v>
      </c>
      <c r="J131" t="s">
        <v>1381</v>
      </c>
      <c r="K131" t="s">
        <v>20</v>
      </c>
      <c r="L131">
        <v>50</v>
      </c>
      <c r="M131" t="s">
        <v>1380</v>
      </c>
      <c r="N131" t="s">
        <v>20</v>
      </c>
    </row>
    <row r="132" spans="1:14" x14ac:dyDescent="0.25">
      <c r="A132">
        <v>6</v>
      </c>
      <c r="B132" t="s">
        <v>18</v>
      </c>
      <c r="C132" t="str">
        <f>HYPERLINK("http://www.ncbi.nlm.nih.gov/protein/XP_004286696.1","XP_004286696.1")</f>
        <v>XP_004286696.1</v>
      </c>
      <c r="D132">
        <v>59479</v>
      </c>
      <c r="E132" t="str">
        <f>HYPERLINK("http://www.ncbi.nlm.nih.gov/Taxonomy/Browser/wwwtax.cgi?mode=Info&amp;id=9733&amp;lvl=3&amp;lin=f&amp;keep=1&amp;srchmode=1&amp;unlock","9733")</f>
        <v>9733</v>
      </c>
      <c r="F132" t="s">
        <v>18</v>
      </c>
      <c r="G132" t="str">
        <f>HYPERLINK("http://www.ncbi.nlm.nih.gov/Taxonomy/Browser/wwwtax.cgi?mode=Info&amp;id=9733&amp;lvl=3&amp;lin=f&amp;keep=1&amp;srchmode=1&amp;unlock","Orcinus orca")</f>
        <v>Orcinus orca</v>
      </c>
      <c r="H132" t="s">
        <v>155</v>
      </c>
      <c r="I132" t="str">
        <f>HYPERLINK("http://www.ncbi.nlm.nih.gov/protein/XP_004286696.1","fatty acid-binding protein, liver")</f>
        <v>fatty acid-binding protein, liver</v>
      </c>
      <c r="J132" t="s">
        <v>1381</v>
      </c>
      <c r="K132" t="s">
        <v>20</v>
      </c>
      <c r="L132">
        <v>50</v>
      </c>
      <c r="M132" t="s">
        <v>1380</v>
      </c>
      <c r="N132" t="s">
        <v>20</v>
      </c>
    </row>
    <row r="133" spans="1:14" x14ac:dyDescent="0.25">
      <c r="A133">
        <v>6</v>
      </c>
      <c r="B133" t="s">
        <v>18</v>
      </c>
      <c r="C133" t="str">
        <f>HYPERLINK("http://www.ncbi.nlm.nih.gov/protein/XP_005385438.1","XP_005385438.1")</f>
        <v>XP_005385438.1</v>
      </c>
      <c r="D133">
        <v>45556</v>
      </c>
      <c r="E133" t="str">
        <f>HYPERLINK("http://www.ncbi.nlm.nih.gov/Taxonomy/Browser/wwwtax.cgi?mode=Info&amp;id=34839&amp;lvl=3&amp;lin=f&amp;keep=1&amp;srchmode=1&amp;unlock","34839")</f>
        <v>34839</v>
      </c>
      <c r="F133" t="s">
        <v>18</v>
      </c>
      <c r="G133" t="str">
        <f>HYPERLINK("http://www.ncbi.nlm.nih.gov/Taxonomy/Browser/wwwtax.cgi?mode=Info&amp;id=34839&amp;lvl=3&amp;lin=f&amp;keep=1&amp;srchmode=1&amp;unlock","Chinchilla lanigera")</f>
        <v>Chinchilla lanigera</v>
      </c>
      <c r="H133" t="s">
        <v>156</v>
      </c>
      <c r="I133" t="str">
        <f>HYPERLINK("http://www.ncbi.nlm.nih.gov/protein/XP_005385438.1","PREDICTED: fatty acid-binding protein, liver")</f>
        <v>PREDICTED: fatty acid-binding protein, liver</v>
      </c>
      <c r="J133" t="s">
        <v>1381</v>
      </c>
      <c r="K133" t="s">
        <v>25</v>
      </c>
      <c r="L133">
        <v>50</v>
      </c>
      <c r="M133" t="s">
        <v>1383</v>
      </c>
      <c r="N133" t="s">
        <v>25</v>
      </c>
    </row>
    <row r="134" spans="1:14" x14ac:dyDescent="0.25">
      <c r="A134">
        <v>6</v>
      </c>
      <c r="B134" t="s">
        <v>18</v>
      </c>
      <c r="C134" t="str">
        <f>HYPERLINK("http://www.ncbi.nlm.nih.gov/protein/XP_006991072.1","XP_006991072.1")</f>
        <v>XP_006991072.1</v>
      </c>
      <c r="D134">
        <v>45653</v>
      </c>
      <c r="E134" t="str">
        <f>HYPERLINK("http://www.ncbi.nlm.nih.gov/Taxonomy/Browser/wwwtax.cgi?mode=Info&amp;id=230844&amp;lvl=3&amp;lin=f&amp;keep=1&amp;srchmode=1&amp;unlock","230844")</f>
        <v>230844</v>
      </c>
      <c r="F134" t="s">
        <v>18</v>
      </c>
      <c r="G134" t="str">
        <f>HYPERLINK("http://www.ncbi.nlm.nih.gov/Taxonomy/Browser/wwwtax.cgi?mode=Info&amp;id=230844&amp;lvl=3&amp;lin=f&amp;keep=1&amp;srchmode=1&amp;unlock","Peromyscus maniculatus bairdii")</f>
        <v>Peromyscus maniculatus bairdii</v>
      </c>
      <c r="H134" t="s">
        <v>157</v>
      </c>
      <c r="I134" t="str">
        <f>HYPERLINK("http://www.ncbi.nlm.nih.gov/protein/XP_006991072.1","PREDICTED: fatty acid-binding protein, liver")</f>
        <v>PREDICTED: fatty acid-binding protein, liver</v>
      </c>
      <c r="J134" t="s">
        <v>1381</v>
      </c>
      <c r="K134" t="s">
        <v>25</v>
      </c>
      <c r="L134">
        <v>50</v>
      </c>
      <c r="M134" t="s">
        <v>1382</v>
      </c>
      <c r="N134" t="s">
        <v>25</v>
      </c>
    </row>
    <row r="135" spans="1:14" x14ac:dyDescent="0.25">
      <c r="A135">
        <v>6</v>
      </c>
      <c r="B135" t="s">
        <v>18</v>
      </c>
      <c r="C135" t="str">
        <f>HYPERLINK("http://www.ncbi.nlm.nih.gov/protein/XP_030693408.1","XP_030693408.1")</f>
        <v>XP_030693408.1</v>
      </c>
      <c r="D135">
        <v>54641</v>
      </c>
      <c r="E135" t="str">
        <f>HYPERLINK("http://www.ncbi.nlm.nih.gov/Taxonomy/Browser/wwwtax.cgi?mode=Info&amp;id=9731&amp;lvl=3&amp;lin=f&amp;keep=1&amp;srchmode=1&amp;unlock","9731")</f>
        <v>9731</v>
      </c>
      <c r="F135" t="s">
        <v>18</v>
      </c>
      <c r="G135" t="str">
        <f>HYPERLINK("http://www.ncbi.nlm.nih.gov/Taxonomy/Browser/wwwtax.cgi?mode=Info&amp;id=9731&amp;lvl=3&amp;lin=f&amp;keep=1&amp;srchmode=1&amp;unlock","Globicephala melas")</f>
        <v>Globicephala melas</v>
      </c>
      <c r="H135" t="s">
        <v>158</v>
      </c>
      <c r="I135" t="str">
        <f>HYPERLINK("http://www.ncbi.nlm.nih.gov/protein/XP_030693408.1","fatty acid-binding protein, liver")</f>
        <v>fatty acid-binding protein, liver</v>
      </c>
      <c r="J135" t="s">
        <v>1381</v>
      </c>
      <c r="K135" t="s">
        <v>20</v>
      </c>
      <c r="L135">
        <v>50</v>
      </c>
      <c r="M135" t="s">
        <v>1380</v>
      </c>
      <c r="N135" t="s">
        <v>20</v>
      </c>
    </row>
    <row r="136" spans="1:14" x14ac:dyDescent="0.25">
      <c r="A136">
        <v>6</v>
      </c>
      <c r="B136" t="s">
        <v>18</v>
      </c>
      <c r="C136" t="str">
        <f>HYPERLINK("http://www.ncbi.nlm.nih.gov/protein/XP_026984444.1","XP_026984444.1")</f>
        <v>XP_026984444.1</v>
      </c>
      <c r="D136">
        <v>54700</v>
      </c>
      <c r="E136" t="str">
        <f>HYPERLINK("http://www.ncbi.nlm.nih.gov/Taxonomy/Browser/wwwtax.cgi?mode=Info&amp;id=90247&amp;lvl=3&amp;lin=f&amp;keep=1&amp;srchmode=1&amp;unlock","90247")</f>
        <v>90247</v>
      </c>
      <c r="F136" t="s">
        <v>18</v>
      </c>
      <c r="G136" t="str">
        <f>HYPERLINK("http://www.ncbi.nlm.nih.gov/Taxonomy/Browser/wwwtax.cgi?mode=Info&amp;id=90247&amp;lvl=3&amp;lin=f&amp;keep=1&amp;srchmode=1&amp;unlock","Lagenorhynchus obliquidens")</f>
        <v>Lagenorhynchus obliquidens</v>
      </c>
      <c r="H136" t="s">
        <v>159</v>
      </c>
      <c r="I136" t="str">
        <f>HYPERLINK("http://www.ncbi.nlm.nih.gov/protein/XP_026984444.1","fatty acid-binding protein, liver")</f>
        <v>fatty acid-binding protein, liver</v>
      </c>
      <c r="J136" t="s">
        <v>1381</v>
      </c>
      <c r="K136" t="s">
        <v>20</v>
      </c>
      <c r="L136">
        <v>50</v>
      </c>
      <c r="M136" t="s">
        <v>1380</v>
      </c>
      <c r="N136" t="s">
        <v>20</v>
      </c>
    </row>
    <row r="137" spans="1:14" x14ac:dyDescent="0.25">
      <c r="A137">
        <v>6</v>
      </c>
      <c r="B137" t="s">
        <v>18</v>
      </c>
      <c r="C137" t="str">
        <f>HYPERLINK("http://www.ncbi.nlm.nih.gov/protein/XP_005076138.1","XP_005076138.1")</f>
        <v>XP_005076138.1</v>
      </c>
      <c r="D137">
        <v>54395</v>
      </c>
      <c r="E137" t="str">
        <f>HYPERLINK("http://www.ncbi.nlm.nih.gov/Taxonomy/Browser/wwwtax.cgi?mode=Info&amp;id=10036&amp;lvl=3&amp;lin=f&amp;keep=1&amp;srchmode=1&amp;unlock","10036")</f>
        <v>10036</v>
      </c>
      <c r="F137" t="s">
        <v>18</v>
      </c>
      <c r="G137" t="str">
        <f>HYPERLINK("http://www.ncbi.nlm.nih.gov/Taxonomy/Browser/wwwtax.cgi?mode=Info&amp;id=10036&amp;lvl=3&amp;lin=f&amp;keep=1&amp;srchmode=1&amp;unlock","Mesocricetus auratus")</f>
        <v>Mesocricetus auratus</v>
      </c>
      <c r="H137" t="s">
        <v>160</v>
      </c>
      <c r="I137" t="str">
        <f>HYPERLINK("http://www.ncbi.nlm.nih.gov/protein/XP_005076138.1","fatty acid-binding protein, liver")</f>
        <v>fatty acid-binding protein, liver</v>
      </c>
      <c r="J137" t="s">
        <v>1381</v>
      </c>
      <c r="K137" t="s">
        <v>25</v>
      </c>
      <c r="L137">
        <v>50</v>
      </c>
      <c r="M137" t="s">
        <v>1382</v>
      </c>
      <c r="N137" t="s">
        <v>25</v>
      </c>
    </row>
    <row r="138" spans="1:14" x14ac:dyDescent="0.25">
      <c r="A138">
        <v>6</v>
      </c>
      <c r="B138" t="s">
        <v>18</v>
      </c>
      <c r="C138" t="str">
        <f>HYPERLINK("http://www.ncbi.nlm.nih.gov/protein/XP_008698325.2","XP_008698325.2")</f>
        <v>XP_008698325.2</v>
      </c>
      <c r="D138">
        <v>41699</v>
      </c>
      <c r="E138" t="str">
        <f>HYPERLINK("http://www.ncbi.nlm.nih.gov/Taxonomy/Browser/wwwtax.cgi?mode=Info&amp;id=29073&amp;lvl=3&amp;lin=f&amp;keep=1&amp;srchmode=1&amp;unlock","29073")</f>
        <v>29073</v>
      </c>
      <c r="F138" t="s">
        <v>18</v>
      </c>
      <c r="G138" t="str">
        <f>HYPERLINK("http://www.ncbi.nlm.nih.gov/Taxonomy/Browser/wwwtax.cgi?mode=Info&amp;id=29073&amp;lvl=3&amp;lin=f&amp;keep=1&amp;srchmode=1&amp;unlock","Ursus maritimus")</f>
        <v>Ursus maritimus</v>
      </c>
      <c r="H138" t="s">
        <v>161</v>
      </c>
      <c r="I138" t="str">
        <f>HYPERLINK("http://www.ncbi.nlm.nih.gov/protein/XP_008698325.2","fatty acid-binding protein, liver")</f>
        <v>fatty acid-binding protein, liver</v>
      </c>
      <c r="J138" t="s">
        <v>1381</v>
      </c>
      <c r="K138" t="s">
        <v>25</v>
      </c>
      <c r="L138">
        <v>50</v>
      </c>
      <c r="M138" t="s">
        <v>1382</v>
      </c>
      <c r="N138" t="s">
        <v>25</v>
      </c>
    </row>
    <row r="139" spans="1:14" x14ac:dyDescent="0.25">
      <c r="A139">
        <v>6</v>
      </c>
      <c r="B139" t="s">
        <v>18</v>
      </c>
      <c r="C139" t="str">
        <f>HYPERLINK("http://www.ncbi.nlm.nih.gov/protein/XP_004472349.1","XP_004472349.1")</f>
        <v>XP_004472349.1</v>
      </c>
      <c r="D139">
        <v>38769</v>
      </c>
      <c r="E139" t="str">
        <f>HYPERLINK("http://www.ncbi.nlm.nih.gov/Taxonomy/Browser/wwwtax.cgi?mode=Info&amp;id=9361&amp;lvl=3&amp;lin=f&amp;keep=1&amp;srchmode=1&amp;unlock","9361")</f>
        <v>9361</v>
      </c>
      <c r="F139" t="s">
        <v>18</v>
      </c>
      <c r="G139" t="str">
        <f>HYPERLINK("http://www.ncbi.nlm.nih.gov/Taxonomy/Browser/wwwtax.cgi?mode=Info&amp;id=9361&amp;lvl=3&amp;lin=f&amp;keep=1&amp;srchmode=1&amp;unlock","Dasypus novemcinctus")</f>
        <v>Dasypus novemcinctus</v>
      </c>
      <c r="H139" t="s">
        <v>162</v>
      </c>
      <c r="I139" t="str">
        <f>HYPERLINK("http://www.ncbi.nlm.nih.gov/protein/XP_004472349.1","fatty acid-binding protein, liver")</f>
        <v>fatty acid-binding protein, liver</v>
      </c>
      <c r="J139" t="s">
        <v>1381</v>
      </c>
      <c r="K139" t="s">
        <v>25</v>
      </c>
      <c r="L139">
        <v>50</v>
      </c>
      <c r="M139" t="s">
        <v>1383</v>
      </c>
      <c r="N139" t="s">
        <v>25</v>
      </c>
    </row>
    <row r="140" spans="1:14" x14ac:dyDescent="0.25">
      <c r="A140">
        <v>6</v>
      </c>
      <c r="B140" t="s">
        <v>18</v>
      </c>
      <c r="C140" t="str">
        <f>HYPERLINK("http://www.ncbi.nlm.nih.gov/protein/XP_010623938.1","XP_010623938.1")</f>
        <v>XP_010623938.1</v>
      </c>
      <c r="D140">
        <v>67680</v>
      </c>
      <c r="E140" t="str">
        <f>HYPERLINK("http://www.ncbi.nlm.nih.gov/Taxonomy/Browser/wwwtax.cgi?mode=Info&amp;id=885580&amp;lvl=3&amp;lin=f&amp;keep=1&amp;srchmode=1&amp;unlock","885580")</f>
        <v>885580</v>
      </c>
      <c r="F140" t="s">
        <v>18</v>
      </c>
      <c r="G140" t="str">
        <f>HYPERLINK("http://www.ncbi.nlm.nih.gov/Taxonomy/Browser/wwwtax.cgi?mode=Info&amp;id=885580&amp;lvl=3&amp;lin=f&amp;keep=1&amp;srchmode=1&amp;unlock","Fukomys damarensis")</f>
        <v>Fukomys damarensis</v>
      </c>
      <c r="H140" t="s">
        <v>163</v>
      </c>
      <c r="I140" t="str">
        <f>HYPERLINK("http://www.ncbi.nlm.nih.gov/protein/XP_010623938.1","fatty acid-binding protein, liver")</f>
        <v>fatty acid-binding protein, liver</v>
      </c>
      <c r="J140" t="s">
        <v>1381</v>
      </c>
      <c r="K140" t="s">
        <v>25</v>
      </c>
      <c r="L140">
        <v>50</v>
      </c>
      <c r="M140" t="s">
        <v>1382</v>
      </c>
      <c r="N140" t="s">
        <v>25</v>
      </c>
    </row>
    <row r="141" spans="1:14" x14ac:dyDescent="0.25">
      <c r="A141">
        <v>6</v>
      </c>
      <c r="B141" t="s">
        <v>18</v>
      </c>
      <c r="C141" t="str">
        <f>HYPERLINK("http://www.ncbi.nlm.nih.gov/protein/XP_007466787.1","XP_007466787.1")</f>
        <v>XP_007466787.1</v>
      </c>
      <c r="D141">
        <v>27194</v>
      </c>
      <c r="E141" t="str">
        <f>HYPERLINK("http://www.ncbi.nlm.nih.gov/Taxonomy/Browser/wwwtax.cgi?mode=Info&amp;id=118797&amp;lvl=3&amp;lin=f&amp;keep=1&amp;srchmode=1&amp;unlock","118797")</f>
        <v>118797</v>
      </c>
      <c r="F141" t="s">
        <v>18</v>
      </c>
      <c r="G141" t="str">
        <f>HYPERLINK("http://www.ncbi.nlm.nih.gov/Taxonomy/Browser/wwwtax.cgi?mode=Info&amp;id=118797&amp;lvl=3&amp;lin=f&amp;keep=1&amp;srchmode=1&amp;unlock","Lipotes vexillifer")</f>
        <v>Lipotes vexillifer</v>
      </c>
      <c r="H141" t="s">
        <v>165</v>
      </c>
      <c r="I141" t="str">
        <f>HYPERLINK("http://www.ncbi.nlm.nih.gov/protein/XP_007466787.1","PREDICTED: fatty acid-binding protein, liver")</f>
        <v>PREDICTED: fatty acid-binding protein, liver</v>
      </c>
      <c r="J141" t="s">
        <v>1381</v>
      </c>
      <c r="K141" t="s">
        <v>20</v>
      </c>
      <c r="L141">
        <v>50</v>
      </c>
      <c r="M141" t="s">
        <v>1380</v>
      </c>
      <c r="N141" t="s">
        <v>20</v>
      </c>
    </row>
    <row r="142" spans="1:14" x14ac:dyDescent="0.25">
      <c r="A142">
        <v>6</v>
      </c>
      <c r="B142" t="s">
        <v>18</v>
      </c>
      <c r="C142" t="str">
        <f>HYPERLINK("http://www.ncbi.nlm.nih.gov/protein/XP_038609031.1","XP_038609031.1")</f>
        <v>XP_038609031.1</v>
      </c>
      <c r="D142">
        <v>33527</v>
      </c>
      <c r="E142" t="str">
        <f>HYPERLINK("http://www.ncbi.nlm.nih.gov/Taxonomy/Browser/wwwtax.cgi?mode=Info&amp;id=9261&amp;lvl=3&amp;lin=f&amp;keep=1&amp;srchmode=1&amp;unlock","9261")</f>
        <v>9261</v>
      </c>
      <c r="F142" t="s">
        <v>18</v>
      </c>
      <c r="G142" t="str">
        <f>HYPERLINK("http://www.ncbi.nlm.nih.gov/Taxonomy/Browser/wwwtax.cgi?mode=Info&amp;id=9261&amp;lvl=3&amp;lin=f&amp;keep=1&amp;srchmode=1&amp;unlock","Tachyglossus aculeatus")</f>
        <v>Tachyglossus aculeatus</v>
      </c>
      <c r="H142" t="s">
        <v>166</v>
      </c>
      <c r="I142" t="str">
        <f>HYPERLINK("http://www.ncbi.nlm.nih.gov/protein/XP_038609031.1","fatty acid-binding protein, liver")</f>
        <v>fatty acid-binding protein, liver</v>
      </c>
      <c r="J142" t="s">
        <v>1381</v>
      </c>
      <c r="K142" t="s">
        <v>25</v>
      </c>
      <c r="L142">
        <v>50</v>
      </c>
      <c r="M142" t="s">
        <v>1382</v>
      </c>
      <c r="N142" t="s">
        <v>25</v>
      </c>
    </row>
    <row r="143" spans="1:14" x14ac:dyDescent="0.25">
      <c r="A143">
        <v>6</v>
      </c>
      <c r="B143" t="s">
        <v>18</v>
      </c>
      <c r="C143" t="str">
        <f>HYPERLINK("http://www.ncbi.nlm.nih.gov/protein/MBW01623.1","MBW01623.1")</f>
        <v>MBW01623.1</v>
      </c>
      <c r="D143">
        <v>11098</v>
      </c>
      <c r="E143" t="str">
        <f>HYPERLINK("http://www.ncbi.nlm.nih.gov/Taxonomy/Browser/wwwtax.cgi?mode=Info&amp;id=9764&amp;lvl=3&amp;lin=f&amp;keep=1&amp;srchmode=1&amp;unlock","9764")</f>
        <v>9764</v>
      </c>
      <c r="F143" t="s">
        <v>18</v>
      </c>
      <c r="G143" t="str">
        <f>HYPERLINK("http://www.ncbi.nlm.nih.gov/Taxonomy/Browser/wwwtax.cgi?mode=Info&amp;id=9764&amp;lvl=3&amp;lin=f&amp;keep=1&amp;srchmode=1&amp;unlock","Eschrichtius robustus")</f>
        <v>Eschrichtius robustus</v>
      </c>
      <c r="H143" t="s">
        <v>169</v>
      </c>
      <c r="I143" t="str">
        <f>HYPERLINK("http://www.ncbi.nlm.nih.gov/protein/MBW01623.1","Fatty acid-binding protein, liver")</f>
        <v>Fatty acid-binding protein, liver</v>
      </c>
      <c r="J143" t="s">
        <v>1381</v>
      </c>
      <c r="K143" t="s">
        <v>20</v>
      </c>
      <c r="L143">
        <v>50</v>
      </c>
      <c r="M143" t="s">
        <v>1380</v>
      </c>
      <c r="N143" t="s">
        <v>20</v>
      </c>
    </row>
    <row r="144" spans="1:14" x14ac:dyDescent="0.25">
      <c r="A144">
        <v>6</v>
      </c>
      <c r="B144" t="s">
        <v>18</v>
      </c>
      <c r="C144" t="str">
        <f>HYPERLINK("http://www.ncbi.nlm.nih.gov/protein/XP_015991809.1","XP_015991809.1")</f>
        <v>XP_015991809.1</v>
      </c>
      <c r="D144">
        <v>117130</v>
      </c>
      <c r="E144" t="str">
        <f>HYPERLINK("http://www.ncbi.nlm.nih.gov/Taxonomy/Browser/wwwtax.cgi?mode=Info&amp;id=9407&amp;lvl=3&amp;lin=f&amp;keep=1&amp;srchmode=1&amp;unlock","9407")</f>
        <v>9407</v>
      </c>
      <c r="F144" t="s">
        <v>18</v>
      </c>
      <c r="G144" t="str">
        <f>HYPERLINK("http://www.ncbi.nlm.nih.gov/Taxonomy/Browser/wwwtax.cgi?mode=Info&amp;id=9407&amp;lvl=3&amp;lin=f&amp;keep=1&amp;srchmode=1&amp;unlock","Rousettus aegyptiacus")</f>
        <v>Rousettus aegyptiacus</v>
      </c>
      <c r="H144" t="s">
        <v>170</v>
      </c>
      <c r="I144" t="str">
        <f>HYPERLINK("http://www.ncbi.nlm.nih.gov/protein/XP_015991809.1","fatty acid-binding protein, liver")</f>
        <v>fatty acid-binding protein, liver</v>
      </c>
      <c r="J144" t="s">
        <v>1381</v>
      </c>
      <c r="K144" t="s">
        <v>20</v>
      </c>
      <c r="L144">
        <v>50</v>
      </c>
      <c r="M144" t="s">
        <v>1384</v>
      </c>
      <c r="N144" t="s">
        <v>20</v>
      </c>
    </row>
    <row r="145" spans="1:14" x14ac:dyDescent="0.25">
      <c r="A145">
        <v>6</v>
      </c>
      <c r="B145" t="s">
        <v>18</v>
      </c>
      <c r="C145" t="str">
        <f>HYPERLINK("http://www.ncbi.nlm.nih.gov/protein/XP_028939293.1","XP_028939293.1")</f>
        <v>XP_028939293.1</v>
      </c>
      <c r="D145">
        <v>39363</v>
      </c>
      <c r="E145" t="str">
        <f>HYPERLINK("http://www.ncbi.nlm.nih.gov/Taxonomy/Browser/wwwtax.cgi?mode=Info&amp;id=9258&amp;lvl=3&amp;lin=f&amp;keep=1&amp;srchmode=1&amp;unlock","9258")</f>
        <v>9258</v>
      </c>
      <c r="F145" t="s">
        <v>18</v>
      </c>
      <c r="G145" t="str">
        <f>HYPERLINK("http://www.ncbi.nlm.nih.gov/Taxonomy/Browser/wwwtax.cgi?mode=Info&amp;id=9258&amp;lvl=3&amp;lin=f&amp;keep=1&amp;srchmode=1&amp;unlock","Ornithorhynchus anatinus")</f>
        <v>Ornithorhynchus anatinus</v>
      </c>
      <c r="H145" t="s">
        <v>172</v>
      </c>
      <c r="I145" t="str">
        <f>HYPERLINK("http://www.ncbi.nlm.nih.gov/protein/XP_028939293.1","fatty acid-binding protein, liver")</f>
        <v>fatty acid-binding protein, liver</v>
      </c>
      <c r="J145" t="s">
        <v>1381</v>
      </c>
      <c r="K145" t="s">
        <v>25</v>
      </c>
      <c r="L145">
        <v>50</v>
      </c>
      <c r="M145" t="s">
        <v>1382</v>
      </c>
      <c r="N145" t="s">
        <v>25</v>
      </c>
    </row>
    <row r="146" spans="1:14" x14ac:dyDescent="0.25">
      <c r="A146">
        <v>6</v>
      </c>
      <c r="B146" t="s">
        <v>18</v>
      </c>
      <c r="C146" t="str">
        <f>HYPERLINK("http://www.ncbi.nlm.nih.gov/protein/XP_024599684.1","XP_024599684.1")</f>
        <v>XP_024599684.1</v>
      </c>
      <c r="D146">
        <v>38184</v>
      </c>
      <c r="E146" t="str">
        <f>HYPERLINK("http://www.ncbi.nlm.nih.gov/Taxonomy/Browser/wwwtax.cgi?mode=Info&amp;id=1706337&amp;lvl=3&amp;lin=f&amp;keep=1&amp;srchmode=1&amp;unlock","1706337")</f>
        <v>1706337</v>
      </c>
      <c r="F146" t="s">
        <v>18</v>
      </c>
      <c r="G146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46" t="s">
        <v>175</v>
      </c>
      <c r="I146" t="str">
        <f>HYPERLINK("http://www.ncbi.nlm.nih.gov/protein/XP_024599684.1","fatty acid-binding protein, liver")</f>
        <v>fatty acid-binding protein, liver</v>
      </c>
      <c r="J146" t="s">
        <v>1381</v>
      </c>
      <c r="K146" t="s">
        <v>20</v>
      </c>
      <c r="L146">
        <v>50</v>
      </c>
      <c r="M146" t="s">
        <v>1380</v>
      </c>
      <c r="N146" t="s">
        <v>20</v>
      </c>
    </row>
    <row r="147" spans="1:14" x14ac:dyDescent="0.25">
      <c r="A147">
        <v>6</v>
      </c>
      <c r="B147" t="s">
        <v>18</v>
      </c>
      <c r="C147" t="str">
        <f>HYPERLINK("http://www.ncbi.nlm.nih.gov/protein/XP_032508857.1","XP_032508857.1")</f>
        <v>XP_032508857.1</v>
      </c>
      <c r="D147">
        <v>52375</v>
      </c>
      <c r="E147" t="str">
        <f>HYPERLINK("http://www.ncbi.nlm.nih.gov/Taxonomy/Browser/wwwtax.cgi?mode=Info&amp;id=42100&amp;lvl=3&amp;lin=f&amp;keep=1&amp;srchmode=1&amp;unlock","42100")</f>
        <v>42100</v>
      </c>
      <c r="F147" t="s">
        <v>18</v>
      </c>
      <c r="G147" t="str">
        <f>HYPERLINK("http://www.ncbi.nlm.nih.gov/Taxonomy/Browser/wwwtax.cgi?mode=Info&amp;id=42100&amp;lvl=3&amp;lin=f&amp;keep=1&amp;srchmode=1&amp;unlock","Phocoena sinus")</f>
        <v>Phocoena sinus</v>
      </c>
      <c r="H147" t="s">
        <v>177</v>
      </c>
      <c r="I147" t="str">
        <f>HYPERLINK("http://www.ncbi.nlm.nih.gov/protein/XP_032508857.1","fatty acid-binding protein, liver")</f>
        <v>fatty acid-binding protein, liver</v>
      </c>
      <c r="J147" t="s">
        <v>1381</v>
      </c>
      <c r="K147" t="s">
        <v>20</v>
      </c>
      <c r="L147">
        <v>50</v>
      </c>
      <c r="M147" t="s">
        <v>1380</v>
      </c>
      <c r="N147" t="s">
        <v>20</v>
      </c>
    </row>
    <row r="148" spans="1:14" x14ac:dyDescent="0.25">
      <c r="A148">
        <v>6</v>
      </c>
      <c r="B148" t="s">
        <v>18</v>
      </c>
      <c r="C148" t="str">
        <f>HYPERLINK("http://www.ncbi.nlm.nih.gov/protein/XP_027716980.1","XP_027716980.1")</f>
        <v>XP_027716980.1</v>
      </c>
      <c r="D148">
        <v>42741</v>
      </c>
      <c r="E148" t="str">
        <f>HYPERLINK("http://www.ncbi.nlm.nih.gov/Taxonomy/Browser/wwwtax.cgi?mode=Info&amp;id=29139&amp;lvl=3&amp;lin=f&amp;keep=1&amp;srchmode=1&amp;unlock","29139")</f>
        <v>29139</v>
      </c>
      <c r="F148" t="s">
        <v>18</v>
      </c>
      <c r="G148" t="str">
        <f>HYPERLINK("http://www.ncbi.nlm.nih.gov/Taxonomy/Browser/wwwtax.cgi?mode=Info&amp;id=29139&amp;lvl=3&amp;lin=f&amp;keep=1&amp;srchmode=1&amp;unlock","Vombatus ursinus")</f>
        <v>Vombatus ursinus</v>
      </c>
      <c r="H148" t="s">
        <v>181</v>
      </c>
      <c r="I148" t="str">
        <f>HYPERLINK("http://www.ncbi.nlm.nih.gov/protein/XP_027716980.1","fatty acid-binding protein, liver")</f>
        <v>fatty acid-binding protein, liver</v>
      </c>
      <c r="J148" t="s">
        <v>1381</v>
      </c>
      <c r="K148" t="s">
        <v>25</v>
      </c>
      <c r="L148">
        <v>50</v>
      </c>
      <c r="M148" t="s">
        <v>1382</v>
      </c>
      <c r="N148" t="s">
        <v>25</v>
      </c>
    </row>
    <row r="149" spans="1:14" x14ac:dyDescent="0.25">
      <c r="A149">
        <v>6</v>
      </c>
      <c r="B149" t="s">
        <v>18</v>
      </c>
      <c r="C149" t="str">
        <f>HYPERLINK("http://www.ncbi.nlm.nih.gov/protein/XP_002709683.1","XP_002709683.1")</f>
        <v>XP_002709683.1</v>
      </c>
      <c r="D149">
        <v>52342</v>
      </c>
      <c r="E149" t="str">
        <f>HYPERLINK("http://www.ncbi.nlm.nih.gov/Taxonomy/Browser/wwwtax.cgi?mode=Info&amp;id=9986&amp;lvl=3&amp;lin=f&amp;keep=1&amp;srchmode=1&amp;unlock","9986")</f>
        <v>9986</v>
      </c>
      <c r="F149" t="s">
        <v>18</v>
      </c>
      <c r="G149" t="str">
        <f>HYPERLINK("http://www.ncbi.nlm.nih.gov/Taxonomy/Browser/wwwtax.cgi?mode=Info&amp;id=9986&amp;lvl=3&amp;lin=f&amp;keep=1&amp;srchmode=1&amp;unlock","Oryctolagus cuniculus")</f>
        <v>Oryctolagus cuniculus</v>
      </c>
      <c r="H149" t="s">
        <v>183</v>
      </c>
      <c r="I149" t="str">
        <f>HYPERLINK("http://www.ncbi.nlm.nih.gov/protein/XP_002709683.1","PREDICTED: fatty acid-binding protein, liver")</f>
        <v>PREDICTED: fatty acid-binding protein, liver</v>
      </c>
      <c r="J149" t="s">
        <v>1381</v>
      </c>
      <c r="K149" t="s">
        <v>25</v>
      </c>
      <c r="L149">
        <v>50</v>
      </c>
      <c r="M149" t="s">
        <v>1382</v>
      </c>
      <c r="N149" t="s">
        <v>25</v>
      </c>
    </row>
    <row r="150" spans="1:14" x14ac:dyDescent="0.25">
      <c r="A150">
        <v>6</v>
      </c>
      <c r="B150" t="s">
        <v>18</v>
      </c>
      <c r="C150" t="str">
        <f>HYPERLINK("http://www.ncbi.nlm.nih.gov/protein/XP_036729393.1","XP_036729393.1")</f>
        <v>XP_036729393.1</v>
      </c>
      <c r="D150">
        <v>52383</v>
      </c>
      <c r="E150" t="str">
        <f>HYPERLINK("http://www.ncbi.nlm.nih.gov/Taxonomy/Browser/wwwtax.cgi?mode=Info&amp;id=9771&amp;lvl=3&amp;lin=f&amp;keep=1&amp;srchmode=1&amp;unlock","9771")</f>
        <v>9771</v>
      </c>
      <c r="F150" t="s">
        <v>18</v>
      </c>
      <c r="G150" t="str">
        <f>HYPERLINK("http://www.ncbi.nlm.nih.gov/Taxonomy/Browser/wwwtax.cgi?mode=Info&amp;id=9771&amp;lvl=3&amp;lin=f&amp;keep=1&amp;srchmode=1&amp;unlock","Balaenoptera musculus")</f>
        <v>Balaenoptera musculus</v>
      </c>
      <c r="H150" t="s">
        <v>190</v>
      </c>
      <c r="I150" t="str">
        <f>HYPERLINK("http://www.ncbi.nlm.nih.gov/protein/XP_036729393.1","fatty acid-binding protein, liver")</f>
        <v>fatty acid-binding protein, liver</v>
      </c>
      <c r="J150" t="s">
        <v>1381</v>
      </c>
      <c r="K150" t="s">
        <v>20</v>
      </c>
      <c r="L150">
        <v>50</v>
      </c>
      <c r="M150" t="s">
        <v>1380</v>
      </c>
      <c r="N150" t="s">
        <v>20</v>
      </c>
    </row>
    <row r="151" spans="1:14" x14ac:dyDescent="0.25">
      <c r="A151">
        <v>6</v>
      </c>
      <c r="B151" t="s">
        <v>18</v>
      </c>
      <c r="C151" t="str">
        <f>HYPERLINK("http://www.ncbi.nlm.nih.gov/protein/XP_004612100.1","XP_004612100.1")</f>
        <v>XP_004612100.1</v>
      </c>
      <c r="D151">
        <v>24236</v>
      </c>
      <c r="E151" t="str">
        <f>HYPERLINK("http://www.ncbi.nlm.nih.gov/Taxonomy/Browser/wwwtax.cgi?mode=Info&amp;id=42254&amp;lvl=3&amp;lin=f&amp;keep=1&amp;srchmode=1&amp;unlock","42254")</f>
        <v>42254</v>
      </c>
      <c r="F151" t="s">
        <v>18</v>
      </c>
      <c r="G151" t="str">
        <f>HYPERLINK("http://www.ncbi.nlm.nih.gov/Taxonomy/Browser/wwwtax.cgi?mode=Info&amp;id=42254&amp;lvl=3&amp;lin=f&amp;keep=1&amp;srchmode=1&amp;unlock","Sorex araneus")</f>
        <v>Sorex araneus</v>
      </c>
      <c r="H151" t="s">
        <v>195</v>
      </c>
      <c r="I151" t="str">
        <f>HYPERLINK("http://www.ncbi.nlm.nih.gov/protein/XP_004612100.1","PREDICTED: fatty acid-binding protein, liver")</f>
        <v>PREDICTED: fatty acid-binding protein, liver</v>
      </c>
      <c r="J151" t="s">
        <v>1381</v>
      </c>
      <c r="K151" t="s">
        <v>25</v>
      </c>
      <c r="L151">
        <v>50</v>
      </c>
      <c r="M151" t="s">
        <v>1379</v>
      </c>
      <c r="N151" t="s">
        <v>25</v>
      </c>
    </row>
    <row r="152" spans="1:14" x14ac:dyDescent="0.25">
      <c r="A152">
        <v>6</v>
      </c>
      <c r="B152" t="s">
        <v>18</v>
      </c>
      <c r="C152" t="str">
        <f>HYPERLINK("http://www.ncbi.nlm.nih.gov/protein/XP_007175370.1","XP_007175370.1")</f>
        <v>XP_007175370.1</v>
      </c>
      <c r="D152">
        <v>37624</v>
      </c>
      <c r="E152" t="str">
        <f>HYPERLINK("http://www.ncbi.nlm.nih.gov/Taxonomy/Browser/wwwtax.cgi?mode=Info&amp;id=310752&amp;lvl=3&amp;lin=f&amp;keep=1&amp;srchmode=1&amp;unlock","310752")</f>
        <v>310752</v>
      </c>
      <c r="F152" t="s">
        <v>18</v>
      </c>
      <c r="G152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52" t="s">
        <v>241</v>
      </c>
      <c r="I152" t="str">
        <f>HYPERLINK("http://www.ncbi.nlm.nih.gov/protein/XP_007175370.1","fatty acid-binding protein, liver")</f>
        <v>fatty acid-binding protein, liver</v>
      </c>
      <c r="J152" t="s">
        <v>1381</v>
      </c>
      <c r="K152" t="s">
        <v>20</v>
      </c>
      <c r="L152">
        <v>50</v>
      </c>
      <c r="M152" t="s">
        <v>1380</v>
      </c>
      <c r="N152" t="s">
        <v>20</v>
      </c>
    </row>
    <row r="153" spans="1:14" x14ac:dyDescent="0.25">
      <c r="A153">
        <v>6</v>
      </c>
      <c r="B153" t="s">
        <v>18</v>
      </c>
      <c r="C153" t="str">
        <f>HYPERLINK("http://www.ncbi.nlm.nih.gov/protein/XP_040850026.1","XP_040850026.1")</f>
        <v>XP_040850026.1</v>
      </c>
      <c r="D153">
        <v>42386</v>
      </c>
      <c r="E153" t="str">
        <f>HYPERLINK("http://www.ncbi.nlm.nih.gov/Taxonomy/Browser/wwwtax.cgi?mode=Info&amp;id=130825&amp;lvl=3&amp;lin=f&amp;keep=1&amp;srchmode=1&amp;unlock","130825")</f>
        <v>130825</v>
      </c>
      <c r="F153" t="s">
        <v>18</v>
      </c>
      <c r="G153" t="str">
        <f>HYPERLINK("http://www.ncbi.nlm.nih.gov/Taxonomy/Browser/wwwtax.cgi?mode=Info&amp;id=130825&amp;lvl=3&amp;lin=f&amp;keep=1&amp;srchmode=1&amp;unlock","Ochotona curzoniae")</f>
        <v>Ochotona curzoniae</v>
      </c>
      <c r="H153" t="s">
        <v>350</v>
      </c>
      <c r="I153" t="str">
        <f>HYPERLINK("http://www.ncbi.nlm.nih.gov/protein/XP_040850026.1","fatty acid-binding protein, liver")</f>
        <v>fatty acid-binding protein, liver</v>
      </c>
      <c r="J153" t="s">
        <v>1381</v>
      </c>
      <c r="K153" t="s">
        <v>25</v>
      </c>
      <c r="L153">
        <v>50</v>
      </c>
      <c r="M153" t="s">
        <v>1382</v>
      </c>
      <c r="N153" t="s">
        <v>25</v>
      </c>
    </row>
    <row r="154" spans="1:14" x14ac:dyDescent="0.25">
      <c r="A154">
        <v>6</v>
      </c>
      <c r="B154" t="s">
        <v>18</v>
      </c>
      <c r="C154" t="str">
        <f>HYPERLINK("http://www.ncbi.nlm.nih.gov/protein/XP_001497770.1","XP_001497770.1")</f>
        <v>XP_001497770.1</v>
      </c>
      <c r="D154">
        <v>67826</v>
      </c>
      <c r="E154" t="str">
        <f>HYPERLINK("http://www.ncbi.nlm.nih.gov/Taxonomy/Browser/wwwtax.cgi?mode=Info&amp;id=9796&amp;lvl=3&amp;lin=f&amp;keep=1&amp;srchmode=1&amp;unlock","9796")</f>
        <v>9796</v>
      </c>
      <c r="F154" t="s">
        <v>18</v>
      </c>
      <c r="G154" t="str">
        <f>HYPERLINK("http://www.ncbi.nlm.nih.gov/Taxonomy/Browser/wwwtax.cgi?mode=Info&amp;id=9796&amp;lvl=3&amp;lin=f&amp;keep=1&amp;srchmode=1&amp;unlock","Equus caballus")</f>
        <v>Equus caballus</v>
      </c>
      <c r="H154" t="s">
        <v>388</v>
      </c>
      <c r="I154" t="str">
        <f>HYPERLINK("http://www.ncbi.nlm.nih.gov/protein/XP_001497770.1","fatty acid-binding protein, liver")</f>
        <v>fatty acid-binding protein, liver</v>
      </c>
      <c r="J154" t="s">
        <v>1381</v>
      </c>
      <c r="K154" t="s">
        <v>25</v>
      </c>
      <c r="L154">
        <v>50</v>
      </c>
      <c r="M154" t="s">
        <v>1383</v>
      </c>
      <c r="N154" t="s">
        <v>25</v>
      </c>
    </row>
    <row r="155" spans="1:14" x14ac:dyDescent="0.25">
      <c r="A155">
        <v>6</v>
      </c>
      <c r="B155" t="s">
        <v>18</v>
      </c>
      <c r="C155" t="str">
        <f>HYPERLINK("http://www.ncbi.nlm.nih.gov/protein/XP_014708265.1","XP_014708265.1")</f>
        <v>XP_014708265.1</v>
      </c>
      <c r="D155">
        <v>42730</v>
      </c>
      <c r="E155" t="str">
        <f>HYPERLINK("http://www.ncbi.nlm.nih.gov/Taxonomy/Browser/wwwtax.cgi?mode=Info&amp;id=9793&amp;lvl=3&amp;lin=f&amp;keep=1&amp;srchmode=1&amp;unlock","9793")</f>
        <v>9793</v>
      </c>
      <c r="F155" t="s">
        <v>18</v>
      </c>
      <c r="G155" t="str">
        <f>HYPERLINK("http://www.ncbi.nlm.nih.gov/Taxonomy/Browser/wwwtax.cgi?mode=Info&amp;id=9793&amp;lvl=3&amp;lin=f&amp;keep=1&amp;srchmode=1&amp;unlock","Equus asinus")</f>
        <v>Equus asinus</v>
      </c>
      <c r="H155" t="s">
        <v>381</v>
      </c>
      <c r="I155" t="str">
        <f>HYPERLINK("http://www.ncbi.nlm.nih.gov/protein/XP_014708265.1","PREDICTED: fatty acid-binding protein, liver")</f>
        <v>PREDICTED: fatty acid-binding protein, liver</v>
      </c>
      <c r="J155" t="s">
        <v>1381</v>
      </c>
      <c r="K155" t="s">
        <v>25</v>
      </c>
      <c r="L155">
        <v>50</v>
      </c>
      <c r="M155" t="s">
        <v>1383</v>
      </c>
      <c r="N155" t="s">
        <v>25</v>
      </c>
    </row>
    <row r="156" spans="1:14" x14ac:dyDescent="0.25">
      <c r="A156">
        <v>6</v>
      </c>
      <c r="B156" t="s">
        <v>18</v>
      </c>
      <c r="C156" t="str">
        <f>HYPERLINK("http://www.ncbi.nlm.nih.gov/protein/XP_008516874.1","XP_008516874.1")</f>
        <v>XP_008516874.1</v>
      </c>
      <c r="D156">
        <v>38543</v>
      </c>
      <c r="E156" t="str">
        <f>HYPERLINK("http://www.ncbi.nlm.nih.gov/Taxonomy/Browser/wwwtax.cgi?mode=Info&amp;id=9798&amp;lvl=3&amp;lin=f&amp;keep=1&amp;srchmode=1&amp;unlock","9798")</f>
        <v>9798</v>
      </c>
      <c r="F156" t="s">
        <v>18</v>
      </c>
      <c r="G156" t="str">
        <f>HYPERLINK("http://www.ncbi.nlm.nih.gov/Taxonomy/Browser/wwwtax.cgi?mode=Info&amp;id=9798&amp;lvl=3&amp;lin=f&amp;keep=1&amp;srchmode=1&amp;unlock","Equus przewalskii")</f>
        <v>Equus przewalskii</v>
      </c>
      <c r="H156" t="s">
        <v>382</v>
      </c>
      <c r="I156" t="str">
        <f>HYPERLINK("http://www.ncbi.nlm.nih.gov/protein/XP_008516874.1","PREDICTED: fatty acid-binding protein, liver")</f>
        <v>PREDICTED: fatty acid-binding protein, liver</v>
      </c>
      <c r="J156" t="s">
        <v>1381</v>
      </c>
      <c r="K156" t="s">
        <v>25</v>
      </c>
      <c r="L156">
        <v>50</v>
      </c>
      <c r="M156" t="s">
        <v>1383</v>
      </c>
      <c r="N156" t="s">
        <v>25</v>
      </c>
    </row>
    <row r="157" spans="1:14" x14ac:dyDescent="0.25">
      <c r="A157">
        <v>6</v>
      </c>
      <c r="B157" t="s">
        <v>18</v>
      </c>
      <c r="C157" t="str">
        <f>HYPERLINK("http://www.ncbi.nlm.nih.gov/protein/XP_020041276.1","XP_020041276.1")</f>
        <v>XP_020041276.1</v>
      </c>
      <c r="D157">
        <v>37573</v>
      </c>
      <c r="E157" t="str">
        <f>HYPERLINK("http://www.ncbi.nlm.nih.gov/Taxonomy/Browser/wwwtax.cgi?mode=Info&amp;id=51338&amp;lvl=3&amp;lin=f&amp;keep=1&amp;srchmode=1&amp;unlock","51338")</f>
        <v>51338</v>
      </c>
      <c r="F157" t="s">
        <v>18</v>
      </c>
      <c r="G157" t="str">
        <f>HYPERLINK("http://www.ncbi.nlm.nih.gov/Taxonomy/Browser/wwwtax.cgi?mode=Info&amp;id=51338&amp;lvl=3&amp;lin=f&amp;keep=1&amp;srchmode=1&amp;unlock","Castor canadensis")</f>
        <v>Castor canadensis</v>
      </c>
      <c r="H157" t="s">
        <v>416</v>
      </c>
      <c r="I157" t="str">
        <f>HYPERLINK("http://www.ncbi.nlm.nih.gov/protein/XP_020041276.1","fatty acid-binding protein, liver")</f>
        <v>fatty acid-binding protein, liver</v>
      </c>
      <c r="J157" t="s">
        <v>1381</v>
      </c>
      <c r="K157" t="s">
        <v>25</v>
      </c>
      <c r="L157">
        <v>50</v>
      </c>
      <c r="M157" t="s">
        <v>1382</v>
      </c>
      <c r="N157" t="s">
        <v>25</v>
      </c>
    </row>
    <row r="158" spans="1:14" x14ac:dyDescent="0.25">
      <c r="A158">
        <v>6</v>
      </c>
      <c r="B158" t="s">
        <v>18</v>
      </c>
      <c r="C158" t="str">
        <f>HYPERLINK("http://www.ncbi.nlm.nih.gov/protein/XP_004590793.1","XP_004590793.1")</f>
        <v>XP_004590793.1</v>
      </c>
      <c r="D158">
        <v>30035</v>
      </c>
      <c r="E158" t="str">
        <f>HYPERLINK("http://www.ncbi.nlm.nih.gov/Taxonomy/Browser/wwwtax.cgi?mode=Info&amp;id=9978&amp;lvl=3&amp;lin=f&amp;keep=1&amp;srchmode=1&amp;unlock","9978")</f>
        <v>9978</v>
      </c>
      <c r="F158" t="s">
        <v>18</v>
      </c>
      <c r="G158" t="str">
        <f>HYPERLINK("http://www.ncbi.nlm.nih.gov/Taxonomy/Browser/wwwtax.cgi?mode=Info&amp;id=9978&amp;lvl=3&amp;lin=f&amp;keep=1&amp;srchmode=1&amp;unlock","Ochotona princeps")</f>
        <v>Ochotona princeps</v>
      </c>
      <c r="H158" t="s">
        <v>417</v>
      </c>
      <c r="I158" t="str">
        <f>HYPERLINK("http://www.ncbi.nlm.nih.gov/protein/XP_004590793.1","fatty acid-binding protein, liver")</f>
        <v>fatty acid-binding protein, liver</v>
      </c>
      <c r="J158" t="s">
        <v>1381</v>
      </c>
      <c r="K158" t="s">
        <v>25</v>
      </c>
      <c r="L158">
        <v>50</v>
      </c>
      <c r="M158" t="s">
        <v>1382</v>
      </c>
      <c r="N158" t="s">
        <v>25</v>
      </c>
    </row>
    <row r="159" spans="1:14" x14ac:dyDescent="0.25">
      <c r="A159">
        <v>6</v>
      </c>
      <c r="B159" t="s">
        <v>18</v>
      </c>
      <c r="C159" t="str">
        <f>HYPERLINK("http://www.ncbi.nlm.nih.gov/protein/XP_020836189.1","XP_020836189.1")</f>
        <v>XP_020836189.1</v>
      </c>
      <c r="D159">
        <v>47290</v>
      </c>
      <c r="E159" t="str">
        <f>HYPERLINK("http://www.ncbi.nlm.nih.gov/Taxonomy/Browser/wwwtax.cgi?mode=Info&amp;id=38626&amp;lvl=3&amp;lin=f&amp;keep=1&amp;srchmode=1&amp;unlock","38626")</f>
        <v>38626</v>
      </c>
      <c r="F159" t="s">
        <v>18</v>
      </c>
      <c r="G159" t="str">
        <f>HYPERLINK("http://www.ncbi.nlm.nih.gov/Taxonomy/Browser/wwwtax.cgi?mode=Info&amp;id=38626&amp;lvl=3&amp;lin=f&amp;keep=1&amp;srchmode=1&amp;unlock","Phascolarctos cinereus")</f>
        <v>Phascolarctos cinereus</v>
      </c>
      <c r="H159" t="s">
        <v>472</v>
      </c>
      <c r="I159" t="str">
        <f>HYPERLINK("http://www.ncbi.nlm.nih.gov/protein/XP_020836189.1","fatty acid-binding protein, liver-like")</f>
        <v>fatty acid-binding protein, liver-like</v>
      </c>
      <c r="J159" t="s">
        <v>1381</v>
      </c>
      <c r="K159" t="s">
        <v>25</v>
      </c>
      <c r="L159">
        <v>50</v>
      </c>
      <c r="M159" t="s">
        <v>1383</v>
      </c>
      <c r="N159" t="s">
        <v>25</v>
      </c>
    </row>
    <row r="160" spans="1:14" x14ac:dyDescent="0.25">
      <c r="A160">
        <v>6</v>
      </c>
      <c r="B160" t="s">
        <v>18</v>
      </c>
      <c r="C160" t="str">
        <f>HYPERLINK("http://www.ncbi.nlm.nih.gov/protein/XP_014648229.1","XP_014648229.1")</f>
        <v>XP_014648229.1</v>
      </c>
      <c r="D160">
        <v>33636</v>
      </c>
      <c r="E160" t="str">
        <f>HYPERLINK("http://www.ncbi.nlm.nih.gov/Taxonomy/Browser/wwwtax.cgi?mode=Info&amp;id=73337&amp;lvl=3&amp;lin=f&amp;keep=1&amp;srchmode=1&amp;unlock","73337")</f>
        <v>73337</v>
      </c>
      <c r="F160" t="s">
        <v>18</v>
      </c>
      <c r="G160" t="str">
        <f>HYPERLINK("http://www.ncbi.nlm.nih.gov/Taxonomy/Browser/wwwtax.cgi?mode=Info&amp;id=73337&amp;lvl=3&amp;lin=f&amp;keep=1&amp;srchmode=1&amp;unlock","Ceratotherium simum simum")</f>
        <v>Ceratotherium simum simum</v>
      </c>
      <c r="H160" t="s">
        <v>560</v>
      </c>
      <c r="I160" t="str">
        <f>HYPERLINK("http://www.ncbi.nlm.nih.gov/protein/XP_014648229.1","PREDICTED: fatty acid-binding protein, liver")</f>
        <v>PREDICTED: fatty acid-binding protein, liver</v>
      </c>
      <c r="J160" t="s">
        <v>1381</v>
      </c>
      <c r="K160" t="s">
        <v>20</v>
      </c>
      <c r="L160">
        <v>50</v>
      </c>
      <c r="M160" t="s">
        <v>1380</v>
      </c>
      <c r="N160" t="s">
        <v>20</v>
      </c>
    </row>
    <row r="161" spans="1:14" x14ac:dyDescent="0.25">
      <c r="A161">
        <v>6</v>
      </c>
      <c r="B161" t="s">
        <v>18</v>
      </c>
      <c r="C161" t="str">
        <f>HYPERLINK("http://www.ncbi.nlm.nih.gov/protein/XP_011943946.1","XP_011943946.1")</f>
        <v>XP_011943946.1</v>
      </c>
      <c r="D161">
        <v>66421</v>
      </c>
      <c r="E161" t="str">
        <f>HYPERLINK("http://www.ncbi.nlm.nih.gov/Taxonomy/Browser/wwwtax.cgi?mode=Info&amp;id=9531&amp;lvl=3&amp;lin=f&amp;keep=1&amp;srchmode=1&amp;unlock","9531")</f>
        <v>9531</v>
      </c>
      <c r="F161" t="s">
        <v>18</v>
      </c>
      <c r="G161" t="str">
        <f>HYPERLINK("http://www.ncbi.nlm.nih.gov/Taxonomy/Browser/wwwtax.cgi?mode=Info&amp;id=9531&amp;lvl=3&amp;lin=f&amp;keep=1&amp;srchmode=1&amp;unlock","Cercocebus atys")</f>
        <v>Cercocebus atys</v>
      </c>
      <c r="H161" t="s">
        <v>599</v>
      </c>
      <c r="I161" t="str">
        <f>HYPERLINK("http://www.ncbi.nlm.nih.gov/protein/XP_011943946.1","PREDICTED: fatty acid-binding protein, liver")</f>
        <v>PREDICTED: fatty acid-binding protein, liver</v>
      </c>
      <c r="J161" t="s">
        <v>1381</v>
      </c>
      <c r="K161" t="s">
        <v>20</v>
      </c>
      <c r="L161">
        <v>50</v>
      </c>
      <c r="M161" t="s">
        <v>1380</v>
      </c>
      <c r="N161" t="s">
        <v>20</v>
      </c>
    </row>
    <row r="162" spans="1:14" x14ac:dyDescent="0.25">
      <c r="A162">
        <v>6</v>
      </c>
      <c r="B162" t="s">
        <v>18</v>
      </c>
      <c r="C162" t="str">
        <f>HYPERLINK("http://www.ncbi.nlm.nih.gov/protein/XP_007477779.1","XP_007477779.1")</f>
        <v>XP_007477779.1</v>
      </c>
      <c r="D162">
        <v>51257</v>
      </c>
      <c r="E162" t="str">
        <f>HYPERLINK("http://www.ncbi.nlm.nih.gov/Taxonomy/Browser/wwwtax.cgi?mode=Info&amp;id=13616&amp;lvl=3&amp;lin=f&amp;keep=1&amp;srchmode=1&amp;unlock","13616")</f>
        <v>13616</v>
      </c>
      <c r="F162" t="s">
        <v>18</v>
      </c>
      <c r="G162" t="str">
        <f>HYPERLINK("http://www.ncbi.nlm.nih.gov/Taxonomy/Browser/wwwtax.cgi?mode=Info&amp;id=13616&amp;lvl=3&amp;lin=f&amp;keep=1&amp;srchmode=1&amp;unlock","Monodelphis domestica")</f>
        <v>Monodelphis domestica</v>
      </c>
      <c r="H162" t="s">
        <v>638</v>
      </c>
      <c r="I162" t="str">
        <f>HYPERLINK("http://www.ncbi.nlm.nih.gov/protein/XP_007477779.1","PREDICTED: fatty acid-binding protein, liver isoform X3")</f>
        <v>PREDICTED: fatty acid-binding protein, liver isoform X3</v>
      </c>
      <c r="J162" t="s">
        <v>1381</v>
      </c>
      <c r="K162" t="s">
        <v>25</v>
      </c>
      <c r="L162">
        <v>50</v>
      </c>
      <c r="M162" t="s">
        <v>1382</v>
      </c>
      <c r="N162" t="s">
        <v>25</v>
      </c>
    </row>
    <row r="163" spans="1:14" x14ac:dyDescent="0.25">
      <c r="A163">
        <v>6</v>
      </c>
      <c r="B163" t="s">
        <v>18</v>
      </c>
      <c r="C163" t="str">
        <f>HYPERLINK("http://www.ncbi.nlm.nih.gov/protein/XP_008591933.1","XP_008591933.1")</f>
        <v>XP_008591933.1</v>
      </c>
      <c r="D163">
        <v>32194</v>
      </c>
      <c r="E163" t="str">
        <f>HYPERLINK("http://www.ncbi.nlm.nih.gov/Taxonomy/Browser/wwwtax.cgi?mode=Info&amp;id=482537&amp;lvl=3&amp;lin=f&amp;keep=1&amp;srchmode=1&amp;unlock","482537")</f>
        <v>482537</v>
      </c>
      <c r="F163" t="s">
        <v>18</v>
      </c>
      <c r="G163" t="str">
        <f>HYPERLINK("http://www.ncbi.nlm.nih.gov/Taxonomy/Browser/wwwtax.cgi?mode=Info&amp;id=482537&amp;lvl=3&amp;lin=f&amp;keep=1&amp;srchmode=1&amp;unlock","Galeopterus variegatus")</f>
        <v>Galeopterus variegatus</v>
      </c>
      <c r="H163" t="s">
        <v>648</v>
      </c>
      <c r="I163" t="str">
        <f>HYPERLINK("http://www.ncbi.nlm.nih.gov/protein/XP_008591933.1","PREDICTED: fatty acid-binding protein, liver")</f>
        <v>PREDICTED: fatty acid-binding protein, liver</v>
      </c>
      <c r="J163" t="s">
        <v>1381</v>
      </c>
      <c r="K163" t="s">
        <v>25</v>
      </c>
      <c r="L163" t="s">
        <v>1317</v>
      </c>
      <c r="M163" t="s">
        <v>1317</v>
      </c>
      <c r="N163" t="s">
        <v>25</v>
      </c>
    </row>
    <row r="164" spans="1:14" x14ac:dyDescent="0.25">
      <c r="A164">
        <v>6</v>
      </c>
      <c r="B164" t="s">
        <v>134</v>
      </c>
      <c r="C164" t="str">
        <f>HYPERLINK("http://www.ncbi.nlm.nih.gov/protein/XP_030048428.1","XP_030048428.1")</f>
        <v>XP_030048428.1</v>
      </c>
      <c r="D164">
        <v>37123</v>
      </c>
      <c r="E164" t="str">
        <f>HYPERLINK("http://www.ncbi.nlm.nih.gov/Taxonomy/Browser/wwwtax.cgi?mode=Info&amp;id=1415580&amp;lvl=3&amp;lin=f&amp;keep=1&amp;srchmode=1&amp;unlock","1415580")</f>
        <v>1415580</v>
      </c>
      <c r="F164" t="s">
        <v>134</v>
      </c>
      <c r="G164" t="str">
        <f>HYPERLINK("http://www.ncbi.nlm.nih.gov/Taxonomy/Browser/wwwtax.cgi?mode=Info&amp;id=1415580&amp;lvl=3&amp;lin=f&amp;keep=1&amp;srchmode=1&amp;unlock","Microcaecilia unicolor")</f>
        <v>Microcaecilia unicolor</v>
      </c>
      <c r="H164" t="s">
        <v>338</v>
      </c>
      <c r="I164" t="str">
        <f>HYPERLINK("http://www.ncbi.nlm.nih.gov/protein/XP_030048428.1","fatty acid-binding protein 1, liver-like")</f>
        <v>fatty acid-binding protein 1, liver-like</v>
      </c>
      <c r="J164" t="s">
        <v>1385</v>
      </c>
      <c r="K164" t="s">
        <v>25</v>
      </c>
      <c r="L164">
        <v>50</v>
      </c>
      <c r="M164" t="s">
        <v>1379</v>
      </c>
      <c r="N164" t="s">
        <v>25</v>
      </c>
    </row>
    <row r="165" spans="1:14" x14ac:dyDescent="0.25">
      <c r="A165">
        <v>6</v>
      </c>
      <c r="B165" t="s">
        <v>134</v>
      </c>
      <c r="C165" t="str">
        <f>HYPERLINK("http://www.ncbi.nlm.nih.gov/protein/P81399.1","P81399.1")</f>
        <v>P81399.1</v>
      </c>
      <c r="D165">
        <v>604</v>
      </c>
      <c r="E165" t="str">
        <f>HYPERLINK("http://www.ncbi.nlm.nih.gov/Taxonomy/Browser/wwwtax.cgi?mode=Info&amp;id=8296&amp;lvl=3&amp;lin=f&amp;keep=1&amp;srchmode=1&amp;unlock","8296")</f>
        <v>8296</v>
      </c>
      <c r="F165" t="s">
        <v>134</v>
      </c>
      <c r="G165" t="str">
        <f>HYPERLINK("http://www.ncbi.nlm.nih.gov/Taxonomy/Browser/wwwtax.cgi?mode=Info&amp;id=8296&amp;lvl=3&amp;lin=f&amp;keep=1&amp;srchmode=1&amp;unlock","Ambystoma mexicanum")</f>
        <v>Ambystoma mexicanum</v>
      </c>
      <c r="H165" t="s">
        <v>391</v>
      </c>
      <c r="I165" t="str">
        <f>HYPERLINK("http://www.ncbi.nlm.nih.gov/protein/P81399.1","RecName: Full=Fatty acid-binding protein 1, liver; AltName: Full=Liver-type fatty acid-binding protein; Short=L-FABP")</f>
        <v>RecName: Full=Fatty acid-binding protein 1, liver; AltName: Full=Liver-type fatty acid-binding protein; Short=L-FABP</v>
      </c>
      <c r="J165" t="s">
        <v>1385</v>
      </c>
      <c r="K165" t="s">
        <v>25</v>
      </c>
      <c r="L165">
        <v>49</v>
      </c>
      <c r="M165" t="s">
        <v>1379</v>
      </c>
      <c r="N165" t="s">
        <v>25</v>
      </c>
    </row>
    <row r="166" spans="1:14" x14ac:dyDescent="0.25">
      <c r="A166">
        <v>6</v>
      </c>
      <c r="B166" t="s">
        <v>134</v>
      </c>
      <c r="C166" t="str">
        <f>HYPERLINK("http://www.ncbi.nlm.nih.gov/protein/XP_029448933.1","XP_029448933.1")</f>
        <v>XP_029448933.1</v>
      </c>
      <c r="D166">
        <v>49320</v>
      </c>
      <c r="E166" t="str">
        <f>HYPERLINK("http://www.ncbi.nlm.nih.gov/Taxonomy/Browser/wwwtax.cgi?mode=Info&amp;id=194408&amp;lvl=3&amp;lin=f&amp;keep=1&amp;srchmode=1&amp;unlock","194408")</f>
        <v>194408</v>
      </c>
      <c r="F166" t="s">
        <v>134</v>
      </c>
      <c r="G166" t="str">
        <f>HYPERLINK("http://www.ncbi.nlm.nih.gov/Taxonomy/Browser/wwwtax.cgi?mode=Info&amp;id=194408&amp;lvl=3&amp;lin=f&amp;keep=1&amp;srchmode=1&amp;unlock","Rhinatrema bivittatum")</f>
        <v>Rhinatrema bivittatum</v>
      </c>
      <c r="H166" t="s">
        <v>393</v>
      </c>
      <c r="I166" t="str">
        <f>HYPERLINK("http://www.ncbi.nlm.nih.gov/protein/XP_029448933.1","fatty acid-binding protein 1, liver-like")</f>
        <v>fatty acid-binding protein 1, liver-like</v>
      </c>
      <c r="J166" t="s">
        <v>1385</v>
      </c>
      <c r="K166" t="s">
        <v>25</v>
      </c>
      <c r="L166">
        <v>50</v>
      </c>
      <c r="M166" t="s">
        <v>1379</v>
      </c>
      <c r="N166" t="s">
        <v>25</v>
      </c>
    </row>
    <row r="167" spans="1:14" x14ac:dyDescent="0.25">
      <c r="A167">
        <v>6</v>
      </c>
      <c r="B167" t="s">
        <v>134</v>
      </c>
      <c r="C167" t="str">
        <f>HYPERLINK("http://www.ncbi.nlm.nih.gov/protein/NP_001116883.1","NP_001116883.1")</f>
        <v>NP_001116883.1</v>
      </c>
      <c r="D167">
        <v>122938</v>
      </c>
      <c r="E167" t="str">
        <f>HYPERLINK("http://www.ncbi.nlm.nih.gov/Taxonomy/Browser/wwwtax.cgi?mode=Info&amp;id=8364&amp;lvl=3&amp;lin=f&amp;keep=1&amp;srchmode=1&amp;unlock","8364")</f>
        <v>8364</v>
      </c>
      <c r="F167" t="s">
        <v>134</v>
      </c>
      <c r="G167" t="str">
        <f>HYPERLINK("http://www.ncbi.nlm.nih.gov/Taxonomy/Browser/wwwtax.cgi?mode=Info&amp;id=8364&amp;lvl=3&amp;lin=f&amp;keep=1&amp;srchmode=1&amp;unlock","Xenopus tropicalis")</f>
        <v>Xenopus tropicalis</v>
      </c>
      <c r="H167" t="s">
        <v>468</v>
      </c>
      <c r="I167" t="str">
        <f>HYPERLINK("http://www.ncbi.nlm.nih.gov/protein/NP_001116883.1","fatty acid-binding protein, liver")</f>
        <v>fatty acid-binding protein, liver</v>
      </c>
      <c r="J167" t="s">
        <v>1385</v>
      </c>
      <c r="K167" t="s">
        <v>25</v>
      </c>
      <c r="L167">
        <v>50</v>
      </c>
      <c r="M167" t="s">
        <v>1379</v>
      </c>
      <c r="N167" t="s">
        <v>25</v>
      </c>
    </row>
    <row r="168" spans="1:14" x14ac:dyDescent="0.25">
      <c r="A168">
        <v>6</v>
      </c>
      <c r="B168" t="s">
        <v>134</v>
      </c>
      <c r="C168" t="str">
        <f>HYPERLINK("http://www.ncbi.nlm.nih.gov/protein/XP_018081038.1","XP_018081038.1")</f>
        <v>XP_018081038.1</v>
      </c>
      <c r="D168">
        <v>129058</v>
      </c>
      <c r="E168" t="str">
        <f>HYPERLINK("http://www.ncbi.nlm.nih.gov/Taxonomy/Browser/wwwtax.cgi?mode=Info&amp;id=8355&amp;lvl=3&amp;lin=f&amp;keep=1&amp;srchmode=1&amp;unlock","8355")</f>
        <v>8355</v>
      </c>
      <c r="F168" t="s">
        <v>134</v>
      </c>
      <c r="G168" t="str">
        <f>HYPERLINK("http://www.ncbi.nlm.nih.gov/Taxonomy/Browser/wwwtax.cgi?mode=Info&amp;id=8355&amp;lvl=3&amp;lin=f&amp;keep=1&amp;srchmode=1&amp;unlock","Xenopus laevis")</f>
        <v>Xenopus laevis</v>
      </c>
      <c r="H168" t="s">
        <v>473</v>
      </c>
      <c r="I168" t="str">
        <f>HYPERLINK("http://www.ncbi.nlm.nih.gov/protein/XP_018081038.1","PREDICTED: fatty acid-binding protein 1, liver-like")</f>
        <v>PREDICTED: fatty acid-binding protein 1, liver-like</v>
      </c>
      <c r="J168" t="s">
        <v>1385</v>
      </c>
      <c r="K168" t="s">
        <v>25</v>
      </c>
      <c r="L168">
        <v>50</v>
      </c>
      <c r="M168" t="s">
        <v>1379</v>
      </c>
      <c r="N168" t="s">
        <v>25</v>
      </c>
    </row>
    <row r="169" spans="1:14" x14ac:dyDescent="0.25">
      <c r="A169">
        <v>6</v>
      </c>
      <c r="B169" t="s">
        <v>134</v>
      </c>
      <c r="C169" t="str">
        <f>HYPERLINK("http://www.ncbi.nlm.nih.gov/protein/ACO51701.1","ACO51701.1")</f>
        <v>ACO51701.1</v>
      </c>
      <c r="D169">
        <v>30167</v>
      </c>
      <c r="E169" t="str">
        <f>HYPERLINK("http://www.ncbi.nlm.nih.gov/Taxonomy/Browser/wwwtax.cgi?mode=Info&amp;id=8400&amp;lvl=3&amp;lin=f&amp;keep=1&amp;srchmode=1&amp;unlock","8400")</f>
        <v>8400</v>
      </c>
      <c r="F169" t="s">
        <v>134</v>
      </c>
      <c r="G169" t="str">
        <f>HYPERLINK("http://www.ncbi.nlm.nih.gov/Taxonomy/Browser/wwwtax.cgi?mode=Info&amp;id=8400&amp;lvl=3&amp;lin=f&amp;keep=1&amp;srchmode=1&amp;unlock","Lithobates catesbeianus")</f>
        <v>Lithobates catesbeianus</v>
      </c>
      <c r="H169" t="s">
        <v>578</v>
      </c>
      <c r="I169" t="str">
        <f>HYPERLINK("http://www.ncbi.nlm.nih.gov/protein/ACO51701.1","Fatty acid-binding protein, liver")</f>
        <v>Fatty acid-binding protein, liver</v>
      </c>
      <c r="J169" t="s">
        <v>1385</v>
      </c>
      <c r="K169" t="s">
        <v>25</v>
      </c>
      <c r="L169">
        <v>50</v>
      </c>
      <c r="M169" t="s">
        <v>1383</v>
      </c>
      <c r="N169" t="s">
        <v>25</v>
      </c>
    </row>
    <row r="170" spans="1:14" x14ac:dyDescent="0.25">
      <c r="A170">
        <v>6</v>
      </c>
      <c r="B170" t="s">
        <v>134</v>
      </c>
      <c r="C170" t="str">
        <f>HYPERLINK("http://www.ncbi.nlm.nih.gov/protein/XP_040275212.1","XP_040275212.1")</f>
        <v>XP_040275212.1</v>
      </c>
      <c r="D170">
        <v>38439</v>
      </c>
      <c r="E170" t="str">
        <f>HYPERLINK("http://www.ncbi.nlm.nih.gov/Taxonomy/Browser/wwwtax.cgi?mode=Info&amp;id=8384&amp;lvl=3&amp;lin=f&amp;keep=1&amp;srchmode=1&amp;unlock","8384")</f>
        <v>8384</v>
      </c>
      <c r="F170" t="s">
        <v>134</v>
      </c>
      <c r="G170" t="str">
        <f>HYPERLINK("http://www.ncbi.nlm.nih.gov/Taxonomy/Browser/wwwtax.cgi?mode=Info&amp;id=8384&amp;lvl=3&amp;lin=f&amp;keep=1&amp;srchmode=1&amp;unlock","Bufo bufo")</f>
        <v>Bufo bufo</v>
      </c>
      <c r="H170" t="s">
        <v>579</v>
      </c>
      <c r="I170" t="str">
        <f>HYPERLINK("http://www.ncbi.nlm.nih.gov/protein/XP_040275212.1","fatty acid-binding protein 1, liver-like")</f>
        <v>fatty acid-binding protein 1, liver-like</v>
      </c>
      <c r="J170" t="s">
        <v>1385</v>
      </c>
      <c r="K170" t="s">
        <v>25</v>
      </c>
      <c r="L170">
        <v>50</v>
      </c>
      <c r="M170" t="s">
        <v>1379</v>
      </c>
      <c r="N170" t="s">
        <v>25</v>
      </c>
    </row>
    <row r="171" spans="1:14" x14ac:dyDescent="0.25">
      <c r="A171">
        <v>6</v>
      </c>
      <c r="B171" t="s">
        <v>134</v>
      </c>
      <c r="C171" t="str">
        <f>HYPERLINK("http://www.ncbi.nlm.nih.gov/protein/XP_040191396.1","XP_040191396.1")</f>
        <v>XP_040191396.1</v>
      </c>
      <c r="D171">
        <v>42547</v>
      </c>
      <c r="E171" t="str">
        <f>HYPERLINK("http://www.ncbi.nlm.nih.gov/Taxonomy/Browser/wwwtax.cgi?mode=Info&amp;id=8407&amp;lvl=3&amp;lin=f&amp;keep=1&amp;srchmode=1&amp;unlock","8407")</f>
        <v>8407</v>
      </c>
      <c r="F171" t="s">
        <v>134</v>
      </c>
      <c r="G171" t="str">
        <f>HYPERLINK("http://www.ncbi.nlm.nih.gov/Taxonomy/Browser/wwwtax.cgi?mode=Info&amp;id=8407&amp;lvl=3&amp;lin=f&amp;keep=1&amp;srchmode=1&amp;unlock","Rana temporaria")</f>
        <v>Rana temporaria</v>
      </c>
      <c r="H171" t="s">
        <v>607</v>
      </c>
      <c r="I171" t="str">
        <f>HYPERLINK("http://www.ncbi.nlm.nih.gov/protein/XP_040191396.1","fatty acid-binding protein 1, liver-like")</f>
        <v>fatty acid-binding protein 1, liver-like</v>
      </c>
      <c r="J171" t="s">
        <v>1385</v>
      </c>
      <c r="K171" t="s">
        <v>25</v>
      </c>
      <c r="L171">
        <v>50</v>
      </c>
      <c r="M171" t="s">
        <v>1383</v>
      </c>
      <c r="N171" t="s">
        <v>25</v>
      </c>
    </row>
    <row r="172" spans="1:14" x14ac:dyDescent="0.25">
      <c r="A172">
        <v>6</v>
      </c>
      <c r="B172" t="s">
        <v>134</v>
      </c>
      <c r="C172" t="str">
        <f>HYPERLINK("http://www.ncbi.nlm.nih.gov/protein/XP_018423945.1","XP_018423945.1")</f>
        <v>XP_018423945.1</v>
      </c>
      <c r="D172">
        <v>24944</v>
      </c>
      <c r="E172" t="str">
        <f>HYPERLINK("http://www.ncbi.nlm.nih.gov/Taxonomy/Browser/wwwtax.cgi?mode=Info&amp;id=125878&amp;lvl=3&amp;lin=f&amp;keep=1&amp;srchmode=1&amp;unlock","125878")</f>
        <v>125878</v>
      </c>
      <c r="F172" t="s">
        <v>134</v>
      </c>
      <c r="G172" t="str">
        <f>HYPERLINK("http://www.ncbi.nlm.nih.gov/Taxonomy/Browser/wwwtax.cgi?mode=Info&amp;id=125878&amp;lvl=3&amp;lin=f&amp;keep=1&amp;srchmode=1&amp;unlock","Nanorana parkeri")</f>
        <v>Nanorana parkeri</v>
      </c>
      <c r="H172" t="s">
        <v>642</v>
      </c>
      <c r="I172" t="str">
        <f>HYPERLINK("http://www.ncbi.nlm.nih.gov/protein/XP_018423945.1","PREDICTED: fatty acid-binding protein, liver-like")</f>
        <v>PREDICTED: fatty acid-binding protein, liver-like</v>
      </c>
      <c r="J172" t="s">
        <v>1385</v>
      </c>
      <c r="K172" t="s">
        <v>25</v>
      </c>
      <c r="L172">
        <v>50</v>
      </c>
      <c r="M172" t="s">
        <v>1383</v>
      </c>
      <c r="N172" t="s">
        <v>25</v>
      </c>
    </row>
    <row r="173" spans="1:14" x14ac:dyDescent="0.25">
      <c r="A173">
        <v>6</v>
      </c>
      <c r="B173" t="s">
        <v>134</v>
      </c>
      <c r="C173" t="str">
        <f>HYPERLINK("http://www.ncbi.nlm.nih.gov/protein/P83409.2","P83409.2")</f>
        <v>P83409.2</v>
      </c>
      <c r="D173">
        <v>29</v>
      </c>
      <c r="E173" t="str">
        <f>HYPERLINK("http://www.ncbi.nlm.nih.gov/Taxonomy/Browser/wwwtax.cgi?mode=Info&amp;id=38577&amp;lvl=3&amp;lin=f&amp;keep=1&amp;srchmode=1&amp;unlock","38577")</f>
        <v>38577</v>
      </c>
      <c r="F173" t="s">
        <v>134</v>
      </c>
      <c r="G173" t="str">
        <f>HYPERLINK("http://www.ncbi.nlm.nih.gov/Taxonomy/Browser/wwwtax.cgi?mode=Info&amp;id=38577&amp;lvl=3&amp;lin=f&amp;keep=1&amp;srchmode=1&amp;unlock","Rhinella arenarum")</f>
        <v>Rhinella arenarum</v>
      </c>
      <c r="H173" t="s">
        <v>676</v>
      </c>
      <c r="I173" t="str">
        <f>HYPERLINK("http://www.ncbi.nlm.nih.gov/protein/P83409.2","RecName: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173" t="s">
        <v>1385</v>
      </c>
      <c r="K173" t="s">
        <v>25</v>
      </c>
      <c r="L173">
        <v>50</v>
      </c>
      <c r="M173" t="s">
        <v>1379</v>
      </c>
      <c r="N173" t="s">
        <v>25</v>
      </c>
    </row>
    <row r="174" spans="1:14" x14ac:dyDescent="0.25">
      <c r="A174">
        <v>6</v>
      </c>
      <c r="B174" t="s">
        <v>167</v>
      </c>
      <c r="C174" t="str">
        <f>HYPERLINK("http://www.ncbi.nlm.nih.gov/protein/XP_003805902.1","XP_003805902.1")</f>
        <v>XP_003805902.1</v>
      </c>
      <c r="D174">
        <v>71982</v>
      </c>
      <c r="E174" t="str">
        <f>HYPERLINK("http://www.ncbi.nlm.nih.gov/Taxonomy/Browser/wwwtax.cgi?mode=Info&amp;id=9597&amp;lvl=3&amp;lin=f&amp;keep=1&amp;srchmode=1&amp;unlock","9597")</f>
        <v>9597</v>
      </c>
      <c r="F174" t="s">
        <v>18</v>
      </c>
      <c r="G174" t="str">
        <f>HYPERLINK("http://www.ncbi.nlm.nih.gov/Taxonomy/Browser/wwwtax.cgi?mode=Info&amp;id=9597&amp;lvl=3&amp;lin=f&amp;keep=1&amp;srchmode=1&amp;unlock","Pan paniscus")</f>
        <v>Pan paniscus</v>
      </c>
      <c r="H174" t="s">
        <v>23</v>
      </c>
      <c r="I174" t="str">
        <f>HYPERLINK("http://www.ncbi.nlm.nih.gov/protein/XP_003805902.1","fatty acid-binding protein, liver isoform X1")</f>
        <v>fatty acid-binding protein, liver isoform X1</v>
      </c>
      <c r="J174" t="s">
        <v>1386</v>
      </c>
      <c r="K174" t="s">
        <v>20</v>
      </c>
      <c r="L174">
        <v>50</v>
      </c>
      <c r="M174" t="s">
        <v>1380</v>
      </c>
      <c r="N174" t="s">
        <v>20</v>
      </c>
    </row>
    <row r="175" spans="1:14" x14ac:dyDescent="0.25">
      <c r="A175">
        <v>6</v>
      </c>
      <c r="B175" t="s">
        <v>167</v>
      </c>
      <c r="C175" t="str">
        <f>HYPERLINK("http://www.ncbi.nlm.nih.gov/protein/XP_001140263.1","XP_001140263.1")</f>
        <v>XP_001140263.1</v>
      </c>
      <c r="D175">
        <v>171683</v>
      </c>
      <c r="E175" t="str">
        <f>HYPERLINK("http://www.ncbi.nlm.nih.gov/Taxonomy/Browser/wwwtax.cgi?mode=Info&amp;id=9598&amp;lvl=3&amp;lin=f&amp;keep=1&amp;srchmode=1&amp;unlock","9598")</f>
        <v>9598</v>
      </c>
      <c r="F175" t="s">
        <v>18</v>
      </c>
      <c r="G175" t="str">
        <f>HYPERLINK("http://www.ncbi.nlm.nih.gov/Taxonomy/Browser/wwwtax.cgi?mode=Info&amp;id=9598&amp;lvl=3&amp;lin=f&amp;keep=1&amp;srchmode=1&amp;unlock","Pan troglodytes")</f>
        <v>Pan troglodytes</v>
      </c>
      <c r="H175" t="s">
        <v>22</v>
      </c>
      <c r="I175" t="str">
        <f>HYPERLINK("http://www.ncbi.nlm.nih.gov/protein/XP_001140263.1","fatty acid-binding protein, liver")</f>
        <v>fatty acid-binding protein, liver</v>
      </c>
      <c r="J175" t="s">
        <v>1386</v>
      </c>
      <c r="K175" t="s">
        <v>20</v>
      </c>
      <c r="L175">
        <v>50</v>
      </c>
      <c r="M175" t="s">
        <v>1380</v>
      </c>
      <c r="N175" t="s">
        <v>20</v>
      </c>
    </row>
    <row r="176" spans="1:14" x14ac:dyDescent="0.25">
      <c r="A176">
        <v>6</v>
      </c>
      <c r="B176" t="s">
        <v>167</v>
      </c>
      <c r="C176" t="str">
        <f>HYPERLINK("http://www.ncbi.nlm.nih.gov/protein/XP_004029642.1","XP_004029642.1")</f>
        <v>XP_004029642.1</v>
      </c>
      <c r="D176">
        <v>52137</v>
      </c>
      <c r="E176" t="str">
        <f>HYPERLINK("http://www.ncbi.nlm.nih.gov/Taxonomy/Browser/wwwtax.cgi?mode=Info&amp;id=9595&amp;lvl=3&amp;lin=f&amp;keep=1&amp;srchmode=1&amp;unlock","9595")</f>
        <v>9595</v>
      </c>
      <c r="F176" t="s">
        <v>18</v>
      </c>
      <c r="G176" t="str">
        <f>HYPERLINK("http://www.ncbi.nlm.nih.gov/Taxonomy/Browser/wwwtax.cgi?mode=Info&amp;id=9595&amp;lvl=3&amp;lin=f&amp;keep=1&amp;srchmode=1&amp;unlock","Gorilla gorilla gorilla")</f>
        <v>Gorilla gorilla gorilla</v>
      </c>
      <c r="H176" t="s">
        <v>24</v>
      </c>
      <c r="I176" t="str">
        <f>HYPERLINK("http://www.ncbi.nlm.nih.gov/protein/XP_004029642.1","fatty acid-binding protein, liver")</f>
        <v>fatty acid-binding protein, liver</v>
      </c>
      <c r="J176" t="s">
        <v>1386</v>
      </c>
      <c r="K176" t="s">
        <v>20</v>
      </c>
      <c r="L176">
        <v>50</v>
      </c>
      <c r="M176" t="s">
        <v>1380</v>
      </c>
      <c r="N176" t="s">
        <v>20</v>
      </c>
    </row>
    <row r="177" spans="1:14" x14ac:dyDescent="0.25">
      <c r="A177">
        <v>6</v>
      </c>
      <c r="B177" t="s">
        <v>167</v>
      </c>
      <c r="C177" t="str">
        <f>HYPERLINK("http://www.ncbi.nlm.nih.gov/protein/XP_003268834.1","XP_003268834.1")</f>
        <v>XP_003268834.1</v>
      </c>
      <c r="D177">
        <v>51657</v>
      </c>
      <c r="E177" t="str">
        <f>HYPERLINK("http://www.ncbi.nlm.nih.gov/Taxonomy/Browser/wwwtax.cgi?mode=Info&amp;id=61853&amp;lvl=3&amp;lin=f&amp;keep=1&amp;srchmode=1&amp;unlock","61853")</f>
        <v>61853</v>
      </c>
      <c r="F177" t="s">
        <v>18</v>
      </c>
      <c r="G177" t="str">
        <f>HYPERLINK("http://www.ncbi.nlm.nih.gov/Taxonomy/Browser/wwwtax.cgi?mode=Info&amp;id=61853&amp;lvl=3&amp;lin=f&amp;keep=1&amp;srchmode=1&amp;unlock","Nomascus leucogenys")</f>
        <v>Nomascus leucogenys</v>
      </c>
      <c r="H177" t="s">
        <v>27</v>
      </c>
      <c r="I177" t="str">
        <f>HYPERLINK("http://www.ncbi.nlm.nih.gov/protein/XP_003268834.1","fatty acid-binding protein, liver")</f>
        <v>fatty acid-binding protein, liver</v>
      </c>
      <c r="J177" t="s">
        <v>1386</v>
      </c>
      <c r="K177" t="s">
        <v>20</v>
      </c>
      <c r="L177">
        <v>50</v>
      </c>
      <c r="M177" t="s">
        <v>1380</v>
      </c>
      <c r="N177" t="s">
        <v>20</v>
      </c>
    </row>
    <row r="178" spans="1:14" x14ac:dyDescent="0.25">
      <c r="A178">
        <v>6</v>
      </c>
      <c r="B178" t="s">
        <v>167</v>
      </c>
      <c r="C178" t="str">
        <f>HYPERLINK("http://www.ncbi.nlm.nih.gov/protein/XP_032033286.1","XP_032033286.1")</f>
        <v>XP_032033286.1</v>
      </c>
      <c r="D178">
        <v>54538</v>
      </c>
      <c r="E178" t="str">
        <f>HYPERLINK("http://www.ncbi.nlm.nih.gov/Taxonomy/Browser/wwwtax.cgi?mode=Info&amp;id=81572&amp;lvl=3&amp;lin=f&amp;keep=1&amp;srchmode=1&amp;unlock","81572")</f>
        <v>81572</v>
      </c>
      <c r="F178" t="s">
        <v>18</v>
      </c>
      <c r="G178" t="str">
        <f>HYPERLINK("http://www.ncbi.nlm.nih.gov/Taxonomy/Browser/wwwtax.cgi?mode=Info&amp;id=81572&amp;lvl=3&amp;lin=f&amp;keep=1&amp;srchmode=1&amp;unlock","Hylobates moloch")</f>
        <v>Hylobates moloch</v>
      </c>
      <c r="H178" t="s">
        <v>26</v>
      </c>
      <c r="I178" t="str">
        <f>HYPERLINK("http://www.ncbi.nlm.nih.gov/protein/XP_032033286.1","fatty acid-binding protein, liver")</f>
        <v>fatty acid-binding protein, liver</v>
      </c>
      <c r="J178" t="s">
        <v>1386</v>
      </c>
      <c r="K178" t="s">
        <v>20</v>
      </c>
      <c r="L178">
        <v>50</v>
      </c>
      <c r="M178" t="s">
        <v>1380</v>
      </c>
      <c r="N178" t="s">
        <v>20</v>
      </c>
    </row>
    <row r="179" spans="1:14" x14ac:dyDescent="0.25">
      <c r="A179">
        <v>6</v>
      </c>
      <c r="B179" t="s">
        <v>167</v>
      </c>
      <c r="C179" t="str">
        <f>HYPERLINK("http://www.ncbi.nlm.nih.gov/protein/NP_001125017.1","NP_001125017.1")</f>
        <v>NP_001125017.1</v>
      </c>
      <c r="D179">
        <v>141069</v>
      </c>
      <c r="E179" t="str">
        <f>HYPERLINK("http://www.ncbi.nlm.nih.gov/Taxonomy/Browser/wwwtax.cgi?mode=Info&amp;id=9601&amp;lvl=3&amp;lin=f&amp;keep=1&amp;srchmode=1&amp;unlock","9601")</f>
        <v>9601</v>
      </c>
      <c r="F179" t="s">
        <v>18</v>
      </c>
      <c r="G179" t="str">
        <f>HYPERLINK("http://www.ncbi.nlm.nih.gov/Taxonomy/Browser/wwwtax.cgi?mode=Info&amp;id=9601&amp;lvl=3&amp;lin=f&amp;keep=1&amp;srchmode=1&amp;unlock","Pongo abelii")</f>
        <v>Pongo abelii</v>
      </c>
      <c r="H179" t="s">
        <v>28</v>
      </c>
      <c r="I179" t="str">
        <f>HYPERLINK("http://www.ncbi.nlm.nih.gov/protein/NP_001125017.1","fatty acid-binding protein, liver")</f>
        <v>fatty acid-binding protein, liver</v>
      </c>
      <c r="J179" t="s">
        <v>1386</v>
      </c>
      <c r="K179" t="s">
        <v>20</v>
      </c>
      <c r="L179">
        <v>50</v>
      </c>
      <c r="M179" t="s">
        <v>1380</v>
      </c>
      <c r="N179" t="s">
        <v>20</v>
      </c>
    </row>
    <row r="180" spans="1:14" x14ac:dyDescent="0.25">
      <c r="A180">
        <v>6</v>
      </c>
      <c r="B180" t="s">
        <v>167</v>
      </c>
      <c r="C180" t="str">
        <f>HYPERLINK("http://www.ncbi.nlm.nih.gov/protein/XP_014968302.1","XP_014968302.1")</f>
        <v>XP_014968302.1</v>
      </c>
      <c r="D180">
        <v>177851</v>
      </c>
      <c r="E180" t="str">
        <f>HYPERLINK("http://www.ncbi.nlm.nih.gov/Taxonomy/Browser/wwwtax.cgi?mode=Info&amp;id=9544&amp;lvl=3&amp;lin=f&amp;keep=1&amp;srchmode=1&amp;unlock","9544")</f>
        <v>9544</v>
      </c>
      <c r="F180" t="s">
        <v>18</v>
      </c>
      <c r="G180" t="str">
        <f>HYPERLINK("http://www.ncbi.nlm.nih.gov/Taxonomy/Browser/wwwtax.cgi?mode=Info&amp;id=9544&amp;lvl=3&amp;lin=f&amp;keep=1&amp;srchmode=1&amp;unlock","Macaca mulatta")</f>
        <v>Macaca mulatta</v>
      </c>
      <c r="H180" t="s">
        <v>29</v>
      </c>
      <c r="I180" t="str">
        <f>HYPERLINK("http://www.ncbi.nlm.nih.gov/protein/XP_014968302.1","fatty acid-binding protein, liver")</f>
        <v>fatty acid-binding protein, liver</v>
      </c>
      <c r="J180" t="s">
        <v>1386</v>
      </c>
      <c r="K180" t="s">
        <v>20</v>
      </c>
      <c r="L180">
        <v>50</v>
      </c>
      <c r="M180" t="s">
        <v>1380</v>
      </c>
      <c r="N180" t="s">
        <v>20</v>
      </c>
    </row>
    <row r="181" spans="1:14" x14ac:dyDescent="0.25">
      <c r="A181">
        <v>6</v>
      </c>
      <c r="B181" t="s">
        <v>167</v>
      </c>
      <c r="C181" t="str">
        <f>HYPERLINK("http://www.ncbi.nlm.nih.gov/protein/XP_011764356.1","XP_011764356.1")</f>
        <v>XP_011764356.1</v>
      </c>
      <c r="D181">
        <v>68712</v>
      </c>
      <c r="E181" t="str">
        <f>HYPERLINK("http://www.ncbi.nlm.nih.gov/Taxonomy/Browser/wwwtax.cgi?mode=Info&amp;id=9545&amp;lvl=3&amp;lin=f&amp;keep=1&amp;srchmode=1&amp;unlock","9545")</f>
        <v>9545</v>
      </c>
      <c r="F181" t="s">
        <v>18</v>
      </c>
      <c r="G181" t="str">
        <f>HYPERLINK("http://www.ncbi.nlm.nih.gov/Taxonomy/Browser/wwwtax.cgi?mode=Info&amp;id=9545&amp;lvl=3&amp;lin=f&amp;keep=1&amp;srchmode=1&amp;unlock","Macaca nemestrina")</f>
        <v>Macaca nemestrina</v>
      </c>
      <c r="H181" t="s">
        <v>30</v>
      </c>
      <c r="I181" t="str">
        <f>HYPERLINK("http://www.ncbi.nlm.nih.gov/protein/XP_011764356.1","fatty acid-binding protein, liver")</f>
        <v>fatty acid-binding protein, liver</v>
      </c>
      <c r="J181" t="s">
        <v>1386</v>
      </c>
      <c r="K181" t="s">
        <v>20</v>
      </c>
      <c r="L181">
        <v>50</v>
      </c>
      <c r="M181" t="s">
        <v>1380</v>
      </c>
      <c r="N181" t="s">
        <v>20</v>
      </c>
    </row>
    <row r="182" spans="1:14" x14ac:dyDescent="0.25">
      <c r="A182">
        <v>6</v>
      </c>
      <c r="B182" t="s">
        <v>167</v>
      </c>
      <c r="C182" t="str">
        <f>HYPERLINK("http://www.ncbi.nlm.nih.gov/protein/XP_005575408.1","XP_005575408.1")</f>
        <v>XP_005575408.1</v>
      </c>
      <c r="D182">
        <v>98680</v>
      </c>
      <c r="E182" t="str">
        <f>HYPERLINK("http://www.ncbi.nlm.nih.gov/Taxonomy/Browser/wwwtax.cgi?mode=Info&amp;id=9541&amp;lvl=3&amp;lin=f&amp;keep=1&amp;srchmode=1&amp;unlock","9541")</f>
        <v>9541</v>
      </c>
      <c r="F182" t="s">
        <v>18</v>
      </c>
      <c r="G182" t="str">
        <f>HYPERLINK("http://www.ncbi.nlm.nih.gov/Taxonomy/Browser/wwwtax.cgi?mode=Info&amp;id=9541&amp;lvl=3&amp;lin=f&amp;keep=1&amp;srchmode=1&amp;unlock","Macaca fascicularis")</f>
        <v>Macaca fascicularis</v>
      </c>
      <c r="H182" t="s">
        <v>31</v>
      </c>
      <c r="I182" t="str">
        <f>HYPERLINK("http://www.ncbi.nlm.nih.gov/protein/XP_005575408.1","PREDICTED: fatty acid-binding protein, liver")</f>
        <v>PREDICTED: fatty acid-binding protein, liver</v>
      </c>
      <c r="J182" t="s">
        <v>1386</v>
      </c>
      <c r="K182" t="s">
        <v>20</v>
      </c>
      <c r="L182">
        <v>50</v>
      </c>
      <c r="M182" t="s">
        <v>1380</v>
      </c>
      <c r="N182" t="s">
        <v>20</v>
      </c>
    </row>
    <row r="183" spans="1:14" x14ac:dyDescent="0.25">
      <c r="A183">
        <v>6</v>
      </c>
      <c r="B183" t="s">
        <v>167</v>
      </c>
      <c r="C183" t="str">
        <f>HYPERLINK("http://www.ncbi.nlm.nih.gov/protein/XP_023050665.1","XP_023050665.1")</f>
        <v>XP_023050665.1</v>
      </c>
      <c r="D183">
        <v>55467</v>
      </c>
      <c r="E183" t="str">
        <f>HYPERLINK("http://www.ncbi.nlm.nih.gov/Taxonomy/Browser/wwwtax.cgi?mode=Info&amp;id=591936&amp;lvl=3&amp;lin=f&amp;keep=1&amp;srchmode=1&amp;unlock","591936")</f>
        <v>591936</v>
      </c>
      <c r="F183" t="s">
        <v>18</v>
      </c>
      <c r="G183" t="str">
        <f>HYPERLINK("http://www.ncbi.nlm.nih.gov/Taxonomy/Browser/wwwtax.cgi?mode=Info&amp;id=591936&amp;lvl=3&amp;lin=f&amp;keep=1&amp;srchmode=1&amp;unlock","Piliocolobus tephrosceles")</f>
        <v>Piliocolobus tephrosceles</v>
      </c>
      <c r="H183" t="s">
        <v>33</v>
      </c>
      <c r="I183" t="str">
        <f>HYPERLINK("http://www.ncbi.nlm.nih.gov/protein/XP_023050665.1","fatty acid-binding protein, liver")</f>
        <v>fatty acid-binding protein, liver</v>
      </c>
      <c r="J183" t="s">
        <v>1386</v>
      </c>
      <c r="K183" t="s">
        <v>20</v>
      </c>
      <c r="L183">
        <v>50</v>
      </c>
      <c r="M183" t="s">
        <v>1380</v>
      </c>
      <c r="N183" t="s">
        <v>20</v>
      </c>
    </row>
    <row r="184" spans="1:14" x14ac:dyDescent="0.25">
      <c r="A184">
        <v>6</v>
      </c>
      <c r="B184" t="s">
        <v>167</v>
      </c>
      <c r="C184" t="str">
        <f>HYPERLINK("http://www.ncbi.nlm.nih.gov/protein/XP_011808498.1","XP_011808498.1")</f>
        <v>XP_011808498.1</v>
      </c>
      <c r="D184">
        <v>38676</v>
      </c>
      <c r="E184" t="str">
        <f>HYPERLINK("http://www.ncbi.nlm.nih.gov/Taxonomy/Browser/wwwtax.cgi?mode=Info&amp;id=336983&amp;lvl=3&amp;lin=f&amp;keep=1&amp;srchmode=1&amp;unlock","336983")</f>
        <v>336983</v>
      </c>
      <c r="F184" t="s">
        <v>18</v>
      </c>
      <c r="G184" t="str">
        <f>HYPERLINK("http://www.ncbi.nlm.nih.gov/Taxonomy/Browser/wwwtax.cgi?mode=Info&amp;id=336983&amp;lvl=3&amp;lin=f&amp;keep=1&amp;srchmode=1&amp;unlock","Colobus angolensis palliatus")</f>
        <v>Colobus angolensis palliatus</v>
      </c>
      <c r="H184" t="s">
        <v>32</v>
      </c>
      <c r="I184" t="str">
        <f>HYPERLINK("http://www.ncbi.nlm.nih.gov/protein/XP_011808498.1","PREDICTED: fatty acid-binding protein, liver")</f>
        <v>PREDICTED: fatty acid-binding protein, liver</v>
      </c>
      <c r="J184" t="s">
        <v>1386</v>
      </c>
      <c r="K184" t="s">
        <v>20</v>
      </c>
      <c r="L184">
        <v>50</v>
      </c>
      <c r="M184" t="s">
        <v>1380</v>
      </c>
      <c r="N184" t="s">
        <v>20</v>
      </c>
    </row>
    <row r="185" spans="1:14" x14ac:dyDescent="0.25">
      <c r="A185">
        <v>6</v>
      </c>
      <c r="B185" t="s">
        <v>167</v>
      </c>
      <c r="C185" t="str">
        <f>HYPERLINK("http://www.ncbi.nlm.nih.gov/protein/XP_010376732.1","XP_010376732.1")</f>
        <v>XP_010376732.1</v>
      </c>
      <c r="D185">
        <v>53902</v>
      </c>
      <c r="E185" t="str">
        <f>HYPERLINK("http://www.ncbi.nlm.nih.gov/Taxonomy/Browser/wwwtax.cgi?mode=Info&amp;id=61622&amp;lvl=3&amp;lin=f&amp;keep=1&amp;srchmode=1&amp;unlock","61622")</f>
        <v>61622</v>
      </c>
      <c r="F185" t="s">
        <v>18</v>
      </c>
      <c r="G185" t="str">
        <f>HYPERLINK("http://www.ncbi.nlm.nih.gov/Taxonomy/Browser/wwwtax.cgi?mode=Info&amp;id=61622&amp;lvl=3&amp;lin=f&amp;keep=1&amp;srchmode=1&amp;unlock","Rhinopithecus roxellana")</f>
        <v>Rhinopithecus roxellana</v>
      </c>
      <c r="H185" t="s">
        <v>36</v>
      </c>
      <c r="I185" t="str">
        <f>HYPERLINK("http://www.ncbi.nlm.nih.gov/protein/XP_010376732.1","fatty acid-binding protein, liver")</f>
        <v>fatty acid-binding protein, liver</v>
      </c>
      <c r="J185" t="s">
        <v>1386</v>
      </c>
      <c r="K185" t="s">
        <v>20</v>
      </c>
      <c r="L185">
        <v>50</v>
      </c>
      <c r="M185" t="s">
        <v>1380</v>
      </c>
      <c r="N185" t="s">
        <v>20</v>
      </c>
    </row>
    <row r="186" spans="1:14" x14ac:dyDescent="0.25">
      <c r="A186">
        <v>6</v>
      </c>
      <c r="B186" t="s">
        <v>167</v>
      </c>
      <c r="C186" t="str">
        <f>HYPERLINK("http://www.ncbi.nlm.nih.gov/protein/XP_017713075.1","XP_017713075.1")</f>
        <v>XP_017713075.1</v>
      </c>
      <c r="D186">
        <v>49685</v>
      </c>
      <c r="E186" t="str">
        <f>HYPERLINK("http://www.ncbi.nlm.nih.gov/Taxonomy/Browser/wwwtax.cgi?mode=Info&amp;id=61621&amp;lvl=3&amp;lin=f&amp;keep=1&amp;srchmode=1&amp;unlock","61621")</f>
        <v>61621</v>
      </c>
      <c r="F186" t="s">
        <v>18</v>
      </c>
      <c r="G186" t="str">
        <f>HYPERLINK("http://www.ncbi.nlm.nih.gov/Taxonomy/Browser/wwwtax.cgi?mode=Info&amp;id=61621&amp;lvl=3&amp;lin=f&amp;keep=1&amp;srchmode=1&amp;unlock","Rhinopithecus bieti")</f>
        <v>Rhinopithecus bieti</v>
      </c>
      <c r="H186" t="s">
        <v>34</v>
      </c>
      <c r="I186" t="str">
        <f>HYPERLINK("http://www.ncbi.nlm.nih.gov/protein/XP_017713075.1","PREDICTED: fatty acid-binding protein, liver")</f>
        <v>PREDICTED: fatty acid-binding protein, liver</v>
      </c>
      <c r="J186" t="s">
        <v>1386</v>
      </c>
      <c r="K186" t="s">
        <v>20</v>
      </c>
      <c r="L186">
        <v>50</v>
      </c>
      <c r="M186" t="s">
        <v>1380</v>
      </c>
      <c r="N186" t="s">
        <v>20</v>
      </c>
    </row>
    <row r="187" spans="1:14" x14ac:dyDescent="0.25">
      <c r="A187">
        <v>6</v>
      </c>
      <c r="B187" t="s">
        <v>167</v>
      </c>
      <c r="C187" t="str">
        <f>HYPERLINK("http://www.ncbi.nlm.nih.gov/protein/XP_033031288.1","XP_033031288.1")</f>
        <v>XP_033031288.1</v>
      </c>
      <c r="D187">
        <v>64510</v>
      </c>
      <c r="E187" t="str">
        <f>HYPERLINK("http://www.ncbi.nlm.nih.gov/Taxonomy/Browser/wwwtax.cgi?mode=Info&amp;id=54180&amp;lvl=3&amp;lin=f&amp;keep=1&amp;srchmode=1&amp;unlock","54180")</f>
        <v>54180</v>
      </c>
      <c r="F187" t="s">
        <v>18</v>
      </c>
      <c r="G187" t="str">
        <f>HYPERLINK("http://www.ncbi.nlm.nih.gov/Taxonomy/Browser/wwwtax.cgi?mode=Info&amp;id=54180&amp;lvl=3&amp;lin=f&amp;keep=1&amp;srchmode=1&amp;unlock","Trachypithecus francoisi")</f>
        <v>Trachypithecus francoisi</v>
      </c>
      <c r="H187" t="s">
        <v>35</v>
      </c>
      <c r="I187" t="str">
        <f>HYPERLINK("http://www.ncbi.nlm.nih.gov/protein/XP_033031288.1","fatty acid-binding protein, liver")</f>
        <v>fatty acid-binding protein, liver</v>
      </c>
      <c r="J187" t="s">
        <v>1386</v>
      </c>
      <c r="K187" t="s">
        <v>20</v>
      </c>
      <c r="L187">
        <v>50</v>
      </c>
      <c r="M187" t="s">
        <v>1380</v>
      </c>
      <c r="N187" t="s">
        <v>20</v>
      </c>
    </row>
    <row r="188" spans="1:14" x14ac:dyDescent="0.25">
      <c r="A188">
        <v>6</v>
      </c>
      <c r="B188" t="s">
        <v>167</v>
      </c>
      <c r="C188" t="str">
        <f>HYPERLINK("http://www.ncbi.nlm.nih.gov/protein/XP_002922387.1","XP_002922387.1")</f>
        <v>XP_002922387.1</v>
      </c>
      <c r="D188">
        <v>73410</v>
      </c>
      <c r="E188" t="str">
        <f>HYPERLINK("http://www.ncbi.nlm.nih.gov/Taxonomy/Browser/wwwtax.cgi?mode=Info&amp;id=9646&amp;lvl=3&amp;lin=f&amp;keep=1&amp;srchmode=1&amp;unlock","9646")</f>
        <v>9646</v>
      </c>
      <c r="F188" t="s">
        <v>18</v>
      </c>
      <c r="G188" t="str">
        <f>HYPERLINK("http://www.ncbi.nlm.nih.gov/Taxonomy/Browser/wwwtax.cgi?mode=Info&amp;id=9646&amp;lvl=3&amp;lin=f&amp;keep=1&amp;srchmode=1&amp;unlock","Ailuropoda melanoleuca")</f>
        <v>Ailuropoda melanoleuca</v>
      </c>
      <c r="H188" t="s">
        <v>37</v>
      </c>
      <c r="I188" t="str">
        <f>HYPERLINK("http://www.ncbi.nlm.nih.gov/protein/XP_002922387.1","fatty acid-binding protein, liver")</f>
        <v>fatty acid-binding protein, liver</v>
      </c>
      <c r="J188" t="s">
        <v>1386</v>
      </c>
      <c r="K188" t="s">
        <v>25</v>
      </c>
      <c r="L188">
        <v>50</v>
      </c>
      <c r="M188" t="s">
        <v>1382</v>
      </c>
      <c r="N188" t="s">
        <v>25</v>
      </c>
    </row>
    <row r="189" spans="1:14" x14ac:dyDescent="0.25">
      <c r="A189">
        <v>6</v>
      </c>
      <c r="B189" t="s">
        <v>167</v>
      </c>
      <c r="C189" t="str">
        <f>HYPERLINK("http://www.ncbi.nlm.nih.gov/protein/XP_003908995.2","XP_003908995.2")</f>
        <v>XP_003908995.2</v>
      </c>
      <c r="D189">
        <v>73528</v>
      </c>
      <c r="E189" t="str">
        <f>HYPERLINK("http://www.ncbi.nlm.nih.gov/Taxonomy/Browser/wwwtax.cgi?mode=Info&amp;id=9555&amp;lvl=3&amp;lin=f&amp;keep=1&amp;srchmode=1&amp;unlock","9555")</f>
        <v>9555</v>
      </c>
      <c r="F189" t="s">
        <v>18</v>
      </c>
      <c r="G189" t="str">
        <f>HYPERLINK("http://www.ncbi.nlm.nih.gov/Taxonomy/Browser/wwwtax.cgi?mode=Info&amp;id=9555&amp;lvl=3&amp;lin=f&amp;keep=1&amp;srchmode=1&amp;unlock","Papio anubis")</f>
        <v>Papio anubis</v>
      </c>
      <c r="H189" t="s">
        <v>38</v>
      </c>
      <c r="I189" t="str">
        <f>HYPERLINK("http://www.ncbi.nlm.nih.gov/protein/XP_003908995.2","fatty acid-binding protein, liver")</f>
        <v>fatty acid-binding protein, liver</v>
      </c>
      <c r="J189" t="s">
        <v>1386</v>
      </c>
      <c r="K189" t="s">
        <v>20</v>
      </c>
      <c r="L189">
        <v>50</v>
      </c>
      <c r="M189" t="s">
        <v>1380</v>
      </c>
      <c r="N189" t="s">
        <v>20</v>
      </c>
    </row>
    <row r="190" spans="1:14" x14ac:dyDescent="0.25">
      <c r="A190">
        <v>6</v>
      </c>
      <c r="B190" t="s">
        <v>167</v>
      </c>
      <c r="C190" t="str">
        <f>HYPERLINK("http://www.ncbi.nlm.nih.gov/protein/CAD7676679.1","CAD7676679.1")</f>
        <v>CAD7676679.1</v>
      </c>
      <c r="D190">
        <v>27261</v>
      </c>
      <c r="E190" t="str">
        <f>HYPERLINK("http://www.ncbi.nlm.nih.gov/Taxonomy/Browser/wwwtax.cgi?mode=Info&amp;id=34880&amp;lvl=3&amp;lin=f&amp;keep=1&amp;srchmode=1&amp;unlock","34880")</f>
        <v>34880</v>
      </c>
      <c r="F190" t="s">
        <v>18</v>
      </c>
      <c r="G190" t="str">
        <f>HYPERLINK("http://www.ncbi.nlm.nih.gov/Taxonomy/Browser/wwwtax.cgi?mode=Info&amp;id=34880&amp;lvl=3&amp;lin=f&amp;keep=1&amp;srchmode=1&amp;unlock","Nyctereutes procyonoides")</f>
        <v>Nyctereutes procyonoides</v>
      </c>
      <c r="H190" t="s">
        <v>39</v>
      </c>
      <c r="I190" t="str">
        <f>HYPERLINK("http://www.ncbi.nlm.nih.gov/protein/CAD7676679.1","unnamed protein product")</f>
        <v>unnamed protein product</v>
      </c>
      <c r="J190" t="s">
        <v>1386</v>
      </c>
      <c r="K190" t="s">
        <v>25</v>
      </c>
      <c r="L190">
        <v>50</v>
      </c>
      <c r="M190" t="s">
        <v>1382</v>
      </c>
      <c r="N190" t="s">
        <v>25</v>
      </c>
    </row>
    <row r="191" spans="1:14" x14ac:dyDescent="0.25">
      <c r="A191">
        <v>6</v>
      </c>
      <c r="B191" t="s">
        <v>167</v>
      </c>
      <c r="C191" t="str">
        <f>HYPERLINK("http://www.ncbi.nlm.nih.gov/protein/XP_025850451.1","XP_025850451.1")</f>
        <v>XP_025850451.1</v>
      </c>
      <c r="D191">
        <v>38432</v>
      </c>
      <c r="E191" t="str">
        <f>HYPERLINK("http://www.ncbi.nlm.nih.gov/Taxonomy/Browser/wwwtax.cgi?mode=Info&amp;id=9627&amp;lvl=3&amp;lin=f&amp;keep=1&amp;srchmode=1&amp;unlock","9627")</f>
        <v>9627</v>
      </c>
      <c r="F191" t="s">
        <v>18</v>
      </c>
      <c r="G191" t="str">
        <f>HYPERLINK("http://www.ncbi.nlm.nih.gov/Taxonomy/Browser/wwwtax.cgi?mode=Info&amp;id=9627&amp;lvl=3&amp;lin=f&amp;keep=1&amp;srchmode=1&amp;unlock","Vulpes vulpes")</f>
        <v>Vulpes vulpes</v>
      </c>
      <c r="H191" t="s">
        <v>40</v>
      </c>
      <c r="I191" t="str">
        <f>HYPERLINK("http://www.ncbi.nlm.nih.gov/protein/XP_025850451.1","fatty acid-binding protein, liver")</f>
        <v>fatty acid-binding protein, liver</v>
      </c>
      <c r="J191" t="s">
        <v>1386</v>
      </c>
      <c r="K191" t="s">
        <v>25</v>
      </c>
      <c r="L191">
        <v>50</v>
      </c>
      <c r="M191" t="s">
        <v>1382</v>
      </c>
      <c r="N191" t="s">
        <v>25</v>
      </c>
    </row>
    <row r="192" spans="1:14" x14ac:dyDescent="0.25">
      <c r="A192">
        <v>6</v>
      </c>
      <c r="B192" t="s">
        <v>167</v>
      </c>
      <c r="C192" t="str">
        <f>HYPERLINK("http://www.ncbi.nlm.nih.gov/protein/XP_025209942.1","XP_025209942.1")</f>
        <v>XP_025209942.1</v>
      </c>
      <c r="D192">
        <v>52581</v>
      </c>
      <c r="E192" t="str">
        <f>HYPERLINK("http://www.ncbi.nlm.nih.gov/Taxonomy/Browser/wwwtax.cgi?mode=Info&amp;id=9565&amp;lvl=3&amp;lin=f&amp;keep=1&amp;srchmode=1&amp;unlock","9565")</f>
        <v>9565</v>
      </c>
      <c r="F192" t="s">
        <v>18</v>
      </c>
      <c r="G192" t="str">
        <f>HYPERLINK("http://www.ncbi.nlm.nih.gov/Taxonomy/Browser/wwwtax.cgi?mode=Info&amp;id=9565&amp;lvl=3&amp;lin=f&amp;keep=1&amp;srchmode=1&amp;unlock","Theropithecus gelada")</f>
        <v>Theropithecus gelada</v>
      </c>
      <c r="H192" t="s">
        <v>41</v>
      </c>
      <c r="I192" t="str">
        <f>HYPERLINK("http://www.ncbi.nlm.nih.gov/protein/XP_025209942.1","fatty acid-binding protein, liver")</f>
        <v>fatty acid-binding protein, liver</v>
      </c>
      <c r="J192" t="s">
        <v>1386</v>
      </c>
      <c r="K192" t="s">
        <v>20</v>
      </c>
      <c r="L192">
        <v>50</v>
      </c>
      <c r="M192" t="s">
        <v>1380</v>
      </c>
      <c r="N192" t="s">
        <v>20</v>
      </c>
    </row>
    <row r="193" spans="1:14" x14ac:dyDescent="0.25">
      <c r="A193">
        <v>6</v>
      </c>
      <c r="B193" t="s">
        <v>167</v>
      </c>
      <c r="C193" t="str">
        <f>HYPERLINK("http://www.ncbi.nlm.nih.gov/protein/XP_011827150.1","XP_011827150.1")</f>
        <v>XP_011827150.1</v>
      </c>
      <c r="D193">
        <v>38457</v>
      </c>
      <c r="E193" t="str">
        <f>HYPERLINK("http://www.ncbi.nlm.nih.gov/Taxonomy/Browser/wwwtax.cgi?mode=Info&amp;id=9568&amp;lvl=3&amp;lin=f&amp;keep=1&amp;srchmode=1&amp;unlock","9568")</f>
        <v>9568</v>
      </c>
      <c r="F193" t="s">
        <v>18</v>
      </c>
      <c r="G193" t="str">
        <f>HYPERLINK("http://www.ncbi.nlm.nih.gov/Taxonomy/Browser/wwwtax.cgi?mode=Info&amp;id=9568&amp;lvl=3&amp;lin=f&amp;keep=1&amp;srchmode=1&amp;unlock","Mandrillus leucophaeus")</f>
        <v>Mandrillus leucophaeus</v>
      </c>
      <c r="H193" t="s">
        <v>43</v>
      </c>
      <c r="I193" t="str">
        <f>HYPERLINK("http://www.ncbi.nlm.nih.gov/protein/XP_011827150.1","PREDICTED: fatty acid-binding protein, liver")</f>
        <v>PREDICTED: fatty acid-binding protein, liver</v>
      </c>
      <c r="J193" t="s">
        <v>1386</v>
      </c>
      <c r="K193" t="s">
        <v>20</v>
      </c>
      <c r="L193">
        <v>50</v>
      </c>
      <c r="M193" t="s">
        <v>1380</v>
      </c>
      <c r="N193" t="s">
        <v>20</v>
      </c>
    </row>
    <row r="194" spans="1:14" x14ac:dyDescent="0.25">
      <c r="A194">
        <v>6</v>
      </c>
      <c r="B194" t="s">
        <v>167</v>
      </c>
      <c r="C194" t="str">
        <f>HYPERLINK("http://www.ncbi.nlm.nih.gov/protein/VCX10107.1","VCX10107.1")</f>
        <v>VCX10107.1</v>
      </c>
      <c r="D194">
        <v>19820</v>
      </c>
      <c r="E194" t="str">
        <f>HYPERLINK("http://www.ncbi.nlm.nih.gov/Taxonomy/Browser/wwwtax.cgi?mode=Info&amp;id=48420&amp;lvl=3&amp;lin=f&amp;keep=1&amp;srchmode=1&amp;unlock","48420")</f>
        <v>48420</v>
      </c>
      <c r="F194" t="s">
        <v>18</v>
      </c>
      <c r="G194" t="str">
        <f>HYPERLINK("http://www.ncbi.nlm.nih.gov/Taxonomy/Browser/wwwtax.cgi?mode=Info&amp;id=48420&amp;lvl=3&amp;lin=f&amp;keep=1&amp;srchmode=1&amp;unlock","Gulo gulo")</f>
        <v>Gulo gulo</v>
      </c>
      <c r="H194" t="s">
        <v>42</v>
      </c>
      <c r="I194" t="str">
        <f>HYPERLINK("http://www.ncbi.nlm.nih.gov/protein/VCX10107.1","unnamed protein product")</f>
        <v>unnamed protein product</v>
      </c>
      <c r="J194" t="s">
        <v>1386</v>
      </c>
      <c r="K194" t="s">
        <v>25</v>
      </c>
      <c r="L194">
        <v>50</v>
      </c>
      <c r="M194" t="s">
        <v>1382</v>
      </c>
      <c r="N194" t="s">
        <v>25</v>
      </c>
    </row>
    <row r="195" spans="1:14" x14ac:dyDescent="0.25">
      <c r="A195">
        <v>6</v>
      </c>
      <c r="B195" t="s">
        <v>167</v>
      </c>
      <c r="C195" t="str">
        <f>HYPERLINK("http://www.ncbi.nlm.nih.gov/protein/XP_039108582.1","XP_039108582.1")</f>
        <v>XP_039108582.1</v>
      </c>
      <c r="D195">
        <v>41430</v>
      </c>
      <c r="E195" t="str">
        <f>HYPERLINK("http://www.ncbi.nlm.nih.gov/Taxonomy/Browser/wwwtax.cgi?mode=Info&amp;id=95912&amp;lvl=3&amp;lin=f&amp;keep=1&amp;srchmode=1&amp;unlock","95912")</f>
        <v>95912</v>
      </c>
      <c r="F195" t="s">
        <v>18</v>
      </c>
      <c r="G195" t="str">
        <f>HYPERLINK("http://www.ncbi.nlm.nih.gov/Taxonomy/Browser/wwwtax.cgi?mode=Info&amp;id=95912&amp;lvl=3&amp;lin=f&amp;keep=1&amp;srchmode=1&amp;unlock","Hyaena hyaena")</f>
        <v>Hyaena hyaena</v>
      </c>
      <c r="H195" t="s">
        <v>44</v>
      </c>
      <c r="I195" t="str">
        <f>HYPERLINK("http://www.ncbi.nlm.nih.gov/protein/XP_039108582.1","fatty acid-binding protein, liver")</f>
        <v>fatty acid-binding protein, liver</v>
      </c>
      <c r="J195" t="s">
        <v>1386</v>
      </c>
      <c r="K195" t="s">
        <v>25</v>
      </c>
      <c r="L195">
        <v>50</v>
      </c>
      <c r="M195" t="s">
        <v>1382</v>
      </c>
      <c r="N195" t="s">
        <v>25</v>
      </c>
    </row>
    <row r="196" spans="1:14" x14ac:dyDescent="0.25">
      <c r="A196">
        <v>6</v>
      </c>
      <c r="B196" t="s">
        <v>167</v>
      </c>
      <c r="C196" t="str">
        <f>HYPERLINK("http://www.ncbi.nlm.nih.gov/protein/XP_026336895.1","XP_026336895.1")</f>
        <v>XP_026336895.1</v>
      </c>
      <c r="D196">
        <v>43159</v>
      </c>
      <c r="E196" t="str">
        <f>HYPERLINK("http://www.ncbi.nlm.nih.gov/Taxonomy/Browser/wwwtax.cgi?mode=Info&amp;id=116960&amp;lvl=3&amp;lin=f&amp;keep=1&amp;srchmode=1&amp;unlock","116960")</f>
        <v>116960</v>
      </c>
      <c r="F196" t="s">
        <v>18</v>
      </c>
      <c r="G196" t="str">
        <f>HYPERLINK("http://www.ncbi.nlm.nih.gov/Taxonomy/Browser/wwwtax.cgi?mode=Info&amp;id=116960&amp;lvl=3&amp;lin=f&amp;keep=1&amp;srchmode=1&amp;unlock","Ursus arctos horribilis")</f>
        <v>Ursus arctos horribilis</v>
      </c>
      <c r="H196" t="s">
        <v>45</v>
      </c>
      <c r="I196" t="str">
        <f>HYPERLINK("http://www.ncbi.nlm.nih.gov/protein/XP_026336895.1","fatty acid-binding protein, liver")</f>
        <v>fatty acid-binding protein, liver</v>
      </c>
      <c r="J196" t="s">
        <v>1386</v>
      </c>
      <c r="K196" t="s">
        <v>25</v>
      </c>
      <c r="L196">
        <v>50</v>
      </c>
      <c r="M196" t="s">
        <v>1382</v>
      </c>
      <c r="N196" t="s">
        <v>25</v>
      </c>
    </row>
    <row r="197" spans="1:14" x14ac:dyDescent="0.25">
      <c r="A197">
        <v>6</v>
      </c>
      <c r="B197" t="s">
        <v>167</v>
      </c>
      <c r="C197" t="str">
        <f>HYPERLINK("http://www.ncbi.nlm.nih.gov/protein/XP_006741225.1","XP_006741225.1")</f>
        <v>XP_006741225.1</v>
      </c>
      <c r="D197">
        <v>40472</v>
      </c>
      <c r="E197" t="str">
        <f>HYPERLINK("http://www.ncbi.nlm.nih.gov/Taxonomy/Browser/wwwtax.cgi?mode=Info&amp;id=9713&amp;lvl=3&amp;lin=f&amp;keep=1&amp;srchmode=1&amp;unlock","9713")</f>
        <v>9713</v>
      </c>
      <c r="F197" t="s">
        <v>18</v>
      </c>
      <c r="G197" t="str">
        <f>HYPERLINK("http://www.ncbi.nlm.nih.gov/Taxonomy/Browser/wwwtax.cgi?mode=Info&amp;id=9713&amp;lvl=3&amp;lin=f&amp;keep=1&amp;srchmode=1&amp;unlock","Leptonychotes weddellii")</f>
        <v>Leptonychotes weddellii</v>
      </c>
      <c r="H197" t="s">
        <v>49</v>
      </c>
      <c r="I197" t="str">
        <f>HYPERLINK("http://www.ncbi.nlm.nih.gov/protein/XP_006741225.1","fatty acid-binding protein, liver")</f>
        <v>fatty acid-binding protein, liver</v>
      </c>
      <c r="J197" t="s">
        <v>1386</v>
      </c>
      <c r="K197" t="s">
        <v>25</v>
      </c>
      <c r="L197">
        <v>50</v>
      </c>
      <c r="M197" t="s">
        <v>1382</v>
      </c>
      <c r="N197" t="s">
        <v>25</v>
      </c>
    </row>
    <row r="198" spans="1:14" x14ac:dyDescent="0.25">
      <c r="A198">
        <v>6</v>
      </c>
      <c r="B198" t="s">
        <v>167</v>
      </c>
      <c r="C198" t="str">
        <f>HYPERLINK("http://www.ncbi.nlm.nih.gov/protein/XP_021553255.1","XP_021553255.1")</f>
        <v>XP_021553255.1</v>
      </c>
      <c r="D198">
        <v>28446</v>
      </c>
      <c r="E198" t="str">
        <f>HYPERLINK("http://www.ncbi.nlm.nih.gov/Taxonomy/Browser/wwwtax.cgi?mode=Info&amp;id=29088&amp;lvl=3&amp;lin=f&amp;keep=1&amp;srchmode=1&amp;unlock","29088")</f>
        <v>29088</v>
      </c>
      <c r="F198" t="s">
        <v>18</v>
      </c>
      <c r="G198" t="str">
        <f>HYPERLINK("http://www.ncbi.nlm.nih.gov/Taxonomy/Browser/wwwtax.cgi?mode=Info&amp;id=29088&amp;lvl=3&amp;lin=f&amp;keep=1&amp;srchmode=1&amp;unlock","Neomonachus schauinslandi")</f>
        <v>Neomonachus schauinslandi</v>
      </c>
      <c r="H198" t="s">
        <v>50</v>
      </c>
      <c r="I198" t="str">
        <f>HYPERLINK("http://www.ncbi.nlm.nih.gov/protein/XP_021553255.1","fatty acid-binding protein, liver")</f>
        <v>fatty acid-binding protein, liver</v>
      </c>
      <c r="J198" t="s">
        <v>1386</v>
      </c>
      <c r="K198" t="s">
        <v>25</v>
      </c>
      <c r="L198">
        <v>50</v>
      </c>
      <c r="M198" t="s">
        <v>1382</v>
      </c>
      <c r="N198" t="s">
        <v>25</v>
      </c>
    </row>
    <row r="199" spans="1:14" x14ac:dyDescent="0.25">
      <c r="A199">
        <v>6</v>
      </c>
      <c r="B199" t="s">
        <v>167</v>
      </c>
      <c r="C199" t="str">
        <f>HYPERLINK("http://www.ncbi.nlm.nih.gov/protein/XP_032208604.1","XP_032208604.1")</f>
        <v>XP_032208604.1</v>
      </c>
      <c r="D199">
        <v>60653</v>
      </c>
      <c r="E199" t="str">
        <f>HYPERLINK("http://www.ncbi.nlm.nih.gov/Taxonomy/Browser/wwwtax.cgi?mode=Info&amp;id=36723&amp;lvl=3&amp;lin=f&amp;keep=1&amp;srchmode=1&amp;unlock","36723")</f>
        <v>36723</v>
      </c>
      <c r="F199" t="s">
        <v>18</v>
      </c>
      <c r="G199" t="str">
        <f>HYPERLINK("http://www.ncbi.nlm.nih.gov/Taxonomy/Browser/wwwtax.cgi?mode=Info&amp;id=36723&amp;lvl=3&amp;lin=f&amp;keep=1&amp;srchmode=1&amp;unlock","Mustela erminea")</f>
        <v>Mustela erminea</v>
      </c>
      <c r="H199" t="s">
        <v>51</v>
      </c>
      <c r="I199" t="str">
        <f>HYPERLINK("http://www.ncbi.nlm.nih.gov/protein/XP_032208604.1","fatty acid-binding protein, liver")</f>
        <v>fatty acid-binding protein, liver</v>
      </c>
      <c r="J199" t="s">
        <v>1386</v>
      </c>
      <c r="K199" t="s">
        <v>25</v>
      </c>
      <c r="L199">
        <v>50</v>
      </c>
      <c r="M199" t="s">
        <v>1382</v>
      </c>
      <c r="N199" t="s">
        <v>25</v>
      </c>
    </row>
    <row r="200" spans="1:14" x14ac:dyDescent="0.25">
      <c r="A200">
        <v>6</v>
      </c>
      <c r="B200" t="s">
        <v>167</v>
      </c>
      <c r="C200" t="str">
        <f>HYPERLINK("http://www.ncbi.nlm.nih.gov/protein/XP_032736499.1","XP_032736499.1")</f>
        <v>XP_032736499.1</v>
      </c>
      <c r="D200">
        <v>48403</v>
      </c>
      <c r="E200" t="str">
        <f>HYPERLINK("http://www.ncbi.nlm.nih.gov/Taxonomy/Browser/wwwtax.cgi?mode=Info&amp;id=76717&amp;lvl=3&amp;lin=f&amp;keep=1&amp;srchmode=1&amp;unlock","76717")</f>
        <v>76717</v>
      </c>
      <c r="F200" t="s">
        <v>18</v>
      </c>
      <c r="G200" t="str">
        <f>HYPERLINK("http://www.ncbi.nlm.nih.gov/Taxonomy/Browser/wwwtax.cgi?mode=Info&amp;id=76717&amp;lvl=3&amp;lin=f&amp;keep=1&amp;srchmode=1&amp;unlock","Lontra canadensis")</f>
        <v>Lontra canadensis</v>
      </c>
      <c r="H200" t="s">
        <v>47</v>
      </c>
      <c r="I200" t="str">
        <f>HYPERLINK("http://www.ncbi.nlm.nih.gov/protein/XP_032736499.1","fatty acid-binding protein, liver")</f>
        <v>fatty acid-binding protein, liver</v>
      </c>
      <c r="J200" t="s">
        <v>1386</v>
      </c>
      <c r="K200" t="s">
        <v>25</v>
      </c>
      <c r="L200">
        <v>50</v>
      </c>
      <c r="M200" t="s">
        <v>1382</v>
      </c>
      <c r="N200" t="s">
        <v>25</v>
      </c>
    </row>
    <row r="201" spans="1:14" x14ac:dyDescent="0.25">
      <c r="A201">
        <v>6</v>
      </c>
      <c r="B201" t="s">
        <v>167</v>
      </c>
      <c r="C201" t="str">
        <f>HYPERLINK("http://www.ncbi.nlm.nih.gov/protein/XP_032267051.1","XP_032267051.1")</f>
        <v>XP_032267051.1</v>
      </c>
      <c r="D201">
        <v>45582</v>
      </c>
      <c r="E201" t="str">
        <f>HYPERLINK("http://www.ncbi.nlm.nih.gov/Taxonomy/Browser/wwwtax.cgi?mode=Info&amp;id=9720&amp;lvl=3&amp;lin=f&amp;keep=1&amp;srchmode=1&amp;unlock","9720")</f>
        <v>9720</v>
      </c>
      <c r="F201" t="s">
        <v>18</v>
      </c>
      <c r="G201" t="str">
        <f>HYPERLINK("http://www.ncbi.nlm.nih.gov/Taxonomy/Browser/wwwtax.cgi?mode=Info&amp;id=9720&amp;lvl=3&amp;lin=f&amp;keep=1&amp;srchmode=1&amp;unlock","Phoca vitulina")</f>
        <v>Phoca vitulina</v>
      </c>
      <c r="H201" t="s">
        <v>46</v>
      </c>
      <c r="I201" t="str">
        <f>HYPERLINK("http://www.ncbi.nlm.nih.gov/protein/XP_032267051.1","fatty acid-binding protein, liver")</f>
        <v>fatty acid-binding protein, liver</v>
      </c>
      <c r="J201" t="s">
        <v>1386</v>
      </c>
      <c r="K201" t="s">
        <v>25</v>
      </c>
      <c r="L201">
        <v>50</v>
      </c>
      <c r="M201" t="s">
        <v>1382</v>
      </c>
      <c r="N201" t="s">
        <v>25</v>
      </c>
    </row>
    <row r="202" spans="1:14" x14ac:dyDescent="0.25">
      <c r="A202">
        <v>6</v>
      </c>
      <c r="B202" t="s">
        <v>167</v>
      </c>
      <c r="C202" t="str">
        <f>HYPERLINK("http://www.ncbi.nlm.nih.gov/protein/XP_004742435.1","XP_004742435.1")</f>
        <v>XP_004742435.1</v>
      </c>
      <c r="D202">
        <v>48574</v>
      </c>
      <c r="E202" t="str">
        <f>HYPERLINK("http://www.ncbi.nlm.nih.gov/Taxonomy/Browser/wwwtax.cgi?mode=Info&amp;id=9669&amp;lvl=3&amp;lin=f&amp;keep=1&amp;srchmode=1&amp;unlock","9669")</f>
        <v>9669</v>
      </c>
      <c r="F202" t="s">
        <v>18</v>
      </c>
      <c r="G202" t="str">
        <f>HYPERLINK("http://www.ncbi.nlm.nih.gov/Taxonomy/Browser/wwwtax.cgi?mode=Info&amp;id=9669&amp;lvl=3&amp;lin=f&amp;keep=1&amp;srchmode=1&amp;unlock","Mustela putorius furo")</f>
        <v>Mustela putorius furo</v>
      </c>
      <c r="H202" t="s">
        <v>48</v>
      </c>
      <c r="I202" t="str">
        <f>HYPERLINK("http://www.ncbi.nlm.nih.gov/protein/XP_004742435.1","PREDICTED: fatty acid-binding protein, liver")</f>
        <v>PREDICTED: fatty acid-binding protein, liver</v>
      </c>
      <c r="J202" t="s">
        <v>1386</v>
      </c>
      <c r="K202" t="s">
        <v>25</v>
      </c>
      <c r="L202">
        <v>50</v>
      </c>
      <c r="M202" t="s">
        <v>1382</v>
      </c>
      <c r="N202" t="s">
        <v>25</v>
      </c>
    </row>
    <row r="203" spans="1:14" x14ac:dyDescent="0.25">
      <c r="A203">
        <v>6</v>
      </c>
      <c r="B203" t="s">
        <v>167</v>
      </c>
      <c r="C203" t="str">
        <f>HYPERLINK("http://www.ncbi.nlm.nih.gov/protein/AAX62515.1","AAX62515.1")</f>
        <v>AAX62515.1</v>
      </c>
      <c r="D203">
        <v>83623</v>
      </c>
      <c r="E203" t="str">
        <f>HYPERLINK("http://www.ncbi.nlm.nih.gov/Taxonomy/Browser/wwwtax.cgi?mode=Info&amp;id=9823&amp;lvl=3&amp;lin=f&amp;keep=1&amp;srchmode=1&amp;unlock","9823")</f>
        <v>9823</v>
      </c>
      <c r="F203" t="s">
        <v>18</v>
      </c>
      <c r="G203" t="str">
        <f>HYPERLINK("http://www.ncbi.nlm.nih.gov/Taxonomy/Browser/wwwtax.cgi?mode=Info&amp;id=9823&amp;lvl=3&amp;lin=f&amp;keep=1&amp;srchmode=1&amp;unlock","Sus scrofa")</f>
        <v>Sus scrofa</v>
      </c>
      <c r="H203" t="s">
        <v>55</v>
      </c>
      <c r="I203" t="str">
        <f>HYPERLINK("http://www.ncbi.nlm.nih.gov/protein/AAX62515.1","liver fatty acid binding protein")</f>
        <v>liver fatty acid binding protein</v>
      </c>
      <c r="J203" t="s">
        <v>1386</v>
      </c>
      <c r="K203" t="s">
        <v>25</v>
      </c>
      <c r="L203">
        <v>50</v>
      </c>
      <c r="M203" t="s">
        <v>1382</v>
      </c>
      <c r="N203" t="s">
        <v>25</v>
      </c>
    </row>
    <row r="204" spans="1:14" x14ac:dyDescent="0.25">
      <c r="A204">
        <v>6</v>
      </c>
      <c r="B204" t="s">
        <v>167</v>
      </c>
      <c r="C204" t="str">
        <f>HYPERLINK("http://www.ncbi.nlm.nih.gov/protein/NP_001273980.1","NP_001273980.1")</f>
        <v>NP_001273980.1</v>
      </c>
      <c r="D204">
        <v>136175</v>
      </c>
      <c r="E204" t="str">
        <f>HYPERLINK("http://www.ncbi.nlm.nih.gov/Taxonomy/Browser/wwwtax.cgi?mode=Info&amp;id=9615&amp;lvl=3&amp;lin=f&amp;keep=1&amp;srchmode=1&amp;unlock","9615")</f>
        <v>9615</v>
      </c>
      <c r="F204" t="s">
        <v>18</v>
      </c>
      <c r="G204" t="str">
        <f>HYPERLINK("http://www.ncbi.nlm.nih.gov/Taxonomy/Browser/wwwtax.cgi?mode=Info&amp;id=9615&amp;lvl=3&amp;lin=f&amp;keep=1&amp;srchmode=1&amp;unlock","Canis lupus familiaris")</f>
        <v>Canis lupus familiaris</v>
      </c>
      <c r="H204" t="s">
        <v>54</v>
      </c>
      <c r="I204" t="str">
        <f>HYPERLINK("http://www.ncbi.nlm.nih.gov/protein/NP_001273980.1","fatty acid-binding protein, liver")</f>
        <v>fatty acid-binding protein, liver</v>
      </c>
      <c r="J204" t="s">
        <v>1386</v>
      </c>
      <c r="K204" t="s">
        <v>25</v>
      </c>
      <c r="L204">
        <v>50</v>
      </c>
      <c r="M204" t="s">
        <v>1382</v>
      </c>
      <c r="N204" t="s">
        <v>25</v>
      </c>
    </row>
    <row r="205" spans="1:14" x14ac:dyDescent="0.25">
      <c r="A205">
        <v>6</v>
      </c>
      <c r="B205" t="s">
        <v>167</v>
      </c>
      <c r="C205" t="str">
        <f>HYPERLINK("http://www.ncbi.nlm.nih.gov/protein/XP_008006679.1","XP_008006679.1")</f>
        <v>XP_008006679.1</v>
      </c>
      <c r="D205">
        <v>62297</v>
      </c>
      <c r="E205" t="str">
        <f>HYPERLINK("http://www.ncbi.nlm.nih.gov/Taxonomy/Browser/wwwtax.cgi?mode=Info&amp;id=60711&amp;lvl=3&amp;lin=f&amp;keep=1&amp;srchmode=1&amp;unlock","60711")</f>
        <v>60711</v>
      </c>
      <c r="F205" t="s">
        <v>18</v>
      </c>
      <c r="G205" t="str">
        <f>HYPERLINK("http://www.ncbi.nlm.nih.gov/Taxonomy/Browser/wwwtax.cgi?mode=Info&amp;id=60711&amp;lvl=3&amp;lin=f&amp;keep=1&amp;srchmode=1&amp;unlock","Chlorocebus sabaeus")</f>
        <v>Chlorocebus sabaeus</v>
      </c>
      <c r="H205" t="s">
        <v>52</v>
      </c>
      <c r="I205" t="str">
        <f>HYPERLINK("http://www.ncbi.nlm.nih.gov/protein/XP_008006679.1","fatty acid-binding protein, liver")</f>
        <v>fatty acid-binding protein, liver</v>
      </c>
      <c r="J205" t="s">
        <v>1386</v>
      </c>
      <c r="K205" t="s">
        <v>20</v>
      </c>
      <c r="L205">
        <v>50</v>
      </c>
      <c r="M205" t="s">
        <v>1380</v>
      </c>
      <c r="N205" t="s">
        <v>20</v>
      </c>
    </row>
    <row r="206" spans="1:14" x14ac:dyDescent="0.25">
      <c r="A206">
        <v>6</v>
      </c>
      <c r="B206" t="s">
        <v>167</v>
      </c>
      <c r="C206" t="str">
        <f>HYPERLINK("http://www.ncbi.nlm.nih.gov/protein/XP_025309650.1","XP_025309650.1")</f>
        <v>XP_025309650.1</v>
      </c>
      <c r="D206">
        <v>70986</v>
      </c>
      <c r="E206" t="str">
        <f>HYPERLINK("http://www.ncbi.nlm.nih.gov/Taxonomy/Browser/wwwtax.cgi?mode=Info&amp;id=286419&amp;lvl=3&amp;lin=f&amp;keep=1&amp;srchmode=1&amp;unlock","286419")</f>
        <v>286419</v>
      </c>
      <c r="F206" t="s">
        <v>18</v>
      </c>
      <c r="G206" t="str">
        <f>HYPERLINK("http://www.ncbi.nlm.nih.gov/Taxonomy/Browser/wwwtax.cgi?mode=Info&amp;id=286419&amp;lvl=3&amp;lin=f&amp;keep=1&amp;srchmode=1&amp;unlock","Canis lupus dingo")</f>
        <v>Canis lupus dingo</v>
      </c>
      <c r="H206" t="s">
        <v>53</v>
      </c>
      <c r="I206" t="str">
        <f>HYPERLINK("http://www.ncbi.nlm.nih.gov/protein/XP_025309650.1","fatty acid-binding protein, liver")</f>
        <v>fatty acid-binding protein, liver</v>
      </c>
      <c r="J206" t="s">
        <v>1386</v>
      </c>
      <c r="K206" t="s">
        <v>25</v>
      </c>
      <c r="L206">
        <v>50</v>
      </c>
      <c r="M206" t="s">
        <v>1382</v>
      </c>
      <c r="N206" t="s">
        <v>25</v>
      </c>
    </row>
    <row r="207" spans="1:14" x14ac:dyDescent="0.25">
      <c r="A207">
        <v>6</v>
      </c>
      <c r="B207" t="s">
        <v>167</v>
      </c>
      <c r="C207" t="str">
        <f>HYPERLINK("http://www.ncbi.nlm.nih.gov/protein/XP_029792145.1","XP_029792145.1")</f>
        <v>XP_029792145.1</v>
      </c>
      <c r="D207">
        <v>43355</v>
      </c>
      <c r="E207" t="str">
        <f>HYPERLINK("http://www.ncbi.nlm.nih.gov/Taxonomy/Browser/wwwtax.cgi?mode=Info&amp;id=37032&amp;lvl=3&amp;lin=f&amp;keep=1&amp;srchmode=1&amp;unlock","37032")</f>
        <v>37032</v>
      </c>
      <c r="F207" t="s">
        <v>18</v>
      </c>
      <c r="G207" t="str">
        <f>HYPERLINK("http://www.ncbi.nlm.nih.gov/Taxonomy/Browser/wwwtax.cgi?mode=Info&amp;id=37032&amp;lvl=3&amp;lin=f&amp;keep=1&amp;srchmode=1&amp;unlock","Suricata suricatta")</f>
        <v>Suricata suricatta</v>
      </c>
      <c r="H207" t="s">
        <v>57</v>
      </c>
      <c r="I207" t="str">
        <f>HYPERLINK("http://www.ncbi.nlm.nih.gov/protein/XP_029792145.1","fatty acid-binding protein, liver")</f>
        <v>fatty acid-binding protein, liver</v>
      </c>
      <c r="J207" t="s">
        <v>1386</v>
      </c>
      <c r="K207" t="s">
        <v>25</v>
      </c>
      <c r="L207">
        <v>50</v>
      </c>
      <c r="M207" t="s">
        <v>1382</v>
      </c>
      <c r="N207" t="s">
        <v>25</v>
      </c>
    </row>
    <row r="208" spans="1:14" x14ac:dyDescent="0.25">
      <c r="A208">
        <v>6</v>
      </c>
      <c r="B208" t="s">
        <v>167</v>
      </c>
      <c r="C208" t="str">
        <f>HYPERLINK("http://www.ncbi.nlm.nih.gov/protein/XP_034856360.1","XP_034856360.1")</f>
        <v>XP_034856360.1</v>
      </c>
      <c r="D208">
        <v>64815</v>
      </c>
      <c r="E208" t="str">
        <f>HYPERLINK("http://www.ncbi.nlm.nih.gov/Taxonomy/Browser/wwwtax.cgi?mode=Info&amp;id=9715&amp;lvl=3&amp;lin=f&amp;keep=1&amp;srchmode=1&amp;unlock","9715")</f>
        <v>9715</v>
      </c>
      <c r="F208" t="s">
        <v>18</v>
      </c>
      <c r="G208" t="str">
        <f>HYPERLINK("http://www.ncbi.nlm.nih.gov/Taxonomy/Browser/wwwtax.cgi?mode=Info&amp;id=9715&amp;lvl=3&amp;lin=f&amp;keep=1&amp;srchmode=1&amp;unlock","Mirounga leonina")</f>
        <v>Mirounga leonina</v>
      </c>
      <c r="H208" t="s">
        <v>58</v>
      </c>
      <c r="I208" t="str">
        <f>HYPERLINK("http://www.ncbi.nlm.nih.gov/protein/XP_034856360.1","fatty acid-binding protein, liver")</f>
        <v>fatty acid-binding protein, liver</v>
      </c>
      <c r="J208" t="s">
        <v>1386</v>
      </c>
      <c r="K208" t="s">
        <v>25</v>
      </c>
      <c r="L208">
        <v>50</v>
      </c>
      <c r="M208" t="s">
        <v>1382</v>
      </c>
      <c r="N208" t="s">
        <v>25</v>
      </c>
    </row>
    <row r="209" spans="1:14" x14ac:dyDescent="0.25">
      <c r="A209">
        <v>6</v>
      </c>
      <c r="B209" t="s">
        <v>167</v>
      </c>
      <c r="C209" t="str">
        <f>HYPERLINK("http://www.ncbi.nlm.nih.gov/protein/XP_036787010.1","XP_036787010.1")</f>
        <v>XP_036787010.1</v>
      </c>
      <c r="D209">
        <v>58394</v>
      </c>
      <c r="E209" t="str">
        <f>HYPERLINK("http://www.ncbi.nlm.nih.gov/Taxonomy/Browser/wwwtax.cgi?mode=Info&amp;id=143292&amp;lvl=3&amp;lin=f&amp;keep=1&amp;srchmode=1&amp;unlock","143292")</f>
        <v>143292</v>
      </c>
      <c r="F209" t="s">
        <v>18</v>
      </c>
      <c r="G209" t="str">
        <f>HYPERLINK("http://www.ncbi.nlm.nih.gov/Taxonomy/Browser/wwwtax.cgi?mode=Info&amp;id=143292&amp;lvl=3&amp;lin=f&amp;keep=1&amp;srchmode=1&amp;unlock","Manis pentadactyla")</f>
        <v>Manis pentadactyla</v>
      </c>
      <c r="H209" t="s">
        <v>56</v>
      </c>
      <c r="I209" t="str">
        <f>HYPERLINK("http://www.ncbi.nlm.nih.gov/protein/XP_036787010.1","fatty acid-binding protein, liver")</f>
        <v>fatty acid-binding protein, liver</v>
      </c>
      <c r="J209" t="s">
        <v>1386</v>
      </c>
      <c r="K209" t="s">
        <v>20</v>
      </c>
      <c r="L209">
        <v>50</v>
      </c>
      <c r="M209" t="s">
        <v>1380</v>
      </c>
      <c r="N209" t="s">
        <v>20</v>
      </c>
    </row>
    <row r="210" spans="1:14" x14ac:dyDescent="0.25">
      <c r="A210">
        <v>6</v>
      </c>
      <c r="B210" t="s">
        <v>167</v>
      </c>
      <c r="C210" t="str">
        <f>HYPERLINK("http://www.ncbi.nlm.nih.gov/protein/XP_014931273.1","XP_014931273.1")</f>
        <v>XP_014931273.1</v>
      </c>
      <c r="D210">
        <v>56437</v>
      </c>
      <c r="E210" t="str">
        <f>HYPERLINK("http://www.ncbi.nlm.nih.gov/Taxonomy/Browser/wwwtax.cgi?mode=Info&amp;id=32536&amp;lvl=3&amp;lin=f&amp;keep=1&amp;srchmode=1&amp;unlock","32536")</f>
        <v>32536</v>
      </c>
      <c r="F210" t="s">
        <v>18</v>
      </c>
      <c r="G210" t="str">
        <f>HYPERLINK("http://www.ncbi.nlm.nih.gov/Taxonomy/Browser/wwwtax.cgi?mode=Info&amp;id=32536&amp;lvl=3&amp;lin=f&amp;keep=1&amp;srchmode=1&amp;unlock","Acinonyx jubatus")</f>
        <v>Acinonyx jubatus</v>
      </c>
      <c r="H210" t="s">
        <v>62</v>
      </c>
      <c r="I210" t="str">
        <f>HYPERLINK("http://www.ncbi.nlm.nih.gov/protein/XP_014931273.1","fatty acid-binding protein, liver")</f>
        <v>fatty acid-binding protein, liver</v>
      </c>
      <c r="J210" t="s">
        <v>1386</v>
      </c>
      <c r="K210" t="s">
        <v>25</v>
      </c>
      <c r="L210">
        <v>50</v>
      </c>
      <c r="M210" t="s">
        <v>1382</v>
      </c>
      <c r="N210" t="s">
        <v>25</v>
      </c>
    </row>
    <row r="211" spans="1:14" x14ac:dyDescent="0.25">
      <c r="A211">
        <v>6</v>
      </c>
      <c r="B211" t="s">
        <v>167</v>
      </c>
      <c r="C211" t="str">
        <f>HYPERLINK("http://www.ncbi.nlm.nih.gov/protein/XP_030164911.1","XP_030164911.1")</f>
        <v>XP_030164911.1</v>
      </c>
      <c r="D211">
        <v>42175</v>
      </c>
      <c r="E211" t="str">
        <f>HYPERLINK("http://www.ncbi.nlm.nih.gov/Taxonomy/Browser/wwwtax.cgi?mode=Info&amp;id=61383&amp;lvl=3&amp;lin=f&amp;keep=1&amp;srchmode=1&amp;unlock","61383")</f>
        <v>61383</v>
      </c>
      <c r="F211" t="s">
        <v>18</v>
      </c>
      <c r="G211" t="str">
        <f>HYPERLINK("http://www.ncbi.nlm.nih.gov/Taxonomy/Browser/wwwtax.cgi?mode=Info&amp;id=61383&amp;lvl=3&amp;lin=f&amp;keep=1&amp;srchmode=1&amp;unlock","Lynx canadensis")</f>
        <v>Lynx canadensis</v>
      </c>
      <c r="H211" t="s">
        <v>63</v>
      </c>
      <c r="I211" t="str">
        <f>HYPERLINK("http://www.ncbi.nlm.nih.gov/protein/XP_030164911.1","fatty acid-binding protein, liver")</f>
        <v>fatty acid-binding protein, liver</v>
      </c>
      <c r="J211" t="s">
        <v>1386</v>
      </c>
      <c r="K211" t="s">
        <v>25</v>
      </c>
      <c r="L211">
        <v>50</v>
      </c>
      <c r="M211" t="s">
        <v>1382</v>
      </c>
      <c r="N211" t="s">
        <v>25</v>
      </c>
    </row>
    <row r="212" spans="1:14" x14ac:dyDescent="0.25">
      <c r="A212">
        <v>6</v>
      </c>
      <c r="B212" t="s">
        <v>167</v>
      </c>
      <c r="C212" t="str">
        <f>HYPERLINK("http://www.ncbi.nlm.nih.gov/protein/XP_025783149.1","XP_025783149.1")</f>
        <v>XP_025783149.1</v>
      </c>
      <c r="D212">
        <v>23617</v>
      </c>
      <c r="E212" t="str">
        <f>HYPERLINK("http://www.ncbi.nlm.nih.gov/Taxonomy/Browser/wwwtax.cgi?mode=Info&amp;id=9696&amp;lvl=3&amp;lin=f&amp;keep=1&amp;srchmode=1&amp;unlock","9696")</f>
        <v>9696</v>
      </c>
      <c r="F212" t="s">
        <v>18</v>
      </c>
      <c r="G212" t="str">
        <f>HYPERLINK("http://www.ncbi.nlm.nih.gov/Taxonomy/Browser/wwwtax.cgi?mode=Info&amp;id=9696&amp;lvl=3&amp;lin=f&amp;keep=1&amp;srchmode=1&amp;unlock","Puma concolor")</f>
        <v>Puma concolor</v>
      </c>
      <c r="H212" t="s">
        <v>64</v>
      </c>
      <c r="I212" t="str">
        <f>HYPERLINK("http://www.ncbi.nlm.nih.gov/protein/XP_025783149.1","fatty acid-binding protein, liver")</f>
        <v>fatty acid-binding protein, liver</v>
      </c>
      <c r="J212" t="s">
        <v>1386</v>
      </c>
      <c r="K212" t="s">
        <v>25</v>
      </c>
      <c r="L212">
        <v>50</v>
      </c>
      <c r="M212" t="s">
        <v>1382</v>
      </c>
      <c r="N212" t="s">
        <v>25</v>
      </c>
    </row>
    <row r="213" spans="1:14" x14ac:dyDescent="0.25">
      <c r="A213">
        <v>6</v>
      </c>
      <c r="B213" t="s">
        <v>167</v>
      </c>
      <c r="C213" t="str">
        <f>HYPERLINK("http://www.ncbi.nlm.nih.gov/protein/XP_012328400.1","XP_012328400.1")</f>
        <v>XP_012328400.1</v>
      </c>
      <c r="D213">
        <v>48089</v>
      </c>
      <c r="E213" t="str">
        <f>HYPERLINK("http://www.ncbi.nlm.nih.gov/Taxonomy/Browser/wwwtax.cgi?mode=Info&amp;id=37293&amp;lvl=3&amp;lin=f&amp;keep=1&amp;srchmode=1&amp;unlock","37293")</f>
        <v>37293</v>
      </c>
      <c r="F213" t="s">
        <v>18</v>
      </c>
      <c r="G213" t="str">
        <f>HYPERLINK("http://www.ncbi.nlm.nih.gov/Taxonomy/Browser/wwwtax.cgi?mode=Info&amp;id=37293&amp;lvl=3&amp;lin=f&amp;keep=1&amp;srchmode=1&amp;unlock","Aotus nancymaae")</f>
        <v>Aotus nancymaae</v>
      </c>
      <c r="H213" t="s">
        <v>65</v>
      </c>
      <c r="I213" t="str">
        <f>HYPERLINK("http://www.ncbi.nlm.nih.gov/protein/XP_012328400.1","fatty acid-binding protein, liver")</f>
        <v>fatty acid-binding protein, liver</v>
      </c>
      <c r="J213" t="s">
        <v>1386</v>
      </c>
      <c r="K213" t="s">
        <v>25</v>
      </c>
      <c r="L213">
        <v>50</v>
      </c>
      <c r="M213" t="s">
        <v>1382</v>
      </c>
      <c r="N213" t="s">
        <v>25</v>
      </c>
    </row>
    <row r="214" spans="1:14" x14ac:dyDescent="0.25">
      <c r="A214">
        <v>6</v>
      </c>
      <c r="B214" t="s">
        <v>167</v>
      </c>
      <c r="C214" t="str">
        <f>HYPERLINK("http://www.ncbi.nlm.nih.gov/protein/XP_040352755.1","XP_040352755.1")</f>
        <v>XP_040352755.1</v>
      </c>
      <c r="D214">
        <v>55674</v>
      </c>
      <c r="E214" t="str">
        <f>HYPERLINK("http://www.ncbi.nlm.nih.gov/Taxonomy/Browser/wwwtax.cgi?mode=Info&amp;id=1608482&amp;lvl=3&amp;lin=f&amp;keep=1&amp;srchmode=1&amp;unlock","1608482")</f>
        <v>1608482</v>
      </c>
      <c r="F214" t="s">
        <v>18</v>
      </c>
      <c r="G214" t="str">
        <f>HYPERLINK("http://www.ncbi.nlm.nih.gov/Taxonomy/Browser/wwwtax.cgi?mode=Info&amp;id=1608482&amp;lvl=3&amp;lin=f&amp;keep=1&amp;srchmode=1&amp;unlock","Puma yagouaroundi")</f>
        <v>Puma yagouaroundi</v>
      </c>
      <c r="H214" t="s">
        <v>66</v>
      </c>
      <c r="I214" t="str">
        <f>HYPERLINK("http://www.ncbi.nlm.nih.gov/protein/XP_040352755.1","fatty acid-binding protein, liver")</f>
        <v>fatty acid-binding protein, liver</v>
      </c>
      <c r="J214" t="s">
        <v>1386</v>
      </c>
      <c r="K214" t="s">
        <v>25</v>
      </c>
      <c r="L214">
        <v>50</v>
      </c>
      <c r="M214" t="s">
        <v>1382</v>
      </c>
      <c r="N214" t="s">
        <v>25</v>
      </c>
    </row>
    <row r="215" spans="1:14" x14ac:dyDescent="0.25">
      <c r="A215">
        <v>6</v>
      </c>
      <c r="B215" t="s">
        <v>167</v>
      </c>
      <c r="C215" t="str">
        <f>HYPERLINK("http://www.ncbi.nlm.nih.gov/protein/XP_027476370.1","XP_027476370.1")</f>
        <v>XP_027476370.1</v>
      </c>
      <c r="D215">
        <v>61138</v>
      </c>
      <c r="E215" t="str">
        <f>HYPERLINK("http://www.ncbi.nlm.nih.gov/Taxonomy/Browser/wwwtax.cgi?mode=Info&amp;id=9704&amp;lvl=3&amp;lin=f&amp;keep=1&amp;srchmode=1&amp;unlock","9704")</f>
        <v>9704</v>
      </c>
      <c r="F215" t="s">
        <v>18</v>
      </c>
      <c r="G215" t="str">
        <f>HYPERLINK("http://www.ncbi.nlm.nih.gov/Taxonomy/Browser/wwwtax.cgi?mode=Info&amp;id=9704&amp;lvl=3&amp;lin=f&amp;keep=1&amp;srchmode=1&amp;unlock","Zalophus californianus")</f>
        <v>Zalophus californianus</v>
      </c>
      <c r="H215" t="s">
        <v>67</v>
      </c>
      <c r="I215" t="str">
        <f>HYPERLINK("http://www.ncbi.nlm.nih.gov/protein/XP_027476370.1","fatty acid-binding protein, liver")</f>
        <v>fatty acid-binding protein, liver</v>
      </c>
      <c r="J215" t="s">
        <v>1386</v>
      </c>
      <c r="K215" t="s">
        <v>25</v>
      </c>
      <c r="L215">
        <v>50</v>
      </c>
      <c r="M215" t="s">
        <v>1382</v>
      </c>
      <c r="N215" t="s">
        <v>25</v>
      </c>
    </row>
    <row r="216" spans="1:14" x14ac:dyDescent="0.25">
      <c r="A216">
        <v>6</v>
      </c>
      <c r="B216" t="s">
        <v>167</v>
      </c>
      <c r="C216" t="str">
        <f>HYPERLINK("http://www.ncbi.nlm.nih.gov/protein/XP_035932047.1","XP_035932047.1")</f>
        <v>XP_035932047.1</v>
      </c>
      <c r="D216">
        <v>60330</v>
      </c>
      <c r="E216" t="str">
        <f>HYPERLINK("http://www.ncbi.nlm.nih.gov/Taxonomy/Browser/wwwtax.cgi?mode=Info&amp;id=9711&amp;lvl=3&amp;lin=f&amp;keep=1&amp;srchmode=1&amp;unlock","9711")</f>
        <v>9711</v>
      </c>
      <c r="F216" t="s">
        <v>18</v>
      </c>
      <c r="G216" t="str">
        <f>HYPERLINK("http://www.ncbi.nlm.nih.gov/Taxonomy/Browser/wwwtax.cgi?mode=Info&amp;id=9711&amp;lvl=3&amp;lin=f&amp;keep=1&amp;srchmode=1&amp;unlock","Halichoerus grypus")</f>
        <v>Halichoerus grypus</v>
      </c>
      <c r="H216" t="s">
        <v>68</v>
      </c>
      <c r="I216" t="str">
        <f>HYPERLINK("http://www.ncbi.nlm.nih.gov/protein/XP_035932047.1","fatty acid-binding protein, liver")</f>
        <v>fatty acid-binding protein, liver</v>
      </c>
      <c r="J216" t="s">
        <v>1386</v>
      </c>
      <c r="K216" t="s">
        <v>25</v>
      </c>
      <c r="L216">
        <v>50</v>
      </c>
      <c r="M216" t="s">
        <v>1382</v>
      </c>
      <c r="N216" t="s">
        <v>25</v>
      </c>
    </row>
    <row r="217" spans="1:14" x14ac:dyDescent="0.25">
      <c r="A217">
        <v>6</v>
      </c>
      <c r="B217" t="s">
        <v>167</v>
      </c>
      <c r="C217" t="str">
        <f>HYPERLINK("http://www.ncbi.nlm.nih.gov/protein/XP_025723410.1","XP_025723410.1")</f>
        <v>XP_025723410.1</v>
      </c>
      <c r="D217">
        <v>46265</v>
      </c>
      <c r="E217" t="str">
        <f>HYPERLINK("http://www.ncbi.nlm.nih.gov/Taxonomy/Browser/wwwtax.cgi?mode=Info&amp;id=34884&amp;lvl=3&amp;lin=f&amp;keep=1&amp;srchmode=1&amp;unlock","34884")</f>
        <v>34884</v>
      </c>
      <c r="F217" t="s">
        <v>18</v>
      </c>
      <c r="G217" t="str">
        <f>HYPERLINK("http://www.ncbi.nlm.nih.gov/Taxonomy/Browser/wwwtax.cgi?mode=Info&amp;id=34884&amp;lvl=3&amp;lin=f&amp;keep=1&amp;srchmode=1&amp;unlock","Callorhinus ursinus")</f>
        <v>Callorhinus ursinus</v>
      </c>
      <c r="H217" t="s">
        <v>59</v>
      </c>
      <c r="I217" t="str">
        <f>HYPERLINK("http://www.ncbi.nlm.nih.gov/protein/XP_025723410.1","fatty acid-binding protein, liver")</f>
        <v>fatty acid-binding protein, liver</v>
      </c>
      <c r="J217" t="s">
        <v>1386</v>
      </c>
      <c r="K217" t="s">
        <v>25</v>
      </c>
      <c r="L217">
        <v>50</v>
      </c>
      <c r="M217" t="s">
        <v>1382</v>
      </c>
      <c r="N217" t="s">
        <v>25</v>
      </c>
    </row>
    <row r="218" spans="1:14" x14ac:dyDescent="0.25">
      <c r="A218">
        <v>6</v>
      </c>
      <c r="B218" t="s">
        <v>167</v>
      </c>
      <c r="C218" t="str">
        <f>HYPERLINK("http://www.ncbi.nlm.nih.gov/protein/XP_003984285.1","XP_003984285.1")</f>
        <v>XP_003984285.1</v>
      </c>
      <c r="D218">
        <v>57528</v>
      </c>
      <c r="E218" t="str">
        <f>HYPERLINK("http://www.ncbi.nlm.nih.gov/Taxonomy/Browser/wwwtax.cgi?mode=Info&amp;id=9685&amp;lvl=3&amp;lin=f&amp;keep=1&amp;srchmode=1&amp;unlock","9685")</f>
        <v>9685</v>
      </c>
      <c r="F218" t="s">
        <v>18</v>
      </c>
      <c r="G218" t="str">
        <f>HYPERLINK("http://www.ncbi.nlm.nih.gov/Taxonomy/Browser/wwwtax.cgi?mode=Info&amp;id=9685&amp;lvl=3&amp;lin=f&amp;keep=1&amp;srchmode=1&amp;unlock","Felis catus")</f>
        <v>Felis catus</v>
      </c>
      <c r="H218" t="s">
        <v>60</v>
      </c>
      <c r="I218" t="str">
        <f>HYPERLINK("http://www.ncbi.nlm.nih.gov/protein/XP_003984285.1","fatty acid-binding protein, liver")</f>
        <v>fatty acid-binding protein, liver</v>
      </c>
      <c r="J218" t="s">
        <v>1386</v>
      </c>
      <c r="K218" t="s">
        <v>25</v>
      </c>
      <c r="L218">
        <v>50</v>
      </c>
      <c r="M218" t="s">
        <v>1382</v>
      </c>
      <c r="N218" t="s">
        <v>25</v>
      </c>
    </row>
    <row r="219" spans="1:14" x14ac:dyDescent="0.25">
      <c r="A219">
        <v>6</v>
      </c>
      <c r="B219" t="s">
        <v>167</v>
      </c>
      <c r="C219" t="str">
        <f>HYPERLINK("http://www.ncbi.nlm.nih.gov/protein/XP_027978263.1","XP_027978263.1")</f>
        <v>XP_027978263.1</v>
      </c>
      <c r="D219">
        <v>40115</v>
      </c>
      <c r="E219" t="str">
        <f>HYPERLINK("http://www.ncbi.nlm.nih.gov/Taxonomy/Browser/wwwtax.cgi?mode=Info&amp;id=34886&amp;lvl=3&amp;lin=f&amp;keep=1&amp;srchmode=1&amp;unlock","34886")</f>
        <v>34886</v>
      </c>
      <c r="F219" t="s">
        <v>18</v>
      </c>
      <c r="G219" t="str">
        <f>HYPERLINK("http://www.ncbi.nlm.nih.gov/Taxonomy/Browser/wwwtax.cgi?mode=Info&amp;id=34886&amp;lvl=3&amp;lin=f&amp;keep=1&amp;srchmode=1&amp;unlock","Eumetopias jubatus")</f>
        <v>Eumetopias jubatus</v>
      </c>
      <c r="H219" t="s">
        <v>61</v>
      </c>
      <c r="I219" t="str">
        <f>HYPERLINK("http://www.ncbi.nlm.nih.gov/protein/XP_027978263.1","fatty acid-binding protein, liver")</f>
        <v>fatty acid-binding protein, liver</v>
      </c>
      <c r="J219" t="s">
        <v>1386</v>
      </c>
      <c r="K219" t="s">
        <v>25</v>
      </c>
      <c r="L219">
        <v>50</v>
      </c>
      <c r="M219" t="s">
        <v>1382</v>
      </c>
      <c r="N219" t="s">
        <v>25</v>
      </c>
    </row>
    <row r="220" spans="1:14" x14ac:dyDescent="0.25">
      <c r="A220">
        <v>6</v>
      </c>
      <c r="B220" t="s">
        <v>167</v>
      </c>
      <c r="C220" t="str">
        <f>HYPERLINK("http://www.ncbi.nlm.nih.gov/protein/XP_008069922.1","XP_008069922.1")</f>
        <v>XP_008069922.1</v>
      </c>
      <c r="D220">
        <v>33266</v>
      </c>
      <c r="E220" t="str">
        <f>HYPERLINK("http://www.ncbi.nlm.nih.gov/Taxonomy/Browser/wwwtax.cgi?mode=Info&amp;id=1868482&amp;lvl=3&amp;lin=f&amp;keep=1&amp;srchmode=1&amp;unlock","1868482")</f>
        <v>1868482</v>
      </c>
      <c r="F220" t="s">
        <v>18</v>
      </c>
      <c r="G220" t="str">
        <f>HYPERLINK("http://www.ncbi.nlm.nih.gov/Taxonomy/Browser/wwwtax.cgi?mode=Info&amp;id=1868482&amp;lvl=3&amp;lin=f&amp;keep=1&amp;srchmode=1&amp;unlock","Carlito syrichta")</f>
        <v>Carlito syrichta</v>
      </c>
      <c r="H220" t="s">
        <v>69</v>
      </c>
      <c r="I220" t="str">
        <f>HYPERLINK("http://www.ncbi.nlm.nih.gov/protein/XP_008069922.1","fatty acid-binding protein, liver")</f>
        <v>fatty acid-binding protein, liver</v>
      </c>
      <c r="J220" t="s">
        <v>1386</v>
      </c>
      <c r="K220" t="s">
        <v>25</v>
      </c>
      <c r="L220">
        <v>50</v>
      </c>
      <c r="M220" t="s">
        <v>1382</v>
      </c>
      <c r="N220" t="s">
        <v>25</v>
      </c>
    </row>
    <row r="221" spans="1:14" x14ac:dyDescent="0.25">
      <c r="A221">
        <v>6</v>
      </c>
      <c r="B221" t="s">
        <v>167</v>
      </c>
      <c r="C221" t="str">
        <f>HYPERLINK("http://www.ncbi.nlm.nih.gov/protein/XP_006168422.1","XP_006168422.1")</f>
        <v>XP_006168422.1</v>
      </c>
      <c r="D221">
        <v>59503</v>
      </c>
      <c r="E221" t="str">
        <f>HYPERLINK("http://www.ncbi.nlm.nih.gov/Taxonomy/Browser/wwwtax.cgi?mode=Info&amp;id=246437&amp;lvl=3&amp;lin=f&amp;keep=1&amp;srchmode=1&amp;unlock","246437")</f>
        <v>246437</v>
      </c>
      <c r="F221" t="s">
        <v>18</v>
      </c>
      <c r="G221" t="str">
        <f>HYPERLINK("http://www.ncbi.nlm.nih.gov/Taxonomy/Browser/wwwtax.cgi?mode=Info&amp;id=246437&amp;lvl=3&amp;lin=f&amp;keep=1&amp;srchmode=1&amp;unlock","Tupaia chinensis")</f>
        <v>Tupaia chinensis</v>
      </c>
      <c r="H221" t="s">
        <v>70</v>
      </c>
      <c r="I221" t="str">
        <f>HYPERLINK("http://www.ncbi.nlm.nih.gov/protein/XP_006168422.1","fatty acid-binding protein, liver")</f>
        <v>fatty acid-binding protein, liver</v>
      </c>
      <c r="J221" t="s">
        <v>1386</v>
      </c>
      <c r="K221" t="s">
        <v>25</v>
      </c>
      <c r="L221">
        <v>50</v>
      </c>
      <c r="M221" t="s">
        <v>1382</v>
      </c>
      <c r="N221" t="s">
        <v>25</v>
      </c>
    </row>
    <row r="222" spans="1:14" x14ac:dyDescent="0.25">
      <c r="A222">
        <v>6</v>
      </c>
      <c r="B222" t="s">
        <v>167</v>
      </c>
      <c r="C222" t="str">
        <f>HYPERLINK("http://www.ncbi.nlm.nih.gov/protein/XP_022360267.1","XP_022360267.1")</f>
        <v>XP_022360267.1</v>
      </c>
      <c r="D222">
        <v>36593</v>
      </c>
      <c r="E222" t="str">
        <f>HYPERLINK("http://www.ncbi.nlm.nih.gov/Taxonomy/Browser/wwwtax.cgi?mode=Info&amp;id=391180&amp;lvl=3&amp;lin=f&amp;keep=1&amp;srchmode=1&amp;unlock","391180")</f>
        <v>391180</v>
      </c>
      <c r="F222" t="s">
        <v>18</v>
      </c>
      <c r="G222" t="str">
        <f>HYPERLINK("http://www.ncbi.nlm.nih.gov/Taxonomy/Browser/wwwtax.cgi?mode=Info&amp;id=391180&amp;lvl=3&amp;lin=f&amp;keep=1&amp;srchmode=1&amp;unlock","Enhydra lutris kenyoni")</f>
        <v>Enhydra lutris kenyoni</v>
      </c>
      <c r="H222" t="s">
        <v>71</v>
      </c>
      <c r="I222" t="str">
        <f>HYPERLINK("http://www.ncbi.nlm.nih.gov/protein/XP_022360267.1","fatty acid-binding protein, liver")</f>
        <v>fatty acid-binding protein, liver</v>
      </c>
      <c r="J222" t="s">
        <v>1386</v>
      </c>
      <c r="K222" t="s">
        <v>25</v>
      </c>
      <c r="L222">
        <v>50</v>
      </c>
      <c r="M222" t="s">
        <v>1382</v>
      </c>
      <c r="N222" t="s">
        <v>25</v>
      </c>
    </row>
    <row r="223" spans="1:14" x14ac:dyDescent="0.25">
      <c r="A223">
        <v>6</v>
      </c>
      <c r="B223" t="s">
        <v>167</v>
      </c>
      <c r="C223" t="str">
        <f>HYPERLINK("http://www.ncbi.nlm.nih.gov/protein/NXY87323.1","NXY87323.1")</f>
        <v>NXY87323.1</v>
      </c>
      <c r="D223">
        <v>12038</v>
      </c>
      <c r="E223" t="str">
        <f>HYPERLINK("http://www.ncbi.nlm.nih.gov/Taxonomy/Browser/wwwtax.cgi?mode=Info&amp;id=390723&amp;lvl=3&amp;lin=f&amp;keep=1&amp;srchmode=1&amp;unlock","390723")</f>
        <v>390723</v>
      </c>
      <c r="F223" t="s">
        <v>167</v>
      </c>
      <c r="G223" t="str">
        <f>HYPERLINK("http://www.ncbi.nlm.nih.gov/Taxonomy/Browser/wwwtax.cgi?mode=Info&amp;id=390723&amp;lvl=3&amp;lin=f&amp;keep=1&amp;srchmode=1&amp;unlock","Ceyx cyanopectus")</f>
        <v>Ceyx cyanopectus</v>
      </c>
      <c r="H223" t="s">
        <v>168</v>
      </c>
      <c r="I223" t="str">
        <f>HYPERLINK("http://www.ncbi.nlm.nih.gov/protein/NXY87323.1","FABPL protein")</f>
        <v>FABPL protein</v>
      </c>
      <c r="J223" t="s">
        <v>1386</v>
      </c>
      <c r="K223" t="s">
        <v>25</v>
      </c>
      <c r="L223">
        <v>50</v>
      </c>
      <c r="M223" t="s">
        <v>1379</v>
      </c>
      <c r="N223" t="s">
        <v>25</v>
      </c>
    </row>
    <row r="224" spans="1:14" x14ac:dyDescent="0.25">
      <c r="A224">
        <v>6</v>
      </c>
      <c r="B224" t="s">
        <v>167</v>
      </c>
      <c r="C224" t="str">
        <f>HYPERLINK("http://www.ncbi.nlm.nih.gov/protein/XP_009574418.1","XP_009574418.1")</f>
        <v>XP_009574418.1</v>
      </c>
      <c r="D224">
        <v>28139</v>
      </c>
      <c r="E224" t="str">
        <f>HYPERLINK("http://www.ncbi.nlm.nih.gov/Taxonomy/Browser/wwwtax.cgi?mode=Info&amp;id=30455&amp;lvl=3&amp;lin=f&amp;keep=1&amp;srchmode=1&amp;unlock","30455")</f>
        <v>30455</v>
      </c>
      <c r="F224" t="s">
        <v>167</v>
      </c>
      <c r="G224" t="str">
        <f>HYPERLINK("http://www.ncbi.nlm.nih.gov/Taxonomy/Browser/wwwtax.cgi?mode=Info&amp;id=30455&amp;lvl=3&amp;lin=f&amp;keep=1&amp;srchmode=1&amp;unlock","Fulmarus glacialis")</f>
        <v>Fulmarus glacialis</v>
      </c>
      <c r="H224" t="s">
        <v>171</v>
      </c>
      <c r="I224" t="str">
        <f>HYPERLINK("http://www.ncbi.nlm.nih.gov/protein/XP_009574418.1","PREDICTED: fatty acid-binding protein, liver")</f>
        <v>PREDICTED: fatty acid-binding protein, liver</v>
      </c>
      <c r="J224" t="s">
        <v>1386</v>
      </c>
      <c r="K224" t="s">
        <v>25</v>
      </c>
      <c r="L224">
        <v>50</v>
      </c>
      <c r="M224" t="s">
        <v>1383</v>
      </c>
      <c r="N224" t="s">
        <v>25</v>
      </c>
    </row>
    <row r="225" spans="1:14" x14ac:dyDescent="0.25">
      <c r="A225">
        <v>6</v>
      </c>
      <c r="B225" t="s">
        <v>167</v>
      </c>
      <c r="C225" t="str">
        <f>HYPERLINK("http://www.ncbi.nlm.nih.gov/protein/NXH75727.1","NXH75727.1")</f>
        <v>NXH75727.1</v>
      </c>
      <c r="D225">
        <v>14052</v>
      </c>
      <c r="E225" t="str">
        <f>HYPERLINK("http://www.ncbi.nlm.nih.gov/Taxonomy/Browser/wwwtax.cgi?mode=Info&amp;id=79633&amp;lvl=3&amp;lin=f&amp;keep=1&amp;srchmode=1&amp;unlock","79633")</f>
        <v>79633</v>
      </c>
      <c r="F225" t="s">
        <v>167</v>
      </c>
      <c r="G225" t="str">
        <f>HYPERLINK("http://www.ncbi.nlm.nih.gov/Taxonomy/Browser/wwwtax.cgi?mode=Info&amp;id=79633&amp;lvl=3&amp;lin=f&amp;keep=1&amp;srchmode=1&amp;unlock","Oceanodroma tethys")</f>
        <v>Oceanodroma tethys</v>
      </c>
      <c r="H225" t="s">
        <v>173</v>
      </c>
      <c r="I225" t="str">
        <f>HYPERLINK("http://www.ncbi.nlm.nih.gov/protein/NXH75727.1","FABPL protein")</f>
        <v>FABPL protein</v>
      </c>
      <c r="J225" t="s">
        <v>1386</v>
      </c>
      <c r="K225" t="s">
        <v>25</v>
      </c>
      <c r="L225">
        <v>50</v>
      </c>
      <c r="M225" t="s">
        <v>1383</v>
      </c>
      <c r="N225" t="s">
        <v>25</v>
      </c>
    </row>
    <row r="226" spans="1:14" x14ac:dyDescent="0.25">
      <c r="A226">
        <v>6</v>
      </c>
      <c r="B226" t="s">
        <v>167</v>
      </c>
      <c r="C226" t="str">
        <f>HYPERLINK("http://www.ncbi.nlm.nih.gov/protein/XP_009951890.1","XP_009951890.1")</f>
        <v>XP_009951890.1</v>
      </c>
      <c r="D226">
        <v>28808</v>
      </c>
      <c r="E226" t="str">
        <f>HYPERLINK("http://www.ncbi.nlm.nih.gov/Taxonomy/Browser/wwwtax.cgi?mode=Info&amp;id=188344&amp;lvl=3&amp;lin=f&amp;keep=1&amp;srchmode=1&amp;unlock","188344")</f>
        <v>188344</v>
      </c>
      <c r="F226" t="s">
        <v>167</v>
      </c>
      <c r="G226" t="str">
        <f>HYPERLINK("http://www.ncbi.nlm.nih.gov/Taxonomy/Browser/wwwtax.cgi?mode=Info&amp;id=188344&amp;lvl=3&amp;lin=f&amp;keep=1&amp;srchmode=1&amp;unlock","Leptosomus discolor")</f>
        <v>Leptosomus discolor</v>
      </c>
      <c r="H226" t="s">
        <v>174</v>
      </c>
      <c r="I226" t="str">
        <f>HYPERLINK("http://www.ncbi.nlm.nih.gov/protein/XP_009951890.1","PREDICTED: fatty acid-binding protein, liver")</f>
        <v>PREDICTED: fatty acid-binding protein, liver</v>
      </c>
      <c r="J226" t="s">
        <v>1386</v>
      </c>
      <c r="K226" t="s">
        <v>25</v>
      </c>
      <c r="L226">
        <v>50</v>
      </c>
      <c r="M226" t="s">
        <v>1379</v>
      </c>
      <c r="N226" t="s">
        <v>25</v>
      </c>
    </row>
    <row r="227" spans="1:14" x14ac:dyDescent="0.25">
      <c r="A227">
        <v>6</v>
      </c>
      <c r="B227" t="s">
        <v>167</v>
      </c>
      <c r="C227" t="str">
        <f>HYPERLINK("http://www.ncbi.nlm.nih.gov/protein/XP_010128264.1","XP_010128264.1")</f>
        <v>XP_010128264.1</v>
      </c>
      <c r="D227">
        <v>26949</v>
      </c>
      <c r="E227" t="str">
        <f>HYPERLINK("http://www.ncbi.nlm.nih.gov/Taxonomy/Browser/wwwtax.cgi?mode=Info&amp;id=187382&amp;lvl=3&amp;lin=f&amp;keep=1&amp;srchmode=1&amp;unlock","187382")</f>
        <v>187382</v>
      </c>
      <c r="F227" t="s">
        <v>167</v>
      </c>
      <c r="G227" t="str">
        <f>HYPERLINK("http://www.ncbi.nlm.nih.gov/Taxonomy/Browser/wwwtax.cgi?mode=Info&amp;id=187382&amp;lvl=3&amp;lin=f&amp;keep=1&amp;srchmode=1&amp;unlock","Chlamydotis macqueenii")</f>
        <v>Chlamydotis macqueenii</v>
      </c>
      <c r="H227" t="s">
        <v>176</v>
      </c>
      <c r="I227" t="str">
        <f>HYPERLINK("http://www.ncbi.nlm.nih.gov/protein/XP_010128264.1","PREDICTED: fatty acid-binding protein, liver")</f>
        <v>PREDICTED: fatty acid-binding protein, liver</v>
      </c>
      <c r="J227" t="s">
        <v>1386</v>
      </c>
      <c r="K227" t="s">
        <v>25</v>
      </c>
      <c r="L227">
        <v>50</v>
      </c>
      <c r="M227" t="s">
        <v>1383</v>
      </c>
      <c r="N227" t="s">
        <v>25</v>
      </c>
    </row>
    <row r="228" spans="1:14" x14ac:dyDescent="0.25">
      <c r="A228">
        <v>6</v>
      </c>
      <c r="B228" t="s">
        <v>167</v>
      </c>
      <c r="C228" t="str">
        <f>HYPERLINK("http://www.ncbi.nlm.nih.gov/protein/PKU48683.1","PKU48683.1")</f>
        <v>PKU48683.1</v>
      </c>
      <c r="D228">
        <v>23022</v>
      </c>
      <c r="E228" t="str">
        <f>HYPERLINK("http://www.ncbi.nlm.nih.gov/Taxonomy/Browser/wwwtax.cgi?mode=Info&amp;id=1758121&amp;lvl=3&amp;lin=f&amp;keep=1&amp;srchmode=1&amp;unlock","1758121")</f>
        <v>1758121</v>
      </c>
      <c r="F228" t="s">
        <v>167</v>
      </c>
      <c r="G228" t="str">
        <f>HYPERLINK("http://www.ncbi.nlm.nih.gov/Taxonomy/Browser/wwwtax.cgi?mode=Info&amp;id=1758121&amp;lvl=3&amp;lin=f&amp;keep=1&amp;srchmode=1&amp;unlock","Limosa lapponica baueri")</f>
        <v>Limosa lapponica baueri</v>
      </c>
      <c r="H228" t="s">
        <v>178</v>
      </c>
      <c r="I228" t="str">
        <f>HYPERLINK("http://www.ncbi.nlm.nih.gov/protein/PKU48683.1","fatty acid-binding liver")</f>
        <v>fatty acid-binding liver</v>
      </c>
      <c r="J228" t="s">
        <v>1386</v>
      </c>
      <c r="K228" t="s">
        <v>25</v>
      </c>
      <c r="L228">
        <v>50</v>
      </c>
      <c r="M228" t="s">
        <v>1379</v>
      </c>
      <c r="N228" t="s">
        <v>25</v>
      </c>
    </row>
    <row r="229" spans="1:14" x14ac:dyDescent="0.25">
      <c r="A229">
        <v>6</v>
      </c>
      <c r="B229" t="s">
        <v>167</v>
      </c>
      <c r="C229" t="str">
        <f>HYPERLINK("http://www.ncbi.nlm.nih.gov/protein/NXT31540.1","NXT31540.1")</f>
        <v>NXT31540.1</v>
      </c>
      <c r="D229">
        <v>14805</v>
      </c>
      <c r="E229" t="str">
        <f>HYPERLINK("http://www.ncbi.nlm.nih.gov/Taxonomy/Browser/wwwtax.cgi?mode=Info&amp;id=37079&amp;lvl=3&amp;lin=f&amp;keep=1&amp;srchmode=1&amp;unlock","37079")</f>
        <v>37079</v>
      </c>
      <c r="F229" t="s">
        <v>167</v>
      </c>
      <c r="G229" t="str">
        <f>HYPERLINK("http://www.ncbi.nlm.nih.gov/Taxonomy/Browser/wwwtax.cgi?mode=Info&amp;id=37079&amp;lvl=3&amp;lin=f&amp;keep=1&amp;srchmode=1&amp;unlock","Pelecanoides urinatrix")</f>
        <v>Pelecanoides urinatrix</v>
      </c>
      <c r="H229" t="s">
        <v>179</v>
      </c>
      <c r="I229" t="str">
        <f>HYPERLINK("http://www.ncbi.nlm.nih.gov/protein/NXT31540.1","FABPL protein")</f>
        <v>FABPL protein</v>
      </c>
      <c r="J229" t="s">
        <v>1386</v>
      </c>
      <c r="K229" t="s">
        <v>25</v>
      </c>
      <c r="L229">
        <v>50</v>
      </c>
      <c r="M229" t="s">
        <v>1383</v>
      </c>
      <c r="N229" t="s">
        <v>25</v>
      </c>
    </row>
    <row r="230" spans="1:14" x14ac:dyDescent="0.25">
      <c r="A230">
        <v>6</v>
      </c>
      <c r="B230" t="s">
        <v>167</v>
      </c>
      <c r="C230" t="str">
        <f>HYPERLINK("http://www.ncbi.nlm.nih.gov/protein/XP_009070303.1","XP_009070303.1")</f>
        <v>XP_009070303.1</v>
      </c>
      <c r="D230">
        <v>28094</v>
      </c>
      <c r="E230" t="str">
        <f>HYPERLINK("http://www.ncbi.nlm.nih.gov/Taxonomy/Browser/wwwtax.cgi?mode=Info&amp;id=57068&amp;lvl=3&amp;lin=f&amp;keep=1&amp;srchmode=1&amp;unlock","57068")</f>
        <v>57068</v>
      </c>
      <c r="F230" t="s">
        <v>167</v>
      </c>
      <c r="G230" t="str">
        <f>HYPERLINK("http://www.ncbi.nlm.nih.gov/Taxonomy/Browser/wwwtax.cgi?mode=Info&amp;id=57068&amp;lvl=3&amp;lin=f&amp;keep=1&amp;srchmode=1&amp;unlock","Acanthisitta chloris")</f>
        <v>Acanthisitta chloris</v>
      </c>
      <c r="H230" t="s">
        <v>180</v>
      </c>
      <c r="I230" t="str">
        <f>HYPERLINK("http://www.ncbi.nlm.nih.gov/protein/XP_009070303.1","PREDICTED: fatty acid-binding protein, liver")</f>
        <v>PREDICTED: fatty acid-binding protein, liver</v>
      </c>
      <c r="J230" t="s">
        <v>1386</v>
      </c>
      <c r="K230" t="s">
        <v>25</v>
      </c>
      <c r="L230">
        <v>50</v>
      </c>
      <c r="M230" t="s">
        <v>1379</v>
      </c>
      <c r="N230" t="s">
        <v>25</v>
      </c>
    </row>
    <row r="231" spans="1:14" x14ac:dyDescent="0.25">
      <c r="A231">
        <v>6</v>
      </c>
      <c r="B231" t="s">
        <v>167</v>
      </c>
      <c r="C231" t="str">
        <f>HYPERLINK("http://www.ncbi.nlm.nih.gov/protein/NXE21427.1","NXE21427.1")</f>
        <v>NXE21427.1</v>
      </c>
      <c r="D231">
        <v>13745</v>
      </c>
      <c r="E231" t="str">
        <f>HYPERLINK("http://www.ncbi.nlm.nih.gov/Taxonomy/Browser/wwwtax.cgi?mode=Info&amp;id=89386&amp;lvl=3&amp;lin=f&amp;keep=1&amp;srchmode=1&amp;unlock","89386")</f>
        <v>89386</v>
      </c>
      <c r="F231" t="s">
        <v>167</v>
      </c>
      <c r="G231" t="str">
        <f>HYPERLINK("http://www.ncbi.nlm.nih.gov/Taxonomy/Browser/wwwtax.cgi?mode=Info&amp;id=89386&amp;lvl=3&amp;lin=f&amp;keep=1&amp;srchmode=1&amp;unlock","Ardeotis kori")</f>
        <v>Ardeotis kori</v>
      </c>
      <c r="H231" t="s">
        <v>182</v>
      </c>
      <c r="I231" t="str">
        <f>HYPERLINK("http://www.ncbi.nlm.nih.gov/protein/NXE21427.1","FABPL protein")</f>
        <v>FABPL protein</v>
      </c>
      <c r="J231" t="s">
        <v>1386</v>
      </c>
      <c r="K231" t="s">
        <v>25</v>
      </c>
      <c r="L231">
        <v>50</v>
      </c>
      <c r="M231" t="s">
        <v>1383</v>
      </c>
      <c r="N231" t="s">
        <v>25</v>
      </c>
    </row>
    <row r="232" spans="1:14" x14ac:dyDescent="0.25">
      <c r="A232">
        <v>6</v>
      </c>
      <c r="B232" t="s">
        <v>167</v>
      </c>
      <c r="C232" t="str">
        <f>HYPERLINK("http://www.ncbi.nlm.nih.gov/protein/NXY48066.1","NXY48066.1")</f>
        <v>NXY48066.1</v>
      </c>
      <c r="D232">
        <v>12235</v>
      </c>
      <c r="E232" t="str">
        <f>HYPERLINK("http://www.ncbi.nlm.nih.gov/Taxonomy/Browser/wwwtax.cgi?mode=Info&amp;id=1961834&amp;lvl=3&amp;lin=f&amp;keep=1&amp;srchmode=1&amp;unlock","1961834")</f>
        <v>1961834</v>
      </c>
      <c r="F232" t="s">
        <v>167</v>
      </c>
      <c r="G232" t="str">
        <f>HYPERLINK("http://www.ncbi.nlm.nih.gov/Taxonomy/Browser/wwwtax.cgi?mode=Info&amp;id=1961834&amp;lvl=3&amp;lin=f&amp;keep=1&amp;srchmode=1&amp;unlock","Ceuthmochares aereus")</f>
        <v>Ceuthmochares aereus</v>
      </c>
      <c r="H232" t="s">
        <v>184</v>
      </c>
      <c r="I232" t="str">
        <f>HYPERLINK("http://www.ncbi.nlm.nih.gov/protein/NXY48066.1","FABPL protein")</f>
        <v>FABPL protein</v>
      </c>
      <c r="J232" t="s">
        <v>1386</v>
      </c>
      <c r="K232" t="s">
        <v>25</v>
      </c>
      <c r="L232">
        <v>50</v>
      </c>
      <c r="M232" t="s">
        <v>1379</v>
      </c>
      <c r="N232" t="s">
        <v>25</v>
      </c>
    </row>
    <row r="233" spans="1:14" x14ac:dyDescent="0.25">
      <c r="A233">
        <v>6</v>
      </c>
      <c r="B233" t="s">
        <v>167</v>
      </c>
      <c r="C233" t="str">
        <f>HYPERLINK("http://www.ncbi.nlm.nih.gov/protein/NXA27554.1","NXA27554.1")</f>
        <v>NXA27554.1</v>
      </c>
      <c r="D233">
        <v>13860</v>
      </c>
      <c r="E233" t="str">
        <f>HYPERLINK("http://www.ncbi.nlm.nih.gov/Taxonomy/Browser/wwwtax.cgi?mode=Info&amp;id=425643&amp;lvl=3&amp;lin=f&amp;keep=1&amp;srchmode=1&amp;unlock","425643")</f>
        <v>425643</v>
      </c>
      <c r="F233" t="s">
        <v>167</v>
      </c>
      <c r="G233" t="str">
        <f>HYPERLINK("http://www.ncbi.nlm.nih.gov/Taxonomy/Browser/wwwtax.cgi?mode=Info&amp;id=425643&amp;lvl=3&amp;lin=f&amp;keep=1&amp;srchmode=1&amp;unlock","Ibidorhyncha struthersii")</f>
        <v>Ibidorhyncha struthersii</v>
      </c>
      <c r="H233" t="s">
        <v>185</v>
      </c>
      <c r="I233" t="str">
        <f>HYPERLINK("http://www.ncbi.nlm.nih.gov/protein/NXA27554.1","FABPL protein")</f>
        <v>FABPL protein</v>
      </c>
      <c r="J233" t="s">
        <v>1386</v>
      </c>
      <c r="K233" t="s">
        <v>25</v>
      </c>
      <c r="L233">
        <v>50</v>
      </c>
      <c r="M233" t="s">
        <v>1383</v>
      </c>
      <c r="N233" t="s">
        <v>25</v>
      </c>
    </row>
    <row r="234" spans="1:14" x14ac:dyDescent="0.25">
      <c r="A234">
        <v>6</v>
      </c>
      <c r="B234" t="s">
        <v>167</v>
      </c>
      <c r="C234" t="str">
        <f>HYPERLINK("http://www.ncbi.nlm.nih.gov/protein/NXK25795.1","NXK25795.1")</f>
        <v>NXK25795.1</v>
      </c>
      <c r="D234">
        <v>13971</v>
      </c>
      <c r="E234" t="str">
        <f>HYPERLINK("http://www.ncbi.nlm.nih.gov/Taxonomy/Browser/wwwtax.cgi?mode=Info&amp;id=54971&amp;lvl=3&amp;lin=f&amp;keep=1&amp;srchmode=1&amp;unlock","54971")</f>
        <v>54971</v>
      </c>
      <c r="F234" t="s">
        <v>167</v>
      </c>
      <c r="G234" t="str">
        <f>HYPERLINK("http://www.ncbi.nlm.nih.gov/Taxonomy/Browser/wwwtax.cgi?mode=Info&amp;id=54971&amp;lvl=3&amp;lin=f&amp;keep=1&amp;srchmode=1&amp;unlock","Arenaria interpres")</f>
        <v>Arenaria interpres</v>
      </c>
      <c r="H234" t="s">
        <v>187</v>
      </c>
      <c r="I234" t="str">
        <f>HYPERLINK("http://www.ncbi.nlm.nih.gov/protein/NXK25795.1","FABPL protein")</f>
        <v>FABPL protein</v>
      </c>
      <c r="J234" t="s">
        <v>1386</v>
      </c>
      <c r="K234" t="s">
        <v>25</v>
      </c>
      <c r="L234">
        <v>50</v>
      </c>
      <c r="M234" t="s">
        <v>1379</v>
      </c>
      <c r="N234" t="s">
        <v>25</v>
      </c>
    </row>
    <row r="235" spans="1:14" x14ac:dyDescent="0.25">
      <c r="A235">
        <v>6</v>
      </c>
      <c r="B235" t="s">
        <v>167</v>
      </c>
      <c r="C235" t="str">
        <f>HYPERLINK("http://www.ncbi.nlm.nih.gov/protein/NXV84972.1","NXV84972.1")</f>
        <v>NXV84972.1</v>
      </c>
      <c r="D235">
        <v>14439</v>
      </c>
      <c r="E235" t="str">
        <f>HYPERLINK("http://www.ncbi.nlm.nih.gov/Taxonomy/Browser/wwwtax.cgi?mode=Info&amp;id=1323832&amp;lvl=3&amp;lin=f&amp;keep=1&amp;srchmode=1&amp;unlock","1323832")</f>
        <v>1323832</v>
      </c>
      <c r="F235" t="s">
        <v>167</v>
      </c>
      <c r="G235" t="str">
        <f>HYPERLINK("http://www.ncbi.nlm.nih.gov/Taxonomy/Browser/wwwtax.cgi?mode=Info&amp;id=1323832&amp;lvl=3&amp;lin=f&amp;keep=1&amp;srchmode=1&amp;unlock","Calonectris borealis")</f>
        <v>Calonectris borealis</v>
      </c>
      <c r="H235" t="s">
        <v>186</v>
      </c>
      <c r="I235" t="str">
        <f>HYPERLINK("http://www.ncbi.nlm.nih.gov/protein/NXV84972.1","FABPL protein")</f>
        <v>FABPL protein</v>
      </c>
      <c r="J235" t="s">
        <v>1386</v>
      </c>
      <c r="K235" t="s">
        <v>25</v>
      </c>
      <c r="L235">
        <v>50</v>
      </c>
      <c r="M235" t="s">
        <v>1383</v>
      </c>
      <c r="N235" t="s">
        <v>25</v>
      </c>
    </row>
    <row r="236" spans="1:14" x14ac:dyDescent="0.25">
      <c r="A236">
        <v>6</v>
      </c>
      <c r="B236" t="s">
        <v>167</v>
      </c>
      <c r="C236" t="str">
        <f>HYPERLINK("http://www.ncbi.nlm.nih.gov/protein/NXW09264.1","NXW09264.1")</f>
        <v>NXW09264.1</v>
      </c>
      <c r="D236">
        <v>13534</v>
      </c>
      <c r="E236" t="str">
        <f>HYPERLINK("http://www.ncbi.nlm.nih.gov/Taxonomy/Browser/wwwtax.cgi?mode=Info&amp;id=79628&amp;lvl=3&amp;lin=f&amp;keep=1&amp;srchmode=1&amp;unlock","79628")</f>
        <v>79628</v>
      </c>
      <c r="F236" t="s">
        <v>167</v>
      </c>
      <c r="G236" t="str">
        <f>HYPERLINK("http://www.ncbi.nlm.nih.gov/Taxonomy/Browser/wwwtax.cgi?mode=Info&amp;id=79628&amp;lvl=3&amp;lin=f&amp;keep=1&amp;srchmode=1&amp;unlock","Fregetta grallaria")</f>
        <v>Fregetta grallaria</v>
      </c>
      <c r="H236" t="s">
        <v>189</v>
      </c>
      <c r="I236" t="str">
        <f>HYPERLINK("http://www.ncbi.nlm.nih.gov/protein/NXW09264.1","FABPL protein")</f>
        <v>FABPL protein</v>
      </c>
      <c r="J236" t="s">
        <v>1386</v>
      </c>
      <c r="K236" t="s">
        <v>25</v>
      </c>
      <c r="L236">
        <v>50</v>
      </c>
      <c r="M236" t="s">
        <v>1383</v>
      </c>
      <c r="N236" t="s">
        <v>25</v>
      </c>
    </row>
    <row r="237" spans="1:14" x14ac:dyDescent="0.25">
      <c r="A237">
        <v>6</v>
      </c>
      <c r="B237" t="s">
        <v>167</v>
      </c>
      <c r="C237" t="str">
        <f>HYPERLINK("http://www.ncbi.nlm.nih.gov/protein/XP_009816925.1","XP_009816925.1")</f>
        <v>XP_009816925.1</v>
      </c>
      <c r="D237">
        <v>26695</v>
      </c>
      <c r="E237" t="str">
        <f>HYPERLINK("http://www.ncbi.nlm.nih.gov/Taxonomy/Browser/wwwtax.cgi?mode=Info&amp;id=37040&amp;lvl=3&amp;lin=f&amp;keep=1&amp;srchmode=1&amp;unlock","37040")</f>
        <v>37040</v>
      </c>
      <c r="F237" t="s">
        <v>167</v>
      </c>
      <c r="G237" t="str">
        <f>HYPERLINK("http://www.ncbi.nlm.nih.gov/Taxonomy/Browser/wwwtax.cgi?mode=Info&amp;id=37040&amp;lvl=3&amp;lin=f&amp;keep=1&amp;srchmode=1&amp;unlock","Gavia stellata")</f>
        <v>Gavia stellata</v>
      </c>
      <c r="H237" t="s">
        <v>191</v>
      </c>
      <c r="I237" t="str">
        <f>HYPERLINK("http://www.ncbi.nlm.nih.gov/protein/XP_009816925.1","PREDICTED: fatty acid-binding protein, liver")</f>
        <v>PREDICTED: fatty acid-binding protein, liver</v>
      </c>
      <c r="J237" t="s">
        <v>1386</v>
      </c>
      <c r="K237" t="s">
        <v>25</v>
      </c>
      <c r="L237">
        <v>50</v>
      </c>
      <c r="M237" t="s">
        <v>1379</v>
      </c>
      <c r="N237" t="s">
        <v>25</v>
      </c>
    </row>
    <row r="238" spans="1:14" x14ac:dyDescent="0.25">
      <c r="A238">
        <v>6</v>
      </c>
      <c r="B238" t="s">
        <v>167</v>
      </c>
      <c r="C238" t="str">
        <f>HYPERLINK("http://www.ncbi.nlm.nih.gov/protein/NXH20583.1","NXH20583.1")</f>
        <v>NXH20583.1</v>
      </c>
      <c r="D238">
        <v>14440</v>
      </c>
      <c r="E238" t="str">
        <f>HYPERLINK("http://www.ncbi.nlm.nih.gov/Taxonomy/Browser/wwwtax.cgi?mode=Info&amp;id=135168&amp;lvl=3&amp;lin=f&amp;keep=1&amp;srchmode=1&amp;unlock","135168")</f>
        <v>135168</v>
      </c>
      <c r="F238" t="s">
        <v>167</v>
      </c>
      <c r="G238" t="str">
        <f>HYPERLINK("http://www.ncbi.nlm.nih.gov/Taxonomy/Browser/wwwtax.cgi?mode=Info&amp;id=135168&amp;lvl=3&amp;lin=f&amp;keep=1&amp;srchmode=1&amp;unlock","Bucco capensis")</f>
        <v>Bucco capensis</v>
      </c>
      <c r="H238" t="s">
        <v>192</v>
      </c>
      <c r="I238" t="str">
        <f>HYPERLINK("http://www.ncbi.nlm.nih.gov/protein/NXH20583.1","FABPL protein")</f>
        <v>FABPL protein</v>
      </c>
      <c r="J238" t="s">
        <v>1386</v>
      </c>
      <c r="K238" t="s">
        <v>25</v>
      </c>
      <c r="L238">
        <v>50</v>
      </c>
      <c r="M238" t="s">
        <v>1379</v>
      </c>
      <c r="N238" t="s">
        <v>25</v>
      </c>
    </row>
    <row r="239" spans="1:14" x14ac:dyDescent="0.25">
      <c r="A239">
        <v>6</v>
      </c>
      <c r="B239" t="s">
        <v>167</v>
      </c>
      <c r="C239" t="str">
        <f>HYPERLINK("http://www.ncbi.nlm.nih.gov/protein/NXX50165.1","NXX50165.1")</f>
        <v>NXX50165.1</v>
      </c>
      <c r="D239">
        <v>14338</v>
      </c>
      <c r="E239" t="str">
        <f>HYPERLINK("http://www.ncbi.nlm.nih.gov/Taxonomy/Browser/wwwtax.cgi?mode=Info&amp;id=240729&amp;lvl=3&amp;lin=f&amp;keep=1&amp;srchmode=1&amp;unlock","240729")</f>
        <v>240729</v>
      </c>
      <c r="F239" t="s">
        <v>167</v>
      </c>
      <c r="G239" t="str">
        <f>HYPERLINK("http://www.ncbi.nlm.nih.gov/Taxonomy/Browser/wwwtax.cgi?mode=Info&amp;id=240729&amp;lvl=3&amp;lin=f&amp;keep=1&amp;srchmode=1&amp;unlock","Tricholaema leucomelas")</f>
        <v>Tricholaema leucomelas</v>
      </c>
      <c r="H239" t="s">
        <v>193</v>
      </c>
      <c r="I239" t="str">
        <f>HYPERLINK("http://www.ncbi.nlm.nih.gov/protein/NXX50165.1","FABPL protein")</f>
        <v>FABPL protein</v>
      </c>
      <c r="J239" t="s">
        <v>1386</v>
      </c>
      <c r="K239" t="s">
        <v>20</v>
      </c>
      <c r="L239">
        <v>50</v>
      </c>
      <c r="M239" t="s">
        <v>1380</v>
      </c>
      <c r="N239" t="s">
        <v>20</v>
      </c>
    </row>
    <row r="240" spans="1:14" x14ac:dyDescent="0.25">
      <c r="A240">
        <v>6</v>
      </c>
      <c r="B240" t="s">
        <v>167</v>
      </c>
      <c r="C240" t="str">
        <f>HYPERLINK("http://www.ncbi.nlm.nih.gov/protein/NXA54322.1","NXA54322.1")</f>
        <v>NXA54322.1</v>
      </c>
      <c r="D240">
        <v>13387</v>
      </c>
      <c r="E240" t="str">
        <f>HYPERLINK("http://www.ncbi.nlm.nih.gov/Taxonomy/Browser/wwwtax.cgi?mode=Info&amp;id=2585813&amp;lvl=3&amp;lin=f&amp;keep=1&amp;srchmode=1&amp;unlock","2585813")</f>
        <v>2585813</v>
      </c>
      <c r="F240" t="s">
        <v>167</v>
      </c>
      <c r="G240" t="str">
        <f>HYPERLINK("http://www.ncbi.nlm.nih.gov/Taxonomy/Browser/wwwtax.cgi?mode=Info&amp;id=2585813&amp;lvl=3&amp;lin=f&amp;keep=1&amp;srchmode=1&amp;unlock","Nothocercus julius")</f>
        <v>Nothocercus julius</v>
      </c>
      <c r="H240" t="s">
        <v>196</v>
      </c>
      <c r="I240" t="str">
        <f>HYPERLINK("http://www.ncbi.nlm.nih.gov/protein/NXA54322.1","FABPL protein")</f>
        <v>FABPL protein</v>
      </c>
      <c r="J240" t="s">
        <v>1386</v>
      </c>
      <c r="K240" t="s">
        <v>25</v>
      </c>
      <c r="L240">
        <v>50</v>
      </c>
      <c r="M240" t="s">
        <v>1383</v>
      </c>
      <c r="N240" t="s">
        <v>25</v>
      </c>
    </row>
    <row r="241" spans="1:14" x14ac:dyDescent="0.25">
      <c r="A241">
        <v>6</v>
      </c>
      <c r="B241" t="s">
        <v>167</v>
      </c>
      <c r="C241" t="str">
        <f>HYPERLINK("http://www.ncbi.nlm.nih.gov/protein/XP_010182339.1","XP_010182339.1")</f>
        <v>XP_010182339.1</v>
      </c>
      <c r="D241">
        <v>29408</v>
      </c>
      <c r="E241" t="str">
        <f>HYPERLINK("http://www.ncbi.nlm.nih.gov/Taxonomy/Browser/wwwtax.cgi?mode=Info&amp;id=54374&amp;lvl=3&amp;lin=f&amp;keep=1&amp;srchmode=1&amp;unlock","54374")</f>
        <v>54374</v>
      </c>
      <c r="F241" t="s">
        <v>167</v>
      </c>
      <c r="G241" t="str">
        <f>HYPERLINK("http://www.ncbi.nlm.nih.gov/Taxonomy/Browser/wwwtax.cgi?mode=Info&amp;id=54374&amp;lvl=3&amp;lin=f&amp;keep=1&amp;srchmode=1&amp;unlock","Mesitornis unicolor")</f>
        <v>Mesitornis unicolor</v>
      </c>
      <c r="H241" t="s">
        <v>197</v>
      </c>
      <c r="I241" t="str">
        <f>HYPERLINK("http://www.ncbi.nlm.nih.gov/protein/XP_010182339.1","PREDICTED: fatty acid-binding protein, liver")</f>
        <v>PREDICTED: fatty acid-binding protein, liver</v>
      </c>
      <c r="J241" t="s">
        <v>1386</v>
      </c>
      <c r="K241" t="s">
        <v>25</v>
      </c>
      <c r="L241">
        <v>50</v>
      </c>
      <c r="M241" t="s">
        <v>1383</v>
      </c>
      <c r="N241" t="s">
        <v>25</v>
      </c>
    </row>
    <row r="242" spans="1:14" x14ac:dyDescent="0.25">
      <c r="A242">
        <v>6</v>
      </c>
      <c r="B242" t="s">
        <v>167</v>
      </c>
      <c r="C242" t="str">
        <f>HYPERLINK("http://www.ncbi.nlm.nih.gov/protein/XP_010145683.1","XP_010145683.1")</f>
        <v>XP_010145683.1</v>
      </c>
      <c r="D242">
        <v>27322</v>
      </c>
      <c r="E242" t="str">
        <f>HYPERLINK("http://www.ncbi.nlm.nih.gov/Taxonomy/Browser/wwwtax.cgi?mode=Info&amp;id=54383&amp;lvl=3&amp;lin=f&amp;keep=1&amp;srchmode=1&amp;unlock","54383")</f>
        <v>54383</v>
      </c>
      <c r="F242" t="s">
        <v>167</v>
      </c>
      <c r="G242" t="str">
        <f>HYPERLINK("http://www.ncbi.nlm.nih.gov/Taxonomy/Browser/wwwtax.cgi?mode=Info&amp;id=54383&amp;lvl=3&amp;lin=f&amp;keep=1&amp;srchmode=1&amp;unlock","Eurypyga helias")</f>
        <v>Eurypyga helias</v>
      </c>
      <c r="H242" t="s">
        <v>198</v>
      </c>
      <c r="I242" t="str">
        <f>HYPERLINK("http://www.ncbi.nlm.nih.gov/protein/XP_010145683.1","PREDICTED: fatty acid-binding protein, liver")</f>
        <v>PREDICTED: fatty acid-binding protein, liver</v>
      </c>
      <c r="J242" t="s">
        <v>1386</v>
      </c>
      <c r="K242" t="s">
        <v>25</v>
      </c>
      <c r="L242">
        <v>50</v>
      </c>
      <c r="M242" t="s">
        <v>1383</v>
      </c>
      <c r="N242" t="s">
        <v>25</v>
      </c>
    </row>
    <row r="243" spans="1:14" x14ac:dyDescent="0.25">
      <c r="A243">
        <v>6</v>
      </c>
      <c r="B243" t="s">
        <v>167</v>
      </c>
      <c r="C243" t="str">
        <f>HYPERLINK("http://www.ncbi.nlm.nih.gov/protein/NXE83675.1","NXE83675.1")</f>
        <v>NXE83675.1</v>
      </c>
      <c r="D243">
        <v>14098</v>
      </c>
      <c r="E243" t="str">
        <f>HYPERLINK("http://www.ncbi.nlm.nih.gov/Taxonomy/Browser/wwwtax.cgi?mode=Info&amp;id=110676&amp;lvl=3&amp;lin=f&amp;keep=1&amp;srchmode=1&amp;unlock","110676")</f>
        <v>110676</v>
      </c>
      <c r="F243" t="s">
        <v>167</v>
      </c>
      <c r="G243" t="str">
        <f>HYPERLINK("http://www.ncbi.nlm.nih.gov/Taxonomy/Browser/wwwtax.cgi?mode=Info&amp;id=110676&amp;lvl=3&amp;lin=f&amp;keep=1&amp;srchmode=1&amp;unlock","Cochlearius cochlearius")</f>
        <v>Cochlearius cochlearius</v>
      </c>
      <c r="H243" t="s">
        <v>199</v>
      </c>
      <c r="I243" t="str">
        <f>HYPERLINK("http://www.ncbi.nlm.nih.gov/protein/NXE83675.1","FABPL protein")</f>
        <v>FABPL protein</v>
      </c>
      <c r="J243" t="s">
        <v>1386</v>
      </c>
      <c r="K243" t="s">
        <v>25</v>
      </c>
      <c r="L243">
        <v>50</v>
      </c>
      <c r="M243" t="s">
        <v>1383</v>
      </c>
      <c r="N243" t="s">
        <v>25</v>
      </c>
    </row>
    <row r="244" spans="1:14" x14ac:dyDescent="0.25">
      <c r="A244">
        <v>6</v>
      </c>
      <c r="B244" t="s">
        <v>167</v>
      </c>
      <c r="C244" t="str">
        <f>HYPERLINK("http://www.ncbi.nlm.nih.gov/protein/XP_009287675.1","XP_009287675.1")</f>
        <v>XP_009287675.1</v>
      </c>
      <c r="D244">
        <v>32672</v>
      </c>
      <c r="E244" t="str">
        <f>HYPERLINK("http://www.ncbi.nlm.nih.gov/Taxonomy/Browser/wwwtax.cgi?mode=Info&amp;id=9233&amp;lvl=3&amp;lin=f&amp;keep=1&amp;srchmode=1&amp;unlock","9233")</f>
        <v>9233</v>
      </c>
      <c r="F244" t="s">
        <v>167</v>
      </c>
      <c r="G244" t="str">
        <f>HYPERLINK("http://www.ncbi.nlm.nih.gov/Taxonomy/Browser/wwwtax.cgi?mode=Info&amp;id=9233&amp;lvl=3&amp;lin=f&amp;keep=1&amp;srchmode=1&amp;unlock","Aptenodytes forsteri")</f>
        <v>Aptenodytes forsteri</v>
      </c>
      <c r="H244" t="s">
        <v>194</v>
      </c>
      <c r="I244" t="str">
        <f>HYPERLINK("http://www.ncbi.nlm.nih.gov/protein/XP_009287675.1","PREDICTED: fatty acid-binding protein, liver")</f>
        <v>PREDICTED: fatty acid-binding protein, liver</v>
      </c>
      <c r="J244" t="s">
        <v>1386</v>
      </c>
      <c r="K244" t="s">
        <v>25</v>
      </c>
      <c r="L244">
        <v>50</v>
      </c>
      <c r="M244" t="s">
        <v>1383</v>
      </c>
      <c r="N244" t="s">
        <v>25</v>
      </c>
    </row>
    <row r="245" spans="1:14" x14ac:dyDescent="0.25">
      <c r="A245">
        <v>6</v>
      </c>
      <c r="B245" t="s">
        <v>167</v>
      </c>
      <c r="C245" t="str">
        <f>HYPERLINK("http://www.ncbi.nlm.nih.gov/protein/NXT53195.1","NXT53195.1")</f>
        <v>NXT53195.1</v>
      </c>
      <c r="D245">
        <v>14341</v>
      </c>
      <c r="E245" t="str">
        <f>HYPERLINK("http://www.ncbi.nlm.nih.gov/Taxonomy/Browser/wwwtax.cgi?mode=Info&amp;id=227228&amp;lvl=3&amp;lin=f&amp;keep=1&amp;srchmode=1&amp;unlock","227228")</f>
        <v>227228</v>
      </c>
      <c r="F245" t="s">
        <v>167</v>
      </c>
      <c r="G245" t="str">
        <f>HYPERLINK("http://www.ncbi.nlm.nih.gov/Taxonomy/Browser/wwwtax.cgi?mode=Info&amp;id=227228&amp;lvl=3&amp;lin=f&amp;keep=1&amp;srchmode=1&amp;unlock","Pluvianellus socialis")</f>
        <v>Pluvianellus socialis</v>
      </c>
      <c r="H245" t="s">
        <v>205</v>
      </c>
      <c r="I245" t="str">
        <f>HYPERLINK("http://www.ncbi.nlm.nih.gov/protein/NXT53195.1","FABPL protein")</f>
        <v>FABPL protein</v>
      </c>
      <c r="J245" t="s">
        <v>1386</v>
      </c>
      <c r="K245" t="s">
        <v>25</v>
      </c>
      <c r="L245">
        <v>50</v>
      </c>
      <c r="M245" t="s">
        <v>1383</v>
      </c>
      <c r="N245" t="s">
        <v>25</v>
      </c>
    </row>
    <row r="246" spans="1:14" x14ac:dyDescent="0.25">
      <c r="A246">
        <v>6</v>
      </c>
      <c r="B246" t="s">
        <v>167</v>
      </c>
      <c r="C246" t="str">
        <f>HYPERLINK("http://www.ncbi.nlm.nih.gov/protein/NXF03300.1","NXF03300.1")</f>
        <v>NXF03300.1</v>
      </c>
      <c r="D246">
        <v>13858</v>
      </c>
      <c r="E246" t="str">
        <f>HYPERLINK("http://www.ncbi.nlm.nih.gov/Taxonomy/Browser/wwwtax.cgi?mode=Info&amp;id=363769&amp;lvl=3&amp;lin=f&amp;keep=1&amp;srchmode=1&amp;unlock","363769")</f>
        <v>363769</v>
      </c>
      <c r="F246" t="s">
        <v>167</v>
      </c>
      <c r="G246" t="str">
        <f>HYPERLINK("http://www.ncbi.nlm.nih.gov/Taxonomy/Browser/wwwtax.cgi?mode=Info&amp;id=363769&amp;lvl=3&amp;lin=f&amp;keep=1&amp;srchmode=1&amp;unlock","Smithornis capensis")</f>
        <v>Smithornis capensis</v>
      </c>
      <c r="H246" t="s">
        <v>206</v>
      </c>
      <c r="I246" t="str">
        <f>HYPERLINK("http://www.ncbi.nlm.nih.gov/protein/NXF03300.1","FABPL protein")</f>
        <v>FABPL protein</v>
      </c>
      <c r="J246" t="s">
        <v>1386</v>
      </c>
      <c r="K246" t="s">
        <v>25</v>
      </c>
      <c r="L246">
        <v>50</v>
      </c>
      <c r="M246" t="s">
        <v>1383</v>
      </c>
      <c r="N246" t="s">
        <v>25</v>
      </c>
    </row>
    <row r="247" spans="1:14" x14ac:dyDescent="0.25">
      <c r="A247">
        <v>6</v>
      </c>
      <c r="B247" t="s">
        <v>167</v>
      </c>
      <c r="C247" t="str">
        <f>HYPERLINK("http://www.ncbi.nlm.nih.gov/protein/KFP50005.1","KFP50005.1")</f>
        <v>KFP50005.1</v>
      </c>
      <c r="D247">
        <v>11460</v>
      </c>
      <c r="E247" t="str">
        <f>HYPERLINK("http://www.ncbi.nlm.nih.gov/Taxonomy/Browser/wwwtax.cgi?mode=Info&amp;id=43455&amp;lvl=3&amp;lin=f&amp;keep=1&amp;srchmode=1&amp;unlock","43455")</f>
        <v>43455</v>
      </c>
      <c r="F247" t="s">
        <v>167</v>
      </c>
      <c r="G247" t="str">
        <f>HYPERLINK("http://www.ncbi.nlm.nih.gov/Taxonomy/Browser/wwwtax.cgi?mode=Info&amp;id=43455&amp;lvl=3&amp;lin=f&amp;keep=1&amp;srchmode=1&amp;unlock","Cathartes aura")</f>
        <v>Cathartes aura</v>
      </c>
      <c r="H247" t="s">
        <v>207</v>
      </c>
      <c r="I247" t="str">
        <f>HYPERLINK("http://www.ncbi.nlm.nih.gov/protein/KFP50005.1","Fatty acid-binding protein, liver")</f>
        <v>Fatty acid-binding protein, liver</v>
      </c>
      <c r="J247" t="s">
        <v>1386</v>
      </c>
      <c r="K247" t="s">
        <v>25</v>
      </c>
      <c r="L247">
        <v>50</v>
      </c>
      <c r="M247" t="s">
        <v>1383</v>
      </c>
      <c r="N247" t="s">
        <v>25</v>
      </c>
    </row>
    <row r="248" spans="1:14" x14ac:dyDescent="0.25">
      <c r="A248">
        <v>6</v>
      </c>
      <c r="B248" t="s">
        <v>167</v>
      </c>
      <c r="C248" t="str">
        <f>HYPERLINK("http://www.ncbi.nlm.nih.gov/protein/NXG87060.1","NXG87060.1")</f>
        <v>NXG87060.1</v>
      </c>
      <c r="D248">
        <v>13947</v>
      </c>
      <c r="E248" t="str">
        <f>HYPERLINK("http://www.ncbi.nlm.nih.gov/Taxonomy/Browser/wwwtax.cgi?mode=Info&amp;id=54059&amp;lvl=3&amp;lin=f&amp;keep=1&amp;srchmode=1&amp;unlock","54059")</f>
        <v>54059</v>
      </c>
      <c r="F248" t="s">
        <v>167</v>
      </c>
      <c r="G248" t="str">
        <f>HYPERLINK("http://www.ncbi.nlm.nih.gov/Taxonomy/Browser/wwwtax.cgi?mode=Info&amp;id=54059&amp;lvl=3&amp;lin=f&amp;keep=1&amp;srchmode=1&amp;unlock","Stercorarius parasiticus")</f>
        <v>Stercorarius parasiticus</v>
      </c>
      <c r="H248" t="s">
        <v>185</v>
      </c>
      <c r="I248" t="str">
        <f>HYPERLINK("http://www.ncbi.nlm.nih.gov/protein/NXG87060.1","FABPL protein")</f>
        <v>FABPL protein</v>
      </c>
      <c r="J248" t="s">
        <v>1386</v>
      </c>
      <c r="K248" t="s">
        <v>25</v>
      </c>
      <c r="L248">
        <v>50</v>
      </c>
      <c r="M248" t="s">
        <v>1383</v>
      </c>
      <c r="N248" t="s">
        <v>25</v>
      </c>
    </row>
    <row r="249" spans="1:14" x14ac:dyDescent="0.25">
      <c r="A249">
        <v>6</v>
      </c>
      <c r="B249" t="s">
        <v>167</v>
      </c>
      <c r="C249" t="str">
        <f>HYPERLINK("http://www.ncbi.nlm.nih.gov/protein/NXS29537.1","NXS29537.1")</f>
        <v>NXS29537.1</v>
      </c>
      <c r="D249">
        <v>13329</v>
      </c>
      <c r="E249" t="str">
        <f>HYPERLINK("http://www.ncbi.nlm.nih.gov/Taxonomy/Browser/wwwtax.cgi?mode=Info&amp;id=9176&amp;lvl=3&amp;lin=f&amp;keep=1&amp;srchmode=1&amp;unlock","9176")</f>
        <v>9176</v>
      </c>
      <c r="F249" t="s">
        <v>167</v>
      </c>
      <c r="G249" t="str">
        <f>HYPERLINK("http://www.ncbi.nlm.nih.gov/Taxonomy/Browser/wwwtax.cgi?mode=Info&amp;id=9176&amp;lvl=3&amp;lin=f&amp;keep=1&amp;srchmode=1&amp;unlock","Pomatostomus ruficeps")</f>
        <v>Pomatostomus ruficeps</v>
      </c>
      <c r="H249" t="s">
        <v>200</v>
      </c>
      <c r="I249" t="str">
        <f>HYPERLINK("http://www.ncbi.nlm.nih.gov/protein/NXS29537.1","FABPL protein")</f>
        <v>FABPL protein</v>
      </c>
      <c r="J249" t="s">
        <v>1386</v>
      </c>
      <c r="K249" t="s">
        <v>25</v>
      </c>
      <c r="L249">
        <v>50</v>
      </c>
      <c r="M249" t="s">
        <v>1379</v>
      </c>
      <c r="N249" t="s">
        <v>25</v>
      </c>
    </row>
    <row r="250" spans="1:14" x14ac:dyDescent="0.25">
      <c r="A250">
        <v>6</v>
      </c>
      <c r="B250" t="s">
        <v>167</v>
      </c>
      <c r="C250" t="str">
        <f>HYPERLINK("http://www.ncbi.nlm.nih.gov/protein/XP_014791491.1","XP_014791491.1")</f>
        <v>XP_014791491.1</v>
      </c>
      <c r="D250">
        <v>30960</v>
      </c>
      <c r="E250" t="str">
        <f>HYPERLINK("http://www.ncbi.nlm.nih.gov/Taxonomy/Browser/wwwtax.cgi?mode=Info&amp;id=198806&amp;lvl=3&amp;lin=f&amp;keep=1&amp;srchmode=1&amp;unlock","198806")</f>
        <v>198806</v>
      </c>
      <c r="F250" t="s">
        <v>167</v>
      </c>
      <c r="G250" t="str">
        <f>HYPERLINK("http://www.ncbi.nlm.nih.gov/Taxonomy/Browser/wwwtax.cgi?mode=Info&amp;id=198806&amp;lvl=3&amp;lin=f&amp;keep=1&amp;srchmode=1&amp;unlock","Calidris pugnax")</f>
        <v>Calidris pugnax</v>
      </c>
      <c r="H250" t="s">
        <v>201</v>
      </c>
      <c r="I250" t="str">
        <f>HYPERLINK("http://www.ncbi.nlm.nih.gov/protein/XP_014791491.1","PREDICTED: fatty acid-binding protein, liver")</f>
        <v>PREDICTED: fatty acid-binding protein, liver</v>
      </c>
      <c r="J250" t="s">
        <v>1386</v>
      </c>
      <c r="K250" t="s">
        <v>25</v>
      </c>
      <c r="L250">
        <v>50</v>
      </c>
      <c r="M250" t="s">
        <v>1379</v>
      </c>
      <c r="N250" t="s">
        <v>25</v>
      </c>
    </row>
    <row r="251" spans="1:14" x14ac:dyDescent="0.25">
      <c r="A251">
        <v>6</v>
      </c>
      <c r="B251" t="s">
        <v>167</v>
      </c>
      <c r="C251" t="str">
        <f>HYPERLINK("http://www.ncbi.nlm.nih.gov/protein/NWX76966.1","NWX76966.1")</f>
        <v>NWX76966.1</v>
      </c>
      <c r="D251">
        <v>14034</v>
      </c>
      <c r="E251" t="str">
        <f>HYPERLINK("http://www.ncbi.nlm.nih.gov/Taxonomy/Browser/wwwtax.cgi?mode=Info&amp;id=28689&amp;lvl=3&amp;lin=f&amp;keep=1&amp;srchmode=1&amp;unlock","28689")</f>
        <v>28689</v>
      </c>
      <c r="F251" t="s">
        <v>167</v>
      </c>
      <c r="G251" t="str">
        <f>HYPERLINK("http://www.ncbi.nlm.nih.gov/Taxonomy/Browser/wwwtax.cgi?mode=Info&amp;id=28689&amp;lvl=3&amp;lin=f&amp;keep=1&amp;srchmode=1&amp;unlock","Alca torda")</f>
        <v>Alca torda</v>
      </c>
      <c r="H251" t="s">
        <v>202</v>
      </c>
      <c r="I251" t="str">
        <f>HYPERLINK("http://www.ncbi.nlm.nih.gov/protein/NWX76966.1","FABPL protein")</f>
        <v>FABPL protein</v>
      </c>
      <c r="J251" t="s">
        <v>1386</v>
      </c>
      <c r="K251" t="s">
        <v>25</v>
      </c>
      <c r="L251">
        <v>50</v>
      </c>
      <c r="M251" t="s">
        <v>1383</v>
      </c>
      <c r="N251" t="s">
        <v>25</v>
      </c>
    </row>
    <row r="252" spans="1:14" x14ac:dyDescent="0.25">
      <c r="A252">
        <v>6</v>
      </c>
      <c r="B252" t="s">
        <v>167</v>
      </c>
      <c r="C252" t="str">
        <f>HYPERLINK("http://www.ncbi.nlm.nih.gov/protein/KFQ76585.1","KFQ76585.1")</f>
        <v>KFQ76585.1</v>
      </c>
      <c r="D252">
        <v>12119</v>
      </c>
      <c r="E252" t="str">
        <f>HYPERLINK("http://www.ncbi.nlm.nih.gov/Taxonomy/Browser/wwwtax.cgi?mode=Info&amp;id=9218&amp;lvl=3&amp;lin=f&amp;keep=1&amp;srchmode=1&amp;unlock","9218")</f>
        <v>9218</v>
      </c>
      <c r="F252" t="s">
        <v>167</v>
      </c>
      <c r="G252" t="str">
        <f>HYPERLINK("http://www.ncbi.nlm.nih.gov/Taxonomy/Browser/wwwtax.cgi?mode=Info&amp;id=9218&amp;lvl=3&amp;lin=f&amp;keep=1&amp;srchmode=1&amp;unlock","Phoenicopterus ruber ruber")</f>
        <v>Phoenicopterus ruber ruber</v>
      </c>
      <c r="H252" t="s">
        <v>204</v>
      </c>
      <c r="I252" t="str">
        <f>HYPERLINK("http://www.ncbi.nlm.nih.gov/protein/KFQ76585.1","Fatty acid-binding protein, liver")</f>
        <v>Fatty acid-binding protein, liver</v>
      </c>
      <c r="J252" t="s">
        <v>1386</v>
      </c>
      <c r="K252" t="s">
        <v>25</v>
      </c>
      <c r="L252">
        <v>50</v>
      </c>
      <c r="M252" t="s">
        <v>1379</v>
      </c>
      <c r="N252" t="s">
        <v>25</v>
      </c>
    </row>
    <row r="253" spans="1:14" x14ac:dyDescent="0.25">
      <c r="A253">
        <v>6</v>
      </c>
      <c r="B253" t="s">
        <v>167</v>
      </c>
      <c r="C253" t="str">
        <f>HYPERLINK("http://www.ncbi.nlm.nih.gov/protein/NXV42444.1","NXV42444.1")</f>
        <v>NXV42444.1</v>
      </c>
      <c r="D253">
        <v>14270</v>
      </c>
      <c r="E253" t="str">
        <f>HYPERLINK("http://www.ncbi.nlm.nih.gov/Taxonomy/Browser/wwwtax.cgi?mode=Info&amp;id=13746&amp;lvl=3&amp;lin=f&amp;keep=1&amp;srchmode=1&amp;unlock","13746")</f>
        <v>13746</v>
      </c>
      <c r="F253" t="s">
        <v>167</v>
      </c>
      <c r="G253" t="str">
        <f>HYPERLINK("http://www.ncbi.nlm.nih.gov/Taxonomy/Browser/wwwtax.cgi?mode=Info&amp;id=13746&amp;lvl=3&amp;lin=f&amp;keep=1&amp;srchmode=1&amp;unlock","Uria aalge")</f>
        <v>Uria aalge</v>
      </c>
      <c r="H253" t="s">
        <v>203</v>
      </c>
      <c r="I253" t="str">
        <f>HYPERLINK("http://www.ncbi.nlm.nih.gov/protein/NXV42444.1","FABPL protein")</f>
        <v>FABPL protein</v>
      </c>
      <c r="J253" t="s">
        <v>1386</v>
      </c>
      <c r="K253" t="s">
        <v>25</v>
      </c>
      <c r="L253">
        <v>50</v>
      </c>
      <c r="M253" t="s">
        <v>1383</v>
      </c>
      <c r="N253" t="s">
        <v>25</v>
      </c>
    </row>
    <row r="254" spans="1:14" x14ac:dyDescent="0.25">
      <c r="A254">
        <v>6</v>
      </c>
      <c r="B254" t="s">
        <v>167</v>
      </c>
      <c r="C254" t="str">
        <f>HYPERLINK("http://www.ncbi.nlm.nih.gov/protein/NXT75841.1","NXT75841.1")</f>
        <v>NXT75841.1</v>
      </c>
      <c r="D254">
        <v>13359</v>
      </c>
      <c r="E254" t="str">
        <f>HYPERLINK("http://www.ncbi.nlm.nih.gov/Taxonomy/Browser/wwwtax.cgi?mode=Info&amp;id=2585822&amp;lvl=3&amp;lin=f&amp;keep=1&amp;srchmode=1&amp;unlock","2585822")</f>
        <v>2585822</v>
      </c>
      <c r="F254" t="s">
        <v>167</v>
      </c>
      <c r="G254" t="str">
        <f>HYPERLINK("http://www.ncbi.nlm.nih.gov/Taxonomy/Browser/wwwtax.cgi?mode=Info&amp;id=2585822&amp;lvl=3&amp;lin=f&amp;keep=1&amp;srchmode=1&amp;unlock","Zapornia atra")</f>
        <v>Zapornia atra</v>
      </c>
      <c r="H254" t="s">
        <v>208</v>
      </c>
      <c r="I254" t="str">
        <f>HYPERLINK("http://www.ncbi.nlm.nih.gov/protein/NXT75841.1","FABPL protein")</f>
        <v>FABPL protein</v>
      </c>
      <c r="J254" t="s">
        <v>1386</v>
      </c>
      <c r="K254" t="s">
        <v>25</v>
      </c>
      <c r="L254">
        <v>50</v>
      </c>
      <c r="M254" t="s">
        <v>1379</v>
      </c>
      <c r="N254" t="s">
        <v>25</v>
      </c>
    </row>
    <row r="255" spans="1:14" x14ac:dyDescent="0.25">
      <c r="A255">
        <v>6</v>
      </c>
      <c r="B255" t="s">
        <v>167</v>
      </c>
      <c r="C255" t="str">
        <f>HYPERLINK("http://www.ncbi.nlm.nih.gov/protein/XP_013798637.1","XP_013798637.1")</f>
        <v>XP_013798637.1</v>
      </c>
      <c r="D255">
        <v>22840</v>
      </c>
      <c r="E255" t="str">
        <f>HYPERLINK("http://www.ncbi.nlm.nih.gov/Taxonomy/Browser/wwwtax.cgi?mode=Info&amp;id=202946&amp;lvl=3&amp;lin=f&amp;keep=1&amp;srchmode=1&amp;unlock","202946")</f>
        <v>202946</v>
      </c>
      <c r="F255" t="s">
        <v>167</v>
      </c>
      <c r="G255" t="str">
        <f>HYPERLINK("http://www.ncbi.nlm.nih.gov/Taxonomy/Browser/wwwtax.cgi?mode=Info&amp;id=202946&amp;lvl=3&amp;lin=f&amp;keep=1&amp;srchmode=1&amp;unlock","Apteryx mantelli mantelli")</f>
        <v>Apteryx mantelli mantelli</v>
      </c>
      <c r="H255" t="s">
        <v>209</v>
      </c>
      <c r="I255" t="str">
        <f>HYPERLINK("http://www.ncbi.nlm.nih.gov/protein/XP_013798637.1","PREDICTED: fatty acid-binding protein, liver")</f>
        <v>PREDICTED: fatty acid-binding protein, liver</v>
      </c>
      <c r="J255" t="s">
        <v>1386</v>
      </c>
      <c r="K255" t="s">
        <v>25</v>
      </c>
      <c r="L255">
        <v>50</v>
      </c>
      <c r="M255" t="s">
        <v>1379</v>
      </c>
      <c r="N255" t="s">
        <v>25</v>
      </c>
    </row>
    <row r="256" spans="1:14" x14ac:dyDescent="0.25">
      <c r="A256">
        <v>6</v>
      </c>
      <c r="B256" t="s">
        <v>167</v>
      </c>
      <c r="C256" t="str">
        <f>HYPERLINK("http://www.ncbi.nlm.nih.gov/protein/NWT35879.1","NWT35879.1")</f>
        <v>NWT35879.1</v>
      </c>
      <c r="D256">
        <v>13971</v>
      </c>
      <c r="E256" t="str">
        <f>HYPERLINK("http://www.ncbi.nlm.nih.gov/Taxonomy/Browser/wwwtax.cgi?mode=Info&amp;id=287016&amp;lvl=3&amp;lin=f&amp;keep=1&amp;srchmode=1&amp;unlock","287016")</f>
        <v>287016</v>
      </c>
      <c r="F256" t="s">
        <v>167</v>
      </c>
      <c r="G256" t="str">
        <f>HYPERLINK("http://www.ncbi.nlm.nih.gov/Taxonomy/Browser/wwwtax.cgi?mode=Info&amp;id=287016&amp;lvl=3&amp;lin=f&amp;keep=1&amp;srchmode=1&amp;unlock","Chroicocephalus maculipennis")</f>
        <v>Chroicocephalus maculipennis</v>
      </c>
      <c r="H256" t="s">
        <v>210</v>
      </c>
      <c r="I256" t="str">
        <f>HYPERLINK("http://www.ncbi.nlm.nih.gov/protein/NWT35879.1","FABPL protein")</f>
        <v>FABPL protein</v>
      </c>
      <c r="J256" t="s">
        <v>1386</v>
      </c>
      <c r="K256" t="s">
        <v>25</v>
      </c>
      <c r="L256">
        <v>50</v>
      </c>
      <c r="M256" t="s">
        <v>1383</v>
      </c>
      <c r="N256" t="s">
        <v>25</v>
      </c>
    </row>
    <row r="257" spans="1:14" x14ac:dyDescent="0.25">
      <c r="A257">
        <v>6</v>
      </c>
      <c r="B257" t="s">
        <v>167</v>
      </c>
      <c r="C257" t="str">
        <f>HYPERLINK("http://www.ncbi.nlm.nih.gov/protein/XP_009330145.1","XP_009330145.1")</f>
        <v>XP_009330145.1</v>
      </c>
      <c r="D257">
        <v>29751</v>
      </c>
      <c r="E257" t="str">
        <f>HYPERLINK("http://www.ncbi.nlm.nih.gov/Taxonomy/Browser/wwwtax.cgi?mode=Info&amp;id=9238&amp;lvl=3&amp;lin=f&amp;keep=1&amp;srchmode=1&amp;unlock","9238")</f>
        <v>9238</v>
      </c>
      <c r="F257" t="s">
        <v>167</v>
      </c>
      <c r="G257" t="str">
        <f>HYPERLINK("http://www.ncbi.nlm.nih.gov/Taxonomy/Browser/wwwtax.cgi?mode=Info&amp;id=9238&amp;lvl=3&amp;lin=f&amp;keep=1&amp;srchmode=1&amp;unlock","Pygoscelis adeliae")</f>
        <v>Pygoscelis adeliae</v>
      </c>
      <c r="H257" t="s">
        <v>211</v>
      </c>
      <c r="I257" t="str">
        <f>HYPERLINK("http://www.ncbi.nlm.nih.gov/protein/XP_009330145.1","PREDICTED: fatty acid-binding protein, liver")</f>
        <v>PREDICTED: fatty acid-binding protein, liver</v>
      </c>
      <c r="J257" t="s">
        <v>1386</v>
      </c>
      <c r="K257" t="s">
        <v>25</v>
      </c>
      <c r="L257">
        <v>50</v>
      </c>
      <c r="M257" t="s">
        <v>1383</v>
      </c>
      <c r="N257" t="s">
        <v>25</v>
      </c>
    </row>
    <row r="258" spans="1:14" x14ac:dyDescent="0.25">
      <c r="A258">
        <v>6</v>
      </c>
      <c r="B258" t="s">
        <v>167</v>
      </c>
      <c r="C258" t="str">
        <f>HYPERLINK("http://www.ncbi.nlm.nih.gov/protein/NXN52705.1","NXN52705.1")</f>
        <v>NXN52705.1</v>
      </c>
      <c r="D258">
        <v>14353</v>
      </c>
      <c r="E258" t="str">
        <f>HYPERLINK("http://www.ncbi.nlm.nih.gov/Taxonomy/Browser/wwwtax.cgi?mode=Info&amp;id=227184&amp;lvl=3&amp;lin=f&amp;keep=1&amp;srchmode=1&amp;unlock","227184")</f>
        <v>227184</v>
      </c>
      <c r="F258" t="s">
        <v>167</v>
      </c>
      <c r="G258" t="str">
        <f>HYPERLINK("http://www.ncbi.nlm.nih.gov/Taxonomy/Browser/wwwtax.cgi?mode=Info&amp;id=227184&amp;lvl=3&amp;lin=f&amp;keep=1&amp;srchmode=1&amp;unlock","Rynchops niger")</f>
        <v>Rynchops niger</v>
      </c>
      <c r="H258" t="s">
        <v>212</v>
      </c>
      <c r="I258" t="str">
        <f>HYPERLINK("http://www.ncbi.nlm.nih.gov/protein/NXN52705.1","FABPL protein")</f>
        <v>FABPL protein</v>
      </c>
      <c r="J258" t="s">
        <v>1386</v>
      </c>
      <c r="K258" t="s">
        <v>25</v>
      </c>
      <c r="L258">
        <v>50</v>
      </c>
      <c r="M258" t="s">
        <v>1383</v>
      </c>
      <c r="N258" t="s">
        <v>25</v>
      </c>
    </row>
    <row r="259" spans="1:14" x14ac:dyDescent="0.25">
      <c r="A259">
        <v>6</v>
      </c>
      <c r="B259" t="s">
        <v>167</v>
      </c>
      <c r="C259" t="str">
        <f>HYPERLINK("http://www.ncbi.nlm.nih.gov/protein/NWH52221.1","NWH52221.1")</f>
        <v>NWH52221.1</v>
      </c>
      <c r="D259">
        <v>13301</v>
      </c>
      <c r="E259" t="str">
        <f>HYPERLINK("http://www.ncbi.nlm.nih.gov/Taxonomy/Browser/wwwtax.cgi?mode=Info&amp;id=37042&amp;lvl=3&amp;lin=f&amp;keep=1&amp;srchmode=1&amp;unlock","37042")</f>
        <v>37042</v>
      </c>
      <c r="F259" t="s">
        <v>167</v>
      </c>
      <c r="G259" t="str">
        <f>HYPERLINK("http://www.ncbi.nlm.nih.gov/Taxonomy/Browser/wwwtax.cgi?mode=Info&amp;id=37042&amp;lvl=3&amp;lin=f&amp;keep=1&amp;srchmode=1&amp;unlock","Fregata magnificens")</f>
        <v>Fregata magnificens</v>
      </c>
      <c r="H259" t="s">
        <v>213</v>
      </c>
      <c r="I259" t="str">
        <f>HYPERLINK("http://www.ncbi.nlm.nih.gov/protein/NWH52221.1","FABPL protein")</f>
        <v>FABPL protein</v>
      </c>
      <c r="J259" t="s">
        <v>1386</v>
      </c>
      <c r="K259" t="s">
        <v>25</v>
      </c>
      <c r="L259">
        <v>50</v>
      </c>
      <c r="M259" t="s">
        <v>1379</v>
      </c>
      <c r="N259" t="s">
        <v>25</v>
      </c>
    </row>
    <row r="260" spans="1:14" x14ac:dyDescent="0.25">
      <c r="A260">
        <v>6</v>
      </c>
      <c r="B260" t="s">
        <v>167</v>
      </c>
      <c r="C260" t="str">
        <f>HYPERLINK("http://www.ncbi.nlm.nih.gov/protein/XP_025920457.1","XP_025920457.1")</f>
        <v>XP_025920457.1</v>
      </c>
      <c r="D260">
        <v>37692</v>
      </c>
      <c r="E260" t="str">
        <f>HYPERLINK("http://www.ncbi.nlm.nih.gov/Taxonomy/Browser/wwwtax.cgi?mode=Info&amp;id=308060&amp;lvl=3&amp;lin=f&amp;keep=1&amp;srchmode=1&amp;unlock","308060")</f>
        <v>308060</v>
      </c>
      <c r="F260" t="s">
        <v>167</v>
      </c>
      <c r="G260" t="str">
        <f>HYPERLINK("http://www.ncbi.nlm.nih.gov/Taxonomy/Browser/wwwtax.cgi?mode=Info&amp;id=308060&amp;lvl=3&amp;lin=f&amp;keep=1&amp;srchmode=1&amp;unlock","Apteryx rowi")</f>
        <v>Apteryx rowi</v>
      </c>
      <c r="H260" t="s">
        <v>214</v>
      </c>
      <c r="I260" t="str">
        <f>HYPERLINK("http://www.ncbi.nlm.nih.gov/protein/XP_025920457.1","fatty acid-binding protein, liver")</f>
        <v>fatty acid-binding protein, liver</v>
      </c>
      <c r="J260" t="s">
        <v>1386</v>
      </c>
      <c r="K260" t="s">
        <v>25</v>
      </c>
      <c r="L260">
        <v>50</v>
      </c>
      <c r="M260" t="s">
        <v>1379</v>
      </c>
      <c r="N260" t="s">
        <v>25</v>
      </c>
    </row>
    <row r="261" spans="1:14" x14ac:dyDescent="0.25">
      <c r="A261">
        <v>6</v>
      </c>
      <c r="B261" t="s">
        <v>167</v>
      </c>
      <c r="C261" t="str">
        <f>HYPERLINK("http://www.ncbi.nlm.nih.gov/protein/NXB99672.1","NXB99672.1")</f>
        <v>NXB99672.1</v>
      </c>
      <c r="D261">
        <v>14308</v>
      </c>
      <c r="E261" t="str">
        <f>HYPERLINK("http://www.ncbi.nlm.nih.gov/Taxonomy/Browser/wwwtax.cgi?mode=Info&amp;id=38397&amp;lvl=3&amp;lin=f&amp;keep=1&amp;srchmode=1&amp;unlock","38397")</f>
        <v>38397</v>
      </c>
      <c r="F261" t="s">
        <v>167</v>
      </c>
      <c r="G261" t="str">
        <f>HYPERLINK("http://www.ncbi.nlm.nih.gov/Taxonomy/Browser/wwwtax.cgi?mode=Info&amp;id=38397&amp;lvl=3&amp;lin=f&amp;keep=1&amp;srchmode=1&amp;unlock","Orthonyx spaldingii")</f>
        <v>Orthonyx spaldingii</v>
      </c>
      <c r="H261" t="s">
        <v>215</v>
      </c>
      <c r="I261" t="str">
        <f>HYPERLINK("http://www.ncbi.nlm.nih.gov/protein/NXB99672.1","FABPL protein")</f>
        <v>FABPL protein</v>
      </c>
      <c r="J261" t="s">
        <v>1386</v>
      </c>
      <c r="K261" t="s">
        <v>25</v>
      </c>
      <c r="L261">
        <v>50</v>
      </c>
      <c r="M261" t="s">
        <v>1379</v>
      </c>
      <c r="N261" t="s">
        <v>25</v>
      </c>
    </row>
    <row r="262" spans="1:14" x14ac:dyDescent="0.25">
      <c r="A262">
        <v>6</v>
      </c>
      <c r="B262" t="s">
        <v>167</v>
      </c>
      <c r="C262" t="str">
        <f>HYPERLINK("http://www.ncbi.nlm.nih.gov/protein/NXV76974.1","NXV76974.1")</f>
        <v>NXV76974.1</v>
      </c>
      <c r="D262">
        <v>13752</v>
      </c>
      <c r="E262" t="str">
        <f>HYPERLINK("http://www.ncbi.nlm.nih.gov/Taxonomy/Browser/wwwtax.cgi?mode=Info&amp;id=2478892&amp;lvl=3&amp;lin=f&amp;keep=1&amp;srchmode=1&amp;unlock","2478892")</f>
        <v>2478892</v>
      </c>
      <c r="F262" t="s">
        <v>167</v>
      </c>
      <c r="G262" t="str">
        <f>HYPERLINK("http://www.ncbi.nlm.nih.gov/Taxonomy/Browser/wwwtax.cgi?mode=Info&amp;id=2478892&amp;lvl=3&amp;lin=f&amp;keep=1&amp;srchmode=1&amp;unlock","Atlantisia rogersi")</f>
        <v>Atlantisia rogersi</v>
      </c>
      <c r="H262" t="s">
        <v>216</v>
      </c>
      <c r="I262" t="str">
        <f>HYPERLINK("http://www.ncbi.nlm.nih.gov/protein/NXV76974.1","FABPL protein")</f>
        <v>FABPL protein</v>
      </c>
      <c r="J262" t="s">
        <v>1386</v>
      </c>
      <c r="K262" t="s">
        <v>25</v>
      </c>
      <c r="L262">
        <v>50</v>
      </c>
      <c r="M262" t="s">
        <v>1379</v>
      </c>
      <c r="N262" t="s">
        <v>25</v>
      </c>
    </row>
    <row r="263" spans="1:14" x14ac:dyDescent="0.25">
      <c r="A263">
        <v>6</v>
      </c>
      <c r="B263" t="s">
        <v>167</v>
      </c>
      <c r="C263" t="str">
        <f>HYPERLINK("http://www.ncbi.nlm.nih.gov/protein/NXP09187.1","NXP09187.1")</f>
        <v>NXP09187.1</v>
      </c>
      <c r="D263">
        <v>14091</v>
      </c>
      <c r="E263" t="str">
        <f>HYPERLINK("http://www.ncbi.nlm.nih.gov/Taxonomy/Browser/wwwtax.cgi?mode=Info&amp;id=161742&amp;lvl=3&amp;lin=f&amp;keep=1&amp;srchmode=1&amp;unlock","161742")</f>
        <v>161742</v>
      </c>
      <c r="F263" t="s">
        <v>167</v>
      </c>
      <c r="G263" t="str">
        <f>HYPERLINK("http://www.ncbi.nlm.nih.gov/Taxonomy/Browser/wwwtax.cgi?mode=Info&amp;id=161742&amp;lvl=3&amp;lin=f&amp;keep=1&amp;srchmode=1&amp;unlock","Thinocorus orbignyianus")</f>
        <v>Thinocorus orbignyianus</v>
      </c>
      <c r="H263" t="s">
        <v>217</v>
      </c>
      <c r="I263" t="str">
        <f>HYPERLINK("http://www.ncbi.nlm.nih.gov/protein/NXP09187.1","FABPL protein")</f>
        <v>FABPL protein</v>
      </c>
      <c r="J263" t="s">
        <v>1386</v>
      </c>
      <c r="K263" t="s">
        <v>25</v>
      </c>
      <c r="L263">
        <v>50</v>
      </c>
      <c r="M263" t="s">
        <v>1383</v>
      </c>
      <c r="N263" t="s">
        <v>25</v>
      </c>
    </row>
    <row r="264" spans="1:14" x14ac:dyDescent="0.25">
      <c r="A264">
        <v>6</v>
      </c>
      <c r="B264" t="s">
        <v>167</v>
      </c>
      <c r="C264" t="str">
        <f>HYPERLINK("http://www.ncbi.nlm.nih.gov/protein/NXW98701.1","NXW98701.1")</f>
        <v>NXW98701.1</v>
      </c>
      <c r="D264">
        <v>14087</v>
      </c>
      <c r="E264" t="str">
        <f>HYPERLINK("http://www.ncbi.nlm.nih.gov/Taxonomy/Browser/wwwtax.cgi?mode=Info&amp;id=243888&amp;lvl=3&amp;lin=f&amp;keep=1&amp;srchmode=1&amp;unlock","243888")</f>
        <v>243888</v>
      </c>
      <c r="F264" t="s">
        <v>167</v>
      </c>
      <c r="G264" t="str">
        <f>HYPERLINK("http://www.ncbi.nlm.nih.gov/Taxonomy/Browser/wwwtax.cgi?mode=Info&amp;id=243888&amp;lvl=3&amp;lin=f&amp;keep=1&amp;srchmode=1&amp;unlock","Larus smithsonianus")</f>
        <v>Larus smithsonianus</v>
      </c>
      <c r="H264" t="s">
        <v>218</v>
      </c>
      <c r="I264" t="str">
        <f>HYPERLINK("http://www.ncbi.nlm.nih.gov/protein/NXW98701.1","FABPL protein")</f>
        <v>FABPL protein</v>
      </c>
      <c r="J264" t="s">
        <v>1386</v>
      </c>
      <c r="K264" t="s">
        <v>25</v>
      </c>
      <c r="L264">
        <v>50</v>
      </c>
      <c r="M264" t="s">
        <v>1383</v>
      </c>
      <c r="N264" t="s">
        <v>25</v>
      </c>
    </row>
    <row r="265" spans="1:14" x14ac:dyDescent="0.25">
      <c r="A265">
        <v>6</v>
      </c>
      <c r="B265" t="s">
        <v>167</v>
      </c>
      <c r="C265" t="str">
        <f>HYPERLINK("http://www.ncbi.nlm.nih.gov/protein/XP_008500087.1","XP_008500087.1")</f>
        <v>XP_008500087.1</v>
      </c>
      <c r="D265">
        <v>42941</v>
      </c>
      <c r="E265" t="str">
        <f>HYPERLINK("http://www.ncbi.nlm.nih.gov/Taxonomy/Browser/wwwtax.cgi?mode=Info&amp;id=9244&amp;lvl=3&amp;lin=f&amp;keep=1&amp;srchmode=1&amp;unlock","9244")</f>
        <v>9244</v>
      </c>
      <c r="F265" t="s">
        <v>167</v>
      </c>
      <c r="G265" t="str">
        <f>HYPERLINK("http://www.ncbi.nlm.nih.gov/Taxonomy/Browser/wwwtax.cgi?mode=Info&amp;id=9244&amp;lvl=3&amp;lin=f&amp;keep=1&amp;srchmode=1&amp;unlock","Calypte anna")</f>
        <v>Calypte anna</v>
      </c>
      <c r="H265" t="s">
        <v>219</v>
      </c>
      <c r="I265" t="str">
        <f>HYPERLINK("http://www.ncbi.nlm.nih.gov/protein/XP_008500087.1","fatty acid-binding protein, liver")</f>
        <v>fatty acid-binding protein, liver</v>
      </c>
      <c r="J265" t="s">
        <v>1386</v>
      </c>
      <c r="K265" t="s">
        <v>25</v>
      </c>
      <c r="L265">
        <v>50</v>
      </c>
      <c r="M265" t="s">
        <v>1379</v>
      </c>
      <c r="N265" t="s">
        <v>25</v>
      </c>
    </row>
    <row r="266" spans="1:14" x14ac:dyDescent="0.25">
      <c r="A266">
        <v>6</v>
      </c>
      <c r="B266" t="s">
        <v>167</v>
      </c>
      <c r="C266" t="str">
        <f>HYPERLINK("http://www.ncbi.nlm.nih.gov/protein/NXP51856.1","NXP51856.1")</f>
        <v>NXP51856.1</v>
      </c>
      <c r="D266">
        <v>13596</v>
      </c>
      <c r="E266" t="str">
        <f>HYPERLINK("http://www.ncbi.nlm.nih.gov/Taxonomy/Browser/wwwtax.cgi?mode=Info&amp;id=54369&amp;lvl=3&amp;lin=f&amp;keep=1&amp;srchmode=1&amp;unlock","54369")</f>
        <v>54369</v>
      </c>
      <c r="F266" t="s">
        <v>167</v>
      </c>
      <c r="G266" t="str">
        <f>HYPERLINK("http://www.ncbi.nlm.nih.gov/Taxonomy/Browser/wwwtax.cgi?mode=Info&amp;id=54369&amp;lvl=3&amp;lin=f&amp;keep=1&amp;srchmode=1&amp;unlock","Heliornis fulica")</f>
        <v>Heliornis fulica</v>
      </c>
      <c r="H266" t="s">
        <v>221</v>
      </c>
      <c r="I266" t="str">
        <f>HYPERLINK("http://www.ncbi.nlm.nih.gov/protein/NXP51856.1","FABPL protein")</f>
        <v>FABPL protein</v>
      </c>
      <c r="J266" t="s">
        <v>1386</v>
      </c>
      <c r="K266" t="s">
        <v>25</v>
      </c>
      <c r="L266">
        <v>50</v>
      </c>
      <c r="M266" t="s">
        <v>1379</v>
      </c>
      <c r="N266" t="s">
        <v>25</v>
      </c>
    </row>
    <row r="267" spans="1:14" x14ac:dyDescent="0.25">
      <c r="A267">
        <v>6</v>
      </c>
      <c r="B267" t="s">
        <v>167</v>
      </c>
      <c r="C267" t="str">
        <f>HYPERLINK("http://www.ncbi.nlm.nih.gov/protein/NXF49511.1","NXF49511.1")</f>
        <v>NXF49511.1</v>
      </c>
      <c r="D267">
        <v>14303</v>
      </c>
      <c r="E267" t="str">
        <f>HYPERLINK("http://www.ncbi.nlm.nih.gov/Taxonomy/Browser/wwwtax.cgi?mode=Info&amp;id=79653&amp;lvl=3&amp;lin=f&amp;keep=1&amp;srchmode=1&amp;unlock","79653")</f>
        <v>79653</v>
      </c>
      <c r="F267" t="s">
        <v>167</v>
      </c>
      <c r="G267" t="str">
        <f>HYPERLINK("http://www.ncbi.nlm.nih.gov/Taxonomy/Browser/wwwtax.cgi?mode=Info&amp;id=79653&amp;lvl=3&amp;lin=f&amp;keep=1&amp;srchmode=1&amp;unlock","Oceanites oceanicus")</f>
        <v>Oceanites oceanicus</v>
      </c>
      <c r="H267" t="s">
        <v>222</v>
      </c>
      <c r="I267" t="str">
        <f>HYPERLINK("http://www.ncbi.nlm.nih.gov/protein/NXF49511.1","FABPL protein")</f>
        <v>FABPL protein</v>
      </c>
      <c r="J267" t="s">
        <v>1386</v>
      </c>
      <c r="K267" t="s">
        <v>25</v>
      </c>
      <c r="L267">
        <v>50</v>
      </c>
      <c r="M267" t="s">
        <v>1383</v>
      </c>
      <c r="N267" t="s">
        <v>25</v>
      </c>
    </row>
    <row r="268" spans="1:14" x14ac:dyDescent="0.25">
      <c r="A268">
        <v>6</v>
      </c>
      <c r="B268" t="s">
        <v>167</v>
      </c>
      <c r="C268" t="str">
        <f>HYPERLINK("http://www.ncbi.nlm.nih.gov/protein/XP_009469959.1","XP_009469959.1")</f>
        <v>XP_009469959.1</v>
      </c>
      <c r="D268">
        <v>31423</v>
      </c>
      <c r="E268" t="str">
        <f>HYPERLINK("http://www.ncbi.nlm.nih.gov/Taxonomy/Browser/wwwtax.cgi?mode=Info&amp;id=128390&amp;lvl=3&amp;lin=f&amp;keep=1&amp;srchmode=1&amp;unlock","128390")</f>
        <v>128390</v>
      </c>
      <c r="F268" t="s">
        <v>167</v>
      </c>
      <c r="G268" t="str">
        <f>HYPERLINK("http://www.ncbi.nlm.nih.gov/Taxonomy/Browser/wwwtax.cgi?mode=Info&amp;id=128390&amp;lvl=3&amp;lin=f&amp;keep=1&amp;srchmode=1&amp;unlock","Nipponia nippon")</f>
        <v>Nipponia nippon</v>
      </c>
      <c r="H268" t="s">
        <v>220</v>
      </c>
      <c r="I268" t="str">
        <f>HYPERLINK("http://www.ncbi.nlm.nih.gov/protein/XP_009469959.1","PREDICTED: fatty acid-binding protein, liver")</f>
        <v>PREDICTED: fatty acid-binding protein, liver</v>
      </c>
      <c r="J268" t="s">
        <v>1386</v>
      </c>
      <c r="K268" t="s">
        <v>25</v>
      </c>
      <c r="L268">
        <v>50</v>
      </c>
      <c r="M268" t="s">
        <v>1379</v>
      </c>
      <c r="N268" t="s">
        <v>25</v>
      </c>
    </row>
    <row r="269" spans="1:14" x14ac:dyDescent="0.25">
      <c r="A269">
        <v>6</v>
      </c>
      <c r="B269" t="s">
        <v>167</v>
      </c>
      <c r="C269" t="str">
        <f>HYPERLINK("http://www.ncbi.nlm.nih.gov/protein/NWY12763.1","NWY12763.1")</f>
        <v>NWY12763.1</v>
      </c>
      <c r="D269">
        <v>14632</v>
      </c>
      <c r="E269" t="str">
        <f>HYPERLINK("http://www.ncbi.nlm.nih.gov/Taxonomy/Browser/wwwtax.cgi?mode=Info&amp;id=39617&amp;lvl=3&amp;lin=f&amp;keep=1&amp;srchmode=1&amp;unlock","39617")</f>
        <v>39617</v>
      </c>
      <c r="F269" t="s">
        <v>167</v>
      </c>
      <c r="G269" t="str">
        <f>HYPERLINK("http://www.ncbi.nlm.nih.gov/Taxonomy/Browser/wwwtax.cgi?mode=Info&amp;id=39617&amp;lvl=3&amp;lin=f&amp;keep=1&amp;srchmode=1&amp;unlock","Aphelocoma coerulescens")</f>
        <v>Aphelocoma coerulescens</v>
      </c>
      <c r="H269" t="s">
        <v>224</v>
      </c>
      <c r="I269" t="str">
        <f>HYPERLINK("http://www.ncbi.nlm.nih.gov/protein/NWY12763.1","FABPL protein")</f>
        <v>FABPL protein</v>
      </c>
      <c r="J269" t="s">
        <v>1386</v>
      </c>
      <c r="K269" t="s">
        <v>25</v>
      </c>
      <c r="L269">
        <v>50</v>
      </c>
      <c r="M269" t="s">
        <v>1383</v>
      </c>
      <c r="N269" t="s">
        <v>25</v>
      </c>
    </row>
    <row r="270" spans="1:14" x14ac:dyDescent="0.25">
      <c r="A270">
        <v>6</v>
      </c>
      <c r="B270" t="s">
        <v>167</v>
      </c>
      <c r="C270" t="str">
        <f>HYPERLINK("http://www.ncbi.nlm.nih.gov/protein/NXV14018.1","NXV14018.1")</f>
        <v>NXV14018.1</v>
      </c>
      <c r="D270">
        <v>14788</v>
      </c>
      <c r="E270" t="str">
        <f>HYPERLINK("http://www.ncbi.nlm.nih.gov/Taxonomy/Browser/wwwtax.cgi?mode=Info&amp;id=28697&amp;lvl=3&amp;lin=f&amp;keep=1&amp;srchmode=1&amp;unlock","28697")</f>
        <v>28697</v>
      </c>
      <c r="F270" t="s">
        <v>167</v>
      </c>
      <c r="G270" t="str">
        <f>HYPERLINK("http://www.ncbi.nlm.nih.gov/Taxonomy/Browser/wwwtax.cgi?mode=Info&amp;id=28697&amp;lvl=3&amp;lin=f&amp;keep=1&amp;srchmode=1&amp;unlock","Cepphus grylle")</f>
        <v>Cepphus grylle</v>
      </c>
      <c r="H270" t="s">
        <v>185</v>
      </c>
      <c r="I270" t="str">
        <f>HYPERLINK("http://www.ncbi.nlm.nih.gov/protein/NXV14018.1","FABPL protein")</f>
        <v>FABPL protein</v>
      </c>
      <c r="J270" t="s">
        <v>1386</v>
      </c>
      <c r="K270" t="s">
        <v>25</v>
      </c>
      <c r="L270">
        <v>50</v>
      </c>
      <c r="M270" t="s">
        <v>1383</v>
      </c>
      <c r="N270" t="s">
        <v>25</v>
      </c>
    </row>
    <row r="271" spans="1:14" x14ac:dyDescent="0.25">
      <c r="A271">
        <v>6</v>
      </c>
      <c r="B271" t="s">
        <v>167</v>
      </c>
      <c r="C271" t="str">
        <f>HYPERLINK("http://www.ncbi.nlm.nih.gov/protein/NXD13974.1","NXD13974.1")</f>
        <v>NXD13974.1</v>
      </c>
      <c r="D271">
        <v>13147</v>
      </c>
      <c r="E271" t="str">
        <f>HYPERLINK("http://www.ncbi.nlm.nih.gov/Taxonomy/Browser/wwwtax.cgi?mode=Info&amp;id=1977171&amp;lvl=3&amp;lin=f&amp;keep=1&amp;srchmode=1&amp;unlock","1977171")</f>
        <v>1977171</v>
      </c>
      <c r="F271" t="s">
        <v>167</v>
      </c>
      <c r="G271" t="str">
        <f>HYPERLINK("http://www.ncbi.nlm.nih.gov/Taxonomy/Browser/wwwtax.cgi?mode=Info&amp;id=1977171&amp;lvl=3&amp;lin=f&amp;keep=1&amp;srchmode=1&amp;unlock","Nothocercus nigrocapillus")</f>
        <v>Nothocercus nigrocapillus</v>
      </c>
      <c r="H271" t="s">
        <v>196</v>
      </c>
      <c r="I271" t="str">
        <f>HYPERLINK("http://www.ncbi.nlm.nih.gov/protein/NXD13974.1","FABPL protein")</f>
        <v>FABPL protein</v>
      </c>
      <c r="J271" t="s">
        <v>1386</v>
      </c>
      <c r="K271" t="s">
        <v>25</v>
      </c>
      <c r="L271">
        <v>50</v>
      </c>
      <c r="M271" t="s">
        <v>1383</v>
      </c>
      <c r="N271" t="s">
        <v>25</v>
      </c>
    </row>
    <row r="272" spans="1:14" x14ac:dyDescent="0.25">
      <c r="A272">
        <v>6</v>
      </c>
      <c r="B272" t="s">
        <v>167</v>
      </c>
      <c r="C272" t="str">
        <f>HYPERLINK("http://www.ncbi.nlm.nih.gov/protein/NXI50649.1","NXI50649.1")</f>
        <v>NXI50649.1</v>
      </c>
      <c r="D272">
        <v>12275</v>
      </c>
      <c r="E272" t="str">
        <f>HYPERLINK("http://www.ncbi.nlm.nih.gov/Taxonomy/Browser/wwwtax.cgi?mode=Info&amp;id=176938&amp;lvl=3&amp;lin=f&amp;keep=1&amp;srchmode=1&amp;unlock","176938")</f>
        <v>176938</v>
      </c>
      <c r="F272" t="s">
        <v>167</v>
      </c>
      <c r="G272" t="str">
        <f>HYPERLINK("http://www.ncbi.nlm.nih.gov/Taxonomy/Browser/wwwtax.cgi?mode=Info&amp;id=176938&amp;lvl=3&amp;lin=f&amp;keep=1&amp;srchmode=1&amp;unlock","Chloroceryle aenea")</f>
        <v>Chloroceryle aenea</v>
      </c>
      <c r="H272" t="s">
        <v>225</v>
      </c>
      <c r="I272" t="str">
        <f>HYPERLINK("http://www.ncbi.nlm.nih.gov/protein/NXI50649.1","FABPL protein")</f>
        <v>FABPL protein</v>
      </c>
      <c r="J272" t="s">
        <v>1386</v>
      </c>
      <c r="K272" t="s">
        <v>25</v>
      </c>
      <c r="L272">
        <v>50</v>
      </c>
      <c r="M272" t="s">
        <v>1379</v>
      </c>
      <c r="N272" t="s">
        <v>25</v>
      </c>
    </row>
    <row r="273" spans="1:14" x14ac:dyDescent="0.25">
      <c r="A273">
        <v>6</v>
      </c>
      <c r="B273" t="s">
        <v>167</v>
      </c>
      <c r="C273" t="str">
        <f>HYPERLINK("http://www.ncbi.nlm.nih.gov/protein/NXJ01199.1","NXJ01199.1")</f>
        <v>NXJ01199.1</v>
      </c>
      <c r="D273">
        <v>13920</v>
      </c>
      <c r="E273" t="str">
        <f>HYPERLINK("http://www.ncbi.nlm.nih.gov/Taxonomy/Browser/wwwtax.cgi?mode=Info&amp;id=54359&amp;lvl=3&amp;lin=f&amp;keep=1&amp;srchmode=1&amp;unlock","54359")</f>
        <v>54359</v>
      </c>
      <c r="F273" t="s">
        <v>167</v>
      </c>
      <c r="G273" t="str">
        <f>HYPERLINK("http://www.ncbi.nlm.nih.gov/Taxonomy/Browser/wwwtax.cgi?mode=Info&amp;id=54359&amp;lvl=3&amp;lin=f&amp;keep=1&amp;srchmode=1&amp;unlock","Psophia crepitans")</f>
        <v>Psophia crepitans</v>
      </c>
      <c r="H273" t="s">
        <v>226</v>
      </c>
      <c r="I273" t="str">
        <f>HYPERLINK("http://www.ncbi.nlm.nih.gov/protein/NXJ01199.1","FABPL protein")</f>
        <v>FABPL protein</v>
      </c>
      <c r="J273" t="s">
        <v>1386</v>
      </c>
      <c r="K273" t="s">
        <v>25</v>
      </c>
      <c r="L273">
        <v>50</v>
      </c>
      <c r="M273" t="s">
        <v>1383</v>
      </c>
      <c r="N273" t="s">
        <v>25</v>
      </c>
    </row>
    <row r="274" spans="1:14" x14ac:dyDescent="0.25">
      <c r="A274">
        <v>6</v>
      </c>
      <c r="B274" t="s">
        <v>167</v>
      </c>
      <c r="C274" t="str">
        <f>HYPERLINK("http://www.ncbi.nlm.nih.gov/protein/NXQ92781.1","NXQ92781.1")</f>
        <v>NXQ92781.1</v>
      </c>
      <c r="D274">
        <v>12894</v>
      </c>
      <c r="E274" t="str">
        <f>HYPERLINK("http://www.ncbi.nlm.nih.gov/Taxonomy/Browser/wwwtax.cgi?mode=Info&amp;id=56258&amp;lvl=3&amp;lin=f&amp;keep=1&amp;srchmode=1&amp;unlock","56258")</f>
        <v>56258</v>
      </c>
      <c r="F274" t="s">
        <v>167</v>
      </c>
      <c r="G274" t="str">
        <f>HYPERLINK("http://www.ncbi.nlm.nih.gov/Taxonomy/Browser/wwwtax.cgi?mode=Info&amp;id=56258&amp;lvl=3&amp;lin=f&amp;keep=1&amp;srchmode=1&amp;unlock","Sagittarius serpentarius")</f>
        <v>Sagittarius serpentarius</v>
      </c>
      <c r="H274" t="s">
        <v>227</v>
      </c>
      <c r="I274" t="str">
        <f>HYPERLINK("http://www.ncbi.nlm.nih.gov/protein/NXQ92781.1","FABPL protein")</f>
        <v>FABPL protein</v>
      </c>
      <c r="J274" t="s">
        <v>1386</v>
      </c>
      <c r="K274" t="s">
        <v>25</v>
      </c>
      <c r="L274">
        <v>50</v>
      </c>
      <c r="M274" t="s">
        <v>1383</v>
      </c>
      <c r="N274" t="s">
        <v>25</v>
      </c>
    </row>
    <row r="275" spans="1:14" x14ac:dyDescent="0.25">
      <c r="A275">
        <v>6</v>
      </c>
      <c r="B275" t="s">
        <v>167</v>
      </c>
      <c r="C275" t="str">
        <f>HYPERLINK("http://www.ncbi.nlm.nih.gov/protein/NWX10622.1","NWX10622.1")</f>
        <v>NWX10622.1</v>
      </c>
      <c r="D275">
        <v>14125</v>
      </c>
      <c r="E275" t="str">
        <f>HYPERLINK("http://www.ncbi.nlm.nih.gov/Taxonomy/Browser/wwwtax.cgi?mode=Info&amp;id=187106&amp;lvl=3&amp;lin=f&amp;keep=1&amp;srchmode=1&amp;unlock","187106")</f>
        <v>187106</v>
      </c>
      <c r="F275" t="s">
        <v>167</v>
      </c>
      <c r="G275" t="str">
        <f>HYPERLINK("http://www.ncbi.nlm.nih.gov/Taxonomy/Browser/wwwtax.cgi?mode=Info&amp;id=187106&amp;lvl=3&amp;lin=f&amp;keep=1&amp;srchmode=1&amp;unlock","Caloenas nicobarica")</f>
        <v>Caloenas nicobarica</v>
      </c>
      <c r="H275" t="s">
        <v>223</v>
      </c>
      <c r="I275" t="str">
        <f>HYPERLINK("http://www.ncbi.nlm.nih.gov/protein/NWX10622.1","FABPL protein")</f>
        <v>FABPL protein</v>
      </c>
      <c r="J275" t="s">
        <v>1386</v>
      </c>
      <c r="K275" t="s">
        <v>25</v>
      </c>
      <c r="L275">
        <v>50</v>
      </c>
      <c r="M275" t="s">
        <v>1379</v>
      </c>
      <c r="N275" t="s">
        <v>25</v>
      </c>
    </row>
    <row r="276" spans="1:14" x14ac:dyDescent="0.25">
      <c r="A276">
        <v>6</v>
      </c>
      <c r="B276" t="s">
        <v>167</v>
      </c>
      <c r="C276" t="str">
        <f>HYPERLINK("http://www.ncbi.nlm.nih.gov/protein/NXI45520.1","NXI45520.1")</f>
        <v>NXI45520.1</v>
      </c>
      <c r="D276">
        <v>14683</v>
      </c>
      <c r="E276" t="str">
        <f>HYPERLINK("http://www.ncbi.nlm.nih.gov/Taxonomy/Browser/wwwtax.cgi?mode=Info&amp;id=1109041&amp;lvl=3&amp;lin=f&amp;keep=1&amp;srchmode=1&amp;unlock","1109041")</f>
        <v>1109041</v>
      </c>
      <c r="F276" t="s">
        <v>167</v>
      </c>
      <c r="G276" t="str">
        <f>HYPERLINK("http://www.ncbi.nlm.nih.gov/Taxonomy/Browser/wwwtax.cgi?mode=Info&amp;id=1109041&amp;lvl=3&amp;lin=f&amp;keep=1&amp;srchmode=1&amp;unlock","Galbula dea")</f>
        <v>Galbula dea</v>
      </c>
      <c r="H276" t="s">
        <v>231</v>
      </c>
      <c r="I276" t="str">
        <f>HYPERLINK("http://www.ncbi.nlm.nih.gov/protein/NXI45520.1","FABPL protein")</f>
        <v>FABPL protein</v>
      </c>
      <c r="J276" t="s">
        <v>1386</v>
      </c>
      <c r="K276" t="s">
        <v>25</v>
      </c>
      <c r="L276">
        <v>50</v>
      </c>
      <c r="M276" t="s">
        <v>1383</v>
      </c>
      <c r="N276" t="s">
        <v>25</v>
      </c>
    </row>
    <row r="277" spans="1:14" x14ac:dyDescent="0.25">
      <c r="A277">
        <v>6</v>
      </c>
      <c r="B277" t="s">
        <v>167</v>
      </c>
      <c r="C277" t="str">
        <f>HYPERLINK("http://www.ncbi.nlm.nih.gov/protein/NXF32561.1","NXF32561.1")</f>
        <v>NXF32561.1</v>
      </c>
      <c r="D277">
        <v>13974</v>
      </c>
      <c r="E277" t="str">
        <f>HYPERLINK("http://www.ncbi.nlm.nih.gov/Taxonomy/Browser/wwwtax.cgi?mode=Info&amp;id=48426&amp;lvl=3&amp;lin=f&amp;keep=1&amp;srchmode=1&amp;unlock","48426")</f>
        <v>48426</v>
      </c>
      <c r="F277" t="s">
        <v>167</v>
      </c>
      <c r="G277" t="str">
        <f>HYPERLINK("http://www.ncbi.nlm.nih.gov/Taxonomy/Browser/wwwtax.cgi?mode=Info&amp;id=48426&amp;lvl=3&amp;lin=f&amp;keep=1&amp;srchmode=1&amp;unlock","Nyctibius bracteatus")</f>
        <v>Nyctibius bracteatus</v>
      </c>
      <c r="H277" t="s">
        <v>232</v>
      </c>
      <c r="I277" t="str">
        <f>HYPERLINK("http://www.ncbi.nlm.nih.gov/protein/NXF32561.1","FABPL protein")</f>
        <v>FABPL protein</v>
      </c>
      <c r="J277" t="s">
        <v>1386</v>
      </c>
      <c r="K277" t="s">
        <v>25</v>
      </c>
      <c r="L277">
        <v>50</v>
      </c>
      <c r="M277" t="s">
        <v>1379</v>
      </c>
      <c r="N277" t="s">
        <v>25</v>
      </c>
    </row>
    <row r="278" spans="1:14" x14ac:dyDescent="0.25">
      <c r="A278">
        <v>6</v>
      </c>
      <c r="B278" t="s">
        <v>167</v>
      </c>
      <c r="C278" t="str">
        <f>HYPERLINK("http://www.ncbi.nlm.nih.gov/protein/NXQ80872.1","NXQ80872.1")</f>
        <v>NXQ80872.1</v>
      </c>
      <c r="D278">
        <v>14112</v>
      </c>
      <c r="E278" t="str">
        <f>HYPERLINK("http://www.ncbi.nlm.nih.gov/Taxonomy/Browser/wwwtax.cgi?mode=Info&amp;id=48427&amp;lvl=3&amp;lin=f&amp;keep=1&amp;srchmode=1&amp;unlock","48427")</f>
        <v>48427</v>
      </c>
      <c r="F278" t="s">
        <v>167</v>
      </c>
      <c r="G278" t="str">
        <f>HYPERLINK("http://www.ncbi.nlm.nih.gov/Taxonomy/Browser/wwwtax.cgi?mode=Info&amp;id=48427&amp;lvl=3&amp;lin=f&amp;keep=1&amp;srchmode=1&amp;unlock","Nyctibius grandis")</f>
        <v>Nyctibius grandis</v>
      </c>
      <c r="H278" t="s">
        <v>233</v>
      </c>
      <c r="I278" t="str">
        <f>HYPERLINK("http://www.ncbi.nlm.nih.gov/protein/NXQ80872.1","FABPL protein")</f>
        <v>FABPL protein</v>
      </c>
      <c r="J278" t="s">
        <v>1386</v>
      </c>
      <c r="K278" t="s">
        <v>25</v>
      </c>
      <c r="L278">
        <v>50</v>
      </c>
      <c r="M278" t="s">
        <v>1379</v>
      </c>
      <c r="N278" t="s">
        <v>25</v>
      </c>
    </row>
    <row r="279" spans="1:14" x14ac:dyDescent="0.25">
      <c r="A279">
        <v>6</v>
      </c>
      <c r="B279" t="s">
        <v>167</v>
      </c>
      <c r="C279" t="str">
        <f>HYPERLINK("http://www.ncbi.nlm.nih.gov/protein/NWU90422.1","NWU90422.1")</f>
        <v>NWU90422.1</v>
      </c>
      <c r="D279">
        <v>13878</v>
      </c>
      <c r="E279" t="str">
        <f>HYPERLINK("http://www.ncbi.nlm.nih.gov/Taxonomy/Browser/wwwtax.cgi?mode=Info&amp;id=57439&amp;lvl=3&amp;lin=f&amp;keep=1&amp;srchmode=1&amp;unlock","57439")</f>
        <v>57439</v>
      </c>
      <c r="F279" t="s">
        <v>167</v>
      </c>
      <c r="G279" t="str">
        <f>HYPERLINK("http://www.ncbi.nlm.nih.gov/Taxonomy/Browser/wwwtax.cgi?mode=Info&amp;id=57439&amp;lvl=3&amp;lin=f&amp;keep=1&amp;srchmode=1&amp;unlock","Upupa epops")</f>
        <v>Upupa epops</v>
      </c>
      <c r="H279" t="s">
        <v>234</v>
      </c>
      <c r="I279" t="str">
        <f>HYPERLINK("http://www.ncbi.nlm.nih.gov/protein/NWU90422.1","FABPL protein")</f>
        <v>FABPL protein</v>
      </c>
      <c r="J279" t="s">
        <v>1386</v>
      </c>
      <c r="K279" t="s">
        <v>25</v>
      </c>
      <c r="L279">
        <v>50</v>
      </c>
      <c r="M279" t="s">
        <v>1379</v>
      </c>
      <c r="N279" t="s">
        <v>25</v>
      </c>
    </row>
    <row r="280" spans="1:14" x14ac:dyDescent="0.25">
      <c r="A280">
        <v>6</v>
      </c>
      <c r="B280" t="s">
        <v>167</v>
      </c>
      <c r="C280" t="str">
        <f>HYPERLINK("http://www.ncbi.nlm.nih.gov/protein/NXS63123.1","NXS63123.1")</f>
        <v>NXS63123.1</v>
      </c>
      <c r="D280">
        <v>13462</v>
      </c>
      <c r="E280" t="str">
        <f>HYPERLINK("http://www.ncbi.nlm.nih.gov/Taxonomy/Browser/wwwtax.cgi?mode=Info&amp;id=135165&amp;lvl=3&amp;lin=f&amp;keep=1&amp;srchmode=1&amp;unlock","135165")</f>
        <v>135165</v>
      </c>
      <c r="F280" t="s">
        <v>167</v>
      </c>
      <c r="G280" t="str">
        <f>HYPERLINK("http://www.ncbi.nlm.nih.gov/Taxonomy/Browser/wwwtax.cgi?mode=Info&amp;id=135165&amp;lvl=3&amp;lin=f&amp;keep=1&amp;srchmode=1&amp;unlock","Brachypteracias leptosomus")</f>
        <v>Brachypteracias leptosomus</v>
      </c>
      <c r="H280" t="s">
        <v>235</v>
      </c>
      <c r="I280" t="str">
        <f>HYPERLINK("http://www.ncbi.nlm.nih.gov/protein/NXS63123.1","FABP1 protein")</f>
        <v>FABP1 protein</v>
      </c>
      <c r="J280" t="s">
        <v>1386</v>
      </c>
      <c r="K280" t="s">
        <v>25</v>
      </c>
      <c r="L280">
        <v>50</v>
      </c>
      <c r="M280" t="s">
        <v>1379</v>
      </c>
      <c r="N280" t="s">
        <v>25</v>
      </c>
    </row>
    <row r="281" spans="1:14" x14ac:dyDescent="0.25">
      <c r="A281">
        <v>6</v>
      </c>
      <c r="B281" t="s">
        <v>167</v>
      </c>
      <c r="C281" t="str">
        <f>HYPERLINK("http://www.ncbi.nlm.nih.gov/protein/NXW57142.1","NXW57142.1")</f>
        <v>NXW57142.1</v>
      </c>
      <c r="D281">
        <v>13972</v>
      </c>
      <c r="E281" t="str">
        <f>HYPERLINK("http://www.ncbi.nlm.nih.gov/Taxonomy/Browser/wwwtax.cgi?mode=Info&amp;id=325343&amp;lvl=3&amp;lin=f&amp;keep=1&amp;srchmode=1&amp;unlock","325343")</f>
        <v>325343</v>
      </c>
      <c r="F281" t="s">
        <v>167</v>
      </c>
      <c r="G281" t="str">
        <f>HYPERLINK("http://www.ncbi.nlm.nih.gov/Taxonomy/Browser/wwwtax.cgi?mode=Info&amp;id=325343&amp;lvl=3&amp;lin=f&amp;keep=1&amp;srchmode=1&amp;unlock","Eurystomus gularis")</f>
        <v>Eurystomus gularis</v>
      </c>
      <c r="H281" t="s">
        <v>238</v>
      </c>
      <c r="I281" t="str">
        <f>HYPERLINK("http://www.ncbi.nlm.nih.gov/protein/NXW57142.1","FABPL protein")</f>
        <v>FABPL protein</v>
      </c>
      <c r="J281" t="s">
        <v>1386</v>
      </c>
      <c r="K281" t="s">
        <v>25</v>
      </c>
      <c r="L281">
        <v>50</v>
      </c>
      <c r="M281" t="s">
        <v>1379</v>
      </c>
      <c r="N281" t="s">
        <v>25</v>
      </c>
    </row>
    <row r="282" spans="1:14" x14ac:dyDescent="0.25">
      <c r="A282">
        <v>6</v>
      </c>
      <c r="B282" t="s">
        <v>167</v>
      </c>
      <c r="C282" t="str">
        <f>HYPERLINK("http://www.ncbi.nlm.nih.gov/protein/NXK04686.1","NXK04686.1")</f>
        <v>NXK04686.1</v>
      </c>
      <c r="D282">
        <v>14398</v>
      </c>
      <c r="E282" t="str">
        <f>HYPERLINK("http://www.ncbi.nlm.nih.gov/Taxonomy/Browser/wwwtax.cgi?mode=Info&amp;id=56343&amp;lvl=3&amp;lin=f&amp;keep=1&amp;srchmode=1&amp;unlock","56343")</f>
        <v>56343</v>
      </c>
      <c r="F282" t="s">
        <v>167</v>
      </c>
      <c r="G282" t="str">
        <f>HYPERLINK("http://www.ncbi.nlm.nih.gov/Taxonomy/Browser/wwwtax.cgi?mode=Info&amp;id=56343&amp;lvl=3&amp;lin=f&amp;keep=1&amp;srchmode=1&amp;unlock","Herpetotheres cachinnans")</f>
        <v>Herpetotheres cachinnans</v>
      </c>
      <c r="H282" t="s">
        <v>239</v>
      </c>
      <c r="I282" t="str">
        <f>HYPERLINK("http://www.ncbi.nlm.nih.gov/protein/NXK04686.1","FABPL protein")</f>
        <v>FABPL protein</v>
      </c>
      <c r="J282" t="s">
        <v>1386</v>
      </c>
      <c r="K282" t="s">
        <v>25</v>
      </c>
      <c r="L282">
        <v>50</v>
      </c>
      <c r="M282" t="s">
        <v>1383</v>
      </c>
      <c r="N282" t="s">
        <v>25</v>
      </c>
    </row>
    <row r="283" spans="1:14" x14ac:dyDescent="0.25">
      <c r="A283">
        <v>6</v>
      </c>
      <c r="B283" t="s">
        <v>167</v>
      </c>
      <c r="C283" t="str">
        <f>HYPERLINK("http://www.ncbi.nlm.nih.gov/protein/NXX76325.1","NXX76325.1")</f>
        <v>NXX76325.1</v>
      </c>
      <c r="D283">
        <v>14124</v>
      </c>
      <c r="E283" t="str">
        <f>HYPERLINK("http://www.ncbi.nlm.nih.gov/Taxonomy/Browser/wwwtax.cgi?mode=Info&amp;id=458196&amp;lvl=3&amp;lin=f&amp;keep=1&amp;srchmode=1&amp;unlock","458196")</f>
        <v>458196</v>
      </c>
      <c r="F283" t="s">
        <v>167</v>
      </c>
      <c r="G283" t="str">
        <f>HYPERLINK("http://www.ncbi.nlm.nih.gov/Taxonomy/Browser/wwwtax.cgi?mode=Info&amp;id=458196&amp;lvl=3&amp;lin=f&amp;keep=1&amp;srchmode=1&amp;unlock","Urocolius indicus")</f>
        <v>Urocolius indicus</v>
      </c>
      <c r="H283" t="s">
        <v>228</v>
      </c>
      <c r="I283" t="str">
        <f>HYPERLINK("http://www.ncbi.nlm.nih.gov/protein/NXX76325.1","FABPL protein")</f>
        <v>FABPL protein</v>
      </c>
      <c r="J283" t="s">
        <v>1386</v>
      </c>
      <c r="K283" t="s">
        <v>25</v>
      </c>
      <c r="L283">
        <v>50</v>
      </c>
      <c r="M283" t="s">
        <v>1379</v>
      </c>
      <c r="N283" t="s">
        <v>25</v>
      </c>
    </row>
    <row r="284" spans="1:14" x14ac:dyDescent="0.25">
      <c r="A284">
        <v>6</v>
      </c>
      <c r="B284" t="s">
        <v>167</v>
      </c>
      <c r="C284" t="str">
        <f>HYPERLINK("http://www.ncbi.nlm.nih.gov/protein/NXD75933.1","NXD75933.1")</f>
        <v>NXD75933.1</v>
      </c>
      <c r="D284">
        <v>14290</v>
      </c>
      <c r="E284" t="str">
        <f>HYPERLINK("http://www.ncbi.nlm.nih.gov/Taxonomy/Browser/wwwtax.cgi?mode=Info&amp;id=342381&amp;lvl=3&amp;lin=f&amp;keep=1&amp;srchmode=1&amp;unlock","342381")</f>
        <v>342381</v>
      </c>
      <c r="F284" t="s">
        <v>167</v>
      </c>
      <c r="G284" t="str">
        <f>HYPERLINK("http://www.ncbi.nlm.nih.gov/Taxonomy/Browser/wwwtax.cgi?mode=Info&amp;id=342381&amp;lvl=3&amp;lin=f&amp;keep=1&amp;srchmode=1&amp;unlock","Halcyon senegalensis")</f>
        <v>Halcyon senegalensis</v>
      </c>
      <c r="H284" t="s">
        <v>229</v>
      </c>
      <c r="I284" t="str">
        <f>HYPERLINK("http://www.ncbi.nlm.nih.gov/protein/NXD75933.1","FABPL protein")</f>
        <v>FABPL protein</v>
      </c>
      <c r="J284" t="s">
        <v>1386</v>
      </c>
      <c r="K284" t="s">
        <v>25</v>
      </c>
      <c r="L284">
        <v>50</v>
      </c>
      <c r="M284" t="s">
        <v>1379</v>
      </c>
      <c r="N284" t="s">
        <v>25</v>
      </c>
    </row>
    <row r="285" spans="1:14" x14ac:dyDescent="0.25">
      <c r="A285">
        <v>6</v>
      </c>
      <c r="B285" t="s">
        <v>167</v>
      </c>
      <c r="C285" t="str">
        <f>HYPERLINK("http://www.ncbi.nlm.nih.gov/protein/XP_010018180.1","XP_010018180.1")</f>
        <v>XP_010018180.1</v>
      </c>
      <c r="D285">
        <v>27832</v>
      </c>
      <c r="E285" t="str">
        <f>HYPERLINK("http://www.ncbi.nlm.nih.gov/Taxonomy/Browser/wwwtax.cgi?mode=Info&amp;id=176057&amp;lvl=3&amp;lin=f&amp;keep=1&amp;srchmode=1&amp;unlock","176057")</f>
        <v>176057</v>
      </c>
      <c r="F285" t="s">
        <v>167</v>
      </c>
      <c r="G285" t="str">
        <f>HYPERLINK("http://www.ncbi.nlm.nih.gov/Taxonomy/Browser/wwwtax.cgi?mode=Info&amp;id=176057&amp;lvl=3&amp;lin=f&amp;keep=1&amp;srchmode=1&amp;unlock","Nestor notabilis")</f>
        <v>Nestor notabilis</v>
      </c>
      <c r="H285" t="s">
        <v>230</v>
      </c>
      <c r="I285" t="str">
        <f>HYPERLINK("http://www.ncbi.nlm.nih.gov/protein/XP_010018180.1","PREDICTED: fatty acid-binding protein, liver")</f>
        <v>PREDICTED: fatty acid-binding protein, liver</v>
      </c>
      <c r="J285" t="s">
        <v>1386</v>
      </c>
      <c r="K285" t="s">
        <v>25</v>
      </c>
      <c r="L285">
        <v>50</v>
      </c>
      <c r="M285" t="s">
        <v>1379</v>
      </c>
      <c r="N285" t="s">
        <v>25</v>
      </c>
    </row>
    <row r="286" spans="1:14" x14ac:dyDescent="0.25">
      <c r="A286">
        <v>6</v>
      </c>
      <c r="B286" t="s">
        <v>167</v>
      </c>
      <c r="C286" t="str">
        <f>HYPERLINK("http://www.ncbi.nlm.nih.gov/protein/NXU73809.1","NXU73809.1")</f>
        <v>NXU73809.1</v>
      </c>
      <c r="D286">
        <v>12185</v>
      </c>
      <c r="E286" t="str">
        <f>HYPERLINK("http://www.ncbi.nlm.nih.gov/Taxonomy/Browser/wwwtax.cgi?mode=Info&amp;id=689266&amp;lvl=3&amp;lin=f&amp;keep=1&amp;srchmode=1&amp;unlock","689266")</f>
        <v>689266</v>
      </c>
      <c r="F286" t="s">
        <v>167</v>
      </c>
      <c r="G286" t="str">
        <f>HYPERLINK("http://www.ncbi.nlm.nih.gov/Taxonomy/Browser/wwwtax.cgi?mode=Info&amp;id=689266&amp;lvl=3&amp;lin=f&amp;keep=1&amp;srchmode=1&amp;unlock","Oreotrochilus melanogaster")</f>
        <v>Oreotrochilus melanogaster</v>
      </c>
      <c r="H286" t="s">
        <v>242</v>
      </c>
      <c r="I286" t="str">
        <f>HYPERLINK("http://www.ncbi.nlm.nih.gov/protein/NXU73809.1","FABPL protein")</f>
        <v>FABPL protein</v>
      </c>
      <c r="J286" t="s">
        <v>1386</v>
      </c>
      <c r="K286" t="s">
        <v>25</v>
      </c>
      <c r="L286">
        <v>50</v>
      </c>
      <c r="M286" t="s">
        <v>1379</v>
      </c>
      <c r="N286" t="s">
        <v>25</v>
      </c>
    </row>
    <row r="287" spans="1:14" x14ac:dyDescent="0.25">
      <c r="A287">
        <v>6</v>
      </c>
      <c r="B287" t="s">
        <v>167</v>
      </c>
      <c r="C287" t="str">
        <f>HYPERLINK("http://www.ncbi.nlm.nih.gov/protein/NXO03063.1","NXO03063.1")</f>
        <v>NXO03063.1</v>
      </c>
      <c r="D287">
        <v>14850</v>
      </c>
      <c r="E287" t="str">
        <f>HYPERLINK("http://www.ncbi.nlm.nih.gov/Taxonomy/Browser/wwwtax.cgi?mode=Info&amp;id=113115&amp;lvl=3&amp;lin=f&amp;keep=1&amp;srchmode=1&amp;unlock","113115")</f>
        <v>113115</v>
      </c>
      <c r="F287" t="s">
        <v>167</v>
      </c>
      <c r="G287" t="str">
        <f>HYPERLINK("http://www.ncbi.nlm.nih.gov/Taxonomy/Browser/wwwtax.cgi?mode=Info&amp;id=113115&amp;lvl=3&amp;lin=f&amp;keep=1&amp;srchmode=1&amp;unlock","Rhinopomastus cyanomelas")</f>
        <v>Rhinopomastus cyanomelas</v>
      </c>
      <c r="H287" t="s">
        <v>243</v>
      </c>
      <c r="I287" t="str">
        <f>HYPERLINK("http://www.ncbi.nlm.nih.gov/protein/NXO03063.1","FABPL protein")</f>
        <v>FABPL protein</v>
      </c>
      <c r="J287" t="s">
        <v>1386</v>
      </c>
      <c r="K287" t="s">
        <v>25</v>
      </c>
      <c r="L287">
        <v>50</v>
      </c>
      <c r="M287" t="s">
        <v>1379</v>
      </c>
      <c r="N287" t="s">
        <v>25</v>
      </c>
    </row>
    <row r="288" spans="1:14" x14ac:dyDescent="0.25">
      <c r="A288">
        <v>6</v>
      </c>
      <c r="B288" t="s">
        <v>167</v>
      </c>
      <c r="C288" t="str">
        <f>HYPERLINK("http://www.ncbi.nlm.nih.gov/protein/NXS85577.1","NXS85577.1")</f>
        <v>NXS85577.1</v>
      </c>
      <c r="D288">
        <v>13355</v>
      </c>
      <c r="E288" t="str">
        <f>HYPERLINK("http://www.ncbi.nlm.nih.gov/Taxonomy/Browser/wwwtax.cgi?mode=Info&amp;id=1112836&amp;lvl=3&amp;lin=f&amp;keep=1&amp;srchmode=1&amp;unlock","1112836")</f>
        <v>1112836</v>
      </c>
      <c r="F288" t="s">
        <v>167</v>
      </c>
      <c r="G288" t="str">
        <f>HYPERLINK("http://www.ncbi.nlm.nih.gov/Taxonomy/Browser/wwwtax.cgi?mode=Info&amp;id=1112836&amp;lvl=3&amp;lin=f&amp;keep=1&amp;srchmode=1&amp;unlock","Erpornis zantholeuca")</f>
        <v>Erpornis zantholeuca</v>
      </c>
      <c r="H288" t="s">
        <v>244</v>
      </c>
      <c r="I288" t="str">
        <f>HYPERLINK("http://www.ncbi.nlm.nih.gov/protein/NXS85577.1","FABPL protein")</f>
        <v>FABPL protein</v>
      </c>
      <c r="J288" t="s">
        <v>1386</v>
      </c>
      <c r="K288" t="s">
        <v>25</v>
      </c>
      <c r="L288">
        <v>50</v>
      </c>
      <c r="M288" t="s">
        <v>1383</v>
      </c>
      <c r="N288" t="s">
        <v>25</v>
      </c>
    </row>
    <row r="289" spans="1:14" x14ac:dyDescent="0.25">
      <c r="A289">
        <v>6</v>
      </c>
      <c r="B289" t="s">
        <v>167</v>
      </c>
      <c r="C289" t="str">
        <f>HYPERLINK("http://www.ncbi.nlm.nih.gov/protein/XP_008948027.1","XP_008948027.1")</f>
        <v>XP_008948027.1</v>
      </c>
      <c r="D289">
        <v>26772</v>
      </c>
      <c r="E289" t="str">
        <f>HYPERLINK("http://www.ncbi.nlm.nih.gov/Taxonomy/Browser/wwwtax.cgi?mode=Info&amp;id=57421&amp;lvl=3&amp;lin=f&amp;keep=1&amp;srchmode=1&amp;unlock","57421")</f>
        <v>57421</v>
      </c>
      <c r="F289" t="s">
        <v>167</v>
      </c>
      <c r="G289" t="str">
        <f>HYPERLINK("http://www.ncbi.nlm.nih.gov/Taxonomy/Browser/wwwtax.cgi?mode=Info&amp;id=57421&amp;lvl=3&amp;lin=f&amp;keep=1&amp;srchmode=1&amp;unlock","Merops nubicus")</f>
        <v>Merops nubicus</v>
      </c>
      <c r="H289" t="s">
        <v>245</v>
      </c>
      <c r="I289" t="str">
        <f>HYPERLINK("http://www.ncbi.nlm.nih.gov/protein/XP_008948027.1","PREDICTED: fatty acid-binding protein, liver")</f>
        <v>PREDICTED: fatty acid-binding protein, liver</v>
      </c>
      <c r="J289" t="s">
        <v>1386</v>
      </c>
      <c r="K289" t="s">
        <v>25</v>
      </c>
      <c r="L289">
        <v>50</v>
      </c>
      <c r="M289" t="s">
        <v>1379</v>
      </c>
      <c r="N289" t="s">
        <v>25</v>
      </c>
    </row>
    <row r="290" spans="1:14" x14ac:dyDescent="0.25">
      <c r="A290">
        <v>6</v>
      </c>
      <c r="B290" t="s">
        <v>167</v>
      </c>
      <c r="C290" t="str">
        <f>HYPERLINK("http://www.ncbi.nlm.nih.gov/protein/XP_009554280.1","XP_009554280.1")</f>
        <v>XP_009554280.1</v>
      </c>
      <c r="D290">
        <v>30502</v>
      </c>
      <c r="E290" t="str">
        <f>HYPERLINK("http://www.ncbi.nlm.nih.gov/Taxonomy/Browser/wwwtax.cgi?mode=Info&amp;id=55661&amp;lvl=3&amp;lin=f&amp;keep=1&amp;srchmode=1&amp;unlock","55661")</f>
        <v>55661</v>
      </c>
      <c r="F290" t="s">
        <v>167</v>
      </c>
      <c r="G290" t="str">
        <f>HYPERLINK("http://www.ncbi.nlm.nih.gov/Taxonomy/Browser/wwwtax.cgi?mode=Info&amp;id=55661&amp;lvl=3&amp;lin=f&amp;keep=1&amp;srchmode=1&amp;unlock","Cuculus canorus")</f>
        <v>Cuculus canorus</v>
      </c>
      <c r="H290" t="s">
        <v>246</v>
      </c>
      <c r="I290" t="str">
        <f>HYPERLINK("http://www.ncbi.nlm.nih.gov/protein/XP_009554280.1","PREDICTED: fatty acid-binding protein, liver")</f>
        <v>PREDICTED: fatty acid-binding protein, liver</v>
      </c>
      <c r="J290" t="s">
        <v>1386</v>
      </c>
      <c r="K290" t="s">
        <v>25</v>
      </c>
      <c r="L290">
        <v>50</v>
      </c>
      <c r="M290" t="s">
        <v>1379</v>
      </c>
      <c r="N290" t="s">
        <v>25</v>
      </c>
    </row>
    <row r="291" spans="1:14" x14ac:dyDescent="0.25">
      <c r="A291">
        <v>6</v>
      </c>
      <c r="B291" t="s">
        <v>167</v>
      </c>
      <c r="C291" t="str">
        <f>HYPERLINK("http://www.ncbi.nlm.nih.gov/protein/NXF65018.1","NXF65018.1")</f>
        <v>NXF65018.1</v>
      </c>
      <c r="D291">
        <v>13848</v>
      </c>
      <c r="E291" t="str">
        <f>HYPERLINK("http://www.ncbi.nlm.nih.gov/Taxonomy/Browser/wwwtax.cgi?mode=Info&amp;id=1118524&amp;lvl=3&amp;lin=f&amp;keep=1&amp;srchmode=1&amp;unlock","1118524")</f>
        <v>1118524</v>
      </c>
      <c r="F291" t="s">
        <v>167</v>
      </c>
      <c r="G291" t="str">
        <f>HYPERLINK("http://www.ncbi.nlm.nih.gov/Taxonomy/Browser/wwwtax.cgi?mode=Info&amp;id=1118524&amp;lvl=3&amp;lin=f&amp;keep=1&amp;srchmode=1&amp;unlock","Ciccaba nigrolineata")</f>
        <v>Ciccaba nigrolineata</v>
      </c>
      <c r="H291" t="s">
        <v>240</v>
      </c>
      <c r="I291" t="str">
        <f>HYPERLINK("http://www.ncbi.nlm.nih.gov/protein/NXF65018.1","FABPL protein")</f>
        <v>FABPL protein</v>
      </c>
      <c r="J291" t="s">
        <v>1386</v>
      </c>
      <c r="K291" t="s">
        <v>25</v>
      </c>
      <c r="L291">
        <v>50</v>
      </c>
      <c r="M291" t="s">
        <v>1379</v>
      </c>
      <c r="N291" t="s">
        <v>25</v>
      </c>
    </row>
    <row r="292" spans="1:14" x14ac:dyDescent="0.25">
      <c r="A292">
        <v>6</v>
      </c>
      <c r="B292" t="s">
        <v>167</v>
      </c>
      <c r="C292" t="str">
        <f>HYPERLINK("http://www.ncbi.nlm.nih.gov/protein/NXL34608.1","NXL34608.1")</f>
        <v>NXL34608.1</v>
      </c>
      <c r="D292">
        <v>14261</v>
      </c>
      <c r="E292" t="str">
        <f>HYPERLINK("http://www.ncbi.nlm.nih.gov/Taxonomy/Browser/wwwtax.cgi?mode=Info&amp;id=78217&amp;lvl=3&amp;lin=f&amp;keep=1&amp;srchmode=1&amp;unlock","78217")</f>
        <v>78217</v>
      </c>
      <c r="F292" t="s">
        <v>167</v>
      </c>
      <c r="G292" t="str">
        <f>HYPERLINK("http://www.ncbi.nlm.nih.gov/Taxonomy/Browser/wwwtax.cgi?mode=Info&amp;id=78217&amp;lvl=3&amp;lin=f&amp;keep=1&amp;srchmode=1&amp;unlock","Glaucidium brasilianum")</f>
        <v>Glaucidium brasilianum</v>
      </c>
      <c r="H292" t="s">
        <v>253</v>
      </c>
      <c r="I292" t="str">
        <f>HYPERLINK("http://www.ncbi.nlm.nih.gov/protein/NXL34608.1","FABPL protein")</f>
        <v>FABPL protein</v>
      </c>
      <c r="J292" t="s">
        <v>1386</v>
      </c>
      <c r="K292" t="s">
        <v>25</v>
      </c>
      <c r="L292">
        <v>50</v>
      </c>
      <c r="M292" t="s">
        <v>1379</v>
      </c>
      <c r="N292" t="s">
        <v>25</v>
      </c>
    </row>
    <row r="293" spans="1:14" x14ac:dyDescent="0.25">
      <c r="A293">
        <v>6</v>
      </c>
      <c r="B293" t="s">
        <v>167</v>
      </c>
      <c r="C293" t="str">
        <f>HYPERLINK("http://www.ncbi.nlm.nih.gov/protein/NXX97299.1","NXX97299.1")</f>
        <v>NXX97299.1</v>
      </c>
      <c r="D293">
        <v>13206</v>
      </c>
      <c r="E293" t="str">
        <f>HYPERLINK("http://www.ncbi.nlm.nih.gov/Taxonomy/Browser/wwwtax.cgi?mode=Info&amp;id=1463675&amp;lvl=3&amp;lin=f&amp;keep=1&amp;srchmode=1&amp;unlock","1463675")</f>
        <v>1463675</v>
      </c>
      <c r="F293" t="s">
        <v>167</v>
      </c>
      <c r="G293" t="str">
        <f>HYPERLINK("http://www.ncbi.nlm.nih.gov/Taxonomy/Browser/wwwtax.cgi?mode=Info&amp;id=1463675&amp;lvl=3&amp;lin=f&amp;keep=1&amp;srchmode=1&amp;unlock","Centropus bengalensis")</f>
        <v>Centropus bengalensis</v>
      </c>
      <c r="H293" t="s">
        <v>254</v>
      </c>
      <c r="I293" t="str">
        <f>HYPERLINK("http://www.ncbi.nlm.nih.gov/protein/NXX97299.1","FABPL protein")</f>
        <v>FABPL protein</v>
      </c>
      <c r="J293" t="s">
        <v>1386</v>
      </c>
      <c r="K293" t="s">
        <v>25</v>
      </c>
      <c r="L293">
        <v>50</v>
      </c>
      <c r="M293" t="s">
        <v>1379</v>
      </c>
      <c r="N293" t="s">
        <v>25</v>
      </c>
    </row>
    <row r="294" spans="1:14" x14ac:dyDescent="0.25">
      <c r="A294">
        <v>6</v>
      </c>
      <c r="B294" t="s">
        <v>167</v>
      </c>
      <c r="C294" t="str">
        <f>HYPERLINK("http://www.ncbi.nlm.nih.gov/protein/NWU54781.1","NWU54781.1")</f>
        <v>NWU54781.1</v>
      </c>
      <c r="D294">
        <v>13926</v>
      </c>
      <c r="E294" t="str">
        <f>HYPERLINK("http://www.ncbi.nlm.nih.gov/Taxonomy/Browser/wwwtax.cgi?mode=Info&amp;id=458190&amp;lvl=3&amp;lin=f&amp;keep=1&amp;srchmode=1&amp;unlock","458190")</f>
        <v>458190</v>
      </c>
      <c r="F294" t="s">
        <v>167</v>
      </c>
      <c r="G294" t="str">
        <f>HYPERLINK("http://www.ncbi.nlm.nih.gov/Taxonomy/Browser/wwwtax.cgi?mode=Info&amp;id=458190&amp;lvl=3&amp;lin=f&amp;keep=1&amp;srchmode=1&amp;unlock","Dromas ardeola")</f>
        <v>Dromas ardeola</v>
      </c>
      <c r="H294" t="s">
        <v>185</v>
      </c>
      <c r="I294" t="str">
        <f>HYPERLINK("http://www.ncbi.nlm.nih.gov/protein/NWU54781.1","FABPL protein")</f>
        <v>FABPL protein</v>
      </c>
      <c r="J294" t="s">
        <v>1386</v>
      </c>
      <c r="K294" t="s">
        <v>25</v>
      </c>
      <c r="L294">
        <v>50</v>
      </c>
      <c r="M294" t="s">
        <v>1383</v>
      </c>
      <c r="N294" t="s">
        <v>25</v>
      </c>
    </row>
    <row r="295" spans="1:14" x14ac:dyDescent="0.25">
      <c r="A295">
        <v>6</v>
      </c>
      <c r="B295" t="s">
        <v>167</v>
      </c>
      <c r="C295" t="str">
        <f>HYPERLINK("http://www.ncbi.nlm.nih.gov/protein/NXI80162.1","NXI80162.1")</f>
        <v>NXI80162.1</v>
      </c>
      <c r="D295">
        <v>14200</v>
      </c>
      <c r="E295" t="str">
        <f>HYPERLINK("http://www.ncbi.nlm.nih.gov/Taxonomy/Browser/wwwtax.cgi?mode=Info&amp;id=667186&amp;lvl=3&amp;lin=f&amp;keep=1&amp;srchmode=1&amp;unlock","667186")</f>
        <v>667186</v>
      </c>
      <c r="F295" t="s">
        <v>167</v>
      </c>
      <c r="G295" t="str">
        <f>HYPERLINK("http://www.ncbi.nlm.nih.gov/Taxonomy/Browser/wwwtax.cgi?mode=Info&amp;id=667186&amp;lvl=3&amp;lin=f&amp;keep=1&amp;srchmode=1&amp;unlock","Rhipidura dahli")</f>
        <v>Rhipidura dahli</v>
      </c>
      <c r="H295" t="s">
        <v>206</v>
      </c>
      <c r="I295" t="str">
        <f>HYPERLINK("http://www.ncbi.nlm.nih.gov/protein/NXI80162.1","FABPL protein")</f>
        <v>FABPL protein</v>
      </c>
      <c r="J295" t="s">
        <v>1386</v>
      </c>
      <c r="K295" t="s">
        <v>25</v>
      </c>
      <c r="L295">
        <v>50</v>
      </c>
      <c r="M295" t="s">
        <v>1379</v>
      </c>
      <c r="N295" t="s">
        <v>25</v>
      </c>
    </row>
    <row r="296" spans="1:14" x14ac:dyDescent="0.25">
      <c r="A296">
        <v>6</v>
      </c>
      <c r="B296" t="s">
        <v>167</v>
      </c>
      <c r="C296" t="str">
        <f>HYPERLINK("http://www.ncbi.nlm.nih.gov/protein/NXW44119.1","NXW44119.1")</f>
        <v>NXW44119.1</v>
      </c>
      <c r="D296">
        <v>13396</v>
      </c>
      <c r="E296" t="str">
        <f>HYPERLINK("http://www.ncbi.nlm.nih.gov/Taxonomy/Browser/wwwtax.cgi?mode=Info&amp;id=382315&amp;lvl=3&amp;lin=f&amp;keep=1&amp;srchmode=1&amp;unlock","382315")</f>
        <v>382315</v>
      </c>
      <c r="F296" t="s">
        <v>167</v>
      </c>
      <c r="G296" t="str">
        <f>HYPERLINK("http://www.ncbi.nlm.nih.gov/Taxonomy/Browser/wwwtax.cgi?mode=Info&amp;id=382315&amp;lvl=3&amp;lin=f&amp;keep=1&amp;srchmode=1&amp;unlock","Nyctiprogne leucopyga")</f>
        <v>Nyctiprogne leucopyga</v>
      </c>
      <c r="H296" t="s">
        <v>233</v>
      </c>
      <c r="I296" t="str">
        <f>HYPERLINK("http://www.ncbi.nlm.nih.gov/protein/NXW44119.1","FABPL protein")</f>
        <v>FABPL protein</v>
      </c>
      <c r="J296" t="s">
        <v>1386</v>
      </c>
      <c r="K296" t="s">
        <v>25</v>
      </c>
      <c r="L296">
        <v>50</v>
      </c>
      <c r="M296" t="s">
        <v>1379</v>
      </c>
      <c r="N296" t="s">
        <v>25</v>
      </c>
    </row>
    <row r="297" spans="1:14" x14ac:dyDescent="0.25">
      <c r="A297">
        <v>6</v>
      </c>
      <c r="B297" t="s">
        <v>167</v>
      </c>
      <c r="C297" t="str">
        <f>HYPERLINK("http://www.ncbi.nlm.nih.gov/protein/XP_009880811.1","XP_009880811.1")</f>
        <v>XP_009880811.1</v>
      </c>
      <c r="D297">
        <v>30700</v>
      </c>
      <c r="E297" t="str">
        <f>HYPERLINK("http://www.ncbi.nlm.nih.gov/Taxonomy/Browser/wwwtax.cgi?mode=Info&amp;id=50402&amp;lvl=3&amp;lin=f&amp;keep=1&amp;srchmode=1&amp;unlock","50402")</f>
        <v>50402</v>
      </c>
      <c r="F297" t="s">
        <v>167</v>
      </c>
      <c r="G297" t="str">
        <f>HYPERLINK("http://www.ncbi.nlm.nih.gov/Taxonomy/Browser/wwwtax.cgi?mode=Info&amp;id=50402&amp;lvl=3&amp;lin=f&amp;keep=1&amp;srchmode=1&amp;unlock","Charadrius vociferus")</f>
        <v>Charadrius vociferus</v>
      </c>
      <c r="H297" t="s">
        <v>258</v>
      </c>
      <c r="I297" t="str">
        <f>HYPERLINK("http://www.ncbi.nlm.nih.gov/protein/XP_009880811.1","PREDICTED: fatty acid-binding protein, liver")</f>
        <v>PREDICTED: fatty acid-binding protein, liver</v>
      </c>
      <c r="J297" t="s">
        <v>1386</v>
      </c>
      <c r="K297" t="s">
        <v>25</v>
      </c>
      <c r="L297">
        <v>50</v>
      </c>
      <c r="M297" t="s">
        <v>1383</v>
      </c>
      <c r="N297" t="s">
        <v>25</v>
      </c>
    </row>
    <row r="298" spans="1:14" x14ac:dyDescent="0.25">
      <c r="A298">
        <v>6</v>
      </c>
      <c r="B298" t="s">
        <v>167</v>
      </c>
      <c r="C298" t="str">
        <f>HYPERLINK("http://www.ncbi.nlm.nih.gov/protein/KFV49923.1","KFV49923.1")</f>
        <v>KFV49923.1</v>
      </c>
      <c r="D298">
        <v>11521</v>
      </c>
      <c r="E298" t="str">
        <f>HYPERLINK("http://www.ncbi.nlm.nih.gov/Taxonomy/Browser/wwwtax.cgi?mode=Info&amp;id=56313&amp;lvl=3&amp;lin=f&amp;keep=1&amp;srchmode=1&amp;unlock","56313")</f>
        <v>56313</v>
      </c>
      <c r="F298" t="s">
        <v>167</v>
      </c>
      <c r="G298" t="str">
        <f>HYPERLINK("http://www.ncbi.nlm.nih.gov/Taxonomy/Browser/wwwtax.cgi?mode=Info&amp;id=56313&amp;lvl=3&amp;lin=f&amp;keep=1&amp;srchmode=1&amp;unlock","Tyto alba")</f>
        <v>Tyto alba</v>
      </c>
      <c r="H298" t="s">
        <v>250</v>
      </c>
      <c r="I298" t="str">
        <f>HYPERLINK("http://www.ncbi.nlm.nih.gov/protein/KFV49923.1","Fatty acid-binding protein, liver")</f>
        <v>Fatty acid-binding protein, liver</v>
      </c>
      <c r="J298" t="s">
        <v>1386</v>
      </c>
      <c r="K298" t="s">
        <v>25</v>
      </c>
      <c r="L298">
        <v>50</v>
      </c>
      <c r="M298" t="s">
        <v>1379</v>
      </c>
      <c r="N298" t="s">
        <v>25</v>
      </c>
    </row>
    <row r="299" spans="1:14" x14ac:dyDescent="0.25">
      <c r="A299">
        <v>6</v>
      </c>
      <c r="B299" t="s">
        <v>167</v>
      </c>
      <c r="C299" t="str">
        <f>HYPERLINK("http://www.ncbi.nlm.nih.gov/protein/XP_009964394.1","XP_009964394.1")</f>
        <v>XP_009964394.1</v>
      </c>
      <c r="D299">
        <v>32984</v>
      </c>
      <c r="E299" t="str">
        <f>HYPERLINK("http://www.ncbi.nlm.nih.gov/Taxonomy/Browser/wwwtax.cgi?mode=Info&amp;id=507980&amp;lvl=3&amp;lin=f&amp;keep=1&amp;srchmode=1&amp;unlock","507980")</f>
        <v>507980</v>
      </c>
      <c r="F299" t="s">
        <v>167</v>
      </c>
      <c r="G299" t="str">
        <f>HYPERLINK("http://www.ncbi.nlm.nih.gov/Taxonomy/Browser/wwwtax.cgi?mode=Info&amp;id=507980&amp;lvl=3&amp;lin=f&amp;keep=1&amp;srchmode=1&amp;unlock","Tyto alba alba")</f>
        <v>Tyto alba alba</v>
      </c>
      <c r="H299" t="s">
        <v>250</v>
      </c>
      <c r="I299" t="str">
        <f>HYPERLINK("http://www.ncbi.nlm.nih.gov/protein/XP_009964394.1","fatty acid-binding protein, liver")</f>
        <v>fatty acid-binding protein, liver</v>
      </c>
      <c r="J299" t="s">
        <v>1386</v>
      </c>
      <c r="K299" t="s">
        <v>25</v>
      </c>
      <c r="L299">
        <v>50</v>
      </c>
      <c r="M299" t="s">
        <v>1379</v>
      </c>
      <c r="N299" t="s">
        <v>25</v>
      </c>
    </row>
    <row r="300" spans="1:14" x14ac:dyDescent="0.25">
      <c r="A300">
        <v>6</v>
      </c>
      <c r="B300" t="s">
        <v>167</v>
      </c>
      <c r="C300" t="str">
        <f>HYPERLINK("http://www.ncbi.nlm.nih.gov/protein/XP_025890019.1","XP_025890019.1")</f>
        <v>XP_025890019.1</v>
      </c>
      <c r="D300">
        <v>21562</v>
      </c>
      <c r="E300" t="str">
        <f>HYPERLINK("http://www.ncbi.nlm.nih.gov/Taxonomy/Browser/wwwtax.cgi?mode=Info&amp;id=30464&amp;lvl=3&amp;lin=f&amp;keep=1&amp;srchmode=1&amp;unlock","30464")</f>
        <v>30464</v>
      </c>
      <c r="F300" t="s">
        <v>167</v>
      </c>
      <c r="G300" t="str">
        <f>HYPERLINK("http://www.ncbi.nlm.nih.gov/Taxonomy/Browser/wwwtax.cgi?mode=Info&amp;id=30464&amp;lvl=3&amp;lin=f&amp;keep=1&amp;srchmode=1&amp;unlock","Nothoprocta perdicaria")</f>
        <v>Nothoprocta perdicaria</v>
      </c>
      <c r="H300" t="s">
        <v>196</v>
      </c>
      <c r="I300" t="str">
        <f>HYPERLINK("http://www.ncbi.nlm.nih.gov/protein/XP_025890019.1","fatty acid-binding protein, liver")</f>
        <v>fatty acid-binding protein, liver</v>
      </c>
      <c r="J300" t="s">
        <v>1386</v>
      </c>
      <c r="K300" t="s">
        <v>25</v>
      </c>
      <c r="L300">
        <v>50</v>
      </c>
      <c r="M300" t="s">
        <v>1382</v>
      </c>
      <c r="N300" t="s">
        <v>25</v>
      </c>
    </row>
    <row r="301" spans="1:14" x14ac:dyDescent="0.25">
      <c r="A301">
        <v>6</v>
      </c>
      <c r="B301" t="s">
        <v>167</v>
      </c>
      <c r="C301" t="str">
        <f>HYPERLINK("http://www.ncbi.nlm.nih.gov/protein/NWX42163.1","NWX42163.1")</f>
        <v>NWX42163.1</v>
      </c>
      <c r="D301">
        <v>14617</v>
      </c>
      <c r="E301" t="str">
        <f>HYPERLINK("http://www.ncbi.nlm.nih.gov/Taxonomy/Browser/wwwtax.cgi?mode=Info&amp;id=48435&amp;lvl=3&amp;lin=f&amp;keep=1&amp;srchmode=1&amp;unlock","48435")</f>
        <v>48435</v>
      </c>
      <c r="F301" t="s">
        <v>167</v>
      </c>
      <c r="G301" t="str">
        <f>HYPERLINK("http://www.ncbi.nlm.nih.gov/Taxonomy/Browser/wwwtax.cgi?mode=Info&amp;id=48435&amp;lvl=3&amp;lin=f&amp;keep=1&amp;srchmode=1&amp;unlock","Steatornis caripensis")</f>
        <v>Steatornis caripensis</v>
      </c>
      <c r="H301" t="s">
        <v>263</v>
      </c>
      <c r="I301" t="str">
        <f>HYPERLINK("http://www.ncbi.nlm.nih.gov/protein/NWX42163.1","FABPL protein")</f>
        <v>FABPL protein</v>
      </c>
      <c r="J301" t="s">
        <v>1386</v>
      </c>
      <c r="K301" t="s">
        <v>25</v>
      </c>
      <c r="L301">
        <v>50</v>
      </c>
      <c r="M301" t="s">
        <v>1379</v>
      </c>
      <c r="N301" t="s">
        <v>25</v>
      </c>
    </row>
    <row r="302" spans="1:14" x14ac:dyDescent="0.25">
      <c r="A302">
        <v>6</v>
      </c>
      <c r="B302" t="s">
        <v>167</v>
      </c>
      <c r="C302" t="str">
        <f>HYPERLINK("http://www.ncbi.nlm.nih.gov/protein/NXD96939.1","NXD96939.1")</f>
        <v>NXD96939.1</v>
      </c>
      <c r="D302">
        <v>14358</v>
      </c>
      <c r="E302" t="str">
        <f>HYPERLINK("http://www.ncbi.nlm.nih.gov/Taxonomy/Browser/wwwtax.cgi?mode=Info&amp;id=254446&amp;lvl=3&amp;lin=f&amp;keep=1&amp;srchmode=1&amp;unlock","254446")</f>
        <v>254446</v>
      </c>
      <c r="F302" t="s">
        <v>167</v>
      </c>
      <c r="G302" t="str">
        <f>HYPERLINK("http://www.ncbi.nlm.nih.gov/Taxonomy/Browser/wwwtax.cgi?mode=Info&amp;id=254446&amp;lvl=3&amp;lin=f&amp;keep=1&amp;srchmode=1&amp;unlock","Chaetorhynchus papuensis")</f>
        <v>Chaetorhynchus papuensis</v>
      </c>
      <c r="H302" t="s">
        <v>264</v>
      </c>
      <c r="I302" t="str">
        <f>HYPERLINK("http://www.ncbi.nlm.nih.gov/protein/NXD96939.1","FABPL protein")</f>
        <v>FABPL protein</v>
      </c>
      <c r="J302" t="s">
        <v>1386</v>
      </c>
      <c r="K302" t="s">
        <v>25</v>
      </c>
      <c r="L302">
        <v>50</v>
      </c>
      <c r="M302" t="s">
        <v>1379</v>
      </c>
      <c r="N302" t="s">
        <v>25</v>
      </c>
    </row>
    <row r="303" spans="1:14" x14ac:dyDescent="0.25">
      <c r="A303">
        <v>6</v>
      </c>
      <c r="B303" t="s">
        <v>167</v>
      </c>
      <c r="C303" t="str">
        <f>HYPERLINK("http://www.ncbi.nlm.nih.gov/protein/XP_010289628.1","XP_010289628.1")</f>
        <v>XP_010289628.1</v>
      </c>
      <c r="D303">
        <v>28598</v>
      </c>
      <c r="E303" t="str">
        <f>HYPERLINK("http://www.ncbi.nlm.nih.gov/Taxonomy/Browser/wwwtax.cgi?mode=Info&amp;id=97097&amp;lvl=3&amp;lin=f&amp;keep=1&amp;srchmode=1&amp;unlock","97097")</f>
        <v>97097</v>
      </c>
      <c r="F303" t="s">
        <v>167</v>
      </c>
      <c r="G303" t="str">
        <f>HYPERLINK("http://www.ncbi.nlm.nih.gov/Taxonomy/Browser/wwwtax.cgi?mode=Info&amp;id=97097&amp;lvl=3&amp;lin=f&amp;keep=1&amp;srchmode=1&amp;unlock","Phaethon lepturus")</f>
        <v>Phaethon lepturus</v>
      </c>
      <c r="H303" t="s">
        <v>265</v>
      </c>
      <c r="I303" t="str">
        <f>HYPERLINK("http://www.ncbi.nlm.nih.gov/protein/XP_010289628.1","PREDICTED: fatty acid-binding protein, liver")</f>
        <v>PREDICTED: fatty acid-binding protein, liver</v>
      </c>
      <c r="J303" t="s">
        <v>1386</v>
      </c>
      <c r="K303" t="s">
        <v>25</v>
      </c>
      <c r="L303">
        <v>50</v>
      </c>
      <c r="M303" t="s">
        <v>1379</v>
      </c>
      <c r="N303" t="s">
        <v>25</v>
      </c>
    </row>
    <row r="304" spans="1:14" x14ac:dyDescent="0.25">
      <c r="A304">
        <v>6</v>
      </c>
      <c r="B304" t="s">
        <v>167</v>
      </c>
      <c r="C304" t="str">
        <f>HYPERLINK("http://www.ncbi.nlm.nih.gov/protein/NWI31601.1","NWI31601.1")</f>
        <v>NWI31601.1</v>
      </c>
      <c r="D304">
        <v>12998</v>
      </c>
      <c r="E304" t="str">
        <f>HYPERLINK("http://www.ncbi.nlm.nih.gov/Taxonomy/Browser/wwwtax.cgi?mode=Info&amp;id=56068&amp;lvl=3&amp;lin=f&amp;keep=1&amp;srchmode=1&amp;unlock","56068")</f>
        <v>56068</v>
      </c>
      <c r="F304" t="s">
        <v>167</v>
      </c>
      <c r="G304" t="str">
        <f>HYPERLINK("http://www.ncbi.nlm.nih.gov/Taxonomy/Browser/wwwtax.cgi?mode=Info&amp;id=56068&amp;lvl=3&amp;lin=f&amp;keep=1&amp;srchmode=1&amp;unlock","Sula dactylatra")</f>
        <v>Sula dactylatra</v>
      </c>
      <c r="H304" t="s">
        <v>266</v>
      </c>
      <c r="I304" t="str">
        <f>HYPERLINK("http://www.ncbi.nlm.nih.gov/protein/NWI31601.1","FABPL protein")</f>
        <v>FABPL protein</v>
      </c>
      <c r="J304" t="s">
        <v>1386</v>
      </c>
      <c r="K304" t="s">
        <v>25</v>
      </c>
      <c r="L304">
        <v>50</v>
      </c>
      <c r="M304" t="s">
        <v>1383</v>
      </c>
      <c r="N304" t="s">
        <v>25</v>
      </c>
    </row>
    <row r="305" spans="1:14" x14ac:dyDescent="0.25">
      <c r="A305">
        <v>6</v>
      </c>
      <c r="B305" t="s">
        <v>167</v>
      </c>
      <c r="C305" t="str">
        <f>HYPERLINK("http://www.ncbi.nlm.nih.gov/protein/NXC46600.1","NXC46600.1")</f>
        <v>NXC46600.1</v>
      </c>
      <c r="D305">
        <v>13966</v>
      </c>
      <c r="E305" t="str">
        <f>HYPERLINK("http://www.ncbi.nlm.nih.gov/Taxonomy/Browser/wwwtax.cgi?mode=Info&amp;id=1118817&amp;lvl=3&amp;lin=f&amp;keep=1&amp;srchmode=1&amp;unlock","1118817")</f>
        <v>1118817</v>
      </c>
      <c r="F305" t="s">
        <v>167</v>
      </c>
      <c r="G305" t="str">
        <f>HYPERLINK("http://www.ncbi.nlm.nih.gov/Taxonomy/Browser/wwwtax.cgi?mode=Info&amp;id=1118817&amp;lvl=3&amp;lin=f&amp;keep=1&amp;srchmode=1&amp;unlock","Penelope pileata")</f>
        <v>Penelope pileata</v>
      </c>
      <c r="H305" t="s">
        <v>267</v>
      </c>
      <c r="I305" t="str">
        <f>HYPERLINK("http://www.ncbi.nlm.nih.gov/protein/NXC46600.1","FABPL protein")</f>
        <v>FABPL protein</v>
      </c>
      <c r="J305" t="s">
        <v>1386</v>
      </c>
      <c r="K305" t="s">
        <v>25</v>
      </c>
      <c r="L305">
        <v>50</v>
      </c>
      <c r="M305" t="s">
        <v>1383</v>
      </c>
      <c r="N305" t="s">
        <v>25</v>
      </c>
    </row>
    <row r="306" spans="1:14" x14ac:dyDescent="0.25">
      <c r="A306">
        <v>6</v>
      </c>
      <c r="B306" t="s">
        <v>167</v>
      </c>
      <c r="C306" t="str">
        <f>HYPERLINK("http://www.ncbi.nlm.nih.gov/protein/XP_031965671.1","XP_031965671.1")</f>
        <v>XP_031965671.1</v>
      </c>
      <c r="D306">
        <v>56759</v>
      </c>
      <c r="E306" t="str">
        <f>HYPERLINK("http://www.ncbi.nlm.nih.gov/Taxonomy/Browser/wwwtax.cgi?mode=Info&amp;id=1196302&amp;lvl=3&amp;lin=f&amp;keep=1&amp;srchmode=1&amp;unlock","1196302")</f>
        <v>1196302</v>
      </c>
      <c r="F306" t="s">
        <v>167</v>
      </c>
      <c r="G306" t="str">
        <f>HYPERLINK("http://www.ncbi.nlm.nih.gov/Taxonomy/Browser/wwwtax.cgi?mode=Info&amp;id=1196302&amp;lvl=3&amp;lin=f&amp;keep=1&amp;srchmode=1&amp;unlock","Corvus moneduloides")</f>
        <v>Corvus moneduloides</v>
      </c>
      <c r="H306" t="s">
        <v>268</v>
      </c>
      <c r="I306" t="str">
        <f>HYPERLINK("http://www.ncbi.nlm.nih.gov/protein/XP_031965671.1","fatty acid-binding protein, liver")</f>
        <v>fatty acid-binding protein, liver</v>
      </c>
      <c r="J306" t="s">
        <v>1386</v>
      </c>
      <c r="K306" t="s">
        <v>25</v>
      </c>
      <c r="L306">
        <v>50</v>
      </c>
      <c r="M306" t="s">
        <v>1379</v>
      </c>
      <c r="N306" t="s">
        <v>25</v>
      </c>
    </row>
    <row r="307" spans="1:14" x14ac:dyDescent="0.25">
      <c r="A307">
        <v>6</v>
      </c>
      <c r="B307" t="s">
        <v>167</v>
      </c>
      <c r="C307" t="str">
        <f>HYPERLINK("http://www.ncbi.nlm.nih.gov/protein/NXG53713.1","NXG53713.1")</f>
        <v>NXG53713.1</v>
      </c>
      <c r="D307">
        <v>13561</v>
      </c>
      <c r="E307" t="str">
        <f>HYPERLINK("http://www.ncbi.nlm.nih.gov/Taxonomy/Browser/wwwtax.cgi?mode=Info&amp;id=2585815&amp;lvl=3&amp;lin=f&amp;keep=1&amp;srchmode=1&amp;unlock","2585815")</f>
        <v>2585815</v>
      </c>
      <c r="F307" t="s">
        <v>167</v>
      </c>
      <c r="G307" t="str">
        <f>HYPERLINK("http://www.ncbi.nlm.nih.gov/Taxonomy/Browser/wwwtax.cgi?mode=Info&amp;id=2585815&amp;lvl=3&amp;lin=f&amp;keep=1&amp;srchmode=1&amp;unlock","Psilopogon haemacephalus")</f>
        <v>Psilopogon haemacephalus</v>
      </c>
      <c r="H307" t="s">
        <v>262</v>
      </c>
      <c r="I307" t="str">
        <f>HYPERLINK("http://www.ncbi.nlm.nih.gov/protein/NXG53713.1","FABPL protein")</f>
        <v>FABPL protein</v>
      </c>
      <c r="J307" t="s">
        <v>1386</v>
      </c>
      <c r="K307" t="s">
        <v>25</v>
      </c>
      <c r="L307">
        <v>50</v>
      </c>
      <c r="M307" t="s">
        <v>1383</v>
      </c>
      <c r="N307" t="s">
        <v>25</v>
      </c>
    </row>
    <row r="308" spans="1:14" x14ac:dyDescent="0.25">
      <c r="A308">
        <v>6</v>
      </c>
      <c r="B308" t="s">
        <v>167</v>
      </c>
      <c r="C308" t="str">
        <f>HYPERLINK("http://www.ncbi.nlm.nih.gov/protein/XP_035182227.1","XP_035182227.1")</f>
        <v>XP_035182227.1</v>
      </c>
      <c r="D308">
        <v>39822</v>
      </c>
      <c r="E308" t="str">
        <f>HYPERLINK("http://www.ncbi.nlm.nih.gov/Taxonomy/Browser/wwwtax.cgi?mode=Info&amp;id=8884&amp;lvl=3&amp;lin=f&amp;keep=1&amp;srchmode=1&amp;unlock","8884")</f>
        <v>8884</v>
      </c>
      <c r="F308" t="s">
        <v>167</v>
      </c>
      <c r="G308" t="str">
        <f>HYPERLINK("http://www.ncbi.nlm.nih.gov/Taxonomy/Browser/wwwtax.cgi?mode=Info&amp;id=8884&amp;lvl=3&amp;lin=f&amp;keep=1&amp;srchmode=1&amp;unlock","Oxyura jamaicensis")</f>
        <v>Oxyura jamaicensis</v>
      </c>
      <c r="H308" t="s">
        <v>273</v>
      </c>
      <c r="I308" t="str">
        <f>HYPERLINK("http://www.ncbi.nlm.nih.gov/protein/XP_035182227.1","fatty acid-binding protein, liver")</f>
        <v>fatty acid-binding protein, liver</v>
      </c>
      <c r="J308" t="s">
        <v>1386</v>
      </c>
      <c r="K308" t="s">
        <v>25</v>
      </c>
      <c r="L308">
        <v>50</v>
      </c>
      <c r="M308" t="s">
        <v>1379</v>
      </c>
      <c r="N308" t="s">
        <v>25</v>
      </c>
    </row>
    <row r="309" spans="1:14" x14ac:dyDescent="0.25">
      <c r="A309">
        <v>6</v>
      </c>
      <c r="B309" t="s">
        <v>167</v>
      </c>
      <c r="C309" t="str">
        <f>HYPERLINK("http://www.ncbi.nlm.nih.gov/protein/KFZ56791.1","KFZ56791.1")</f>
        <v>KFZ56791.1</v>
      </c>
      <c r="D309">
        <v>11735</v>
      </c>
      <c r="E309" t="str">
        <f>HYPERLINK("http://www.ncbi.nlm.nih.gov/Taxonomy/Browser/wwwtax.cgi?mode=Info&amp;id=345573&amp;lvl=3&amp;lin=f&amp;keep=1&amp;srchmode=1&amp;unlock","345573")</f>
        <v>345573</v>
      </c>
      <c r="F309" t="s">
        <v>167</v>
      </c>
      <c r="G309" t="str">
        <f>HYPERLINK("http://www.ncbi.nlm.nih.gov/Taxonomy/Browser/wwwtax.cgi?mode=Info&amp;id=345573&amp;lvl=3&amp;lin=f&amp;keep=1&amp;srchmode=1&amp;unlock","Podiceps cristatus")</f>
        <v>Podiceps cristatus</v>
      </c>
      <c r="H309" t="s">
        <v>274</v>
      </c>
      <c r="I309" t="str">
        <f>HYPERLINK("http://www.ncbi.nlm.nih.gov/protein/KFZ56791.1","Fatty acid-binding protein, liver")</f>
        <v>Fatty acid-binding protein, liver</v>
      </c>
      <c r="J309" t="s">
        <v>1386</v>
      </c>
      <c r="K309" t="s">
        <v>25</v>
      </c>
      <c r="L309">
        <v>50</v>
      </c>
      <c r="M309" t="s">
        <v>1383</v>
      </c>
      <c r="N309" t="s">
        <v>25</v>
      </c>
    </row>
    <row r="310" spans="1:14" x14ac:dyDescent="0.25">
      <c r="A310">
        <v>6</v>
      </c>
      <c r="B310" t="s">
        <v>167</v>
      </c>
      <c r="C310" t="str">
        <f>HYPERLINK("http://www.ncbi.nlm.nih.gov/protein/XP_026702845.1","XP_026702845.1")</f>
        <v>XP_026702845.1</v>
      </c>
      <c r="D310">
        <v>27794</v>
      </c>
      <c r="E310" t="str">
        <f>HYPERLINK("http://www.ncbi.nlm.nih.gov/Taxonomy/Browser/wwwtax.cgi?mode=Info&amp;id=194338&amp;lvl=3&amp;lin=f&amp;keep=1&amp;srchmode=1&amp;unlock","194338")</f>
        <v>194338</v>
      </c>
      <c r="F310" t="s">
        <v>167</v>
      </c>
      <c r="G310" t="str">
        <f>HYPERLINK("http://www.ncbi.nlm.nih.gov/Taxonomy/Browser/wwwtax.cgi?mode=Info&amp;id=194338&amp;lvl=3&amp;lin=f&amp;keep=1&amp;srchmode=1&amp;unlock","Athene cunicularia")</f>
        <v>Athene cunicularia</v>
      </c>
      <c r="H310" t="s">
        <v>275</v>
      </c>
      <c r="I310" t="str">
        <f>HYPERLINK("http://www.ncbi.nlm.nih.gov/protein/XP_026702845.1","fatty acid-binding protein, liver")</f>
        <v>fatty acid-binding protein, liver</v>
      </c>
      <c r="J310" t="s">
        <v>1386</v>
      </c>
      <c r="K310" t="s">
        <v>25</v>
      </c>
      <c r="L310">
        <v>50</v>
      </c>
      <c r="M310" t="s">
        <v>1379</v>
      </c>
      <c r="N310" t="s">
        <v>25</v>
      </c>
    </row>
    <row r="311" spans="1:14" x14ac:dyDescent="0.25">
      <c r="A311">
        <v>6</v>
      </c>
      <c r="B311" t="s">
        <v>167</v>
      </c>
      <c r="C311" t="str">
        <f>HYPERLINK("http://www.ncbi.nlm.nih.gov/protein/XP_013032632.1","XP_013032632.1")</f>
        <v>XP_013032632.1</v>
      </c>
      <c r="D311">
        <v>31837</v>
      </c>
      <c r="E311" t="str">
        <f>HYPERLINK("http://www.ncbi.nlm.nih.gov/Taxonomy/Browser/wwwtax.cgi?mode=Info&amp;id=381198&amp;lvl=3&amp;lin=f&amp;keep=1&amp;srchmode=1&amp;unlock","381198")</f>
        <v>381198</v>
      </c>
      <c r="F311" t="s">
        <v>167</v>
      </c>
      <c r="G311" t="str">
        <f>HYPERLINK("http://www.ncbi.nlm.nih.gov/Taxonomy/Browser/wwwtax.cgi?mode=Info&amp;id=381198&amp;lvl=3&amp;lin=f&amp;keep=1&amp;srchmode=1&amp;unlock","Anser cygnoides domesticus")</f>
        <v>Anser cygnoides domesticus</v>
      </c>
      <c r="H311" t="s">
        <v>276</v>
      </c>
      <c r="I311" t="str">
        <f>HYPERLINK("http://www.ncbi.nlm.nih.gov/protein/XP_013032632.1","PREDICTED: fatty acid-binding protein, liver")</f>
        <v>PREDICTED: fatty acid-binding protein, liver</v>
      </c>
      <c r="J311" t="s">
        <v>1386</v>
      </c>
      <c r="K311" t="s">
        <v>25</v>
      </c>
      <c r="L311">
        <v>50</v>
      </c>
      <c r="M311" t="s">
        <v>1379</v>
      </c>
      <c r="N311" t="s">
        <v>25</v>
      </c>
    </row>
    <row r="312" spans="1:14" x14ac:dyDescent="0.25">
      <c r="A312">
        <v>6</v>
      </c>
      <c r="B312" t="s">
        <v>167</v>
      </c>
      <c r="C312" t="str">
        <f>HYPERLINK("http://www.ncbi.nlm.nih.gov/protein/XP_009484525.1","XP_009484525.1")</f>
        <v>XP_009484525.1</v>
      </c>
      <c r="D312">
        <v>28615</v>
      </c>
      <c r="E312" t="str">
        <f>HYPERLINK("http://www.ncbi.nlm.nih.gov/Taxonomy/Browser/wwwtax.cgi?mode=Info&amp;id=36300&amp;lvl=3&amp;lin=f&amp;keep=1&amp;srchmode=1&amp;unlock","36300")</f>
        <v>36300</v>
      </c>
      <c r="F312" t="s">
        <v>167</v>
      </c>
      <c r="G312" t="str">
        <f>HYPERLINK("http://www.ncbi.nlm.nih.gov/Taxonomy/Browser/wwwtax.cgi?mode=Info&amp;id=36300&amp;lvl=3&amp;lin=f&amp;keep=1&amp;srchmode=1&amp;unlock","Pelecanus crispus")</f>
        <v>Pelecanus crispus</v>
      </c>
      <c r="H312" t="s">
        <v>269</v>
      </c>
      <c r="I312" t="str">
        <f>HYPERLINK("http://www.ncbi.nlm.nih.gov/protein/XP_009484525.1","PREDICTED: fatty acid-binding protein, liver")</f>
        <v>PREDICTED: fatty acid-binding protein, liver</v>
      </c>
      <c r="J312" t="s">
        <v>1386</v>
      </c>
      <c r="K312" t="s">
        <v>25</v>
      </c>
      <c r="L312">
        <v>50</v>
      </c>
      <c r="M312" t="s">
        <v>1383</v>
      </c>
      <c r="N312" t="s">
        <v>25</v>
      </c>
    </row>
    <row r="313" spans="1:14" x14ac:dyDescent="0.25">
      <c r="A313">
        <v>6</v>
      </c>
      <c r="B313" t="s">
        <v>167</v>
      </c>
      <c r="C313" t="str">
        <f>HYPERLINK("http://www.ncbi.nlm.nih.gov/protein/NXX59041.1","NXX59041.1")</f>
        <v>NXX59041.1</v>
      </c>
      <c r="D313">
        <v>12329</v>
      </c>
      <c r="E313" t="str">
        <f>HYPERLINK("http://www.ncbi.nlm.nih.gov/Taxonomy/Browser/wwwtax.cgi?mode=Info&amp;id=33581&amp;lvl=3&amp;lin=f&amp;keep=1&amp;srchmode=1&amp;unlock","33581")</f>
        <v>33581</v>
      </c>
      <c r="F313" t="s">
        <v>167</v>
      </c>
      <c r="G313" t="str">
        <f>HYPERLINK("http://www.ncbi.nlm.nih.gov/Taxonomy/Browser/wwwtax.cgi?mode=Info&amp;id=33581&amp;lvl=3&amp;lin=f&amp;keep=1&amp;srchmode=1&amp;unlock","Scopus umbretta")</f>
        <v>Scopus umbretta</v>
      </c>
      <c r="H313" t="s">
        <v>271</v>
      </c>
      <c r="I313" t="str">
        <f>HYPERLINK("http://www.ncbi.nlm.nih.gov/protein/NXX59041.1","FABPL protein")</f>
        <v>FABPL protein</v>
      </c>
      <c r="J313" t="s">
        <v>1386</v>
      </c>
      <c r="K313" t="s">
        <v>20</v>
      </c>
      <c r="L313">
        <v>50</v>
      </c>
      <c r="M313" t="s">
        <v>1380</v>
      </c>
      <c r="N313" t="s">
        <v>20</v>
      </c>
    </row>
    <row r="314" spans="1:14" x14ac:dyDescent="0.25">
      <c r="A314">
        <v>6</v>
      </c>
      <c r="B314" t="s">
        <v>167</v>
      </c>
      <c r="C314" t="str">
        <f>HYPERLINK("http://www.ncbi.nlm.nih.gov/protein/NXW29532.1","NXW29532.1")</f>
        <v>NXW29532.1</v>
      </c>
      <c r="D314">
        <v>13259</v>
      </c>
      <c r="E314" t="str">
        <f>HYPERLINK("http://www.ncbi.nlm.nih.gov/Taxonomy/Browser/wwwtax.cgi?mode=Info&amp;id=297813&amp;lvl=3&amp;lin=f&amp;keep=1&amp;srchmode=1&amp;unlock","297813")</f>
        <v>297813</v>
      </c>
      <c r="F314" t="s">
        <v>167</v>
      </c>
      <c r="G314" t="str">
        <f>HYPERLINK("http://www.ncbi.nlm.nih.gov/Taxonomy/Browser/wwwtax.cgi?mode=Info&amp;id=297813&amp;lvl=3&amp;lin=f&amp;keep=1&amp;srchmode=1&amp;unlock","Phaetusa simplex")</f>
        <v>Phaetusa simplex</v>
      </c>
      <c r="H314" t="s">
        <v>270</v>
      </c>
      <c r="I314" t="str">
        <f>HYPERLINK("http://www.ncbi.nlm.nih.gov/protein/NXW29532.1","FABPL protein")</f>
        <v>FABPL protein</v>
      </c>
      <c r="J314" t="s">
        <v>1386</v>
      </c>
      <c r="K314" t="s">
        <v>25</v>
      </c>
      <c r="L314">
        <v>50</v>
      </c>
      <c r="M314" t="s">
        <v>1379</v>
      </c>
      <c r="N314" t="s">
        <v>25</v>
      </c>
    </row>
    <row r="315" spans="1:14" x14ac:dyDescent="0.25">
      <c r="A315">
        <v>6</v>
      </c>
      <c r="B315" t="s">
        <v>167</v>
      </c>
      <c r="C315" t="str">
        <f>HYPERLINK("http://www.ncbi.nlm.nih.gov/protein/NWV88972.1","NWV88972.1")</f>
        <v>NWV88972.1</v>
      </c>
      <c r="D315">
        <v>13983</v>
      </c>
      <c r="E315" t="str">
        <f>HYPERLINK("http://www.ncbi.nlm.nih.gov/Taxonomy/Browser/wwwtax.cgi?mode=Info&amp;id=1160894&amp;lvl=3&amp;lin=f&amp;keep=1&amp;srchmode=1&amp;unlock","1160894")</f>
        <v>1160894</v>
      </c>
      <c r="F315" t="s">
        <v>167</v>
      </c>
      <c r="G315" t="str">
        <f>HYPERLINK("http://www.ncbi.nlm.nih.gov/Taxonomy/Browser/wwwtax.cgi?mode=Info&amp;id=1160894&amp;lvl=3&amp;lin=f&amp;keep=1&amp;srchmode=1&amp;unlock","Machaerirhynchus nigripectus")</f>
        <v>Machaerirhynchus nigripectus</v>
      </c>
      <c r="H315" t="s">
        <v>206</v>
      </c>
      <c r="I315" t="str">
        <f>HYPERLINK("http://www.ncbi.nlm.nih.gov/protein/NWV88972.1","FABPL protein")</f>
        <v>FABPL protein</v>
      </c>
      <c r="J315" t="s">
        <v>1386</v>
      </c>
      <c r="K315" t="s">
        <v>25</v>
      </c>
      <c r="L315">
        <v>50</v>
      </c>
      <c r="M315" t="s">
        <v>1379</v>
      </c>
      <c r="N315" t="s">
        <v>25</v>
      </c>
    </row>
    <row r="316" spans="1:14" x14ac:dyDescent="0.25">
      <c r="A316">
        <v>6</v>
      </c>
      <c r="B316" t="s">
        <v>167</v>
      </c>
      <c r="C316" t="str">
        <f>HYPERLINK("http://www.ncbi.nlm.nih.gov/protein/XP_009694660.1","XP_009694660.1")</f>
        <v>XP_009694660.1</v>
      </c>
      <c r="D316">
        <v>27818</v>
      </c>
      <c r="E316" t="str">
        <f>HYPERLINK("http://www.ncbi.nlm.nih.gov/Taxonomy/Browser/wwwtax.cgi?mode=Info&amp;id=54380&amp;lvl=3&amp;lin=f&amp;keep=1&amp;srchmode=1&amp;unlock","54380")</f>
        <v>54380</v>
      </c>
      <c r="F316" t="s">
        <v>167</v>
      </c>
      <c r="G316" t="str">
        <f>HYPERLINK("http://www.ncbi.nlm.nih.gov/Taxonomy/Browser/wwwtax.cgi?mode=Info&amp;id=54380&amp;lvl=3&amp;lin=f&amp;keep=1&amp;srchmode=1&amp;unlock","Cariama cristata")</f>
        <v>Cariama cristata</v>
      </c>
      <c r="H316" t="s">
        <v>282</v>
      </c>
      <c r="I316" t="str">
        <f>HYPERLINK("http://www.ncbi.nlm.nih.gov/protein/XP_009694660.1","PREDICTED: fatty acid-binding protein, liver")</f>
        <v>PREDICTED: fatty acid-binding protein, liver</v>
      </c>
      <c r="J316" t="s">
        <v>1386</v>
      </c>
      <c r="K316" t="s">
        <v>25</v>
      </c>
      <c r="L316">
        <v>50</v>
      </c>
      <c r="M316" t="s">
        <v>1379</v>
      </c>
      <c r="N316" t="s">
        <v>25</v>
      </c>
    </row>
    <row r="317" spans="1:14" x14ac:dyDescent="0.25">
      <c r="A317">
        <v>6</v>
      </c>
      <c r="B317" t="s">
        <v>167</v>
      </c>
      <c r="C317" t="str">
        <f>HYPERLINK("http://www.ncbi.nlm.nih.gov/protein/XP_009637893.1","XP_009637893.1")</f>
        <v>XP_009637893.1</v>
      </c>
      <c r="D317">
        <v>37431</v>
      </c>
      <c r="E317" t="str">
        <f>HYPERLINK("http://www.ncbi.nlm.nih.gov/Taxonomy/Browser/wwwtax.cgi?mode=Info&amp;id=188379&amp;lvl=3&amp;lin=f&amp;keep=1&amp;srchmode=1&amp;unlock","188379")</f>
        <v>188379</v>
      </c>
      <c r="F317" t="s">
        <v>167</v>
      </c>
      <c r="G317" t="str">
        <f>HYPERLINK("http://www.ncbi.nlm.nih.gov/Taxonomy/Browser/wwwtax.cgi?mode=Info&amp;id=188379&amp;lvl=3&amp;lin=f&amp;keep=1&amp;srchmode=1&amp;unlock","Egretta garzetta")</f>
        <v>Egretta garzetta</v>
      </c>
      <c r="H317" t="s">
        <v>285</v>
      </c>
      <c r="I317" t="str">
        <f>HYPERLINK("http://www.ncbi.nlm.nih.gov/protein/XP_009637893.1","fatty acid-binding protein, liver")</f>
        <v>fatty acid-binding protein, liver</v>
      </c>
      <c r="J317" t="s">
        <v>1386</v>
      </c>
      <c r="K317" t="s">
        <v>25</v>
      </c>
      <c r="L317">
        <v>50</v>
      </c>
      <c r="M317" t="s">
        <v>1383</v>
      </c>
      <c r="N317" t="s">
        <v>25</v>
      </c>
    </row>
    <row r="318" spans="1:14" x14ac:dyDescent="0.25">
      <c r="A318">
        <v>6</v>
      </c>
      <c r="B318" t="s">
        <v>167</v>
      </c>
      <c r="C318" t="str">
        <f>HYPERLINK("http://www.ncbi.nlm.nih.gov/protein/NWW43070.1","NWW43070.1")</f>
        <v>NWW43070.1</v>
      </c>
      <c r="D318">
        <v>13358</v>
      </c>
      <c r="E318" t="str">
        <f>HYPERLINK("http://www.ncbi.nlm.nih.gov/Taxonomy/Browser/wwwtax.cgi?mode=Info&amp;id=227192&amp;lvl=3&amp;lin=f&amp;keep=1&amp;srchmode=1&amp;unlock","227192")</f>
        <v>227192</v>
      </c>
      <c r="F318" t="s">
        <v>167</v>
      </c>
      <c r="G318" t="str">
        <f>HYPERLINK("http://www.ncbi.nlm.nih.gov/Taxonomy/Browser/wwwtax.cgi?mode=Info&amp;id=227192&amp;lvl=3&amp;lin=f&amp;keep=1&amp;srchmode=1&amp;unlock","Pedionomus torquatus")</f>
        <v>Pedionomus torquatus</v>
      </c>
      <c r="H318" t="s">
        <v>286</v>
      </c>
      <c r="I318" t="str">
        <f>HYPERLINK("http://www.ncbi.nlm.nih.gov/protein/NWW43070.1","FABPL protein")</f>
        <v>FABPL protein</v>
      </c>
      <c r="J318" t="s">
        <v>1386</v>
      </c>
      <c r="K318" t="s">
        <v>25</v>
      </c>
      <c r="L318">
        <v>50</v>
      </c>
      <c r="M318" t="s">
        <v>1383</v>
      </c>
      <c r="N318" t="s">
        <v>25</v>
      </c>
    </row>
    <row r="319" spans="1:14" x14ac:dyDescent="0.25">
      <c r="A319">
        <v>6</v>
      </c>
      <c r="B319" t="s">
        <v>167</v>
      </c>
      <c r="C319" t="str">
        <f>HYPERLINK("http://www.ncbi.nlm.nih.gov/protein/NXU33055.1","NXU33055.1")</f>
        <v>NXU33055.1</v>
      </c>
      <c r="D319">
        <v>11831</v>
      </c>
      <c r="E319" t="str">
        <f>HYPERLINK("http://www.ncbi.nlm.nih.gov/Taxonomy/Browser/wwwtax.cgi?mode=Info&amp;id=54017&amp;lvl=3&amp;lin=f&amp;keep=1&amp;srchmode=1&amp;unlock","54017")</f>
        <v>54017</v>
      </c>
      <c r="F319" t="s">
        <v>167</v>
      </c>
      <c r="G319" t="str">
        <f>HYPERLINK("http://www.ncbi.nlm.nih.gov/Taxonomy/Browser/wwwtax.cgi?mode=Info&amp;id=54017&amp;lvl=3&amp;lin=f&amp;keep=1&amp;srchmode=1&amp;unlock","Thalassarche chlororhynchos")</f>
        <v>Thalassarche chlororhynchos</v>
      </c>
      <c r="H319" t="s">
        <v>287</v>
      </c>
      <c r="I319" t="str">
        <f>HYPERLINK("http://www.ncbi.nlm.nih.gov/protein/NXU33055.1","FABPL protein")</f>
        <v>FABPL protein</v>
      </c>
      <c r="J319" t="s">
        <v>1386</v>
      </c>
      <c r="K319" t="s">
        <v>25</v>
      </c>
      <c r="L319">
        <v>50</v>
      </c>
      <c r="M319" t="s">
        <v>1383</v>
      </c>
      <c r="N319" t="s">
        <v>25</v>
      </c>
    </row>
    <row r="320" spans="1:14" x14ac:dyDescent="0.25">
      <c r="A320">
        <v>6</v>
      </c>
      <c r="B320" t="s">
        <v>167</v>
      </c>
      <c r="C320" t="str">
        <f>HYPERLINK("http://www.ncbi.nlm.nih.gov/protein/NWW97313.1","NWW97313.1")</f>
        <v>NWW97313.1</v>
      </c>
      <c r="D320">
        <v>13756</v>
      </c>
      <c r="E320" t="str">
        <f>HYPERLINK("http://www.ncbi.nlm.nih.gov/Taxonomy/Browser/wwwtax.cgi?mode=Info&amp;id=54386&amp;lvl=3&amp;lin=f&amp;keep=1&amp;srchmode=1&amp;unlock","54386")</f>
        <v>54386</v>
      </c>
      <c r="F320" t="s">
        <v>167</v>
      </c>
      <c r="G320" t="str">
        <f>HYPERLINK("http://www.ncbi.nlm.nih.gov/Taxonomy/Browser/wwwtax.cgi?mode=Info&amp;id=54386&amp;lvl=3&amp;lin=f&amp;keep=1&amp;srchmode=1&amp;unlock","Rhynochetos jubatus")</f>
        <v>Rhynochetos jubatus</v>
      </c>
      <c r="H320" t="s">
        <v>290</v>
      </c>
      <c r="I320" t="str">
        <f>HYPERLINK("http://www.ncbi.nlm.nih.gov/protein/NWW97313.1","FABPL protein")</f>
        <v>FABPL protein</v>
      </c>
      <c r="J320" t="s">
        <v>1386</v>
      </c>
      <c r="K320" t="s">
        <v>25</v>
      </c>
      <c r="L320">
        <v>50</v>
      </c>
      <c r="M320" t="s">
        <v>1383</v>
      </c>
      <c r="N320" t="s">
        <v>25</v>
      </c>
    </row>
    <row r="321" spans="1:14" x14ac:dyDescent="0.25">
      <c r="A321">
        <v>6</v>
      </c>
      <c r="B321" t="s">
        <v>167</v>
      </c>
      <c r="C321" t="str">
        <f>HYPERLINK("http://www.ncbi.nlm.nih.gov/protein/NXN48244.1","NXN48244.1")</f>
        <v>NXN48244.1</v>
      </c>
      <c r="D321">
        <v>13695</v>
      </c>
      <c r="E321" t="str">
        <f>HYPERLINK("http://www.ncbi.nlm.nih.gov/Taxonomy/Browser/wwwtax.cgi?mode=Info&amp;id=240209&amp;lvl=3&amp;lin=f&amp;keep=1&amp;srchmode=1&amp;unlock","240209")</f>
        <v>240209</v>
      </c>
      <c r="F321" t="s">
        <v>167</v>
      </c>
      <c r="G321" t="str">
        <f>HYPERLINK("http://www.ncbi.nlm.nih.gov/Taxonomy/Browser/wwwtax.cgi?mode=Info&amp;id=240209&amp;lvl=3&amp;lin=f&amp;keep=1&amp;srchmode=1&amp;unlock","Rhinoptilus africanus")</f>
        <v>Rhinoptilus africanus</v>
      </c>
      <c r="H321" t="s">
        <v>278</v>
      </c>
      <c r="I321" t="str">
        <f>HYPERLINK("http://www.ncbi.nlm.nih.gov/protein/NXN48244.1","FABPL protein")</f>
        <v>FABPL protein</v>
      </c>
      <c r="J321" t="s">
        <v>1386</v>
      </c>
      <c r="K321" t="s">
        <v>25</v>
      </c>
      <c r="L321">
        <v>50</v>
      </c>
      <c r="M321" t="s">
        <v>1383</v>
      </c>
      <c r="N321" t="s">
        <v>25</v>
      </c>
    </row>
    <row r="322" spans="1:14" x14ac:dyDescent="0.25">
      <c r="A322">
        <v>6</v>
      </c>
      <c r="B322" t="s">
        <v>167</v>
      </c>
      <c r="C322" t="str">
        <f>HYPERLINK("http://www.ncbi.nlm.nih.gov/protein/NWS53175.1","NWS53175.1")</f>
        <v>NWS53175.1</v>
      </c>
      <c r="D322">
        <v>14433</v>
      </c>
      <c r="E322" t="str">
        <f>HYPERLINK("http://www.ncbi.nlm.nih.gov/Taxonomy/Browser/wwwtax.cgi?mode=Info&amp;id=1352770&amp;lvl=3&amp;lin=f&amp;keep=1&amp;srchmode=1&amp;unlock","1352770")</f>
        <v>1352770</v>
      </c>
      <c r="F322" t="s">
        <v>167</v>
      </c>
      <c r="G322" t="str">
        <f>HYPERLINK("http://www.ncbi.nlm.nih.gov/Taxonomy/Browser/wwwtax.cgi?mode=Info&amp;id=1352770&amp;lvl=3&amp;lin=f&amp;keep=1&amp;srchmode=1&amp;unlock","Chunga burmeisteri")</f>
        <v>Chunga burmeisteri</v>
      </c>
      <c r="H322" t="s">
        <v>279</v>
      </c>
      <c r="I322" t="str">
        <f>HYPERLINK("http://www.ncbi.nlm.nih.gov/protein/NWS53175.1","FABPL protein")</f>
        <v>FABPL protein</v>
      </c>
      <c r="J322" t="s">
        <v>1386</v>
      </c>
      <c r="K322" t="s">
        <v>25</v>
      </c>
      <c r="L322">
        <v>50</v>
      </c>
      <c r="M322" t="s">
        <v>1383</v>
      </c>
      <c r="N322" t="s">
        <v>25</v>
      </c>
    </row>
    <row r="323" spans="1:14" x14ac:dyDescent="0.25">
      <c r="A323">
        <v>6</v>
      </c>
      <c r="B323" t="s">
        <v>167</v>
      </c>
      <c r="C323" t="str">
        <f>HYPERLINK("http://www.ncbi.nlm.nih.gov/protein/NWV51535.1","NWV51535.1")</f>
        <v>NWV51535.1</v>
      </c>
      <c r="D323">
        <v>13977</v>
      </c>
      <c r="E323" t="str">
        <f>HYPERLINK("http://www.ncbi.nlm.nih.gov/Taxonomy/Browser/wwwtax.cgi?mode=Info&amp;id=254528&amp;lvl=3&amp;lin=f&amp;keep=1&amp;srchmode=1&amp;unlock","254528")</f>
        <v>254528</v>
      </c>
      <c r="F323" t="s">
        <v>167</v>
      </c>
      <c r="G323" t="str">
        <f>HYPERLINK("http://www.ncbi.nlm.nih.gov/Taxonomy/Browser/wwwtax.cgi?mode=Info&amp;id=254528&amp;lvl=3&amp;lin=f&amp;keep=1&amp;srchmode=1&amp;unlock","Daphoenositta chrysoptera")</f>
        <v>Daphoenositta chrysoptera</v>
      </c>
      <c r="H323" t="s">
        <v>280</v>
      </c>
      <c r="I323" t="str">
        <f>HYPERLINK("http://www.ncbi.nlm.nih.gov/protein/NWV51535.1","FABPL protein")</f>
        <v>FABPL protein</v>
      </c>
      <c r="J323" t="s">
        <v>1386</v>
      </c>
      <c r="K323" t="s">
        <v>25</v>
      </c>
      <c r="L323">
        <v>50</v>
      </c>
      <c r="M323" t="s">
        <v>1379</v>
      </c>
      <c r="N323" t="s">
        <v>25</v>
      </c>
    </row>
    <row r="324" spans="1:14" x14ac:dyDescent="0.25">
      <c r="A324">
        <v>6</v>
      </c>
      <c r="B324" t="s">
        <v>167</v>
      </c>
      <c r="C324" t="str">
        <f>HYPERLINK("http://www.ncbi.nlm.nih.gov/protein/NXJ51376.1","NXJ51376.1")</f>
        <v>NXJ51376.1</v>
      </c>
      <c r="D324">
        <v>14391</v>
      </c>
      <c r="E324" t="str">
        <f>HYPERLINK("http://www.ncbi.nlm.nih.gov/Taxonomy/Browser/wwwtax.cgi?mode=Info&amp;id=252798&amp;lvl=3&amp;lin=f&amp;keep=1&amp;srchmode=1&amp;unlock","252798")</f>
        <v>252798</v>
      </c>
      <c r="F324" t="s">
        <v>167</v>
      </c>
      <c r="G324" t="str">
        <f>HYPERLINK("http://www.ncbi.nlm.nih.gov/Taxonomy/Browser/wwwtax.cgi?mode=Info&amp;id=252798&amp;lvl=3&amp;lin=f&amp;keep=1&amp;srchmode=1&amp;unlock","Spizaetus tyrannus")</f>
        <v>Spizaetus tyrannus</v>
      </c>
      <c r="H324" t="s">
        <v>292</v>
      </c>
      <c r="I324" t="str">
        <f>HYPERLINK("http://www.ncbi.nlm.nih.gov/protein/NXJ51376.1","FABPL protein")</f>
        <v>FABPL protein</v>
      </c>
      <c r="J324" t="s">
        <v>1386</v>
      </c>
      <c r="K324" t="s">
        <v>25</v>
      </c>
      <c r="L324">
        <v>50</v>
      </c>
      <c r="M324" t="s">
        <v>1383</v>
      </c>
      <c r="N324" t="s">
        <v>25</v>
      </c>
    </row>
    <row r="325" spans="1:14" x14ac:dyDescent="0.25">
      <c r="A325">
        <v>6</v>
      </c>
      <c r="B325" t="s">
        <v>167</v>
      </c>
      <c r="C325" t="str">
        <f>HYPERLINK("http://www.ncbi.nlm.nih.gov/protein/NWV06505.1","NWV06505.1")</f>
        <v>NWV06505.1</v>
      </c>
      <c r="D325">
        <v>14013</v>
      </c>
      <c r="E325" t="str">
        <f>HYPERLINK("http://www.ncbi.nlm.nih.gov/Taxonomy/Browser/wwwtax.cgi?mode=Info&amp;id=28724&amp;lvl=3&amp;lin=f&amp;keep=1&amp;srchmode=1&amp;unlock","28724")</f>
        <v>28724</v>
      </c>
      <c r="F325" t="s">
        <v>167</v>
      </c>
      <c r="G325" t="str">
        <f>HYPERLINK("http://www.ncbi.nlm.nih.gov/Taxonomy/Browser/wwwtax.cgi?mode=Info&amp;id=28724&amp;lvl=3&amp;lin=f&amp;keep=1&amp;srchmode=1&amp;unlock","Ptilonorhynchus violaceus")</f>
        <v>Ptilonorhynchus violaceus</v>
      </c>
      <c r="H325" t="s">
        <v>293</v>
      </c>
      <c r="I325" t="str">
        <f>HYPERLINK("http://www.ncbi.nlm.nih.gov/protein/NWV06505.1","FABPL protein")</f>
        <v>FABPL protein</v>
      </c>
      <c r="J325" t="s">
        <v>1386</v>
      </c>
      <c r="K325" t="s">
        <v>25</v>
      </c>
      <c r="L325">
        <v>50</v>
      </c>
      <c r="M325" t="s">
        <v>1383</v>
      </c>
      <c r="N325" t="s">
        <v>25</v>
      </c>
    </row>
    <row r="326" spans="1:14" x14ac:dyDescent="0.25">
      <c r="A326">
        <v>6</v>
      </c>
      <c r="B326" t="s">
        <v>167</v>
      </c>
      <c r="C326" t="str">
        <f>HYPERLINK("http://www.ncbi.nlm.nih.gov/protein/XP_029869118.1","XP_029869118.1")</f>
        <v>XP_029869118.1</v>
      </c>
      <c r="D326">
        <v>48151</v>
      </c>
      <c r="E326" t="str">
        <f>HYPERLINK("http://www.ncbi.nlm.nih.gov/Taxonomy/Browser/wwwtax.cgi?mode=Info&amp;id=223781&amp;lvl=3&amp;lin=f&amp;keep=1&amp;srchmode=1&amp;unlock","223781")</f>
        <v>223781</v>
      </c>
      <c r="F326" t="s">
        <v>167</v>
      </c>
      <c r="G326" t="str">
        <f>HYPERLINK("http://www.ncbi.nlm.nih.gov/Taxonomy/Browser/wwwtax.cgi?mode=Info&amp;id=223781&amp;lvl=3&amp;lin=f&amp;keep=1&amp;srchmode=1&amp;unlock","Aquila chrysaetos chrysaetos")</f>
        <v>Aquila chrysaetos chrysaetos</v>
      </c>
      <c r="H326" t="s">
        <v>291</v>
      </c>
      <c r="I326" t="str">
        <f>HYPERLINK("http://www.ncbi.nlm.nih.gov/protein/XP_029869118.1","fatty acid-binding protein, liver")</f>
        <v>fatty acid-binding protein, liver</v>
      </c>
      <c r="J326" t="s">
        <v>1386</v>
      </c>
      <c r="K326" t="s">
        <v>25</v>
      </c>
      <c r="L326">
        <v>50</v>
      </c>
      <c r="M326" t="s">
        <v>1383</v>
      </c>
      <c r="N326" t="s">
        <v>25</v>
      </c>
    </row>
    <row r="327" spans="1:14" x14ac:dyDescent="0.25">
      <c r="A327">
        <v>6</v>
      </c>
      <c r="B327" t="s">
        <v>167</v>
      </c>
      <c r="C327" t="str">
        <f>HYPERLINK("http://www.ncbi.nlm.nih.gov/protein/NWV20188.1","NWV20188.1")</f>
        <v>NWV20188.1</v>
      </c>
      <c r="D327">
        <v>14487</v>
      </c>
      <c r="E327" t="str">
        <f>HYPERLINK("http://www.ncbi.nlm.nih.gov/Taxonomy/Browser/wwwtax.cgi?mode=Info&amp;id=720586&amp;lvl=3&amp;lin=f&amp;keep=1&amp;srchmode=1&amp;unlock","720586")</f>
        <v>720586</v>
      </c>
      <c r="F327" t="s">
        <v>167</v>
      </c>
      <c r="G327" t="str">
        <f>HYPERLINK("http://www.ncbi.nlm.nih.gov/Taxonomy/Browser/wwwtax.cgi?mode=Info&amp;id=720586&amp;lvl=3&amp;lin=f&amp;keep=1&amp;srchmode=1&amp;unlock","Origma solitaria")</f>
        <v>Origma solitaria</v>
      </c>
      <c r="H327" t="s">
        <v>206</v>
      </c>
      <c r="I327" t="str">
        <f>HYPERLINK("http://www.ncbi.nlm.nih.gov/protein/NWV20188.1","FABPL protein")</f>
        <v>FABPL protein</v>
      </c>
      <c r="J327" t="s">
        <v>1386</v>
      </c>
      <c r="K327" t="s">
        <v>25</v>
      </c>
      <c r="L327">
        <v>50</v>
      </c>
      <c r="M327" t="s">
        <v>1379</v>
      </c>
      <c r="N327" t="s">
        <v>25</v>
      </c>
    </row>
    <row r="328" spans="1:14" x14ac:dyDescent="0.25">
      <c r="A328">
        <v>6</v>
      </c>
      <c r="B328" t="s">
        <v>167</v>
      </c>
      <c r="C328" t="str">
        <f>HYPERLINK("http://www.ncbi.nlm.nih.gov/protein/NXG65253.1","NXG65253.1")</f>
        <v>NXG65253.1</v>
      </c>
      <c r="D328">
        <v>13817</v>
      </c>
      <c r="E328" t="str">
        <f>HYPERLINK("http://www.ncbi.nlm.nih.gov/Taxonomy/Browser/wwwtax.cgi?mode=Info&amp;id=243314&amp;lvl=3&amp;lin=f&amp;keep=1&amp;srchmode=1&amp;unlock","243314")</f>
        <v>243314</v>
      </c>
      <c r="F328" t="s">
        <v>167</v>
      </c>
      <c r="G328" t="str">
        <f>HYPERLINK("http://www.ncbi.nlm.nih.gov/Taxonomy/Browser/wwwtax.cgi?mode=Info&amp;id=243314&amp;lvl=3&amp;lin=f&amp;keep=1&amp;srchmode=1&amp;unlock","Hemiprocne comata")</f>
        <v>Hemiprocne comata</v>
      </c>
      <c r="H328" t="s">
        <v>296</v>
      </c>
      <c r="I328" t="str">
        <f>HYPERLINK("http://www.ncbi.nlm.nih.gov/protein/NXG65253.1","FABPL protein")</f>
        <v>FABPL protein</v>
      </c>
      <c r="J328" t="s">
        <v>1386</v>
      </c>
      <c r="K328" t="s">
        <v>25</v>
      </c>
      <c r="L328">
        <v>50</v>
      </c>
      <c r="M328" t="s">
        <v>1383</v>
      </c>
      <c r="N328" t="s">
        <v>25</v>
      </c>
    </row>
    <row r="329" spans="1:14" x14ac:dyDescent="0.25">
      <c r="A329">
        <v>6</v>
      </c>
      <c r="B329" t="s">
        <v>167</v>
      </c>
      <c r="C329" t="str">
        <f>HYPERLINK("http://www.ncbi.nlm.nih.gov/protein/NXC69071.1","NXC69071.1")</f>
        <v>NXC69071.1</v>
      </c>
      <c r="D329">
        <v>13634</v>
      </c>
      <c r="E329" t="str">
        <f>HYPERLINK("http://www.ncbi.nlm.nih.gov/Taxonomy/Browser/wwwtax.cgi?mode=Info&amp;id=56067&amp;lvl=3&amp;lin=f&amp;keep=1&amp;srchmode=1&amp;unlock","56067")</f>
        <v>56067</v>
      </c>
      <c r="F329" t="s">
        <v>167</v>
      </c>
      <c r="G329" t="str">
        <f>HYPERLINK("http://www.ncbi.nlm.nih.gov/Taxonomy/Browser/wwwtax.cgi?mode=Info&amp;id=56067&amp;lvl=3&amp;lin=f&amp;keep=1&amp;srchmode=1&amp;unlock","Anhinga anhinga")</f>
        <v>Anhinga anhinga</v>
      </c>
      <c r="H329" t="s">
        <v>297</v>
      </c>
      <c r="I329" t="str">
        <f>HYPERLINK("http://www.ncbi.nlm.nih.gov/protein/NXC69071.1","FABPL protein")</f>
        <v>FABPL protein</v>
      </c>
      <c r="J329" t="s">
        <v>1386</v>
      </c>
      <c r="K329" t="s">
        <v>25</v>
      </c>
      <c r="L329">
        <v>50</v>
      </c>
      <c r="M329" t="s">
        <v>1383</v>
      </c>
      <c r="N329" t="s">
        <v>25</v>
      </c>
    </row>
    <row r="330" spans="1:14" x14ac:dyDescent="0.25">
      <c r="A330">
        <v>6</v>
      </c>
      <c r="B330" t="s">
        <v>167</v>
      </c>
      <c r="C330" t="str">
        <f>HYPERLINK("http://www.ncbi.nlm.nih.gov/protein/XP_010400394.1","XP_010400394.1")</f>
        <v>XP_010400394.1</v>
      </c>
      <c r="D330">
        <v>42637</v>
      </c>
      <c r="E330" t="str">
        <f>HYPERLINK("http://www.ncbi.nlm.nih.gov/Taxonomy/Browser/wwwtax.cgi?mode=Info&amp;id=932674&amp;lvl=3&amp;lin=f&amp;keep=1&amp;srchmode=1&amp;unlock","932674")</f>
        <v>932674</v>
      </c>
      <c r="F330" t="s">
        <v>167</v>
      </c>
      <c r="G330" t="str">
        <f>HYPERLINK("http://www.ncbi.nlm.nih.gov/Taxonomy/Browser/wwwtax.cgi?mode=Info&amp;id=932674&amp;lvl=3&amp;lin=f&amp;keep=1&amp;srchmode=1&amp;unlock","Corvus cornix cornix")</f>
        <v>Corvus cornix cornix</v>
      </c>
      <c r="H330" t="s">
        <v>298</v>
      </c>
      <c r="I330" t="str">
        <f>HYPERLINK("http://www.ncbi.nlm.nih.gov/protein/XP_010400394.1","fatty acid-binding protein, liver")</f>
        <v>fatty acid-binding protein, liver</v>
      </c>
      <c r="J330" t="s">
        <v>1386</v>
      </c>
      <c r="K330" t="s">
        <v>25</v>
      </c>
      <c r="L330">
        <v>50</v>
      </c>
      <c r="M330" t="s">
        <v>1379</v>
      </c>
      <c r="N330" t="s">
        <v>25</v>
      </c>
    </row>
    <row r="331" spans="1:14" x14ac:dyDescent="0.25">
      <c r="A331">
        <v>6</v>
      </c>
      <c r="B331" t="s">
        <v>167</v>
      </c>
      <c r="C331" t="str">
        <f>HYPERLINK("http://www.ncbi.nlm.nih.gov/protein/XP_009993913.1","XP_009993913.1")</f>
        <v>XP_009993913.1</v>
      </c>
      <c r="D331">
        <v>29258</v>
      </c>
      <c r="E331" t="str">
        <f>HYPERLINK("http://www.ncbi.nlm.nih.gov/Taxonomy/Browser/wwwtax.cgi?mode=Info&amp;id=8897&amp;lvl=3&amp;lin=f&amp;keep=1&amp;srchmode=1&amp;unlock","8897")</f>
        <v>8897</v>
      </c>
      <c r="F331" t="s">
        <v>167</v>
      </c>
      <c r="G331" t="str">
        <f>HYPERLINK("http://www.ncbi.nlm.nih.gov/Taxonomy/Browser/wwwtax.cgi?mode=Info&amp;id=8897&amp;lvl=3&amp;lin=f&amp;keep=1&amp;srchmode=1&amp;unlock","Chaetura pelagica")</f>
        <v>Chaetura pelagica</v>
      </c>
      <c r="H331" t="s">
        <v>299</v>
      </c>
      <c r="I331" t="str">
        <f>HYPERLINK("http://www.ncbi.nlm.nih.gov/protein/XP_009993913.1","PREDICTED: fatty acid-binding protein, liver")</f>
        <v>PREDICTED: fatty acid-binding protein, liver</v>
      </c>
      <c r="J331" t="s">
        <v>1386</v>
      </c>
      <c r="K331" t="s">
        <v>25</v>
      </c>
      <c r="L331">
        <v>50</v>
      </c>
      <c r="M331" t="s">
        <v>1383</v>
      </c>
      <c r="N331" t="s">
        <v>25</v>
      </c>
    </row>
    <row r="332" spans="1:14" x14ac:dyDescent="0.25">
      <c r="A332">
        <v>6</v>
      </c>
      <c r="B332" t="s">
        <v>167</v>
      </c>
      <c r="C332" t="str">
        <f>HYPERLINK("http://www.ncbi.nlm.nih.gov/protein/XP_008643337.1","XP_008643337.1")</f>
        <v>XP_008643337.1</v>
      </c>
      <c r="D332">
        <v>43088</v>
      </c>
      <c r="E332" t="str">
        <f>HYPERLINK("http://www.ncbi.nlm.nih.gov/Taxonomy/Browser/wwwtax.cgi?mode=Info&amp;id=85066&amp;lvl=3&amp;lin=f&amp;keep=1&amp;srchmode=1&amp;unlock","85066")</f>
        <v>85066</v>
      </c>
      <c r="F332" t="s">
        <v>167</v>
      </c>
      <c r="G332" t="str">
        <f>HYPERLINK("http://www.ncbi.nlm.nih.gov/Taxonomy/Browser/wwwtax.cgi?mode=Info&amp;id=85066&amp;lvl=3&amp;lin=f&amp;keep=1&amp;srchmode=1&amp;unlock","Corvus brachyrhynchos")</f>
        <v>Corvus brachyrhynchos</v>
      </c>
      <c r="H332" t="s">
        <v>294</v>
      </c>
      <c r="I332" t="str">
        <f>HYPERLINK("http://www.ncbi.nlm.nih.gov/protein/XP_008643337.1","PREDICTED: fatty acid-binding protein, liver")</f>
        <v>PREDICTED: fatty acid-binding protein, liver</v>
      </c>
      <c r="J332" t="s">
        <v>1386</v>
      </c>
      <c r="K332" t="s">
        <v>25</v>
      </c>
      <c r="L332">
        <v>50</v>
      </c>
      <c r="M332" t="s">
        <v>1379</v>
      </c>
      <c r="N332" t="s">
        <v>25</v>
      </c>
    </row>
    <row r="333" spans="1:14" x14ac:dyDescent="0.25">
      <c r="A333">
        <v>6</v>
      </c>
      <c r="B333" t="s">
        <v>167</v>
      </c>
      <c r="C333" t="str">
        <f>HYPERLINK("http://www.ncbi.nlm.nih.gov/protein/NWH80582.1","NWH80582.1")</f>
        <v>NWH80582.1</v>
      </c>
      <c r="D333">
        <v>14099</v>
      </c>
      <c r="E333" t="str">
        <f>HYPERLINK("http://www.ncbi.nlm.nih.gov/Taxonomy/Browser/wwwtax.cgi?mode=Info&amp;id=33601&amp;lvl=3&amp;lin=f&amp;keep=1&amp;srchmode=1&amp;unlock","33601")</f>
        <v>33601</v>
      </c>
      <c r="F333" t="s">
        <v>167</v>
      </c>
      <c r="G333" t="str">
        <f>HYPERLINK("http://www.ncbi.nlm.nih.gov/Taxonomy/Browser/wwwtax.cgi?mode=Info&amp;id=33601&amp;lvl=3&amp;lin=f&amp;keep=1&amp;srchmode=1&amp;unlock","Piaya cayana")</f>
        <v>Piaya cayana</v>
      </c>
      <c r="H333" t="s">
        <v>295</v>
      </c>
      <c r="I333" t="str">
        <f>HYPERLINK("http://www.ncbi.nlm.nih.gov/protein/NWH80582.1","FABPL protein")</f>
        <v>FABPL protein</v>
      </c>
      <c r="J333" t="s">
        <v>1386</v>
      </c>
      <c r="K333" t="s">
        <v>25</v>
      </c>
      <c r="L333">
        <v>50</v>
      </c>
      <c r="M333" t="s">
        <v>1379</v>
      </c>
      <c r="N333" t="s">
        <v>25</v>
      </c>
    </row>
    <row r="334" spans="1:14" x14ac:dyDescent="0.25">
      <c r="A334">
        <v>6</v>
      </c>
      <c r="B334" t="s">
        <v>167</v>
      </c>
      <c r="C334" t="str">
        <f>HYPERLINK("http://www.ncbi.nlm.nih.gov/protein/XP_010142905.1","XP_010142905.1")</f>
        <v>XP_010142905.1</v>
      </c>
      <c r="D334">
        <v>27223</v>
      </c>
      <c r="E334" t="str">
        <f>HYPERLINK("http://www.ncbi.nlm.nih.gov/Taxonomy/Browser/wwwtax.cgi?mode=Info&amp;id=175836&amp;lvl=3&amp;lin=f&amp;keep=1&amp;srchmode=1&amp;unlock","175836")</f>
        <v>175836</v>
      </c>
      <c r="F334" t="s">
        <v>167</v>
      </c>
      <c r="G334" t="str">
        <f>HYPERLINK("http://www.ncbi.nlm.nih.gov/Taxonomy/Browser/wwwtax.cgi?mode=Info&amp;id=175836&amp;lvl=3&amp;lin=f&amp;keep=1&amp;srchmode=1&amp;unlock","Buceros rhinoceros silvestris")</f>
        <v>Buceros rhinoceros silvestris</v>
      </c>
      <c r="H334" t="s">
        <v>301</v>
      </c>
      <c r="I334" t="str">
        <f>HYPERLINK("http://www.ncbi.nlm.nih.gov/protein/XP_010142905.1","PREDICTED: fatty acid-binding protein, liver")</f>
        <v>PREDICTED: fatty acid-binding protein, liver</v>
      </c>
      <c r="J334" t="s">
        <v>1386</v>
      </c>
      <c r="K334" t="s">
        <v>25</v>
      </c>
      <c r="L334">
        <v>50</v>
      </c>
      <c r="M334" t="s">
        <v>1383</v>
      </c>
      <c r="N334" t="s">
        <v>25</v>
      </c>
    </row>
    <row r="335" spans="1:14" x14ac:dyDescent="0.25">
      <c r="A335">
        <v>6</v>
      </c>
      <c r="B335" t="s">
        <v>167</v>
      </c>
      <c r="C335" t="str">
        <f>HYPERLINK("http://www.ncbi.nlm.nih.gov/protein/NXY74130.1","NXY74130.1")</f>
        <v>NXY74130.1</v>
      </c>
      <c r="D335">
        <v>13804</v>
      </c>
      <c r="E335" t="str">
        <f>HYPERLINK("http://www.ncbi.nlm.nih.gov/Taxonomy/Browser/wwwtax.cgi?mode=Info&amp;id=43316&amp;lvl=3&amp;lin=f&amp;keep=1&amp;srchmode=1&amp;unlock","43316")</f>
        <v>43316</v>
      </c>
      <c r="F335" t="s">
        <v>167</v>
      </c>
      <c r="G335" t="str">
        <f>HYPERLINK("http://www.ncbi.nlm.nih.gov/Taxonomy/Browser/wwwtax.cgi?mode=Info&amp;id=43316&amp;lvl=3&amp;lin=f&amp;keep=1&amp;srchmode=1&amp;unlock","Glareola pratincola")</f>
        <v>Glareola pratincola</v>
      </c>
      <c r="H335" t="s">
        <v>185</v>
      </c>
      <c r="I335" t="str">
        <f>HYPERLINK("http://www.ncbi.nlm.nih.gov/protein/NXY74130.1","FABPL protein")</f>
        <v>FABPL protein</v>
      </c>
      <c r="J335" t="s">
        <v>1386</v>
      </c>
      <c r="K335" t="s">
        <v>25</v>
      </c>
      <c r="L335">
        <v>50</v>
      </c>
      <c r="M335" t="s">
        <v>1383</v>
      </c>
      <c r="N335" t="s">
        <v>25</v>
      </c>
    </row>
    <row r="336" spans="1:14" x14ac:dyDescent="0.25">
      <c r="A336">
        <v>6</v>
      </c>
      <c r="B336" t="s">
        <v>167</v>
      </c>
      <c r="C336" t="str">
        <f>HYPERLINK("http://www.ncbi.nlm.nih.gov/protein/NWT14664.1","NWT14664.1")</f>
        <v>NWT14664.1</v>
      </c>
      <c r="D336">
        <v>14153</v>
      </c>
      <c r="E336" t="str">
        <f>HYPERLINK("http://www.ncbi.nlm.nih.gov/Taxonomy/Browser/wwwtax.cgi?mode=Info&amp;id=34956&amp;lvl=3&amp;lin=f&amp;keep=1&amp;srchmode=1&amp;unlock","34956")</f>
        <v>34956</v>
      </c>
      <c r="F336" t="s">
        <v>167</v>
      </c>
      <c r="G336" t="str">
        <f>HYPERLINK("http://www.ncbi.nlm.nih.gov/Taxonomy/Browser/wwwtax.cgi?mode=Info&amp;id=34956&amp;lvl=3&amp;lin=f&amp;keep=1&amp;srchmode=1&amp;unlock","Vireo altiloquus")</f>
        <v>Vireo altiloquus</v>
      </c>
      <c r="H336" t="s">
        <v>302</v>
      </c>
      <c r="I336" t="str">
        <f>HYPERLINK("http://www.ncbi.nlm.nih.gov/protein/NWT14664.1","FABPL protein")</f>
        <v>FABPL protein</v>
      </c>
      <c r="J336" t="s">
        <v>1386</v>
      </c>
      <c r="K336" t="s">
        <v>25</v>
      </c>
      <c r="L336">
        <v>50</v>
      </c>
      <c r="M336" t="s">
        <v>1383</v>
      </c>
      <c r="N336" t="s">
        <v>25</v>
      </c>
    </row>
    <row r="337" spans="1:14" x14ac:dyDescent="0.25">
      <c r="A337">
        <v>6</v>
      </c>
      <c r="B337" t="s">
        <v>167</v>
      </c>
      <c r="C337" t="str">
        <f>HYPERLINK("http://www.ncbi.nlm.nih.gov/protein/NWR74348.1","NWR74348.1")</f>
        <v>NWR74348.1</v>
      </c>
      <c r="D337">
        <v>14035</v>
      </c>
      <c r="E337" t="str">
        <f>HYPERLINK("http://www.ncbi.nlm.nih.gov/Taxonomy/Browser/wwwtax.cgi?mode=Info&amp;id=1118519&amp;lvl=3&amp;lin=f&amp;keep=1&amp;srchmode=1&amp;unlock","1118519")</f>
        <v>1118519</v>
      </c>
      <c r="F337" t="s">
        <v>167</v>
      </c>
      <c r="G337" t="str">
        <f>HYPERLINK("http://www.ncbi.nlm.nih.gov/Taxonomy/Browser/wwwtax.cgi?mode=Info&amp;id=1118519&amp;lvl=3&amp;lin=f&amp;keep=1&amp;srchmode=1&amp;unlock","Centropus unirufus")</f>
        <v>Centropus unirufus</v>
      </c>
      <c r="H337" t="s">
        <v>303</v>
      </c>
      <c r="I337" t="str">
        <f>HYPERLINK("http://www.ncbi.nlm.nih.gov/protein/NWR74348.1","FABPL protein")</f>
        <v>FABPL protein</v>
      </c>
      <c r="J337" t="s">
        <v>1386</v>
      </c>
      <c r="K337" t="s">
        <v>25</v>
      </c>
      <c r="L337">
        <v>50</v>
      </c>
      <c r="M337" t="s">
        <v>1379</v>
      </c>
      <c r="N337" t="s">
        <v>25</v>
      </c>
    </row>
    <row r="338" spans="1:14" x14ac:dyDescent="0.25">
      <c r="A338">
        <v>6</v>
      </c>
      <c r="B338" t="s">
        <v>167</v>
      </c>
      <c r="C338" t="str">
        <f>HYPERLINK("http://www.ncbi.nlm.nih.gov/protein/NXW19031.1","NXW19031.1")</f>
        <v>NXW19031.1</v>
      </c>
      <c r="D338">
        <v>14176</v>
      </c>
      <c r="E338" t="str">
        <f>HYPERLINK("http://www.ncbi.nlm.nih.gov/Taxonomy/Browser/wwwtax.cgi?mode=Info&amp;id=321084&amp;lvl=3&amp;lin=f&amp;keep=1&amp;srchmode=1&amp;unlock","321084")</f>
        <v>321084</v>
      </c>
      <c r="F338" t="s">
        <v>167</v>
      </c>
      <c r="G338" t="str">
        <f>HYPERLINK("http://www.ncbi.nlm.nih.gov/Taxonomy/Browser/wwwtax.cgi?mode=Info&amp;id=321084&amp;lvl=3&amp;lin=f&amp;keep=1&amp;srchmode=1&amp;unlock","Circaetus pectoralis")</f>
        <v>Circaetus pectoralis</v>
      </c>
      <c r="H338" t="s">
        <v>304</v>
      </c>
      <c r="I338" t="str">
        <f>HYPERLINK("http://www.ncbi.nlm.nih.gov/protein/NXW19031.1","FABPL protein")</f>
        <v>FABPL protein</v>
      </c>
      <c r="J338" t="s">
        <v>1386</v>
      </c>
      <c r="K338" t="s">
        <v>25</v>
      </c>
      <c r="L338">
        <v>50</v>
      </c>
      <c r="M338" t="s">
        <v>1383</v>
      </c>
      <c r="N338" t="s">
        <v>25</v>
      </c>
    </row>
    <row r="339" spans="1:14" x14ac:dyDescent="0.25">
      <c r="A339">
        <v>6</v>
      </c>
      <c r="B339" t="s">
        <v>167</v>
      </c>
      <c r="C339" t="str">
        <f>HYPERLINK("http://www.ncbi.nlm.nih.gov/protein/NWI70669.1","NWI70669.1")</f>
        <v>NWI70669.1</v>
      </c>
      <c r="D339">
        <v>10103</v>
      </c>
      <c r="E339" t="str">
        <f>HYPERLINK("http://www.ncbi.nlm.nih.gov/Taxonomy/Browser/wwwtax.cgi?mode=Info&amp;id=135184&amp;lvl=3&amp;lin=f&amp;keep=1&amp;srchmode=1&amp;unlock","135184")</f>
        <v>135184</v>
      </c>
      <c r="F339" t="s">
        <v>167</v>
      </c>
      <c r="G339" t="str">
        <f>HYPERLINK("http://www.ncbi.nlm.nih.gov/Taxonomy/Browser/wwwtax.cgi?mode=Info&amp;id=135184&amp;lvl=3&amp;lin=f&amp;keep=1&amp;srchmode=1&amp;unlock","Todus mexicanus")</f>
        <v>Todus mexicanus</v>
      </c>
      <c r="H339" t="s">
        <v>305</v>
      </c>
      <c r="I339" t="str">
        <f>HYPERLINK("http://www.ncbi.nlm.nih.gov/protein/NWI70669.1","FABPL protein")</f>
        <v>FABPL protein</v>
      </c>
      <c r="J339" t="s">
        <v>1386</v>
      </c>
      <c r="K339" t="s">
        <v>25</v>
      </c>
      <c r="L339">
        <v>50</v>
      </c>
      <c r="M339" t="s">
        <v>1379</v>
      </c>
      <c r="N339" t="s">
        <v>25</v>
      </c>
    </row>
    <row r="340" spans="1:14" x14ac:dyDescent="0.25">
      <c r="A340">
        <v>6</v>
      </c>
      <c r="B340" t="s">
        <v>167</v>
      </c>
      <c r="C340" t="str">
        <f>HYPERLINK("http://www.ncbi.nlm.nih.gov/protein/XP_010166822.1","XP_010166822.1")</f>
        <v>XP_010166822.1</v>
      </c>
      <c r="D340">
        <v>29268</v>
      </c>
      <c r="E340" t="str">
        <f>HYPERLINK("http://www.ncbi.nlm.nih.gov/Taxonomy/Browser/wwwtax.cgi?mode=Info&amp;id=279965&amp;lvl=3&amp;lin=f&amp;keep=1&amp;srchmode=1&amp;unlock","279965")</f>
        <v>279965</v>
      </c>
      <c r="F340" t="s">
        <v>167</v>
      </c>
      <c r="G340" t="str">
        <f>HYPERLINK("http://www.ncbi.nlm.nih.gov/Taxonomy/Browser/wwwtax.cgi?mode=Info&amp;id=279965&amp;lvl=3&amp;lin=f&amp;keep=1&amp;srchmode=1&amp;unlock","Antrostomus carolinensis")</f>
        <v>Antrostomus carolinensis</v>
      </c>
      <c r="H340" t="s">
        <v>300</v>
      </c>
      <c r="I340" t="str">
        <f>HYPERLINK("http://www.ncbi.nlm.nih.gov/protein/XP_010166822.1","fatty acid-binding protein, liver")</f>
        <v>fatty acid-binding protein, liver</v>
      </c>
      <c r="J340" t="s">
        <v>1386</v>
      </c>
      <c r="K340" t="s">
        <v>25</v>
      </c>
      <c r="L340">
        <v>50</v>
      </c>
      <c r="M340" t="s">
        <v>1379</v>
      </c>
      <c r="N340" t="s">
        <v>25</v>
      </c>
    </row>
    <row r="341" spans="1:14" x14ac:dyDescent="0.25">
      <c r="A341">
        <v>6</v>
      </c>
      <c r="B341" t="s">
        <v>167</v>
      </c>
      <c r="C341" t="str">
        <f>HYPERLINK("http://www.ncbi.nlm.nih.gov/protein/NWI76321.1","NWI76321.1")</f>
        <v>NWI76321.1</v>
      </c>
      <c r="D341">
        <v>12349</v>
      </c>
      <c r="E341" t="str">
        <f>HYPERLINK("http://www.ncbi.nlm.nih.gov/Taxonomy/Browser/wwwtax.cgi?mode=Info&amp;id=85069&amp;lvl=3&amp;lin=f&amp;keep=1&amp;srchmode=1&amp;unlock","85069")</f>
        <v>85069</v>
      </c>
      <c r="F341" t="s">
        <v>167</v>
      </c>
      <c r="G341" t="str">
        <f>HYPERLINK("http://www.ncbi.nlm.nih.gov/Taxonomy/Browser/wwwtax.cgi?mode=Info&amp;id=85069&amp;lvl=3&amp;lin=f&amp;keep=1&amp;srchmode=1&amp;unlock","Dryoscopus gambensis")</f>
        <v>Dryoscopus gambensis</v>
      </c>
      <c r="H341" t="s">
        <v>206</v>
      </c>
      <c r="I341" t="str">
        <f>HYPERLINK("http://www.ncbi.nlm.nih.gov/protein/NWI76321.1","FABPL protein")</f>
        <v>FABPL protein</v>
      </c>
      <c r="J341" t="s">
        <v>1386</v>
      </c>
      <c r="K341" t="s">
        <v>25</v>
      </c>
      <c r="L341">
        <v>50</v>
      </c>
      <c r="M341" t="s">
        <v>1379</v>
      </c>
      <c r="N341" t="s">
        <v>25</v>
      </c>
    </row>
    <row r="342" spans="1:14" x14ac:dyDescent="0.25">
      <c r="A342">
        <v>6</v>
      </c>
      <c r="B342" t="s">
        <v>167</v>
      </c>
      <c r="C342" t="str">
        <f>HYPERLINK("http://www.ncbi.nlm.nih.gov/protein/NXH23815.1","NXH23815.1")</f>
        <v>NXH23815.1</v>
      </c>
      <c r="D342">
        <v>13940</v>
      </c>
      <c r="E342" t="str">
        <f>HYPERLINK("http://www.ncbi.nlm.nih.gov/Taxonomy/Browser/wwwtax.cgi?mode=Info&amp;id=381031&amp;lvl=3&amp;lin=f&amp;keep=1&amp;srchmode=1&amp;unlock","381031")</f>
        <v>381031</v>
      </c>
      <c r="F342" t="s">
        <v>167</v>
      </c>
      <c r="G342" t="str">
        <f>HYPERLINK("http://www.ncbi.nlm.nih.gov/Taxonomy/Browser/wwwtax.cgi?mode=Info&amp;id=381031&amp;lvl=3&amp;lin=f&amp;keep=1&amp;srchmode=1&amp;unlock","Myiagra hebetior")</f>
        <v>Myiagra hebetior</v>
      </c>
      <c r="H342" t="s">
        <v>206</v>
      </c>
      <c r="I342" t="str">
        <f>HYPERLINK("http://www.ncbi.nlm.nih.gov/protein/NXH23815.1","FABPL protein")</f>
        <v>FABPL protein</v>
      </c>
      <c r="J342" t="s">
        <v>1386</v>
      </c>
      <c r="K342" t="s">
        <v>25</v>
      </c>
      <c r="L342">
        <v>50</v>
      </c>
      <c r="M342" t="s">
        <v>1379</v>
      </c>
      <c r="N342" t="s">
        <v>25</v>
      </c>
    </row>
    <row r="343" spans="1:14" x14ac:dyDescent="0.25">
      <c r="A343">
        <v>6</v>
      </c>
      <c r="B343" t="s">
        <v>167</v>
      </c>
      <c r="C343" t="str">
        <f>HYPERLINK("http://www.ncbi.nlm.nih.gov/protein/NWR57646.1","NWR57646.1")</f>
        <v>NWR57646.1</v>
      </c>
      <c r="D343">
        <v>14438</v>
      </c>
      <c r="E343" t="str">
        <f>HYPERLINK("http://www.ncbi.nlm.nih.gov/Taxonomy/Browser/wwwtax.cgi?mode=Info&amp;id=153643&amp;lvl=3&amp;lin=f&amp;keep=1&amp;srchmode=1&amp;unlock","153643")</f>
        <v>153643</v>
      </c>
      <c r="F343" t="s">
        <v>167</v>
      </c>
      <c r="G343" t="str">
        <f>HYPERLINK("http://www.ncbi.nlm.nih.gov/Taxonomy/Browser/wwwtax.cgi?mode=Info&amp;id=153643&amp;lvl=3&amp;lin=f&amp;keep=1&amp;srchmode=1&amp;unlock","Bucorvus abyssinicus")</f>
        <v>Bucorvus abyssinicus</v>
      </c>
      <c r="H343" t="s">
        <v>310</v>
      </c>
      <c r="I343" t="str">
        <f>HYPERLINK("http://www.ncbi.nlm.nih.gov/protein/NWR57646.1","FABPL protein")</f>
        <v>FABPL protein</v>
      </c>
      <c r="J343" t="s">
        <v>1386</v>
      </c>
      <c r="K343" t="s">
        <v>25</v>
      </c>
      <c r="L343">
        <v>50</v>
      </c>
      <c r="M343" t="s">
        <v>1383</v>
      </c>
      <c r="N343" t="s">
        <v>25</v>
      </c>
    </row>
    <row r="344" spans="1:14" x14ac:dyDescent="0.25">
      <c r="A344">
        <v>6</v>
      </c>
      <c r="B344" t="s">
        <v>167</v>
      </c>
      <c r="C344" t="str">
        <f>HYPERLINK("http://www.ncbi.nlm.nih.gov/protein/NXN33731.1","NXN33731.1")</f>
        <v>NXN33731.1</v>
      </c>
      <c r="D344">
        <v>14331</v>
      </c>
      <c r="E344" t="str">
        <f>HYPERLINK("http://www.ncbi.nlm.nih.gov/Taxonomy/Browser/wwwtax.cgi?mode=Info&amp;id=227226&amp;lvl=3&amp;lin=f&amp;keep=1&amp;srchmode=1&amp;unlock","227226")</f>
        <v>227226</v>
      </c>
      <c r="F344" t="s">
        <v>167</v>
      </c>
      <c r="G344" t="str">
        <f>HYPERLINK("http://www.ncbi.nlm.nih.gov/Taxonomy/Browser/wwwtax.cgi?mode=Info&amp;id=227226&amp;lvl=3&amp;lin=f&amp;keep=1&amp;srchmode=1&amp;unlock","Nycticryphes semicollaris")</f>
        <v>Nycticryphes semicollaris</v>
      </c>
      <c r="H344" t="s">
        <v>185</v>
      </c>
      <c r="I344" t="str">
        <f>HYPERLINK("http://www.ncbi.nlm.nih.gov/protein/NXN33731.1","FABPL protein")</f>
        <v>FABPL protein</v>
      </c>
      <c r="J344" t="s">
        <v>1386</v>
      </c>
      <c r="K344" t="s">
        <v>25</v>
      </c>
      <c r="L344">
        <v>50</v>
      </c>
      <c r="M344" t="s">
        <v>1379</v>
      </c>
      <c r="N344" t="s">
        <v>25</v>
      </c>
    </row>
    <row r="345" spans="1:14" x14ac:dyDescent="0.25">
      <c r="A345">
        <v>6</v>
      </c>
      <c r="B345" t="s">
        <v>167</v>
      </c>
      <c r="C345" t="str">
        <f>HYPERLINK("http://www.ncbi.nlm.nih.gov/protein/NXS22032.1","NXS22032.1")</f>
        <v>NXS22032.1</v>
      </c>
      <c r="D345">
        <v>10611</v>
      </c>
      <c r="E345" t="str">
        <f>HYPERLINK("http://www.ncbi.nlm.nih.gov/Taxonomy/Browser/wwwtax.cgi?mode=Info&amp;id=98133&amp;lvl=3&amp;lin=f&amp;keep=1&amp;srchmode=1&amp;unlock","98133")</f>
        <v>98133</v>
      </c>
      <c r="F345" t="s">
        <v>167</v>
      </c>
      <c r="G345" t="str">
        <f>HYPERLINK("http://www.ncbi.nlm.nih.gov/Taxonomy/Browser/wwwtax.cgi?mode=Info&amp;id=98133&amp;lvl=3&amp;lin=f&amp;keep=1&amp;srchmode=1&amp;unlock","Mystacornis crossleyi")</f>
        <v>Mystacornis crossleyi</v>
      </c>
      <c r="H345" t="s">
        <v>311</v>
      </c>
      <c r="I345" t="str">
        <f>HYPERLINK("http://www.ncbi.nlm.nih.gov/protein/NXS22032.1","FABPL protein")</f>
        <v>FABPL protein</v>
      </c>
      <c r="J345" t="s">
        <v>1386</v>
      </c>
      <c r="K345" t="s">
        <v>25</v>
      </c>
      <c r="L345">
        <v>50</v>
      </c>
      <c r="M345" t="s">
        <v>1383</v>
      </c>
      <c r="N345" t="s">
        <v>25</v>
      </c>
    </row>
    <row r="346" spans="1:14" x14ac:dyDescent="0.25">
      <c r="A346">
        <v>6</v>
      </c>
      <c r="B346" t="s">
        <v>167</v>
      </c>
      <c r="C346" t="str">
        <f>HYPERLINK("http://www.ncbi.nlm.nih.gov/protein/XP_032917085.1","XP_032917085.1")</f>
        <v>XP_032917085.1</v>
      </c>
      <c r="D346">
        <v>36100</v>
      </c>
      <c r="E346" t="str">
        <f>HYPERLINK("http://www.ncbi.nlm.nih.gov/Taxonomy/Browser/wwwtax.cgi?mode=Info&amp;id=91951&amp;lvl=3&amp;lin=f&amp;keep=1&amp;srchmode=1&amp;unlock","91951")</f>
        <v>91951</v>
      </c>
      <c r="F346" t="s">
        <v>167</v>
      </c>
      <c r="G346" t="str">
        <f>HYPERLINK("http://www.ncbi.nlm.nih.gov/Taxonomy/Browser/wwwtax.cgi?mode=Info&amp;id=91951&amp;lvl=3&amp;lin=f&amp;keep=1&amp;srchmode=1&amp;unlock","Catharus ustulatus")</f>
        <v>Catharus ustulatus</v>
      </c>
      <c r="H346" t="s">
        <v>306</v>
      </c>
      <c r="I346" t="str">
        <f>HYPERLINK("http://www.ncbi.nlm.nih.gov/protein/XP_032917085.1","fatty acid-binding protein, liver-like")</f>
        <v>fatty acid-binding protein, liver-like</v>
      </c>
      <c r="J346" t="s">
        <v>1386</v>
      </c>
      <c r="K346" t="s">
        <v>20</v>
      </c>
      <c r="L346">
        <v>50</v>
      </c>
      <c r="M346" t="s">
        <v>1380</v>
      </c>
      <c r="N346" t="s">
        <v>20</v>
      </c>
    </row>
    <row r="347" spans="1:14" x14ac:dyDescent="0.25">
      <c r="A347">
        <v>6</v>
      </c>
      <c r="B347" t="s">
        <v>167</v>
      </c>
      <c r="C347" t="str">
        <f>HYPERLINK("http://www.ncbi.nlm.nih.gov/protein/XP_010301034.1","XP_010301034.1")</f>
        <v>XP_010301034.1</v>
      </c>
      <c r="D347">
        <v>27939</v>
      </c>
      <c r="E347" t="str">
        <f>HYPERLINK("http://www.ncbi.nlm.nih.gov/Taxonomy/Browser/wwwtax.cgi?mode=Info&amp;id=100784&amp;lvl=3&amp;lin=f&amp;keep=1&amp;srchmode=1&amp;unlock","100784")</f>
        <v>100784</v>
      </c>
      <c r="F347" t="s">
        <v>167</v>
      </c>
      <c r="G347" t="str">
        <f>HYPERLINK("http://www.ncbi.nlm.nih.gov/Taxonomy/Browser/wwwtax.cgi?mode=Info&amp;id=100784&amp;lvl=3&amp;lin=f&amp;keep=1&amp;srchmode=1&amp;unlock","Balearica regulorum gibbericeps")</f>
        <v>Balearica regulorum gibbericeps</v>
      </c>
      <c r="H347" t="s">
        <v>307</v>
      </c>
      <c r="I347" t="str">
        <f>HYPERLINK("http://www.ncbi.nlm.nih.gov/protein/XP_010301034.1","PREDICTED: fatty acid-binding protein, liver")</f>
        <v>PREDICTED: fatty acid-binding protein, liver</v>
      </c>
      <c r="J347" t="s">
        <v>1386</v>
      </c>
      <c r="K347" t="s">
        <v>25</v>
      </c>
      <c r="L347">
        <v>50</v>
      </c>
      <c r="M347" t="s">
        <v>1379</v>
      </c>
      <c r="N347" t="s">
        <v>25</v>
      </c>
    </row>
    <row r="348" spans="1:14" x14ac:dyDescent="0.25">
      <c r="A348">
        <v>6</v>
      </c>
      <c r="B348" t="s">
        <v>167</v>
      </c>
      <c r="C348" t="str">
        <f>HYPERLINK("http://www.ncbi.nlm.nih.gov/protein/NXX22635.1","NXX22635.1")</f>
        <v>NXX22635.1</v>
      </c>
      <c r="D348">
        <v>14085</v>
      </c>
      <c r="E348" t="str">
        <f>HYPERLINK("http://www.ncbi.nlm.nih.gov/Taxonomy/Browser/wwwtax.cgi?mode=Info&amp;id=8905&amp;lvl=3&amp;lin=f&amp;keep=1&amp;srchmode=1&amp;unlock","8905")</f>
        <v>8905</v>
      </c>
      <c r="F348" t="s">
        <v>167</v>
      </c>
      <c r="G348" t="str">
        <f>HYPERLINK("http://www.ncbi.nlm.nih.gov/Taxonomy/Browser/wwwtax.cgi?mode=Info&amp;id=8905&amp;lvl=3&amp;lin=f&amp;keep=1&amp;srchmode=1&amp;unlock","Podargus strigoides")</f>
        <v>Podargus strigoides</v>
      </c>
      <c r="H348" t="s">
        <v>308</v>
      </c>
      <c r="I348" t="str">
        <f>HYPERLINK("http://www.ncbi.nlm.nih.gov/protein/NXX22635.1","FABPL protein")</f>
        <v>FABPL protein</v>
      </c>
      <c r="J348" t="s">
        <v>1386</v>
      </c>
      <c r="K348" t="s">
        <v>25</v>
      </c>
      <c r="L348">
        <v>50</v>
      </c>
      <c r="M348" t="s">
        <v>1379</v>
      </c>
      <c r="N348" t="s">
        <v>25</v>
      </c>
    </row>
    <row r="349" spans="1:14" x14ac:dyDescent="0.25">
      <c r="A349">
        <v>6</v>
      </c>
      <c r="B349" t="s">
        <v>167</v>
      </c>
      <c r="C349" t="str">
        <f>HYPERLINK("http://www.ncbi.nlm.nih.gov/protein/NXH94011.1","NXH94011.1")</f>
        <v>NXH94011.1</v>
      </c>
      <c r="D349">
        <v>13430</v>
      </c>
      <c r="E349" t="str">
        <f>HYPERLINK("http://www.ncbi.nlm.nih.gov/Taxonomy/Browser/wwwtax.cgi?mode=Info&amp;id=449367&amp;lvl=3&amp;lin=f&amp;keep=1&amp;srchmode=1&amp;unlock","449367")</f>
        <v>449367</v>
      </c>
      <c r="F349" t="s">
        <v>167</v>
      </c>
      <c r="G349" t="str">
        <f>HYPERLINK("http://www.ncbi.nlm.nih.gov/Taxonomy/Browser/wwwtax.cgi?mode=Info&amp;id=449367&amp;lvl=3&amp;lin=f&amp;keep=1&amp;srchmode=1&amp;unlock","Pachycephala philippinensis")</f>
        <v>Pachycephala philippinensis</v>
      </c>
      <c r="H349" t="s">
        <v>309</v>
      </c>
      <c r="I349" t="str">
        <f>HYPERLINK("http://www.ncbi.nlm.nih.gov/protein/NXH94011.1","FABPL protein")</f>
        <v>FABPL protein</v>
      </c>
      <c r="J349" t="s">
        <v>1386</v>
      </c>
      <c r="K349" t="s">
        <v>25</v>
      </c>
      <c r="L349">
        <v>50</v>
      </c>
      <c r="M349" t="s">
        <v>1379</v>
      </c>
      <c r="N349" t="s">
        <v>25</v>
      </c>
    </row>
    <row r="350" spans="1:14" x14ac:dyDescent="0.25">
      <c r="A350">
        <v>6</v>
      </c>
      <c r="B350" t="s">
        <v>167</v>
      </c>
      <c r="C350" t="str">
        <f>HYPERLINK("http://www.ncbi.nlm.nih.gov/protein/NXW84899.1","NXW84899.1")</f>
        <v>NXW84899.1</v>
      </c>
      <c r="D350">
        <v>14612</v>
      </c>
      <c r="E350" t="str">
        <f>HYPERLINK("http://www.ncbi.nlm.nih.gov/Taxonomy/Browser/wwwtax.cgi?mode=Info&amp;id=262131&amp;lvl=3&amp;lin=f&amp;keep=1&amp;srchmode=1&amp;unlock","262131")</f>
        <v>262131</v>
      </c>
      <c r="F350" t="s">
        <v>167</v>
      </c>
      <c r="G350" t="str">
        <f>HYPERLINK("http://www.ncbi.nlm.nih.gov/Taxonomy/Browser/wwwtax.cgi?mode=Info&amp;id=262131&amp;lvl=3&amp;lin=f&amp;keep=1&amp;srchmode=1&amp;unlock","Alopecoenas beccarii")</f>
        <v>Alopecoenas beccarii</v>
      </c>
      <c r="H350" t="s">
        <v>314</v>
      </c>
      <c r="I350" t="str">
        <f>HYPERLINK("http://www.ncbi.nlm.nih.gov/protein/NXW84899.1","FABPL protein")</f>
        <v>FABPL protein</v>
      </c>
      <c r="J350" t="s">
        <v>1386</v>
      </c>
      <c r="K350" t="s">
        <v>25</v>
      </c>
      <c r="L350">
        <v>50</v>
      </c>
      <c r="M350" t="s">
        <v>1383</v>
      </c>
      <c r="N350" t="s">
        <v>25</v>
      </c>
    </row>
    <row r="351" spans="1:14" x14ac:dyDescent="0.25">
      <c r="A351">
        <v>6</v>
      </c>
      <c r="B351" t="s">
        <v>167</v>
      </c>
      <c r="C351" t="str">
        <f>HYPERLINK("http://www.ncbi.nlm.nih.gov/protein/XP_009978351.1","XP_009978351.1")</f>
        <v>XP_009978351.1</v>
      </c>
      <c r="D351">
        <v>28574</v>
      </c>
      <c r="E351" t="str">
        <f>HYPERLINK("http://www.ncbi.nlm.nih.gov/Taxonomy/Browser/wwwtax.cgi?mode=Info&amp;id=121530&amp;lvl=3&amp;lin=f&amp;keep=1&amp;srchmode=1&amp;unlock","121530")</f>
        <v>121530</v>
      </c>
      <c r="F351" t="s">
        <v>167</v>
      </c>
      <c r="G351" t="str">
        <f>HYPERLINK("http://www.ncbi.nlm.nih.gov/Taxonomy/Browser/wwwtax.cgi?mode=Info&amp;id=121530&amp;lvl=3&amp;lin=f&amp;keep=1&amp;srchmode=1&amp;unlock","Tauraco erythrolophus")</f>
        <v>Tauraco erythrolophus</v>
      </c>
      <c r="H351" t="s">
        <v>315</v>
      </c>
      <c r="I351" t="str">
        <f>HYPERLINK("http://www.ncbi.nlm.nih.gov/protein/XP_009978351.1","PREDICTED: fatty acid-binding protein, liver")</f>
        <v>PREDICTED: fatty acid-binding protein, liver</v>
      </c>
      <c r="J351" t="s">
        <v>1386</v>
      </c>
      <c r="K351" t="s">
        <v>25</v>
      </c>
      <c r="L351">
        <v>50</v>
      </c>
      <c r="M351" t="s">
        <v>1383</v>
      </c>
      <c r="N351" t="s">
        <v>25</v>
      </c>
    </row>
    <row r="352" spans="1:14" x14ac:dyDescent="0.25">
      <c r="A352">
        <v>6</v>
      </c>
      <c r="B352" t="s">
        <v>167</v>
      </c>
      <c r="C352" t="str">
        <f>HYPERLINK("http://www.ncbi.nlm.nih.gov/protein/NXY03668.1","NXY03668.1")</f>
        <v>NXY03668.1</v>
      </c>
      <c r="D352">
        <v>11998</v>
      </c>
      <c r="E352" t="str">
        <f>HYPERLINK("http://www.ncbi.nlm.nih.gov/Taxonomy/Browser/wwwtax.cgi?mode=Info&amp;id=357074&amp;lvl=3&amp;lin=f&amp;keep=1&amp;srchmode=1&amp;unlock","357074")</f>
        <v>357074</v>
      </c>
      <c r="F352" t="s">
        <v>167</v>
      </c>
      <c r="G352" t="str">
        <f>HYPERLINK("http://www.ncbi.nlm.nih.gov/Taxonomy/Browser/wwwtax.cgi?mode=Info&amp;id=357074&amp;lvl=3&amp;lin=f&amp;keep=1&amp;srchmode=1&amp;unlock","Pteruthius melanotis")</f>
        <v>Pteruthius melanotis</v>
      </c>
      <c r="H352" t="s">
        <v>244</v>
      </c>
      <c r="I352" t="str">
        <f>HYPERLINK("http://www.ncbi.nlm.nih.gov/protein/NXY03668.1","FABPL protein")</f>
        <v>FABPL protein</v>
      </c>
      <c r="J352" t="s">
        <v>1386</v>
      </c>
      <c r="K352" t="s">
        <v>25</v>
      </c>
      <c r="L352">
        <v>50</v>
      </c>
      <c r="M352" t="s">
        <v>1383</v>
      </c>
      <c r="N352" t="s">
        <v>25</v>
      </c>
    </row>
    <row r="353" spans="1:14" x14ac:dyDescent="0.25">
      <c r="A353">
        <v>6</v>
      </c>
      <c r="B353" t="s">
        <v>167</v>
      </c>
      <c r="C353" t="str">
        <f>HYPERLINK("http://www.ncbi.nlm.nih.gov/protein/NXJ62645.1","NXJ62645.1")</f>
        <v>NXJ62645.1</v>
      </c>
      <c r="D353">
        <v>14258</v>
      </c>
      <c r="E353" t="str">
        <f>HYPERLINK("http://www.ncbi.nlm.nih.gov/Taxonomy/Browser/wwwtax.cgi?mode=Info&amp;id=118793&amp;lvl=3&amp;lin=f&amp;keep=1&amp;srchmode=1&amp;unlock","118793")</f>
        <v>118793</v>
      </c>
      <c r="F353" t="s">
        <v>167</v>
      </c>
      <c r="G353" t="str">
        <f>HYPERLINK("http://www.ncbi.nlm.nih.gov/Taxonomy/Browser/wwwtax.cgi?mode=Info&amp;id=118793&amp;lvl=3&amp;lin=f&amp;keep=1&amp;srchmode=1&amp;unlock","Rostratula benghalensis")</f>
        <v>Rostratula benghalensis</v>
      </c>
      <c r="H353" t="s">
        <v>316</v>
      </c>
      <c r="I353" t="str">
        <f>HYPERLINK("http://www.ncbi.nlm.nih.gov/protein/NXJ62645.1","FABPL protein")</f>
        <v>FABPL protein</v>
      </c>
      <c r="J353" t="s">
        <v>1386</v>
      </c>
      <c r="K353" t="s">
        <v>25</v>
      </c>
      <c r="L353">
        <v>50</v>
      </c>
      <c r="M353" t="s">
        <v>1379</v>
      </c>
      <c r="N353" t="s">
        <v>25</v>
      </c>
    </row>
    <row r="354" spans="1:14" x14ac:dyDescent="0.25">
      <c r="A354">
        <v>6</v>
      </c>
      <c r="B354" t="s">
        <v>167</v>
      </c>
      <c r="C354" t="str">
        <f>HYPERLINK("http://www.ncbi.nlm.nih.gov/protein/NWW17204.1","NWW17204.1")</f>
        <v>NWW17204.1</v>
      </c>
      <c r="D354">
        <v>14502</v>
      </c>
      <c r="E354" t="str">
        <f>HYPERLINK("http://www.ncbi.nlm.nih.gov/Taxonomy/Browser/wwwtax.cgi?mode=Info&amp;id=254539&amp;lvl=3&amp;lin=f&amp;keep=1&amp;srchmode=1&amp;unlock","254539")</f>
        <v>254539</v>
      </c>
      <c r="F354" t="s">
        <v>167</v>
      </c>
      <c r="G354" t="str">
        <f>HYPERLINK("http://www.ncbi.nlm.nih.gov/Taxonomy/Browser/wwwtax.cgi?mode=Info&amp;id=254539&amp;lvl=3&amp;lin=f&amp;keep=1&amp;srchmode=1&amp;unlock","Falcunculus frontatus")</f>
        <v>Falcunculus frontatus</v>
      </c>
      <c r="H354" t="s">
        <v>312</v>
      </c>
      <c r="I354" t="str">
        <f>HYPERLINK("http://www.ncbi.nlm.nih.gov/protein/NWW17204.1","FABPL protein")</f>
        <v>FABPL protein</v>
      </c>
      <c r="J354" t="s">
        <v>1386</v>
      </c>
      <c r="K354" t="s">
        <v>25</v>
      </c>
      <c r="L354">
        <v>50</v>
      </c>
      <c r="M354" t="s">
        <v>1379</v>
      </c>
      <c r="N354" t="s">
        <v>25</v>
      </c>
    </row>
    <row r="355" spans="1:14" x14ac:dyDescent="0.25">
      <c r="A355">
        <v>6</v>
      </c>
      <c r="B355" t="s">
        <v>167</v>
      </c>
      <c r="C355" t="str">
        <f>HYPERLINK("http://www.ncbi.nlm.nih.gov/protein/XP_005510014.1","XP_005510014.1")</f>
        <v>XP_005510014.1</v>
      </c>
      <c r="D355">
        <v>50935</v>
      </c>
      <c r="E355" t="str">
        <f>HYPERLINK("http://www.ncbi.nlm.nih.gov/Taxonomy/Browser/wwwtax.cgi?mode=Info&amp;id=8932&amp;lvl=3&amp;lin=f&amp;keep=1&amp;srchmode=1&amp;unlock","8932")</f>
        <v>8932</v>
      </c>
      <c r="F355" t="s">
        <v>167</v>
      </c>
      <c r="G355" t="str">
        <f>HYPERLINK("http://www.ncbi.nlm.nih.gov/Taxonomy/Browser/wwwtax.cgi?mode=Info&amp;id=8932&amp;lvl=3&amp;lin=f&amp;keep=1&amp;srchmode=1&amp;unlock","Columba livia")</f>
        <v>Columba livia</v>
      </c>
      <c r="H355" t="s">
        <v>313</v>
      </c>
      <c r="I355" t="str">
        <f>HYPERLINK("http://www.ncbi.nlm.nih.gov/protein/XP_005510014.1","fatty acid-binding protein, liver")</f>
        <v>fatty acid-binding protein, liver</v>
      </c>
      <c r="J355" t="s">
        <v>1386</v>
      </c>
      <c r="K355" t="s">
        <v>25</v>
      </c>
      <c r="L355">
        <v>50</v>
      </c>
      <c r="M355" t="s">
        <v>1379</v>
      </c>
      <c r="N355" t="s">
        <v>25</v>
      </c>
    </row>
    <row r="356" spans="1:14" x14ac:dyDescent="0.25">
      <c r="A356">
        <v>6</v>
      </c>
      <c r="B356" t="s">
        <v>167</v>
      </c>
      <c r="C356" t="str">
        <f>HYPERLINK("http://www.ncbi.nlm.nih.gov/protein/NWZ25192.1","NWZ25192.1")</f>
        <v>NWZ25192.1</v>
      </c>
      <c r="D356">
        <v>14748</v>
      </c>
      <c r="E356" t="str">
        <f>HYPERLINK("http://www.ncbi.nlm.nih.gov/Taxonomy/Browser/wwwtax.cgi?mode=Info&amp;id=75869&amp;lvl=3&amp;lin=f&amp;keep=1&amp;srchmode=1&amp;unlock","75869")</f>
        <v>75869</v>
      </c>
      <c r="F356" t="s">
        <v>167</v>
      </c>
      <c r="G356" t="str">
        <f>HYPERLINK("http://www.ncbi.nlm.nih.gov/Taxonomy/Browser/wwwtax.cgi?mode=Info&amp;id=75869&amp;lvl=3&amp;lin=f&amp;keep=1&amp;srchmode=1&amp;unlock","Asarcornis scutulata")</f>
        <v>Asarcornis scutulata</v>
      </c>
      <c r="H356" t="s">
        <v>317</v>
      </c>
      <c r="I356" t="str">
        <f>HYPERLINK("http://www.ncbi.nlm.nih.gov/protein/NWZ25192.1","FABPL protein")</f>
        <v>FABPL protein</v>
      </c>
      <c r="J356" t="s">
        <v>1386</v>
      </c>
      <c r="K356" t="s">
        <v>25</v>
      </c>
      <c r="L356">
        <v>50</v>
      </c>
      <c r="M356" t="s">
        <v>1379</v>
      </c>
      <c r="N356" t="s">
        <v>25</v>
      </c>
    </row>
    <row r="357" spans="1:14" x14ac:dyDescent="0.25">
      <c r="A357">
        <v>6</v>
      </c>
      <c r="B357" t="s">
        <v>167</v>
      </c>
      <c r="C357" t="str">
        <f>HYPERLINK("http://www.ncbi.nlm.nih.gov/protein/NXB64387.1","NXB64387.1")</f>
        <v>NXB64387.1</v>
      </c>
      <c r="D357">
        <v>14168</v>
      </c>
      <c r="E357" t="str">
        <f>HYPERLINK("http://www.ncbi.nlm.nih.gov/Taxonomy/Browser/wwwtax.cgi?mode=Info&amp;id=181839&amp;lvl=3&amp;lin=f&amp;keep=1&amp;srchmode=1&amp;unlock","181839")</f>
        <v>181839</v>
      </c>
      <c r="F357" t="s">
        <v>167</v>
      </c>
      <c r="G357" t="str">
        <f>HYPERLINK("http://www.ncbi.nlm.nih.gov/Taxonomy/Browser/wwwtax.cgi?mode=Info&amp;id=181839&amp;lvl=3&amp;lin=f&amp;keep=1&amp;srchmode=1&amp;unlock","Struthidea cinerea")</f>
        <v>Struthidea cinerea</v>
      </c>
      <c r="H357" t="s">
        <v>318</v>
      </c>
      <c r="I357" t="str">
        <f>HYPERLINK("http://www.ncbi.nlm.nih.gov/protein/NXB64387.1","FABPL protein")</f>
        <v>FABPL protein</v>
      </c>
      <c r="J357" t="s">
        <v>1386</v>
      </c>
      <c r="K357" t="s">
        <v>25</v>
      </c>
      <c r="L357">
        <v>50</v>
      </c>
      <c r="M357" t="s">
        <v>1379</v>
      </c>
      <c r="N357" t="s">
        <v>25</v>
      </c>
    </row>
    <row r="358" spans="1:14" x14ac:dyDescent="0.25">
      <c r="A358">
        <v>6</v>
      </c>
      <c r="B358" t="s">
        <v>167</v>
      </c>
      <c r="C358" t="str">
        <f>HYPERLINK("http://www.ncbi.nlm.nih.gov/protein/XP_032041849.1","XP_032041849.1")</f>
        <v>XP_032041849.1</v>
      </c>
      <c r="D358">
        <v>27813</v>
      </c>
      <c r="E358" t="str">
        <f>HYPERLINK("http://www.ncbi.nlm.nih.gov/Taxonomy/Browser/wwwtax.cgi?mode=Info&amp;id=219594&amp;lvl=3&amp;lin=f&amp;keep=1&amp;srchmode=1&amp;unlock","219594")</f>
        <v>219594</v>
      </c>
      <c r="F358" t="s">
        <v>167</v>
      </c>
      <c r="G358" t="str">
        <f>HYPERLINK("http://www.ncbi.nlm.nih.gov/Taxonomy/Browser/wwwtax.cgi?mode=Info&amp;id=219594&amp;lvl=3&amp;lin=f&amp;keep=1&amp;srchmode=1&amp;unlock","Aythya fuligula")</f>
        <v>Aythya fuligula</v>
      </c>
      <c r="H358" t="s">
        <v>319</v>
      </c>
      <c r="I358" t="str">
        <f>HYPERLINK("http://www.ncbi.nlm.nih.gov/protein/XP_032041849.1","fatty acid-binding protein, liver")</f>
        <v>fatty acid-binding protein, liver</v>
      </c>
      <c r="J358" t="s">
        <v>1386</v>
      </c>
      <c r="K358" t="s">
        <v>25</v>
      </c>
      <c r="L358">
        <v>50</v>
      </c>
      <c r="M358" t="s">
        <v>1379</v>
      </c>
      <c r="N358" t="s">
        <v>25</v>
      </c>
    </row>
    <row r="359" spans="1:14" x14ac:dyDescent="0.25">
      <c r="A359">
        <v>6</v>
      </c>
      <c r="B359" t="s">
        <v>167</v>
      </c>
      <c r="C359" t="str">
        <f>HYPERLINK("http://www.ncbi.nlm.nih.gov/protein/NXV33602.1","NXV33602.1")</f>
        <v>NXV33602.1</v>
      </c>
      <c r="D359">
        <v>14938</v>
      </c>
      <c r="E359" t="str">
        <f>HYPERLINK("http://www.ncbi.nlm.nih.gov/Taxonomy/Browser/wwwtax.cgi?mode=Info&amp;id=75485&amp;lvl=3&amp;lin=f&amp;keep=1&amp;srchmode=1&amp;unlock","75485")</f>
        <v>75485</v>
      </c>
      <c r="F359" t="s">
        <v>167</v>
      </c>
      <c r="G359" t="str">
        <f>HYPERLINK("http://www.ncbi.nlm.nih.gov/Taxonomy/Browser/wwwtax.cgi?mode=Info&amp;id=75485&amp;lvl=3&amp;lin=f&amp;keep=1&amp;srchmode=1&amp;unlock","Rissa tridactyla")</f>
        <v>Rissa tridactyla</v>
      </c>
      <c r="H359" t="s">
        <v>320</v>
      </c>
      <c r="I359" t="str">
        <f>HYPERLINK("http://www.ncbi.nlm.nih.gov/protein/NXV33602.1","FABPL protein")</f>
        <v>FABPL protein</v>
      </c>
      <c r="J359" t="s">
        <v>1386</v>
      </c>
      <c r="K359" t="s">
        <v>25</v>
      </c>
      <c r="L359">
        <v>50</v>
      </c>
      <c r="M359" t="s">
        <v>1383</v>
      </c>
      <c r="N359" t="s">
        <v>25</v>
      </c>
    </row>
    <row r="360" spans="1:14" x14ac:dyDescent="0.25">
      <c r="A360">
        <v>6</v>
      </c>
      <c r="B360" t="s">
        <v>167</v>
      </c>
      <c r="C360" t="str">
        <f>HYPERLINK("http://www.ncbi.nlm.nih.gov/protein/NXQ51765.1","NXQ51765.1")</f>
        <v>NXQ51765.1</v>
      </c>
      <c r="D360">
        <v>13596</v>
      </c>
      <c r="E360" t="str">
        <f>HYPERLINK("http://www.ncbi.nlm.nih.gov/Taxonomy/Browser/wwwtax.cgi?mode=Info&amp;id=156561&amp;lvl=3&amp;lin=f&amp;keep=1&amp;srchmode=1&amp;unlock","156561")</f>
        <v>156561</v>
      </c>
      <c r="F360" t="s">
        <v>167</v>
      </c>
      <c r="G360" t="str">
        <f>HYPERLINK("http://www.ncbi.nlm.nih.gov/Taxonomy/Browser/wwwtax.cgi?mode=Info&amp;id=156561&amp;lvl=3&amp;lin=f&amp;keep=1&amp;srchmode=1&amp;unlock","Anthoscopus minutus")</f>
        <v>Anthoscopus minutus</v>
      </c>
      <c r="H360" t="s">
        <v>325</v>
      </c>
      <c r="I360" t="str">
        <f>HYPERLINK("http://www.ncbi.nlm.nih.gov/protein/NXQ51765.1","FABPL protein")</f>
        <v>FABPL protein</v>
      </c>
      <c r="J360" t="s">
        <v>1386</v>
      </c>
      <c r="K360" t="s">
        <v>25</v>
      </c>
      <c r="L360">
        <v>50</v>
      </c>
      <c r="M360" t="s">
        <v>1379</v>
      </c>
      <c r="N360" t="s">
        <v>25</v>
      </c>
    </row>
    <row r="361" spans="1:14" x14ac:dyDescent="0.25">
      <c r="A361">
        <v>6</v>
      </c>
      <c r="B361" t="s">
        <v>167</v>
      </c>
      <c r="C361" t="str">
        <f>HYPERLINK("http://www.ncbi.nlm.nih.gov/protein/NWT00227.1","NWT00227.1")</f>
        <v>NWT00227.1</v>
      </c>
      <c r="D361">
        <v>14226</v>
      </c>
      <c r="E361" t="str">
        <f>HYPERLINK("http://www.ncbi.nlm.nih.gov/Taxonomy/Browser/wwwtax.cgi?mode=Info&amp;id=254557&amp;lvl=3&amp;lin=f&amp;keep=1&amp;srchmode=1&amp;unlock","254557")</f>
        <v>254557</v>
      </c>
      <c r="F361" t="s">
        <v>167</v>
      </c>
      <c r="G361" t="str">
        <f>HYPERLINK("http://www.ncbi.nlm.nih.gov/Taxonomy/Browser/wwwtax.cgi?mode=Info&amp;id=254557&amp;lvl=3&amp;lin=f&amp;keep=1&amp;srchmode=1&amp;unlock","Mionectes macconnelli")</f>
        <v>Mionectes macconnelli</v>
      </c>
      <c r="H361" t="s">
        <v>323</v>
      </c>
      <c r="I361" t="str">
        <f>HYPERLINK("http://www.ncbi.nlm.nih.gov/protein/NWT00227.1","FABPL protein")</f>
        <v>FABPL protein</v>
      </c>
      <c r="J361" t="s">
        <v>1386</v>
      </c>
      <c r="K361" t="s">
        <v>25</v>
      </c>
      <c r="L361">
        <v>50</v>
      </c>
      <c r="M361" t="s">
        <v>1379</v>
      </c>
      <c r="N361" t="s">
        <v>25</v>
      </c>
    </row>
    <row r="362" spans="1:14" x14ac:dyDescent="0.25">
      <c r="A362">
        <v>6</v>
      </c>
      <c r="B362" t="s">
        <v>167</v>
      </c>
      <c r="C362" t="str">
        <f>HYPERLINK("http://www.ncbi.nlm.nih.gov/protein/NXS67468.1","NXS67468.1")</f>
        <v>NXS67468.1</v>
      </c>
      <c r="D362">
        <v>12873</v>
      </c>
      <c r="E362" t="str">
        <f>HYPERLINK("http://www.ncbi.nlm.nih.gov/Taxonomy/Browser/wwwtax.cgi?mode=Info&amp;id=56262&amp;lvl=3&amp;lin=f&amp;keep=1&amp;srchmode=1&amp;unlock","56262")</f>
        <v>56262</v>
      </c>
      <c r="F362" t="s">
        <v>167</v>
      </c>
      <c r="G362" t="str">
        <f>HYPERLINK("http://www.ncbi.nlm.nih.gov/Taxonomy/Browser/wwwtax.cgi?mode=Info&amp;id=56262&amp;lvl=3&amp;lin=f&amp;keep=1&amp;srchmode=1&amp;unlock","Pandion haliaetus")</f>
        <v>Pandion haliaetus</v>
      </c>
      <c r="H362" t="s">
        <v>324</v>
      </c>
      <c r="I362" t="str">
        <f>HYPERLINK("http://www.ncbi.nlm.nih.gov/protein/NXS67468.1","FABPL protein")</f>
        <v>FABPL protein</v>
      </c>
      <c r="J362" t="s">
        <v>1386</v>
      </c>
      <c r="K362" t="s">
        <v>25</v>
      </c>
      <c r="L362">
        <v>50</v>
      </c>
      <c r="M362" t="s">
        <v>1383</v>
      </c>
      <c r="N362" t="s">
        <v>25</v>
      </c>
    </row>
    <row r="363" spans="1:14" x14ac:dyDescent="0.25">
      <c r="A363">
        <v>6</v>
      </c>
      <c r="B363" t="s">
        <v>167</v>
      </c>
      <c r="C363" t="str">
        <f>HYPERLINK("http://www.ncbi.nlm.nih.gov/protein/NXM46825.1","NXM46825.1")</f>
        <v>NXM46825.1</v>
      </c>
      <c r="D363">
        <v>14416</v>
      </c>
      <c r="E363" t="str">
        <f>HYPERLINK("http://www.ncbi.nlm.nih.gov/Taxonomy/Browser/wwwtax.cgi?mode=Info&amp;id=9132&amp;lvl=3&amp;lin=f&amp;keep=1&amp;srchmode=1&amp;unlock","9132")</f>
        <v>9132</v>
      </c>
      <c r="F363" t="s">
        <v>167</v>
      </c>
      <c r="G363" t="str">
        <f>HYPERLINK("http://www.ncbi.nlm.nih.gov/Taxonomy/Browser/wwwtax.cgi?mode=Info&amp;id=9132&amp;lvl=3&amp;lin=f&amp;keep=1&amp;srchmode=1&amp;unlock","Gymnorhina tibicen")</f>
        <v>Gymnorhina tibicen</v>
      </c>
      <c r="H363" t="s">
        <v>326</v>
      </c>
      <c r="I363" t="str">
        <f>HYPERLINK("http://www.ncbi.nlm.nih.gov/protein/NXM46825.1","FABPL protein")</f>
        <v>FABPL protein</v>
      </c>
      <c r="J363" t="s">
        <v>1386</v>
      </c>
      <c r="K363" t="s">
        <v>25</v>
      </c>
      <c r="L363">
        <v>50</v>
      </c>
      <c r="M363" t="s">
        <v>1379</v>
      </c>
      <c r="N363" t="s">
        <v>25</v>
      </c>
    </row>
    <row r="364" spans="1:14" x14ac:dyDescent="0.25">
      <c r="A364">
        <v>6</v>
      </c>
      <c r="B364" t="s">
        <v>167</v>
      </c>
      <c r="C364" t="str">
        <f>HYPERLINK("http://www.ncbi.nlm.nih.gov/protein/NWT81898.1","NWT81898.1")</f>
        <v>NWT81898.1</v>
      </c>
      <c r="D364">
        <v>13729</v>
      </c>
      <c r="E364" t="str">
        <f>HYPERLINK("http://www.ncbi.nlm.nih.gov/Taxonomy/Browser/wwwtax.cgi?mode=Info&amp;id=28713&amp;lvl=3&amp;lin=f&amp;keep=1&amp;srchmode=1&amp;unlock","28713")</f>
        <v>28713</v>
      </c>
      <c r="F364" t="s">
        <v>167</v>
      </c>
      <c r="G364" t="str">
        <f>HYPERLINK("http://www.ncbi.nlm.nih.gov/Taxonomy/Browser/wwwtax.cgi?mode=Info&amp;id=28713&amp;lvl=3&amp;lin=f&amp;keep=1&amp;srchmode=1&amp;unlock","Lanius ludovicianus")</f>
        <v>Lanius ludovicianus</v>
      </c>
      <c r="H364" t="s">
        <v>327</v>
      </c>
      <c r="I364" t="str">
        <f>HYPERLINK("http://www.ncbi.nlm.nih.gov/protein/NWT81898.1","FABPL protein")</f>
        <v>FABPL protein</v>
      </c>
      <c r="J364" t="s">
        <v>1386</v>
      </c>
      <c r="K364" t="s">
        <v>25</v>
      </c>
      <c r="L364">
        <v>50</v>
      </c>
      <c r="M364" t="s">
        <v>1383</v>
      </c>
      <c r="N364" t="s">
        <v>25</v>
      </c>
    </row>
    <row r="365" spans="1:14" x14ac:dyDescent="0.25">
      <c r="A365">
        <v>6</v>
      </c>
      <c r="B365" t="s">
        <v>167</v>
      </c>
      <c r="C365" t="str">
        <f>HYPERLINK("http://www.ncbi.nlm.nih.gov/protein/NXJ28601.1","NXJ28601.1")</f>
        <v>NXJ28601.1</v>
      </c>
      <c r="D365">
        <v>14261</v>
      </c>
      <c r="E365" t="str">
        <f>HYPERLINK("http://www.ncbi.nlm.nih.gov/Taxonomy/Browser/wwwtax.cgi?mode=Info&amp;id=450177&amp;lvl=3&amp;lin=f&amp;keep=1&amp;srchmode=1&amp;unlock","450177")</f>
        <v>450177</v>
      </c>
      <c r="F365" t="s">
        <v>167</v>
      </c>
      <c r="G365" t="str">
        <f>HYPERLINK("http://www.ncbi.nlm.nih.gov/Taxonomy/Browser/wwwtax.cgi?mode=Info&amp;id=450177&amp;lvl=3&amp;lin=f&amp;keep=1&amp;srchmode=1&amp;unlock","Dicrurus megarhynchus")</f>
        <v>Dicrurus megarhynchus</v>
      </c>
      <c r="H365" t="s">
        <v>206</v>
      </c>
      <c r="I365" t="str">
        <f>HYPERLINK("http://www.ncbi.nlm.nih.gov/protein/NXJ28601.1","FABPL protein")</f>
        <v>FABPL protein</v>
      </c>
      <c r="J365" t="s">
        <v>1386</v>
      </c>
      <c r="K365" t="s">
        <v>25</v>
      </c>
      <c r="L365">
        <v>50</v>
      </c>
      <c r="M365" t="s">
        <v>1379</v>
      </c>
      <c r="N365" t="s">
        <v>25</v>
      </c>
    </row>
    <row r="366" spans="1:14" x14ac:dyDescent="0.25">
      <c r="A366">
        <v>6</v>
      </c>
      <c r="B366" t="s">
        <v>167</v>
      </c>
      <c r="C366" t="str">
        <f>HYPERLINK("http://www.ncbi.nlm.nih.gov/protein/NXE37928.1","NXE37928.1")</f>
        <v>NXE37928.1</v>
      </c>
      <c r="D366">
        <v>13533</v>
      </c>
      <c r="E366" t="str">
        <f>HYPERLINK("http://www.ncbi.nlm.nih.gov/Taxonomy/Browser/wwwtax.cgi?mode=Info&amp;id=449384&amp;lvl=3&amp;lin=f&amp;keep=1&amp;srchmode=1&amp;unlock","449384")</f>
        <v>449384</v>
      </c>
      <c r="F366" t="s">
        <v>167</v>
      </c>
      <c r="G366" t="str">
        <f>HYPERLINK("http://www.ncbi.nlm.nih.gov/Taxonomy/Browser/wwwtax.cgi?mode=Info&amp;id=449384&amp;lvl=3&amp;lin=f&amp;keep=1&amp;srchmode=1&amp;unlock","Ptilorrhoa leucosticta")</f>
        <v>Ptilorrhoa leucosticta</v>
      </c>
      <c r="H366" t="s">
        <v>206</v>
      </c>
      <c r="I366" t="str">
        <f>HYPERLINK("http://www.ncbi.nlm.nih.gov/protein/NXE37928.1","FABPL protein")</f>
        <v>FABPL protein</v>
      </c>
      <c r="J366" t="s">
        <v>1386</v>
      </c>
      <c r="K366" t="s">
        <v>25</v>
      </c>
      <c r="L366">
        <v>50</v>
      </c>
      <c r="M366" t="s">
        <v>1379</v>
      </c>
      <c r="N366" t="s">
        <v>25</v>
      </c>
    </row>
    <row r="367" spans="1:14" x14ac:dyDescent="0.25">
      <c r="A367">
        <v>6</v>
      </c>
      <c r="B367" t="s">
        <v>167</v>
      </c>
      <c r="C367" t="str">
        <f>HYPERLINK("http://www.ncbi.nlm.nih.gov/protein/NWQ68333.1","NWQ68333.1")</f>
        <v>NWQ68333.1</v>
      </c>
      <c r="D367">
        <v>14028</v>
      </c>
      <c r="E367" t="str">
        <f>HYPERLINK("http://www.ncbi.nlm.nih.gov/Taxonomy/Browser/wwwtax.cgi?mode=Info&amp;id=456388&amp;lvl=3&amp;lin=f&amp;keep=1&amp;srchmode=1&amp;unlock","456388")</f>
        <v>456388</v>
      </c>
      <c r="F367" t="s">
        <v>167</v>
      </c>
      <c r="G367" t="str">
        <f>HYPERLINK("http://www.ncbi.nlm.nih.gov/Taxonomy/Browser/wwwtax.cgi?mode=Info&amp;id=456388&amp;lvl=3&amp;lin=f&amp;keep=1&amp;srchmode=1&amp;unlock","Neopipo cinnamomea")</f>
        <v>Neopipo cinnamomea</v>
      </c>
      <c r="H367" t="s">
        <v>206</v>
      </c>
      <c r="I367" t="str">
        <f>HYPERLINK("http://www.ncbi.nlm.nih.gov/protein/NWQ68333.1","FABPL protein")</f>
        <v>FABPL protein</v>
      </c>
      <c r="J367" t="s">
        <v>1386</v>
      </c>
      <c r="K367" t="s">
        <v>25</v>
      </c>
      <c r="L367">
        <v>50</v>
      </c>
      <c r="M367" t="s">
        <v>1379</v>
      </c>
      <c r="N367" t="s">
        <v>25</v>
      </c>
    </row>
    <row r="368" spans="1:14" x14ac:dyDescent="0.25">
      <c r="A368">
        <v>6</v>
      </c>
      <c r="B368" t="s">
        <v>167</v>
      </c>
      <c r="C368" t="str">
        <f>HYPERLINK("http://www.ncbi.nlm.nih.gov/protein/NXU18073.1","NXU18073.1")</f>
        <v>NXU18073.1</v>
      </c>
      <c r="D368">
        <v>13722</v>
      </c>
      <c r="E368" t="str">
        <f>HYPERLINK("http://www.ncbi.nlm.nih.gov/Taxonomy/Browser/wwwtax.cgi?mode=Info&amp;id=254575&amp;lvl=3&amp;lin=f&amp;keep=1&amp;srchmode=1&amp;unlock","254575")</f>
        <v>254575</v>
      </c>
      <c r="F368" t="s">
        <v>167</v>
      </c>
      <c r="G368" t="str">
        <f>HYPERLINK("http://www.ncbi.nlm.nih.gov/Taxonomy/Browser/wwwtax.cgi?mode=Info&amp;id=254575&amp;lvl=3&amp;lin=f&amp;keep=1&amp;srchmode=1&amp;unlock","Pardalotus punctatus")</f>
        <v>Pardalotus punctatus</v>
      </c>
      <c r="H368" t="s">
        <v>331</v>
      </c>
      <c r="I368" t="str">
        <f>HYPERLINK("http://www.ncbi.nlm.nih.gov/protein/NXU18073.1","FABPL protein")</f>
        <v>FABPL protein</v>
      </c>
      <c r="J368" t="s">
        <v>1386</v>
      </c>
      <c r="K368" t="s">
        <v>25</v>
      </c>
      <c r="L368">
        <v>50</v>
      </c>
      <c r="M368" t="s">
        <v>1379</v>
      </c>
      <c r="N368" t="s">
        <v>25</v>
      </c>
    </row>
    <row r="369" spans="1:14" x14ac:dyDescent="0.25">
      <c r="A369">
        <v>6</v>
      </c>
      <c r="B369" t="s">
        <v>167</v>
      </c>
      <c r="C369" t="str">
        <f>HYPERLINK("http://www.ncbi.nlm.nih.gov/protein/XP_040411987.1","XP_040411987.1")</f>
        <v>XP_040411987.1</v>
      </c>
      <c r="D369">
        <v>47842</v>
      </c>
      <c r="E369" t="str">
        <f>HYPERLINK("http://www.ncbi.nlm.nih.gov/Taxonomy/Browser/wwwtax.cgi?mode=Info&amp;id=8869&amp;lvl=3&amp;lin=f&amp;keep=1&amp;srchmode=1&amp;unlock","8869")</f>
        <v>8869</v>
      </c>
      <c r="F369" t="s">
        <v>167</v>
      </c>
      <c r="G369" t="str">
        <f>HYPERLINK("http://www.ncbi.nlm.nih.gov/Taxonomy/Browser/wwwtax.cgi?mode=Info&amp;id=8869&amp;lvl=3&amp;lin=f&amp;keep=1&amp;srchmode=1&amp;unlock","Cygnus olor")</f>
        <v>Cygnus olor</v>
      </c>
      <c r="H369" t="s">
        <v>328</v>
      </c>
      <c r="I369" t="str">
        <f>HYPERLINK("http://www.ncbi.nlm.nih.gov/protein/XP_040411987.1","fatty acid-binding protein, liver")</f>
        <v>fatty acid-binding protein, liver</v>
      </c>
      <c r="J369" t="s">
        <v>1386</v>
      </c>
      <c r="K369" t="s">
        <v>25</v>
      </c>
      <c r="L369">
        <v>50</v>
      </c>
      <c r="M369" t="s">
        <v>1379</v>
      </c>
      <c r="N369" t="s">
        <v>25</v>
      </c>
    </row>
    <row r="370" spans="1:14" x14ac:dyDescent="0.25">
      <c r="A370">
        <v>6</v>
      </c>
      <c r="B370" t="s">
        <v>167</v>
      </c>
      <c r="C370" t="str">
        <f>HYPERLINK("http://www.ncbi.nlm.nih.gov/protein/NXE98410.1","NXE98410.1")</f>
        <v>NXE98410.1</v>
      </c>
      <c r="D370">
        <v>14528</v>
      </c>
      <c r="E370" t="str">
        <f>HYPERLINK("http://www.ncbi.nlm.nih.gov/Taxonomy/Browser/wwwtax.cgi?mode=Info&amp;id=47692&amp;lvl=3&amp;lin=f&amp;keep=1&amp;srchmode=1&amp;unlock","47692")</f>
        <v>47692</v>
      </c>
      <c r="F370" t="s">
        <v>167</v>
      </c>
      <c r="G370" t="str">
        <f>HYPERLINK("http://www.ncbi.nlm.nih.gov/Taxonomy/Browser/wwwtax.cgi?mode=Info&amp;id=47692&amp;lvl=3&amp;lin=f&amp;keep=1&amp;srchmode=1&amp;unlock","Menura novaehollandiae")</f>
        <v>Menura novaehollandiae</v>
      </c>
      <c r="H370" t="s">
        <v>329</v>
      </c>
      <c r="I370" t="str">
        <f>HYPERLINK("http://www.ncbi.nlm.nih.gov/protein/NXE98410.1","FABPL protein")</f>
        <v>FABPL protein</v>
      </c>
      <c r="J370" t="s">
        <v>1386</v>
      </c>
      <c r="K370" t="s">
        <v>25</v>
      </c>
      <c r="L370">
        <v>50</v>
      </c>
      <c r="M370" t="s">
        <v>1379</v>
      </c>
      <c r="N370" t="s">
        <v>25</v>
      </c>
    </row>
    <row r="371" spans="1:14" x14ac:dyDescent="0.25">
      <c r="A371">
        <v>6</v>
      </c>
      <c r="B371" t="s">
        <v>167</v>
      </c>
      <c r="C371" t="str">
        <f>HYPERLINK("http://www.ncbi.nlm.nih.gov/protein/NWU19747.1","NWU19747.1")</f>
        <v>NWU19747.1</v>
      </c>
      <c r="D371">
        <v>14053</v>
      </c>
      <c r="E371" t="str">
        <f>HYPERLINK("http://www.ncbi.nlm.nih.gov/Taxonomy/Browser/wwwtax.cgi?mode=Info&amp;id=1160851&amp;lvl=3&amp;lin=f&amp;keep=1&amp;srchmode=1&amp;unlock","1160851")</f>
        <v>1160851</v>
      </c>
      <c r="F371" t="s">
        <v>167</v>
      </c>
      <c r="G371" t="str">
        <f>HYPERLINK("http://www.ncbi.nlm.nih.gov/Taxonomy/Browser/wwwtax.cgi?mode=Info&amp;id=1160851&amp;lvl=3&amp;lin=f&amp;keep=1&amp;srchmode=1&amp;unlock","Platysteira castanea")</f>
        <v>Platysteira castanea</v>
      </c>
      <c r="H371" t="s">
        <v>206</v>
      </c>
      <c r="I371" t="str">
        <f>HYPERLINK("http://www.ncbi.nlm.nih.gov/protein/NWU19747.1","FABPL protein")</f>
        <v>FABPL protein</v>
      </c>
      <c r="J371" t="s">
        <v>1386</v>
      </c>
      <c r="K371" t="s">
        <v>25</v>
      </c>
      <c r="L371">
        <v>50</v>
      </c>
      <c r="M371" t="s">
        <v>1383</v>
      </c>
      <c r="N371" t="s">
        <v>25</v>
      </c>
    </row>
    <row r="372" spans="1:14" x14ac:dyDescent="0.25">
      <c r="A372">
        <v>6</v>
      </c>
      <c r="B372" t="s">
        <v>167</v>
      </c>
      <c r="C372" t="str">
        <f>HYPERLINK("http://www.ncbi.nlm.nih.gov/protein/XP_025968447.1","XP_025968447.1")</f>
        <v>XP_025968447.1</v>
      </c>
      <c r="D372">
        <v>45135</v>
      </c>
      <c r="E372" t="str">
        <f>HYPERLINK("http://www.ncbi.nlm.nih.gov/Taxonomy/Browser/wwwtax.cgi?mode=Info&amp;id=8790&amp;lvl=3&amp;lin=f&amp;keep=1&amp;srchmode=1&amp;unlock","8790")</f>
        <v>8790</v>
      </c>
      <c r="F372" t="s">
        <v>167</v>
      </c>
      <c r="G372" t="str">
        <f>HYPERLINK("http://www.ncbi.nlm.nih.gov/Taxonomy/Browser/wwwtax.cgi?mode=Info&amp;id=8790&amp;lvl=3&amp;lin=f&amp;keep=1&amp;srchmode=1&amp;unlock","Dromaius novaehollandiae")</f>
        <v>Dromaius novaehollandiae</v>
      </c>
      <c r="H372" t="s">
        <v>336</v>
      </c>
      <c r="I372" t="str">
        <f>HYPERLINK("http://www.ncbi.nlm.nih.gov/protein/XP_025968447.1","fatty acid-binding protein, liver")</f>
        <v>fatty acid-binding protein, liver</v>
      </c>
      <c r="J372" t="s">
        <v>1386</v>
      </c>
      <c r="K372" t="s">
        <v>25</v>
      </c>
      <c r="L372">
        <v>50</v>
      </c>
      <c r="M372" t="s">
        <v>1379</v>
      </c>
      <c r="N372" t="s">
        <v>25</v>
      </c>
    </row>
    <row r="373" spans="1:14" x14ac:dyDescent="0.25">
      <c r="A373">
        <v>6</v>
      </c>
      <c r="B373" t="s">
        <v>167</v>
      </c>
      <c r="C373" t="str">
        <f>HYPERLINK("http://www.ncbi.nlm.nih.gov/protein/XP_009913497.1","XP_009913497.1")</f>
        <v>XP_009913497.1</v>
      </c>
      <c r="D373">
        <v>45028</v>
      </c>
      <c r="E373" t="str">
        <f>HYPERLINK("http://www.ncbi.nlm.nih.gov/Taxonomy/Browser/wwwtax.cgi?mode=Info&amp;id=8969&amp;lvl=3&amp;lin=f&amp;keep=1&amp;srchmode=1&amp;unlock","8969")</f>
        <v>8969</v>
      </c>
      <c r="F373" t="s">
        <v>167</v>
      </c>
      <c r="G373" t="str">
        <f>HYPERLINK("http://www.ncbi.nlm.nih.gov/Taxonomy/Browser/wwwtax.cgi?mode=Info&amp;id=8969&amp;lvl=3&amp;lin=f&amp;keep=1&amp;srchmode=1&amp;unlock","Haliaeetus albicilla")</f>
        <v>Haliaeetus albicilla</v>
      </c>
      <c r="H373" t="s">
        <v>337</v>
      </c>
      <c r="I373" t="str">
        <f>HYPERLINK("http://www.ncbi.nlm.nih.gov/protein/XP_009913497.1","PREDICTED: fatty acid-binding protein, liver")</f>
        <v>PREDICTED: fatty acid-binding protein, liver</v>
      </c>
      <c r="J373" t="s">
        <v>1386</v>
      </c>
      <c r="K373" t="s">
        <v>25</v>
      </c>
      <c r="L373">
        <v>50</v>
      </c>
      <c r="M373" t="s">
        <v>1383</v>
      </c>
      <c r="N373" t="s">
        <v>25</v>
      </c>
    </row>
    <row r="374" spans="1:14" x14ac:dyDescent="0.25">
      <c r="A374">
        <v>6</v>
      </c>
      <c r="B374" t="s">
        <v>167</v>
      </c>
      <c r="C374" t="str">
        <f>HYPERLINK("http://www.ncbi.nlm.nih.gov/protein/NXC60423.1","NXC60423.1")</f>
        <v>NXC60423.1</v>
      </c>
      <c r="D374">
        <v>13927</v>
      </c>
      <c r="E374" t="str">
        <f>HYPERLINK("http://www.ncbi.nlm.nih.gov/Taxonomy/Browser/wwwtax.cgi?mode=Info&amp;id=461220&amp;lvl=3&amp;lin=f&amp;keep=1&amp;srchmode=1&amp;unlock","461220")</f>
        <v>461220</v>
      </c>
      <c r="F374" t="s">
        <v>167</v>
      </c>
      <c r="G374" t="str">
        <f>HYPERLINK("http://www.ncbi.nlm.nih.gov/Taxonomy/Browser/wwwtax.cgi?mode=Info&amp;id=461220&amp;lvl=3&amp;lin=f&amp;keep=1&amp;srchmode=1&amp;unlock","Aleadryas rufinucha")</f>
        <v>Aleadryas rufinucha</v>
      </c>
      <c r="H374" t="s">
        <v>332</v>
      </c>
      <c r="I374" t="str">
        <f>HYPERLINK("http://www.ncbi.nlm.nih.gov/protein/NXC60423.1","FABPL protein")</f>
        <v>FABPL protein</v>
      </c>
      <c r="J374" t="s">
        <v>1386</v>
      </c>
      <c r="K374" t="s">
        <v>25</v>
      </c>
      <c r="L374">
        <v>50</v>
      </c>
      <c r="M374" t="s">
        <v>1379</v>
      </c>
      <c r="N374" t="s">
        <v>25</v>
      </c>
    </row>
    <row r="375" spans="1:14" x14ac:dyDescent="0.25">
      <c r="A375">
        <v>6</v>
      </c>
      <c r="B375" t="s">
        <v>167</v>
      </c>
      <c r="C375" t="str">
        <f>HYPERLINK("http://www.ncbi.nlm.nih.gov/protein/XP_010579042.1","XP_010579042.1")</f>
        <v>XP_010579042.1</v>
      </c>
      <c r="D375">
        <v>25384</v>
      </c>
      <c r="E375" t="str">
        <f>HYPERLINK("http://www.ncbi.nlm.nih.gov/Taxonomy/Browser/wwwtax.cgi?mode=Info&amp;id=52644&amp;lvl=3&amp;lin=f&amp;keep=1&amp;srchmode=1&amp;unlock","52644")</f>
        <v>52644</v>
      </c>
      <c r="F375" t="s">
        <v>167</v>
      </c>
      <c r="G375" t="str">
        <f>HYPERLINK("http://www.ncbi.nlm.nih.gov/Taxonomy/Browser/wwwtax.cgi?mode=Info&amp;id=52644&amp;lvl=3&amp;lin=f&amp;keep=1&amp;srchmode=1&amp;unlock","Haliaeetus leucocephalus")</f>
        <v>Haliaeetus leucocephalus</v>
      </c>
      <c r="H375" t="s">
        <v>334</v>
      </c>
      <c r="I375" t="str">
        <f>HYPERLINK("http://www.ncbi.nlm.nih.gov/protein/XP_010579042.1","PREDICTED: fatty acid-binding protein, liver")</f>
        <v>PREDICTED: fatty acid-binding protein, liver</v>
      </c>
      <c r="J375" t="s">
        <v>1386</v>
      </c>
      <c r="K375" t="s">
        <v>25</v>
      </c>
      <c r="L375">
        <v>50</v>
      </c>
      <c r="M375" t="s">
        <v>1383</v>
      </c>
      <c r="N375" t="s">
        <v>25</v>
      </c>
    </row>
    <row r="376" spans="1:14" x14ac:dyDescent="0.25">
      <c r="A376">
        <v>6</v>
      </c>
      <c r="B376" t="s">
        <v>167</v>
      </c>
      <c r="C376" t="str">
        <f>HYPERLINK("http://www.ncbi.nlm.nih.gov/protein/NXY53734.1","NXY53734.1")</f>
        <v>NXY53734.1</v>
      </c>
      <c r="D376">
        <v>14612</v>
      </c>
      <c r="E376" t="str">
        <f>HYPERLINK("http://www.ncbi.nlm.nih.gov/Taxonomy/Browser/wwwtax.cgi?mode=Info&amp;id=1347786&amp;lvl=3&amp;lin=f&amp;keep=1&amp;srchmode=1&amp;unlock","1347786")</f>
        <v>1347786</v>
      </c>
      <c r="F376" t="s">
        <v>167</v>
      </c>
      <c r="G376" t="str">
        <f>HYPERLINK("http://www.ncbi.nlm.nih.gov/Taxonomy/Browser/wwwtax.cgi?mode=Info&amp;id=1347786&amp;lvl=3&amp;lin=f&amp;keep=1&amp;srchmode=1&amp;unlock","Callaeas wilsoni")</f>
        <v>Callaeas wilsoni</v>
      </c>
      <c r="H376" t="s">
        <v>335</v>
      </c>
      <c r="I376" t="str">
        <f>HYPERLINK("http://www.ncbi.nlm.nih.gov/protein/NXY53734.1","FABPL protein")</f>
        <v>FABPL protein</v>
      </c>
      <c r="J376" t="s">
        <v>1386</v>
      </c>
      <c r="K376" t="s">
        <v>25</v>
      </c>
      <c r="L376">
        <v>50</v>
      </c>
      <c r="M376" t="s">
        <v>1383</v>
      </c>
      <c r="N376" t="s">
        <v>25</v>
      </c>
    </row>
    <row r="377" spans="1:14" x14ac:dyDescent="0.25">
      <c r="A377">
        <v>6</v>
      </c>
      <c r="B377" t="s">
        <v>167</v>
      </c>
      <c r="C377" t="str">
        <f>HYPERLINK("http://www.ncbi.nlm.nih.gov/protein/XP_014731737.1","XP_014731737.1")</f>
        <v>XP_014731737.1</v>
      </c>
      <c r="D377">
        <v>26793</v>
      </c>
      <c r="E377" t="str">
        <f>HYPERLINK("http://www.ncbi.nlm.nih.gov/Taxonomy/Browser/wwwtax.cgi?mode=Info&amp;id=9172&amp;lvl=3&amp;lin=f&amp;keep=1&amp;srchmode=1&amp;unlock","9172")</f>
        <v>9172</v>
      </c>
      <c r="F377" t="s">
        <v>167</v>
      </c>
      <c r="G377" t="str">
        <f>HYPERLINK("http://www.ncbi.nlm.nih.gov/Taxonomy/Browser/wwwtax.cgi?mode=Info&amp;id=9172&amp;lvl=3&amp;lin=f&amp;keep=1&amp;srchmode=1&amp;unlock","Sturnus vulgaris")</f>
        <v>Sturnus vulgaris</v>
      </c>
      <c r="H377" t="s">
        <v>341</v>
      </c>
      <c r="I377" t="str">
        <f>HYPERLINK("http://www.ncbi.nlm.nih.gov/protein/XP_014731737.1","PREDICTED: fatty acid-binding protein, liver")</f>
        <v>PREDICTED: fatty acid-binding protein, liver</v>
      </c>
      <c r="J377" t="s">
        <v>1386</v>
      </c>
      <c r="K377" t="s">
        <v>25</v>
      </c>
      <c r="L377">
        <v>50</v>
      </c>
      <c r="M377" t="s">
        <v>1383</v>
      </c>
      <c r="N377" t="s">
        <v>25</v>
      </c>
    </row>
    <row r="378" spans="1:14" x14ac:dyDescent="0.25">
      <c r="A378">
        <v>6</v>
      </c>
      <c r="B378" t="s">
        <v>167</v>
      </c>
      <c r="C378" t="str">
        <f>HYPERLINK("http://www.ncbi.nlm.nih.gov/protein/NWX22516.1","NWX22516.1")</f>
        <v>NWX22516.1</v>
      </c>
      <c r="D378">
        <v>13717</v>
      </c>
      <c r="E378" t="str">
        <f>HYPERLINK("http://www.ncbi.nlm.nih.gov/Taxonomy/Browser/wwwtax.cgi?mode=Info&amp;id=48278&amp;lvl=3&amp;lin=f&amp;keep=1&amp;srchmode=1&amp;unlock","48278")</f>
        <v>48278</v>
      </c>
      <c r="F378" t="s">
        <v>167</v>
      </c>
      <c r="G378" t="str">
        <f>HYPERLINK("http://www.ncbi.nlm.nih.gov/Taxonomy/Browser/wwwtax.cgi?mode=Info&amp;id=48278&amp;lvl=3&amp;lin=f&amp;keep=1&amp;srchmode=1&amp;unlock","Aegotheles bennettii")</f>
        <v>Aegotheles bennettii</v>
      </c>
      <c r="H378" t="s">
        <v>233</v>
      </c>
      <c r="I378" t="str">
        <f>HYPERLINK("http://www.ncbi.nlm.nih.gov/protein/NWX22516.1","FABPL protein")</f>
        <v>FABPL protein</v>
      </c>
      <c r="J378" t="s">
        <v>1386</v>
      </c>
      <c r="K378" t="s">
        <v>25</v>
      </c>
      <c r="L378">
        <v>50</v>
      </c>
      <c r="M378" t="s">
        <v>1383</v>
      </c>
      <c r="N378" t="s">
        <v>25</v>
      </c>
    </row>
    <row r="379" spans="1:14" x14ac:dyDescent="0.25">
      <c r="A379">
        <v>6</v>
      </c>
      <c r="B379" t="s">
        <v>167</v>
      </c>
      <c r="C379" t="str">
        <f>HYPERLINK("http://www.ncbi.nlm.nih.gov/protein/NXA65400.1","NXA65400.1")</f>
        <v>NXA65400.1</v>
      </c>
      <c r="D379">
        <v>13619</v>
      </c>
      <c r="E379" t="str">
        <f>HYPERLINK("http://www.ncbi.nlm.nih.gov/Taxonomy/Browser/wwwtax.cgi?mode=Info&amp;id=874463&amp;lvl=3&amp;lin=f&amp;keep=1&amp;srchmode=1&amp;unlock","874463")</f>
        <v>874463</v>
      </c>
      <c r="F379" t="s">
        <v>167</v>
      </c>
      <c r="G379" t="str">
        <f>HYPERLINK("http://www.ncbi.nlm.nih.gov/Taxonomy/Browser/wwwtax.cgi?mode=Info&amp;id=874463&amp;lvl=3&amp;lin=f&amp;keep=1&amp;srchmode=1&amp;unlock","Mohoua ochrocephala")</f>
        <v>Mohoua ochrocephala</v>
      </c>
      <c r="H379" t="s">
        <v>206</v>
      </c>
      <c r="I379" t="str">
        <f>HYPERLINK("http://www.ncbi.nlm.nih.gov/protein/NXA65400.1","FABPL protein")</f>
        <v>FABPL protein</v>
      </c>
      <c r="J379" t="s">
        <v>1386</v>
      </c>
      <c r="K379" t="s">
        <v>25</v>
      </c>
      <c r="L379">
        <v>50</v>
      </c>
      <c r="M379" t="s">
        <v>1379</v>
      </c>
      <c r="N379" t="s">
        <v>25</v>
      </c>
    </row>
    <row r="380" spans="1:14" x14ac:dyDescent="0.25">
      <c r="A380">
        <v>6</v>
      </c>
      <c r="B380" t="s">
        <v>167</v>
      </c>
      <c r="C380" t="str">
        <f>HYPERLINK("http://www.ncbi.nlm.nih.gov/protein/NXT02429.1","NXT02429.1")</f>
        <v>NXT02429.1</v>
      </c>
      <c r="D380">
        <v>13322</v>
      </c>
      <c r="E380" t="str">
        <f>HYPERLINK("http://www.ncbi.nlm.nih.gov/Taxonomy/Browser/wwwtax.cgi?mode=Info&amp;id=54508&amp;lvl=3&amp;lin=f&amp;keep=1&amp;srchmode=1&amp;unlock","54508")</f>
        <v>54508</v>
      </c>
      <c r="F380" t="s">
        <v>167</v>
      </c>
      <c r="G380" t="str">
        <f>HYPERLINK("http://www.ncbi.nlm.nih.gov/Taxonomy/Browser/wwwtax.cgi?mode=Info&amp;id=54508&amp;lvl=3&amp;lin=f&amp;keep=1&amp;srchmode=1&amp;unlock","Jacana jacana")</f>
        <v>Jacana jacana</v>
      </c>
      <c r="H380" t="s">
        <v>339</v>
      </c>
      <c r="I380" t="str">
        <f>HYPERLINK("http://www.ncbi.nlm.nih.gov/protein/NXT02429.1","FABPL protein")</f>
        <v>FABPL protein</v>
      </c>
      <c r="J380" t="s">
        <v>1386</v>
      </c>
      <c r="K380" t="s">
        <v>25</v>
      </c>
      <c r="L380">
        <v>50</v>
      </c>
      <c r="M380" t="s">
        <v>1379</v>
      </c>
      <c r="N380" t="s">
        <v>25</v>
      </c>
    </row>
    <row r="381" spans="1:14" x14ac:dyDescent="0.25">
      <c r="A381">
        <v>6</v>
      </c>
      <c r="B381" t="s">
        <v>167</v>
      </c>
      <c r="C381" t="str">
        <f>HYPERLINK("http://www.ncbi.nlm.nih.gov/protein/XP_009871113.1","XP_009871113.1")</f>
        <v>XP_009871113.1</v>
      </c>
      <c r="D381">
        <v>26533</v>
      </c>
      <c r="E381" t="str">
        <f>HYPERLINK("http://www.ncbi.nlm.nih.gov/Taxonomy/Browser/wwwtax.cgi?mode=Info&amp;id=57397&amp;lvl=3&amp;lin=f&amp;keep=1&amp;srchmode=1&amp;unlock","57397")</f>
        <v>57397</v>
      </c>
      <c r="F381" t="s">
        <v>167</v>
      </c>
      <c r="G381" t="str">
        <f>HYPERLINK("http://www.ncbi.nlm.nih.gov/Taxonomy/Browser/wwwtax.cgi?mode=Info&amp;id=57397&amp;lvl=3&amp;lin=f&amp;keep=1&amp;srchmode=1&amp;unlock","Apaloderma vittatum")</f>
        <v>Apaloderma vittatum</v>
      </c>
      <c r="H381" t="s">
        <v>340</v>
      </c>
      <c r="I381" t="str">
        <f>HYPERLINK("http://www.ncbi.nlm.nih.gov/protein/XP_009871113.1","PREDICTED: fatty acid-binding protein, liver")</f>
        <v>PREDICTED: fatty acid-binding protein, liver</v>
      </c>
      <c r="J381" t="s">
        <v>1386</v>
      </c>
      <c r="K381" t="s">
        <v>25</v>
      </c>
      <c r="L381">
        <v>50</v>
      </c>
      <c r="M381" t="s">
        <v>1379</v>
      </c>
      <c r="N381" t="s">
        <v>25</v>
      </c>
    </row>
    <row r="382" spans="1:14" x14ac:dyDescent="0.25">
      <c r="A382">
        <v>6</v>
      </c>
      <c r="B382" t="s">
        <v>167</v>
      </c>
      <c r="C382" t="str">
        <f>HYPERLINK("http://www.ncbi.nlm.nih.gov/protein/NXT95846.1","NXT95846.1")</f>
        <v>NXT95846.1</v>
      </c>
      <c r="D382">
        <v>10510</v>
      </c>
      <c r="E382" t="str">
        <f>HYPERLINK("http://www.ncbi.nlm.nih.gov/Taxonomy/Browser/wwwtax.cgi?mode=Info&amp;id=317792&amp;lvl=3&amp;lin=f&amp;keep=1&amp;srchmode=1&amp;unlock","317792")</f>
        <v>317792</v>
      </c>
      <c r="F382" t="s">
        <v>167</v>
      </c>
      <c r="G382" t="str">
        <f>HYPERLINK("http://www.ncbi.nlm.nih.gov/Taxonomy/Browser/wwwtax.cgi?mode=Info&amp;id=317792&amp;lvl=3&amp;lin=f&amp;keep=1&amp;srchmode=1&amp;unlock","Anhinga rufa")</f>
        <v>Anhinga rufa</v>
      </c>
      <c r="H382" t="s">
        <v>347</v>
      </c>
      <c r="I382" t="str">
        <f>HYPERLINK("http://www.ncbi.nlm.nih.gov/protein/NXT95846.1","FABPL protein")</f>
        <v>FABPL protein</v>
      </c>
      <c r="J382" t="s">
        <v>1386</v>
      </c>
      <c r="K382" t="s">
        <v>25</v>
      </c>
      <c r="L382">
        <v>50</v>
      </c>
      <c r="M382" t="s">
        <v>1379</v>
      </c>
      <c r="N382" t="s">
        <v>25</v>
      </c>
    </row>
    <row r="383" spans="1:14" x14ac:dyDescent="0.25">
      <c r="A383">
        <v>6</v>
      </c>
      <c r="B383" t="s">
        <v>167</v>
      </c>
      <c r="C383" t="str">
        <f>HYPERLINK("http://www.ncbi.nlm.nih.gov/protein/OPJ70771.1","OPJ70771.1")</f>
        <v>OPJ70771.1</v>
      </c>
      <c r="D383">
        <v>24828</v>
      </c>
      <c r="E383" t="str">
        <f>HYPERLINK("http://www.ncbi.nlm.nih.gov/Taxonomy/Browser/wwwtax.cgi?mode=Info&amp;id=372326&amp;lvl=3&amp;lin=f&amp;keep=1&amp;srchmode=1&amp;unlock","372326")</f>
        <v>372326</v>
      </c>
      <c r="F383" t="s">
        <v>167</v>
      </c>
      <c r="G383" t="str">
        <f>HYPERLINK("http://www.ncbi.nlm.nih.gov/Taxonomy/Browser/wwwtax.cgi?mode=Info&amp;id=372326&amp;lvl=3&amp;lin=f&amp;keep=1&amp;srchmode=1&amp;unlock","Patagioenas fasciata monilis")</f>
        <v>Patagioenas fasciata monilis</v>
      </c>
      <c r="H383" t="s">
        <v>348</v>
      </c>
      <c r="I383" t="str">
        <f>HYPERLINK("http://www.ncbi.nlm.nih.gov/protein/OPJ70771.1","fatty acid-binding protein, liver")</f>
        <v>fatty acid-binding protein, liver</v>
      </c>
      <c r="J383" t="s">
        <v>1386</v>
      </c>
      <c r="K383" t="s">
        <v>25</v>
      </c>
      <c r="L383">
        <v>104</v>
      </c>
      <c r="M383" t="s">
        <v>1379</v>
      </c>
      <c r="N383" t="s">
        <v>25</v>
      </c>
    </row>
    <row r="384" spans="1:14" x14ac:dyDescent="0.25">
      <c r="A384">
        <v>6</v>
      </c>
      <c r="B384" t="s">
        <v>167</v>
      </c>
      <c r="C384" t="str">
        <f>HYPERLINK("http://www.ncbi.nlm.nih.gov/protein/NXO48376.1","NXO48376.1")</f>
        <v>NXO48376.1</v>
      </c>
      <c r="D384">
        <v>14352</v>
      </c>
      <c r="E384" t="str">
        <f>HYPERLINK("http://www.ncbi.nlm.nih.gov/Taxonomy/Browser/wwwtax.cgi?mode=Info&amp;id=54356&amp;lvl=3&amp;lin=f&amp;keep=1&amp;srchmode=1&amp;unlock","54356")</f>
        <v>54356</v>
      </c>
      <c r="F384" t="s">
        <v>167</v>
      </c>
      <c r="G384" t="str">
        <f>HYPERLINK("http://www.ncbi.nlm.nih.gov/Taxonomy/Browser/wwwtax.cgi?mode=Info&amp;id=54356&amp;lvl=3&amp;lin=f&amp;keep=1&amp;srchmode=1&amp;unlock","Aramus guarauna")</f>
        <v>Aramus guarauna</v>
      </c>
      <c r="H384" t="s">
        <v>344</v>
      </c>
      <c r="I384" t="str">
        <f>HYPERLINK("http://www.ncbi.nlm.nih.gov/protein/NXO48376.1","FABPL protein")</f>
        <v>FABPL protein</v>
      </c>
      <c r="J384" t="s">
        <v>1386</v>
      </c>
      <c r="K384" t="s">
        <v>25</v>
      </c>
      <c r="L384">
        <v>50</v>
      </c>
      <c r="M384" t="s">
        <v>1379</v>
      </c>
      <c r="N384" t="s">
        <v>25</v>
      </c>
    </row>
    <row r="385" spans="1:14" x14ac:dyDescent="0.25">
      <c r="A385">
        <v>6</v>
      </c>
      <c r="B385" t="s">
        <v>167</v>
      </c>
      <c r="C385" t="str">
        <f>HYPERLINK("http://www.ncbi.nlm.nih.gov/protein/NXI68402.1","NXI68402.1")</f>
        <v>NXI68402.1</v>
      </c>
      <c r="D385">
        <v>14308</v>
      </c>
      <c r="E385" t="str">
        <f>HYPERLINK("http://www.ncbi.nlm.nih.gov/Taxonomy/Browser/wwwtax.cgi?mode=Info&amp;id=8851&amp;lvl=3&amp;lin=f&amp;keep=1&amp;srchmode=1&amp;unlock","8851")</f>
        <v>8851</v>
      </c>
      <c r="F385" t="s">
        <v>167</v>
      </c>
      <c r="G385" t="str">
        <f>HYPERLINK("http://www.ncbi.nlm.nih.gov/Taxonomy/Browser/wwwtax.cgi?mode=Info&amp;id=8851&amp;lvl=3&amp;lin=f&amp;keep=1&amp;srchmode=1&amp;unlock","Anseranas semipalmata")</f>
        <v>Anseranas semipalmata</v>
      </c>
      <c r="H385" t="s">
        <v>345</v>
      </c>
      <c r="I385" t="str">
        <f>HYPERLINK("http://www.ncbi.nlm.nih.gov/protein/NXI68402.1","FABPL protein")</f>
        <v>FABPL protein</v>
      </c>
      <c r="J385" t="s">
        <v>1386</v>
      </c>
      <c r="K385" t="s">
        <v>25</v>
      </c>
      <c r="L385">
        <v>50</v>
      </c>
      <c r="M385" t="s">
        <v>1379</v>
      </c>
      <c r="N385" t="s">
        <v>25</v>
      </c>
    </row>
    <row r="386" spans="1:14" x14ac:dyDescent="0.25">
      <c r="A386">
        <v>6</v>
      </c>
      <c r="B386" t="s">
        <v>167</v>
      </c>
      <c r="C386" t="str">
        <f>HYPERLINK("http://www.ncbi.nlm.nih.gov/protein/NWU06160.1","NWU06160.1")</f>
        <v>NWU06160.1</v>
      </c>
      <c r="D386">
        <v>13939</v>
      </c>
      <c r="E386" t="str">
        <f>HYPERLINK("http://www.ncbi.nlm.nih.gov/Taxonomy/Browser/wwwtax.cgi?mode=Info&amp;id=114276&amp;lvl=3&amp;lin=f&amp;keep=1&amp;srchmode=1&amp;unlock","114276")</f>
        <v>114276</v>
      </c>
      <c r="F386" t="s">
        <v>167</v>
      </c>
      <c r="G386" t="str">
        <f>HYPERLINK("http://www.ncbi.nlm.nih.gov/Taxonomy/Browser/wwwtax.cgi?mode=Info&amp;id=114276&amp;lvl=3&amp;lin=f&amp;keep=1&amp;srchmode=1&amp;unlock","Cephalopterus ornatus")</f>
        <v>Cephalopterus ornatus</v>
      </c>
      <c r="H386" t="s">
        <v>346</v>
      </c>
      <c r="I386" t="str">
        <f>HYPERLINK("http://www.ncbi.nlm.nih.gov/protein/NWU06160.1","FABPL protein")</f>
        <v>FABPL protein</v>
      </c>
      <c r="J386" t="s">
        <v>1386</v>
      </c>
      <c r="K386" t="s">
        <v>25</v>
      </c>
      <c r="L386">
        <v>50</v>
      </c>
      <c r="M386" t="s">
        <v>1379</v>
      </c>
      <c r="N386" t="s">
        <v>25</v>
      </c>
    </row>
    <row r="387" spans="1:14" x14ac:dyDescent="0.25">
      <c r="A387">
        <v>6</v>
      </c>
      <c r="B387" t="s">
        <v>167</v>
      </c>
      <c r="C387" t="str">
        <f>HYPERLINK("http://www.ncbi.nlm.nih.gov/protein/NXX26723.1","NXX26723.1")</f>
        <v>NXX26723.1</v>
      </c>
      <c r="D387">
        <v>13620</v>
      </c>
      <c r="E387" t="str">
        <f>HYPERLINK("http://www.ncbi.nlm.nih.gov/Taxonomy/Browser/wwwtax.cgi?mode=Info&amp;id=237433&amp;lvl=3&amp;lin=f&amp;keep=1&amp;srchmode=1&amp;unlock","237433")</f>
        <v>237433</v>
      </c>
      <c r="F387" t="s">
        <v>167</v>
      </c>
      <c r="G387" t="str">
        <f>HYPERLINK("http://www.ncbi.nlm.nih.gov/Taxonomy/Browser/wwwtax.cgi?mode=Info&amp;id=237433&amp;lvl=3&amp;lin=f&amp;keep=1&amp;srchmode=1&amp;unlock","Nicator chloris")</f>
        <v>Nicator chloris</v>
      </c>
      <c r="H387" t="s">
        <v>352</v>
      </c>
      <c r="I387" t="str">
        <f>HYPERLINK("http://www.ncbi.nlm.nih.gov/protein/NXX26723.1","FABPL protein")</f>
        <v>FABPL protein</v>
      </c>
      <c r="J387" t="s">
        <v>1386</v>
      </c>
      <c r="K387" t="s">
        <v>25</v>
      </c>
      <c r="L387">
        <v>50</v>
      </c>
      <c r="M387" t="s">
        <v>1379</v>
      </c>
      <c r="N387" t="s">
        <v>25</v>
      </c>
    </row>
    <row r="388" spans="1:14" x14ac:dyDescent="0.25">
      <c r="A388">
        <v>6</v>
      </c>
      <c r="B388" t="s">
        <v>167</v>
      </c>
      <c r="C388" t="str">
        <f>HYPERLINK("http://www.ncbi.nlm.nih.gov/protein/XP_009498561.1","XP_009498561.1")</f>
        <v>XP_009498561.1</v>
      </c>
      <c r="D388">
        <v>26157</v>
      </c>
      <c r="E388" t="str">
        <f>HYPERLINK("http://www.ncbi.nlm.nih.gov/Taxonomy/Browser/wwwtax.cgi?mode=Info&amp;id=9209&amp;lvl=3&amp;lin=f&amp;keep=1&amp;srchmode=1&amp;unlock","9209")</f>
        <v>9209</v>
      </c>
      <c r="F388" t="s">
        <v>167</v>
      </c>
      <c r="G388" t="str">
        <f>HYPERLINK("http://www.ncbi.nlm.nih.gov/Taxonomy/Browser/wwwtax.cgi?mode=Info&amp;id=9209&amp;lvl=3&amp;lin=f&amp;keep=1&amp;srchmode=1&amp;unlock","Phalacrocorax carbo")</f>
        <v>Phalacrocorax carbo</v>
      </c>
      <c r="H388" t="s">
        <v>353</v>
      </c>
      <c r="I388" t="str">
        <f>HYPERLINK("http://www.ncbi.nlm.nih.gov/protein/XP_009498561.1","PREDICTED: fatty acid-binding protein, liver")</f>
        <v>PREDICTED: fatty acid-binding protein, liver</v>
      </c>
      <c r="J388" t="s">
        <v>1386</v>
      </c>
      <c r="K388" t="s">
        <v>25</v>
      </c>
      <c r="L388">
        <v>50</v>
      </c>
      <c r="M388" t="s">
        <v>1379</v>
      </c>
      <c r="N388" t="s">
        <v>25</v>
      </c>
    </row>
    <row r="389" spans="1:14" x14ac:dyDescent="0.25">
      <c r="A389">
        <v>6</v>
      </c>
      <c r="B389" t="s">
        <v>167</v>
      </c>
      <c r="C389" t="str">
        <f>HYPERLINK("http://www.ncbi.nlm.nih.gov/protein/NXU37321.1","NXU37321.1")</f>
        <v>NXU37321.1</v>
      </c>
      <c r="D389">
        <v>13604</v>
      </c>
      <c r="E389" t="str">
        <f>HYPERLINK("http://www.ncbi.nlm.nih.gov/Taxonomy/Browser/wwwtax.cgi?mode=Info&amp;id=626378&amp;lvl=3&amp;lin=f&amp;keep=1&amp;srchmode=1&amp;unlock","626378")</f>
        <v>626378</v>
      </c>
      <c r="F389" t="s">
        <v>167</v>
      </c>
      <c r="G389" t="str">
        <f>HYPERLINK("http://www.ncbi.nlm.nih.gov/Taxonomy/Browser/wwwtax.cgi?mode=Info&amp;id=626378&amp;lvl=3&amp;lin=f&amp;keep=1&amp;srchmode=1&amp;unlock","Drymodes brunneopygia")</f>
        <v>Drymodes brunneopygia</v>
      </c>
      <c r="H389" t="s">
        <v>351</v>
      </c>
      <c r="I389" t="str">
        <f>HYPERLINK("http://www.ncbi.nlm.nih.gov/protein/NXU37321.1","FABPL protein")</f>
        <v>FABPL protein</v>
      </c>
      <c r="J389" t="s">
        <v>1386</v>
      </c>
      <c r="K389" t="s">
        <v>25</v>
      </c>
      <c r="L389">
        <v>50</v>
      </c>
      <c r="M389" t="s">
        <v>1379</v>
      </c>
      <c r="N389" t="s">
        <v>25</v>
      </c>
    </row>
    <row r="390" spans="1:14" x14ac:dyDescent="0.25">
      <c r="A390">
        <v>6</v>
      </c>
      <c r="B390" t="s">
        <v>167</v>
      </c>
      <c r="C390" t="str">
        <f>HYPERLINK("http://www.ncbi.nlm.nih.gov/protein/XP_035403353.1","XP_035403353.1")</f>
        <v>XP_035403353.1</v>
      </c>
      <c r="D390">
        <v>36022</v>
      </c>
      <c r="E390" t="str">
        <f>HYPERLINK("http://www.ncbi.nlm.nih.gov/Taxonomy/Browser/wwwtax.cgi?mode=Info&amp;id=8868&amp;lvl=3&amp;lin=f&amp;keep=1&amp;srchmode=1&amp;unlock","8868")</f>
        <v>8868</v>
      </c>
      <c r="F390" t="s">
        <v>167</v>
      </c>
      <c r="G390" t="str">
        <f>HYPERLINK("http://www.ncbi.nlm.nih.gov/Taxonomy/Browser/wwwtax.cgi?mode=Info&amp;id=8868&amp;lvl=3&amp;lin=f&amp;keep=1&amp;srchmode=1&amp;unlock","Cygnus atratus")</f>
        <v>Cygnus atratus</v>
      </c>
      <c r="H390" t="s">
        <v>356</v>
      </c>
      <c r="I390" t="str">
        <f>HYPERLINK("http://www.ncbi.nlm.nih.gov/protein/XP_035403353.1","fatty acid-binding protein, liver")</f>
        <v>fatty acid-binding protein, liver</v>
      </c>
      <c r="J390" t="s">
        <v>1386</v>
      </c>
      <c r="K390" t="s">
        <v>25</v>
      </c>
      <c r="L390">
        <v>50</v>
      </c>
      <c r="M390" t="s">
        <v>1379</v>
      </c>
      <c r="N390" t="s">
        <v>25</v>
      </c>
    </row>
    <row r="391" spans="1:14" x14ac:dyDescent="0.25">
      <c r="A391">
        <v>6</v>
      </c>
      <c r="B391" t="s">
        <v>167</v>
      </c>
      <c r="C391" t="str">
        <f>HYPERLINK("http://www.ncbi.nlm.nih.gov/protein/XP_027547059.1","XP_027547059.1")</f>
        <v>XP_027547059.1</v>
      </c>
      <c r="D391">
        <v>39505</v>
      </c>
      <c r="E391" t="str">
        <f>HYPERLINK("http://www.ncbi.nlm.nih.gov/Taxonomy/Browser/wwwtax.cgi?mode=Info&amp;id=114329&amp;lvl=3&amp;lin=f&amp;keep=1&amp;srchmode=1&amp;unlock","114329")</f>
        <v>114329</v>
      </c>
      <c r="F391" t="s">
        <v>167</v>
      </c>
      <c r="G391" t="str">
        <f>HYPERLINK("http://www.ncbi.nlm.nih.gov/Taxonomy/Browser/wwwtax.cgi?mode=Info&amp;id=114329&amp;lvl=3&amp;lin=f&amp;keep=1&amp;srchmode=1&amp;unlock","Neopelma chrysocephalum")</f>
        <v>Neopelma chrysocephalum</v>
      </c>
      <c r="H391" t="s">
        <v>357</v>
      </c>
      <c r="I391" t="str">
        <f>HYPERLINK("http://www.ncbi.nlm.nih.gov/protein/XP_027547059.1","fatty acid-binding protein, liver")</f>
        <v>fatty acid-binding protein, liver</v>
      </c>
      <c r="J391" t="s">
        <v>1386</v>
      </c>
      <c r="K391" t="s">
        <v>25</v>
      </c>
      <c r="L391">
        <v>50</v>
      </c>
      <c r="M391" t="s">
        <v>1379</v>
      </c>
      <c r="N391" t="s">
        <v>25</v>
      </c>
    </row>
    <row r="392" spans="1:14" x14ac:dyDescent="0.25">
      <c r="A392">
        <v>6</v>
      </c>
      <c r="B392" t="s">
        <v>167</v>
      </c>
      <c r="C392" t="str">
        <f>HYPERLINK("http://www.ncbi.nlm.nih.gov/protein/XP_005023346.1","XP_005023346.1")</f>
        <v>XP_005023346.1</v>
      </c>
      <c r="D392">
        <v>63920</v>
      </c>
      <c r="E392" t="str">
        <f>HYPERLINK("http://www.ncbi.nlm.nih.gov/Taxonomy/Browser/wwwtax.cgi?mode=Info&amp;id=8839&amp;lvl=3&amp;lin=f&amp;keep=1&amp;srchmode=1&amp;unlock","8839")</f>
        <v>8839</v>
      </c>
      <c r="F392" t="s">
        <v>167</v>
      </c>
      <c r="G392" t="str">
        <f>HYPERLINK("http://www.ncbi.nlm.nih.gov/Taxonomy/Browser/wwwtax.cgi?mode=Info&amp;id=8839&amp;lvl=3&amp;lin=f&amp;keep=1&amp;srchmode=1&amp;unlock","Anas platyrhynchos")</f>
        <v>Anas platyrhynchos</v>
      </c>
      <c r="H392" t="s">
        <v>358</v>
      </c>
      <c r="I392" t="str">
        <f>HYPERLINK("http://www.ncbi.nlm.nih.gov/protein/XP_005023346.1","fatty acid-binding protein, liver")</f>
        <v>fatty acid-binding protein, liver</v>
      </c>
      <c r="J392" t="s">
        <v>1386</v>
      </c>
      <c r="K392" t="s">
        <v>25</v>
      </c>
      <c r="L392">
        <v>50</v>
      </c>
      <c r="M392" t="s">
        <v>1379</v>
      </c>
      <c r="N392" t="s">
        <v>25</v>
      </c>
    </row>
    <row r="393" spans="1:14" x14ac:dyDescent="0.25">
      <c r="A393">
        <v>6</v>
      </c>
      <c r="B393" t="s">
        <v>167</v>
      </c>
      <c r="C393" t="str">
        <f>HYPERLINK("http://www.ncbi.nlm.nih.gov/protein/NWS22225.1","NWS22225.1")</f>
        <v>NWS22225.1</v>
      </c>
      <c r="D393">
        <v>13757</v>
      </c>
      <c r="E393" t="str">
        <f>HYPERLINK("http://www.ncbi.nlm.nih.gov/Taxonomy/Browser/wwwtax.cgi?mode=Info&amp;id=369605&amp;lvl=3&amp;lin=f&amp;keep=1&amp;srchmode=1&amp;unlock","369605")</f>
        <v>369605</v>
      </c>
      <c r="F393" t="s">
        <v>167</v>
      </c>
      <c r="G393" t="str">
        <f>HYPERLINK("http://www.ncbi.nlm.nih.gov/Taxonomy/Browser/wwwtax.cgi?mode=Info&amp;id=369605&amp;lvl=3&amp;lin=f&amp;keep=1&amp;srchmode=1&amp;unlock","Pachyramphus minor")</f>
        <v>Pachyramphus minor</v>
      </c>
      <c r="H393" t="s">
        <v>206</v>
      </c>
      <c r="I393" t="str">
        <f>HYPERLINK("http://www.ncbi.nlm.nih.gov/protein/NWS22225.1","FABPL protein")</f>
        <v>FABPL protein</v>
      </c>
      <c r="J393" t="s">
        <v>1386</v>
      </c>
      <c r="K393" t="s">
        <v>25</v>
      </c>
      <c r="L393">
        <v>50</v>
      </c>
      <c r="M393" t="s">
        <v>1379</v>
      </c>
      <c r="N393" t="s">
        <v>25</v>
      </c>
    </row>
    <row r="394" spans="1:14" x14ac:dyDescent="0.25">
      <c r="A394">
        <v>6</v>
      </c>
      <c r="B394" t="s">
        <v>167</v>
      </c>
      <c r="C394" t="str">
        <f>HYPERLINK("http://www.ncbi.nlm.nih.gov/protein/NXB54053.1","NXB54053.1")</f>
        <v>NXB54053.1</v>
      </c>
      <c r="D394">
        <v>13491</v>
      </c>
      <c r="E394" t="str">
        <f>HYPERLINK("http://www.ncbi.nlm.nih.gov/Taxonomy/Browser/wwwtax.cgi?mode=Info&amp;id=127929&amp;lvl=3&amp;lin=f&amp;keep=1&amp;srchmode=1&amp;unlock","127929")</f>
        <v>127929</v>
      </c>
      <c r="F394" t="s">
        <v>167</v>
      </c>
      <c r="G394" t="str">
        <f>HYPERLINK("http://www.ncbi.nlm.nih.gov/Taxonomy/Browser/wwwtax.cgi?mode=Info&amp;id=127929&amp;lvl=3&amp;lin=f&amp;keep=1&amp;srchmode=1&amp;unlock","Leucopsar rothschildi")</f>
        <v>Leucopsar rothschildi</v>
      </c>
      <c r="H394" t="s">
        <v>354</v>
      </c>
      <c r="I394" t="str">
        <f>HYPERLINK("http://www.ncbi.nlm.nih.gov/protein/NXB54053.1","FABPL protein")</f>
        <v>FABPL protein</v>
      </c>
      <c r="J394" t="s">
        <v>1386</v>
      </c>
      <c r="K394" t="s">
        <v>25</v>
      </c>
      <c r="L394">
        <v>50</v>
      </c>
      <c r="M394" t="s">
        <v>1383</v>
      </c>
      <c r="N394" t="s">
        <v>25</v>
      </c>
    </row>
    <row r="395" spans="1:14" x14ac:dyDescent="0.25">
      <c r="A395">
        <v>6</v>
      </c>
      <c r="B395" t="s">
        <v>167</v>
      </c>
      <c r="C395" t="str">
        <f>HYPERLINK("http://www.ncbi.nlm.nih.gov/protein/NXJ83356.1","NXJ83356.1")</f>
        <v>NXJ83356.1</v>
      </c>
      <c r="D395">
        <v>14194</v>
      </c>
      <c r="E395" t="str">
        <f>HYPERLINK("http://www.ncbi.nlm.nih.gov/Taxonomy/Browser/wwwtax.cgi?mode=Info&amp;id=56311&amp;lvl=3&amp;lin=f&amp;keep=1&amp;srchmode=1&amp;unlock","56311")</f>
        <v>56311</v>
      </c>
      <c r="F395" t="s">
        <v>167</v>
      </c>
      <c r="G395" t="str">
        <f>HYPERLINK("http://www.ncbi.nlm.nih.gov/Taxonomy/Browser/wwwtax.cgi?mode=Info&amp;id=56311&amp;lvl=3&amp;lin=f&amp;keep=1&amp;srchmode=1&amp;unlock","Trogon melanurus")</f>
        <v>Trogon melanurus</v>
      </c>
      <c r="H395" t="s">
        <v>355</v>
      </c>
      <c r="I395" t="str">
        <f>HYPERLINK("http://www.ncbi.nlm.nih.gov/protein/NXJ83356.1","FABPL protein")</f>
        <v>FABPL protein</v>
      </c>
      <c r="J395" t="s">
        <v>1386</v>
      </c>
      <c r="K395" t="s">
        <v>25</v>
      </c>
      <c r="L395">
        <v>50</v>
      </c>
      <c r="M395" t="s">
        <v>1379</v>
      </c>
      <c r="N395" t="s">
        <v>25</v>
      </c>
    </row>
    <row r="396" spans="1:14" x14ac:dyDescent="0.25">
      <c r="A396">
        <v>6</v>
      </c>
      <c r="B396" t="s">
        <v>167</v>
      </c>
      <c r="C396" t="str">
        <f>HYPERLINK("http://www.ncbi.nlm.nih.gov/protein/NXO11184.1","NXO11184.1")</f>
        <v>NXO11184.1</v>
      </c>
      <c r="D396">
        <v>13996</v>
      </c>
      <c r="E396" t="str">
        <f>HYPERLINK("http://www.ncbi.nlm.nih.gov/Taxonomy/Browser/wwwtax.cgi?mode=Info&amp;id=181099&amp;lvl=3&amp;lin=f&amp;keep=1&amp;srchmode=1&amp;unlock","181099")</f>
        <v>181099</v>
      </c>
      <c r="F396" t="s">
        <v>167</v>
      </c>
      <c r="G396" t="str">
        <f>HYPERLINK("http://www.ncbi.nlm.nih.gov/Taxonomy/Browser/wwwtax.cgi?mode=Info&amp;id=181099&amp;lvl=3&amp;lin=f&amp;keep=1&amp;srchmode=1&amp;unlock","Oriolus oriolus")</f>
        <v>Oriolus oriolus</v>
      </c>
      <c r="H396" t="s">
        <v>363</v>
      </c>
      <c r="I396" t="str">
        <f>HYPERLINK("http://www.ncbi.nlm.nih.gov/protein/NXO11184.1","FABPL protein")</f>
        <v>FABPL protein</v>
      </c>
      <c r="J396" t="s">
        <v>1386</v>
      </c>
      <c r="K396" t="s">
        <v>25</v>
      </c>
      <c r="L396">
        <v>50</v>
      </c>
      <c r="M396" t="s">
        <v>1383</v>
      </c>
      <c r="N396" t="s">
        <v>25</v>
      </c>
    </row>
    <row r="397" spans="1:14" x14ac:dyDescent="0.25">
      <c r="A397">
        <v>6</v>
      </c>
      <c r="B397" t="s">
        <v>167</v>
      </c>
      <c r="C397" t="str">
        <f>HYPERLINK("http://www.ncbi.nlm.nih.gov/protein/NXA06397.1","NXA06397.1")</f>
        <v>NXA06397.1</v>
      </c>
      <c r="D397">
        <v>13903</v>
      </c>
      <c r="E397" t="str">
        <f>HYPERLINK("http://www.ncbi.nlm.nih.gov/Taxonomy/Browser/wwwtax.cgi?mode=Info&amp;id=239371&amp;lvl=3&amp;lin=f&amp;keep=1&amp;srchmode=1&amp;unlock","239371")</f>
        <v>239371</v>
      </c>
      <c r="F397" t="s">
        <v>167</v>
      </c>
      <c r="G397" t="str">
        <f>HYPERLINK("http://www.ncbi.nlm.nih.gov/Taxonomy/Browser/wwwtax.cgi?mode=Info&amp;id=239371&amp;lvl=3&amp;lin=f&amp;keep=1&amp;srchmode=1&amp;unlock","Sapayoa aenigma")</f>
        <v>Sapayoa aenigma</v>
      </c>
      <c r="H397" t="s">
        <v>360</v>
      </c>
      <c r="I397" t="str">
        <f>HYPERLINK("http://www.ncbi.nlm.nih.gov/protein/NXA06397.1","FABPL protein")</f>
        <v>FABPL protein</v>
      </c>
      <c r="J397" t="s">
        <v>1386</v>
      </c>
      <c r="K397" t="s">
        <v>25</v>
      </c>
      <c r="L397">
        <v>50</v>
      </c>
      <c r="M397" t="s">
        <v>1379</v>
      </c>
      <c r="N397" t="s">
        <v>25</v>
      </c>
    </row>
    <row r="398" spans="1:14" x14ac:dyDescent="0.25">
      <c r="A398">
        <v>6</v>
      </c>
      <c r="B398" t="s">
        <v>167</v>
      </c>
      <c r="C398" t="str">
        <f>HYPERLINK("http://www.ncbi.nlm.nih.gov/protein/NWW03945.1","NWW03945.1")</f>
        <v>NWW03945.1</v>
      </c>
      <c r="D398">
        <v>14030</v>
      </c>
      <c r="E398" t="str">
        <f>HYPERLINK("http://www.ncbi.nlm.nih.gov/Taxonomy/Browser/wwwtax.cgi?mode=Info&amp;id=979223&amp;lvl=3&amp;lin=f&amp;keep=1&amp;srchmode=1&amp;unlock","979223")</f>
        <v>979223</v>
      </c>
      <c r="F398" t="s">
        <v>167</v>
      </c>
      <c r="G398" t="str">
        <f>HYPERLINK("http://www.ncbi.nlm.nih.gov/Taxonomy/Browser/wwwtax.cgi?mode=Info&amp;id=979223&amp;lvl=3&amp;lin=f&amp;keep=1&amp;srchmode=1&amp;unlock","Oreocharis arfaki")</f>
        <v>Oreocharis arfaki</v>
      </c>
      <c r="H398" t="s">
        <v>365</v>
      </c>
      <c r="I398" t="str">
        <f>HYPERLINK("http://www.ncbi.nlm.nih.gov/protein/NWW03945.1","FABPL protein")</f>
        <v>FABPL protein</v>
      </c>
      <c r="J398" t="s">
        <v>1386</v>
      </c>
      <c r="K398" t="s">
        <v>25</v>
      </c>
      <c r="L398">
        <v>50</v>
      </c>
      <c r="M398" t="s">
        <v>1383</v>
      </c>
      <c r="N398" t="s">
        <v>25</v>
      </c>
    </row>
    <row r="399" spans="1:14" x14ac:dyDescent="0.25">
      <c r="A399">
        <v>6</v>
      </c>
      <c r="B399" t="s">
        <v>167</v>
      </c>
      <c r="C399" t="str">
        <f>HYPERLINK("http://www.ncbi.nlm.nih.gov/protein/NXB40573.1","NXB40573.1")</f>
        <v>NXB40573.1</v>
      </c>
      <c r="D399">
        <v>14343</v>
      </c>
      <c r="E399" t="str">
        <f>HYPERLINK("http://www.ncbi.nlm.nih.gov/Taxonomy/Browser/wwwtax.cgi?mode=Info&amp;id=461239&amp;lvl=3&amp;lin=f&amp;keep=1&amp;srchmode=1&amp;unlock","461239")</f>
        <v>461239</v>
      </c>
      <c r="F399" t="s">
        <v>167</v>
      </c>
      <c r="G399" t="str">
        <f>HYPERLINK("http://www.ncbi.nlm.nih.gov/Taxonomy/Browser/wwwtax.cgi?mode=Info&amp;id=461239&amp;lvl=3&amp;lin=f&amp;keep=1&amp;srchmode=1&amp;unlock","Eulacestoma nigropectus")</f>
        <v>Eulacestoma nigropectus</v>
      </c>
      <c r="H399" t="s">
        <v>366</v>
      </c>
      <c r="I399" t="str">
        <f>HYPERLINK("http://www.ncbi.nlm.nih.gov/protein/NXB40573.1","FABPL protein")</f>
        <v>FABPL protein</v>
      </c>
      <c r="J399" t="s">
        <v>1386</v>
      </c>
      <c r="K399" t="s">
        <v>25</v>
      </c>
      <c r="L399">
        <v>50</v>
      </c>
      <c r="M399" t="s">
        <v>1383</v>
      </c>
      <c r="N399" t="s">
        <v>25</v>
      </c>
    </row>
    <row r="400" spans="1:14" x14ac:dyDescent="0.25">
      <c r="A400">
        <v>6</v>
      </c>
      <c r="B400" t="s">
        <v>167</v>
      </c>
      <c r="C400" t="str">
        <f>HYPERLINK("http://www.ncbi.nlm.nih.gov/protein/NXM02695.1","NXM02695.1")</f>
        <v>NXM02695.1</v>
      </c>
      <c r="D400">
        <v>13608</v>
      </c>
      <c r="E400" t="str">
        <f>HYPERLINK("http://www.ncbi.nlm.nih.gov/Taxonomy/Browser/wwwtax.cgi?mode=Info&amp;id=137541&amp;lvl=3&amp;lin=f&amp;keep=1&amp;srchmode=1&amp;unlock","137541")</f>
        <v>137541</v>
      </c>
      <c r="F400" t="s">
        <v>167</v>
      </c>
      <c r="G400" t="str">
        <f>HYPERLINK("http://www.ncbi.nlm.nih.gov/Taxonomy/Browser/wwwtax.cgi?mode=Info&amp;id=137541&amp;lvl=3&amp;lin=f&amp;keep=1&amp;srchmode=1&amp;unlock","Tyrannus savana")</f>
        <v>Tyrannus savana</v>
      </c>
      <c r="H400" t="s">
        <v>364</v>
      </c>
      <c r="I400" t="str">
        <f>HYPERLINK("http://www.ncbi.nlm.nih.gov/protein/NXM02695.1","FABPL protein")</f>
        <v>FABPL protein</v>
      </c>
      <c r="J400" t="s">
        <v>1386</v>
      </c>
      <c r="K400" t="s">
        <v>25</v>
      </c>
      <c r="L400">
        <v>50</v>
      </c>
      <c r="M400" t="s">
        <v>1379</v>
      </c>
      <c r="N400" t="s">
        <v>25</v>
      </c>
    </row>
    <row r="401" spans="1:14" x14ac:dyDescent="0.25">
      <c r="A401">
        <v>6</v>
      </c>
      <c r="B401" t="s">
        <v>167</v>
      </c>
      <c r="C401" t="str">
        <f>HYPERLINK("http://www.ncbi.nlm.nih.gov/protein/NXA93359.1","NXA93359.1")</f>
        <v>NXA93359.1</v>
      </c>
      <c r="D401">
        <v>13996</v>
      </c>
      <c r="E401" t="str">
        <f>HYPERLINK("http://www.ncbi.nlm.nih.gov/Taxonomy/Browser/wwwtax.cgi?mode=Info&amp;id=254552&amp;lvl=3&amp;lin=f&amp;keep=1&amp;srchmode=1&amp;unlock","254552")</f>
        <v>254552</v>
      </c>
      <c r="F401" t="s">
        <v>167</v>
      </c>
      <c r="G401" t="str">
        <f>HYPERLINK("http://www.ncbi.nlm.nih.gov/Taxonomy/Browser/wwwtax.cgi?mode=Info&amp;id=254552&amp;lvl=3&amp;lin=f&amp;keep=1&amp;srchmode=1&amp;unlock","Melanocharis versteri")</f>
        <v>Melanocharis versteri</v>
      </c>
      <c r="H401" t="s">
        <v>368</v>
      </c>
      <c r="I401" t="str">
        <f>HYPERLINK("http://www.ncbi.nlm.nih.gov/protein/NXA93359.1","FABPL protein")</f>
        <v>FABPL protein</v>
      </c>
      <c r="J401" t="s">
        <v>1386</v>
      </c>
      <c r="K401" t="s">
        <v>25</v>
      </c>
      <c r="L401">
        <v>50</v>
      </c>
      <c r="M401" t="s">
        <v>1383</v>
      </c>
      <c r="N401" t="s">
        <v>25</v>
      </c>
    </row>
    <row r="402" spans="1:14" x14ac:dyDescent="0.25">
      <c r="A402">
        <v>6</v>
      </c>
      <c r="B402" t="s">
        <v>167</v>
      </c>
      <c r="C402" t="str">
        <f>HYPERLINK("http://www.ncbi.nlm.nih.gov/protein/XP_015718367.1","XP_015718367.1")</f>
        <v>XP_015718367.1</v>
      </c>
      <c r="D402">
        <v>41813</v>
      </c>
      <c r="E402" t="str">
        <f>HYPERLINK("http://www.ncbi.nlm.nih.gov/Taxonomy/Browser/wwwtax.cgi?mode=Info&amp;id=93934&amp;lvl=3&amp;lin=f&amp;keep=1&amp;srchmode=1&amp;unlock","93934")</f>
        <v>93934</v>
      </c>
      <c r="F402" t="s">
        <v>167</v>
      </c>
      <c r="G402" t="str">
        <f>HYPERLINK("http://www.ncbi.nlm.nih.gov/Taxonomy/Browser/wwwtax.cgi?mode=Info&amp;id=93934&amp;lvl=3&amp;lin=f&amp;keep=1&amp;srchmode=1&amp;unlock","Coturnix japonica")</f>
        <v>Coturnix japonica</v>
      </c>
      <c r="H402" t="s">
        <v>367</v>
      </c>
      <c r="I402" t="str">
        <f>HYPERLINK("http://www.ncbi.nlm.nih.gov/protein/XP_015718367.1","fatty acid-binding protein, liver")</f>
        <v>fatty acid-binding protein, liver</v>
      </c>
      <c r="J402" t="s">
        <v>1386</v>
      </c>
      <c r="K402" t="s">
        <v>25</v>
      </c>
      <c r="L402">
        <v>50</v>
      </c>
      <c r="M402" t="s">
        <v>1383</v>
      </c>
      <c r="N402" t="s">
        <v>25</v>
      </c>
    </row>
    <row r="403" spans="1:14" x14ac:dyDescent="0.25">
      <c r="A403">
        <v>6</v>
      </c>
      <c r="B403" t="s">
        <v>167</v>
      </c>
      <c r="C403" t="str">
        <f>HYPERLINK("http://www.ncbi.nlm.nih.gov/protein/NXC84290.1","NXC84290.1")</f>
        <v>NXC84290.1</v>
      </c>
      <c r="D403">
        <v>13604</v>
      </c>
      <c r="E403" t="str">
        <f>HYPERLINK("http://www.ncbi.nlm.nih.gov/Taxonomy/Browser/wwwtax.cgi?mode=Info&amp;id=614051&amp;lvl=3&amp;lin=f&amp;keep=1&amp;srchmode=1&amp;unlock","614051")</f>
        <v>614051</v>
      </c>
      <c r="F403" t="s">
        <v>167</v>
      </c>
      <c r="G403" t="str">
        <f>HYPERLINK("http://www.ncbi.nlm.nih.gov/Taxonomy/Browser/wwwtax.cgi?mode=Info&amp;id=614051&amp;lvl=3&amp;lin=f&amp;keep=1&amp;srchmode=1&amp;unlock","Cercotrichas coryphoeus")</f>
        <v>Cercotrichas coryphoeus</v>
      </c>
      <c r="H403" t="s">
        <v>373</v>
      </c>
      <c r="I403" t="str">
        <f>HYPERLINK("http://www.ncbi.nlm.nih.gov/protein/NXC84290.1","FABPL protein")</f>
        <v>FABPL protein</v>
      </c>
      <c r="J403" t="s">
        <v>1386</v>
      </c>
      <c r="K403" t="s">
        <v>25</v>
      </c>
      <c r="L403">
        <v>50</v>
      </c>
      <c r="M403" t="s">
        <v>1379</v>
      </c>
      <c r="N403" t="s">
        <v>25</v>
      </c>
    </row>
    <row r="404" spans="1:14" x14ac:dyDescent="0.25">
      <c r="A404">
        <v>6</v>
      </c>
      <c r="B404" t="s">
        <v>167</v>
      </c>
      <c r="C404" t="str">
        <f>HYPERLINK("http://www.ncbi.nlm.nih.gov/protein/NWX35514.1","NWX35514.1")</f>
        <v>NWX35514.1</v>
      </c>
      <c r="D404">
        <v>13735</v>
      </c>
      <c r="E404" t="str">
        <f>HYPERLINK("http://www.ncbi.nlm.nih.gov/Taxonomy/Browser/wwwtax.cgi?mode=Info&amp;id=366454&amp;lvl=3&amp;lin=f&amp;keep=1&amp;srchmode=1&amp;unlock","366454")</f>
        <v>366454</v>
      </c>
      <c r="F404" t="s">
        <v>167</v>
      </c>
      <c r="G404" t="str">
        <f>HYPERLINK("http://www.ncbi.nlm.nih.gov/Taxonomy/Browser/wwwtax.cgi?mode=Info&amp;id=366454&amp;lvl=3&amp;lin=f&amp;keep=1&amp;srchmode=1&amp;unlock","Notiomystis cincta")</f>
        <v>Notiomystis cincta</v>
      </c>
      <c r="H404" t="s">
        <v>369</v>
      </c>
      <c r="I404" t="str">
        <f>HYPERLINK("http://www.ncbi.nlm.nih.gov/protein/NWX35514.1","FABPL protein")</f>
        <v>FABPL protein</v>
      </c>
      <c r="J404" t="s">
        <v>1386</v>
      </c>
      <c r="K404" t="s">
        <v>25</v>
      </c>
      <c r="L404">
        <v>50</v>
      </c>
      <c r="M404" t="s">
        <v>1383</v>
      </c>
      <c r="N404" t="s">
        <v>25</v>
      </c>
    </row>
    <row r="405" spans="1:14" x14ac:dyDescent="0.25">
      <c r="A405">
        <v>6</v>
      </c>
      <c r="B405" t="s">
        <v>167</v>
      </c>
      <c r="C405" t="str">
        <f>HYPERLINK("http://www.ncbi.nlm.nih.gov/protein/XP_009684378.1","XP_009684378.1")</f>
        <v>XP_009684378.1</v>
      </c>
      <c r="D405">
        <v>39498</v>
      </c>
      <c r="E405" t="str">
        <f>HYPERLINK("http://www.ncbi.nlm.nih.gov/Taxonomy/Browser/wwwtax.cgi?mode=Info&amp;id=441894&amp;lvl=3&amp;lin=f&amp;keep=1&amp;srchmode=1&amp;unlock","441894")</f>
        <v>441894</v>
      </c>
      <c r="F405" t="s">
        <v>167</v>
      </c>
      <c r="G405" t="str">
        <f>HYPERLINK("http://www.ncbi.nlm.nih.gov/Taxonomy/Browser/wwwtax.cgi?mode=Info&amp;id=441894&amp;lvl=3&amp;lin=f&amp;keep=1&amp;srchmode=1&amp;unlock","Struthio camelus australis")</f>
        <v>Struthio camelus australis</v>
      </c>
      <c r="H405" t="s">
        <v>370</v>
      </c>
      <c r="I405" t="str">
        <f>HYPERLINK("http://www.ncbi.nlm.nih.gov/protein/XP_009684378.1","PREDICTED: fatty acid-binding protein, liver")</f>
        <v>PREDICTED: fatty acid-binding protein, liver</v>
      </c>
      <c r="J405" t="s">
        <v>1386</v>
      </c>
      <c r="K405" t="s">
        <v>20</v>
      </c>
      <c r="L405">
        <v>50</v>
      </c>
      <c r="M405" t="s">
        <v>1380</v>
      </c>
      <c r="N405" t="s">
        <v>20</v>
      </c>
    </row>
    <row r="406" spans="1:14" x14ac:dyDescent="0.25">
      <c r="A406">
        <v>6</v>
      </c>
      <c r="B406" t="s">
        <v>167</v>
      </c>
      <c r="C406" t="str">
        <f>HYPERLINK("http://www.ncbi.nlm.nih.gov/protein/XP_009933046.1","XP_009933046.1")</f>
        <v>XP_009933046.1</v>
      </c>
      <c r="D406">
        <v>27858</v>
      </c>
      <c r="E406" t="str">
        <f>HYPERLINK("http://www.ncbi.nlm.nih.gov/Taxonomy/Browser/wwwtax.cgi?mode=Info&amp;id=30419&amp;lvl=3&amp;lin=f&amp;keep=1&amp;srchmode=1&amp;unlock","30419")</f>
        <v>30419</v>
      </c>
      <c r="F406" t="s">
        <v>167</v>
      </c>
      <c r="G406" t="str">
        <f>HYPERLINK("http://www.ncbi.nlm.nih.gov/Taxonomy/Browser/wwwtax.cgi?mode=Info&amp;id=30419&amp;lvl=3&amp;lin=f&amp;keep=1&amp;srchmode=1&amp;unlock","Opisthocomus hoazin")</f>
        <v>Opisthocomus hoazin</v>
      </c>
      <c r="H406" t="s">
        <v>377</v>
      </c>
      <c r="I406" t="str">
        <f>HYPERLINK("http://www.ncbi.nlm.nih.gov/protein/XP_009933046.1","PREDICTED: fatty acid-binding protein, liver")</f>
        <v>PREDICTED: fatty acid-binding protein, liver</v>
      </c>
      <c r="J406" t="s">
        <v>1386</v>
      </c>
      <c r="K406" t="s">
        <v>25</v>
      </c>
      <c r="L406">
        <v>50</v>
      </c>
      <c r="M406" t="s">
        <v>1383</v>
      </c>
      <c r="N406" t="s">
        <v>25</v>
      </c>
    </row>
    <row r="407" spans="1:14" x14ac:dyDescent="0.25">
      <c r="A407">
        <v>6</v>
      </c>
      <c r="B407" t="s">
        <v>167</v>
      </c>
      <c r="C407" t="str">
        <f>HYPERLINK("http://www.ncbi.nlm.nih.gov/protein/NXD34916.1","NXD34916.1")</f>
        <v>NXD34916.1</v>
      </c>
      <c r="D407">
        <v>14417</v>
      </c>
      <c r="E407" t="str">
        <f>HYPERLINK("http://www.ncbi.nlm.nih.gov/Taxonomy/Browser/wwwtax.cgi?mode=Info&amp;id=797021&amp;lvl=3&amp;lin=f&amp;keep=1&amp;srchmode=1&amp;unlock","797021")</f>
        <v>797021</v>
      </c>
      <c r="F407" t="s">
        <v>167</v>
      </c>
      <c r="G407" t="str">
        <f>HYPERLINK("http://www.ncbi.nlm.nih.gov/Taxonomy/Browser/wwwtax.cgi?mode=Info&amp;id=797021&amp;lvl=3&amp;lin=f&amp;keep=1&amp;srchmode=1&amp;unlock","Copsychus sechellarum")</f>
        <v>Copsychus sechellarum</v>
      </c>
      <c r="H407" t="s">
        <v>378</v>
      </c>
      <c r="I407" t="str">
        <f>HYPERLINK("http://www.ncbi.nlm.nih.gov/protein/NXD34916.1","FABPL protein")</f>
        <v>FABPL protein</v>
      </c>
      <c r="J407" t="s">
        <v>1386</v>
      </c>
      <c r="K407" t="s">
        <v>25</v>
      </c>
      <c r="L407">
        <v>50</v>
      </c>
      <c r="M407" t="s">
        <v>1379</v>
      </c>
      <c r="N407" t="s">
        <v>25</v>
      </c>
    </row>
    <row r="408" spans="1:14" x14ac:dyDescent="0.25">
      <c r="A408">
        <v>6</v>
      </c>
      <c r="B408" t="s">
        <v>167</v>
      </c>
      <c r="C408" t="str">
        <f>HYPERLINK("http://www.ncbi.nlm.nih.gov/protein/NXO83871.1","NXO83871.1")</f>
        <v>NXO83871.1</v>
      </c>
      <c r="D408">
        <v>13766</v>
      </c>
      <c r="E408" t="str">
        <f>HYPERLINK("http://www.ncbi.nlm.nih.gov/Taxonomy/Browser/wwwtax.cgi?mode=Info&amp;id=50251&amp;lvl=3&amp;lin=f&amp;keep=1&amp;srchmode=1&amp;unlock","50251")</f>
        <v>50251</v>
      </c>
      <c r="F408" t="s">
        <v>167</v>
      </c>
      <c r="G408" t="str">
        <f>HYPERLINK("http://www.ncbi.nlm.nih.gov/Taxonomy/Browser/wwwtax.cgi?mode=Info&amp;id=50251&amp;lvl=3&amp;lin=f&amp;keep=1&amp;srchmode=1&amp;unlock","Sitta europaea")</f>
        <v>Sitta europaea</v>
      </c>
      <c r="H408" t="s">
        <v>379</v>
      </c>
      <c r="I408" t="str">
        <f>HYPERLINK("http://www.ncbi.nlm.nih.gov/protein/NXO83871.1","FABPL protein")</f>
        <v>FABPL protein</v>
      </c>
      <c r="J408" t="s">
        <v>1386</v>
      </c>
      <c r="K408" t="s">
        <v>25</v>
      </c>
      <c r="L408">
        <v>50</v>
      </c>
      <c r="M408" t="s">
        <v>1383</v>
      </c>
      <c r="N408" t="s">
        <v>25</v>
      </c>
    </row>
    <row r="409" spans="1:14" x14ac:dyDescent="0.25">
      <c r="A409">
        <v>6</v>
      </c>
      <c r="B409" t="s">
        <v>167</v>
      </c>
      <c r="C409" t="str">
        <f>HYPERLINK("http://www.ncbi.nlm.nih.gov/protein/NXR98223.1","NXR98223.1")</f>
        <v>NXR98223.1</v>
      </c>
      <c r="D409">
        <v>9012</v>
      </c>
      <c r="E409" t="str">
        <f>HYPERLINK("http://www.ncbi.nlm.nih.gov/Taxonomy/Browser/wwwtax.cgi?mode=Info&amp;id=98144&amp;lvl=3&amp;lin=f&amp;keep=1&amp;srchmode=1&amp;unlock","98144")</f>
        <v>98144</v>
      </c>
      <c r="F409" t="s">
        <v>167</v>
      </c>
      <c r="G409" t="str">
        <f>HYPERLINK("http://www.ncbi.nlm.nih.gov/Taxonomy/Browser/wwwtax.cgi?mode=Info&amp;id=98144&amp;lvl=3&amp;lin=f&amp;keep=1&amp;srchmode=1&amp;unlock","Oxylabes madagascariensis")</f>
        <v>Oxylabes madagascariensis</v>
      </c>
      <c r="H409" t="s">
        <v>374</v>
      </c>
      <c r="I409" t="str">
        <f>HYPERLINK("http://www.ncbi.nlm.nih.gov/protein/NXR98223.1","FABPL protein")</f>
        <v>FABPL protein</v>
      </c>
      <c r="J409" t="s">
        <v>1386</v>
      </c>
      <c r="K409" t="s">
        <v>25</v>
      </c>
      <c r="L409">
        <v>50</v>
      </c>
      <c r="M409" t="s">
        <v>1379</v>
      </c>
      <c r="N409" t="s">
        <v>25</v>
      </c>
    </row>
    <row r="410" spans="1:14" x14ac:dyDescent="0.25">
      <c r="A410">
        <v>6</v>
      </c>
      <c r="B410" t="s">
        <v>167</v>
      </c>
      <c r="C410" t="str">
        <f>HYPERLINK("http://www.ncbi.nlm.nih.gov/protein/NWW56002.1","NWW56002.1")</f>
        <v>NWW56002.1</v>
      </c>
      <c r="D410">
        <v>14068</v>
      </c>
      <c r="E410" t="str">
        <f>HYPERLINK("http://www.ncbi.nlm.nih.gov/Taxonomy/Browser/wwwtax.cgi?mode=Info&amp;id=461245&amp;lvl=3&amp;lin=f&amp;keep=1&amp;srchmode=1&amp;unlock","461245")</f>
        <v>461245</v>
      </c>
      <c r="F410" t="s">
        <v>167</v>
      </c>
      <c r="G410" t="str">
        <f>HYPERLINK("http://www.ncbi.nlm.nih.gov/Taxonomy/Browser/wwwtax.cgi?mode=Info&amp;id=461245&amp;lvl=3&amp;lin=f&amp;keep=1&amp;srchmode=1&amp;unlock","Ifrita kowaldi")</f>
        <v>Ifrita kowaldi</v>
      </c>
      <c r="H410" t="s">
        <v>375</v>
      </c>
      <c r="I410" t="str">
        <f>HYPERLINK("http://www.ncbi.nlm.nih.gov/protein/NWW56002.1","FABPL protein")</f>
        <v>FABPL protein</v>
      </c>
      <c r="J410" t="s">
        <v>1386</v>
      </c>
      <c r="K410" t="s">
        <v>25</v>
      </c>
      <c r="L410">
        <v>50</v>
      </c>
      <c r="M410" t="s">
        <v>1379</v>
      </c>
      <c r="N410" t="s">
        <v>25</v>
      </c>
    </row>
    <row r="411" spans="1:14" x14ac:dyDescent="0.25">
      <c r="A411">
        <v>6</v>
      </c>
      <c r="B411" t="s">
        <v>167</v>
      </c>
      <c r="C411" t="str">
        <f>HYPERLINK("http://www.ncbi.nlm.nih.gov/protein/NP_989523.1","NP_989523.1")</f>
        <v>NP_989523.1</v>
      </c>
      <c r="D411">
        <v>115665</v>
      </c>
      <c r="E411" t="str">
        <f>HYPERLINK("http://www.ncbi.nlm.nih.gov/Taxonomy/Browser/wwwtax.cgi?mode=Info&amp;id=9031&amp;lvl=3&amp;lin=f&amp;keep=1&amp;srchmode=1&amp;unlock","9031")</f>
        <v>9031</v>
      </c>
      <c r="F411" t="s">
        <v>167</v>
      </c>
      <c r="G411" t="str">
        <f>HYPERLINK("http://www.ncbi.nlm.nih.gov/Taxonomy/Browser/wwwtax.cgi?mode=Info&amp;id=9031&amp;lvl=3&amp;lin=f&amp;keep=1&amp;srchmode=1&amp;unlock","Gallus gallus")</f>
        <v>Gallus gallus</v>
      </c>
      <c r="H411" t="s">
        <v>387</v>
      </c>
      <c r="I411" t="str">
        <f>HYPERLINK("http://www.ncbi.nlm.nih.gov/protein/NP_989523.1","fatty acid-binding protein, liver")</f>
        <v>fatty acid-binding protein, liver</v>
      </c>
      <c r="J411" t="s">
        <v>1386</v>
      </c>
      <c r="K411" t="s">
        <v>25</v>
      </c>
      <c r="L411">
        <v>50</v>
      </c>
      <c r="M411" t="s">
        <v>1383</v>
      </c>
      <c r="N411" t="s">
        <v>25</v>
      </c>
    </row>
    <row r="412" spans="1:14" x14ac:dyDescent="0.25">
      <c r="A412">
        <v>6</v>
      </c>
      <c r="B412" t="s">
        <v>167</v>
      </c>
      <c r="C412" t="str">
        <f>HYPERLINK("http://www.ncbi.nlm.nih.gov/protein/NXK38239.1","NXK38239.1")</f>
        <v>NXK38239.1</v>
      </c>
      <c r="D412">
        <v>14174</v>
      </c>
      <c r="E412" t="str">
        <f>HYPERLINK("http://www.ncbi.nlm.nih.gov/Taxonomy/Browser/wwwtax.cgi?mode=Info&amp;id=114369&amp;lvl=3&amp;lin=f&amp;keep=1&amp;srchmode=1&amp;unlock","114369")</f>
        <v>114369</v>
      </c>
      <c r="F412" t="s">
        <v>167</v>
      </c>
      <c r="G412" t="str">
        <f>HYPERLINK("http://www.ncbi.nlm.nih.gov/Taxonomy/Browser/wwwtax.cgi?mode=Info&amp;id=114369&amp;lvl=3&amp;lin=f&amp;keep=1&amp;srchmode=1&amp;unlock","Piprites chloris")</f>
        <v>Piprites chloris</v>
      </c>
      <c r="H412" t="s">
        <v>389</v>
      </c>
      <c r="I412" t="str">
        <f>HYPERLINK("http://www.ncbi.nlm.nih.gov/protein/NXK38239.1","FABPL protein")</f>
        <v>FABPL protein</v>
      </c>
      <c r="J412" t="s">
        <v>1386</v>
      </c>
      <c r="K412" t="s">
        <v>25</v>
      </c>
      <c r="L412">
        <v>50</v>
      </c>
      <c r="M412" t="s">
        <v>1379</v>
      </c>
      <c r="N412" t="s">
        <v>25</v>
      </c>
    </row>
    <row r="413" spans="1:14" x14ac:dyDescent="0.25">
      <c r="A413">
        <v>6</v>
      </c>
      <c r="B413" t="s">
        <v>167</v>
      </c>
      <c r="C413" t="str">
        <f>HYPERLINK("http://www.ncbi.nlm.nih.gov/protein/NWS90418.1","NWS90418.1")</f>
        <v>NWS90418.1</v>
      </c>
      <c r="D413">
        <v>14243</v>
      </c>
      <c r="E413" t="str">
        <f>HYPERLINK("http://www.ncbi.nlm.nih.gov/Taxonomy/Browser/wwwtax.cgi?mode=Info&amp;id=99882&amp;lvl=3&amp;lin=f&amp;keep=1&amp;srchmode=1&amp;unlock","99882")</f>
        <v>99882</v>
      </c>
      <c r="F413" t="s">
        <v>167</v>
      </c>
      <c r="G413" t="str">
        <f>HYPERLINK("http://www.ncbi.nlm.nih.gov/Taxonomy/Browser/wwwtax.cgi?mode=Info&amp;id=99882&amp;lvl=3&amp;lin=f&amp;keep=1&amp;srchmode=1&amp;unlock","Toxostoma redivivum")</f>
        <v>Toxostoma redivivum</v>
      </c>
      <c r="H413" t="s">
        <v>206</v>
      </c>
      <c r="I413" t="str">
        <f>HYPERLINK("http://www.ncbi.nlm.nih.gov/protein/NWS90418.1","FABPL protein")</f>
        <v>FABPL protein</v>
      </c>
      <c r="J413" t="s">
        <v>1386</v>
      </c>
      <c r="K413" t="s">
        <v>25</v>
      </c>
      <c r="L413">
        <v>50</v>
      </c>
      <c r="M413" t="s">
        <v>1383</v>
      </c>
      <c r="N413" t="s">
        <v>25</v>
      </c>
    </row>
    <row r="414" spans="1:14" x14ac:dyDescent="0.25">
      <c r="A414">
        <v>6</v>
      </c>
      <c r="B414" t="s">
        <v>167</v>
      </c>
      <c r="C414" t="str">
        <f>HYPERLINK("http://www.ncbi.nlm.nih.gov/protein/NXQ24791.1","NXQ24791.1")</f>
        <v>NXQ24791.1</v>
      </c>
      <c r="D414">
        <v>14376</v>
      </c>
      <c r="E414" t="str">
        <f>HYPERLINK("http://www.ncbi.nlm.nih.gov/Taxonomy/Browser/wwwtax.cgi?mode=Info&amp;id=670337&amp;lvl=3&amp;lin=f&amp;keep=1&amp;srchmode=1&amp;unlock","670337")</f>
        <v>670337</v>
      </c>
      <c r="F414" t="s">
        <v>167</v>
      </c>
      <c r="G414" t="str">
        <f>HYPERLINK("http://www.ncbi.nlm.nih.gov/Taxonomy/Browser/wwwtax.cgi?mode=Info&amp;id=670337&amp;lvl=3&amp;lin=f&amp;keep=1&amp;srchmode=1&amp;unlock","Alaudala cheleensis")</f>
        <v>Alaudala cheleensis</v>
      </c>
      <c r="H414" t="s">
        <v>383</v>
      </c>
      <c r="I414" t="str">
        <f>HYPERLINK("http://www.ncbi.nlm.nih.gov/protein/NXQ24791.1","FABPL protein")</f>
        <v>FABPL protein</v>
      </c>
      <c r="J414" t="s">
        <v>1386</v>
      </c>
      <c r="K414" t="s">
        <v>25</v>
      </c>
      <c r="L414">
        <v>50</v>
      </c>
      <c r="M414" t="s">
        <v>1379</v>
      </c>
      <c r="N414" t="s">
        <v>25</v>
      </c>
    </row>
    <row r="415" spans="1:14" x14ac:dyDescent="0.25">
      <c r="A415">
        <v>6</v>
      </c>
      <c r="B415" t="s">
        <v>167</v>
      </c>
      <c r="C415" t="str">
        <f>HYPERLINK("http://www.ncbi.nlm.nih.gov/protein/NWU85734.1","NWU85734.1")</f>
        <v>NWU85734.1</v>
      </c>
      <c r="D415">
        <v>14404</v>
      </c>
      <c r="E415" t="str">
        <f>HYPERLINK("http://www.ncbi.nlm.nih.gov/Taxonomy/Browser/wwwtax.cgi?mode=Info&amp;id=360224&amp;lvl=3&amp;lin=f&amp;keep=1&amp;srchmode=1&amp;unlock","360224")</f>
        <v>360224</v>
      </c>
      <c r="F415" t="s">
        <v>167</v>
      </c>
      <c r="G415" t="str">
        <f>HYPERLINK("http://www.ncbi.nlm.nih.gov/Taxonomy/Browser/wwwtax.cgi?mode=Info&amp;id=360224&amp;lvl=3&amp;lin=f&amp;keep=1&amp;srchmode=1&amp;unlock","Onychorhynchus coronatus")</f>
        <v>Onychorhynchus coronatus</v>
      </c>
      <c r="H415" t="s">
        <v>206</v>
      </c>
      <c r="I415" t="str">
        <f>HYPERLINK("http://www.ncbi.nlm.nih.gov/protein/NWU85734.1","FABPL protein")</f>
        <v>FABPL protein</v>
      </c>
      <c r="J415" t="s">
        <v>1386</v>
      </c>
      <c r="K415" t="s">
        <v>25</v>
      </c>
      <c r="L415">
        <v>50</v>
      </c>
      <c r="M415" t="s">
        <v>1379</v>
      </c>
      <c r="N415" t="s">
        <v>25</v>
      </c>
    </row>
    <row r="416" spans="1:14" x14ac:dyDescent="0.25">
      <c r="A416">
        <v>6</v>
      </c>
      <c r="B416" t="s">
        <v>167</v>
      </c>
      <c r="C416" t="str">
        <f>HYPERLINK("http://www.ncbi.nlm.nih.gov/protein/NWI03937.1","NWI03937.1")</f>
        <v>NWI03937.1</v>
      </c>
      <c r="D416">
        <v>11529</v>
      </c>
      <c r="E416" t="str">
        <f>HYPERLINK("http://www.ncbi.nlm.nih.gov/Taxonomy/Browser/wwwtax.cgi?mode=Info&amp;id=237442&amp;lvl=3&amp;lin=f&amp;keep=1&amp;srchmode=1&amp;unlock","237442")</f>
        <v>237442</v>
      </c>
      <c r="F416" t="s">
        <v>167</v>
      </c>
      <c r="G416" t="str">
        <f>HYPERLINK("http://www.ncbi.nlm.nih.gov/Taxonomy/Browser/wwwtax.cgi?mode=Info&amp;id=237442&amp;lvl=3&amp;lin=f&amp;keep=1&amp;srchmode=1&amp;unlock","Tichodroma muraria")</f>
        <v>Tichodroma muraria</v>
      </c>
      <c r="H416" t="s">
        <v>206</v>
      </c>
      <c r="I416" t="str">
        <f>HYPERLINK("http://www.ncbi.nlm.nih.gov/protein/NWI03937.1","FABPL protein")</f>
        <v>FABPL protein</v>
      </c>
      <c r="J416" t="s">
        <v>1386</v>
      </c>
      <c r="K416" t="s">
        <v>25</v>
      </c>
      <c r="L416">
        <v>50</v>
      </c>
      <c r="M416" t="s">
        <v>1383</v>
      </c>
      <c r="N416" t="s">
        <v>25</v>
      </c>
    </row>
    <row r="417" spans="1:14" x14ac:dyDescent="0.25">
      <c r="A417">
        <v>6</v>
      </c>
      <c r="B417" t="s">
        <v>167</v>
      </c>
      <c r="C417" t="str">
        <f>HYPERLINK("http://www.ncbi.nlm.nih.gov/protein/NXD20723.1","NXD20723.1")</f>
        <v>NXD20723.1</v>
      </c>
      <c r="D417">
        <v>14027</v>
      </c>
      <c r="E417" t="str">
        <f>HYPERLINK("http://www.ncbi.nlm.nih.gov/Taxonomy/Browser/wwwtax.cgi?mode=Info&amp;id=1463973&amp;lvl=3&amp;lin=f&amp;keep=1&amp;srchmode=1&amp;unlock","1463973")</f>
        <v>1463973</v>
      </c>
      <c r="F417" t="s">
        <v>167</v>
      </c>
      <c r="G417" t="str">
        <f>HYPERLINK("http://www.ncbi.nlm.nih.gov/Taxonomy/Browser/wwwtax.cgi?mode=Info&amp;id=1463973&amp;lvl=3&amp;lin=f&amp;keep=1&amp;srchmode=1&amp;unlock","Elachura formosa")</f>
        <v>Elachura formosa</v>
      </c>
      <c r="H417" t="s">
        <v>390</v>
      </c>
      <c r="I417" t="str">
        <f>HYPERLINK("http://www.ncbi.nlm.nih.gov/protein/NXD20723.1","FABPL protein")</f>
        <v>FABPL protein</v>
      </c>
      <c r="J417" t="s">
        <v>1386</v>
      </c>
      <c r="K417" t="s">
        <v>25</v>
      </c>
      <c r="L417">
        <v>50</v>
      </c>
      <c r="M417" t="s">
        <v>1379</v>
      </c>
      <c r="N417" t="s">
        <v>25</v>
      </c>
    </row>
    <row r="418" spans="1:14" x14ac:dyDescent="0.25">
      <c r="A418">
        <v>6</v>
      </c>
      <c r="B418" t="s">
        <v>167</v>
      </c>
      <c r="C418" t="str">
        <f>HYPERLINK("http://www.ncbi.nlm.nih.gov/protein/NXP72820.1","NXP72820.1")</f>
        <v>NXP72820.1</v>
      </c>
      <c r="D418">
        <v>14056</v>
      </c>
      <c r="E418" t="str">
        <f>HYPERLINK("http://www.ncbi.nlm.nih.gov/Taxonomy/Browser/wwwtax.cgi?mode=Info&amp;id=322582&amp;lvl=3&amp;lin=f&amp;keep=1&amp;srchmode=1&amp;unlock","322582")</f>
        <v>322582</v>
      </c>
      <c r="F418" t="s">
        <v>167</v>
      </c>
      <c r="G418" t="str">
        <f>HYPERLINK("http://www.ncbi.nlm.nih.gov/Taxonomy/Browser/wwwtax.cgi?mode=Info&amp;id=322582&amp;lvl=3&amp;lin=f&amp;keep=1&amp;srchmode=1&amp;unlock","Ramphastos sulfuratus")</f>
        <v>Ramphastos sulfuratus</v>
      </c>
      <c r="H418" t="s">
        <v>262</v>
      </c>
      <c r="I418" t="str">
        <f>HYPERLINK("http://www.ncbi.nlm.nih.gov/protein/NXP72820.1","FABPL protein")</f>
        <v>FABPL protein</v>
      </c>
      <c r="J418" t="s">
        <v>1386</v>
      </c>
      <c r="K418" t="s">
        <v>25</v>
      </c>
      <c r="L418">
        <v>50</v>
      </c>
      <c r="M418" t="s">
        <v>1383</v>
      </c>
      <c r="N418" t="s">
        <v>25</v>
      </c>
    </row>
    <row r="419" spans="1:14" x14ac:dyDescent="0.25">
      <c r="A419">
        <v>6</v>
      </c>
      <c r="B419" t="s">
        <v>167</v>
      </c>
      <c r="C419" t="str">
        <f>HYPERLINK("http://www.ncbi.nlm.nih.gov/protein/NXO73078.1","NXO73078.1")</f>
        <v>NXO73078.1</v>
      </c>
      <c r="D419">
        <v>13570</v>
      </c>
      <c r="E419" t="str">
        <f>HYPERLINK("http://www.ncbi.nlm.nih.gov/Taxonomy/Browser/wwwtax.cgi?mode=Info&amp;id=161653&amp;lvl=3&amp;lin=f&amp;keep=1&amp;srchmode=1&amp;unlock","161653")</f>
        <v>161653</v>
      </c>
      <c r="F419" t="s">
        <v>167</v>
      </c>
      <c r="G419" t="str">
        <f>HYPERLINK("http://www.ncbi.nlm.nih.gov/Taxonomy/Browser/wwwtax.cgi?mode=Info&amp;id=161653&amp;lvl=3&amp;lin=f&amp;keep=1&amp;srchmode=1&amp;unlock","Phainopepla nitens")</f>
        <v>Phainopepla nitens</v>
      </c>
      <c r="H419" t="s">
        <v>206</v>
      </c>
      <c r="I419" t="str">
        <f>HYPERLINK("http://www.ncbi.nlm.nih.gov/protein/NXO73078.1","FABPL protein")</f>
        <v>FABPL protein</v>
      </c>
      <c r="J419" t="s">
        <v>1386</v>
      </c>
      <c r="K419" t="s">
        <v>25</v>
      </c>
      <c r="L419">
        <v>50</v>
      </c>
      <c r="M419" t="s">
        <v>1383</v>
      </c>
      <c r="N419" t="s">
        <v>25</v>
      </c>
    </row>
    <row r="420" spans="1:14" x14ac:dyDescent="0.25">
      <c r="A420">
        <v>6</v>
      </c>
      <c r="B420" t="s">
        <v>167</v>
      </c>
      <c r="C420" t="str">
        <f>HYPERLINK("http://www.ncbi.nlm.nih.gov/protein/XP_005045637.1","XP_005045637.1")</f>
        <v>XP_005045637.1</v>
      </c>
      <c r="D420">
        <v>26779</v>
      </c>
      <c r="E420" t="str">
        <f>HYPERLINK("http://www.ncbi.nlm.nih.gov/Taxonomy/Browser/wwwtax.cgi?mode=Info&amp;id=59894&amp;lvl=3&amp;lin=f&amp;keep=1&amp;srchmode=1&amp;unlock","59894")</f>
        <v>59894</v>
      </c>
      <c r="F420" t="s">
        <v>167</v>
      </c>
      <c r="G420" t="str">
        <f>HYPERLINK("http://www.ncbi.nlm.nih.gov/Taxonomy/Browser/wwwtax.cgi?mode=Info&amp;id=59894&amp;lvl=3&amp;lin=f&amp;keep=1&amp;srchmode=1&amp;unlock","Ficedula albicollis")</f>
        <v>Ficedula albicollis</v>
      </c>
      <c r="H420" t="s">
        <v>394</v>
      </c>
      <c r="I420" t="str">
        <f>HYPERLINK("http://www.ncbi.nlm.nih.gov/protein/XP_005045637.1","PREDICTED: fatty acid-binding protein, liver")</f>
        <v>PREDICTED: fatty acid-binding protein, liver</v>
      </c>
      <c r="J420" t="s">
        <v>1386</v>
      </c>
      <c r="K420" t="s">
        <v>25</v>
      </c>
      <c r="L420">
        <v>50</v>
      </c>
      <c r="M420" t="s">
        <v>1379</v>
      </c>
      <c r="N420" t="s">
        <v>25</v>
      </c>
    </row>
    <row r="421" spans="1:14" x14ac:dyDescent="0.25">
      <c r="A421">
        <v>6</v>
      </c>
      <c r="B421" t="s">
        <v>167</v>
      </c>
      <c r="C421" t="str">
        <f>HYPERLINK("http://www.ncbi.nlm.nih.gov/protein/NXY13661.1","NXY13661.1")</f>
        <v>NXY13661.1</v>
      </c>
      <c r="D421">
        <v>14622</v>
      </c>
      <c r="E421" t="str">
        <f>HYPERLINK("http://www.ncbi.nlm.nih.gov/Taxonomy/Browser/wwwtax.cgi?mode=Info&amp;id=449594&amp;lvl=3&amp;lin=f&amp;keep=1&amp;srchmode=1&amp;unlock","449594")</f>
        <v>449594</v>
      </c>
      <c r="F421" t="s">
        <v>167</v>
      </c>
      <c r="G421" t="str">
        <f>HYPERLINK("http://www.ncbi.nlm.nih.gov/Taxonomy/Browser/wwwtax.cgi?mode=Info&amp;id=449594&amp;lvl=3&amp;lin=f&amp;keep=1&amp;srchmode=1&amp;unlock","Atrichornis clamosus")</f>
        <v>Atrichornis clamosus</v>
      </c>
      <c r="H421" t="s">
        <v>206</v>
      </c>
      <c r="I421" t="str">
        <f>HYPERLINK("http://www.ncbi.nlm.nih.gov/protein/NXY13661.1","FABPL protein")</f>
        <v>FABPL protein</v>
      </c>
      <c r="J421" t="s">
        <v>1386</v>
      </c>
      <c r="K421" t="s">
        <v>25</v>
      </c>
      <c r="L421">
        <v>50</v>
      </c>
      <c r="M421" t="s">
        <v>1379</v>
      </c>
      <c r="N421" t="s">
        <v>25</v>
      </c>
    </row>
    <row r="422" spans="1:14" x14ac:dyDescent="0.25">
      <c r="A422">
        <v>6</v>
      </c>
      <c r="B422" t="s">
        <v>167</v>
      </c>
      <c r="C422" t="str">
        <f>HYPERLINK("http://www.ncbi.nlm.nih.gov/protein/NWW30732.1","NWW30732.1")</f>
        <v>NWW30732.1</v>
      </c>
      <c r="D422">
        <v>12841</v>
      </c>
      <c r="E422" t="str">
        <f>HYPERLINK("http://www.ncbi.nlm.nih.gov/Taxonomy/Browser/wwwtax.cgi?mode=Info&amp;id=181101&amp;lvl=3&amp;lin=f&amp;keep=1&amp;srchmode=1&amp;unlock","181101")</f>
        <v>181101</v>
      </c>
      <c r="F422" t="s">
        <v>167</v>
      </c>
      <c r="G422" t="str">
        <f>HYPERLINK("http://www.ncbi.nlm.nih.gov/Taxonomy/Browser/wwwtax.cgi?mode=Info&amp;id=181101&amp;lvl=3&amp;lin=f&amp;keep=1&amp;srchmode=1&amp;unlock","Panurus biarmicus")</f>
        <v>Panurus biarmicus</v>
      </c>
      <c r="H422" t="s">
        <v>395</v>
      </c>
      <c r="I422" t="str">
        <f>HYPERLINK("http://www.ncbi.nlm.nih.gov/protein/NWW30732.1","FABPL protein")</f>
        <v>FABPL protein</v>
      </c>
      <c r="J422" t="s">
        <v>1386</v>
      </c>
      <c r="K422" t="s">
        <v>25</v>
      </c>
      <c r="L422">
        <v>50</v>
      </c>
      <c r="M422" t="s">
        <v>1379</v>
      </c>
      <c r="N422" t="s">
        <v>25</v>
      </c>
    </row>
    <row r="423" spans="1:14" x14ac:dyDescent="0.25">
      <c r="A423">
        <v>6</v>
      </c>
      <c r="B423" t="s">
        <v>167</v>
      </c>
      <c r="C423" t="str">
        <f>HYPERLINK("http://www.ncbi.nlm.nih.gov/protein/XP_030348152.1","XP_030348152.1")</f>
        <v>XP_030348152.1</v>
      </c>
      <c r="D423">
        <v>43730</v>
      </c>
      <c r="E423" t="str">
        <f>HYPERLINK("http://www.ncbi.nlm.nih.gov/Taxonomy/Browser/wwwtax.cgi?mode=Info&amp;id=2489341&amp;lvl=3&amp;lin=f&amp;keep=1&amp;srchmode=1&amp;unlock","2489341")</f>
        <v>2489341</v>
      </c>
      <c r="F423" t="s">
        <v>167</v>
      </c>
      <c r="G423" t="str">
        <f>HYPERLINK("http://www.ncbi.nlm.nih.gov/Taxonomy/Browser/wwwtax.cgi?mode=Info&amp;id=2489341&amp;lvl=3&amp;lin=f&amp;keep=1&amp;srchmode=1&amp;unlock","Strigops habroptila")</f>
        <v>Strigops habroptila</v>
      </c>
      <c r="H423" t="s">
        <v>396</v>
      </c>
      <c r="I423" t="str">
        <f>HYPERLINK("http://www.ncbi.nlm.nih.gov/protein/XP_030348152.1","fatty acid-binding protein, liver")</f>
        <v>fatty acid-binding protein, liver</v>
      </c>
      <c r="J423" t="s">
        <v>1386</v>
      </c>
      <c r="K423" t="s">
        <v>25</v>
      </c>
      <c r="L423">
        <v>50</v>
      </c>
      <c r="M423" t="s">
        <v>1383</v>
      </c>
      <c r="N423" t="s">
        <v>25</v>
      </c>
    </row>
    <row r="424" spans="1:14" x14ac:dyDescent="0.25">
      <c r="A424">
        <v>6</v>
      </c>
      <c r="B424" t="s">
        <v>167</v>
      </c>
      <c r="C424" t="str">
        <f>HYPERLINK("http://www.ncbi.nlm.nih.gov/protein/XP_031444579.1","XP_031444579.1")</f>
        <v>XP_031444579.1</v>
      </c>
      <c r="D424">
        <v>29368</v>
      </c>
      <c r="E424" t="str">
        <f>HYPERLINK("http://www.ncbi.nlm.nih.gov/Taxonomy/Browser/wwwtax.cgi?mode=Info&amp;id=9054&amp;lvl=3&amp;lin=f&amp;keep=1&amp;srchmode=1&amp;unlock","9054")</f>
        <v>9054</v>
      </c>
      <c r="F424" t="s">
        <v>167</v>
      </c>
      <c r="G424" t="str">
        <f>HYPERLINK("http://www.ncbi.nlm.nih.gov/Taxonomy/Browser/wwwtax.cgi?mode=Info&amp;id=9054&amp;lvl=3&amp;lin=f&amp;keep=1&amp;srchmode=1&amp;unlock","Phasianus colchicus")</f>
        <v>Phasianus colchicus</v>
      </c>
      <c r="H424" t="s">
        <v>397</v>
      </c>
      <c r="I424" t="str">
        <f>HYPERLINK("http://www.ncbi.nlm.nih.gov/protein/XP_031444579.1","fatty acid-binding protein, liver")</f>
        <v>fatty acid-binding protein, liver</v>
      </c>
      <c r="J424" t="s">
        <v>1386</v>
      </c>
      <c r="K424" t="s">
        <v>25</v>
      </c>
      <c r="L424">
        <v>50</v>
      </c>
      <c r="M424" t="s">
        <v>1383</v>
      </c>
      <c r="N424" t="s">
        <v>25</v>
      </c>
    </row>
    <row r="425" spans="1:14" x14ac:dyDescent="0.25">
      <c r="A425">
        <v>6</v>
      </c>
      <c r="B425" t="s">
        <v>167</v>
      </c>
      <c r="C425" t="str">
        <f>HYPERLINK("http://www.ncbi.nlm.nih.gov/protein/NXR24235.1","NXR24235.1")</f>
        <v>NXR24235.1</v>
      </c>
      <c r="D425">
        <v>13525</v>
      </c>
      <c r="E425" t="str">
        <f>HYPERLINK("http://www.ncbi.nlm.nih.gov/Taxonomy/Browser/wwwtax.cgi?mode=Info&amp;id=161649&amp;lvl=3&amp;lin=f&amp;keep=1&amp;srchmode=1&amp;unlock","161649")</f>
        <v>161649</v>
      </c>
      <c r="F425" t="s">
        <v>167</v>
      </c>
      <c r="G425" t="str">
        <f>HYPERLINK("http://www.ncbi.nlm.nih.gov/Taxonomy/Browser/wwwtax.cgi?mode=Info&amp;id=161649&amp;lvl=3&amp;lin=f&amp;keep=1&amp;srchmode=1&amp;unlock","Cinclus mexicanus")</f>
        <v>Cinclus mexicanus</v>
      </c>
      <c r="H425" t="s">
        <v>206</v>
      </c>
      <c r="I425" t="str">
        <f>HYPERLINK("http://www.ncbi.nlm.nih.gov/protein/NXR24235.1","FABPL protein")</f>
        <v>FABPL protein</v>
      </c>
      <c r="J425" t="s">
        <v>1386</v>
      </c>
      <c r="K425" t="s">
        <v>25</v>
      </c>
      <c r="L425">
        <v>50</v>
      </c>
      <c r="M425" t="s">
        <v>1379</v>
      </c>
      <c r="N425" t="s">
        <v>25</v>
      </c>
    </row>
    <row r="426" spans="1:14" x14ac:dyDescent="0.25">
      <c r="A426">
        <v>6</v>
      </c>
      <c r="B426" t="s">
        <v>167</v>
      </c>
      <c r="C426" t="str">
        <f>HYPERLINK("http://www.ncbi.nlm.nih.gov/protein/NWQ49776.1","NWQ49776.1")</f>
        <v>NWQ49776.1</v>
      </c>
      <c r="D426">
        <v>14102</v>
      </c>
      <c r="E426" t="str">
        <f>HYPERLINK("http://www.ncbi.nlm.nih.gov/Taxonomy/Browser/wwwtax.cgi?mode=Info&amp;id=44397&amp;lvl=3&amp;lin=f&amp;keep=1&amp;srchmode=1&amp;unlock","44397")</f>
        <v>44397</v>
      </c>
      <c r="F426" t="s">
        <v>167</v>
      </c>
      <c r="G426" t="str">
        <f>HYPERLINK("http://www.ncbi.nlm.nih.gov/Taxonomy/Browser/wwwtax.cgi?mode=Info&amp;id=44397&amp;lvl=3&amp;lin=f&amp;keep=1&amp;srchmode=1&amp;unlock","Melospiza melodia")</f>
        <v>Melospiza melodia</v>
      </c>
      <c r="H426" t="s">
        <v>380</v>
      </c>
      <c r="I426" t="str">
        <f>HYPERLINK("http://www.ncbi.nlm.nih.gov/protein/NWQ49776.1","FABPL protein")</f>
        <v>FABPL protein</v>
      </c>
      <c r="J426" t="s">
        <v>1386</v>
      </c>
      <c r="K426" t="s">
        <v>25</v>
      </c>
      <c r="L426">
        <v>50</v>
      </c>
      <c r="M426" t="s">
        <v>1379</v>
      </c>
      <c r="N426" t="s">
        <v>25</v>
      </c>
    </row>
    <row r="427" spans="1:14" x14ac:dyDescent="0.25">
      <c r="A427">
        <v>6</v>
      </c>
      <c r="B427" t="s">
        <v>167</v>
      </c>
      <c r="C427" t="str">
        <f>HYPERLINK("http://www.ncbi.nlm.nih.gov/protein/NXS48245.1","NXS48245.1")</f>
        <v>NXS48245.1</v>
      </c>
      <c r="D427">
        <v>12289</v>
      </c>
      <c r="E427" t="str">
        <f>HYPERLINK("http://www.ncbi.nlm.nih.gov/Taxonomy/Browser/wwwtax.cgi?mode=Info&amp;id=33584&amp;lvl=3&amp;lin=f&amp;keep=1&amp;srchmode=1&amp;unlock","33584")</f>
        <v>33584</v>
      </c>
      <c r="F427" t="s">
        <v>167</v>
      </c>
      <c r="G427" t="str">
        <f>HYPERLINK("http://www.ncbi.nlm.nih.gov/Taxonomy/Browser/wwwtax.cgi?mode=Info&amp;id=33584&amp;lvl=3&amp;lin=f&amp;keep=1&amp;srchmode=1&amp;unlock","Balaeniceps rex")</f>
        <v>Balaeniceps rex</v>
      </c>
      <c r="H427" t="s">
        <v>399</v>
      </c>
      <c r="I427" t="str">
        <f>HYPERLINK("http://www.ncbi.nlm.nih.gov/protein/NXS48245.1","FABPL protein")</f>
        <v>FABPL protein</v>
      </c>
      <c r="J427" t="s">
        <v>1386</v>
      </c>
      <c r="K427" t="s">
        <v>25</v>
      </c>
      <c r="L427">
        <v>50</v>
      </c>
      <c r="M427" t="s">
        <v>1383</v>
      </c>
      <c r="N427" t="s">
        <v>25</v>
      </c>
    </row>
    <row r="428" spans="1:14" x14ac:dyDescent="0.25">
      <c r="A428">
        <v>6</v>
      </c>
      <c r="B428" t="s">
        <v>167</v>
      </c>
      <c r="C428" t="str">
        <f>HYPERLINK("http://www.ncbi.nlm.nih.gov/protein/NXG16533.1","NXG16533.1")</f>
        <v>NXG16533.1</v>
      </c>
      <c r="D428">
        <v>13957</v>
      </c>
      <c r="E428" t="str">
        <f>HYPERLINK("http://www.ncbi.nlm.nih.gov/Taxonomy/Browser/wwwtax.cgi?mode=Info&amp;id=117165&amp;lvl=3&amp;lin=f&amp;keep=1&amp;srchmode=1&amp;unlock","117165")</f>
        <v>117165</v>
      </c>
      <c r="F428" t="s">
        <v>167</v>
      </c>
      <c r="G428" t="str">
        <f>HYPERLINK("http://www.ncbi.nlm.nih.gov/Taxonomy/Browser/wwwtax.cgi?mode=Info&amp;id=117165&amp;lvl=3&amp;lin=f&amp;keep=1&amp;srchmode=1&amp;unlock","Grallaria varia")</f>
        <v>Grallaria varia</v>
      </c>
      <c r="H428" t="s">
        <v>400</v>
      </c>
      <c r="I428" t="str">
        <f>HYPERLINK("http://www.ncbi.nlm.nih.gov/protein/NXG16533.1","FABPL protein")</f>
        <v>FABPL protein</v>
      </c>
      <c r="J428" t="s">
        <v>1386</v>
      </c>
      <c r="K428" t="s">
        <v>25</v>
      </c>
      <c r="L428">
        <v>50</v>
      </c>
      <c r="M428" t="s">
        <v>1379</v>
      </c>
      <c r="N428" t="s">
        <v>25</v>
      </c>
    </row>
    <row r="429" spans="1:14" x14ac:dyDescent="0.25">
      <c r="A429">
        <v>6</v>
      </c>
      <c r="B429" t="s">
        <v>167</v>
      </c>
      <c r="C429" t="str">
        <f>HYPERLINK("http://www.ncbi.nlm.nih.gov/protein/NXO41701.1","NXO41701.1")</f>
        <v>NXO41701.1</v>
      </c>
      <c r="D429">
        <v>13974</v>
      </c>
      <c r="E429" t="str">
        <f>HYPERLINK("http://www.ncbi.nlm.nih.gov/Taxonomy/Browser/wwwtax.cgi?mode=Info&amp;id=187437&amp;lvl=3&amp;lin=f&amp;keep=1&amp;srchmode=1&amp;unlock","187437")</f>
        <v>187437</v>
      </c>
      <c r="F429" t="s">
        <v>167</v>
      </c>
      <c r="G429" t="str">
        <f>HYPERLINK("http://www.ncbi.nlm.nih.gov/Taxonomy/Browser/wwwtax.cgi?mode=Info&amp;id=187437&amp;lvl=3&amp;lin=f&amp;keep=1&amp;srchmode=1&amp;unlock","Locustella ochotensis")</f>
        <v>Locustella ochotensis</v>
      </c>
      <c r="H429" t="s">
        <v>402</v>
      </c>
      <c r="I429" t="str">
        <f>HYPERLINK("http://www.ncbi.nlm.nih.gov/protein/NXO41701.1","FABPL protein")</f>
        <v>FABPL protein</v>
      </c>
      <c r="J429" t="s">
        <v>1386</v>
      </c>
      <c r="K429" t="s">
        <v>25</v>
      </c>
      <c r="L429">
        <v>50</v>
      </c>
      <c r="M429" t="s">
        <v>1379</v>
      </c>
      <c r="N429" t="s">
        <v>25</v>
      </c>
    </row>
    <row r="430" spans="1:14" x14ac:dyDescent="0.25">
      <c r="A430">
        <v>6</v>
      </c>
      <c r="B430" t="s">
        <v>167</v>
      </c>
      <c r="C430" t="str">
        <f>HYPERLINK("http://www.ncbi.nlm.nih.gov/protein/XP_027758296.1","XP_027758296.1")</f>
        <v>XP_027758296.1</v>
      </c>
      <c r="D430">
        <v>34050</v>
      </c>
      <c r="E430" t="str">
        <f>HYPERLINK("http://www.ncbi.nlm.nih.gov/Taxonomy/Browser/wwwtax.cgi?mode=Info&amp;id=164674&amp;lvl=3&amp;lin=f&amp;keep=1&amp;srchmode=1&amp;unlock","164674")</f>
        <v>164674</v>
      </c>
      <c r="F430" t="s">
        <v>167</v>
      </c>
      <c r="G430" t="str">
        <f>HYPERLINK("http://www.ncbi.nlm.nih.gov/Taxonomy/Browser/wwwtax.cgi?mode=Info&amp;id=164674&amp;lvl=3&amp;lin=f&amp;keep=1&amp;srchmode=1&amp;unlock","Empidonax traillii")</f>
        <v>Empidonax traillii</v>
      </c>
      <c r="H430" t="s">
        <v>403</v>
      </c>
      <c r="I430" t="str">
        <f>HYPERLINK("http://www.ncbi.nlm.nih.gov/protein/XP_027758296.1","fatty acid-binding protein, liver")</f>
        <v>fatty acid-binding protein, liver</v>
      </c>
      <c r="J430" t="s">
        <v>1386</v>
      </c>
      <c r="K430" t="s">
        <v>25</v>
      </c>
      <c r="L430">
        <v>50</v>
      </c>
      <c r="M430" t="s">
        <v>1379</v>
      </c>
      <c r="N430" t="s">
        <v>25</v>
      </c>
    </row>
    <row r="431" spans="1:14" x14ac:dyDescent="0.25">
      <c r="A431">
        <v>6</v>
      </c>
      <c r="B431" t="s">
        <v>167</v>
      </c>
      <c r="C431" t="str">
        <f>HYPERLINK("http://www.ncbi.nlm.nih.gov/protein/NXU83905.1","NXU83905.1")</f>
        <v>NXU83905.1</v>
      </c>
      <c r="D431">
        <v>13565</v>
      </c>
      <c r="E431" t="str">
        <f>HYPERLINK("http://www.ncbi.nlm.nih.gov/Taxonomy/Browser/wwwtax.cgi?mode=Info&amp;id=269412&amp;lvl=3&amp;lin=f&amp;keep=1&amp;srchmode=1&amp;unlock","269412")</f>
        <v>269412</v>
      </c>
      <c r="F431" t="s">
        <v>167</v>
      </c>
      <c r="G431" t="str">
        <f>HYPERLINK("http://www.ncbi.nlm.nih.gov/Taxonomy/Browser/wwwtax.cgi?mode=Info&amp;id=269412&amp;lvl=3&amp;lin=f&amp;keep=1&amp;srchmode=1&amp;unlock","Xiphorhynchus elegans")</f>
        <v>Xiphorhynchus elegans</v>
      </c>
      <c r="H431" t="s">
        <v>404</v>
      </c>
      <c r="I431" t="str">
        <f>HYPERLINK("http://www.ncbi.nlm.nih.gov/protein/NXU83905.1","FABPL protein")</f>
        <v>FABPL protein</v>
      </c>
      <c r="J431" t="s">
        <v>1386</v>
      </c>
      <c r="K431" t="s">
        <v>25</v>
      </c>
      <c r="L431">
        <v>50</v>
      </c>
      <c r="M431" t="s">
        <v>1379</v>
      </c>
      <c r="N431" t="s">
        <v>25</v>
      </c>
    </row>
    <row r="432" spans="1:14" x14ac:dyDescent="0.25">
      <c r="A432">
        <v>6</v>
      </c>
      <c r="B432" t="s">
        <v>167</v>
      </c>
      <c r="C432" t="str">
        <f>HYPERLINK("http://www.ncbi.nlm.nih.gov/protein/XP_039579801.1","XP_039579801.1")</f>
        <v>XP_039579801.1</v>
      </c>
      <c r="D432">
        <v>39374</v>
      </c>
      <c r="E432" t="str">
        <f>HYPERLINK("http://www.ncbi.nlm.nih.gov/Taxonomy/Browser/wwwtax.cgi?mode=Info&amp;id=9160&amp;lvl=3&amp;lin=f&amp;keep=1&amp;srchmode=1&amp;unlock","9160")</f>
        <v>9160</v>
      </c>
      <c r="F432" t="s">
        <v>167</v>
      </c>
      <c r="G432" t="str">
        <f>HYPERLINK("http://www.ncbi.nlm.nih.gov/Taxonomy/Browser/wwwtax.cgi?mode=Info&amp;id=9160&amp;lvl=3&amp;lin=f&amp;keep=1&amp;srchmode=1&amp;unlock","Passer montanus")</f>
        <v>Passer montanus</v>
      </c>
      <c r="H432" t="s">
        <v>405</v>
      </c>
      <c r="I432" t="str">
        <f>HYPERLINK("http://www.ncbi.nlm.nih.gov/protein/XP_039579801.1","fatty acid-binding protein, liver")</f>
        <v>fatty acid-binding protein, liver</v>
      </c>
      <c r="J432" t="s">
        <v>1386</v>
      </c>
      <c r="K432" t="s">
        <v>25</v>
      </c>
      <c r="L432">
        <v>50</v>
      </c>
      <c r="M432" t="s">
        <v>1379</v>
      </c>
      <c r="N432" t="s">
        <v>25</v>
      </c>
    </row>
    <row r="433" spans="1:14" x14ac:dyDescent="0.25">
      <c r="A433">
        <v>6</v>
      </c>
      <c r="B433" t="s">
        <v>167</v>
      </c>
      <c r="C433" t="str">
        <f>HYPERLINK("http://www.ncbi.nlm.nih.gov/protein/NXC30698.1","NXC30698.1")</f>
        <v>NXC30698.1</v>
      </c>
      <c r="D433">
        <v>14152</v>
      </c>
      <c r="E433" t="str">
        <f>HYPERLINK("http://www.ncbi.nlm.nih.gov/Taxonomy/Browser/wwwtax.cgi?mode=Info&amp;id=190295&amp;lvl=3&amp;lin=f&amp;keep=1&amp;srchmode=1&amp;unlock","190295")</f>
        <v>190295</v>
      </c>
      <c r="F433" t="s">
        <v>167</v>
      </c>
      <c r="G433" t="str">
        <f>HYPERLINK("http://www.ncbi.nlm.nih.gov/Taxonomy/Browser/wwwtax.cgi?mode=Info&amp;id=190295&amp;lvl=3&amp;lin=f&amp;keep=1&amp;srchmode=1&amp;unlock","Campylorhamphus procurvoides")</f>
        <v>Campylorhamphus procurvoides</v>
      </c>
      <c r="H433" t="s">
        <v>206</v>
      </c>
      <c r="I433" t="str">
        <f>HYPERLINK("http://www.ncbi.nlm.nih.gov/protein/NXC30698.1","FABPL protein")</f>
        <v>FABPL protein</v>
      </c>
      <c r="J433" t="s">
        <v>1386</v>
      </c>
      <c r="K433" t="s">
        <v>25</v>
      </c>
      <c r="L433">
        <v>50</v>
      </c>
      <c r="M433" t="s">
        <v>1379</v>
      </c>
      <c r="N433" t="s">
        <v>25</v>
      </c>
    </row>
    <row r="434" spans="1:14" x14ac:dyDescent="0.25">
      <c r="A434">
        <v>6</v>
      </c>
      <c r="B434" t="s">
        <v>167</v>
      </c>
      <c r="C434" t="str">
        <f>HYPERLINK("http://www.ncbi.nlm.nih.gov/protein/XP_005517984.1","XP_005517984.1")</f>
        <v>XP_005517984.1</v>
      </c>
      <c r="D434">
        <v>27658</v>
      </c>
      <c r="E434" t="str">
        <f>HYPERLINK("http://www.ncbi.nlm.nih.gov/Taxonomy/Browser/wwwtax.cgi?mode=Info&amp;id=181119&amp;lvl=3&amp;lin=f&amp;keep=1&amp;srchmode=1&amp;unlock","181119")</f>
        <v>181119</v>
      </c>
      <c r="F434" t="s">
        <v>167</v>
      </c>
      <c r="G434" t="str">
        <f>HYPERLINK("http://www.ncbi.nlm.nih.gov/Taxonomy/Browser/wwwtax.cgi?mode=Info&amp;id=181119&amp;lvl=3&amp;lin=f&amp;keep=1&amp;srchmode=1&amp;unlock","Pseudopodoces humilis")</f>
        <v>Pseudopodoces humilis</v>
      </c>
      <c r="H434" t="s">
        <v>409</v>
      </c>
      <c r="I434" t="str">
        <f>HYPERLINK("http://www.ncbi.nlm.nih.gov/protein/XP_005517984.1","PREDICTED: fatty acid-binding protein, liver")</f>
        <v>PREDICTED: fatty acid-binding protein, liver</v>
      </c>
      <c r="J434" t="s">
        <v>1386</v>
      </c>
      <c r="K434" t="s">
        <v>25</v>
      </c>
      <c r="L434">
        <v>50</v>
      </c>
      <c r="M434" t="s">
        <v>1379</v>
      </c>
      <c r="N434" t="s">
        <v>25</v>
      </c>
    </row>
    <row r="435" spans="1:14" x14ac:dyDescent="0.25">
      <c r="A435">
        <v>6</v>
      </c>
      <c r="B435" t="s">
        <v>167</v>
      </c>
      <c r="C435" t="str">
        <f>HYPERLINK("http://www.ncbi.nlm.nih.gov/protein/NWY30701.1","NWY30701.1")</f>
        <v>NWY30701.1</v>
      </c>
      <c r="D435">
        <v>12918</v>
      </c>
      <c r="E435" t="str">
        <f>HYPERLINK("http://www.ncbi.nlm.nih.gov/Taxonomy/Browser/wwwtax.cgi?mode=Info&amp;id=371919&amp;lvl=3&amp;lin=f&amp;keep=1&amp;srchmode=1&amp;unlock","371919")</f>
        <v>371919</v>
      </c>
      <c r="F435" t="s">
        <v>167</v>
      </c>
      <c r="G435" t="str">
        <f>HYPERLINK("http://www.ncbi.nlm.nih.gov/Taxonomy/Browser/wwwtax.cgi?mode=Info&amp;id=371919&amp;lvl=3&amp;lin=f&amp;keep=1&amp;srchmode=1&amp;unlock","Pheucticus melanocephalus")</f>
        <v>Pheucticus melanocephalus</v>
      </c>
      <c r="H435" t="s">
        <v>206</v>
      </c>
      <c r="I435" t="str">
        <f>HYPERLINK("http://www.ncbi.nlm.nih.gov/protein/NWY30701.1","FABPL protein")</f>
        <v>FABPL protein</v>
      </c>
      <c r="J435" t="s">
        <v>1386</v>
      </c>
      <c r="K435" t="s">
        <v>25</v>
      </c>
      <c r="L435">
        <v>50</v>
      </c>
      <c r="M435" t="s">
        <v>1379</v>
      </c>
      <c r="N435" t="s">
        <v>25</v>
      </c>
    </row>
    <row r="436" spans="1:14" x14ac:dyDescent="0.25">
      <c r="A436">
        <v>6</v>
      </c>
      <c r="B436" t="s">
        <v>167</v>
      </c>
      <c r="C436" t="str">
        <f>HYPERLINK("http://www.ncbi.nlm.nih.gov/protein/NXB04302.1","NXB04302.1")</f>
        <v>NXB04302.1</v>
      </c>
      <c r="D436">
        <v>14160</v>
      </c>
      <c r="E436" t="str">
        <f>HYPERLINK("http://www.ncbi.nlm.nih.gov/Taxonomy/Browser/wwwtax.cgi?mode=Info&amp;id=254448&amp;lvl=3&amp;lin=f&amp;keep=1&amp;srchmode=1&amp;unlock","254448")</f>
        <v>254448</v>
      </c>
      <c r="F436" t="s">
        <v>167</v>
      </c>
      <c r="G436" t="str">
        <f>HYPERLINK("http://www.ncbi.nlm.nih.gov/Taxonomy/Browser/wwwtax.cgi?mode=Info&amp;id=254448&amp;lvl=3&amp;lin=f&amp;keep=1&amp;srchmode=1&amp;unlock","Cnemophilus loriae")</f>
        <v>Cnemophilus loriae</v>
      </c>
      <c r="H436" t="s">
        <v>410</v>
      </c>
      <c r="I436" t="str">
        <f>HYPERLINK("http://www.ncbi.nlm.nih.gov/protein/NXB04302.1","FABPL protein")</f>
        <v>FABPL protein</v>
      </c>
      <c r="J436" t="s">
        <v>1386</v>
      </c>
      <c r="K436" t="s">
        <v>25</v>
      </c>
      <c r="L436">
        <v>50</v>
      </c>
      <c r="M436" t="s">
        <v>1383</v>
      </c>
      <c r="N436" t="s">
        <v>25</v>
      </c>
    </row>
    <row r="437" spans="1:14" x14ac:dyDescent="0.25">
      <c r="A437">
        <v>6</v>
      </c>
      <c r="B437" t="s">
        <v>167</v>
      </c>
      <c r="C437" t="str">
        <f>HYPERLINK("http://www.ncbi.nlm.nih.gov/protein/NWQ81120.1","NWQ81120.1")</f>
        <v>NWQ81120.1</v>
      </c>
      <c r="D437">
        <v>12327</v>
      </c>
      <c r="E437" t="str">
        <f>HYPERLINK("http://www.ncbi.nlm.nih.gov/Taxonomy/Browser/wwwtax.cgi?mode=Info&amp;id=115618&amp;lvl=3&amp;lin=f&amp;keep=1&amp;srchmode=1&amp;unlock","115618")</f>
        <v>115618</v>
      </c>
      <c r="F437" t="s">
        <v>167</v>
      </c>
      <c r="G437" t="str">
        <f>HYPERLINK("http://www.ncbi.nlm.nih.gov/Taxonomy/Browser/wwwtax.cgi?mode=Info&amp;id=115618&amp;lvl=3&amp;lin=f&amp;keep=1&amp;srchmode=1&amp;unlock","Columbina picui")</f>
        <v>Columbina picui</v>
      </c>
      <c r="H437" t="s">
        <v>406</v>
      </c>
      <c r="I437" t="str">
        <f>HYPERLINK("http://www.ncbi.nlm.nih.gov/protein/NWQ81120.1","FABPL protein")</f>
        <v>FABPL protein</v>
      </c>
      <c r="J437" t="s">
        <v>1386</v>
      </c>
      <c r="K437" t="s">
        <v>25</v>
      </c>
      <c r="L437">
        <v>50</v>
      </c>
      <c r="M437" t="s">
        <v>1379</v>
      </c>
      <c r="N437" t="s">
        <v>25</v>
      </c>
    </row>
    <row r="438" spans="1:14" x14ac:dyDescent="0.25">
      <c r="A438">
        <v>6</v>
      </c>
      <c r="B438" t="s">
        <v>167</v>
      </c>
      <c r="C438" t="str">
        <f>HYPERLINK("http://www.ncbi.nlm.nih.gov/protein/NXK90406.1","NXK90406.1")</f>
        <v>NXK90406.1</v>
      </c>
      <c r="D438">
        <v>13619</v>
      </c>
      <c r="E438" t="str">
        <f>HYPERLINK("http://www.ncbi.nlm.nih.gov/Taxonomy/Browser/wwwtax.cgi?mode=Info&amp;id=1118560&amp;lvl=3&amp;lin=f&amp;keep=1&amp;srchmode=1&amp;unlock","1118560")</f>
        <v>1118560</v>
      </c>
      <c r="F438" t="s">
        <v>167</v>
      </c>
      <c r="G438" t="str">
        <f>HYPERLINK("http://www.ncbi.nlm.nih.gov/Taxonomy/Browser/wwwtax.cgi?mode=Info&amp;id=1118560&amp;lvl=3&amp;lin=f&amp;keep=1&amp;srchmode=1&amp;unlock","Formicarius rufipectus")</f>
        <v>Formicarius rufipectus</v>
      </c>
      <c r="H438" t="s">
        <v>206</v>
      </c>
      <c r="I438" t="str">
        <f>HYPERLINK("http://www.ncbi.nlm.nih.gov/protein/NXK90406.1","FABPL protein")</f>
        <v>FABPL protein</v>
      </c>
      <c r="J438" t="s">
        <v>1386</v>
      </c>
      <c r="K438" t="s">
        <v>25</v>
      </c>
      <c r="L438">
        <v>50</v>
      </c>
      <c r="M438" t="s">
        <v>1379</v>
      </c>
      <c r="N438" t="s">
        <v>25</v>
      </c>
    </row>
    <row r="439" spans="1:14" x14ac:dyDescent="0.25">
      <c r="A439">
        <v>6</v>
      </c>
      <c r="B439" t="s">
        <v>167</v>
      </c>
      <c r="C439" t="str">
        <f>HYPERLINK("http://www.ncbi.nlm.nih.gov/protein/NXJ07778.1","NXJ07778.1")</f>
        <v>NXJ07778.1</v>
      </c>
      <c r="D439">
        <v>13852</v>
      </c>
      <c r="E439" t="str">
        <f>HYPERLINK("http://www.ncbi.nlm.nih.gov/Taxonomy/Browser/wwwtax.cgi?mode=Info&amp;id=886794&amp;lvl=3&amp;lin=f&amp;keep=1&amp;srchmode=1&amp;unlock","886794")</f>
        <v>886794</v>
      </c>
      <c r="F439" t="s">
        <v>167</v>
      </c>
      <c r="G439" t="str">
        <f>HYPERLINK("http://www.ncbi.nlm.nih.gov/Taxonomy/Browser/wwwtax.cgi?mode=Info&amp;id=886794&amp;lvl=3&amp;lin=f&amp;keep=1&amp;srchmode=1&amp;unlock","Odontophorus gujanensis")</f>
        <v>Odontophorus gujanensis</v>
      </c>
      <c r="H439" t="s">
        <v>407</v>
      </c>
      <c r="I439" t="str">
        <f>HYPERLINK("http://www.ncbi.nlm.nih.gov/protein/NXJ07778.1","FABPL protein")</f>
        <v>FABPL protein</v>
      </c>
      <c r="J439" t="s">
        <v>1386</v>
      </c>
      <c r="K439" t="s">
        <v>25</v>
      </c>
      <c r="L439">
        <v>50</v>
      </c>
      <c r="M439" t="s">
        <v>1379</v>
      </c>
      <c r="N439" t="s">
        <v>25</v>
      </c>
    </row>
    <row r="440" spans="1:14" x14ac:dyDescent="0.25">
      <c r="A440">
        <v>6</v>
      </c>
      <c r="B440" t="s">
        <v>167</v>
      </c>
      <c r="C440" t="str">
        <f>HYPERLINK("http://www.ncbi.nlm.nih.gov/protein/NXM89594.1","NXM89594.1")</f>
        <v>NXM89594.1</v>
      </c>
      <c r="D440">
        <v>13842</v>
      </c>
      <c r="E440" t="str">
        <f>HYPERLINK("http://www.ncbi.nlm.nih.gov/Taxonomy/Browser/wwwtax.cgi?mode=Info&amp;id=279966&amp;lvl=3&amp;lin=f&amp;keep=1&amp;srchmode=1&amp;unlock","279966")</f>
        <v>279966</v>
      </c>
      <c r="F440" t="s">
        <v>167</v>
      </c>
      <c r="G440" t="str">
        <f>HYPERLINK("http://www.ncbi.nlm.nih.gov/Taxonomy/Browser/wwwtax.cgi?mode=Info&amp;id=279966&amp;lvl=3&amp;lin=f&amp;keep=1&amp;srchmode=1&amp;unlock","Oenanthe oenanthe")</f>
        <v>Oenanthe oenanthe</v>
      </c>
      <c r="H440" t="s">
        <v>413</v>
      </c>
      <c r="I440" t="str">
        <f>HYPERLINK("http://www.ncbi.nlm.nih.gov/protein/NXM89594.1","FABPL protein")</f>
        <v>FABPL protein</v>
      </c>
      <c r="J440" t="s">
        <v>1386</v>
      </c>
      <c r="K440" t="s">
        <v>25</v>
      </c>
      <c r="L440">
        <v>50</v>
      </c>
      <c r="M440" t="s">
        <v>1379</v>
      </c>
      <c r="N440" t="s">
        <v>25</v>
      </c>
    </row>
    <row r="441" spans="1:14" x14ac:dyDescent="0.25">
      <c r="A441">
        <v>6</v>
      </c>
      <c r="B441" t="s">
        <v>167</v>
      </c>
      <c r="C441" t="str">
        <f>HYPERLINK("http://www.ncbi.nlm.nih.gov/protein/XP_030803984.1","XP_030803984.1")</f>
        <v>XP_030803984.1</v>
      </c>
      <c r="D441">
        <v>28938</v>
      </c>
      <c r="E441" t="str">
        <f>HYPERLINK("http://www.ncbi.nlm.nih.gov/Taxonomy/Browser/wwwtax.cgi?mode=Info&amp;id=87175&amp;lvl=3&amp;lin=f&amp;keep=1&amp;srchmode=1&amp;unlock","87175")</f>
        <v>87175</v>
      </c>
      <c r="F441" t="s">
        <v>167</v>
      </c>
      <c r="G441" t="str">
        <f>HYPERLINK("http://www.ncbi.nlm.nih.gov/Taxonomy/Browser/wwwtax.cgi?mode=Info&amp;id=87175&amp;lvl=3&amp;lin=f&amp;keep=1&amp;srchmode=1&amp;unlock","Camarhynchus parvulus")</f>
        <v>Camarhynchus parvulus</v>
      </c>
      <c r="H441" t="s">
        <v>414</v>
      </c>
      <c r="I441" t="str">
        <f>HYPERLINK("http://www.ncbi.nlm.nih.gov/protein/XP_030803984.1","fatty acid-binding protein, liver")</f>
        <v>fatty acid-binding protein, liver</v>
      </c>
      <c r="J441" t="s">
        <v>1386</v>
      </c>
      <c r="K441" t="s">
        <v>25</v>
      </c>
      <c r="L441">
        <v>50</v>
      </c>
      <c r="M441" t="s">
        <v>1383</v>
      </c>
      <c r="N441" t="s">
        <v>25</v>
      </c>
    </row>
    <row r="442" spans="1:14" x14ac:dyDescent="0.25">
      <c r="A442">
        <v>6</v>
      </c>
      <c r="B442" t="s">
        <v>167</v>
      </c>
      <c r="C442" t="str">
        <f>HYPERLINK("http://www.ncbi.nlm.nih.gov/protein/XP_033920831.1","XP_033920831.1")</f>
        <v>XP_033920831.1</v>
      </c>
      <c r="D442">
        <v>29316</v>
      </c>
      <c r="E442" t="str">
        <f>HYPERLINK("http://www.ncbi.nlm.nih.gov/Taxonomy/Browser/wwwtax.cgi?mode=Info&amp;id=13146&amp;lvl=3&amp;lin=f&amp;keep=1&amp;srchmode=1&amp;unlock","13146")</f>
        <v>13146</v>
      </c>
      <c r="F442" t="s">
        <v>167</v>
      </c>
      <c r="G442" t="str">
        <f>HYPERLINK("http://www.ncbi.nlm.nih.gov/Taxonomy/Browser/wwwtax.cgi?mode=Info&amp;id=13146&amp;lvl=3&amp;lin=f&amp;keep=1&amp;srchmode=1&amp;unlock","Melopsittacus undulatus")</f>
        <v>Melopsittacus undulatus</v>
      </c>
      <c r="H442" t="s">
        <v>415</v>
      </c>
      <c r="I442" t="str">
        <f>HYPERLINK("http://www.ncbi.nlm.nih.gov/protein/XP_033920831.1","fatty acid-binding protein, liver")</f>
        <v>fatty acid-binding protein, liver</v>
      </c>
      <c r="J442" t="s">
        <v>1386</v>
      </c>
      <c r="K442" t="s">
        <v>25</v>
      </c>
      <c r="L442">
        <v>50</v>
      </c>
      <c r="M442" t="s">
        <v>1383</v>
      </c>
      <c r="N442" t="s">
        <v>25</v>
      </c>
    </row>
    <row r="443" spans="1:14" x14ac:dyDescent="0.25">
      <c r="A443">
        <v>6</v>
      </c>
      <c r="B443" t="s">
        <v>167</v>
      </c>
      <c r="C443" t="str">
        <f>HYPERLINK("http://www.ncbi.nlm.nih.gov/protein/XP_005428387.1","XP_005428387.1")</f>
        <v>XP_005428387.1</v>
      </c>
      <c r="D443">
        <v>20687</v>
      </c>
      <c r="E443" t="str">
        <f>HYPERLINK("http://www.ncbi.nlm.nih.gov/Taxonomy/Browser/wwwtax.cgi?mode=Info&amp;id=48883&amp;lvl=3&amp;lin=f&amp;keep=1&amp;srchmode=1&amp;unlock","48883")</f>
        <v>48883</v>
      </c>
      <c r="F443" t="s">
        <v>167</v>
      </c>
      <c r="G443" t="str">
        <f>HYPERLINK("http://www.ncbi.nlm.nih.gov/Taxonomy/Browser/wwwtax.cgi?mode=Info&amp;id=48883&amp;lvl=3&amp;lin=f&amp;keep=1&amp;srchmode=1&amp;unlock","Geospiza fortis")</f>
        <v>Geospiza fortis</v>
      </c>
      <c r="H443" t="s">
        <v>411</v>
      </c>
      <c r="I443" t="str">
        <f>HYPERLINK("http://www.ncbi.nlm.nih.gov/protein/XP_005428387.1","fatty acid-binding protein, liver")</f>
        <v>fatty acid-binding protein, liver</v>
      </c>
      <c r="J443" t="s">
        <v>1386</v>
      </c>
      <c r="K443" t="s">
        <v>25</v>
      </c>
      <c r="L443">
        <v>50</v>
      </c>
      <c r="M443" t="s">
        <v>1383</v>
      </c>
      <c r="N443" t="s">
        <v>25</v>
      </c>
    </row>
    <row r="444" spans="1:14" x14ac:dyDescent="0.25">
      <c r="A444">
        <v>6</v>
      </c>
      <c r="B444" t="s">
        <v>167</v>
      </c>
      <c r="C444" t="str">
        <f>HYPERLINK("http://www.ncbi.nlm.nih.gov/protein/XP_010215985.1","XP_010215985.1")</f>
        <v>XP_010215985.1</v>
      </c>
      <c r="D444">
        <v>31346</v>
      </c>
      <c r="E444" t="str">
        <f>HYPERLINK("http://www.ncbi.nlm.nih.gov/Taxonomy/Browser/wwwtax.cgi?mode=Info&amp;id=94827&amp;lvl=3&amp;lin=f&amp;keep=1&amp;srchmode=1&amp;unlock","94827")</f>
        <v>94827</v>
      </c>
      <c r="F444" t="s">
        <v>167</v>
      </c>
      <c r="G444" t="str">
        <f>HYPERLINK("http://www.ncbi.nlm.nih.gov/Taxonomy/Browser/wwwtax.cgi?mode=Info&amp;id=94827&amp;lvl=3&amp;lin=f&amp;keep=1&amp;srchmode=1&amp;unlock","Tinamus guttatus")</f>
        <v>Tinamus guttatus</v>
      </c>
      <c r="H444" t="s">
        <v>412</v>
      </c>
      <c r="I444" t="str">
        <f>HYPERLINK("http://www.ncbi.nlm.nih.gov/protein/XP_010215985.1","PREDICTED: fatty acid-binding protein, liver")</f>
        <v>PREDICTED: fatty acid-binding protein, liver</v>
      </c>
      <c r="J444" t="s">
        <v>1386</v>
      </c>
      <c r="K444" t="s">
        <v>25</v>
      </c>
      <c r="L444">
        <v>50</v>
      </c>
      <c r="M444" t="s">
        <v>1383</v>
      </c>
      <c r="N444" t="s">
        <v>25</v>
      </c>
    </row>
    <row r="445" spans="1:14" x14ac:dyDescent="0.25">
      <c r="A445">
        <v>6</v>
      </c>
      <c r="B445" t="s">
        <v>167</v>
      </c>
      <c r="C445" t="str">
        <f>HYPERLINK("http://www.ncbi.nlm.nih.gov/protein/NXP85344.1","NXP85344.1")</f>
        <v>NXP85344.1</v>
      </c>
      <c r="D445">
        <v>13042</v>
      </c>
      <c r="E445" t="str">
        <f>HYPERLINK("http://www.ncbi.nlm.nih.gov/Taxonomy/Browser/wwwtax.cgi?mode=Info&amp;id=142471&amp;lvl=3&amp;lin=f&amp;keep=1&amp;srchmode=1&amp;unlock","142471")</f>
        <v>142471</v>
      </c>
      <c r="F445" t="s">
        <v>167</v>
      </c>
      <c r="G445" t="str">
        <f>HYPERLINK("http://www.ncbi.nlm.nih.gov/Taxonomy/Browser/wwwtax.cgi?mode=Info&amp;id=142471&amp;lvl=3&amp;lin=f&amp;keep=1&amp;srchmode=1&amp;unlock","Passerina amoena")</f>
        <v>Passerina amoena</v>
      </c>
      <c r="H445" t="s">
        <v>206</v>
      </c>
      <c r="I445" t="str">
        <f>HYPERLINK("http://www.ncbi.nlm.nih.gov/protein/NXP85344.1","FABPL protein")</f>
        <v>FABPL protein</v>
      </c>
      <c r="J445" t="s">
        <v>1386</v>
      </c>
      <c r="K445" t="s">
        <v>25</v>
      </c>
      <c r="L445">
        <v>50</v>
      </c>
      <c r="M445" t="s">
        <v>1379</v>
      </c>
      <c r="N445" t="s">
        <v>25</v>
      </c>
    </row>
    <row r="446" spans="1:14" x14ac:dyDescent="0.25">
      <c r="A446">
        <v>6</v>
      </c>
      <c r="B446" t="s">
        <v>167</v>
      </c>
      <c r="C446" t="str">
        <f>HYPERLINK("http://www.ncbi.nlm.nih.gov/protein/NXP19171.1","NXP19171.1")</f>
        <v>NXP19171.1</v>
      </c>
      <c r="D446">
        <v>13881</v>
      </c>
      <c r="E446" t="str">
        <f>HYPERLINK("http://www.ncbi.nlm.nih.gov/Taxonomy/Browser/wwwtax.cgi?mode=Info&amp;id=312124&amp;lvl=3&amp;lin=f&amp;keep=1&amp;srchmode=1&amp;unlock","312124")</f>
        <v>312124</v>
      </c>
      <c r="F446" t="s">
        <v>167</v>
      </c>
      <c r="G446" t="str">
        <f>HYPERLINK("http://www.ncbi.nlm.nih.gov/Taxonomy/Browser/wwwtax.cgi?mode=Info&amp;id=312124&amp;lvl=3&amp;lin=f&amp;keep=1&amp;srchmode=1&amp;unlock","Scytalopus superciliaris")</f>
        <v>Scytalopus superciliaris</v>
      </c>
      <c r="H446" t="s">
        <v>418</v>
      </c>
      <c r="I446" t="str">
        <f>HYPERLINK("http://www.ncbi.nlm.nih.gov/protein/NXP19171.1","FABPL protein")</f>
        <v>FABPL protein</v>
      </c>
      <c r="J446" t="s">
        <v>1386</v>
      </c>
      <c r="K446" t="s">
        <v>25</v>
      </c>
      <c r="L446">
        <v>50</v>
      </c>
      <c r="M446" t="s">
        <v>1379</v>
      </c>
      <c r="N446" t="s">
        <v>25</v>
      </c>
    </row>
    <row r="447" spans="1:14" x14ac:dyDescent="0.25">
      <c r="A447">
        <v>6</v>
      </c>
      <c r="B447" t="s">
        <v>167</v>
      </c>
      <c r="C447" t="str">
        <f>HYPERLINK("http://www.ncbi.nlm.nih.gov/protein/NWI39303.1","NWI39303.1")</f>
        <v>NWI39303.1</v>
      </c>
      <c r="D447">
        <v>13590</v>
      </c>
      <c r="E447" t="str">
        <f>HYPERLINK("http://www.ncbi.nlm.nih.gov/Taxonomy/Browser/wwwtax.cgi?mode=Info&amp;id=175131&amp;lvl=3&amp;lin=f&amp;keep=1&amp;srchmode=1&amp;unlock","175131")</f>
        <v>175131</v>
      </c>
      <c r="F447" t="s">
        <v>167</v>
      </c>
      <c r="G447" t="str">
        <f>HYPERLINK("http://www.ncbi.nlm.nih.gov/Taxonomy/Browser/wwwtax.cgi?mode=Info&amp;id=175131&amp;lvl=3&amp;lin=f&amp;keep=1&amp;srchmode=1&amp;unlock","Picathartes gymnocephalus")</f>
        <v>Picathartes gymnocephalus</v>
      </c>
      <c r="H447" t="s">
        <v>206</v>
      </c>
      <c r="I447" t="str">
        <f>HYPERLINK("http://www.ncbi.nlm.nih.gov/protein/NWI39303.1","FABPL protein")</f>
        <v>FABPL protein</v>
      </c>
      <c r="J447" t="s">
        <v>1386</v>
      </c>
      <c r="K447" t="s">
        <v>25</v>
      </c>
      <c r="L447">
        <v>50</v>
      </c>
      <c r="M447" t="s">
        <v>1379</v>
      </c>
      <c r="N447" t="s">
        <v>25</v>
      </c>
    </row>
    <row r="448" spans="1:14" x14ac:dyDescent="0.25">
      <c r="A448">
        <v>6</v>
      </c>
      <c r="B448" t="s">
        <v>167</v>
      </c>
      <c r="C448" t="str">
        <f>HYPERLINK("http://www.ncbi.nlm.nih.gov/protein/NXN80824.1","NXN80824.1")</f>
        <v>NXN80824.1</v>
      </c>
      <c r="D448">
        <v>13865</v>
      </c>
      <c r="E448" t="str">
        <f>HYPERLINK("http://www.ncbi.nlm.nih.gov/Taxonomy/Browser/wwwtax.cgi?mode=Info&amp;id=125297&amp;lvl=3&amp;lin=f&amp;keep=1&amp;srchmode=1&amp;unlock","125297")</f>
        <v>125297</v>
      </c>
      <c r="F448" t="s">
        <v>167</v>
      </c>
      <c r="G448" t="str">
        <f>HYPERLINK("http://www.ncbi.nlm.nih.gov/Taxonomy/Browser/wwwtax.cgi?mode=Info&amp;id=125297&amp;lvl=3&amp;lin=f&amp;keep=1&amp;srchmode=1&amp;unlock","Bombycilla garrulus")</f>
        <v>Bombycilla garrulus</v>
      </c>
      <c r="H448" t="s">
        <v>419</v>
      </c>
      <c r="I448" t="str">
        <f>HYPERLINK("http://www.ncbi.nlm.nih.gov/protein/NXN80824.1","FABPL protein")</f>
        <v>FABPL protein</v>
      </c>
      <c r="J448" t="s">
        <v>1386</v>
      </c>
      <c r="K448" t="s">
        <v>25</v>
      </c>
      <c r="L448">
        <v>50</v>
      </c>
      <c r="M448" t="s">
        <v>1383</v>
      </c>
      <c r="N448" t="s">
        <v>25</v>
      </c>
    </row>
    <row r="449" spans="1:14" x14ac:dyDescent="0.25">
      <c r="A449">
        <v>6</v>
      </c>
      <c r="B449" t="s">
        <v>167</v>
      </c>
      <c r="C449" t="str">
        <f>HYPERLINK("http://www.ncbi.nlm.nih.gov/protein/XP_039921228.1","XP_039921228.1")</f>
        <v>XP_039921228.1</v>
      </c>
      <c r="D449">
        <v>52023</v>
      </c>
      <c r="E449" t="str">
        <f>HYPERLINK("http://www.ncbi.nlm.nih.gov/Taxonomy/Browser/wwwtax.cgi?mode=Info&amp;id=43150&amp;lvl=3&amp;lin=f&amp;keep=1&amp;srchmode=1&amp;unlock","43150")</f>
        <v>43150</v>
      </c>
      <c r="F449" t="s">
        <v>167</v>
      </c>
      <c r="G449" t="str">
        <f>HYPERLINK("http://www.ncbi.nlm.nih.gov/Taxonomy/Browser/wwwtax.cgi?mode=Info&amp;id=43150&amp;lvl=3&amp;lin=f&amp;keep=1&amp;srchmode=1&amp;unlock","Hirundo rustica")</f>
        <v>Hirundo rustica</v>
      </c>
      <c r="H449" t="s">
        <v>421</v>
      </c>
      <c r="I449" t="str">
        <f>HYPERLINK("http://www.ncbi.nlm.nih.gov/protein/XP_039921228.1","fatty acid-binding protein, liver")</f>
        <v>fatty acid-binding protein, liver</v>
      </c>
      <c r="J449" t="s">
        <v>1386</v>
      </c>
      <c r="K449" t="s">
        <v>20</v>
      </c>
      <c r="L449">
        <v>50</v>
      </c>
      <c r="M449" t="s">
        <v>1384</v>
      </c>
      <c r="N449" t="s">
        <v>20</v>
      </c>
    </row>
    <row r="450" spans="1:14" x14ac:dyDescent="0.25">
      <c r="A450">
        <v>6</v>
      </c>
      <c r="B450" t="s">
        <v>167</v>
      </c>
      <c r="C450" t="str">
        <f>HYPERLINK("http://www.ncbi.nlm.nih.gov/protein/NXJ89368.1","NXJ89368.1")</f>
        <v>NXJ89368.1</v>
      </c>
      <c r="D450">
        <v>14263</v>
      </c>
      <c r="E450" t="str">
        <f>HYPERLINK("http://www.ncbi.nlm.nih.gov/Taxonomy/Browser/wwwtax.cgi?mode=Info&amp;id=103956&amp;lvl=3&amp;lin=f&amp;keep=1&amp;srchmode=1&amp;unlock","103956")</f>
        <v>103956</v>
      </c>
      <c r="F450" t="s">
        <v>167</v>
      </c>
      <c r="G450" t="str">
        <f>HYPERLINK("http://www.ncbi.nlm.nih.gov/Taxonomy/Browser/wwwtax.cgi?mode=Info&amp;id=103956&amp;lvl=3&amp;lin=f&amp;keep=1&amp;srchmode=1&amp;unlock","Corythaixoides concolor")</f>
        <v>Corythaixoides concolor</v>
      </c>
      <c r="H450" t="s">
        <v>422</v>
      </c>
      <c r="I450" t="str">
        <f>HYPERLINK("http://www.ncbi.nlm.nih.gov/protein/NXJ89368.1","FABPL protein")</f>
        <v>FABPL protein</v>
      </c>
      <c r="J450" t="s">
        <v>1386</v>
      </c>
      <c r="K450" t="s">
        <v>25</v>
      </c>
      <c r="L450">
        <v>50</v>
      </c>
      <c r="M450" t="s">
        <v>1315</v>
      </c>
      <c r="N450" t="s">
        <v>25</v>
      </c>
    </row>
    <row r="451" spans="1:14" x14ac:dyDescent="0.25">
      <c r="A451">
        <v>6</v>
      </c>
      <c r="B451" t="s">
        <v>167</v>
      </c>
      <c r="C451" t="str">
        <f>HYPERLINK("http://www.ncbi.nlm.nih.gov/protein/NWZ83855.1","NWZ83855.1")</f>
        <v>NWZ83855.1</v>
      </c>
      <c r="D451">
        <v>14278</v>
      </c>
      <c r="E451" t="str">
        <f>HYPERLINK("http://www.ncbi.nlm.nih.gov/Taxonomy/Browser/wwwtax.cgi?mode=Info&amp;id=48891&amp;lvl=3&amp;lin=f&amp;keep=1&amp;srchmode=1&amp;unlock","48891")</f>
        <v>48891</v>
      </c>
      <c r="F451" t="s">
        <v>167</v>
      </c>
      <c r="G451" t="str">
        <f>HYPERLINK("http://www.ncbi.nlm.nih.gov/Taxonomy/Browser/wwwtax.cgi?mode=Info&amp;id=48891&amp;lvl=3&amp;lin=f&amp;keep=1&amp;srchmode=1&amp;unlock","Poecile atricapillus")</f>
        <v>Poecile atricapillus</v>
      </c>
      <c r="H451" t="s">
        <v>423</v>
      </c>
      <c r="I451" t="str">
        <f>HYPERLINK("http://www.ncbi.nlm.nih.gov/protein/NWZ83855.1","FABPL protein")</f>
        <v>FABPL protein</v>
      </c>
      <c r="J451" t="s">
        <v>1386</v>
      </c>
      <c r="K451" t="s">
        <v>25</v>
      </c>
      <c r="L451">
        <v>50</v>
      </c>
      <c r="M451" t="s">
        <v>1379</v>
      </c>
      <c r="N451" t="s">
        <v>25</v>
      </c>
    </row>
    <row r="452" spans="1:14" x14ac:dyDescent="0.25">
      <c r="A452">
        <v>6</v>
      </c>
      <c r="B452" t="s">
        <v>167</v>
      </c>
      <c r="C452" t="str">
        <f>HYPERLINK("http://www.ncbi.nlm.nih.gov/protein/NXK84374.1","NXK84374.1")</f>
        <v>NXK84374.1</v>
      </c>
      <c r="D452">
        <v>14236</v>
      </c>
      <c r="E452" t="str">
        <f>HYPERLINK("http://www.ncbi.nlm.nih.gov/Taxonomy/Browser/wwwtax.cgi?mode=Info&amp;id=175529&amp;lvl=3&amp;lin=f&amp;keep=1&amp;srchmode=1&amp;unlock","175529")</f>
        <v>175529</v>
      </c>
      <c r="F452" t="s">
        <v>167</v>
      </c>
      <c r="G452" t="str">
        <f>HYPERLINK("http://www.ncbi.nlm.nih.gov/Taxonomy/Browser/wwwtax.cgi?mode=Info&amp;id=175529&amp;lvl=3&amp;lin=f&amp;keep=1&amp;srchmode=1&amp;unlock","Amazona guildingii")</f>
        <v>Amazona guildingii</v>
      </c>
      <c r="H452" t="s">
        <v>424</v>
      </c>
      <c r="I452" t="str">
        <f>HYPERLINK("http://www.ncbi.nlm.nih.gov/protein/NXK84374.1","FABPL protein")</f>
        <v>FABPL protein</v>
      </c>
      <c r="J452" t="s">
        <v>1386</v>
      </c>
      <c r="K452" t="s">
        <v>25</v>
      </c>
      <c r="L452">
        <v>50</v>
      </c>
      <c r="M452" t="s">
        <v>1383</v>
      </c>
      <c r="N452" t="s">
        <v>25</v>
      </c>
    </row>
    <row r="453" spans="1:14" x14ac:dyDescent="0.25">
      <c r="A453">
        <v>6</v>
      </c>
      <c r="B453" t="s">
        <v>167</v>
      </c>
      <c r="C453" t="str">
        <f>HYPERLINK("http://www.ncbi.nlm.nih.gov/protein/NWS28074.1","NWS28074.1")</f>
        <v>NWS28074.1</v>
      </c>
      <c r="D453">
        <v>13635</v>
      </c>
      <c r="E453" t="str">
        <f>HYPERLINK("http://www.ncbi.nlm.nih.gov/Taxonomy/Browser/wwwtax.cgi?mode=Info&amp;id=66707&amp;lvl=3&amp;lin=f&amp;keep=1&amp;srchmode=1&amp;unlock","66707")</f>
        <v>66707</v>
      </c>
      <c r="F453" t="s">
        <v>167</v>
      </c>
      <c r="G453" t="str">
        <f>HYPERLINK("http://www.ncbi.nlm.nih.gov/Taxonomy/Browser/wwwtax.cgi?mode=Info&amp;id=66707&amp;lvl=3&amp;lin=f&amp;keep=1&amp;srchmode=1&amp;unlock","Polioptila caerulea")</f>
        <v>Polioptila caerulea</v>
      </c>
      <c r="H453" t="s">
        <v>206</v>
      </c>
      <c r="I453" t="str">
        <f>HYPERLINK("http://www.ncbi.nlm.nih.gov/protein/NWS28074.1","FABPL protein")</f>
        <v>FABPL protein</v>
      </c>
      <c r="J453" t="s">
        <v>1386</v>
      </c>
      <c r="K453" t="s">
        <v>25</v>
      </c>
      <c r="L453">
        <v>50</v>
      </c>
      <c r="M453" t="s">
        <v>1383</v>
      </c>
      <c r="N453" t="s">
        <v>25</v>
      </c>
    </row>
    <row r="454" spans="1:14" x14ac:dyDescent="0.25">
      <c r="A454">
        <v>6</v>
      </c>
      <c r="B454" t="s">
        <v>167</v>
      </c>
      <c r="C454" t="str">
        <f>HYPERLINK("http://www.ncbi.nlm.nih.gov/protein/XP_036238470.1","XP_036238470.1")</f>
        <v>XP_036238470.1</v>
      </c>
      <c r="D454">
        <v>44051</v>
      </c>
      <c r="E454" t="str">
        <f>HYPERLINK("http://www.ncbi.nlm.nih.gov/Taxonomy/Browser/wwwtax.cgi?mode=Info&amp;id=84834&amp;lvl=3&amp;lin=f&amp;keep=1&amp;srchmode=1&amp;unlock","84834")</f>
        <v>84834</v>
      </c>
      <c r="F454" t="s">
        <v>167</v>
      </c>
      <c r="G454" t="str">
        <f>HYPERLINK("http://www.ncbi.nlm.nih.gov/Taxonomy/Browser/wwwtax.cgi?mode=Info&amp;id=84834&amp;lvl=3&amp;lin=f&amp;keep=1&amp;srchmode=1&amp;unlock","Molothrus ater")</f>
        <v>Molothrus ater</v>
      </c>
      <c r="H454" t="s">
        <v>430</v>
      </c>
      <c r="I454" t="str">
        <f>HYPERLINK("http://www.ncbi.nlm.nih.gov/protein/XP_036238470.1","fatty acid-binding protein, liver")</f>
        <v>fatty acid-binding protein, liver</v>
      </c>
      <c r="J454" t="s">
        <v>1386</v>
      </c>
      <c r="K454" t="s">
        <v>25</v>
      </c>
      <c r="L454">
        <v>50</v>
      </c>
      <c r="M454" t="s">
        <v>1379</v>
      </c>
      <c r="N454" t="s">
        <v>25</v>
      </c>
    </row>
    <row r="455" spans="1:14" x14ac:dyDescent="0.25">
      <c r="A455">
        <v>6</v>
      </c>
      <c r="B455" t="s">
        <v>167</v>
      </c>
      <c r="C455" t="str">
        <f>HYPERLINK("http://www.ncbi.nlm.nih.gov/protein/NWR36987.1","NWR36987.1")</f>
        <v>NWR36987.1</v>
      </c>
      <c r="D455">
        <v>14362</v>
      </c>
      <c r="E455" t="str">
        <f>HYPERLINK("http://www.ncbi.nlm.nih.gov/Taxonomy/Browser/wwwtax.cgi?mode=Info&amp;id=495162&amp;lvl=3&amp;lin=f&amp;keep=1&amp;srchmode=1&amp;unlock","495162")</f>
        <v>495162</v>
      </c>
      <c r="F455" t="s">
        <v>167</v>
      </c>
      <c r="G455" t="str">
        <f>HYPERLINK("http://www.ncbi.nlm.nih.gov/Taxonomy/Browser/wwwtax.cgi?mode=Info&amp;id=495162&amp;lvl=3&amp;lin=f&amp;keep=1&amp;srchmode=1&amp;unlock","Tachuris rubrigastra")</f>
        <v>Tachuris rubrigastra</v>
      </c>
      <c r="H455" t="s">
        <v>206</v>
      </c>
      <c r="I455" t="str">
        <f>HYPERLINK("http://www.ncbi.nlm.nih.gov/protein/NWR36987.1","FABPL protein")</f>
        <v>FABPL protein</v>
      </c>
      <c r="J455" t="s">
        <v>1386</v>
      </c>
      <c r="K455" t="s">
        <v>25</v>
      </c>
      <c r="L455">
        <v>50</v>
      </c>
      <c r="M455" t="s">
        <v>1379</v>
      </c>
      <c r="N455" t="s">
        <v>25</v>
      </c>
    </row>
    <row r="456" spans="1:14" x14ac:dyDescent="0.25">
      <c r="A456">
        <v>6</v>
      </c>
      <c r="B456" t="s">
        <v>167</v>
      </c>
      <c r="C456" t="str">
        <f>HYPERLINK("http://www.ncbi.nlm.nih.gov/protein/NWX65269.1","NWX65269.1")</f>
        <v>NWX65269.1</v>
      </c>
      <c r="D456">
        <v>14100</v>
      </c>
      <c r="E456" t="str">
        <f>HYPERLINK("http://www.ncbi.nlm.nih.gov/Taxonomy/Browser/wwwtax.cgi?mode=Info&amp;id=254652&amp;lvl=3&amp;lin=f&amp;keep=1&amp;srchmode=1&amp;unlock","254652")</f>
        <v>254652</v>
      </c>
      <c r="F456" t="s">
        <v>167</v>
      </c>
      <c r="G456" t="str">
        <f>HYPERLINK("http://www.ncbi.nlm.nih.gov/Taxonomy/Browser/wwwtax.cgi?mode=Info&amp;id=254652&amp;lvl=3&amp;lin=f&amp;keep=1&amp;srchmode=1&amp;unlock","Promerops cafer")</f>
        <v>Promerops cafer</v>
      </c>
      <c r="H456" t="s">
        <v>431</v>
      </c>
      <c r="I456" t="str">
        <f>HYPERLINK("http://www.ncbi.nlm.nih.gov/protein/NWX65269.1","FABPL protein")</f>
        <v>FABPL protein</v>
      </c>
      <c r="J456" t="s">
        <v>1386</v>
      </c>
      <c r="K456" t="s">
        <v>25</v>
      </c>
      <c r="L456">
        <v>50</v>
      </c>
      <c r="M456" t="s">
        <v>1383</v>
      </c>
      <c r="N456" t="s">
        <v>25</v>
      </c>
    </row>
    <row r="457" spans="1:14" x14ac:dyDescent="0.25">
      <c r="A457">
        <v>6</v>
      </c>
      <c r="B457" t="s">
        <v>167</v>
      </c>
      <c r="C457" t="str">
        <f>HYPERLINK("http://www.ncbi.nlm.nih.gov/protein/NWZ88992.1","NWZ88992.1")</f>
        <v>NWZ88992.1</v>
      </c>
      <c r="D457">
        <v>14106</v>
      </c>
      <c r="E457" t="str">
        <f>HYPERLINK("http://www.ncbi.nlm.nih.gov/Taxonomy/Browser/wwwtax.cgi?mode=Info&amp;id=381881&amp;lvl=3&amp;lin=f&amp;keep=1&amp;srchmode=1&amp;unlock","381881")</f>
        <v>381881</v>
      </c>
      <c r="F457" t="s">
        <v>167</v>
      </c>
      <c r="G457" t="str">
        <f>HYPERLINK("http://www.ncbi.nlm.nih.gov/Taxonomy/Browser/wwwtax.cgi?mode=Info&amp;id=381881&amp;lvl=3&amp;lin=f&amp;keep=1&amp;srchmode=1&amp;unlock","Nesospiza acunhae")</f>
        <v>Nesospiza acunhae</v>
      </c>
      <c r="H457" t="s">
        <v>414</v>
      </c>
      <c r="I457" t="str">
        <f>HYPERLINK("http://www.ncbi.nlm.nih.gov/protein/NWZ88992.1","FABPL protein")</f>
        <v>FABPL protein</v>
      </c>
      <c r="J457" t="s">
        <v>1386</v>
      </c>
      <c r="K457" t="s">
        <v>25</v>
      </c>
      <c r="L457">
        <v>50</v>
      </c>
      <c r="M457" t="s">
        <v>1379</v>
      </c>
      <c r="N457" t="s">
        <v>25</v>
      </c>
    </row>
    <row r="458" spans="1:14" x14ac:dyDescent="0.25">
      <c r="A458">
        <v>6</v>
      </c>
      <c r="B458" t="s">
        <v>167</v>
      </c>
      <c r="C458" t="str">
        <f>HYPERLINK("http://www.ncbi.nlm.nih.gov/protein/NWT23251.1","NWT23251.1")</f>
        <v>NWT23251.1</v>
      </c>
      <c r="D458">
        <v>14099</v>
      </c>
      <c r="E458" t="str">
        <f>HYPERLINK("http://www.ncbi.nlm.nih.gov/Taxonomy/Browser/wwwtax.cgi?mode=Info&amp;id=98964&amp;lvl=3&amp;lin=f&amp;keep=1&amp;srchmode=1&amp;unlock","98964")</f>
        <v>98964</v>
      </c>
      <c r="F458" t="s">
        <v>167</v>
      </c>
      <c r="G458" t="str">
        <f>HYPERLINK("http://www.ncbi.nlm.nih.gov/Taxonomy/Browser/wwwtax.cgi?mode=Info&amp;id=98964&amp;lvl=3&amp;lin=f&amp;keep=1&amp;srchmode=1&amp;unlock","Cardinalis cardinalis")</f>
        <v>Cardinalis cardinalis</v>
      </c>
      <c r="H458" t="s">
        <v>425</v>
      </c>
      <c r="I458" t="str">
        <f>HYPERLINK("http://www.ncbi.nlm.nih.gov/protein/NWT23251.1","FABPL protein")</f>
        <v>FABPL protein</v>
      </c>
      <c r="J458" t="s">
        <v>1386</v>
      </c>
      <c r="K458" t="s">
        <v>25</v>
      </c>
      <c r="L458">
        <v>50</v>
      </c>
      <c r="M458" t="s">
        <v>1379</v>
      </c>
      <c r="N458" t="s">
        <v>25</v>
      </c>
    </row>
    <row r="459" spans="1:14" x14ac:dyDescent="0.25">
      <c r="A459">
        <v>6</v>
      </c>
      <c r="B459" t="s">
        <v>167</v>
      </c>
      <c r="C459" t="str">
        <f>HYPERLINK("http://www.ncbi.nlm.nih.gov/protein/NWZ09512.1","NWZ09512.1")</f>
        <v>NWZ09512.1</v>
      </c>
      <c r="D459">
        <v>14309</v>
      </c>
      <c r="E459" t="str">
        <f>HYPERLINK("http://www.ncbi.nlm.nih.gov/Taxonomy/Browser/wwwtax.cgi?mode=Info&amp;id=39638&amp;lvl=3&amp;lin=f&amp;keep=1&amp;srchmode=1&amp;unlock","39638")</f>
        <v>39638</v>
      </c>
      <c r="F459" t="s">
        <v>167</v>
      </c>
      <c r="G459" t="str">
        <f>HYPERLINK("http://www.ncbi.nlm.nih.gov/Taxonomy/Browser/wwwtax.cgi?mode=Info&amp;id=39638&amp;lvl=3&amp;lin=f&amp;keep=1&amp;srchmode=1&amp;unlock","Agelaius phoeniceus")</f>
        <v>Agelaius phoeniceus</v>
      </c>
      <c r="H459" t="s">
        <v>426</v>
      </c>
      <c r="I459" t="str">
        <f>HYPERLINK("http://www.ncbi.nlm.nih.gov/protein/NWZ09512.1","FABPL protein")</f>
        <v>FABPL protein</v>
      </c>
      <c r="J459" t="s">
        <v>1386</v>
      </c>
      <c r="K459" t="s">
        <v>25</v>
      </c>
      <c r="L459">
        <v>50</v>
      </c>
      <c r="M459" t="s">
        <v>1379</v>
      </c>
      <c r="N459" t="s">
        <v>25</v>
      </c>
    </row>
    <row r="460" spans="1:14" x14ac:dyDescent="0.25">
      <c r="A460">
        <v>6</v>
      </c>
      <c r="B460" t="s">
        <v>167</v>
      </c>
      <c r="C460" t="str">
        <f>HYPERLINK("http://www.ncbi.nlm.nih.gov/protein/NXT96824.1","NXT96824.1")</f>
        <v>NXT96824.1</v>
      </c>
      <c r="D460">
        <v>11123</v>
      </c>
      <c r="E460" t="str">
        <f>HYPERLINK("http://www.ncbi.nlm.nih.gov/Taxonomy/Browser/wwwtax.cgi?mode=Info&amp;id=245048&amp;lvl=3&amp;lin=f&amp;keep=1&amp;srchmode=1&amp;unlock","245048")</f>
        <v>245048</v>
      </c>
      <c r="F460" t="s">
        <v>167</v>
      </c>
      <c r="G460" t="str">
        <f>HYPERLINK("http://www.ncbi.nlm.nih.gov/Taxonomy/Browser/wwwtax.cgi?mode=Info&amp;id=245048&amp;lvl=3&amp;lin=f&amp;keep=1&amp;srchmode=1&amp;unlock","Buphagus erythrorhynchus")</f>
        <v>Buphagus erythrorhynchus</v>
      </c>
      <c r="H460" t="s">
        <v>427</v>
      </c>
      <c r="I460" t="str">
        <f>HYPERLINK("http://www.ncbi.nlm.nih.gov/protein/NXT96824.1","FABPL protein")</f>
        <v>FABPL protein</v>
      </c>
      <c r="J460" t="s">
        <v>1386</v>
      </c>
      <c r="K460" t="s">
        <v>25</v>
      </c>
      <c r="L460">
        <v>50</v>
      </c>
      <c r="M460" t="s">
        <v>1383</v>
      </c>
      <c r="N460" t="s">
        <v>25</v>
      </c>
    </row>
    <row r="461" spans="1:14" x14ac:dyDescent="0.25">
      <c r="A461">
        <v>6</v>
      </c>
      <c r="B461" t="s">
        <v>167</v>
      </c>
      <c r="C461" t="str">
        <f>HYPERLINK("http://www.ncbi.nlm.nih.gov/protein/NXQ69441.1","NXQ69441.1")</f>
        <v>NXQ69441.1</v>
      </c>
      <c r="D461">
        <v>13681</v>
      </c>
      <c r="E461" t="str">
        <f>HYPERLINK("http://www.ncbi.nlm.nih.gov/Taxonomy/Browser/wwwtax.cgi?mode=Info&amp;id=64278&amp;lvl=3&amp;lin=f&amp;keep=1&amp;srchmode=1&amp;unlock","64278")</f>
        <v>64278</v>
      </c>
      <c r="F461" t="s">
        <v>167</v>
      </c>
      <c r="G461" t="str">
        <f>HYPERLINK("http://www.ncbi.nlm.nih.gov/Taxonomy/Browser/wwwtax.cgi?mode=Info&amp;id=64278&amp;lvl=3&amp;lin=f&amp;keep=1&amp;srchmode=1&amp;unlock","Quiscalus mexicanus")</f>
        <v>Quiscalus mexicanus</v>
      </c>
      <c r="H461" t="s">
        <v>428</v>
      </c>
      <c r="I461" t="str">
        <f>HYPERLINK("http://www.ncbi.nlm.nih.gov/protein/NXQ69441.1","FABPL protein")</f>
        <v>FABPL protein</v>
      </c>
      <c r="J461" t="s">
        <v>1386</v>
      </c>
      <c r="K461" t="s">
        <v>25</v>
      </c>
      <c r="L461">
        <v>50</v>
      </c>
      <c r="M461" t="s">
        <v>1379</v>
      </c>
      <c r="N461" t="s">
        <v>25</v>
      </c>
    </row>
    <row r="462" spans="1:14" x14ac:dyDescent="0.25">
      <c r="A462">
        <v>6</v>
      </c>
      <c r="B462" t="s">
        <v>167</v>
      </c>
      <c r="C462" t="str">
        <f>HYPERLINK("http://www.ncbi.nlm.nih.gov/protein/NWR22390.1","NWR22390.1")</f>
        <v>NWR22390.1</v>
      </c>
      <c r="D462">
        <v>13259</v>
      </c>
      <c r="E462" t="str">
        <f>HYPERLINK("http://www.ncbi.nlm.nih.gov/Taxonomy/Browser/wwwtax.cgi?mode=Info&amp;id=337179&amp;lvl=3&amp;lin=f&amp;keep=1&amp;srchmode=1&amp;unlock","337179")</f>
        <v>337179</v>
      </c>
      <c r="F462" t="s">
        <v>167</v>
      </c>
      <c r="G462" t="str">
        <f>HYPERLINK("http://www.ncbi.nlm.nih.gov/Taxonomy/Browser/wwwtax.cgi?mode=Info&amp;id=337179&amp;lvl=3&amp;lin=f&amp;keep=1&amp;srchmode=1&amp;unlock","Emberiza fucata")</f>
        <v>Emberiza fucata</v>
      </c>
      <c r="H462" t="s">
        <v>429</v>
      </c>
      <c r="I462" t="str">
        <f>HYPERLINK("http://www.ncbi.nlm.nih.gov/protein/NWR22390.1","FABPL protein")</f>
        <v>FABPL protein</v>
      </c>
      <c r="J462" t="s">
        <v>1386</v>
      </c>
      <c r="K462" t="s">
        <v>25</v>
      </c>
      <c r="L462">
        <v>50</v>
      </c>
      <c r="M462" t="s">
        <v>1379</v>
      </c>
      <c r="N462" t="s">
        <v>25</v>
      </c>
    </row>
    <row r="463" spans="1:14" x14ac:dyDescent="0.25">
      <c r="A463">
        <v>6</v>
      </c>
      <c r="B463" t="s">
        <v>167</v>
      </c>
      <c r="C463" t="str">
        <f>HYPERLINK("http://www.ncbi.nlm.nih.gov/protein/XP_005446431.1","XP_005446431.1")</f>
        <v>XP_005446431.1</v>
      </c>
      <c r="D463">
        <v>30432</v>
      </c>
      <c r="E463" t="str">
        <f>HYPERLINK("http://www.ncbi.nlm.nih.gov/Taxonomy/Browser/wwwtax.cgi?mode=Info&amp;id=345164&amp;lvl=3&amp;lin=f&amp;keep=1&amp;srchmode=1&amp;unlock","345164")</f>
        <v>345164</v>
      </c>
      <c r="F463" t="s">
        <v>167</v>
      </c>
      <c r="G463" t="str">
        <f>HYPERLINK("http://www.ncbi.nlm.nih.gov/Taxonomy/Browser/wwwtax.cgi?mode=Info&amp;id=345164&amp;lvl=3&amp;lin=f&amp;keep=1&amp;srchmode=1&amp;unlock","Falco cherrug")</f>
        <v>Falco cherrug</v>
      </c>
      <c r="H463" t="s">
        <v>432</v>
      </c>
      <c r="I463" t="str">
        <f>HYPERLINK("http://www.ncbi.nlm.nih.gov/protein/XP_005446431.1","fatty acid-binding protein, liver")</f>
        <v>fatty acid-binding protein, liver</v>
      </c>
      <c r="J463" t="s">
        <v>1386</v>
      </c>
      <c r="K463" t="s">
        <v>25</v>
      </c>
      <c r="L463">
        <v>50</v>
      </c>
      <c r="M463" t="s">
        <v>1383</v>
      </c>
      <c r="N463" t="s">
        <v>25</v>
      </c>
    </row>
    <row r="464" spans="1:14" x14ac:dyDescent="0.25">
      <c r="A464">
        <v>6</v>
      </c>
      <c r="B464" t="s">
        <v>167</v>
      </c>
      <c r="C464" t="str">
        <f>HYPERLINK("http://www.ncbi.nlm.nih.gov/protein/XP_040447347.1","XP_040447347.1")</f>
        <v>XP_040447347.1</v>
      </c>
      <c r="D464">
        <v>41476</v>
      </c>
      <c r="E464" t="str">
        <f>HYPERLINK("http://www.ncbi.nlm.nih.gov/Taxonomy/Browser/wwwtax.cgi?mode=Info&amp;id=148594&amp;lvl=3&amp;lin=f&amp;keep=1&amp;srchmode=1&amp;unlock","148594")</f>
        <v>148594</v>
      </c>
      <c r="F464" t="s">
        <v>167</v>
      </c>
      <c r="G464" t="str">
        <f>HYPERLINK("http://www.ncbi.nlm.nih.gov/Taxonomy/Browser/wwwtax.cgi?mode=Info&amp;id=148594&amp;lvl=3&amp;lin=f&amp;keep=1&amp;srchmode=1&amp;unlock","Falco naumanni")</f>
        <v>Falco naumanni</v>
      </c>
      <c r="H464" t="s">
        <v>433</v>
      </c>
      <c r="I464" t="str">
        <f>HYPERLINK("http://www.ncbi.nlm.nih.gov/protein/XP_040447347.1","fatty acid-binding protein, liver")</f>
        <v>fatty acid-binding protein, liver</v>
      </c>
      <c r="J464" t="s">
        <v>1386</v>
      </c>
      <c r="K464" t="s">
        <v>25</v>
      </c>
      <c r="L464">
        <v>50</v>
      </c>
      <c r="M464" t="s">
        <v>1383</v>
      </c>
      <c r="N464" t="s">
        <v>25</v>
      </c>
    </row>
    <row r="465" spans="1:14" x14ac:dyDescent="0.25">
      <c r="A465">
        <v>6</v>
      </c>
      <c r="B465" t="s">
        <v>167</v>
      </c>
      <c r="C465" t="str">
        <f>HYPERLINK("http://www.ncbi.nlm.nih.gov/protein/NXE68482.1","NXE68482.1")</f>
        <v>NXE68482.1</v>
      </c>
      <c r="D465">
        <v>13710</v>
      </c>
      <c r="E465" t="str">
        <f>HYPERLINK("http://www.ncbi.nlm.nih.gov/Taxonomy/Browser/wwwtax.cgi?mode=Info&amp;id=198940&amp;lvl=3&amp;lin=f&amp;keep=1&amp;srchmode=1&amp;unlock","198940")</f>
        <v>198940</v>
      </c>
      <c r="F465" t="s">
        <v>167</v>
      </c>
      <c r="G465" t="str">
        <f>HYPERLINK("http://www.ncbi.nlm.nih.gov/Taxonomy/Browser/wwwtax.cgi?mode=Info&amp;id=198940&amp;lvl=3&amp;lin=f&amp;keep=1&amp;srchmode=1&amp;unlock","Calcarius ornatus")</f>
        <v>Calcarius ornatus</v>
      </c>
      <c r="H465" t="s">
        <v>206</v>
      </c>
      <c r="I465" t="str">
        <f>HYPERLINK("http://www.ncbi.nlm.nih.gov/protein/NXE68482.1","FABPL protein")</f>
        <v>FABPL protein</v>
      </c>
      <c r="J465" t="s">
        <v>1386</v>
      </c>
      <c r="K465" t="s">
        <v>25</v>
      </c>
      <c r="L465">
        <v>50</v>
      </c>
      <c r="M465" t="s">
        <v>1383</v>
      </c>
      <c r="N465" t="s">
        <v>25</v>
      </c>
    </row>
    <row r="466" spans="1:14" x14ac:dyDescent="0.25">
      <c r="A466">
        <v>6</v>
      </c>
      <c r="B466" t="s">
        <v>167</v>
      </c>
      <c r="C466" t="str">
        <f>HYPERLINK("http://www.ncbi.nlm.nih.gov/protein/NXK61331.1","NXK61331.1")</f>
        <v>NXK61331.1</v>
      </c>
      <c r="D466">
        <v>13823</v>
      </c>
      <c r="E466" t="str">
        <f>HYPERLINK("http://www.ncbi.nlm.nih.gov/Taxonomy/Browser/wwwtax.cgi?mode=Info&amp;id=208069&amp;lvl=3&amp;lin=f&amp;keep=1&amp;srchmode=1&amp;unlock","208069")</f>
        <v>208069</v>
      </c>
      <c r="F466" t="s">
        <v>167</v>
      </c>
      <c r="G466" t="str">
        <f>HYPERLINK("http://www.ncbi.nlm.nih.gov/Taxonomy/Browser/wwwtax.cgi?mode=Info&amp;id=208069&amp;lvl=3&amp;lin=f&amp;keep=1&amp;srchmode=1&amp;unlock","Sylvietta virens")</f>
        <v>Sylvietta virens</v>
      </c>
      <c r="H466" t="s">
        <v>434</v>
      </c>
      <c r="I466" t="str">
        <f>HYPERLINK("http://www.ncbi.nlm.nih.gov/protein/NXK61331.1","FABPL protein")</f>
        <v>FABPL protein</v>
      </c>
      <c r="J466" t="s">
        <v>1386</v>
      </c>
      <c r="K466" t="s">
        <v>25</v>
      </c>
      <c r="L466">
        <v>50</v>
      </c>
      <c r="M466" t="s">
        <v>1383</v>
      </c>
      <c r="N466" t="s">
        <v>25</v>
      </c>
    </row>
    <row r="467" spans="1:14" x14ac:dyDescent="0.25">
      <c r="A467">
        <v>6</v>
      </c>
      <c r="B467" t="s">
        <v>167</v>
      </c>
      <c r="C467" t="str">
        <f>HYPERLINK("http://www.ncbi.nlm.nih.gov/protein/XP_005229910.1","XP_005229910.1")</f>
        <v>XP_005229910.1</v>
      </c>
      <c r="D467">
        <v>31321</v>
      </c>
      <c r="E467" t="str">
        <f>HYPERLINK("http://www.ncbi.nlm.nih.gov/Taxonomy/Browser/wwwtax.cgi?mode=Info&amp;id=8954&amp;lvl=3&amp;lin=f&amp;keep=1&amp;srchmode=1&amp;unlock","8954")</f>
        <v>8954</v>
      </c>
      <c r="F467" t="s">
        <v>167</v>
      </c>
      <c r="G467" t="str">
        <f>HYPERLINK("http://www.ncbi.nlm.nih.gov/Taxonomy/Browser/wwwtax.cgi?mode=Info&amp;id=8954&amp;lvl=3&amp;lin=f&amp;keep=1&amp;srchmode=1&amp;unlock","Falco peregrinus")</f>
        <v>Falco peregrinus</v>
      </c>
      <c r="H467" t="s">
        <v>435</v>
      </c>
      <c r="I467" t="str">
        <f>HYPERLINK("http://www.ncbi.nlm.nih.gov/protein/XP_005229910.1","fatty acid-binding protein, liver")</f>
        <v>fatty acid-binding protein, liver</v>
      </c>
      <c r="J467" t="s">
        <v>1386</v>
      </c>
      <c r="K467" t="s">
        <v>25</v>
      </c>
      <c r="L467">
        <v>50</v>
      </c>
      <c r="M467" t="s">
        <v>1383</v>
      </c>
      <c r="N467" t="s">
        <v>25</v>
      </c>
    </row>
    <row r="468" spans="1:14" x14ac:dyDescent="0.25">
      <c r="A468">
        <v>6</v>
      </c>
      <c r="B468" t="s">
        <v>167</v>
      </c>
      <c r="C468" t="str">
        <f>HYPERLINK("http://www.ncbi.nlm.nih.gov/protein/NXF77255.1","NXF77255.1")</f>
        <v>NXF77255.1</v>
      </c>
      <c r="D468">
        <v>14134</v>
      </c>
      <c r="E468" t="str">
        <f>HYPERLINK("http://www.ncbi.nlm.nih.gov/Taxonomy/Browser/wwwtax.cgi?mode=Info&amp;id=265632&amp;lvl=3&amp;lin=f&amp;keep=1&amp;srchmode=1&amp;unlock","265632")</f>
        <v>265632</v>
      </c>
      <c r="F468" t="s">
        <v>167</v>
      </c>
      <c r="G468" t="str">
        <f>HYPERLINK("http://www.ncbi.nlm.nih.gov/Taxonomy/Browser/wwwtax.cgi?mode=Info&amp;id=265632&amp;lvl=3&amp;lin=f&amp;keep=1&amp;srchmode=1&amp;unlock","Sclerurus mexicanus")</f>
        <v>Sclerurus mexicanus</v>
      </c>
      <c r="H468" t="s">
        <v>436</v>
      </c>
      <c r="I468" t="str">
        <f>HYPERLINK("http://www.ncbi.nlm.nih.gov/protein/NXF77255.1","FABPL protein")</f>
        <v>FABPL protein</v>
      </c>
      <c r="J468" t="s">
        <v>1386</v>
      </c>
      <c r="K468" t="s">
        <v>25</v>
      </c>
      <c r="L468">
        <v>50</v>
      </c>
      <c r="M468" t="s">
        <v>1379</v>
      </c>
      <c r="N468" t="s">
        <v>25</v>
      </c>
    </row>
    <row r="469" spans="1:14" x14ac:dyDescent="0.25">
      <c r="A469">
        <v>6</v>
      </c>
      <c r="B469" t="s">
        <v>167</v>
      </c>
      <c r="C469" t="str">
        <f>HYPERLINK("http://www.ncbi.nlm.nih.gov/protein/XP_037243286.1","XP_037243286.1")</f>
        <v>XP_037243286.1</v>
      </c>
      <c r="D469">
        <v>41450</v>
      </c>
      <c r="E469" t="str">
        <f>HYPERLINK("http://www.ncbi.nlm.nih.gov/Taxonomy/Browser/wwwtax.cgi?mode=Info&amp;id=120794&amp;lvl=3&amp;lin=f&amp;keep=1&amp;srchmode=1&amp;unlock","120794")</f>
        <v>120794</v>
      </c>
      <c r="F469" t="s">
        <v>167</v>
      </c>
      <c r="G469" t="str">
        <f>HYPERLINK("http://www.ncbi.nlm.nih.gov/Taxonomy/Browser/wwwtax.cgi?mode=Info&amp;id=120794&amp;lvl=3&amp;lin=f&amp;keep=1&amp;srchmode=1&amp;unlock","Falco rusticolus")</f>
        <v>Falco rusticolus</v>
      </c>
      <c r="H469" t="s">
        <v>437</v>
      </c>
      <c r="I469" t="str">
        <f>HYPERLINK("http://www.ncbi.nlm.nih.gov/protein/XP_037243286.1","fatty acid-binding protein, liver")</f>
        <v>fatty acid-binding protein, liver</v>
      </c>
      <c r="J469" t="s">
        <v>1386</v>
      </c>
      <c r="K469" t="s">
        <v>25</v>
      </c>
      <c r="L469">
        <v>50</v>
      </c>
      <c r="M469" t="s">
        <v>1383</v>
      </c>
      <c r="N469" t="s">
        <v>25</v>
      </c>
    </row>
    <row r="470" spans="1:14" x14ac:dyDescent="0.25">
      <c r="A470">
        <v>6</v>
      </c>
      <c r="B470" t="s">
        <v>167</v>
      </c>
      <c r="C470" t="str">
        <f>HYPERLINK("http://www.ncbi.nlm.nih.gov/protein/NWT93831.1","NWT93831.1")</f>
        <v>NWT93831.1</v>
      </c>
      <c r="D470">
        <v>13723</v>
      </c>
      <c r="E470" t="str">
        <f>HYPERLINK("http://www.ncbi.nlm.nih.gov/Taxonomy/Browser/wwwtax.cgi?mode=Info&amp;id=571890&amp;lvl=3&amp;lin=f&amp;keep=1&amp;srchmode=1&amp;unlock","571890")</f>
        <v>571890</v>
      </c>
      <c r="F470" t="s">
        <v>167</v>
      </c>
      <c r="G470" t="str">
        <f>HYPERLINK("http://www.ncbi.nlm.nih.gov/Taxonomy/Browser/wwwtax.cgi?mode=Info&amp;id=571890&amp;lvl=3&amp;lin=f&amp;keep=1&amp;srchmode=1&amp;unlock","Urocynchramus pylzowi")</f>
        <v>Urocynchramus pylzowi</v>
      </c>
      <c r="H470" t="s">
        <v>206</v>
      </c>
      <c r="I470" t="str">
        <f>HYPERLINK("http://www.ncbi.nlm.nih.gov/protein/NWT93831.1","FABPL protein")</f>
        <v>FABPL protein</v>
      </c>
      <c r="J470" t="s">
        <v>1386</v>
      </c>
      <c r="K470" t="s">
        <v>25</v>
      </c>
      <c r="L470">
        <v>50</v>
      </c>
      <c r="M470" t="s">
        <v>1383</v>
      </c>
      <c r="N470" t="s">
        <v>25</v>
      </c>
    </row>
    <row r="471" spans="1:14" x14ac:dyDescent="0.25">
      <c r="A471">
        <v>6</v>
      </c>
      <c r="B471" t="s">
        <v>167</v>
      </c>
      <c r="C471" t="str">
        <f>HYPERLINK("http://www.ncbi.nlm.nih.gov/protein/NXT62212.1","NXT62212.1")</f>
        <v>NXT62212.1</v>
      </c>
      <c r="D471">
        <v>13266</v>
      </c>
      <c r="E471" t="str">
        <f>HYPERLINK("http://www.ncbi.nlm.nih.gov/Taxonomy/Browser/wwwtax.cgi?mode=Info&amp;id=221966&amp;lvl=3&amp;lin=f&amp;keep=1&amp;srchmode=1&amp;unlock","221966")</f>
        <v>221966</v>
      </c>
      <c r="F471" t="s">
        <v>167</v>
      </c>
      <c r="G471" t="str">
        <f>HYPERLINK("http://www.ncbi.nlm.nih.gov/Taxonomy/Browser/wwwtax.cgi?mode=Info&amp;id=221966&amp;lvl=3&amp;lin=f&amp;keep=1&amp;srchmode=1&amp;unlock","Chaetops frenatus")</f>
        <v>Chaetops frenatus</v>
      </c>
      <c r="H471" t="s">
        <v>438</v>
      </c>
      <c r="I471" t="str">
        <f>HYPERLINK("http://www.ncbi.nlm.nih.gov/protein/NXT62212.1","FABPL protein")</f>
        <v>FABPL protein</v>
      </c>
      <c r="J471" t="s">
        <v>1386</v>
      </c>
      <c r="K471" t="s">
        <v>25</v>
      </c>
      <c r="L471">
        <v>50</v>
      </c>
      <c r="M471" t="s">
        <v>1379</v>
      </c>
      <c r="N471" t="s">
        <v>25</v>
      </c>
    </row>
    <row r="472" spans="1:14" x14ac:dyDescent="0.25">
      <c r="A472">
        <v>6</v>
      </c>
      <c r="B472" t="s">
        <v>167</v>
      </c>
      <c r="C472" t="str">
        <f>HYPERLINK("http://www.ncbi.nlm.nih.gov/protein/NWR85746.1","NWR85746.1")</f>
        <v>NWR85746.1</v>
      </c>
      <c r="D472">
        <v>13898</v>
      </c>
      <c r="E472" t="str">
        <f>HYPERLINK("http://www.ncbi.nlm.nih.gov/Taxonomy/Browser/wwwtax.cgi?mode=Info&amp;id=463165&amp;lvl=3&amp;lin=f&amp;keep=1&amp;srchmode=1&amp;unlock","463165")</f>
        <v>463165</v>
      </c>
      <c r="F472" t="s">
        <v>167</v>
      </c>
      <c r="G472" t="str">
        <f>HYPERLINK("http://www.ncbi.nlm.nih.gov/Taxonomy/Browser/wwwtax.cgi?mode=Info&amp;id=463165&amp;lvl=3&amp;lin=f&amp;keep=1&amp;srchmode=1&amp;unlock","Furnarius figulus")</f>
        <v>Furnarius figulus</v>
      </c>
      <c r="H472" t="s">
        <v>206</v>
      </c>
      <c r="I472" t="str">
        <f>HYPERLINK("http://www.ncbi.nlm.nih.gov/protein/NWR85746.1","FABPL protein")</f>
        <v>FABPL protein</v>
      </c>
      <c r="J472" t="s">
        <v>1386</v>
      </c>
      <c r="K472" t="s">
        <v>25</v>
      </c>
      <c r="L472">
        <v>50</v>
      </c>
      <c r="M472" t="s">
        <v>1379</v>
      </c>
      <c r="N472" t="s">
        <v>25</v>
      </c>
    </row>
    <row r="473" spans="1:14" x14ac:dyDescent="0.25">
      <c r="A473">
        <v>6</v>
      </c>
      <c r="B473" t="s">
        <v>167</v>
      </c>
      <c r="C473" t="str">
        <f>HYPERLINK("http://www.ncbi.nlm.nih.gov/protein/NXR47844.1","NXR47844.1")</f>
        <v>NXR47844.1</v>
      </c>
      <c r="D473">
        <v>13717</v>
      </c>
      <c r="E473" t="str">
        <f>HYPERLINK("http://www.ncbi.nlm.nih.gov/Taxonomy/Browser/wwwtax.cgi?mode=Info&amp;id=68497&amp;lvl=3&amp;lin=f&amp;keep=1&amp;srchmode=1&amp;unlock","68497")</f>
        <v>68497</v>
      </c>
      <c r="F473" t="s">
        <v>167</v>
      </c>
      <c r="G473" t="str">
        <f>HYPERLINK("http://www.ncbi.nlm.nih.gov/Taxonomy/Browser/wwwtax.cgi?mode=Info&amp;id=68497&amp;lvl=3&amp;lin=f&amp;keep=1&amp;srchmode=1&amp;unlock","Hippolais icterina")</f>
        <v>Hippolais icterina</v>
      </c>
      <c r="H473" t="s">
        <v>440</v>
      </c>
      <c r="I473" t="str">
        <f>HYPERLINK("http://www.ncbi.nlm.nih.gov/protein/NXR47844.1","FABPL protein")</f>
        <v>FABPL protein</v>
      </c>
      <c r="J473" t="s">
        <v>1386</v>
      </c>
      <c r="K473" t="s">
        <v>25</v>
      </c>
      <c r="L473">
        <v>50</v>
      </c>
      <c r="M473" t="s">
        <v>1379</v>
      </c>
      <c r="N473" t="s">
        <v>25</v>
      </c>
    </row>
    <row r="474" spans="1:14" x14ac:dyDescent="0.25">
      <c r="A474">
        <v>6</v>
      </c>
      <c r="B474" t="s">
        <v>167</v>
      </c>
      <c r="C474" t="str">
        <f>HYPERLINK("http://www.ncbi.nlm.nih.gov/protein/NWI58476.1","NWI58476.1")</f>
        <v>NWI58476.1</v>
      </c>
      <c r="D474">
        <v>13255</v>
      </c>
      <c r="E474" t="str">
        <f>HYPERLINK("http://www.ncbi.nlm.nih.gov/Taxonomy/Browser/wwwtax.cgi?mode=Info&amp;id=135972&amp;lvl=3&amp;lin=f&amp;keep=1&amp;srchmode=1&amp;unlock","135972")</f>
        <v>135972</v>
      </c>
      <c r="F474" t="s">
        <v>167</v>
      </c>
      <c r="G474" t="str">
        <f>HYPERLINK("http://www.ncbi.nlm.nih.gov/Taxonomy/Browser/wwwtax.cgi?mode=Info&amp;id=135972&amp;lvl=3&amp;lin=f&amp;keep=1&amp;srchmode=1&amp;unlock","Calyptomena viridis")</f>
        <v>Calyptomena viridis</v>
      </c>
      <c r="H474" t="s">
        <v>441</v>
      </c>
      <c r="I474" t="str">
        <f>HYPERLINK("http://www.ncbi.nlm.nih.gov/protein/NWI58476.1","FABPL protein")</f>
        <v>FABPL protein</v>
      </c>
      <c r="J474" t="s">
        <v>1386</v>
      </c>
      <c r="K474" t="s">
        <v>25</v>
      </c>
      <c r="L474">
        <v>50</v>
      </c>
      <c r="M474" t="s">
        <v>1383</v>
      </c>
      <c r="N474" t="s">
        <v>25</v>
      </c>
    </row>
    <row r="475" spans="1:14" x14ac:dyDescent="0.25">
      <c r="A475">
        <v>6</v>
      </c>
      <c r="B475" t="s">
        <v>167</v>
      </c>
      <c r="C475" t="str">
        <f>HYPERLINK("http://www.ncbi.nlm.nih.gov/protein/NWY74904.1","NWY74904.1")</f>
        <v>NWY74904.1</v>
      </c>
      <c r="D475">
        <v>13909</v>
      </c>
      <c r="E475" t="str">
        <f>HYPERLINK("http://www.ncbi.nlm.nih.gov/Taxonomy/Browser/wwwtax.cgi?mode=Info&amp;id=37610&amp;lvl=3&amp;lin=f&amp;keep=1&amp;srchmode=1&amp;unlock","37610")</f>
        <v>37610</v>
      </c>
      <c r="F475" t="s">
        <v>167</v>
      </c>
      <c r="G475" t="str">
        <f>HYPERLINK("http://www.ncbi.nlm.nih.gov/Taxonomy/Browser/wwwtax.cgi?mode=Info&amp;id=37610&amp;lvl=3&amp;lin=f&amp;keep=1&amp;srchmode=1&amp;unlock","Erithacus rubecula")</f>
        <v>Erithacus rubecula</v>
      </c>
      <c r="H475" t="s">
        <v>442</v>
      </c>
      <c r="I475" t="str">
        <f>HYPERLINK("http://www.ncbi.nlm.nih.gov/protein/NWY74904.1","FABPL protein")</f>
        <v>FABPL protein</v>
      </c>
      <c r="J475" t="s">
        <v>1386</v>
      </c>
      <c r="K475" t="s">
        <v>25</v>
      </c>
      <c r="L475">
        <v>50</v>
      </c>
      <c r="M475" t="s">
        <v>1379</v>
      </c>
      <c r="N475" t="s">
        <v>25</v>
      </c>
    </row>
    <row r="476" spans="1:14" x14ac:dyDescent="0.25">
      <c r="A476">
        <v>6</v>
      </c>
      <c r="B476" t="s">
        <v>167</v>
      </c>
      <c r="C476" t="str">
        <f>HYPERLINK("http://www.ncbi.nlm.nih.gov/protein/NWZ61713.1","NWZ61713.1")</f>
        <v>NWZ61713.1</v>
      </c>
      <c r="D476">
        <v>14269</v>
      </c>
      <c r="E476" t="str">
        <f>HYPERLINK("http://www.ncbi.nlm.nih.gov/Taxonomy/Browser/wwwtax.cgi?mode=Info&amp;id=39621&amp;lvl=3&amp;lin=f&amp;keep=1&amp;srchmode=1&amp;unlock","39621")</f>
        <v>39621</v>
      </c>
      <c r="F476" t="s">
        <v>167</v>
      </c>
      <c r="G476" t="str">
        <f>HYPERLINK("http://www.ncbi.nlm.nih.gov/Taxonomy/Browser/wwwtax.cgi?mode=Info&amp;id=39621&amp;lvl=3&amp;lin=f&amp;keep=1&amp;srchmode=1&amp;unlock","Acrocephalus arundinaceus")</f>
        <v>Acrocephalus arundinaceus</v>
      </c>
      <c r="H476" t="s">
        <v>439</v>
      </c>
      <c r="I476" t="str">
        <f>HYPERLINK("http://www.ncbi.nlm.nih.gov/protein/NWZ61713.1","FABPL protein")</f>
        <v>FABPL protein</v>
      </c>
      <c r="J476" t="s">
        <v>1386</v>
      </c>
      <c r="K476" t="s">
        <v>25</v>
      </c>
      <c r="L476">
        <v>50</v>
      </c>
      <c r="M476" t="s">
        <v>1379</v>
      </c>
      <c r="N476" t="s">
        <v>25</v>
      </c>
    </row>
    <row r="477" spans="1:14" x14ac:dyDescent="0.25">
      <c r="A477">
        <v>6</v>
      </c>
      <c r="B477" t="s">
        <v>167</v>
      </c>
      <c r="C477" t="str">
        <f>HYPERLINK("http://www.ncbi.nlm.nih.gov/protein/XP_021391415.1","XP_021391415.1")</f>
        <v>XP_021391415.1</v>
      </c>
      <c r="D477">
        <v>43851</v>
      </c>
      <c r="E477" t="str">
        <f>HYPERLINK("http://www.ncbi.nlm.nih.gov/Taxonomy/Browser/wwwtax.cgi?mode=Info&amp;id=299123&amp;lvl=3&amp;lin=f&amp;keep=1&amp;srchmode=1&amp;unlock","299123")</f>
        <v>299123</v>
      </c>
      <c r="F477" t="s">
        <v>167</v>
      </c>
      <c r="G477" t="str">
        <f>HYPERLINK("http://www.ncbi.nlm.nih.gov/Taxonomy/Browser/wwwtax.cgi?mode=Info&amp;id=299123&amp;lvl=3&amp;lin=f&amp;keep=1&amp;srchmode=1&amp;unlock","Lonchura striata domestica")</f>
        <v>Lonchura striata domestica</v>
      </c>
      <c r="H477" t="s">
        <v>447</v>
      </c>
      <c r="I477" t="str">
        <f>HYPERLINK("http://www.ncbi.nlm.nih.gov/protein/XP_021391415.1","fatty acid-binding protein, liver")</f>
        <v>fatty acid-binding protein, liver</v>
      </c>
      <c r="J477" t="s">
        <v>1386</v>
      </c>
      <c r="K477" t="s">
        <v>25</v>
      </c>
      <c r="L477">
        <v>50</v>
      </c>
      <c r="M477" t="s">
        <v>1383</v>
      </c>
      <c r="N477" t="s">
        <v>25</v>
      </c>
    </row>
    <row r="478" spans="1:14" x14ac:dyDescent="0.25">
      <c r="A478">
        <v>6</v>
      </c>
      <c r="B478" t="s">
        <v>167</v>
      </c>
      <c r="C478" t="str">
        <f>HYPERLINK("http://www.ncbi.nlm.nih.gov/protein/XP_015481243.1","XP_015481243.1")</f>
        <v>XP_015481243.1</v>
      </c>
      <c r="D478">
        <v>39858</v>
      </c>
      <c r="E478" t="str">
        <f>HYPERLINK("http://www.ncbi.nlm.nih.gov/Taxonomy/Browser/wwwtax.cgi?mode=Info&amp;id=9157&amp;lvl=3&amp;lin=f&amp;keep=1&amp;srchmode=1&amp;unlock","9157")</f>
        <v>9157</v>
      </c>
      <c r="F478" t="s">
        <v>167</v>
      </c>
      <c r="G478" t="str">
        <f>HYPERLINK("http://www.ncbi.nlm.nih.gov/Taxonomy/Browser/wwwtax.cgi?mode=Info&amp;id=9157&amp;lvl=3&amp;lin=f&amp;keep=1&amp;srchmode=1&amp;unlock","Parus major")</f>
        <v>Parus major</v>
      </c>
      <c r="H478" t="s">
        <v>448</v>
      </c>
      <c r="I478" t="str">
        <f>HYPERLINK("http://www.ncbi.nlm.nih.gov/protein/XP_015481243.1","fatty acid-binding protein, liver")</f>
        <v>fatty acid-binding protein, liver</v>
      </c>
      <c r="J478" t="s">
        <v>1386</v>
      </c>
      <c r="K478" t="s">
        <v>25</v>
      </c>
      <c r="L478">
        <v>50</v>
      </c>
      <c r="M478" t="s">
        <v>1379</v>
      </c>
      <c r="N478" t="s">
        <v>25</v>
      </c>
    </row>
    <row r="479" spans="1:14" x14ac:dyDescent="0.25">
      <c r="A479">
        <v>6</v>
      </c>
      <c r="B479" t="s">
        <v>167</v>
      </c>
      <c r="C479" t="str">
        <f>HYPERLINK("http://www.ncbi.nlm.nih.gov/protein/NXB74913.1","NXB74913.1")</f>
        <v>NXB74913.1</v>
      </c>
      <c r="D479">
        <v>13760</v>
      </c>
      <c r="E479" t="str">
        <f>HYPERLINK("http://www.ncbi.nlm.nih.gov/Taxonomy/Browser/wwwtax.cgi?mode=Info&amp;id=237420&amp;lvl=3&amp;lin=f&amp;keep=1&amp;srchmode=1&amp;unlock","237420")</f>
        <v>237420</v>
      </c>
      <c r="F479" t="s">
        <v>167</v>
      </c>
      <c r="G479" t="str">
        <f>HYPERLINK("http://www.ncbi.nlm.nih.gov/Taxonomy/Browser/wwwtax.cgi?mode=Info&amp;id=237420&amp;lvl=3&amp;lin=f&amp;keep=1&amp;srchmode=1&amp;unlock","Donacobius atricapilla")</f>
        <v>Donacobius atricapilla</v>
      </c>
      <c r="H479" t="s">
        <v>206</v>
      </c>
      <c r="I479" t="str">
        <f>HYPERLINK("http://www.ncbi.nlm.nih.gov/protein/NXB74913.1","FABPL protein")</f>
        <v>FABPL protein</v>
      </c>
      <c r="J479" t="s">
        <v>1386</v>
      </c>
      <c r="K479" t="s">
        <v>25</v>
      </c>
      <c r="L479">
        <v>50</v>
      </c>
      <c r="M479" t="s">
        <v>1383</v>
      </c>
      <c r="N479" t="s">
        <v>25</v>
      </c>
    </row>
    <row r="480" spans="1:14" x14ac:dyDescent="0.25">
      <c r="A480">
        <v>6</v>
      </c>
      <c r="B480" t="s">
        <v>167</v>
      </c>
      <c r="C480" t="str">
        <f>HYPERLINK("http://www.ncbi.nlm.nih.gov/protein/NXM66314.1","NXM66314.1")</f>
        <v>NXM66314.1</v>
      </c>
      <c r="D480">
        <v>14138</v>
      </c>
      <c r="E480" t="str">
        <f>HYPERLINK("http://www.ncbi.nlm.nih.gov/Taxonomy/Browser/wwwtax.cgi?mode=Info&amp;id=239386&amp;lvl=3&amp;lin=f&amp;keep=1&amp;srchmode=1&amp;unlock","239386")</f>
        <v>239386</v>
      </c>
      <c r="F480" t="s">
        <v>167</v>
      </c>
      <c r="G480" t="str">
        <f>HYPERLINK("http://www.ncbi.nlm.nih.gov/Taxonomy/Browser/wwwtax.cgi?mode=Info&amp;id=239386&amp;lvl=3&amp;lin=f&amp;keep=1&amp;srchmode=1&amp;unlock","Serilophus lunatus")</f>
        <v>Serilophus lunatus</v>
      </c>
      <c r="H480" t="s">
        <v>443</v>
      </c>
      <c r="I480" t="str">
        <f>HYPERLINK("http://www.ncbi.nlm.nih.gov/protein/NXM66314.1","FABPL protein")</f>
        <v>FABPL protein</v>
      </c>
      <c r="J480" t="s">
        <v>1386</v>
      </c>
      <c r="K480" t="s">
        <v>25</v>
      </c>
      <c r="L480">
        <v>50</v>
      </c>
      <c r="M480" t="s">
        <v>1379</v>
      </c>
      <c r="N480" t="s">
        <v>25</v>
      </c>
    </row>
    <row r="481" spans="1:14" x14ac:dyDescent="0.25">
      <c r="A481">
        <v>6</v>
      </c>
      <c r="B481" t="s">
        <v>167</v>
      </c>
      <c r="C481" t="str">
        <f>HYPERLINK("http://www.ncbi.nlm.nih.gov/protein/NWY89422.1","NWY89422.1")</f>
        <v>NWY89422.1</v>
      </c>
      <c r="D481">
        <v>12391</v>
      </c>
      <c r="E481" t="str">
        <f>HYPERLINK("http://www.ncbi.nlm.nih.gov/Taxonomy/Browser/wwwtax.cgi?mode=Info&amp;id=468512&amp;lvl=3&amp;lin=f&amp;keep=1&amp;srchmode=1&amp;unlock","468512")</f>
        <v>468512</v>
      </c>
      <c r="F481" t="s">
        <v>167</v>
      </c>
      <c r="G481" t="str">
        <f>HYPERLINK("http://www.ncbi.nlm.nih.gov/Taxonomy/Browser/wwwtax.cgi?mode=Info&amp;id=468512&amp;lvl=3&amp;lin=f&amp;keep=1&amp;srchmode=1&amp;unlock","Rhegmatorhina hoffmannsi")</f>
        <v>Rhegmatorhina hoffmannsi</v>
      </c>
      <c r="H481" t="s">
        <v>444</v>
      </c>
      <c r="I481" t="str">
        <f>HYPERLINK("http://www.ncbi.nlm.nih.gov/protein/NWY89422.1","FABPL protein")</f>
        <v>FABPL protein</v>
      </c>
      <c r="J481" t="s">
        <v>1386</v>
      </c>
      <c r="K481" t="s">
        <v>25</v>
      </c>
      <c r="L481">
        <v>50</v>
      </c>
      <c r="M481" t="s">
        <v>1379</v>
      </c>
      <c r="N481" t="s">
        <v>25</v>
      </c>
    </row>
    <row r="482" spans="1:14" x14ac:dyDescent="0.25">
      <c r="A482">
        <v>6</v>
      </c>
      <c r="B482" t="s">
        <v>167</v>
      </c>
      <c r="C482" t="str">
        <f>HYPERLINK("http://www.ncbi.nlm.nih.gov/protein/KQK83089.1","KQK83089.1")</f>
        <v>KQK83089.1</v>
      </c>
      <c r="D482">
        <v>16224</v>
      </c>
      <c r="E482" t="str">
        <f>HYPERLINK("http://www.ncbi.nlm.nih.gov/Taxonomy/Browser/wwwtax.cgi?mode=Info&amp;id=12930&amp;lvl=3&amp;lin=f&amp;keep=1&amp;srchmode=1&amp;unlock","12930")</f>
        <v>12930</v>
      </c>
      <c r="F482" t="s">
        <v>167</v>
      </c>
      <c r="G482" t="str">
        <f>HYPERLINK("http://www.ncbi.nlm.nih.gov/Taxonomy/Browser/wwwtax.cgi?mode=Info&amp;id=12930&amp;lvl=3&amp;lin=f&amp;keep=1&amp;srchmode=1&amp;unlock","Amazona aestiva")</f>
        <v>Amazona aestiva</v>
      </c>
      <c r="H482" t="s">
        <v>445</v>
      </c>
      <c r="I482" t="str">
        <f>HYPERLINK("http://www.ncbi.nlm.nih.gov/protein/KQK83089.1","fatty acid-binding protein, liver")</f>
        <v>fatty acid-binding protein, liver</v>
      </c>
      <c r="J482" t="s">
        <v>1386</v>
      </c>
      <c r="K482" t="s">
        <v>25</v>
      </c>
      <c r="L482">
        <v>87</v>
      </c>
      <c r="M482" t="s">
        <v>1383</v>
      </c>
      <c r="N482" t="s">
        <v>25</v>
      </c>
    </row>
    <row r="483" spans="1:14" x14ac:dyDescent="0.25">
      <c r="A483">
        <v>6</v>
      </c>
      <c r="B483" t="s">
        <v>167</v>
      </c>
      <c r="C483" t="str">
        <f>HYPERLINK("http://www.ncbi.nlm.nih.gov/protein/NP_001258453.2","NP_001258453.2")</f>
        <v>NP_001258453.2</v>
      </c>
      <c r="D483">
        <v>45119</v>
      </c>
      <c r="E483" t="str">
        <f>HYPERLINK("http://www.ncbi.nlm.nih.gov/Taxonomy/Browser/wwwtax.cgi?mode=Info&amp;id=59729&amp;lvl=3&amp;lin=f&amp;keep=1&amp;srchmode=1&amp;unlock","59729")</f>
        <v>59729</v>
      </c>
      <c r="F483" t="s">
        <v>167</v>
      </c>
      <c r="G483" t="str">
        <f>HYPERLINK("http://www.ncbi.nlm.nih.gov/Taxonomy/Browser/wwwtax.cgi?mode=Info&amp;id=59729&amp;lvl=3&amp;lin=f&amp;keep=1&amp;srchmode=1&amp;unlock","Taeniopygia guttata")</f>
        <v>Taeniopygia guttata</v>
      </c>
      <c r="H483" t="s">
        <v>446</v>
      </c>
      <c r="I483" t="str">
        <f>HYPERLINK("http://www.ncbi.nlm.nih.gov/protein/NP_001258453.2","fatty acid-binding protein, liver")</f>
        <v>fatty acid-binding protein, liver</v>
      </c>
      <c r="J483" t="s">
        <v>1386</v>
      </c>
      <c r="K483" t="s">
        <v>25</v>
      </c>
      <c r="L483">
        <v>50</v>
      </c>
      <c r="M483" t="s">
        <v>1383</v>
      </c>
      <c r="N483" t="s">
        <v>25</v>
      </c>
    </row>
    <row r="484" spans="1:14" x14ac:dyDescent="0.25">
      <c r="A484">
        <v>6</v>
      </c>
      <c r="B484" t="s">
        <v>167</v>
      </c>
      <c r="C484" t="str">
        <f>HYPERLINK("http://www.ncbi.nlm.nih.gov/protein/NWS07738.1","NWS07738.1")</f>
        <v>NWS07738.1</v>
      </c>
      <c r="D484">
        <v>13661</v>
      </c>
      <c r="E484" t="str">
        <f>HYPERLINK("http://www.ncbi.nlm.nih.gov/Taxonomy/Browser/wwwtax.cgi?mode=Info&amp;id=45807&amp;lvl=3&amp;lin=f&amp;keep=1&amp;srchmode=1&amp;unlock","45807")</f>
        <v>45807</v>
      </c>
      <c r="F484" t="s">
        <v>167</v>
      </c>
      <c r="G484" t="str">
        <f>HYPERLINK("http://www.ncbi.nlm.nih.gov/Taxonomy/Browser/wwwtax.cgi?mode=Info&amp;id=45807&amp;lvl=3&amp;lin=f&amp;keep=1&amp;srchmode=1&amp;unlock","Motacilla alba")</f>
        <v>Motacilla alba</v>
      </c>
      <c r="H484" t="s">
        <v>450</v>
      </c>
      <c r="I484" t="str">
        <f>HYPERLINK("http://www.ncbi.nlm.nih.gov/protein/NWS07738.1","FABPL protein")</f>
        <v>FABPL protein</v>
      </c>
      <c r="J484" t="s">
        <v>1386</v>
      </c>
      <c r="K484" t="s">
        <v>25</v>
      </c>
      <c r="L484">
        <v>50</v>
      </c>
      <c r="M484" t="s">
        <v>1379</v>
      </c>
      <c r="N484" t="s">
        <v>25</v>
      </c>
    </row>
    <row r="485" spans="1:14" x14ac:dyDescent="0.25">
      <c r="A485">
        <v>6</v>
      </c>
      <c r="B485" t="s">
        <v>167</v>
      </c>
      <c r="C485" t="str">
        <f>HYPERLINK("http://www.ncbi.nlm.nih.gov/protein/NXI14671.1","NXI14671.1")</f>
        <v>NXI14671.1</v>
      </c>
      <c r="D485">
        <v>14281</v>
      </c>
      <c r="E485" t="str">
        <f>HYPERLINK("http://www.ncbi.nlm.nih.gov/Taxonomy/Browser/wwwtax.cgi?mode=Info&amp;id=175120&amp;lvl=3&amp;lin=f&amp;keep=1&amp;srchmode=1&amp;unlock","175120")</f>
        <v>175120</v>
      </c>
      <c r="F485" t="s">
        <v>167</v>
      </c>
      <c r="G485" t="str">
        <f>HYPERLINK("http://www.ncbi.nlm.nih.gov/Taxonomy/Browser/wwwtax.cgi?mode=Info&amp;id=175120&amp;lvl=3&amp;lin=f&amp;keep=1&amp;srchmode=1&amp;unlock","Irena cyanogastra")</f>
        <v>Irena cyanogastra</v>
      </c>
      <c r="H485" t="s">
        <v>451</v>
      </c>
      <c r="I485" t="str">
        <f>HYPERLINK("http://www.ncbi.nlm.nih.gov/protein/NXI14671.1","FABPL protein")</f>
        <v>FABPL protein</v>
      </c>
      <c r="J485" t="s">
        <v>1386</v>
      </c>
      <c r="K485" t="s">
        <v>25</v>
      </c>
      <c r="L485">
        <v>50</v>
      </c>
      <c r="M485" t="s">
        <v>1383</v>
      </c>
      <c r="N485" t="s">
        <v>25</v>
      </c>
    </row>
    <row r="486" spans="1:14" x14ac:dyDescent="0.25">
      <c r="A486">
        <v>6</v>
      </c>
      <c r="B486" t="s">
        <v>167</v>
      </c>
      <c r="C486" t="str">
        <f>HYPERLINK("http://www.ncbi.nlm.nih.gov/protein/NWI96963.1","NWI96963.1")</f>
        <v>NWI96963.1</v>
      </c>
      <c r="D486">
        <v>13920</v>
      </c>
      <c r="E486" t="str">
        <f>HYPERLINK("http://www.ncbi.nlm.nih.gov/Taxonomy/Browser/wwwtax.cgi?mode=Info&amp;id=9163&amp;lvl=3&amp;lin=f&amp;keep=1&amp;srchmode=1&amp;unlock","9163")</f>
        <v>9163</v>
      </c>
      <c r="F486" t="s">
        <v>167</v>
      </c>
      <c r="G486" t="str">
        <f>HYPERLINK("http://www.ncbi.nlm.nih.gov/Taxonomy/Browser/wwwtax.cgi?mode=Info&amp;id=9163&amp;lvl=3&amp;lin=f&amp;keep=1&amp;srchmode=1&amp;unlock","Pitta sordida")</f>
        <v>Pitta sordida</v>
      </c>
      <c r="H486" t="s">
        <v>452</v>
      </c>
      <c r="I486" t="str">
        <f>HYPERLINK("http://www.ncbi.nlm.nih.gov/protein/NWI96963.1","FABPL protein")</f>
        <v>FABPL protein</v>
      </c>
      <c r="J486" t="s">
        <v>1386</v>
      </c>
      <c r="K486" t="s">
        <v>25</v>
      </c>
      <c r="L486">
        <v>50</v>
      </c>
      <c r="M486" t="s">
        <v>1379</v>
      </c>
      <c r="N486" t="s">
        <v>25</v>
      </c>
    </row>
    <row r="487" spans="1:14" x14ac:dyDescent="0.25">
      <c r="A487">
        <v>6</v>
      </c>
      <c r="B487" t="s">
        <v>167</v>
      </c>
      <c r="C487" t="str">
        <f>HYPERLINK("http://www.ncbi.nlm.nih.gov/protein/XP_037992041.1","XP_037992041.1")</f>
        <v>XP_037992041.1</v>
      </c>
      <c r="D487">
        <v>42237</v>
      </c>
      <c r="E487" t="str">
        <f>HYPERLINK("http://www.ncbi.nlm.nih.gov/Taxonomy/Browser/wwwtax.cgi?mode=Info&amp;id=1094192&amp;lvl=3&amp;lin=f&amp;keep=1&amp;srchmode=1&amp;unlock","1094192")</f>
        <v>1094192</v>
      </c>
      <c r="F487" t="s">
        <v>167</v>
      </c>
      <c r="G487" t="str">
        <f>HYPERLINK("http://www.ncbi.nlm.nih.gov/Taxonomy/Browser/wwwtax.cgi?mode=Info&amp;id=1094192&amp;lvl=3&amp;lin=f&amp;keep=1&amp;srchmode=1&amp;unlock","Motacilla alba alba")</f>
        <v>Motacilla alba alba</v>
      </c>
      <c r="H487" t="s">
        <v>450</v>
      </c>
      <c r="I487" t="str">
        <f>HYPERLINK("http://www.ncbi.nlm.nih.gov/protein/XP_037992041.1","fatty acid-binding protein, liver")</f>
        <v>fatty acid-binding protein, liver</v>
      </c>
      <c r="J487" t="s">
        <v>1386</v>
      </c>
      <c r="K487" t="s">
        <v>25</v>
      </c>
      <c r="L487">
        <v>50</v>
      </c>
      <c r="M487" t="s">
        <v>1379</v>
      </c>
      <c r="N487" t="s">
        <v>25</v>
      </c>
    </row>
    <row r="488" spans="1:14" x14ac:dyDescent="0.25">
      <c r="A488">
        <v>6</v>
      </c>
      <c r="B488" t="s">
        <v>167</v>
      </c>
      <c r="C488" t="str">
        <f>HYPERLINK("http://www.ncbi.nlm.nih.gov/protein/NXF20663.1","NXF20663.1")</f>
        <v>NXF20663.1</v>
      </c>
      <c r="D488">
        <v>14142</v>
      </c>
      <c r="E488" t="str">
        <f>HYPERLINK("http://www.ncbi.nlm.nih.gov/Taxonomy/Browser/wwwtax.cgi?mode=Info&amp;id=58203&amp;lvl=3&amp;lin=f&amp;keep=1&amp;srchmode=1&amp;unlock","58203")</f>
        <v>58203</v>
      </c>
      <c r="F488" t="s">
        <v>167</v>
      </c>
      <c r="G488" t="str">
        <f>HYPERLINK("http://www.ncbi.nlm.nih.gov/Taxonomy/Browser/wwwtax.cgi?mode=Info&amp;id=58203&amp;lvl=3&amp;lin=f&amp;keep=1&amp;srchmode=1&amp;unlock","Rhodinocichla rosea")</f>
        <v>Rhodinocichla rosea</v>
      </c>
      <c r="H488" t="s">
        <v>414</v>
      </c>
      <c r="I488" t="str">
        <f>HYPERLINK("http://www.ncbi.nlm.nih.gov/protein/NXF20663.1","FABPL protein")</f>
        <v>FABPL protein</v>
      </c>
      <c r="J488" t="s">
        <v>1386</v>
      </c>
      <c r="K488" t="s">
        <v>25</v>
      </c>
      <c r="L488">
        <v>50</v>
      </c>
      <c r="M488" t="s">
        <v>1379</v>
      </c>
      <c r="N488" t="s">
        <v>25</v>
      </c>
    </row>
    <row r="489" spans="1:14" x14ac:dyDescent="0.25">
      <c r="A489">
        <v>6</v>
      </c>
      <c r="B489" t="s">
        <v>167</v>
      </c>
      <c r="C489" t="str">
        <f>HYPERLINK("http://www.ncbi.nlm.nih.gov/protein/NWH36506.1","NWH36506.1")</f>
        <v>NWH36506.1</v>
      </c>
      <c r="D489">
        <v>13554</v>
      </c>
      <c r="E489" t="str">
        <f>HYPERLINK("http://www.ncbi.nlm.nih.gov/Taxonomy/Browser/wwwtax.cgi?mode=Info&amp;id=667144&amp;lvl=3&amp;lin=f&amp;keep=1&amp;srchmode=1&amp;unlock","667144")</f>
        <v>667144</v>
      </c>
      <c r="F489" t="s">
        <v>167</v>
      </c>
      <c r="G489" t="str">
        <f>HYPERLINK("http://www.ncbi.nlm.nih.gov/Taxonomy/Browser/wwwtax.cgi?mode=Info&amp;id=667144&amp;lvl=3&amp;lin=f&amp;keep=1&amp;srchmode=1&amp;unlock","Chloropsis hardwickii")</f>
        <v>Chloropsis hardwickii</v>
      </c>
      <c r="H489" t="s">
        <v>206</v>
      </c>
      <c r="I489" t="str">
        <f>HYPERLINK("http://www.ncbi.nlm.nih.gov/protein/NWH36506.1","FABPL protein")</f>
        <v>FABPL protein</v>
      </c>
      <c r="J489" t="s">
        <v>1386</v>
      </c>
      <c r="K489" t="s">
        <v>25</v>
      </c>
      <c r="L489">
        <v>50</v>
      </c>
      <c r="M489" t="s">
        <v>1379</v>
      </c>
      <c r="N489" t="s">
        <v>25</v>
      </c>
    </row>
    <row r="490" spans="1:14" x14ac:dyDescent="0.25">
      <c r="A490">
        <v>6</v>
      </c>
      <c r="B490" t="s">
        <v>167</v>
      </c>
      <c r="C490" t="str">
        <f>HYPERLINK("http://www.ncbi.nlm.nih.gov/protein/NXU98636.1","NXU98636.1")</f>
        <v>NXU98636.1</v>
      </c>
      <c r="D490">
        <v>14925</v>
      </c>
      <c r="E490" t="str">
        <f>HYPERLINK("http://www.ncbi.nlm.nih.gov/Taxonomy/Browser/wwwtax.cgi?mode=Info&amp;id=68486&amp;lvl=3&amp;lin=f&amp;keep=1&amp;srchmode=1&amp;unlock","68486")</f>
        <v>68486</v>
      </c>
      <c r="F490" t="s">
        <v>167</v>
      </c>
      <c r="G490" t="str">
        <f>HYPERLINK("http://www.ncbi.nlm.nih.gov/Taxonomy/Browser/wwwtax.cgi?mode=Info&amp;id=68486&amp;lvl=3&amp;lin=f&amp;keep=1&amp;srchmode=1&amp;unlock","Cettia cetti")</f>
        <v>Cettia cetti</v>
      </c>
      <c r="H490" t="s">
        <v>395</v>
      </c>
      <c r="I490" t="str">
        <f>HYPERLINK("http://www.ncbi.nlm.nih.gov/protein/NXU98636.1","FABPL protein")</f>
        <v>FABPL protein</v>
      </c>
      <c r="J490" t="s">
        <v>1386</v>
      </c>
      <c r="K490" t="s">
        <v>25</v>
      </c>
      <c r="L490">
        <v>50</v>
      </c>
      <c r="M490" t="s">
        <v>1379</v>
      </c>
      <c r="N490" t="s">
        <v>25</v>
      </c>
    </row>
    <row r="491" spans="1:14" x14ac:dyDescent="0.25">
      <c r="A491">
        <v>6</v>
      </c>
      <c r="B491" t="s">
        <v>167</v>
      </c>
      <c r="C491" t="str">
        <f>HYPERLINK("http://www.ncbi.nlm.nih.gov/protein/XP_023781477.1","XP_023781477.1")</f>
        <v>XP_023781477.1</v>
      </c>
      <c r="D491">
        <v>31627</v>
      </c>
      <c r="E491" t="str">
        <f>HYPERLINK("http://www.ncbi.nlm.nih.gov/Taxonomy/Browser/wwwtax.cgi?mode=Info&amp;id=156563&amp;lvl=3&amp;lin=f&amp;keep=1&amp;srchmode=1&amp;unlock","156563")</f>
        <v>156563</v>
      </c>
      <c r="F491" t="s">
        <v>167</v>
      </c>
      <c r="G491" t="str">
        <f>HYPERLINK("http://www.ncbi.nlm.nih.gov/Taxonomy/Browser/wwwtax.cgi?mode=Info&amp;id=156563&amp;lvl=3&amp;lin=f&amp;keep=1&amp;srchmode=1&amp;unlock","Cyanistes caeruleus")</f>
        <v>Cyanistes caeruleus</v>
      </c>
      <c r="H491" t="s">
        <v>455</v>
      </c>
      <c r="I491" t="str">
        <f>HYPERLINK("http://www.ncbi.nlm.nih.gov/protein/XP_023781477.1","fatty acid-binding protein, liver")</f>
        <v>fatty acid-binding protein, liver</v>
      </c>
      <c r="J491" t="s">
        <v>1386</v>
      </c>
      <c r="K491" t="s">
        <v>25</v>
      </c>
      <c r="L491">
        <v>50</v>
      </c>
      <c r="M491" t="s">
        <v>1379</v>
      </c>
      <c r="N491" t="s">
        <v>25</v>
      </c>
    </row>
    <row r="492" spans="1:14" x14ac:dyDescent="0.25">
      <c r="A492">
        <v>6</v>
      </c>
      <c r="B492" t="s">
        <v>167</v>
      </c>
      <c r="C492" t="str">
        <f>HYPERLINK("http://www.ncbi.nlm.nih.gov/protein/NXH02214.1","NXH02214.1")</f>
        <v>NXH02214.1</v>
      </c>
      <c r="D492">
        <v>14012</v>
      </c>
      <c r="E492" t="str">
        <f>HYPERLINK("http://www.ncbi.nlm.nih.gov/Taxonomy/Browser/wwwtax.cgi?mode=Info&amp;id=96539&amp;lvl=3&amp;lin=f&amp;keep=1&amp;srchmode=1&amp;unlock","96539")</f>
        <v>96539</v>
      </c>
      <c r="F492" t="s">
        <v>167</v>
      </c>
      <c r="G492" t="str">
        <f>HYPERLINK("http://www.ncbi.nlm.nih.gov/Taxonomy/Browser/wwwtax.cgi?mode=Info&amp;id=96539&amp;lvl=3&amp;lin=f&amp;keep=1&amp;srchmode=1&amp;unlock","Loxia leucoptera")</f>
        <v>Loxia leucoptera</v>
      </c>
      <c r="H492" t="s">
        <v>456</v>
      </c>
      <c r="I492" t="str">
        <f>HYPERLINK("http://www.ncbi.nlm.nih.gov/protein/NXH02214.1","FABPL protein")</f>
        <v>FABPL protein</v>
      </c>
      <c r="J492" t="s">
        <v>1386</v>
      </c>
      <c r="K492" t="s">
        <v>25</v>
      </c>
      <c r="L492">
        <v>50</v>
      </c>
      <c r="M492" t="s">
        <v>1383</v>
      </c>
      <c r="N492" t="s">
        <v>25</v>
      </c>
    </row>
    <row r="493" spans="1:14" x14ac:dyDescent="0.25">
      <c r="A493">
        <v>6</v>
      </c>
      <c r="B493" t="s">
        <v>167</v>
      </c>
      <c r="C493" t="str">
        <f>HYPERLINK("http://www.ncbi.nlm.nih.gov/protein/NXM10673.1","NXM10673.1")</f>
        <v>NXM10673.1</v>
      </c>
      <c r="D493">
        <v>13548</v>
      </c>
      <c r="E493" t="str">
        <f>HYPERLINK("http://www.ncbi.nlm.nih.gov/Taxonomy/Browser/wwwtax.cgi?mode=Info&amp;id=441696&amp;lvl=3&amp;lin=f&amp;keep=1&amp;srchmode=1&amp;unlock","441696")</f>
        <v>441696</v>
      </c>
      <c r="F493" t="s">
        <v>167</v>
      </c>
      <c r="G493" t="str">
        <f>HYPERLINK("http://www.ncbi.nlm.nih.gov/Taxonomy/Browser/wwwtax.cgi?mode=Info&amp;id=441696&amp;lvl=3&amp;lin=f&amp;keep=1&amp;srchmode=1&amp;unlock","Ploceus nigricollis")</f>
        <v>Ploceus nigricollis</v>
      </c>
      <c r="H493" t="s">
        <v>206</v>
      </c>
      <c r="I493" t="str">
        <f>HYPERLINK("http://www.ncbi.nlm.nih.gov/protein/NXM10673.1","FABPL protein")</f>
        <v>FABPL protein</v>
      </c>
      <c r="J493" t="s">
        <v>1386</v>
      </c>
      <c r="K493" t="s">
        <v>25</v>
      </c>
      <c r="L493">
        <v>50</v>
      </c>
      <c r="M493" t="s">
        <v>1383</v>
      </c>
      <c r="N493" t="s">
        <v>25</v>
      </c>
    </row>
    <row r="494" spans="1:14" x14ac:dyDescent="0.25">
      <c r="A494">
        <v>6</v>
      </c>
      <c r="B494" t="s">
        <v>167</v>
      </c>
      <c r="C494" t="str">
        <f>HYPERLINK("http://www.ncbi.nlm.nih.gov/protein/NWY90578.1","NWY90578.1")</f>
        <v>NWY90578.1</v>
      </c>
      <c r="D494">
        <v>14648</v>
      </c>
      <c r="E494" t="str">
        <f>HYPERLINK("http://www.ncbi.nlm.nih.gov/Taxonomy/Browser/wwwtax.cgi?mode=Info&amp;id=64802&amp;lvl=3&amp;lin=f&amp;keep=1&amp;srchmode=1&amp;unlock","64802")</f>
        <v>64802</v>
      </c>
      <c r="F494" t="s">
        <v>167</v>
      </c>
      <c r="G494" t="str">
        <f>HYPERLINK("http://www.ncbi.nlm.nih.gov/Taxonomy/Browser/wwwtax.cgi?mode=Info&amp;id=64802&amp;lvl=3&amp;lin=f&amp;keep=1&amp;srchmode=1&amp;unlock","Loxia curvirostra")</f>
        <v>Loxia curvirostra</v>
      </c>
      <c r="H494" t="s">
        <v>457</v>
      </c>
      <c r="I494" t="str">
        <f>HYPERLINK("http://www.ncbi.nlm.nih.gov/protein/NWY90578.1","FABPL protein")</f>
        <v>FABPL protein</v>
      </c>
      <c r="J494" t="s">
        <v>1386</v>
      </c>
      <c r="K494" t="s">
        <v>25</v>
      </c>
      <c r="L494">
        <v>50</v>
      </c>
      <c r="M494" t="s">
        <v>1383</v>
      </c>
      <c r="N494" t="s">
        <v>25</v>
      </c>
    </row>
    <row r="495" spans="1:14" x14ac:dyDescent="0.25">
      <c r="A495">
        <v>6</v>
      </c>
      <c r="B495" t="s">
        <v>167</v>
      </c>
      <c r="C495" t="str">
        <f>HYPERLINK("http://www.ncbi.nlm.nih.gov/protein/XP_021252775.1","XP_021252775.1")</f>
        <v>XP_021252775.1</v>
      </c>
      <c r="D495">
        <v>43424</v>
      </c>
      <c r="E495" t="str">
        <f>HYPERLINK("http://www.ncbi.nlm.nih.gov/Taxonomy/Browser/wwwtax.cgi?mode=Info&amp;id=8996&amp;lvl=3&amp;lin=f&amp;keep=1&amp;srchmode=1&amp;unlock","8996")</f>
        <v>8996</v>
      </c>
      <c r="F495" t="s">
        <v>167</v>
      </c>
      <c r="G495" t="str">
        <f>HYPERLINK("http://www.ncbi.nlm.nih.gov/Taxonomy/Browser/wwwtax.cgi?mode=Info&amp;id=8996&amp;lvl=3&amp;lin=f&amp;keep=1&amp;srchmode=1&amp;unlock","Numida meleagris")</f>
        <v>Numida meleagris</v>
      </c>
      <c r="H495" t="s">
        <v>454</v>
      </c>
      <c r="I495" t="str">
        <f>HYPERLINK("http://www.ncbi.nlm.nih.gov/protein/XP_021252775.1","fatty acid-binding protein, liver")</f>
        <v>fatty acid-binding protein, liver</v>
      </c>
      <c r="J495" t="s">
        <v>1386</v>
      </c>
      <c r="K495" t="s">
        <v>25</v>
      </c>
      <c r="L495">
        <v>50</v>
      </c>
      <c r="M495" t="s">
        <v>1383</v>
      </c>
      <c r="N495" t="s">
        <v>25</v>
      </c>
    </row>
    <row r="496" spans="1:14" x14ac:dyDescent="0.25">
      <c r="A496">
        <v>6</v>
      </c>
      <c r="B496" t="s">
        <v>167</v>
      </c>
      <c r="C496" t="str">
        <f>HYPERLINK("http://www.ncbi.nlm.nih.gov/protein/NXO22126.1","NXO22126.1")</f>
        <v>NXO22126.1</v>
      </c>
      <c r="D496">
        <v>13483</v>
      </c>
      <c r="E496" t="str">
        <f>HYPERLINK("http://www.ncbi.nlm.nih.gov/Taxonomy/Browser/wwwtax.cgi?mode=Info&amp;id=52622&amp;lvl=3&amp;lin=f&amp;keep=1&amp;srchmode=1&amp;unlock","52622")</f>
        <v>52622</v>
      </c>
      <c r="F496" t="s">
        <v>167</v>
      </c>
      <c r="G496" t="str">
        <f>HYPERLINK("http://www.ncbi.nlm.nih.gov/Taxonomy/Browser/wwwtax.cgi?mode=Info&amp;id=52622&amp;lvl=3&amp;lin=f&amp;keep=1&amp;srchmode=1&amp;unlock","Cisticola juncidis")</f>
        <v>Cisticola juncidis</v>
      </c>
      <c r="H496" t="s">
        <v>206</v>
      </c>
      <c r="I496" t="str">
        <f>HYPERLINK("http://www.ncbi.nlm.nih.gov/protein/NXO22126.1","FABPL protein")</f>
        <v>FABPL protein</v>
      </c>
      <c r="J496" t="s">
        <v>1386</v>
      </c>
      <c r="K496" t="s">
        <v>25</v>
      </c>
      <c r="L496">
        <v>50</v>
      </c>
      <c r="M496" t="s">
        <v>1383</v>
      </c>
      <c r="N496" t="s">
        <v>25</v>
      </c>
    </row>
    <row r="497" spans="1:14" x14ac:dyDescent="0.25">
      <c r="A497">
        <v>6</v>
      </c>
      <c r="B497" t="s">
        <v>167</v>
      </c>
      <c r="C497" t="str">
        <f>HYPERLINK("http://www.ncbi.nlm.nih.gov/protein/NXL76627.1","NXL76627.1")</f>
        <v>NXL76627.1</v>
      </c>
      <c r="D497">
        <v>13740</v>
      </c>
      <c r="E497" t="str">
        <f>HYPERLINK("http://www.ncbi.nlm.nih.gov/Taxonomy/Browser/wwwtax.cgi?mode=Info&amp;id=2585812&amp;lvl=3&amp;lin=f&amp;keep=1&amp;srchmode=1&amp;unlock","2585812")</f>
        <v>2585812</v>
      </c>
      <c r="F497" t="s">
        <v>167</v>
      </c>
      <c r="G497" t="str">
        <f>HYPERLINK("http://www.ncbi.nlm.nih.gov/Taxonomy/Browser/wwwtax.cgi?mode=Info&amp;id=2585812&amp;lvl=3&amp;lin=f&amp;keep=1&amp;srchmode=1&amp;unlock","Leptocoma aspasia")</f>
        <v>Leptocoma aspasia</v>
      </c>
      <c r="H497" t="s">
        <v>206</v>
      </c>
      <c r="I497" t="str">
        <f>HYPERLINK("http://www.ncbi.nlm.nih.gov/protein/NXL76627.1","FABPL protein")</f>
        <v>FABPL protein</v>
      </c>
      <c r="J497" t="s">
        <v>1386</v>
      </c>
      <c r="K497" t="s">
        <v>25</v>
      </c>
      <c r="L497">
        <v>50</v>
      </c>
      <c r="M497" t="s">
        <v>1315</v>
      </c>
      <c r="N497" t="s">
        <v>25</v>
      </c>
    </row>
    <row r="498" spans="1:14" x14ac:dyDescent="0.25">
      <c r="A498">
        <v>6</v>
      </c>
      <c r="B498" t="s">
        <v>167</v>
      </c>
      <c r="C498" t="str">
        <f>HYPERLINK("http://www.ncbi.nlm.nih.gov/protein/NXH52808.1","NXH52808.1")</f>
        <v>NXH52808.1</v>
      </c>
      <c r="D498">
        <v>14389</v>
      </c>
      <c r="E498" t="str">
        <f>HYPERLINK("http://www.ncbi.nlm.nih.gov/Taxonomy/Browser/wwwtax.cgi?mode=Info&amp;id=237438&amp;lvl=3&amp;lin=f&amp;keep=1&amp;srchmode=1&amp;unlock","237438")</f>
        <v>237438</v>
      </c>
      <c r="F498" t="s">
        <v>167</v>
      </c>
      <c r="G498" t="str">
        <f>HYPERLINK("http://www.ncbi.nlm.nih.gov/Taxonomy/Browser/wwwtax.cgi?mode=Info&amp;id=237438&amp;lvl=3&amp;lin=f&amp;keep=1&amp;srchmode=1&amp;unlock","Rhabdornis inornatus")</f>
        <v>Rhabdornis inornatus</v>
      </c>
      <c r="H498" t="s">
        <v>206</v>
      </c>
      <c r="I498" t="str">
        <f>HYPERLINK("http://www.ncbi.nlm.nih.gov/protein/NXH52808.1","FABPL protein")</f>
        <v>FABPL protein</v>
      </c>
      <c r="J498" t="s">
        <v>1386</v>
      </c>
      <c r="K498" t="s">
        <v>25</v>
      </c>
      <c r="L498">
        <v>50</v>
      </c>
      <c r="M498" t="s">
        <v>1379</v>
      </c>
      <c r="N498" t="s">
        <v>25</v>
      </c>
    </row>
    <row r="499" spans="1:14" x14ac:dyDescent="0.25">
      <c r="A499">
        <v>6</v>
      </c>
      <c r="B499" t="s">
        <v>167</v>
      </c>
      <c r="C499" t="str">
        <f>HYPERLINK("http://www.ncbi.nlm.nih.gov/protein/NXR85476.1","NXR85476.1")</f>
        <v>NXR85476.1</v>
      </c>
      <c r="D499">
        <v>12418</v>
      </c>
      <c r="E499" t="str">
        <f>HYPERLINK("http://www.ncbi.nlm.nih.gov/Taxonomy/Browser/wwwtax.cgi?mode=Info&amp;id=589841&amp;lvl=3&amp;lin=f&amp;keep=1&amp;srchmode=1&amp;unlock","589841")</f>
        <v>589841</v>
      </c>
      <c r="F499" t="s">
        <v>167</v>
      </c>
      <c r="G499" t="str">
        <f>HYPERLINK("http://www.ncbi.nlm.nih.gov/Taxonomy/Browser/wwwtax.cgi?mode=Info&amp;id=589841&amp;lvl=3&amp;lin=f&amp;keep=1&amp;srchmode=1&amp;unlock","Hypocryptadius cinnamomeus")</f>
        <v>Hypocryptadius cinnamomeus</v>
      </c>
      <c r="H499" t="s">
        <v>449</v>
      </c>
      <c r="I499" t="str">
        <f>HYPERLINK("http://www.ncbi.nlm.nih.gov/protein/NXR85476.1","FABPL protein")</f>
        <v>FABPL protein</v>
      </c>
      <c r="J499" t="s">
        <v>1386</v>
      </c>
      <c r="K499" t="s">
        <v>25</v>
      </c>
      <c r="L499">
        <v>50</v>
      </c>
      <c r="M499" t="s">
        <v>1379</v>
      </c>
      <c r="N499" t="s">
        <v>25</v>
      </c>
    </row>
    <row r="500" spans="1:14" x14ac:dyDescent="0.25">
      <c r="A500">
        <v>6</v>
      </c>
      <c r="B500" t="s">
        <v>167</v>
      </c>
      <c r="C500" t="str">
        <f>HYPERLINK("http://www.ncbi.nlm.nih.gov/protein/XP_017690742.1","XP_017690742.1")</f>
        <v>XP_017690742.1</v>
      </c>
      <c r="D500">
        <v>36957</v>
      </c>
      <c r="E500" t="str">
        <f>HYPERLINK("http://www.ncbi.nlm.nih.gov/Taxonomy/Browser/wwwtax.cgi?mode=Info&amp;id=321398&amp;lvl=3&amp;lin=f&amp;keep=1&amp;srchmode=1&amp;unlock","321398")</f>
        <v>321398</v>
      </c>
      <c r="F500" t="s">
        <v>167</v>
      </c>
      <c r="G500" t="str">
        <f>HYPERLINK("http://www.ncbi.nlm.nih.gov/Taxonomy/Browser/wwwtax.cgi?mode=Info&amp;id=321398&amp;lvl=3&amp;lin=f&amp;keep=1&amp;srchmode=1&amp;unlock","Lepidothrix coronata")</f>
        <v>Lepidothrix coronata</v>
      </c>
      <c r="H500" t="s">
        <v>462</v>
      </c>
      <c r="I500" t="str">
        <f>HYPERLINK("http://www.ncbi.nlm.nih.gov/protein/XP_017690742.1","PREDICTED: fatty acid-binding protein, liver")</f>
        <v>PREDICTED: fatty acid-binding protein, liver</v>
      </c>
      <c r="J500" t="s">
        <v>1386</v>
      </c>
      <c r="K500" t="s">
        <v>25</v>
      </c>
      <c r="L500">
        <v>50</v>
      </c>
      <c r="M500" t="s">
        <v>1383</v>
      </c>
      <c r="N500" t="s">
        <v>25</v>
      </c>
    </row>
    <row r="501" spans="1:14" x14ac:dyDescent="0.25">
      <c r="A501">
        <v>6</v>
      </c>
      <c r="B501" t="s">
        <v>167</v>
      </c>
      <c r="C501" t="str">
        <f>HYPERLINK("http://www.ncbi.nlm.nih.gov/protein/NXL17438.1","NXL17438.1")</f>
        <v>NXL17438.1</v>
      </c>
      <c r="D501">
        <v>13919</v>
      </c>
      <c r="E501" t="str">
        <f>HYPERLINK("http://www.ncbi.nlm.nih.gov/Taxonomy/Browser/wwwtax.cgi?mode=Info&amp;id=298831&amp;lvl=3&amp;lin=f&amp;keep=1&amp;srchmode=1&amp;unlock","298831")</f>
        <v>298831</v>
      </c>
      <c r="F501" t="s">
        <v>167</v>
      </c>
      <c r="G501" t="str">
        <f>HYPERLINK("http://www.ncbi.nlm.nih.gov/Taxonomy/Browser/wwwtax.cgi?mode=Info&amp;id=298831&amp;lvl=3&amp;lin=f&amp;keep=1&amp;srchmode=1&amp;unlock","Setophaga kirtlandii")</f>
        <v>Setophaga kirtlandii</v>
      </c>
      <c r="H501" t="s">
        <v>463</v>
      </c>
      <c r="I501" t="str">
        <f>HYPERLINK("http://www.ncbi.nlm.nih.gov/protein/NXL17438.1","FABPL protein")</f>
        <v>FABPL protein</v>
      </c>
      <c r="J501" t="s">
        <v>1386</v>
      </c>
      <c r="K501" t="s">
        <v>25</v>
      </c>
      <c r="L501">
        <v>50</v>
      </c>
      <c r="M501" t="s">
        <v>1383</v>
      </c>
      <c r="N501" t="s">
        <v>25</v>
      </c>
    </row>
    <row r="502" spans="1:14" x14ac:dyDescent="0.25">
      <c r="A502">
        <v>6</v>
      </c>
      <c r="B502" t="s">
        <v>167</v>
      </c>
      <c r="C502" t="str">
        <f>HYPERLINK("http://www.ncbi.nlm.nih.gov/protein/NWY37338.1","NWY37338.1")</f>
        <v>NWY37338.1</v>
      </c>
      <c r="D502">
        <v>13444</v>
      </c>
      <c r="E502" t="str">
        <f>HYPERLINK("http://www.ncbi.nlm.nih.gov/Taxonomy/Browser/wwwtax.cgi?mode=Info&amp;id=48155&amp;lvl=3&amp;lin=f&amp;keep=1&amp;srchmode=1&amp;unlock","48155")</f>
        <v>48155</v>
      </c>
      <c r="F502" t="s">
        <v>167</v>
      </c>
      <c r="G502" t="str">
        <f>HYPERLINK("http://www.ncbi.nlm.nih.gov/Taxonomy/Browser/wwwtax.cgi?mode=Info&amp;id=48155&amp;lvl=3&amp;lin=f&amp;keep=1&amp;srchmode=1&amp;unlock","Sylvia atricapilla")</f>
        <v>Sylvia atricapilla</v>
      </c>
      <c r="H502" t="s">
        <v>459</v>
      </c>
      <c r="I502" t="str">
        <f>HYPERLINK("http://www.ncbi.nlm.nih.gov/protein/NWY37338.1","FABPL protein")</f>
        <v>FABPL protein</v>
      </c>
      <c r="J502" t="s">
        <v>1386</v>
      </c>
      <c r="K502" t="s">
        <v>25</v>
      </c>
      <c r="L502">
        <v>50</v>
      </c>
      <c r="M502" t="s">
        <v>1383</v>
      </c>
      <c r="N502" t="s">
        <v>25</v>
      </c>
    </row>
    <row r="503" spans="1:14" x14ac:dyDescent="0.25">
      <c r="A503">
        <v>6</v>
      </c>
      <c r="B503" t="s">
        <v>167</v>
      </c>
      <c r="C503" t="str">
        <f>HYPERLINK("http://www.ncbi.nlm.nih.gov/protein/NXC99862.1","NXC99862.1")</f>
        <v>NXC99862.1</v>
      </c>
      <c r="D503">
        <v>13258</v>
      </c>
      <c r="E503" t="str">
        <f>HYPERLINK("http://www.ncbi.nlm.nih.gov/Taxonomy/Browser/wwwtax.cgi?mode=Info&amp;id=73333&amp;lvl=3&amp;lin=f&amp;keep=1&amp;srchmode=1&amp;unlock","73333")</f>
        <v>73333</v>
      </c>
      <c r="F503" t="s">
        <v>167</v>
      </c>
      <c r="G503" t="str">
        <f>HYPERLINK("http://www.ncbi.nlm.nih.gov/Taxonomy/Browser/wwwtax.cgi?mode=Info&amp;id=73333&amp;lvl=3&amp;lin=f&amp;keep=1&amp;srchmode=1&amp;unlock","Certhia familiaris")</f>
        <v>Certhia familiaris</v>
      </c>
      <c r="H503" t="s">
        <v>460</v>
      </c>
      <c r="I503" t="str">
        <f>HYPERLINK("http://www.ncbi.nlm.nih.gov/protein/NXC99862.1","FABPL protein")</f>
        <v>FABPL protein</v>
      </c>
      <c r="J503" t="s">
        <v>1386</v>
      </c>
      <c r="K503" t="s">
        <v>25</v>
      </c>
      <c r="L503">
        <v>50</v>
      </c>
      <c r="M503" t="s">
        <v>1379</v>
      </c>
      <c r="N503" t="s">
        <v>25</v>
      </c>
    </row>
    <row r="504" spans="1:14" x14ac:dyDescent="0.25">
      <c r="A504">
        <v>6</v>
      </c>
      <c r="B504" t="s">
        <v>167</v>
      </c>
      <c r="C504" t="str">
        <f>HYPERLINK("http://www.ncbi.nlm.nih.gov/protein/XP_005490901.1","XP_005490901.1")</f>
        <v>XP_005490901.1</v>
      </c>
      <c r="D504">
        <v>26699</v>
      </c>
      <c r="E504" t="str">
        <f>HYPERLINK("http://www.ncbi.nlm.nih.gov/Taxonomy/Browser/wwwtax.cgi?mode=Info&amp;id=44394&amp;lvl=3&amp;lin=f&amp;keep=1&amp;srchmode=1&amp;unlock","44394")</f>
        <v>44394</v>
      </c>
      <c r="F504" t="s">
        <v>167</v>
      </c>
      <c r="G504" t="str">
        <f>HYPERLINK("http://www.ncbi.nlm.nih.gov/Taxonomy/Browser/wwwtax.cgi?mode=Info&amp;id=44394&amp;lvl=3&amp;lin=f&amp;keep=1&amp;srchmode=1&amp;unlock","Zonotrichia albicollis")</f>
        <v>Zonotrichia albicollis</v>
      </c>
      <c r="H504" t="s">
        <v>465</v>
      </c>
      <c r="I504" t="str">
        <f>HYPERLINK("http://www.ncbi.nlm.nih.gov/protein/XP_005490901.1","fatty acid-binding protein, liver")</f>
        <v>fatty acid-binding protein, liver</v>
      </c>
      <c r="J504" t="s">
        <v>1386</v>
      </c>
      <c r="K504" t="s">
        <v>25</v>
      </c>
      <c r="L504">
        <v>50</v>
      </c>
      <c r="M504" t="s">
        <v>1379</v>
      </c>
      <c r="N504" t="s">
        <v>25</v>
      </c>
    </row>
    <row r="505" spans="1:14" x14ac:dyDescent="0.25">
      <c r="A505">
        <v>6</v>
      </c>
      <c r="B505" t="s">
        <v>167</v>
      </c>
      <c r="C505" t="str">
        <f>HYPERLINK("http://www.ncbi.nlm.nih.gov/protein/NXB95450.1","NXB95450.1")</f>
        <v>NXB95450.1</v>
      </c>
      <c r="D505">
        <v>14691</v>
      </c>
      <c r="E505" t="str">
        <f>HYPERLINK("http://www.ncbi.nlm.nih.gov/Taxonomy/Browser/wwwtax.cgi?mode=Info&amp;id=81927&amp;lvl=3&amp;lin=f&amp;keep=1&amp;srchmode=1&amp;unlock","81927")</f>
        <v>81927</v>
      </c>
      <c r="F505" t="s">
        <v>167</v>
      </c>
      <c r="G505" t="str">
        <f>HYPERLINK("http://www.ncbi.nlm.nih.gov/Taxonomy/Browser/wwwtax.cgi?mode=Info&amp;id=81927&amp;lvl=3&amp;lin=f&amp;keep=1&amp;srchmode=1&amp;unlock","Vidua chalybeata")</f>
        <v>Vidua chalybeata</v>
      </c>
      <c r="H505" t="s">
        <v>206</v>
      </c>
      <c r="I505" t="str">
        <f>HYPERLINK("http://www.ncbi.nlm.nih.gov/protein/NXB95450.1","FABPL protein")</f>
        <v>FABPL protein</v>
      </c>
      <c r="J505" t="s">
        <v>1386</v>
      </c>
      <c r="K505" t="s">
        <v>25</v>
      </c>
      <c r="L505">
        <v>50</v>
      </c>
      <c r="M505" t="s">
        <v>1383</v>
      </c>
      <c r="N505" t="s">
        <v>25</v>
      </c>
    </row>
    <row r="506" spans="1:14" x14ac:dyDescent="0.25">
      <c r="A506">
        <v>6</v>
      </c>
      <c r="B506" t="s">
        <v>167</v>
      </c>
      <c r="C506" t="str">
        <f>HYPERLINK("http://www.ncbi.nlm.nih.gov/protein/NXR71563.1","NXR71563.1")</f>
        <v>NXR71563.1</v>
      </c>
      <c r="D506">
        <v>13978</v>
      </c>
      <c r="E506" t="str">
        <f>HYPERLINK("http://www.ncbi.nlm.nih.gov/Taxonomy/Browser/wwwtax.cgi?mode=Info&amp;id=182897&amp;lvl=3&amp;lin=f&amp;keep=1&amp;srchmode=1&amp;unlock","182897")</f>
        <v>182897</v>
      </c>
      <c r="F506" t="s">
        <v>167</v>
      </c>
      <c r="G506" t="str">
        <f>HYPERLINK("http://www.ncbi.nlm.nih.gov/Taxonomy/Browser/wwwtax.cgi?mode=Info&amp;id=182897&amp;lvl=3&amp;lin=f&amp;keep=1&amp;srchmode=1&amp;unlock","Pycnonotus jocosus")</f>
        <v>Pycnonotus jocosus</v>
      </c>
      <c r="H506" t="s">
        <v>464</v>
      </c>
      <c r="I506" t="str">
        <f>HYPERLINK("http://www.ncbi.nlm.nih.gov/protein/NXR71563.1","FABPL protein")</f>
        <v>FABPL protein</v>
      </c>
      <c r="J506" t="s">
        <v>1386</v>
      </c>
      <c r="K506" t="s">
        <v>25</v>
      </c>
      <c r="L506">
        <v>50</v>
      </c>
      <c r="M506" t="s">
        <v>1383</v>
      </c>
      <c r="N506" t="s">
        <v>25</v>
      </c>
    </row>
    <row r="507" spans="1:14" x14ac:dyDescent="0.25">
      <c r="A507">
        <v>6</v>
      </c>
      <c r="B507" t="s">
        <v>167</v>
      </c>
      <c r="C507" t="str">
        <f>HYPERLINK("http://www.ncbi.nlm.nih.gov/protein/NXQ07871.1","NXQ07871.1")</f>
        <v>NXQ07871.1</v>
      </c>
      <c r="D507">
        <v>13115</v>
      </c>
      <c r="E507" t="str">
        <f>HYPERLINK("http://www.ncbi.nlm.nih.gov/Taxonomy/Browser/wwwtax.cgi?mode=Info&amp;id=187451&amp;lvl=3&amp;lin=f&amp;keep=1&amp;srchmode=1&amp;unlock","187451")</f>
        <v>187451</v>
      </c>
      <c r="F507" t="s">
        <v>167</v>
      </c>
      <c r="G507" t="str">
        <f>HYPERLINK("http://www.ncbi.nlm.nih.gov/Taxonomy/Browser/wwwtax.cgi?mode=Info&amp;id=187451&amp;lvl=3&amp;lin=f&amp;keep=1&amp;srchmode=1&amp;unlock","Vidua macroura")</f>
        <v>Vidua macroura</v>
      </c>
      <c r="H507" t="s">
        <v>206</v>
      </c>
      <c r="I507" t="str">
        <f>HYPERLINK("http://www.ncbi.nlm.nih.gov/protein/NXQ07871.1","FABPL protein")</f>
        <v>FABPL protein</v>
      </c>
      <c r="J507" t="s">
        <v>1386</v>
      </c>
      <c r="K507" t="s">
        <v>25</v>
      </c>
      <c r="L507">
        <v>50</v>
      </c>
      <c r="M507" t="s">
        <v>1383</v>
      </c>
      <c r="N507" t="s">
        <v>25</v>
      </c>
    </row>
    <row r="508" spans="1:14" x14ac:dyDescent="0.25">
      <c r="A508">
        <v>6</v>
      </c>
      <c r="B508" t="s">
        <v>167</v>
      </c>
      <c r="C508" t="str">
        <f>HYPERLINK("http://www.ncbi.nlm.nih.gov/protein/NXR63866.1","NXR63866.1")</f>
        <v>NXR63866.1</v>
      </c>
      <c r="D508">
        <v>13653</v>
      </c>
      <c r="E508" t="str">
        <f>HYPERLINK("http://www.ncbi.nlm.nih.gov/Taxonomy/Browser/wwwtax.cgi?mode=Info&amp;id=2585818&amp;lvl=3&amp;lin=f&amp;keep=1&amp;srchmode=1&amp;unlock","2585818")</f>
        <v>2585818</v>
      </c>
      <c r="F508" t="s">
        <v>167</v>
      </c>
      <c r="G508" t="str">
        <f>HYPERLINK("http://www.ncbi.nlm.nih.gov/Taxonomy/Browser/wwwtax.cgi?mode=Info&amp;id=2585818&amp;lvl=3&amp;lin=f&amp;keep=1&amp;srchmode=1&amp;unlock","Rhadina sibilatrix")</f>
        <v>Rhadina sibilatrix</v>
      </c>
      <c r="H508" t="s">
        <v>206</v>
      </c>
      <c r="I508" t="str">
        <f>HYPERLINK("http://www.ncbi.nlm.nih.gov/protein/NXR63866.1","FABPL protein")</f>
        <v>FABPL protein</v>
      </c>
      <c r="J508" t="s">
        <v>1386</v>
      </c>
      <c r="K508" t="s">
        <v>25</v>
      </c>
      <c r="L508">
        <v>50</v>
      </c>
      <c r="M508" t="s">
        <v>1379</v>
      </c>
      <c r="N508" t="s">
        <v>25</v>
      </c>
    </row>
    <row r="509" spans="1:14" x14ac:dyDescent="0.25">
      <c r="A509">
        <v>6</v>
      </c>
      <c r="B509" t="s">
        <v>167</v>
      </c>
      <c r="C509" t="str">
        <f>HYPERLINK("http://www.ncbi.nlm.nih.gov/protein/NXM26489.1","NXM26489.1")</f>
        <v>NXM26489.1</v>
      </c>
      <c r="D509">
        <v>14068</v>
      </c>
      <c r="E509" t="str">
        <f>HYPERLINK("http://www.ncbi.nlm.nih.gov/Taxonomy/Browser/wwwtax.cgi?mode=Info&amp;id=114331&amp;lvl=3&amp;lin=f&amp;keep=1&amp;srchmode=1&amp;unlock","114331")</f>
        <v>114331</v>
      </c>
      <c r="F509" t="s">
        <v>167</v>
      </c>
      <c r="G509" t="str">
        <f>HYPERLINK("http://www.ncbi.nlm.nih.gov/Taxonomy/Browser/wwwtax.cgi?mode=Info&amp;id=114331&amp;lvl=3&amp;lin=f&amp;keep=1&amp;srchmode=1&amp;unlock","Oxyruncus cristatus")</f>
        <v>Oxyruncus cristatus</v>
      </c>
      <c r="H509" t="s">
        <v>466</v>
      </c>
      <c r="I509" t="str">
        <f>HYPERLINK("http://www.ncbi.nlm.nih.gov/protein/NXM26489.1","FABPL protein")</f>
        <v>FABPL protein</v>
      </c>
      <c r="J509" t="s">
        <v>1386</v>
      </c>
      <c r="K509" t="s">
        <v>25</v>
      </c>
      <c r="L509">
        <v>50</v>
      </c>
      <c r="M509" t="s">
        <v>1379</v>
      </c>
      <c r="N509" t="s">
        <v>25</v>
      </c>
    </row>
    <row r="510" spans="1:14" x14ac:dyDescent="0.25">
      <c r="A510">
        <v>6</v>
      </c>
      <c r="B510" t="s">
        <v>167</v>
      </c>
      <c r="C510" t="str">
        <f>HYPERLINK("http://www.ncbi.nlm.nih.gov/protein/NXT11343.1","NXT11343.1")</f>
        <v>NXT11343.1</v>
      </c>
      <c r="D510">
        <v>13423</v>
      </c>
      <c r="E510" t="str">
        <f>HYPERLINK("http://www.ncbi.nlm.nih.gov/Taxonomy/Browser/wwwtax.cgi?mode=Info&amp;id=670355&amp;lvl=3&amp;lin=f&amp;keep=1&amp;srchmode=1&amp;unlock","670355")</f>
        <v>670355</v>
      </c>
      <c r="F510" t="s">
        <v>167</v>
      </c>
      <c r="G510" t="str">
        <f>HYPERLINK("http://www.ncbi.nlm.nih.gov/Taxonomy/Browser/wwwtax.cgi?mode=Info&amp;id=670355&amp;lvl=3&amp;lin=f&amp;keep=1&amp;srchmode=1&amp;unlock","Prunella fulvescens")</f>
        <v>Prunella fulvescens</v>
      </c>
      <c r="H510" t="s">
        <v>469</v>
      </c>
      <c r="I510" t="str">
        <f>HYPERLINK("http://www.ncbi.nlm.nih.gov/protein/NXT11343.1","FABPL protein")</f>
        <v>FABPL protein</v>
      </c>
      <c r="J510" t="s">
        <v>1386</v>
      </c>
      <c r="K510" t="s">
        <v>25</v>
      </c>
      <c r="L510">
        <v>50</v>
      </c>
      <c r="M510" t="s">
        <v>1379</v>
      </c>
      <c r="N510" t="s">
        <v>25</v>
      </c>
    </row>
    <row r="511" spans="1:14" x14ac:dyDescent="0.25">
      <c r="A511">
        <v>6</v>
      </c>
      <c r="B511" t="s">
        <v>167</v>
      </c>
      <c r="C511" t="str">
        <f>HYPERLINK("http://www.ncbi.nlm.nih.gov/protein/NWT54155.1","NWT54155.1")</f>
        <v>NWT54155.1</v>
      </c>
      <c r="D511">
        <v>14073</v>
      </c>
      <c r="E511" t="str">
        <f>HYPERLINK("http://www.ncbi.nlm.nih.gov/Taxonomy/Browser/wwwtax.cgi?mode=Info&amp;id=107208&amp;lvl=3&amp;lin=f&amp;keep=1&amp;srchmode=1&amp;unlock","107208")</f>
        <v>107208</v>
      </c>
      <c r="F511" t="s">
        <v>167</v>
      </c>
      <c r="G511" t="str">
        <f>HYPERLINK("http://www.ncbi.nlm.nih.gov/Taxonomy/Browser/wwwtax.cgi?mode=Info&amp;id=107208&amp;lvl=3&amp;lin=f&amp;keep=1&amp;srchmode=1&amp;unlock","Erythrocercus mccallii")</f>
        <v>Erythrocercus mccallii</v>
      </c>
      <c r="H511" t="s">
        <v>206</v>
      </c>
      <c r="I511" t="str">
        <f>HYPERLINK("http://www.ncbi.nlm.nih.gov/protein/NWT54155.1","FABPL protein")</f>
        <v>FABPL protein</v>
      </c>
      <c r="J511" t="s">
        <v>1386</v>
      </c>
      <c r="K511" t="s">
        <v>25</v>
      </c>
      <c r="L511">
        <v>50</v>
      </c>
      <c r="M511" t="s">
        <v>1383</v>
      </c>
      <c r="N511" t="s">
        <v>25</v>
      </c>
    </row>
    <row r="512" spans="1:14" x14ac:dyDescent="0.25">
      <c r="A512">
        <v>6</v>
      </c>
      <c r="B512" t="s">
        <v>167</v>
      </c>
      <c r="C512" t="str">
        <f>HYPERLINK("http://www.ncbi.nlm.nih.gov/protein/NWZ42434.1","NWZ42434.1")</f>
        <v>NWZ42434.1</v>
      </c>
      <c r="D512">
        <v>12884</v>
      </c>
      <c r="E512" t="str">
        <f>HYPERLINK("http://www.ncbi.nlm.nih.gov/Taxonomy/Browser/wwwtax.cgi?mode=Info&amp;id=182895&amp;lvl=3&amp;lin=f&amp;keep=1&amp;srchmode=1&amp;unlock","182895")</f>
        <v>182895</v>
      </c>
      <c r="F512" t="s">
        <v>167</v>
      </c>
      <c r="G512" t="str">
        <f>HYPERLINK("http://www.ncbi.nlm.nih.gov/Taxonomy/Browser/wwwtax.cgi?mode=Info&amp;id=182895&amp;lvl=3&amp;lin=f&amp;keep=1&amp;srchmode=1&amp;unlock","Brachypodius atriceps")</f>
        <v>Brachypodius atriceps</v>
      </c>
      <c r="H512" t="s">
        <v>470</v>
      </c>
      <c r="I512" t="str">
        <f>HYPERLINK("http://www.ncbi.nlm.nih.gov/protein/NWZ42434.1","FABPL protein")</f>
        <v>FABPL protein</v>
      </c>
      <c r="J512" t="s">
        <v>1386</v>
      </c>
      <c r="K512" t="s">
        <v>25</v>
      </c>
      <c r="L512">
        <v>50</v>
      </c>
      <c r="M512" t="s">
        <v>1383</v>
      </c>
      <c r="N512" t="s">
        <v>25</v>
      </c>
    </row>
    <row r="513" spans="1:14" x14ac:dyDescent="0.25">
      <c r="A513">
        <v>6</v>
      </c>
      <c r="B513" t="s">
        <v>167</v>
      </c>
      <c r="C513" t="str">
        <f>HYPERLINK("http://www.ncbi.nlm.nih.gov/protein/NWT74060.1","NWT74060.1")</f>
        <v>NWT74060.1</v>
      </c>
      <c r="D513">
        <v>13939</v>
      </c>
      <c r="E513" t="str">
        <f>HYPERLINK("http://www.ncbi.nlm.nih.gov/Taxonomy/Browser/wwwtax.cgi?mode=Info&amp;id=670356&amp;lvl=3&amp;lin=f&amp;keep=1&amp;srchmode=1&amp;unlock","670356")</f>
        <v>670356</v>
      </c>
      <c r="F513" t="s">
        <v>167</v>
      </c>
      <c r="G513" t="str">
        <f>HYPERLINK("http://www.ncbi.nlm.nih.gov/Taxonomy/Browser/wwwtax.cgi?mode=Info&amp;id=670356&amp;lvl=3&amp;lin=f&amp;keep=1&amp;srchmode=1&amp;unlock","Prunella himalayana")</f>
        <v>Prunella himalayana</v>
      </c>
      <c r="H513" t="s">
        <v>467</v>
      </c>
      <c r="I513" t="str">
        <f>HYPERLINK("http://www.ncbi.nlm.nih.gov/protein/NWT74060.1","FABPL protein")</f>
        <v>FABPL protein</v>
      </c>
      <c r="J513" t="s">
        <v>1386</v>
      </c>
      <c r="K513" t="s">
        <v>25</v>
      </c>
      <c r="L513">
        <v>50</v>
      </c>
      <c r="M513" t="s">
        <v>1379</v>
      </c>
      <c r="N513" t="s">
        <v>25</v>
      </c>
    </row>
    <row r="514" spans="1:14" x14ac:dyDescent="0.25">
      <c r="A514">
        <v>6</v>
      </c>
      <c r="B514" t="s">
        <v>167</v>
      </c>
      <c r="C514" t="str">
        <f>HYPERLINK("http://www.ncbi.nlm.nih.gov/protein/NXU64553.1","NXU64553.1")</f>
        <v>NXU64553.1</v>
      </c>
      <c r="D514">
        <v>9908</v>
      </c>
      <c r="E514" t="str">
        <f>HYPERLINK("http://www.ncbi.nlm.nih.gov/Taxonomy/Browser/wwwtax.cgi?mode=Info&amp;id=2585811&amp;lvl=3&amp;lin=f&amp;keep=1&amp;srchmode=1&amp;unlock","2585811")</f>
        <v>2585811</v>
      </c>
      <c r="F514" t="s">
        <v>167</v>
      </c>
      <c r="G514" t="str">
        <f>HYPERLINK("http://www.ncbi.nlm.nih.gov/Taxonomy/Browser/wwwtax.cgi?mode=Info&amp;id=2585811&amp;lvl=3&amp;lin=f&amp;keep=1&amp;srchmode=1&amp;unlock","Horornis vulcanius")</f>
        <v>Horornis vulcanius</v>
      </c>
      <c r="H514" t="s">
        <v>206</v>
      </c>
      <c r="I514" t="str">
        <f>HYPERLINK("http://www.ncbi.nlm.nih.gov/protein/NXU64553.1","FABPL protein")</f>
        <v>FABPL protein</v>
      </c>
      <c r="J514" t="s">
        <v>1386</v>
      </c>
      <c r="K514" t="s">
        <v>25</v>
      </c>
      <c r="L514">
        <v>50</v>
      </c>
      <c r="M514" t="s">
        <v>1379</v>
      </c>
      <c r="N514" t="s">
        <v>25</v>
      </c>
    </row>
    <row r="515" spans="1:14" x14ac:dyDescent="0.25">
      <c r="A515">
        <v>6</v>
      </c>
      <c r="B515" t="s">
        <v>167</v>
      </c>
      <c r="C515" t="str">
        <f>HYPERLINK("http://www.ncbi.nlm.nih.gov/protein/NXP01548.1","NXP01548.1")</f>
        <v>NXP01548.1</v>
      </c>
      <c r="D515">
        <v>13923</v>
      </c>
      <c r="E515" t="str">
        <f>HYPERLINK("http://www.ncbi.nlm.nih.gov/Taxonomy/Browser/wwwtax.cgi?mode=Info&amp;id=73330&amp;lvl=3&amp;lin=f&amp;keep=1&amp;srchmode=1&amp;unlock","73330")</f>
        <v>73330</v>
      </c>
      <c r="F515" t="s">
        <v>167</v>
      </c>
      <c r="G515" t="str">
        <f>HYPERLINK("http://www.ncbi.nlm.nih.gov/Taxonomy/Browser/wwwtax.cgi?mode=Info&amp;id=73330&amp;lvl=3&amp;lin=f&amp;keep=1&amp;srchmode=1&amp;unlock","Certhia brachydactyla")</f>
        <v>Certhia brachydactyla</v>
      </c>
      <c r="H515" t="s">
        <v>471</v>
      </c>
      <c r="I515" t="str">
        <f>HYPERLINK("http://www.ncbi.nlm.nih.gov/protein/NXP01548.1","FABPL protein")</f>
        <v>FABPL protein</v>
      </c>
      <c r="J515" t="s">
        <v>1386</v>
      </c>
      <c r="K515" t="s">
        <v>25</v>
      </c>
      <c r="L515">
        <v>50</v>
      </c>
      <c r="M515" t="s">
        <v>1379</v>
      </c>
      <c r="N515" t="s">
        <v>25</v>
      </c>
    </row>
    <row r="516" spans="1:14" x14ac:dyDescent="0.25">
      <c r="A516">
        <v>6</v>
      </c>
      <c r="B516" t="s">
        <v>167</v>
      </c>
      <c r="C516" t="str">
        <f>HYPERLINK("http://www.ncbi.nlm.nih.gov/protein/NWH84766.1","NWH84766.1")</f>
        <v>NWH84766.1</v>
      </c>
      <c r="D516">
        <v>13453</v>
      </c>
      <c r="E516" t="str">
        <f>HYPERLINK("http://www.ncbi.nlm.nih.gov/Taxonomy/Browser/wwwtax.cgi?mode=Info&amp;id=73327&amp;lvl=3&amp;lin=f&amp;keep=1&amp;srchmode=1&amp;unlock","73327")</f>
        <v>73327</v>
      </c>
      <c r="F516" t="s">
        <v>167</v>
      </c>
      <c r="G516" t="str">
        <f>HYPERLINK("http://www.ncbi.nlm.nih.gov/Taxonomy/Browser/wwwtax.cgi?mode=Info&amp;id=73327&amp;lvl=3&amp;lin=f&amp;keep=1&amp;srchmode=1&amp;unlock","Aegithalos caudatus")</f>
        <v>Aegithalos caudatus</v>
      </c>
      <c r="H516" t="s">
        <v>476</v>
      </c>
      <c r="I516" t="str">
        <f>HYPERLINK("http://www.ncbi.nlm.nih.gov/protein/NWH84766.1","FABPL protein")</f>
        <v>FABPL protein</v>
      </c>
      <c r="J516" t="s">
        <v>1386</v>
      </c>
      <c r="K516" t="s">
        <v>25</v>
      </c>
      <c r="L516">
        <v>50</v>
      </c>
      <c r="M516" t="s">
        <v>1383</v>
      </c>
      <c r="N516" t="s">
        <v>25</v>
      </c>
    </row>
    <row r="517" spans="1:14" x14ac:dyDescent="0.25">
      <c r="A517">
        <v>6</v>
      </c>
      <c r="B517" t="s">
        <v>167</v>
      </c>
      <c r="C517" t="str">
        <f>HYPERLINK("http://www.ncbi.nlm.nih.gov/protein/XP_009096822.1","XP_009096822.1")</f>
        <v>XP_009096822.1</v>
      </c>
      <c r="D517">
        <v>30512</v>
      </c>
      <c r="E517" t="str">
        <f>HYPERLINK("http://www.ncbi.nlm.nih.gov/Taxonomy/Browser/wwwtax.cgi?mode=Info&amp;id=9135&amp;lvl=3&amp;lin=f&amp;keep=1&amp;srchmode=1&amp;unlock","9135")</f>
        <v>9135</v>
      </c>
      <c r="F517" t="s">
        <v>167</v>
      </c>
      <c r="G517" t="str">
        <f>HYPERLINK("http://www.ncbi.nlm.nih.gov/Taxonomy/Browser/wwwtax.cgi?mode=Info&amp;id=9135&amp;lvl=3&amp;lin=f&amp;keep=1&amp;srchmode=1&amp;unlock","Serinus canaria")</f>
        <v>Serinus canaria</v>
      </c>
      <c r="H517" t="s">
        <v>477</v>
      </c>
      <c r="I517" t="str">
        <f>HYPERLINK("http://www.ncbi.nlm.nih.gov/protein/XP_009096822.1","fatty acid-binding protein, liver")</f>
        <v>fatty acid-binding protein, liver</v>
      </c>
      <c r="J517" t="s">
        <v>1386</v>
      </c>
      <c r="K517" t="s">
        <v>25</v>
      </c>
      <c r="L517">
        <v>50</v>
      </c>
      <c r="M517" t="s">
        <v>1383</v>
      </c>
      <c r="N517" t="s">
        <v>25</v>
      </c>
    </row>
    <row r="518" spans="1:14" x14ac:dyDescent="0.25">
      <c r="A518">
        <v>6</v>
      </c>
      <c r="B518" t="s">
        <v>167</v>
      </c>
      <c r="C518" t="str">
        <f>HYPERLINK("http://www.ncbi.nlm.nih.gov/protein/XP_027578629.2","XP_027578629.2")</f>
        <v>XP_027578629.2</v>
      </c>
      <c r="D518">
        <v>35867</v>
      </c>
      <c r="E518" t="str">
        <f>HYPERLINK("http://www.ncbi.nlm.nih.gov/Taxonomy/Browser/wwwtax.cgi?mode=Info&amp;id=649802&amp;lvl=3&amp;lin=f&amp;keep=1&amp;srchmode=1&amp;unlock","649802")</f>
        <v>649802</v>
      </c>
      <c r="F518" t="s">
        <v>167</v>
      </c>
      <c r="G518" t="str">
        <f>HYPERLINK("http://www.ncbi.nlm.nih.gov/Taxonomy/Browser/wwwtax.cgi?mode=Info&amp;id=649802&amp;lvl=3&amp;lin=f&amp;keep=1&amp;srchmode=1&amp;unlock","Pipra filicauda")</f>
        <v>Pipra filicauda</v>
      </c>
      <c r="H518" t="s">
        <v>478</v>
      </c>
      <c r="I518" t="str">
        <f>HYPERLINK("http://www.ncbi.nlm.nih.gov/protein/XP_027578629.2","fatty acid-binding protein, liver")</f>
        <v>fatty acid-binding protein, liver</v>
      </c>
      <c r="J518" t="s">
        <v>1386</v>
      </c>
      <c r="K518" t="s">
        <v>25</v>
      </c>
      <c r="L518">
        <v>93</v>
      </c>
      <c r="M518" t="s">
        <v>1383</v>
      </c>
      <c r="N518" t="s">
        <v>25</v>
      </c>
    </row>
    <row r="519" spans="1:14" x14ac:dyDescent="0.25">
      <c r="A519">
        <v>6</v>
      </c>
      <c r="B519" t="s">
        <v>167</v>
      </c>
      <c r="C519" t="str">
        <f>HYPERLINK("http://www.ncbi.nlm.nih.gov/protein/NXP63778.1","NXP63778.1")</f>
        <v>NXP63778.1</v>
      </c>
      <c r="D519">
        <v>12587</v>
      </c>
      <c r="E519" t="str">
        <f>HYPERLINK("http://www.ncbi.nlm.nih.gov/Taxonomy/Browser/wwwtax.cgi?mode=Info&amp;id=1218682&amp;lvl=3&amp;lin=f&amp;keep=1&amp;srchmode=1&amp;unlock","1218682")</f>
        <v>1218682</v>
      </c>
      <c r="F519" t="s">
        <v>167</v>
      </c>
      <c r="G519" t="str">
        <f>HYPERLINK("http://www.ncbi.nlm.nih.gov/Taxonomy/Browser/wwwtax.cgi?mode=Info&amp;id=1218682&amp;lvl=3&amp;lin=f&amp;keep=1&amp;srchmode=1&amp;unlock","Chloropsis cyanopogon")</f>
        <v>Chloropsis cyanopogon</v>
      </c>
      <c r="H519" t="s">
        <v>206</v>
      </c>
      <c r="I519" t="str">
        <f>HYPERLINK("http://www.ncbi.nlm.nih.gov/protein/NXP63778.1","FABPL protein")</f>
        <v>FABPL protein</v>
      </c>
      <c r="J519" t="s">
        <v>1386</v>
      </c>
      <c r="K519" t="s">
        <v>25</v>
      </c>
      <c r="L519">
        <v>50</v>
      </c>
      <c r="M519" t="s">
        <v>1379</v>
      </c>
      <c r="N519" t="s">
        <v>25</v>
      </c>
    </row>
    <row r="520" spans="1:14" x14ac:dyDescent="0.25">
      <c r="A520">
        <v>6</v>
      </c>
      <c r="B520" t="s">
        <v>167</v>
      </c>
      <c r="C520" t="str">
        <f>HYPERLINK("http://www.ncbi.nlm.nih.gov/protein/XP_032542165.1","XP_032542165.1")</f>
        <v>XP_032542165.1</v>
      </c>
      <c r="D520">
        <v>39420</v>
      </c>
      <c r="E520" t="str">
        <f>HYPERLINK("http://www.ncbi.nlm.nih.gov/Taxonomy/Browser/wwwtax.cgi?mode=Info&amp;id=296741&amp;lvl=3&amp;lin=f&amp;keep=1&amp;srchmode=1&amp;unlock","296741")</f>
        <v>296741</v>
      </c>
      <c r="F520" t="s">
        <v>167</v>
      </c>
      <c r="G520" t="str">
        <f>HYPERLINK("http://www.ncbi.nlm.nih.gov/Taxonomy/Browser/wwwtax.cgi?mode=Info&amp;id=296741&amp;lvl=3&amp;lin=f&amp;keep=1&amp;srchmode=1&amp;unlock","Chiroxiphia lanceolata")</f>
        <v>Chiroxiphia lanceolata</v>
      </c>
      <c r="H520" t="s">
        <v>484</v>
      </c>
      <c r="I520" t="str">
        <f>HYPERLINK("http://www.ncbi.nlm.nih.gov/protein/XP_032542165.1","fatty acid-binding protein, liver")</f>
        <v>fatty acid-binding protein, liver</v>
      </c>
      <c r="J520" t="s">
        <v>1386</v>
      </c>
      <c r="K520" t="s">
        <v>25</v>
      </c>
      <c r="L520">
        <v>50</v>
      </c>
      <c r="M520" t="s">
        <v>1379</v>
      </c>
      <c r="N520" t="s">
        <v>25</v>
      </c>
    </row>
    <row r="521" spans="1:14" x14ac:dyDescent="0.25">
      <c r="A521">
        <v>6</v>
      </c>
      <c r="B521" t="s">
        <v>167</v>
      </c>
      <c r="C521" t="str">
        <f>HYPERLINK("http://www.ncbi.nlm.nih.gov/protein/NXG12623.1","NXG12623.1")</f>
        <v>NXG12623.1</v>
      </c>
      <c r="D521">
        <v>14155</v>
      </c>
      <c r="E521" t="str">
        <f>HYPERLINK("http://www.ncbi.nlm.nih.gov/Taxonomy/Browser/wwwtax.cgi?mode=Info&amp;id=419690&amp;lvl=3&amp;lin=f&amp;keep=1&amp;srchmode=1&amp;unlock","419690")</f>
        <v>419690</v>
      </c>
      <c r="F521" t="s">
        <v>167</v>
      </c>
      <c r="G521" t="str">
        <f>HYPERLINK("http://www.ncbi.nlm.nih.gov/Taxonomy/Browser/wwwtax.cgi?mode=Info&amp;id=419690&amp;lvl=3&amp;lin=f&amp;keep=1&amp;srchmode=1&amp;unlock","Sakesphorus luctuosus")</f>
        <v>Sakesphorus luctuosus</v>
      </c>
      <c r="H521" t="s">
        <v>206</v>
      </c>
      <c r="I521" t="str">
        <f>HYPERLINK("http://www.ncbi.nlm.nih.gov/protein/NXG12623.1","FABPL protein")</f>
        <v>FABPL protein</v>
      </c>
      <c r="J521" t="s">
        <v>1386</v>
      </c>
      <c r="K521" t="s">
        <v>25</v>
      </c>
      <c r="L521">
        <v>50</v>
      </c>
      <c r="M521" t="s">
        <v>1379</v>
      </c>
      <c r="N521" t="s">
        <v>25</v>
      </c>
    </row>
    <row r="522" spans="1:14" x14ac:dyDescent="0.25">
      <c r="A522">
        <v>6</v>
      </c>
      <c r="B522" t="s">
        <v>167</v>
      </c>
      <c r="C522" t="str">
        <f>HYPERLINK("http://www.ncbi.nlm.nih.gov/protein/XP_008929224.3","XP_008929224.3")</f>
        <v>XP_008929224.3</v>
      </c>
      <c r="D522">
        <v>37258</v>
      </c>
      <c r="E522" t="str">
        <f>HYPERLINK("http://www.ncbi.nlm.nih.gov/Taxonomy/Browser/wwwtax.cgi?mode=Info&amp;id=328815&amp;lvl=3&amp;lin=f&amp;keep=1&amp;srchmode=1&amp;unlock","328815")</f>
        <v>328815</v>
      </c>
      <c r="F522" t="s">
        <v>167</v>
      </c>
      <c r="G522" t="str">
        <f>HYPERLINK("http://www.ncbi.nlm.nih.gov/Taxonomy/Browser/wwwtax.cgi?mode=Info&amp;id=328815&amp;lvl=3&amp;lin=f&amp;keep=1&amp;srchmode=1&amp;unlock","Manacus vitellinus")</f>
        <v>Manacus vitellinus</v>
      </c>
      <c r="H522" t="s">
        <v>488</v>
      </c>
      <c r="I522" t="str">
        <f>HYPERLINK("http://www.ncbi.nlm.nih.gov/protein/XP_008929224.3","fatty acid-binding protein, liver")</f>
        <v>fatty acid-binding protein, liver</v>
      </c>
      <c r="J522" t="s">
        <v>1386</v>
      </c>
      <c r="K522" t="s">
        <v>25</v>
      </c>
      <c r="L522">
        <v>50</v>
      </c>
      <c r="M522" t="s">
        <v>1383</v>
      </c>
      <c r="N522" t="s">
        <v>25</v>
      </c>
    </row>
    <row r="523" spans="1:14" x14ac:dyDescent="0.25">
      <c r="A523">
        <v>6</v>
      </c>
      <c r="B523" t="s">
        <v>167</v>
      </c>
      <c r="C523" t="str">
        <f>HYPERLINK("http://www.ncbi.nlm.nih.gov/protein/NXA31413.1","NXA31413.1")</f>
        <v>NXA31413.1</v>
      </c>
      <c r="D523">
        <v>13771</v>
      </c>
      <c r="E523" t="str">
        <f>HYPERLINK("http://www.ncbi.nlm.nih.gov/Taxonomy/Browser/wwwtax.cgi?mode=Info&amp;id=8805&amp;lvl=3&amp;lin=f&amp;keep=1&amp;srchmode=1&amp;unlock","8805")</f>
        <v>8805</v>
      </c>
      <c r="F523" t="s">
        <v>167</v>
      </c>
      <c r="G523" t="str">
        <f>HYPERLINK("http://www.ncbi.nlm.nih.gov/Taxonomy/Browser/wwwtax.cgi?mode=Info&amp;id=8805&amp;lvl=3&amp;lin=f&amp;keep=1&amp;srchmode=1&amp;unlock","Eudromia elegans")</f>
        <v>Eudromia elegans</v>
      </c>
      <c r="H523" t="s">
        <v>485</v>
      </c>
      <c r="I523" t="str">
        <f>HYPERLINK("http://www.ncbi.nlm.nih.gov/protein/NXA31413.1","FABPL protein")</f>
        <v>FABPL protein</v>
      </c>
      <c r="J523" t="s">
        <v>1386</v>
      </c>
      <c r="K523" t="s">
        <v>25</v>
      </c>
      <c r="L523">
        <v>50</v>
      </c>
      <c r="M523" t="s">
        <v>1383</v>
      </c>
      <c r="N523" t="s">
        <v>25</v>
      </c>
    </row>
    <row r="524" spans="1:14" x14ac:dyDescent="0.25">
      <c r="A524">
        <v>6</v>
      </c>
      <c r="B524" t="s">
        <v>167</v>
      </c>
      <c r="C524" t="str">
        <f>HYPERLINK("http://www.ncbi.nlm.nih.gov/protein/NWU41497.1","NWU41497.1")</f>
        <v>NWU41497.1</v>
      </c>
      <c r="D524">
        <v>13565</v>
      </c>
      <c r="E524" t="str">
        <f>HYPERLINK("http://www.ncbi.nlm.nih.gov/Taxonomy/Browser/wwwtax.cgi?mode=Info&amp;id=208073&amp;lvl=3&amp;lin=f&amp;keep=1&amp;srchmode=1&amp;unlock","208073")</f>
        <v>208073</v>
      </c>
      <c r="F524" t="s">
        <v>167</v>
      </c>
      <c r="G524" t="str">
        <f>HYPERLINK("http://www.ncbi.nlm.nih.gov/Taxonomy/Browser/wwwtax.cgi?mode=Info&amp;id=208073&amp;lvl=3&amp;lin=f&amp;keep=1&amp;srchmode=1&amp;unlock","Hylia prasina")</f>
        <v>Hylia prasina</v>
      </c>
      <c r="H524" t="s">
        <v>486</v>
      </c>
      <c r="I524" t="str">
        <f>HYPERLINK("http://www.ncbi.nlm.nih.gov/protein/NWU41497.1","FABPL protein")</f>
        <v>FABPL protein</v>
      </c>
      <c r="J524" t="s">
        <v>1386</v>
      </c>
      <c r="K524" t="s">
        <v>25</v>
      </c>
      <c r="L524">
        <v>50</v>
      </c>
      <c r="M524" t="s">
        <v>1382</v>
      </c>
      <c r="N524" t="s">
        <v>25</v>
      </c>
    </row>
    <row r="525" spans="1:14" x14ac:dyDescent="0.25">
      <c r="A525">
        <v>6</v>
      </c>
      <c r="B525" t="s">
        <v>167</v>
      </c>
      <c r="C525" t="str">
        <f>HYPERLINK("http://www.ncbi.nlm.nih.gov/protein/NXA75040.1","NXA75040.1")</f>
        <v>NXA75040.1</v>
      </c>
      <c r="D525">
        <v>13718</v>
      </c>
      <c r="E525" t="str">
        <f>HYPERLINK("http://www.ncbi.nlm.nih.gov/Taxonomy/Browser/wwwtax.cgi?mode=Info&amp;id=74200&amp;lvl=3&amp;lin=f&amp;keep=1&amp;srchmode=1&amp;unlock","74200")</f>
        <v>74200</v>
      </c>
      <c r="F525" t="s">
        <v>167</v>
      </c>
      <c r="G525" t="str">
        <f>HYPERLINK("http://www.ncbi.nlm.nih.gov/Taxonomy/Browser/wwwtax.cgi?mode=Info&amp;id=74200&amp;lvl=3&amp;lin=f&amp;keep=1&amp;srchmode=1&amp;unlock","Thryothorus ludovicianus")</f>
        <v>Thryothorus ludovicianus</v>
      </c>
      <c r="H525" t="s">
        <v>487</v>
      </c>
      <c r="I525" t="str">
        <f>HYPERLINK("http://www.ncbi.nlm.nih.gov/protein/NXA75040.1","FABPL protein")</f>
        <v>FABPL protein</v>
      </c>
      <c r="J525" t="s">
        <v>1386</v>
      </c>
      <c r="K525" t="s">
        <v>25</v>
      </c>
      <c r="L525">
        <v>50</v>
      </c>
      <c r="M525" t="s">
        <v>1379</v>
      </c>
      <c r="N525" t="s">
        <v>25</v>
      </c>
    </row>
    <row r="526" spans="1:14" x14ac:dyDescent="0.25">
      <c r="A526">
        <v>6</v>
      </c>
      <c r="B526" t="s">
        <v>167</v>
      </c>
      <c r="C526" t="str">
        <f>HYPERLINK("http://www.ncbi.nlm.nih.gov/protein/XP_027522972.1","XP_027522972.1")</f>
        <v>XP_027522972.1</v>
      </c>
      <c r="D526">
        <v>39234</v>
      </c>
      <c r="E526" t="str">
        <f>HYPERLINK("http://www.ncbi.nlm.nih.gov/Taxonomy/Browser/wwwtax.cgi?mode=Info&amp;id=415028&amp;lvl=3&amp;lin=f&amp;keep=1&amp;srchmode=1&amp;unlock","415028")</f>
        <v>415028</v>
      </c>
      <c r="F526" t="s">
        <v>167</v>
      </c>
      <c r="G526" t="str">
        <f>HYPERLINK("http://www.ncbi.nlm.nih.gov/Taxonomy/Browser/wwwtax.cgi?mode=Info&amp;id=415028&amp;lvl=3&amp;lin=f&amp;keep=1&amp;srchmode=1&amp;unlock","Corapipo altera")</f>
        <v>Corapipo altera</v>
      </c>
      <c r="H526" t="s">
        <v>493</v>
      </c>
      <c r="I526" t="str">
        <f>HYPERLINK("http://www.ncbi.nlm.nih.gov/protein/XP_027522972.1","fatty acid-binding protein, liver")</f>
        <v>fatty acid-binding protein, liver</v>
      </c>
      <c r="J526" t="s">
        <v>1386</v>
      </c>
      <c r="K526" t="s">
        <v>25</v>
      </c>
      <c r="L526">
        <v>50</v>
      </c>
      <c r="M526" t="s">
        <v>1379</v>
      </c>
      <c r="N526" t="s">
        <v>25</v>
      </c>
    </row>
    <row r="527" spans="1:14" x14ac:dyDescent="0.25">
      <c r="A527">
        <v>6</v>
      </c>
      <c r="B527" t="s">
        <v>167</v>
      </c>
      <c r="C527" t="str">
        <f>HYPERLINK("http://www.ncbi.nlm.nih.gov/protein/NWW73441.1","NWW73441.1")</f>
        <v>NWW73441.1</v>
      </c>
      <c r="D527">
        <v>14135</v>
      </c>
      <c r="E527" t="str">
        <f>HYPERLINK("http://www.ncbi.nlm.nih.gov/Taxonomy/Browser/wwwtax.cgi?mode=Info&amp;id=47695&amp;lvl=3&amp;lin=f&amp;keep=1&amp;srchmode=1&amp;unlock","47695")</f>
        <v>47695</v>
      </c>
      <c r="F527" t="s">
        <v>167</v>
      </c>
      <c r="G527" t="str">
        <f>HYPERLINK("http://www.ncbi.nlm.nih.gov/Taxonomy/Browser/wwwtax.cgi?mode=Info&amp;id=47695&amp;lvl=3&amp;lin=f&amp;keep=1&amp;srchmode=1&amp;unlock","Climacteris rufus")</f>
        <v>Climacteris rufus</v>
      </c>
      <c r="H527" t="s">
        <v>495</v>
      </c>
      <c r="I527" t="str">
        <f>HYPERLINK("http://www.ncbi.nlm.nih.gov/protein/NWW73441.1","FABPL protein")</f>
        <v>FABPL protein</v>
      </c>
      <c r="J527" t="s">
        <v>1386</v>
      </c>
      <c r="K527" t="s">
        <v>25</v>
      </c>
      <c r="L527">
        <v>50</v>
      </c>
      <c r="M527" t="s">
        <v>1383</v>
      </c>
      <c r="N527" t="s">
        <v>25</v>
      </c>
    </row>
    <row r="528" spans="1:14" x14ac:dyDescent="0.25">
      <c r="A528">
        <v>6</v>
      </c>
      <c r="B528" t="s">
        <v>167</v>
      </c>
      <c r="C528" t="str">
        <f>HYPERLINK("http://www.ncbi.nlm.nih.gov/protein/NXQ16868.1","NXQ16868.1")</f>
        <v>NXQ16868.1</v>
      </c>
      <c r="D528">
        <v>13701</v>
      </c>
      <c r="E528" t="str">
        <f>HYPERLINK("http://www.ncbi.nlm.nih.gov/Taxonomy/Browser/wwwtax.cgi?mode=Info&amp;id=135441&amp;lvl=3&amp;lin=f&amp;keep=1&amp;srchmode=1&amp;unlock","135441")</f>
        <v>135441</v>
      </c>
      <c r="F528" t="s">
        <v>167</v>
      </c>
      <c r="G528" t="str">
        <f>HYPERLINK("http://www.ncbi.nlm.nih.gov/Taxonomy/Browser/wwwtax.cgi?mode=Info&amp;id=135441&amp;lvl=3&amp;lin=f&amp;keep=1&amp;srchmode=1&amp;unlock","Peucedramus taeniatus")</f>
        <v>Peucedramus taeniatus</v>
      </c>
      <c r="H528" t="s">
        <v>496</v>
      </c>
      <c r="I528" t="str">
        <f>HYPERLINK("http://www.ncbi.nlm.nih.gov/protein/NXQ16868.1","FABPL protein")</f>
        <v>FABPL protein</v>
      </c>
      <c r="J528" t="s">
        <v>1386</v>
      </c>
      <c r="K528" t="s">
        <v>25</v>
      </c>
      <c r="L528">
        <v>50</v>
      </c>
      <c r="M528" t="s">
        <v>1379</v>
      </c>
      <c r="N528" t="s">
        <v>25</v>
      </c>
    </row>
    <row r="529" spans="1:14" x14ac:dyDescent="0.25">
      <c r="A529">
        <v>6</v>
      </c>
      <c r="B529" t="s">
        <v>167</v>
      </c>
      <c r="C529" t="str">
        <f>HYPERLINK("http://www.ncbi.nlm.nih.gov/protein/NWS47962.1","NWS47962.1")</f>
        <v>NWS47962.1</v>
      </c>
      <c r="D529">
        <v>14029</v>
      </c>
      <c r="E529" t="str">
        <f>HYPERLINK("http://www.ncbi.nlm.nih.gov/Taxonomy/Browser/wwwtax.cgi?mode=Info&amp;id=141839&amp;lvl=3&amp;lin=f&amp;keep=1&amp;srchmode=1&amp;unlock","141839")</f>
        <v>141839</v>
      </c>
      <c r="F529" t="s">
        <v>167</v>
      </c>
      <c r="G529" t="str">
        <f>HYPERLINK("http://www.ncbi.nlm.nih.gov/Taxonomy/Browser/wwwtax.cgi?mode=Info&amp;id=141839&amp;lvl=3&amp;lin=f&amp;keep=1&amp;srchmode=1&amp;unlock","Probosciger aterrimus")</f>
        <v>Probosciger aterrimus</v>
      </c>
      <c r="H529" t="s">
        <v>497</v>
      </c>
      <c r="I529" t="str">
        <f>HYPERLINK("http://www.ncbi.nlm.nih.gov/protein/NWS47962.1","FABPL protein")</f>
        <v>FABPL protein</v>
      </c>
      <c r="J529" t="s">
        <v>1386</v>
      </c>
      <c r="K529" t="s">
        <v>25</v>
      </c>
      <c r="L529">
        <v>50</v>
      </c>
      <c r="M529" t="s">
        <v>1383</v>
      </c>
      <c r="N529" t="s">
        <v>25</v>
      </c>
    </row>
    <row r="530" spans="1:14" x14ac:dyDescent="0.25">
      <c r="A530">
        <v>6</v>
      </c>
      <c r="B530" t="s">
        <v>167</v>
      </c>
      <c r="C530" t="str">
        <f>HYPERLINK("http://www.ncbi.nlm.nih.gov/protein/NXB19095.1","NXB19095.1")</f>
        <v>NXB19095.1</v>
      </c>
      <c r="D530">
        <v>14272</v>
      </c>
      <c r="E530" t="str">
        <f>HYPERLINK("http://www.ncbi.nlm.nih.gov/Taxonomy/Browser/wwwtax.cgi?mode=Info&amp;id=156170&amp;lvl=3&amp;lin=f&amp;keep=1&amp;srchmode=1&amp;unlock","156170")</f>
        <v>156170</v>
      </c>
      <c r="F530" t="s">
        <v>167</v>
      </c>
      <c r="G530" t="str">
        <f>HYPERLINK("http://www.ncbi.nlm.nih.gov/Taxonomy/Browser/wwwtax.cgi?mode=Info&amp;id=156170&amp;lvl=3&amp;lin=f&amp;keep=1&amp;srchmode=1&amp;unlock","Rhagologus leucostigma")</f>
        <v>Rhagologus leucostigma</v>
      </c>
      <c r="H530" t="s">
        <v>502</v>
      </c>
      <c r="I530" t="str">
        <f>HYPERLINK("http://www.ncbi.nlm.nih.gov/protein/NXB19095.1","FABPL protein")</f>
        <v>FABPL protein</v>
      </c>
      <c r="J530" t="s">
        <v>1386</v>
      </c>
      <c r="K530" t="s">
        <v>25</v>
      </c>
      <c r="L530">
        <v>50</v>
      </c>
      <c r="M530" t="s">
        <v>1379</v>
      </c>
      <c r="N530" t="s">
        <v>25</v>
      </c>
    </row>
    <row r="531" spans="1:14" x14ac:dyDescent="0.25">
      <c r="A531">
        <v>6</v>
      </c>
      <c r="B531" t="s">
        <v>167</v>
      </c>
      <c r="C531" t="str">
        <f>HYPERLINK("http://www.ncbi.nlm.nih.gov/protein/NWR05044.1","NWR05044.1")</f>
        <v>NWR05044.1</v>
      </c>
      <c r="D531">
        <v>14772</v>
      </c>
      <c r="E531" t="str">
        <f>HYPERLINK("http://www.ncbi.nlm.nih.gov/Taxonomy/Browser/wwwtax.cgi?mode=Info&amp;id=337173&amp;lvl=3&amp;lin=f&amp;keep=1&amp;srchmode=1&amp;unlock","337173")</f>
        <v>337173</v>
      </c>
      <c r="F531" t="s">
        <v>167</v>
      </c>
      <c r="G531" t="str">
        <f>HYPERLINK("http://www.ncbi.nlm.nih.gov/Taxonomy/Browser/wwwtax.cgi?mode=Info&amp;id=337173&amp;lvl=3&amp;lin=f&amp;keep=1&amp;srchmode=1&amp;unlock","Sinosuthora webbiana")</f>
        <v>Sinosuthora webbiana</v>
      </c>
      <c r="H531" t="s">
        <v>503</v>
      </c>
      <c r="I531" t="str">
        <f>HYPERLINK("http://www.ncbi.nlm.nih.gov/protein/NWR05044.1","FABPL protein")</f>
        <v>FABPL protein</v>
      </c>
      <c r="J531" t="s">
        <v>1386</v>
      </c>
      <c r="K531" t="s">
        <v>25</v>
      </c>
      <c r="L531">
        <v>50</v>
      </c>
      <c r="M531" t="s">
        <v>1315</v>
      </c>
      <c r="N531" t="s">
        <v>25</v>
      </c>
    </row>
    <row r="532" spans="1:14" x14ac:dyDescent="0.25">
      <c r="A532">
        <v>6</v>
      </c>
      <c r="B532" t="s">
        <v>167</v>
      </c>
      <c r="C532" t="str">
        <f>HYPERLINK("http://www.ncbi.nlm.nih.gov/protein/XP_010077592.1","XP_010077592.1")</f>
        <v>XP_010077592.1</v>
      </c>
      <c r="D532">
        <v>27073</v>
      </c>
      <c r="E532" t="str">
        <f>HYPERLINK("http://www.ncbi.nlm.nih.gov/Taxonomy/Browser/wwwtax.cgi?mode=Info&amp;id=240206&amp;lvl=3&amp;lin=f&amp;keep=1&amp;srchmode=1&amp;unlock","240206")</f>
        <v>240206</v>
      </c>
      <c r="F532" t="s">
        <v>167</v>
      </c>
      <c r="G532" t="str">
        <f>HYPERLINK("http://www.ncbi.nlm.nih.gov/Taxonomy/Browser/wwwtax.cgi?mode=Info&amp;id=240206&amp;lvl=3&amp;lin=f&amp;keep=1&amp;srchmode=1&amp;unlock","Pterocles gutturalis")</f>
        <v>Pterocles gutturalis</v>
      </c>
      <c r="H532" t="s">
        <v>504</v>
      </c>
      <c r="I532" t="str">
        <f>HYPERLINK("http://www.ncbi.nlm.nih.gov/protein/XP_010077592.1","PREDICTED: fatty acid-binding protein, liver")</f>
        <v>PREDICTED: fatty acid-binding protein, liver</v>
      </c>
      <c r="J532" t="s">
        <v>1386</v>
      </c>
      <c r="K532" t="s">
        <v>25</v>
      </c>
      <c r="L532">
        <v>50</v>
      </c>
      <c r="M532" t="s">
        <v>1379</v>
      </c>
      <c r="N532" t="s">
        <v>25</v>
      </c>
    </row>
    <row r="533" spans="1:14" x14ac:dyDescent="0.25">
      <c r="A533">
        <v>6</v>
      </c>
      <c r="B533" t="s">
        <v>167</v>
      </c>
      <c r="C533" t="str">
        <f>HYPERLINK("http://www.ncbi.nlm.nih.gov/protein/NWV86238.1","NWV86238.1")</f>
        <v>NWV86238.1</v>
      </c>
      <c r="D533">
        <v>14411</v>
      </c>
      <c r="E533" t="str">
        <f>HYPERLINK("http://www.ncbi.nlm.nih.gov/Taxonomy/Browser/wwwtax.cgi?mode=Info&amp;id=243059&amp;lvl=3&amp;lin=f&amp;keep=1&amp;srchmode=1&amp;unlock","243059")</f>
        <v>243059</v>
      </c>
      <c r="F533" t="s">
        <v>167</v>
      </c>
      <c r="G533" t="str">
        <f>HYPERLINK("http://www.ncbi.nlm.nih.gov/Taxonomy/Browser/wwwtax.cgi?mode=Info&amp;id=243059&amp;lvl=3&amp;lin=f&amp;keep=1&amp;srchmode=1&amp;unlock","Dasyornis broadbenti")</f>
        <v>Dasyornis broadbenti</v>
      </c>
      <c r="H533" t="s">
        <v>505</v>
      </c>
      <c r="I533" t="str">
        <f>HYPERLINK("http://www.ncbi.nlm.nih.gov/protein/NWV86238.1","FABPL protein")</f>
        <v>FABPL protein</v>
      </c>
      <c r="J533" t="s">
        <v>1386</v>
      </c>
      <c r="K533" t="s">
        <v>25</v>
      </c>
      <c r="L533">
        <v>50</v>
      </c>
      <c r="M533" t="s">
        <v>1383</v>
      </c>
      <c r="N533" t="s">
        <v>25</v>
      </c>
    </row>
    <row r="534" spans="1:14" x14ac:dyDescent="0.25">
      <c r="A534">
        <v>6</v>
      </c>
      <c r="B534" t="s">
        <v>167</v>
      </c>
      <c r="C534" t="str">
        <f>HYPERLINK("http://www.ncbi.nlm.nih.gov/protein/NXE07216.1","NXE07216.1")</f>
        <v>NXE07216.1</v>
      </c>
      <c r="D534">
        <v>13942</v>
      </c>
      <c r="E534" t="str">
        <f>HYPERLINK("http://www.ncbi.nlm.nih.gov/Taxonomy/Browser/wwwtax.cgi?mode=Info&amp;id=172689&amp;lvl=3&amp;lin=f&amp;keep=1&amp;srchmode=1&amp;unlock","172689")</f>
        <v>172689</v>
      </c>
      <c r="F534" t="s">
        <v>167</v>
      </c>
      <c r="G534" t="str">
        <f>HYPERLINK("http://www.ncbi.nlm.nih.gov/Taxonomy/Browser/wwwtax.cgi?mode=Info&amp;id=172689&amp;lvl=3&amp;lin=f&amp;keep=1&amp;srchmode=1&amp;unlock","Lophotis ruficrista")</f>
        <v>Lophotis ruficrista</v>
      </c>
      <c r="H534" t="s">
        <v>182</v>
      </c>
      <c r="I534" t="str">
        <f>HYPERLINK("http://www.ncbi.nlm.nih.gov/protein/NXE07216.1","FABPL protein")</f>
        <v>FABPL protein</v>
      </c>
      <c r="J534" t="s">
        <v>1386</v>
      </c>
      <c r="K534" t="s">
        <v>25</v>
      </c>
      <c r="L534">
        <v>50</v>
      </c>
      <c r="M534" t="s">
        <v>1383</v>
      </c>
      <c r="N534" t="s">
        <v>25</v>
      </c>
    </row>
    <row r="535" spans="1:14" x14ac:dyDescent="0.25">
      <c r="A535">
        <v>6</v>
      </c>
      <c r="B535" t="s">
        <v>167</v>
      </c>
      <c r="C535" t="str">
        <f>HYPERLINK("http://www.ncbi.nlm.nih.gov/protein/NXT29598.1","NXT29598.1")</f>
        <v>NXT29598.1</v>
      </c>
      <c r="D535">
        <v>13562</v>
      </c>
      <c r="E535" t="str">
        <f>HYPERLINK("http://www.ncbi.nlm.nih.gov/Taxonomy/Browser/wwwtax.cgi?mode=Info&amp;id=302527&amp;lvl=3&amp;lin=f&amp;keep=1&amp;srchmode=1&amp;unlock","302527")</f>
        <v>302527</v>
      </c>
      <c r="F535" t="s">
        <v>167</v>
      </c>
      <c r="G535" t="str">
        <f>HYPERLINK("http://www.ncbi.nlm.nih.gov/Taxonomy/Browser/wwwtax.cgi?mode=Info&amp;id=302527&amp;lvl=3&amp;lin=f&amp;keep=1&amp;srchmode=1&amp;unlock","Syrrhaptes paradoxus")</f>
        <v>Syrrhaptes paradoxus</v>
      </c>
      <c r="H535" t="s">
        <v>509</v>
      </c>
      <c r="I535" t="str">
        <f>HYPERLINK("http://www.ncbi.nlm.nih.gov/protein/NXT29598.1","FABPL protein")</f>
        <v>FABPL protein</v>
      </c>
      <c r="J535" t="s">
        <v>1386</v>
      </c>
      <c r="K535" t="s">
        <v>25</v>
      </c>
      <c r="L535">
        <v>50</v>
      </c>
      <c r="M535" t="s">
        <v>1379</v>
      </c>
      <c r="N535" t="s">
        <v>25</v>
      </c>
    </row>
    <row r="536" spans="1:14" x14ac:dyDescent="0.25">
      <c r="A536">
        <v>6</v>
      </c>
      <c r="B536" t="s">
        <v>167</v>
      </c>
      <c r="C536" t="str">
        <f>HYPERLINK("http://www.ncbi.nlm.nih.gov/protein/NWX87093.1","NWX87093.1")</f>
        <v>NWX87093.1</v>
      </c>
      <c r="D536">
        <v>13431</v>
      </c>
      <c r="E536" t="str">
        <f>HYPERLINK("http://www.ncbi.nlm.nih.gov/Taxonomy/Browser/wwwtax.cgi?mode=Info&amp;id=2585814&amp;lvl=3&amp;lin=f&amp;keep=1&amp;srchmode=1&amp;unlock","2585814")</f>
        <v>2585814</v>
      </c>
      <c r="F536" t="s">
        <v>167</v>
      </c>
      <c r="G536" t="str">
        <f>HYPERLINK("http://www.ncbi.nlm.nih.gov/Taxonomy/Browser/wwwtax.cgi?mode=Info&amp;id=2585814&amp;lvl=3&amp;lin=f&amp;keep=1&amp;srchmode=1&amp;unlock","Nothoprocta pentlandii")</f>
        <v>Nothoprocta pentlandii</v>
      </c>
      <c r="H536" t="s">
        <v>196</v>
      </c>
      <c r="I536" t="str">
        <f>HYPERLINK("http://www.ncbi.nlm.nih.gov/protein/NWX87093.1","FABPL protein")</f>
        <v>FABPL protein</v>
      </c>
      <c r="J536" t="s">
        <v>1386</v>
      </c>
      <c r="K536" t="s">
        <v>20</v>
      </c>
      <c r="L536">
        <v>50</v>
      </c>
      <c r="M536" t="s">
        <v>1380</v>
      </c>
      <c r="N536" t="s">
        <v>20</v>
      </c>
    </row>
    <row r="537" spans="1:14" x14ac:dyDescent="0.25">
      <c r="A537">
        <v>6</v>
      </c>
      <c r="B537" t="s">
        <v>167</v>
      </c>
      <c r="C537" t="str">
        <f>HYPERLINK("http://www.ncbi.nlm.nih.gov/protein/NXH50913.1","NXH50913.1")</f>
        <v>NXH50913.1</v>
      </c>
      <c r="D537">
        <v>13663</v>
      </c>
      <c r="E537" t="str">
        <f>HYPERLINK("http://www.ncbi.nlm.nih.gov/Taxonomy/Browser/wwwtax.cgi?mode=Info&amp;id=667154&amp;lvl=3&amp;lin=f&amp;keep=1&amp;srchmode=1&amp;unlock","667154")</f>
        <v>667154</v>
      </c>
      <c r="F537" t="s">
        <v>167</v>
      </c>
      <c r="G537" t="str">
        <f>HYPERLINK("http://www.ncbi.nlm.nih.gov/Taxonomy/Browser/wwwtax.cgi?mode=Info&amp;id=667154&amp;lvl=3&amp;lin=f&amp;keep=1&amp;srchmode=1&amp;unlock","Dicaeum eximium")</f>
        <v>Dicaeum eximium</v>
      </c>
      <c r="H537" t="s">
        <v>206</v>
      </c>
      <c r="I537" t="str">
        <f>HYPERLINK("http://www.ncbi.nlm.nih.gov/protein/NXH50913.1","FABPL protein")</f>
        <v>FABPL protein</v>
      </c>
      <c r="J537" t="s">
        <v>1386</v>
      </c>
      <c r="K537" t="s">
        <v>25</v>
      </c>
      <c r="L537">
        <v>50</v>
      </c>
      <c r="M537" t="s">
        <v>1379</v>
      </c>
      <c r="N537" t="s">
        <v>25</v>
      </c>
    </row>
    <row r="538" spans="1:14" x14ac:dyDescent="0.25">
      <c r="A538">
        <v>6</v>
      </c>
      <c r="B538" t="s">
        <v>167</v>
      </c>
      <c r="C538" t="str">
        <f>HYPERLINK("http://www.ncbi.nlm.nih.gov/protein/NWX96389.1","NWX96389.1")</f>
        <v>NWX96389.1</v>
      </c>
      <c r="D538">
        <v>13754</v>
      </c>
      <c r="E538" t="str">
        <f>HYPERLINK("http://www.ncbi.nlm.nih.gov/Taxonomy/Browser/wwwtax.cgi?mode=Info&amp;id=83376&amp;lvl=3&amp;lin=f&amp;keep=1&amp;srchmode=1&amp;unlock","83376")</f>
        <v>83376</v>
      </c>
      <c r="F538" t="s">
        <v>167</v>
      </c>
      <c r="G538" t="str">
        <f>HYPERLINK("http://www.ncbi.nlm.nih.gov/Taxonomy/Browser/wwwtax.cgi?mode=Info&amp;id=83376&amp;lvl=3&amp;lin=f&amp;keep=1&amp;srchmode=1&amp;unlock","Nothoprocta ornata")</f>
        <v>Nothoprocta ornata</v>
      </c>
      <c r="H538" t="s">
        <v>196</v>
      </c>
      <c r="I538" t="str">
        <f>HYPERLINK("http://www.ncbi.nlm.nih.gov/protein/NWX96389.1","FABPL protein")</f>
        <v>FABPL protein</v>
      </c>
      <c r="J538" t="s">
        <v>1386</v>
      </c>
      <c r="K538" t="s">
        <v>20</v>
      </c>
      <c r="L538">
        <v>50</v>
      </c>
      <c r="M538" t="s">
        <v>1380</v>
      </c>
      <c r="N538" t="s">
        <v>20</v>
      </c>
    </row>
    <row r="539" spans="1:14" x14ac:dyDescent="0.25">
      <c r="A539">
        <v>6</v>
      </c>
      <c r="B539" t="s">
        <v>167</v>
      </c>
      <c r="C539" t="str">
        <f>HYPERLINK("http://www.ncbi.nlm.nih.gov/protein/NXJ35422.1","NXJ35422.1")</f>
        <v>NXJ35422.1</v>
      </c>
      <c r="D539">
        <v>13317</v>
      </c>
      <c r="E539" t="str">
        <f>HYPERLINK("http://www.ncbi.nlm.nih.gov/Taxonomy/Browser/wwwtax.cgi?mode=Info&amp;id=52777&amp;lvl=3&amp;lin=f&amp;keep=1&amp;srchmode=1&amp;unlock","52777")</f>
        <v>52777</v>
      </c>
      <c r="F539" t="s">
        <v>167</v>
      </c>
      <c r="G539" t="str">
        <f>HYPERLINK("http://www.ncbi.nlm.nih.gov/Taxonomy/Browser/wwwtax.cgi?mode=Info&amp;id=52777&amp;lvl=3&amp;lin=f&amp;keep=1&amp;srchmode=1&amp;unlock","Ciconia maguari")</f>
        <v>Ciconia maguari</v>
      </c>
      <c r="H539" t="s">
        <v>514</v>
      </c>
      <c r="I539" t="str">
        <f>HYPERLINK("http://www.ncbi.nlm.nih.gov/protein/NXJ35422.1","FABPL protein")</f>
        <v>FABPL protein</v>
      </c>
      <c r="J539" t="s">
        <v>1386</v>
      </c>
      <c r="K539" t="s">
        <v>25</v>
      </c>
      <c r="L539">
        <v>50</v>
      </c>
      <c r="M539" t="s">
        <v>1379</v>
      </c>
      <c r="N539" t="s">
        <v>25</v>
      </c>
    </row>
    <row r="540" spans="1:14" x14ac:dyDescent="0.25">
      <c r="A540">
        <v>6</v>
      </c>
      <c r="B540" t="s">
        <v>167</v>
      </c>
      <c r="C540" t="str">
        <f>HYPERLINK("http://www.ncbi.nlm.nih.gov/protein/NXS09246.1","NXS09246.1")</f>
        <v>NXS09246.1</v>
      </c>
      <c r="D540">
        <v>8871</v>
      </c>
      <c r="E540" t="str">
        <f>HYPERLINK("http://www.ncbi.nlm.nih.gov/Taxonomy/Browser/wwwtax.cgi?mode=Info&amp;id=254563&amp;lvl=3&amp;lin=f&amp;keep=1&amp;srchmode=1&amp;unlock","254563")</f>
        <v>254563</v>
      </c>
      <c r="F540" t="s">
        <v>167</v>
      </c>
      <c r="G540" t="str">
        <f>HYPERLINK("http://www.ncbi.nlm.nih.gov/Taxonomy/Browser/wwwtax.cgi?mode=Info&amp;id=254563&amp;lvl=3&amp;lin=f&amp;keep=1&amp;srchmode=1&amp;unlock","Neodrepanis coruscans")</f>
        <v>Neodrepanis coruscans</v>
      </c>
      <c r="H540" t="s">
        <v>526</v>
      </c>
      <c r="I540" t="str">
        <f>HYPERLINK("http://www.ncbi.nlm.nih.gov/protein/NXS09246.1","FABPL protein")</f>
        <v>FABPL protein</v>
      </c>
      <c r="J540" t="s">
        <v>1386</v>
      </c>
      <c r="K540" t="s">
        <v>25</v>
      </c>
      <c r="L540">
        <v>50</v>
      </c>
      <c r="M540" t="s">
        <v>1379</v>
      </c>
      <c r="N540" t="s">
        <v>25</v>
      </c>
    </row>
    <row r="541" spans="1:14" x14ac:dyDescent="0.25">
      <c r="A541">
        <v>6</v>
      </c>
      <c r="B541" t="s">
        <v>167</v>
      </c>
      <c r="C541" t="str">
        <f>HYPERLINK("http://www.ncbi.nlm.nih.gov/protein/NWV31892.1","NWV31892.1")</f>
        <v>NWV31892.1</v>
      </c>
      <c r="D541">
        <v>14091</v>
      </c>
      <c r="E541" t="str">
        <f>HYPERLINK("http://www.ncbi.nlm.nih.gov/Taxonomy/Browser/wwwtax.cgi?mode=Info&amp;id=266360&amp;lvl=3&amp;lin=f&amp;keep=1&amp;srchmode=1&amp;unlock","266360")</f>
        <v>266360</v>
      </c>
      <c r="F541" t="s">
        <v>167</v>
      </c>
      <c r="G541" t="str">
        <f>HYPERLINK("http://www.ncbi.nlm.nih.gov/Taxonomy/Browser/wwwtax.cgi?mode=Info&amp;id=266360&amp;lvl=3&amp;lin=f&amp;keep=1&amp;srchmode=1&amp;unlock","Grantiella picta")</f>
        <v>Grantiella picta</v>
      </c>
      <c r="H541" t="s">
        <v>369</v>
      </c>
      <c r="I541" t="str">
        <f>HYPERLINK("http://www.ncbi.nlm.nih.gov/protein/NWV31892.1","FABP1 protein")</f>
        <v>FABP1 protein</v>
      </c>
      <c r="J541" t="s">
        <v>1386</v>
      </c>
      <c r="K541" t="s">
        <v>25</v>
      </c>
      <c r="L541">
        <v>50</v>
      </c>
      <c r="M541" t="s">
        <v>1383</v>
      </c>
      <c r="N541" t="s">
        <v>25</v>
      </c>
    </row>
    <row r="542" spans="1:14" x14ac:dyDescent="0.25">
      <c r="A542">
        <v>6</v>
      </c>
      <c r="B542" t="s">
        <v>167</v>
      </c>
      <c r="C542" t="str">
        <f>HYPERLINK("http://www.ncbi.nlm.nih.gov/protein/XP_028434716.1","XP_028434716.1")</f>
        <v>XP_028434716.1</v>
      </c>
      <c r="D542">
        <v>65039</v>
      </c>
      <c r="E542" t="str">
        <f>HYPERLINK("http://www.ncbi.nlm.nih.gov/Taxonomy/Browser/wwwtax.cgi?mode=Info&amp;id=8167&amp;lvl=3&amp;lin=f&amp;keep=1&amp;srchmode=1&amp;unlock","8167")</f>
        <v>8167</v>
      </c>
      <c r="F542" t="s">
        <v>384</v>
      </c>
      <c r="G542" t="str">
        <f>HYPERLINK("http://www.ncbi.nlm.nih.gov/Taxonomy/Browser/wwwtax.cgi?mode=Info&amp;id=8167&amp;lvl=3&amp;lin=f&amp;keep=1&amp;srchmode=1&amp;unlock","Perca flavescens")</f>
        <v>Perca flavescens</v>
      </c>
      <c r="H542" t="s">
        <v>545</v>
      </c>
      <c r="I542" t="str">
        <f>HYPERLINK("http://www.ncbi.nlm.nih.gov/protein/XP_028434716.1","fatty acid-binding protein, liver-type-like")</f>
        <v>fatty acid-binding protein, liver-type-like</v>
      </c>
      <c r="J542" t="s">
        <v>1386</v>
      </c>
      <c r="K542" t="s">
        <v>25</v>
      </c>
      <c r="L542">
        <v>50</v>
      </c>
      <c r="M542" t="s">
        <v>1379</v>
      </c>
      <c r="N542" t="s">
        <v>25</v>
      </c>
    </row>
    <row r="543" spans="1:14" x14ac:dyDescent="0.25">
      <c r="A543">
        <v>6</v>
      </c>
      <c r="B543" t="s">
        <v>167</v>
      </c>
      <c r="C543" t="str">
        <f>HYPERLINK("http://www.ncbi.nlm.nih.gov/protein/NWV65356.1","NWV65356.1")</f>
        <v>NWV65356.1</v>
      </c>
      <c r="D543">
        <v>14078</v>
      </c>
      <c r="E543" t="str">
        <f>HYPERLINK("http://www.ncbi.nlm.nih.gov/Taxonomy/Browser/wwwtax.cgi?mode=Info&amp;id=720584&amp;lvl=3&amp;lin=f&amp;keep=1&amp;srchmode=1&amp;unlock","720584")</f>
        <v>720584</v>
      </c>
      <c r="F543" t="s">
        <v>167</v>
      </c>
      <c r="G543" t="str">
        <f>HYPERLINK("http://www.ncbi.nlm.nih.gov/Taxonomy/Browser/wwwtax.cgi?mode=Info&amp;id=720584&amp;lvl=3&amp;lin=f&amp;keep=1&amp;srchmode=1&amp;unlock","Malurus elegans")</f>
        <v>Malurus elegans</v>
      </c>
      <c r="H543" t="s">
        <v>548</v>
      </c>
      <c r="I543" t="str">
        <f>HYPERLINK("http://www.ncbi.nlm.nih.gov/protein/NWV65356.1","FABP1 protein")</f>
        <v>FABP1 protein</v>
      </c>
      <c r="J543" t="s">
        <v>1386</v>
      </c>
      <c r="K543" t="s">
        <v>25</v>
      </c>
      <c r="L543">
        <v>50</v>
      </c>
      <c r="M543" t="s">
        <v>1379</v>
      </c>
      <c r="N543" t="s">
        <v>25</v>
      </c>
    </row>
    <row r="544" spans="1:14" x14ac:dyDescent="0.25">
      <c r="A544">
        <v>6</v>
      </c>
      <c r="B544" t="s">
        <v>167</v>
      </c>
      <c r="C544" t="str">
        <f>HYPERLINK("http://www.ncbi.nlm.nih.gov/protein/NWH58491.1","NWH58491.1")</f>
        <v>NWH58491.1</v>
      </c>
      <c r="D544">
        <v>13556</v>
      </c>
      <c r="E544" t="str">
        <f>HYPERLINK("http://www.ncbi.nlm.nih.gov/Taxonomy/Browser/wwwtax.cgi?mode=Info&amp;id=8947&amp;lvl=3&amp;lin=f&amp;keep=1&amp;srchmode=1&amp;unlock","8947")</f>
        <v>8947</v>
      </c>
      <c r="F544" t="s">
        <v>167</v>
      </c>
      <c r="G544" t="str">
        <f>HYPERLINK("http://www.ncbi.nlm.nih.gov/Taxonomy/Browser/wwwtax.cgi?mode=Info&amp;id=8947&amp;lvl=3&amp;lin=f&amp;keep=1&amp;srchmode=1&amp;unlock","Geococcyx californianus")</f>
        <v>Geococcyx californianus</v>
      </c>
      <c r="H544" t="s">
        <v>552</v>
      </c>
      <c r="I544" t="str">
        <f>HYPERLINK("http://www.ncbi.nlm.nih.gov/protein/NWH58491.1","FABP1 protein")</f>
        <v>FABP1 protein</v>
      </c>
      <c r="J544" t="s">
        <v>1386</v>
      </c>
      <c r="K544" t="s">
        <v>25</v>
      </c>
      <c r="L544">
        <v>50</v>
      </c>
      <c r="M544" t="s">
        <v>1379</v>
      </c>
      <c r="N544" t="s">
        <v>25</v>
      </c>
    </row>
    <row r="545" spans="1:14" x14ac:dyDescent="0.25">
      <c r="A545">
        <v>6</v>
      </c>
      <c r="B545" t="s">
        <v>167</v>
      </c>
      <c r="C545" t="str">
        <f>HYPERLINK("http://www.ncbi.nlm.nih.gov/protein/NWS67372.1","NWS67372.1")</f>
        <v>NWS67372.1</v>
      </c>
      <c r="D545">
        <v>13919</v>
      </c>
      <c r="E545" t="str">
        <f>HYPERLINK("http://www.ncbi.nlm.nih.gov/Taxonomy/Browser/wwwtax.cgi?mode=Info&amp;id=33598&amp;lvl=3&amp;lin=f&amp;keep=1&amp;srchmode=1&amp;unlock","33598")</f>
        <v>33598</v>
      </c>
      <c r="F545" t="s">
        <v>167</v>
      </c>
      <c r="G545" t="str">
        <f>HYPERLINK("http://www.ncbi.nlm.nih.gov/Taxonomy/Browser/wwwtax.cgi?mode=Info&amp;id=33598&amp;lvl=3&amp;lin=f&amp;keep=1&amp;srchmode=1&amp;unlock","Crotophaga sulcirostris")</f>
        <v>Crotophaga sulcirostris</v>
      </c>
      <c r="H545" t="s">
        <v>559</v>
      </c>
      <c r="I545" t="str">
        <f>HYPERLINK("http://www.ncbi.nlm.nih.gov/protein/NWS67372.1","FABP1 protein")</f>
        <v>FABP1 protein</v>
      </c>
      <c r="J545" t="s">
        <v>1386</v>
      </c>
      <c r="K545" t="s">
        <v>25</v>
      </c>
      <c r="L545">
        <v>50</v>
      </c>
      <c r="M545" t="s">
        <v>1379</v>
      </c>
      <c r="N545" t="s">
        <v>25</v>
      </c>
    </row>
    <row r="546" spans="1:14" x14ac:dyDescent="0.25">
      <c r="A546">
        <v>6</v>
      </c>
      <c r="B546" t="s">
        <v>167</v>
      </c>
      <c r="C546" t="str">
        <f>HYPERLINK("http://www.ncbi.nlm.nih.gov/protein/NXE45026.1","NXE45026.1")</f>
        <v>NXE45026.1</v>
      </c>
      <c r="D546">
        <v>13811</v>
      </c>
      <c r="E546" t="str">
        <f>HYPERLINK("http://www.ncbi.nlm.nih.gov/Taxonomy/Browser/wwwtax.cgi?mode=Info&amp;id=8787&amp;lvl=3&amp;lin=f&amp;keep=1&amp;srchmode=1&amp;unlock","8787")</f>
        <v>8787</v>
      </c>
      <c r="F546" t="s">
        <v>167</v>
      </c>
      <c r="G546" t="str">
        <f>HYPERLINK("http://www.ncbi.nlm.nih.gov/Taxonomy/Browser/wwwtax.cgi?mode=Info&amp;id=8787&amp;lvl=3&amp;lin=f&amp;keep=1&amp;srchmode=1&amp;unlock","Casuarius casuarius")</f>
        <v>Casuarius casuarius</v>
      </c>
      <c r="H546" t="s">
        <v>574</v>
      </c>
      <c r="I546" t="str">
        <f>HYPERLINK("http://www.ncbi.nlm.nih.gov/protein/NXE45026.1","FABP1 protein")</f>
        <v>FABP1 protein</v>
      </c>
      <c r="J546" t="s">
        <v>1386</v>
      </c>
      <c r="K546" t="s">
        <v>25</v>
      </c>
      <c r="L546">
        <v>50</v>
      </c>
      <c r="M546" t="s">
        <v>1383</v>
      </c>
      <c r="N546" t="s">
        <v>25</v>
      </c>
    </row>
    <row r="547" spans="1:14" x14ac:dyDescent="0.25">
      <c r="A547">
        <v>6</v>
      </c>
      <c r="B547" t="s">
        <v>167</v>
      </c>
      <c r="C547" t="str">
        <f>HYPERLINK("http://www.ncbi.nlm.nih.gov/protein/NWH27385.1","NWH27385.1")</f>
        <v>NWH27385.1</v>
      </c>
      <c r="D547">
        <v>13830</v>
      </c>
      <c r="E547" t="str">
        <f>HYPERLINK("http://www.ncbi.nlm.nih.gov/Taxonomy/Browser/wwwtax.cgi?mode=Info&amp;id=9117&amp;lvl=3&amp;lin=f&amp;keep=1&amp;srchmode=1&amp;unlock","9117")</f>
        <v>9117</v>
      </c>
      <c r="F547" t="s">
        <v>167</v>
      </c>
      <c r="G547" t="str">
        <f>HYPERLINK("http://www.ncbi.nlm.nih.gov/Taxonomy/Browser/wwwtax.cgi?mode=Info&amp;id=9117&amp;lvl=3&amp;lin=f&amp;keep=1&amp;srchmode=1&amp;unlock","Grus americana")</f>
        <v>Grus americana</v>
      </c>
      <c r="H547" t="s">
        <v>581</v>
      </c>
      <c r="I547" t="str">
        <f>HYPERLINK("http://www.ncbi.nlm.nih.gov/protein/NWH27385.1","FABPL protein")</f>
        <v>FABPL protein</v>
      </c>
      <c r="J547" t="s">
        <v>1386</v>
      </c>
      <c r="K547" t="s">
        <v>25</v>
      </c>
      <c r="L547">
        <v>50</v>
      </c>
      <c r="M547" t="s">
        <v>1379</v>
      </c>
      <c r="N547" t="s">
        <v>25</v>
      </c>
    </row>
    <row r="548" spans="1:14" x14ac:dyDescent="0.25">
      <c r="A548">
        <v>6</v>
      </c>
      <c r="B548" t="s">
        <v>167</v>
      </c>
      <c r="C548" t="str">
        <f>HYPERLINK("http://www.ncbi.nlm.nih.gov/protein/NXD62146.1","NXD62146.1")</f>
        <v>NXD62146.1</v>
      </c>
      <c r="D548">
        <v>13476</v>
      </c>
      <c r="E548" t="str">
        <f>HYPERLINK("http://www.ncbi.nlm.nih.gov/Taxonomy/Browser/wwwtax.cgi?mode=Info&amp;id=176039&amp;lvl=3&amp;lin=f&amp;keep=1&amp;srchmode=1&amp;unlock","176039")</f>
        <v>176039</v>
      </c>
      <c r="F548" t="s">
        <v>167</v>
      </c>
      <c r="G548" t="str">
        <f>HYPERLINK("http://www.ncbi.nlm.nih.gov/Taxonomy/Browser/wwwtax.cgi?mode=Info&amp;id=176039&amp;lvl=3&amp;lin=f&amp;keep=1&amp;srchmode=1&amp;unlock","Eolophus roseicapilla")</f>
        <v>Eolophus roseicapilla</v>
      </c>
      <c r="H548" t="s">
        <v>585</v>
      </c>
      <c r="I548" t="str">
        <f>HYPERLINK("http://www.ncbi.nlm.nih.gov/protein/NXD62146.1","FABPL protein")</f>
        <v>FABPL protein</v>
      </c>
      <c r="J548" t="s">
        <v>1386</v>
      </c>
      <c r="K548" t="s">
        <v>25</v>
      </c>
      <c r="L548">
        <v>50</v>
      </c>
      <c r="M548" t="s">
        <v>1383</v>
      </c>
      <c r="N548" t="s">
        <v>25</v>
      </c>
    </row>
    <row r="549" spans="1:14" x14ac:dyDescent="0.25">
      <c r="A549">
        <v>6</v>
      </c>
      <c r="B549" t="s">
        <v>167</v>
      </c>
      <c r="C549" t="str">
        <f>HYPERLINK("http://www.ncbi.nlm.nih.gov/protein/XP_010708891.1","XP_010708891.1")</f>
        <v>XP_010708891.1</v>
      </c>
      <c r="D549">
        <v>30542</v>
      </c>
      <c r="E549" t="str">
        <f>HYPERLINK("http://www.ncbi.nlm.nih.gov/Taxonomy/Browser/wwwtax.cgi?mode=Info&amp;id=9103&amp;lvl=3&amp;lin=f&amp;keep=1&amp;srchmode=1&amp;unlock","9103")</f>
        <v>9103</v>
      </c>
      <c r="F549" t="s">
        <v>167</v>
      </c>
      <c r="G549" t="str">
        <f>HYPERLINK("http://www.ncbi.nlm.nih.gov/Taxonomy/Browser/wwwtax.cgi?mode=Info&amp;id=9103&amp;lvl=3&amp;lin=f&amp;keep=1&amp;srchmode=1&amp;unlock","Meleagris gallopavo")</f>
        <v>Meleagris gallopavo</v>
      </c>
      <c r="H549" t="s">
        <v>590</v>
      </c>
      <c r="I549" t="str">
        <f>HYPERLINK("http://www.ncbi.nlm.nih.gov/protein/XP_010708891.1","fatty acid-binding protein, liver")</f>
        <v>fatty acid-binding protein, liver</v>
      </c>
      <c r="J549" t="s">
        <v>1386</v>
      </c>
      <c r="K549" t="s">
        <v>25</v>
      </c>
      <c r="L549">
        <v>50</v>
      </c>
      <c r="M549" t="s">
        <v>1383</v>
      </c>
      <c r="N549" t="s">
        <v>25</v>
      </c>
    </row>
    <row r="550" spans="1:14" x14ac:dyDescent="0.25">
      <c r="A550">
        <v>6</v>
      </c>
      <c r="B550" t="s">
        <v>167</v>
      </c>
      <c r="C550" t="str">
        <f>HYPERLINK("http://www.ncbi.nlm.nih.gov/protein/NWJ01252.1","NWJ01252.1")</f>
        <v>NWJ01252.1</v>
      </c>
      <c r="D550">
        <v>14086</v>
      </c>
      <c r="E550" t="str">
        <f>HYPERLINK("http://www.ncbi.nlm.nih.gov/Taxonomy/Browser/wwwtax.cgi?mode=Info&amp;id=48396&amp;lvl=3&amp;lin=f&amp;keep=1&amp;srchmode=1&amp;unlock","48396")</f>
        <v>48396</v>
      </c>
      <c r="F550" t="s">
        <v>167</v>
      </c>
      <c r="G550" t="str">
        <f>HYPERLINK("http://www.ncbi.nlm.nih.gov/Taxonomy/Browser/wwwtax.cgi?mode=Info&amp;id=48396&amp;lvl=3&amp;lin=f&amp;keep=1&amp;srchmode=1&amp;unlock","Crypturellus undulatus")</f>
        <v>Crypturellus undulatus</v>
      </c>
      <c r="H550" t="s">
        <v>196</v>
      </c>
      <c r="I550" t="str">
        <f>HYPERLINK("http://www.ncbi.nlm.nih.gov/protein/NWJ01252.1","FABPL protein")</f>
        <v>FABPL protein</v>
      </c>
      <c r="J550" t="s">
        <v>1386</v>
      </c>
      <c r="K550" t="s">
        <v>25</v>
      </c>
      <c r="L550">
        <v>50</v>
      </c>
      <c r="M550" t="s">
        <v>1383</v>
      </c>
      <c r="N550" t="s">
        <v>25</v>
      </c>
    </row>
    <row r="551" spans="1:14" x14ac:dyDescent="0.25">
      <c r="A551">
        <v>6</v>
      </c>
      <c r="B551" t="s">
        <v>167</v>
      </c>
      <c r="C551" t="str">
        <f>HYPERLINK("http://www.ncbi.nlm.nih.gov/protein/NXL42791.1","NXL42791.1")</f>
        <v>NXL42791.1</v>
      </c>
      <c r="D551">
        <v>14232</v>
      </c>
      <c r="E551" t="str">
        <f>HYPERLINK("http://www.ncbi.nlm.nih.gov/Taxonomy/Browser/wwwtax.cgi?mode=Info&amp;id=9252&amp;lvl=3&amp;lin=f&amp;keep=1&amp;srchmode=1&amp;unlock","9252")</f>
        <v>9252</v>
      </c>
      <c r="F551" t="s">
        <v>167</v>
      </c>
      <c r="G551" t="str">
        <f>HYPERLINK("http://www.ncbi.nlm.nih.gov/Taxonomy/Browser/wwwtax.cgi?mode=Info&amp;id=9252&amp;lvl=3&amp;lin=f&amp;keep=1&amp;srchmode=1&amp;unlock","Podilymbus podiceps")</f>
        <v>Podilymbus podiceps</v>
      </c>
      <c r="H551" t="s">
        <v>604</v>
      </c>
      <c r="I551" t="str">
        <f>HYPERLINK("http://www.ncbi.nlm.nih.gov/protein/NXL42791.1","FABPL protein")</f>
        <v>FABPL protein</v>
      </c>
      <c r="J551" t="s">
        <v>1386</v>
      </c>
      <c r="K551" t="s">
        <v>25</v>
      </c>
      <c r="L551">
        <v>50</v>
      </c>
      <c r="M551" t="s">
        <v>1383</v>
      </c>
      <c r="N551" t="s">
        <v>25</v>
      </c>
    </row>
    <row r="552" spans="1:14" x14ac:dyDescent="0.25">
      <c r="A552">
        <v>6</v>
      </c>
      <c r="B552" t="s">
        <v>167</v>
      </c>
      <c r="C552" t="str">
        <f>HYPERLINK("http://www.ncbi.nlm.nih.gov/protein/NWI20487.1","NWI20487.1")</f>
        <v>NWI20487.1</v>
      </c>
      <c r="D552">
        <v>14222</v>
      </c>
      <c r="E552" t="str">
        <f>HYPERLINK("http://www.ncbi.nlm.nih.gov/Taxonomy/Browser/wwwtax.cgi?mode=Info&amp;id=458187&amp;lvl=3&amp;lin=f&amp;keep=1&amp;srchmode=1&amp;unlock","458187")</f>
        <v>458187</v>
      </c>
      <c r="F552" t="s">
        <v>167</v>
      </c>
      <c r="G552" t="str">
        <f>HYPERLINK("http://www.ncbi.nlm.nih.gov/Taxonomy/Browser/wwwtax.cgi?mode=Info&amp;id=458187&amp;lvl=3&amp;lin=f&amp;keep=1&amp;srchmode=1&amp;unlock","Crypturellus soui")</f>
        <v>Crypturellus soui</v>
      </c>
      <c r="H552" t="s">
        <v>196</v>
      </c>
      <c r="I552" t="str">
        <f>HYPERLINK("http://www.ncbi.nlm.nih.gov/protein/NWI20487.1","FABPL protein")</f>
        <v>FABPL protein</v>
      </c>
      <c r="J552" t="s">
        <v>1386</v>
      </c>
      <c r="K552" t="s">
        <v>25</v>
      </c>
      <c r="L552">
        <v>50</v>
      </c>
      <c r="M552" t="s">
        <v>1382</v>
      </c>
      <c r="N552" t="s">
        <v>25</v>
      </c>
    </row>
    <row r="553" spans="1:14" x14ac:dyDescent="0.25">
      <c r="A553">
        <v>6</v>
      </c>
      <c r="B553" t="s">
        <v>167</v>
      </c>
      <c r="C553" t="str">
        <f>HYPERLINK("http://www.ncbi.nlm.nih.gov/protein/NXL61776.1","NXL61776.1")</f>
        <v>NXL61776.1</v>
      </c>
      <c r="D553">
        <v>14052</v>
      </c>
      <c r="E553" t="str">
        <f>HYPERLINK("http://www.ncbi.nlm.nih.gov/Taxonomy/Browser/wwwtax.cgi?mode=Info&amp;id=118183&amp;lvl=3&amp;lin=f&amp;keep=1&amp;srchmode=1&amp;unlock","118183")</f>
        <v>118183</v>
      </c>
      <c r="F553" t="s">
        <v>167</v>
      </c>
      <c r="G553" t="str">
        <f>HYPERLINK("http://www.ncbi.nlm.nih.gov/Taxonomy/Browser/wwwtax.cgi?mode=Info&amp;id=118183&amp;lvl=3&amp;lin=f&amp;keep=1&amp;srchmode=1&amp;unlock","Chordeiles acutipennis")</f>
        <v>Chordeiles acutipennis</v>
      </c>
      <c r="H553" t="s">
        <v>610</v>
      </c>
      <c r="I553" t="str">
        <f>HYPERLINK("http://www.ncbi.nlm.nih.gov/protein/NXL61776.1","FABPL protein")</f>
        <v>FABPL protein</v>
      </c>
      <c r="J553" t="s">
        <v>1386</v>
      </c>
      <c r="K553" t="s">
        <v>25</v>
      </c>
      <c r="L553">
        <v>50</v>
      </c>
      <c r="M553" t="s">
        <v>1379</v>
      </c>
      <c r="N553" t="s">
        <v>25</v>
      </c>
    </row>
    <row r="554" spans="1:14" x14ac:dyDescent="0.25">
      <c r="A554">
        <v>6</v>
      </c>
      <c r="B554" t="s">
        <v>167</v>
      </c>
      <c r="C554" t="str">
        <f>HYPERLINK("http://www.ncbi.nlm.nih.gov/protein/NWU61037.1","NWU61037.1")</f>
        <v>NWU61037.1</v>
      </c>
      <c r="D554">
        <v>13883</v>
      </c>
      <c r="E554" t="str">
        <f>HYPERLINK("http://www.ncbi.nlm.nih.gov/Taxonomy/Browser/wwwtax.cgi?mode=Info&amp;id=2585816&amp;lvl=3&amp;lin=f&amp;keep=1&amp;srchmode=1&amp;unlock","2585816")</f>
        <v>2585816</v>
      </c>
      <c r="F554" t="s">
        <v>167</v>
      </c>
      <c r="G554" t="str">
        <f>HYPERLINK("http://www.ncbi.nlm.nih.gov/Taxonomy/Browser/wwwtax.cgi?mode=Info&amp;id=2585816&amp;lvl=3&amp;lin=f&amp;keep=1&amp;srchmode=1&amp;unlock","Pterocles burchelli")</f>
        <v>Pterocles burchelli</v>
      </c>
      <c r="H554" t="s">
        <v>217</v>
      </c>
      <c r="I554" t="str">
        <f>HYPERLINK("http://www.ncbi.nlm.nih.gov/protein/NWU61037.1","FABPL protein")</f>
        <v>FABPL protein</v>
      </c>
      <c r="J554" t="s">
        <v>1386</v>
      </c>
      <c r="K554" t="s">
        <v>25</v>
      </c>
      <c r="L554">
        <v>50</v>
      </c>
      <c r="M554" t="s">
        <v>1379</v>
      </c>
      <c r="N554" t="s">
        <v>25</v>
      </c>
    </row>
    <row r="555" spans="1:14" x14ac:dyDescent="0.25">
      <c r="A555">
        <v>6</v>
      </c>
      <c r="B555" t="s">
        <v>167</v>
      </c>
      <c r="C555" t="str">
        <f>HYPERLINK("http://www.ncbi.nlm.nih.gov/protein/AGU27162.1","AGU27162.1")</f>
        <v>AGU27162.1</v>
      </c>
      <c r="D555">
        <v>30</v>
      </c>
      <c r="E555" t="str">
        <f>HYPERLINK("http://www.ncbi.nlm.nih.gov/Taxonomy/Browser/wwwtax.cgi?mode=Info&amp;id=8847&amp;lvl=3&amp;lin=f&amp;keep=1&amp;srchmode=1&amp;unlock","8847")</f>
        <v>8847</v>
      </c>
      <c r="F555" t="s">
        <v>167</v>
      </c>
      <c r="G555" t="str">
        <f>HYPERLINK("http://www.ncbi.nlm.nih.gov/Taxonomy/Browser/wwwtax.cgi?mode=Info&amp;id=8847&amp;lvl=3&amp;lin=f&amp;keep=1&amp;srchmode=1&amp;unlock","Anser sp.")</f>
        <v>Anser sp.</v>
      </c>
      <c r="H555" t="s">
        <v>689</v>
      </c>
      <c r="I555" t="str">
        <f>HYPERLINK("http://www.ncbi.nlm.nih.gov/protein/AGU27162.1","liver basic fatty acid binding protein")</f>
        <v>liver basic fatty acid binding protein</v>
      </c>
      <c r="J555" t="s">
        <v>1386</v>
      </c>
      <c r="K555" t="s">
        <v>25</v>
      </c>
      <c r="L555">
        <v>50</v>
      </c>
      <c r="M555" t="s">
        <v>1379</v>
      </c>
      <c r="N555" t="s">
        <v>25</v>
      </c>
    </row>
    <row r="556" spans="1:14" x14ac:dyDescent="0.25">
      <c r="A556">
        <v>6</v>
      </c>
      <c r="B556" t="s">
        <v>236</v>
      </c>
      <c r="C556" t="str">
        <f>HYPERLINK("http://www.ncbi.nlm.nih.gov/protein/XP_007432447.1","XP_007432447.1")</f>
        <v>XP_007432447.1</v>
      </c>
      <c r="D556">
        <v>32860</v>
      </c>
      <c r="E556" t="str">
        <f>HYPERLINK("http://www.ncbi.nlm.nih.gov/Taxonomy/Browser/wwwtax.cgi?mode=Info&amp;id=176946&amp;lvl=3&amp;lin=f&amp;keep=1&amp;srchmode=1&amp;unlock","176946")</f>
        <v>176946</v>
      </c>
      <c r="F556" t="s">
        <v>236</v>
      </c>
      <c r="G556" t="str">
        <f>HYPERLINK("http://www.ncbi.nlm.nih.gov/Taxonomy/Browser/wwwtax.cgi?mode=Info&amp;id=176946&amp;lvl=3&amp;lin=f&amp;keep=1&amp;srchmode=1&amp;unlock","Python bivittatus")</f>
        <v>Python bivittatus</v>
      </c>
      <c r="H556" t="s">
        <v>237</v>
      </c>
      <c r="I556" t="str">
        <f>HYPERLINK("http://www.ncbi.nlm.nih.gov/protein/XP_007432447.1","fatty acid-binding protein, liver")</f>
        <v>fatty acid-binding protein, liver</v>
      </c>
      <c r="J556" t="s">
        <v>1387</v>
      </c>
      <c r="K556" t="s">
        <v>25</v>
      </c>
      <c r="L556">
        <v>50</v>
      </c>
      <c r="M556" t="s">
        <v>1379</v>
      </c>
      <c r="N556" t="s">
        <v>25</v>
      </c>
    </row>
    <row r="557" spans="1:14" x14ac:dyDescent="0.25">
      <c r="A557">
        <v>6</v>
      </c>
      <c r="B557" t="s">
        <v>236</v>
      </c>
      <c r="C557" t="str">
        <f>HYPERLINK("http://www.ncbi.nlm.nih.gov/protein/KAF7239039.1","KAF7239039.1")</f>
        <v>KAF7239039.1</v>
      </c>
      <c r="D557">
        <v>18342</v>
      </c>
      <c r="E557" t="str">
        <f>HYPERLINK("http://www.ncbi.nlm.nih.gov/Taxonomy/Browser/wwwtax.cgi?mode=Info&amp;id=61221&amp;lvl=3&amp;lin=f&amp;keep=1&amp;srchmode=1&amp;unlock","61221")</f>
        <v>61221</v>
      </c>
      <c r="F557" t="s">
        <v>236</v>
      </c>
      <c r="G557" t="str">
        <f>HYPERLINK("http://www.ncbi.nlm.nih.gov/Taxonomy/Browser/wwwtax.cgi?mode=Info&amp;id=61221&amp;lvl=3&amp;lin=f&amp;keep=1&amp;srchmode=1&amp;unlock","Varanus komodoensis")</f>
        <v>Varanus komodoensis</v>
      </c>
      <c r="H557" t="s">
        <v>333</v>
      </c>
      <c r="I557" t="str">
        <f>HYPERLINK("http://www.ncbi.nlm.nih.gov/protein/KAF7239039.1","Fatty acid-binding protein, liver")</f>
        <v>Fatty acid-binding protein, liver</v>
      </c>
      <c r="J557" t="s">
        <v>1387</v>
      </c>
      <c r="K557" t="s">
        <v>25</v>
      </c>
      <c r="L557">
        <v>186</v>
      </c>
      <c r="M557" t="s">
        <v>1379</v>
      </c>
      <c r="N557" t="s">
        <v>25</v>
      </c>
    </row>
    <row r="558" spans="1:14" x14ac:dyDescent="0.25">
      <c r="A558">
        <v>6</v>
      </c>
      <c r="B558" t="s">
        <v>236</v>
      </c>
      <c r="C558" t="str">
        <f>HYPERLINK("http://www.ncbi.nlm.nih.gov/protein/XP_033025570.1","XP_033025570.1")</f>
        <v>XP_033025570.1</v>
      </c>
      <c r="D558">
        <v>39496</v>
      </c>
      <c r="E558" t="str">
        <f>HYPERLINK("http://www.ncbi.nlm.nih.gov/Taxonomy/Browser/wwwtax.cgi?mode=Info&amp;id=80427&amp;lvl=3&amp;lin=f&amp;keep=1&amp;srchmode=1&amp;unlock","80427")</f>
        <v>80427</v>
      </c>
      <c r="F558" t="s">
        <v>236</v>
      </c>
      <c r="G558" t="str">
        <f>HYPERLINK("http://www.ncbi.nlm.nih.gov/Taxonomy/Browser/wwwtax.cgi?mode=Info&amp;id=80427&amp;lvl=3&amp;lin=f&amp;keep=1&amp;srchmode=1&amp;unlock","Lacerta agilis")</f>
        <v>Lacerta agilis</v>
      </c>
      <c r="H558" t="s">
        <v>392</v>
      </c>
      <c r="I558" t="str">
        <f>HYPERLINK("http://www.ncbi.nlm.nih.gov/protein/XP_033025570.1","fatty acid-binding protein, liver")</f>
        <v>fatty acid-binding protein, liver</v>
      </c>
      <c r="J558" t="s">
        <v>1387</v>
      </c>
      <c r="K558" t="s">
        <v>25</v>
      </c>
      <c r="L558">
        <v>50</v>
      </c>
      <c r="M558" t="s">
        <v>1379</v>
      </c>
      <c r="N558" t="s">
        <v>25</v>
      </c>
    </row>
    <row r="559" spans="1:14" x14ac:dyDescent="0.25">
      <c r="A559">
        <v>6</v>
      </c>
      <c r="B559" t="s">
        <v>236</v>
      </c>
      <c r="C559" t="str">
        <f>HYPERLINK("http://www.ncbi.nlm.nih.gov/protein/XP_034991597.1","XP_034991597.1")</f>
        <v>XP_034991597.1</v>
      </c>
      <c r="D559">
        <v>44583</v>
      </c>
      <c r="E559" t="str">
        <f>HYPERLINK("http://www.ncbi.nlm.nih.gov/Taxonomy/Browser/wwwtax.cgi?mode=Info&amp;id=8524&amp;lvl=3&amp;lin=f&amp;keep=1&amp;srchmode=1&amp;unlock","8524")</f>
        <v>8524</v>
      </c>
      <c r="F559" t="s">
        <v>236</v>
      </c>
      <c r="G559" t="str">
        <f>HYPERLINK("http://www.ncbi.nlm.nih.gov/Taxonomy/Browser/wwwtax.cgi?mode=Info&amp;id=8524&amp;lvl=3&amp;lin=f&amp;keep=1&amp;srchmode=1&amp;unlock","Zootoca vivipara")</f>
        <v>Zootoca vivipara</v>
      </c>
      <c r="H559" t="s">
        <v>401</v>
      </c>
      <c r="I559" t="str">
        <f>HYPERLINK("http://www.ncbi.nlm.nih.gov/protein/XP_034991597.1","fatty acid-binding protein, liver")</f>
        <v>fatty acid-binding protein, liver</v>
      </c>
      <c r="J559" t="s">
        <v>1387</v>
      </c>
      <c r="K559" t="s">
        <v>25</v>
      </c>
      <c r="L559">
        <v>50</v>
      </c>
      <c r="M559" t="s">
        <v>1379</v>
      </c>
      <c r="N559" t="s">
        <v>25</v>
      </c>
    </row>
    <row r="560" spans="1:14" x14ac:dyDescent="0.25">
      <c r="A560">
        <v>6</v>
      </c>
      <c r="B560" t="s">
        <v>236</v>
      </c>
      <c r="C560" t="str">
        <f>HYPERLINK("http://www.ncbi.nlm.nih.gov/protein/XP_028559825.1","XP_028559825.1")</f>
        <v>XP_028559825.1</v>
      </c>
      <c r="D560">
        <v>51243</v>
      </c>
      <c r="E560" t="str">
        <f>HYPERLINK("http://www.ncbi.nlm.nih.gov/Taxonomy/Browser/wwwtax.cgi?mode=Info&amp;id=64176&amp;lvl=3&amp;lin=f&amp;keep=1&amp;srchmode=1&amp;unlock","64176")</f>
        <v>64176</v>
      </c>
      <c r="F560" t="s">
        <v>236</v>
      </c>
      <c r="G560" t="str">
        <f>HYPERLINK("http://www.ncbi.nlm.nih.gov/Taxonomy/Browser/wwwtax.cgi?mode=Info&amp;id=64176&amp;lvl=3&amp;lin=f&amp;keep=1&amp;srchmode=1&amp;unlock","Podarcis muralis")</f>
        <v>Podarcis muralis</v>
      </c>
      <c r="H560" t="s">
        <v>420</v>
      </c>
      <c r="I560" t="str">
        <f>HYPERLINK("http://www.ncbi.nlm.nih.gov/protein/XP_028559825.1","fatty acid-binding protein, liver")</f>
        <v>fatty acid-binding protein, liver</v>
      </c>
      <c r="J560" t="s">
        <v>1387</v>
      </c>
      <c r="K560" t="s">
        <v>25</v>
      </c>
      <c r="L560">
        <v>50</v>
      </c>
      <c r="M560" t="s">
        <v>1379</v>
      </c>
      <c r="N560" t="s">
        <v>25</v>
      </c>
    </row>
    <row r="561" spans="1:14" x14ac:dyDescent="0.25">
      <c r="A561">
        <v>6</v>
      </c>
      <c r="B561" t="s">
        <v>236</v>
      </c>
      <c r="C561" t="str">
        <f>HYPERLINK("http://www.ncbi.nlm.nih.gov/protein/XP_003222417.1","XP_003222417.1")</f>
        <v>XP_003222417.1</v>
      </c>
      <c r="D561">
        <v>35704</v>
      </c>
      <c r="E561" t="str">
        <f>HYPERLINK("http://www.ncbi.nlm.nih.gov/Taxonomy/Browser/wwwtax.cgi?mode=Info&amp;id=28377&amp;lvl=3&amp;lin=f&amp;keep=1&amp;srchmode=1&amp;unlock","28377")</f>
        <v>28377</v>
      </c>
      <c r="F561" t="s">
        <v>236</v>
      </c>
      <c r="G561" t="str">
        <f>HYPERLINK("http://www.ncbi.nlm.nih.gov/Taxonomy/Browser/wwwtax.cgi?mode=Info&amp;id=28377&amp;lvl=3&amp;lin=f&amp;keep=1&amp;srchmode=1&amp;unlock","Anolis carolinensis")</f>
        <v>Anolis carolinensis</v>
      </c>
      <c r="H561" t="s">
        <v>474</v>
      </c>
      <c r="I561" t="str">
        <f>HYPERLINK("http://www.ncbi.nlm.nih.gov/protein/XP_003222417.1","PREDICTED: fatty acid-binding protein, liver")</f>
        <v>PREDICTED: fatty acid-binding protein, liver</v>
      </c>
      <c r="J561" t="s">
        <v>1387</v>
      </c>
      <c r="K561" t="s">
        <v>25</v>
      </c>
      <c r="L561">
        <v>50</v>
      </c>
      <c r="M561" t="s">
        <v>1379</v>
      </c>
      <c r="N561" t="s">
        <v>25</v>
      </c>
    </row>
    <row r="562" spans="1:14" x14ac:dyDescent="0.25">
      <c r="A562">
        <v>6</v>
      </c>
      <c r="B562" t="s">
        <v>236</v>
      </c>
      <c r="C562" t="str">
        <f>HYPERLINK("http://www.ncbi.nlm.nih.gov/protein/XP_020662870.1","XP_020662870.1")</f>
        <v>XP_020662870.1</v>
      </c>
      <c r="D562">
        <v>38807</v>
      </c>
      <c r="E562" t="str">
        <f>HYPERLINK("http://www.ncbi.nlm.nih.gov/Taxonomy/Browser/wwwtax.cgi?mode=Info&amp;id=103695&amp;lvl=3&amp;lin=f&amp;keep=1&amp;srchmode=1&amp;unlock","103695")</f>
        <v>103695</v>
      </c>
      <c r="F562" t="s">
        <v>236</v>
      </c>
      <c r="G562" t="str">
        <f>HYPERLINK("http://www.ncbi.nlm.nih.gov/Taxonomy/Browser/wwwtax.cgi?mode=Info&amp;id=103695&amp;lvl=3&amp;lin=f&amp;keep=1&amp;srchmode=1&amp;unlock","Pogona vitticeps")</f>
        <v>Pogona vitticeps</v>
      </c>
      <c r="H562" t="s">
        <v>618</v>
      </c>
      <c r="I562" t="str">
        <f>HYPERLINK("http://www.ncbi.nlm.nih.gov/protein/XP_020662870.1","fatty acid-binding protein, liver")</f>
        <v>fatty acid-binding protein, liver</v>
      </c>
      <c r="J562" t="s">
        <v>1387</v>
      </c>
      <c r="K562" t="s">
        <v>25</v>
      </c>
      <c r="L562">
        <v>50</v>
      </c>
      <c r="M562" t="s">
        <v>1379</v>
      </c>
      <c r="N562" t="s">
        <v>25</v>
      </c>
    </row>
    <row r="563" spans="1:14" x14ac:dyDescent="0.25">
      <c r="A563">
        <v>6</v>
      </c>
      <c r="B563" t="s">
        <v>236</v>
      </c>
      <c r="C563" t="str">
        <f>HYPERLINK("http://www.ncbi.nlm.nih.gov/protein/Q90239.3","Q90239.3")</f>
        <v>Q90239.3</v>
      </c>
      <c r="D563">
        <v>393</v>
      </c>
      <c r="E563" t="str">
        <f>HYPERLINK("http://www.ncbi.nlm.nih.gov/Taxonomy/Browser/wwwtax.cgi?mode=Info&amp;id=40675&amp;lvl=3&amp;lin=f&amp;keep=1&amp;srchmode=1&amp;unlock","40675")</f>
        <v>40675</v>
      </c>
      <c r="F563" t="s">
        <v>236</v>
      </c>
      <c r="G563" t="str">
        <f>HYPERLINK("http://www.ncbi.nlm.nih.gov/Taxonomy/Browser/wwwtax.cgi?mode=Info&amp;id=40675&amp;lvl=3&amp;lin=f&amp;keep=1&amp;srchmode=1&amp;unlock","Anolis pulchellus")</f>
        <v>Anolis pulchellus</v>
      </c>
      <c r="H563" t="s">
        <v>677</v>
      </c>
      <c r="I563" t="str">
        <f>HYPERLINK("http://www.ncbi.nlm.nih.gov/protein/Q90239.3","RecName: Full=Fatty acid-binding protein, liver; AltName: Full=Liver basic FABP; Short=LB-FABP; AltName: Full=Liver-type fatty acid-binding protein; Short=L-FABP")</f>
        <v>RecName: Full=Fatty acid-binding protein, liver; AltName: Full=Liver basic FABP; Short=LB-FABP; AltName: Full=Liver-type fatty acid-binding protein; Short=L-FABP</v>
      </c>
      <c r="J563" t="s">
        <v>1387</v>
      </c>
      <c r="K563" t="s">
        <v>25</v>
      </c>
      <c r="L563">
        <v>50</v>
      </c>
      <c r="M563" t="s">
        <v>1379</v>
      </c>
      <c r="N563" t="s">
        <v>25</v>
      </c>
    </row>
    <row r="564" spans="1:14" x14ac:dyDescent="0.25">
      <c r="A564">
        <v>6</v>
      </c>
      <c r="B564" t="s">
        <v>321</v>
      </c>
      <c r="C564" t="str">
        <f>HYPERLINK("http://www.ncbi.nlm.nih.gov/protein/XP_026503896.1","XP_026503896.1")</f>
        <v>XP_026503896.1</v>
      </c>
      <c r="D564">
        <v>34224</v>
      </c>
      <c r="E564" t="str">
        <f>HYPERLINK("http://www.ncbi.nlm.nih.gov/Taxonomy/Browser/wwwtax.cgi?mode=Info&amp;id=2587831&amp;lvl=3&amp;lin=f&amp;keep=1&amp;srchmode=1&amp;unlock","2587831")</f>
        <v>2587831</v>
      </c>
      <c r="F564" t="s">
        <v>321</v>
      </c>
      <c r="G564" t="str">
        <f>HYPERLINK("http://www.ncbi.nlm.nih.gov/Taxonomy/Browser/wwwtax.cgi?mode=Info&amp;id=2587831&amp;lvl=3&amp;lin=f&amp;keep=1&amp;srchmode=1&amp;unlock","Terrapene carolina triunguis")</f>
        <v>Terrapene carolina triunguis</v>
      </c>
      <c r="H564" t="s">
        <v>322</v>
      </c>
      <c r="I564" t="str">
        <f>HYPERLINK("http://www.ncbi.nlm.nih.gov/protein/XP_026503896.1","fatty acid-binding protein, liver")</f>
        <v>fatty acid-binding protein, liver</v>
      </c>
      <c r="J564" t="s">
        <v>1388</v>
      </c>
      <c r="K564" t="s">
        <v>25</v>
      </c>
      <c r="L564">
        <v>50</v>
      </c>
      <c r="M564" t="s">
        <v>1379</v>
      </c>
      <c r="N564" t="s">
        <v>25</v>
      </c>
    </row>
    <row r="565" spans="1:14" x14ac:dyDescent="0.25">
      <c r="A565">
        <v>6</v>
      </c>
      <c r="B565" t="s">
        <v>321</v>
      </c>
      <c r="C565" t="str">
        <f>HYPERLINK("http://www.ncbi.nlm.nih.gov/protein/XP_032632769.1","XP_032632769.1")</f>
        <v>XP_032632769.1</v>
      </c>
      <c r="D565">
        <v>44406</v>
      </c>
      <c r="E565" t="str">
        <f>HYPERLINK("http://www.ncbi.nlm.nih.gov/Taxonomy/Browser/wwwtax.cgi?mode=Info&amp;id=106734&amp;lvl=3&amp;lin=f&amp;keep=1&amp;srchmode=1&amp;unlock","106734")</f>
        <v>106734</v>
      </c>
      <c r="F565" t="s">
        <v>321</v>
      </c>
      <c r="G565" t="str">
        <f>HYPERLINK("http://www.ncbi.nlm.nih.gov/Taxonomy/Browser/wwwtax.cgi?mode=Info&amp;id=106734&amp;lvl=3&amp;lin=f&amp;keep=1&amp;srchmode=1&amp;unlock","Chelonoidis abingdonii")</f>
        <v>Chelonoidis abingdonii</v>
      </c>
      <c r="H565" t="s">
        <v>330</v>
      </c>
      <c r="I565" t="str">
        <f>HYPERLINK("http://www.ncbi.nlm.nih.gov/protein/XP_032632769.1","fatty acid-binding protein, liver")</f>
        <v>fatty acid-binding protein, liver</v>
      </c>
      <c r="J565" t="s">
        <v>1388</v>
      </c>
      <c r="K565" t="s">
        <v>25</v>
      </c>
      <c r="L565">
        <v>50</v>
      </c>
      <c r="M565" t="s">
        <v>1379</v>
      </c>
      <c r="N565" t="s">
        <v>25</v>
      </c>
    </row>
    <row r="566" spans="1:14" x14ac:dyDescent="0.25">
      <c r="A566">
        <v>6</v>
      </c>
      <c r="B566" t="s">
        <v>321</v>
      </c>
      <c r="C566" t="str">
        <f>HYPERLINK("http://www.ncbi.nlm.nih.gov/protein/XP_023962249.1","XP_023962249.1")</f>
        <v>XP_023962249.1</v>
      </c>
      <c r="D566">
        <v>46669</v>
      </c>
      <c r="E566" t="str">
        <f>HYPERLINK("http://www.ncbi.nlm.nih.gov/Taxonomy/Browser/wwwtax.cgi?mode=Info&amp;id=8478&amp;lvl=3&amp;lin=f&amp;keep=1&amp;srchmode=1&amp;unlock","8478")</f>
        <v>8478</v>
      </c>
      <c r="F566" t="s">
        <v>321</v>
      </c>
      <c r="G566" t="str">
        <f>HYPERLINK("http://www.ncbi.nlm.nih.gov/Taxonomy/Browser/wwwtax.cgi?mode=Info&amp;id=8478&amp;lvl=3&amp;lin=f&amp;keep=1&amp;srchmode=1&amp;unlock","Chrysemys picta bellii")</f>
        <v>Chrysemys picta bellii</v>
      </c>
      <c r="H566" t="s">
        <v>342</v>
      </c>
      <c r="I566" t="str">
        <f>HYPERLINK("http://www.ncbi.nlm.nih.gov/protein/XP_023962249.1","fatty acid-binding protein, liver")</f>
        <v>fatty acid-binding protein, liver</v>
      </c>
      <c r="J566" t="s">
        <v>1388</v>
      </c>
      <c r="K566" t="s">
        <v>25</v>
      </c>
      <c r="L566">
        <v>50</v>
      </c>
      <c r="M566" t="s">
        <v>1379</v>
      </c>
      <c r="N566" t="s">
        <v>25</v>
      </c>
    </row>
    <row r="567" spans="1:14" x14ac:dyDescent="0.25">
      <c r="A567">
        <v>6</v>
      </c>
      <c r="B567" t="s">
        <v>321</v>
      </c>
      <c r="C567" t="str">
        <f>HYPERLINK("http://www.ncbi.nlm.nih.gov/protein/XP_034627747.1","XP_034627747.1")</f>
        <v>XP_034627747.1</v>
      </c>
      <c r="D567">
        <v>42365</v>
      </c>
      <c r="E567" t="str">
        <f>HYPERLINK("http://www.ncbi.nlm.nih.gov/Taxonomy/Browser/wwwtax.cgi?mode=Info&amp;id=31138&amp;lvl=3&amp;lin=f&amp;keep=1&amp;srchmode=1&amp;unlock","31138")</f>
        <v>31138</v>
      </c>
      <c r="F567" t="s">
        <v>321</v>
      </c>
      <c r="G567" t="str">
        <f>HYPERLINK("http://www.ncbi.nlm.nih.gov/Taxonomy/Browser/wwwtax.cgi?mode=Info&amp;id=31138&amp;lvl=3&amp;lin=f&amp;keep=1&amp;srchmode=1&amp;unlock","Trachemys scripta elegans")</f>
        <v>Trachemys scripta elegans</v>
      </c>
      <c r="H567" t="s">
        <v>343</v>
      </c>
      <c r="I567" t="str">
        <f>HYPERLINK("http://www.ncbi.nlm.nih.gov/protein/XP_034627747.1","fatty acid-binding protein, liver")</f>
        <v>fatty acid-binding protein, liver</v>
      </c>
      <c r="J567" t="s">
        <v>1388</v>
      </c>
      <c r="K567" t="s">
        <v>25</v>
      </c>
      <c r="L567">
        <v>50</v>
      </c>
      <c r="M567" t="s">
        <v>1379</v>
      </c>
      <c r="N567" t="s">
        <v>25</v>
      </c>
    </row>
    <row r="568" spans="1:14" x14ac:dyDescent="0.25">
      <c r="A568">
        <v>6</v>
      </c>
      <c r="B568" t="s">
        <v>321</v>
      </c>
      <c r="C568" t="str">
        <f>HYPERLINK("http://www.ncbi.nlm.nih.gov/protein/XP_007063779.1","XP_007063779.1")</f>
        <v>XP_007063779.1</v>
      </c>
      <c r="D568">
        <v>69371</v>
      </c>
      <c r="E568" t="str">
        <f>HYPERLINK("http://www.ncbi.nlm.nih.gov/Taxonomy/Browser/wwwtax.cgi?mode=Info&amp;id=8469&amp;lvl=3&amp;lin=f&amp;keep=1&amp;srchmode=1&amp;unlock","8469")</f>
        <v>8469</v>
      </c>
      <c r="F568" t="s">
        <v>321</v>
      </c>
      <c r="G568" t="str">
        <f>HYPERLINK("http://www.ncbi.nlm.nih.gov/Taxonomy/Browser/wwwtax.cgi?mode=Info&amp;id=8469&amp;lvl=3&amp;lin=f&amp;keep=1&amp;srchmode=1&amp;unlock","Chelonia mydas")</f>
        <v>Chelonia mydas</v>
      </c>
      <c r="H568" t="s">
        <v>349</v>
      </c>
      <c r="I568" t="str">
        <f>HYPERLINK("http://www.ncbi.nlm.nih.gov/protein/XP_007063779.1","fatty acid-binding protein, liver")</f>
        <v>fatty acid-binding protein, liver</v>
      </c>
      <c r="J568" t="s">
        <v>1388</v>
      </c>
      <c r="K568" t="s">
        <v>25</v>
      </c>
      <c r="L568">
        <v>50</v>
      </c>
      <c r="M568" t="s">
        <v>1379</v>
      </c>
      <c r="N568" t="s">
        <v>25</v>
      </c>
    </row>
    <row r="569" spans="1:14" x14ac:dyDescent="0.25">
      <c r="A569">
        <v>6</v>
      </c>
      <c r="B569" t="s">
        <v>321</v>
      </c>
      <c r="C569" t="str">
        <f>HYPERLINK("http://www.ncbi.nlm.nih.gov/protein/XP_038256146.1","XP_038256146.1")</f>
        <v>XP_038256146.1</v>
      </c>
      <c r="D569">
        <v>55267</v>
      </c>
      <c r="E569" t="str">
        <f>HYPERLINK("http://www.ncbi.nlm.nih.gov/Taxonomy/Browser/wwwtax.cgi?mode=Info&amp;id=27794&amp;lvl=3&amp;lin=f&amp;keep=1&amp;srchmode=1&amp;unlock","27794")</f>
        <v>27794</v>
      </c>
      <c r="F569" t="s">
        <v>321</v>
      </c>
      <c r="G569" t="str">
        <f>HYPERLINK("http://www.ncbi.nlm.nih.gov/Taxonomy/Browser/wwwtax.cgi?mode=Info&amp;id=27794&amp;lvl=3&amp;lin=f&amp;keep=1&amp;srchmode=1&amp;unlock","Dermochelys coriacea")</f>
        <v>Dermochelys coriacea</v>
      </c>
      <c r="H569" t="s">
        <v>361</v>
      </c>
      <c r="I569" t="str">
        <f>HYPERLINK("http://www.ncbi.nlm.nih.gov/protein/XP_038256146.1","fatty acid-binding protein, liver")</f>
        <v>fatty acid-binding protein, liver</v>
      </c>
      <c r="J569" t="s">
        <v>1388</v>
      </c>
      <c r="K569" t="s">
        <v>25</v>
      </c>
      <c r="L569">
        <v>50</v>
      </c>
      <c r="M569" t="s">
        <v>1379</v>
      </c>
      <c r="N569" t="s">
        <v>25</v>
      </c>
    </row>
    <row r="570" spans="1:14" x14ac:dyDescent="0.25">
      <c r="A570">
        <v>6</v>
      </c>
      <c r="B570" t="s">
        <v>321</v>
      </c>
      <c r="C570" t="str">
        <f>HYPERLINK("http://www.ncbi.nlm.nih.gov/protein/XP_039397690.1","XP_039397690.1")</f>
        <v>XP_039397690.1</v>
      </c>
      <c r="D570">
        <v>67728</v>
      </c>
      <c r="E570" t="str">
        <f>HYPERLINK("http://www.ncbi.nlm.nih.gov/Taxonomy/Browser/wwwtax.cgi?mode=Info&amp;id=260615&amp;lvl=3&amp;lin=f&amp;keep=1&amp;srchmode=1&amp;unlock","260615")</f>
        <v>260615</v>
      </c>
      <c r="F570" t="s">
        <v>321</v>
      </c>
      <c r="G570" t="str">
        <f>HYPERLINK("http://www.ncbi.nlm.nih.gov/Taxonomy/Browser/wwwtax.cgi?mode=Info&amp;id=260615&amp;lvl=3&amp;lin=f&amp;keep=1&amp;srchmode=1&amp;unlock","Mauremys reevesii")</f>
        <v>Mauremys reevesii</v>
      </c>
      <c r="H570" t="s">
        <v>362</v>
      </c>
      <c r="I570" t="str">
        <f>HYPERLINK("http://www.ncbi.nlm.nih.gov/protein/XP_039397690.1","fatty acid-binding protein, liver")</f>
        <v>fatty acid-binding protein, liver</v>
      </c>
      <c r="J570" t="s">
        <v>1388</v>
      </c>
      <c r="K570" t="s">
        <v>25</v>
      </c>
      <c r="L570">
        <v>50</v>
      </c>
      <c r="M570" t="s">
        <v>1379</v>
      </c>
      <c r="N570" t="s">
        <v>25</v>
      </c>
    </row>
    <row r="571" spans="1:14" x14ac:dyDescent="0.25">
      <c r="A571">
        <v>6</v>
      </c>
      <c r="B571" t="s">
        <v>321</v>
      </c>
      <c r="C571" t="str">
        <f>HYPERLINK("http://www.ncbi.nlm.nih.gov/protein/XP_006111673.1","XP_006111673.1")</f>
        <v>XP_006111673.1</v>
      </c>
      <c r="D571">
        <v>39171</v>
      </c>
      <c r="E571" t="str">
        <f>HYPERLINK("http://www.ncbi.nlm.nih.gov/Taxonomy/Browser/wwwtax.cgi?mode=Info&amp;id=13735&amp;lvl=3&amp;lin=f&amp;keep=1&amp;srchmode=1&amp;unlock","13735")</f>
        <v>13735</v>
      </c>
      <c r="F571" t="s">
        <v>321</v>
      </c>
      <c r="G571" t="str">
        <f>HYPERLINK("http://www.ncbi.nlm.nih.gov/Taxonomy/Browser/wwwtax.cgi?mode=Info&amp;id=13735&amp;lvl=3&amp;lin=f&amp;keep=1&amp;srchmode=1&amp;unlock","Pelodiscus sinensis")</f>
        <v>Pelodiscus sinensis</v>
      </c>
      <c r="H571" t="s">
        <v>386</v>
      </c>
      <c r="I571" t="str">
        <f>HYPERLINK("http://www.ncbi.nlm.nih.gov/protein/XP_006111673.1","fatty acid-binding protein, liver")</f>
        <v>fatty acid-binding protein, liver</v>
      </c>
      <c r="J571" t="s">
        <v>1388</v>
      </c>
      <c r="K571" t="s">
        <v>25</v>
      </c>
      <c r="L571">
        <v>50</v>
      </c>
      <c r="M571" t="s">
        <v>1379</v>
      </c>
      <c r="N571" t="s">
        <v>25</v>
      </c>
    </row>
    <row r="572" spans="1:14" x14ac:dyDescent="0.25">
      <c r="A572">
        <v>6</v>
      </c>
      <c r="B572" t="s">
        <v>321</v>
      </c>
      <c r="C572" t="str">
        <f>HYPERLINK("http://www.ncbi.nlm.nih.gov/protein/XP_030420325.1","XP_030420325.1")</f>
        <v>XP_030420325.1</v>
      </c>
      <c r="D572">
        <v>50866</v>
      </c>
      <c r="E572" t="str">
        <f>HYPERLINK("http://www.ncbi.nlm.nih.gov/Taxonomy/Browser/wwwtax.cgi?mode=Info&amp;id=1825980&amp;lvl=3&amp;lin=f&amp;keep=1&amp;srchmode=1&amp;unlock","1825980")</f>
        <v>1825980</v>
      </c>
      <c r="F572" t="s">
        <v>321</v>
      </c>
      <c r="G572" t="str">
        <f>HYPERLINK("http://www.ncbi.nlm.nih.gov/Taxonomy/Browser/wwwtax.cgi?mode=Info&amp;id=1825980&amp;lvl=3&amp;lin=f&amp;keep=1&amp;srchmode=1&amp;unlock","Gopherus evgoodei")</f>
        <v>Gopherus evgoodei</v>
      </c>
      <c r="H572" t="s">
        <v>398</v>
      </c>
      <c r="I572" t="str">
        <f>HYPERLINK("http://www.ncbi.nlm.nih.gov/protein/XP_030420325.1","fatty acid-binding protein, liver")</f>
        <v>fatty acid-binding protein, liver</v>
      </c>
      <c r="J572" t="s">
        <v>1388</v>
      </c>
      <c r="K572" t="s">
        <v>25</v>
      </c>
      <c r="L572">
        <v>50</v>
      </c>
      <c r="M572" t="s">
        <v>1379</v>
      </c>
      <c r="N572" t="s">
        <v>25</v>
      </c>
    </row>
    <row r="573" spans="1:14" x14ac:dyDescent="0.25">
      <c r="A573">
        <v>6</v>
      </c>
      <c r="B573" t="s">
        <v>371</v>
      </c>
      <c r="C573" t="str">
        <f>HYPERLINK("http://www.ncbi.nlm.nih.gov/protein/XP_006262747.2","XP_006262747.2")</f>
        <v>XP_006262747.2</v>
      </c>
      <c r="D573">
        <v>74714</v>
      </c>
      <c r="E573" t="str">
        <f>HYPERLINK("http://www.ncbi.nlm.nih.gov/Taxonomy/Browser/wwwtax.cgi?mode=Info&amp;id=8496&amp;lvl=3&amp;lin=f&amp;keep=1&amp;srchmode=1&amp;unlock","8496")</f>
        <v>8496</v>
      </c>
      <c r="F573" t="s">
        <v>371</v>
      </c>
      <c r="G573" t="str">
        <f>HYPERLINK("http://www.ncbi.nlm.nih.gov/Taxonomy/Browser/wwwtax.cgi?mode=Info&amp;id=8496&amp;lvl=3&amp;lin=f&amp;keep=1&amp;srchmode=1&amp;unlock","Alligator mississippiensis")</f>
        <v>Alligator mississippiensis</v>
      </c>
      <c r="H573" t="s">
        <v>372</v>
      </c>
      <c r="I573" t="str">
        <f>HYPERLINK("http://www.ncbi.nlm.nih.gov/protein/XP_006262747.2","PREDICTED: fatty acid-binding protein, liver")</f>
        <v>PREDICTED: fatty acid-binding protein, liver</v>
      </c>
      <c r="J573" t="s">
        <v>1389</v>
      </c>
      <c r="K573" t="s">
        <v>20</v>
      </c>
      <c r="L573">
        <v>50</v>
      </c>
      <c r="M573" t="s">
        <v>1380</v>
      </c>
      <c r="N573" t="s">
        <v>20</v>
      </c>
    </row>
    <row r="574" spans="1:14" x14ac:dyDescent="0.25">
      <c r="A574">
        <v>6</v>
      </c>
      <c r="B574" t="s">
        <v>371</v>
      </c>
      <c r="C574" t="str">
        <f>HYPERLINK("http://www.ncbi.nlm.nih.gov/protein/XP_006028696.1","XP_006028696.1")</f>
        <v>XP_006028696.1</v>
      </c>
      <c r="D574">
        <v>43398</v>
      </c>
      <c r="E574" t="str">
        <f>HYPERLINK("http://www.ncbi.nlm.nih.gov/Taxonomy/Browser/wwwtax.cgi?mode=Info&amp;id=38654&amp;lvl=3&amp;lin=f&amp;keep=1&amp;srchmode=1&amp;unlock","38654")</f>
        <v>38654</v>
      </c>
      <c r="F574" t="s">
        <v>371</v>
      </c>
      <c r="G574" t="str">
        <f>HYPERLINK("http://www.ncbi.nlm.nih.gov/Taxonomy/Browser/wwwtax.cgi?mode=Info&amp;id=38654&amp;lvl=3&amp;lin=f&amp;keep=1&amp;srchmode=1&amp;unlock","Alligator sinensis")</f>
        <v>Alligator sinensis</v>
      </c>
      <c r="H574" t="s">
        <v>376</v>
      </c>
      <c r="I574" t="str">
        <f>HYPERLINK("http://www.ncbi.nlm.nih.gov/protein/XP_006028696.1","fatty acid-binding protein, liver")</f>
        <v>fatty acid-binding protein, liver</v>
      </c>
      <c r="J574" t="s">
        <v>1389</v>
      </c>
      <c r="K574" t="s">
        <v>20</v>
      </c>
      <c r="L574">
        <v>50</v>
      </c>
      <c r="M574" t="s">
        <v>1380</v>
      </c>
      <c r="N574" t="s">
        <v>20</v>
      </c>
    </row>
    <row r="575" spans="1:14" x14ac:dyDescent="0.25">
      <c r="A575">
        <v>6</v>
      </c>
      <c r="B575" t="s">
        <v>371</v>
      </c>
      <c r="C575" t="str">
        <f>HYPERLINK("http://www.ncbi.nlm.nih.gov/protein/XP_019409026.1","XP_019409026.1")</f>
        <v>XP_019409026.1</v>
      </c>
      <c r="D575">
        <v>29001</v>
      </c>
      <c r="E575" t="str">
        <f>HYPERLINK("http://www.ncbi.nlm.nih.gov/Taxonomy/Browser/wwwtax.cgi?mode=Info&amp;id=8502&amp;lvl=3&amp;lin=f&amp;keep=1&amp;srchmode=1&amp;unlock","8502")</f>
        <v>8502</v>
      </c>
      <c r="F575" t="s">
        <v>371</v>
      </c>
      <c r="G575" t="str">
        <f>HYPERLINK("http://www.ncbi.nlm.nih.gov/Taxonomy/Browser/wwwtax.cgi?mode=Info&amp;id=8502&amp;lvl=3&amp;lin=f&amp;keep=1&amp;srchmode=1&amp;unlock","Crocodylus porosus")</f>
        <v>Crocodylus porosus</v>
      </c>
      <c r="H575" t="s">
        <v>408</v>
      </c>
      <c r="I575" t="str">
        <f>HYPERLINK("http://www.ncbi.nlm.nih.gov/protein/XP_019409026.1","PREDICTED: fatty acid-binding protein, liver")</f>
        <v>PREDICTED: fatty acid-binding protein, liver</v>
      </c>
      <c r="J575" t="s">
        <v>1389</v>
      </c>
      <c r="K575" t="s">
        <v>20</v>
      </c>
      <c r="L575">
        <v>50</v>
      </c>
      <c r="M575" t="s">
        <v>1380</v>
      </c>
      <c r="N575" t="s">
        <v>20</v>
      </c>
    </row>
    <row r="576" spans="1:14" x14ac:dyDescent="0.25">
      <c r="A576">
        <v>6</v>
      </c>
      <c r="B576" t="s">
        <v>371</v>
      </c>
      <c r="C576" t="str">
        <f>HYPERLINK("http://www.ncbi.nlm.nih.gov/protein/XP_019382191.1","XP_019382191.1")</f>
        <v>XP_019382191.1</v>
      </c>
      <c r="D576">
        <v>27413</v>
      </c>
      <c r="E576" t="str">
        <f>HYPERLINK("http://www.ncbi.nlm.nih.gov/Taxonomy/Browser/wwwtax.cgi?mode=Info&amp;id=94835&amp;lvl=3&amp;lin=f&amp;keep=1&amp;srchmode=1&amp;unlock","94835")</f>
        <v>94835</v>
      </c>
      <c r="F576" t="s">
        <v>371</v>
      </c>
      <c r="G576" t="str">
        <f>HYPERLINK("http://www.ncbi.nlm.nih.gov/Taxonomy/Browser/wwwtax.cgi?mode=Info&amp;id=94835&amp;lvl=3&amp;lin=f&amp;keep=1&amp;srchmode=1&amp;unlock","Gavialis gangeticus")</f>
        <v>Gavialis gangeticus</v>
      </c>
      <c r="H576" t="s">
        <v>453</v>
      </c>
      <c r="I576" t="str">
        <f>HYPERLINK("http://www.ncbi.nlm.nih.gov/protein/XP_019382191.1","PREDICTED: fatty acid-binding protein, liver")</f>
        <v>PREDICTED: fatty acid-binding protein, liver</v>
      </c>
      <c r="J576" t="s">
        <v>1389</v>
      </c>
      <c r="K576" t="s">
        <v>20</v>
      </c>
      <c r="L576">
        <v>50</v>
      </c>
      <c r="M576" t="s">
        <v>1380</v>
      </c>
      <c r="N576" t="s">
        <v>20</v>
      </c>
    </row>
    <row r="577" spans="1:14" x14ac:dyDescent="0.25">
      <c r="A577">
        <v>6</v>
      </c>
      <c r="B577" t="s">
        <v>384</v>
      </c>
      <c r="C577" t="str">
        <f>HYPERLINK("http://www.ncbi.nlm.nih.gov/protein/XP_012669790.2","XP_012669790.2")</f>
        <v>XP_012669790.2</v>
      </c>
      <c r="D577">
        <v>43045</v>
      </c>
      <c r="E577" t="str">
        <f>HYPERLINK("http://www.ncbi.nlm.nih.gov/Taxonomy/Browser/wwwtax.cgi?mode=Info&amp;id=7950&amp;lvl=3&amp;lin=f&amp;keep=1&amp;srchmode=1&amp;unlock","7950")</f>
        <v>7950</v>
      </c>
      <c r="F577" t="s">
        <v>384</v>
      </c>
      <c r="G577" t="str">
        <f>HYPERLINK("http://www.ncbi.nlm.nih.gov/Taxonomy/Browser/wwwtax.cgi?mode=Info&amp;id=7950&amp;lvl=3&amp;lin=f&amp;keep=1&amp;srchmode=1&amp;unlock","Clupea harengus")</f>
        <v>Clupea harengus</v>
      </c>
      <c r="H577" t="s">
        <v>385</v>
      </c>
      <c r="I577" t="str">
        <f>HYPERLINK("http://www.ncbi.nlm.nih.gov/protein/XP_012669790.2","fatty acid-binding protein, liver")</f>
        <v>fatty acid-binding protein, liver</v>
      </c>
      <c r="J577" t="s">
        <v>1390</v>
      </c>
      <c r="K577" t="s">
        <v>25</v>
      </c>
      <c r="L577">
        <v>50</v>
      </c>
      <c r="M577" t="s">
        <v>1379</v>
      </c>
      <c r="N577" t="s">
        <v>25</v>
      </c>
    </row>
    <row r="578" spans="1:14" x14ac:dyDescent="0.25">
      <c r="A578">
        <v>6</v>
      </c>
      <c r="B578" t="s">
        <v>384</v>
      </c>
      <c r="C578" t="str">
        <f>HYPERLINK("http://www.ncbi.nlm.nih.gov/protein/XP_038821244.1","XP_038821244.1")</f>
        <v>XP_038821244.1</v>
      </c>
      <c r="D578">
        <v>58413</v>
      </c>
      <c r="E578" t="str">
        <f>HYPERLINK("http://www.ncbi.nlm.nih.gov/Taxonomy/Browser/wwwtax.cgi?mode=Info&amp;id=8040&amp;lvl=3&amp;lin=f&amp;keep=1&amp;srchmode=1&amp;unlock","8040")</f>
        <v>8040</v>
      </c>
      <c r="F578" t="s">
        <v>384</v>
      </c>
      <c r="G578" t="str">
        <f>HYPERLINK("http://www.ncbi.nlm.nih.gov/Taxonomy/Browser/wwwtax.cgi?mode=Info&amp;id=8040&amp;lvl=3&amp;lin=f&amp;keep=1&amp;srchmode=1&amp;unlock","Salvelinus namaycush")</f>
        <v>Salvelinus namaycush</v>
      </c>
      <c r="H578" t="s">
        <v>480</v>
      </c>
      <c r="I578" t="str">
        <f>HYPERLINK("http://www.ncbi.nlm.nih.gov/protein/XP_038821244.1","fatty acid-binding protein, liver-type-like")</f>
        <v>fatty acid-binding protein, liver-type-like</v>
      </c>
      <c r="J578" t="s">
        <v>1390</v>
      </c>
      <c r="K578" t="s">
        <v>25</v>
      </c>
      <c r="L578">
        <v>50</v>
      </c>
      <c r="M578" t="s">
        <v>1379</v>
      </c>
      <c r="N578" t="s">
        <v>25</v>
      </c>
    </row>
    <row r="579" spans="1:14" x14ac:dyDescent="0.25">
      <c r="A579">
        <v>6</v>
      </c>
      <c r="B579" t="s">
        <v>384</v>
      </c>
      <c r="C579" t="str">
        <f>HYPERLINK("http://www.ncbi.nlm.nih.gov/protein/XP_034398181.1","XP_034398181.1")</f>
        <v>XP_034398181.1</v>
      </c>
      <c r="D579">
        <v>38712</v>
      </c>
      <c r="E579" t="str">
        <f>HYPERLINK("http://www.ncbi.nlm.nih.gov/Taxonomy/Browser/wwwtax.cgi?mode=Info&amp;id=8103&amp;lvl=3&amp;lin=f&amp;keep=1&amp;srchmode=1&amp;unlock","8103")</f>
        <v>8103</v>
      </c>
      <c r="F579" t="s">
        <v>384</v>
      </c>
      <c r="G579" t="str">
        <f>HYPERLINK("http://www.ncbi.nlm.nih.gov/Taxonomy/Browser/wwwtax.cgi?mode=Info&amp;id=8103&amp;lvl=3&amp;lin=f&amp;keep=1&amp;srchmode=1&amp;unlock","Cyclopterus lumpus")</f>
        <v>Cyclopterus lumpus</v>
      </c>
      <c r="H579" t="s">
        <v>481</v>
      </c>
      <c r="I579" t="str">
        <f>HYPERLINK("http://www.ncbi.nlm.nih.gov/protein/XP_034398181.1","fatty acid-binding protein, liver-type-like")</f>
        <v>fatty acid-binding protein, liver-type-like</v>
      </c>
      <c r="J579" t="s">
        <v>1390</v>
      </c>
      <c r="K579" t="s">
        <v>25</v>
      </c>
      <c r="L579">
        <v>54</v>
      </c>
      <c r="M579" t="s">
        <v>1379</v>
      </c>
      <c r="N579" t="s">
        <v>25</v>
      </c>
    </row>
    <row r="580" spans="1:14" x14ac:dyDescent="0.25">
      <c r="A580">
        <v>6</v>
      </c>
      <c r="B580" t="s">
        <v>384</v>
      </c>
      <c r="C580" t="str">
        <f>HYPERLINK("http://www.ncbi.nlm.nih.gov/protein/XP_021446645.2","XP_021446645.2")</f>
        <v>XP_021446645.2</v>
      </c>
      <c r="D580">
        <v>150751</v>
      </c>
      <c r="E580" t="str">
        <f>HYPERLINK("http://www.ncbi.nlm.nih.gov/Taxonomy/Browser/wwwtax.cgi?mode=Info&amp;id=8022&amp;lvl=3&amp;lin=f&amp;keep=1&amp;srchmode=1&amp;unlock","8022")</f>
        <v>8022</v>
      </c>
      <c r="F580" t="s">
        <v>384</v>
      </c>
      <c r="G580" t="str">
        <f>HYPERLINK("http://www.ncbi.nlm.nih.gov/Taxonomy/Browser/wwwtax.cgi?mode=Info&amp;id=8022&amp;lvl=3&amp;lin=f&amp;keep=1&amp;srchmode=1&amp;unlock","Oncorhynchus mykiss")</f>
        <v>Oncorhynchus mykiss</v>
      </c>
      <c r="H580" t="s">
        <v>482</v>
      </c>
      <c r="I580" t="str">
        <f>HYPERLINK("http://www.ncbi.nlm.nih.gov/protein/XP_021446645.2","fatty acid-binding protein, liver-type")</f>
        <v>fatty acid-binding protein, liver-type</v>
      </c>
      <c r="J580" t="s">
        <v>1390</v>
      </c>
      <c r="K580" t="s">
        <v>25</v>
      </c>
      <c r="L580">
        <v>50</v>
      </c>
      <c r="M580" t="s">
        <v>1379</v>
      </c>
      <c r="N580" t="s">
        <v>25</v>
      </c>
    </row>
    <row r="581" spans="1:14" x14ac:dyDescent="0.25">
      <c r="A581">
        <v>6</v>
      </c>
      <c r="B581" t="s">
        <v>384</v>
      </c>
      <c r="C581" t="str">
        <f>HYPERLINK("http://www.ncbi.nlm.nih.gov/protein/XP_023843509.1","XP_023843509.1")</f>
        <v>XP_023843509.1</v>
      </c>
      <c r="D581">
        <v>60779</v>
      </c>
      <c r="E581" t="str">
        <f>HYPERLINK("http://www.ncbi.nlm.nih.gov/Taxonomy/Browser/wwwtax.cgi?mode=Info&amp;id=8036&amp;lvl=3&amp;lin=f&amp;keep=1&amp;srchmode=1&amp;unlock","8036")</f>
        <v>8036</v>
      </c>
      <c r="F581" t="s">
        <v>384</v>
      </c>
      <c r="G581" t="str">
        <f>HYPERLINK("http://www.ncbi.nlm.nih.gov/Taxonomy/Browser/wwwtax.cgi?mode=Info&amp;id=8036&amp;lvl=3&amp;lin=f&amp;keep=1&amp;srchmode=1&amp;unlock","Salvelinus alpinus")</f>
        <v>Salvelinus alpinus</v>
      </c>
      <c r="H581" t="s">
        <v>483</v>
      </c>
      <c r="I581" t="str">
        <f>HYPERLINK("http://www.ncbi.nlm.nih.gov/protein/XP_023843509.1","fatty acid-binding protein, liver")</f>
        <v>fatty acid-binding protein, liver</v>
      </c>
      <c r="J581" t="s">
        <v>1390</v>
      </c>
      <c r="K581" t="s">
        <v>25</v>
      </c>
      <c r="L581">
        <v>50</v>
      </c>
      <c r="M581" t="s">
        <v>1379</v>
      </c>
      <c r="N581" t="s">
        <v>25</v>
      </c>
    </row>
    <row r="582" spans="1:14" x14ac:dyDescent="0.25">
      <c r="A582">
        <v>6</v>
      </c>
      <c r="B582" t="s">
        <v>384</v>
      </c>
      <c r="C582" t="str">
        <f>HYPERLINK("http://www.ncbi.nlm.nih.gov/protein/XP_029476361.1","XP_029476361.1")</f>
        <v>XP_029476361.1</v>
      </c>
      <c r="D582">
        <v>69382</v>
      </c>
      <c r="E582" t="str">
        <f>HYPERLINK("http://www.ncbi.nlm.nih.gov/Taxonomy/Browser/wwwtax.cgi?mode=Info&amp;id=8023&amp;lvl=3&amp;lin=f&amp;keep=1&amp;srchmode=1&amp;unlock","8023")</f>
        <v>8023</v>
      </c>
      <c r="F582" t="s">
        <v>384</v>
      </c>
      <c r="G582" t="str">
        <f>HYPERLINK("http://www.ncbi.nlm.nih.gov/Taxonomy/Browser/wwwtax.cgi?mode=Info&amp;id=8023&amp;lvl=3&amp;lin=f&amp;keep=1&amp;srchmode=1&amp;unlock","Oncorhynchus nerka")</f>
        <v>Oncorhynchus nerka</v>
      </c>
      <c r="H582" t="s">
        <v>479</v>
      </c>
      <c r="I582" t="str">
        <f>HYPERLINK("http://www.ncbi.nlm.nih.gov/protein/XP_029476361.1","fatty acid-binding protein, liver")</f>
        <v>fatty acid-binding protein, liver</v>
      </c>
      <c r="J582" t="s">
        <v>1390</v>
      </c>
      <c r="K582" t="s">
        <v>25</v>
      </c>
      <c r="L582">
        <v>50</v>
      </c>
      <c r="M582" t="s">
        <v>1379</v>
      </c>
      <c r="N582" t="s">
        <v>25</v>
      </c>
    </row>
    <row r="583" spans="1:14" x14ac:dyDescent="0.25">
      <c r="A583">
        <v>6</v>
      </c>
      <c r="B583" t="s">
        <v>384</v>
      </c>
      <c r="C583" t="str">
        <f>HYPERLINK("http://www.ncbi.nlm.nih.gov/protein/XP_013984144.1","XP_013984144.1")</f>
        <v>XP_013984144.1</v>
      </c>
      <c r="D583">
        <v>111579</v>
      </c>
      <c r="E583" t="str">
        <f>HYPERLINK("http://www.ncbi.nlm.nih.gov/Taxonomy/Browser/wwwtax.cgi?mode=Info&amp;id=8030&amp;lvl=3&amp;lin=f&amp;keep=1&amp;srchmode=1&amp;unlock","8030")</f>
        <v>8030</v>
      </c>
      <c r="F583" t="s">
        <v>384</v>
      </c>
      <c r="G583" t="str">
        <f>HYPERLINK("http://www.ncbi.nlm.nih.gov/Taxonomy/Browser/wwwtax.cgi?mode=Info&amp;id=8030&amp;lvl=3&amp;lin=f&amp;keep=1&amp;srchmode=1&amp;unlock","Salmo salar")</f>
        <v>Salmo salar</v>
      </c>
      <c r="H583" t="s">
        <v>490</v>
      </c>
      <c r="I583" t="str">
        <f>HYPERLINK("http://www.ncbi.nlm.nih.gov/protein/XP_013984144.1","PREDICTED: fatty acid-binding protein, liver")</f>
        <v>PREDICTED: fatty acid-binding protein, liver</v>
      </c>
      <c r="J583" t="s">
        <v>1390</v>
      </c>
      <c r="K583" t="s">
        <v>25</v>
      </c>
      <c r="L583">
        <v>50</v>
      </c>
      <c r="M583" t="s">
        <v>1379</v>
      </c>
      <c r="N583" t="s">
        <v>25</v>
      </c>
    </row>
    <row r="584" spans="1:14" x14ac:dyDescent="0.25">
      <c r="A584">
        <v>6</v>
      </c>
      <c r="B584" t="s">
        <v>384</v>
      </c>
      <c r="C584" t="str">
        <f>HYPERLINK("http://www.ncbi.nlm.nih.gov/protein/XP_010876266.1","XP_010876266.1")</f>
        <v>XP_010876266.1</v>
      </c>
      <c r="D584">
        <v>59853</v>
      </c>
      <c r="E584" t="str">
        <f>HYPERLINK("http://www.ncbi.nlm.nih.gov/Taxonomy/Browser/wwwtax.cgi?mode=Info&amp;id=8010&amp;lvl=3&amp;lin=f&amp;keep=1&amp;srchmode=1&amp;unlock","8010")</f>
        <v>8010</v>
      </c>
      <c r="F584" t="s">
        <v>384</v>
      </c>
      <c r="G584" t="str">
        <f>HYPERLINK("http://www.ncbi.nlm.nih.gov/Taxonomy/Browser/wwwtax.cgi?mode=Info&amp;id=8010&amp;lvl=3&amp;lin=f&amp;keep=1&amp;srchmode=1&amp;unlock","Esox lucius")</f>
        <v>Esox lucius</v>
      </c>
      <c r="H584" t="s">
        <v>489</v>
      </c>
      <c r="I584" t="str">
        <f>HYPERLINK("http://www.ncbi.nlm.nih.gov/protein/XP_010876266.1","fatty acid binding protein 1-A, liver")</f>
        <v>fatty acid binding protein 1-A, liver</v>
      </c>
      <c r="J584" t="s">
        <v>1390</v>
      </c>
      <c r="K584" t="s">
        <v>25</v>
      </c>
      <c r="L584">
        <v>50</v>
      </c>
      <c r="M584" t="s">
        <v>1379</v>
      </c>
      <c r="N584" t="s">
        <v>25</v>
      </c>
    </row>
    <row r="585" spans="1:14" x14ac:dyDescent="0.25">
      <c r="A585">
        <v>6</v>
      </c>
      <c r="B585" t="s">
        <v>384</v>
      </c>
      <c r="C585" t="str">
        <f>HYPERLINK("http://www.ncbi.nlm.nih.gov/protein/XP_029625294.1","XP_029625294.1")</f>
        <v>XP_029625294.1</v>
      </c>
      <c r="D585">
        <v>88634</v>
      </c>
      <c r="E585" t="str">
        <f>HYPERLINK("http://www.ncbi.nlm.nih.gov/Taxonomy/Browser/wwwtax.cgi?mode=Info&amp;id=8032&amp;lvl=3&amp;lin=f&amp;keep=1&amp;srchmode=1&amp;unlock","8032")</f>
        <v>8032</v>
      </c>
      <c r="F585" t="s">
        <v>384</v>
      </c>
      <c r="G585" t="str">
        <f>HYPERLINK("http://www.ncbi.nlm.nih.gov/Taxonomy/Browser/wwwtax.cgi?mode=Info&amp;id=8032&amp;lvl=3&amp;lin=f&amp;keep=1&amp;srchmode=1&amp;unlock","Salmo trutta")</f>
        <v>Salmo trutta</v>
      </c>
      <c r="H585" t="s">
        <v>491</v>
      </c>
      <c r="I585" t="str">
        <f>HYPERLINK("http://www.ncbi.nlm.nih.gov/protein/XP_029625294.1","fatty acid-binding protein, liver")</f>
        <v>fatty acid-binding protein, liver</v>
      </c>
      <c r="J585" t="s">
        <v>1390</v>
      </c>
      <c r="K585" t="s">
        <v>25</v>
      </c>
      <c r="L585">
        <v>50</v>
      </c>
      <c r="M585" t="s">
        <v>1379</v>
      </c>
      <c r="N585" t="s">
        <v>25</v>
      </c>
    </row>
    <row r="586" spans="1:14" x14ac:dyDescent="0.25">
      <c r="A586">
        <v>6</v>
      </c>
      <c r="B586" t="s">
        <v>384</v>
      </c>
      <c r="C586" t="str">
        <f>HYPERLINK("http://www.ncbi.nlm.nih.gov/protein/XP_035628149.1","XP_035628149.1")</f>
        <v>XP_035628149.1</v>
      </c>
      <c r="D586">
        <v>67512</v>
      </c>
      <c r="E586" t="str">
        <f>HYPERLINK("http://www.ncbi.nlm.nih.gov/Taxonomy/Browser/wwwtax.cgi?mode=Info&amp;id=8018&amp;lvl=3&amp;lin=f&amp;keep=1&amp;srchmode=1&amp;unlock","8018")</f>
        <v>8018</v>
      </c>
      <c r="F586" t="s">
        <v>384</v>
      </c>
      <c r="G586" t="str">
        <f>HYPERLINK("http://www.ncbi.nlm.nih.gov/Taxonomy/Browser/wwwtax.cgi?mode=Info&amp;id=8018&amp;lvl=3&amp;lin=f&amp;keep=1&amp;srchmode=1&amp;unlock","Oncorhynchus keta")</f>
        <v>Oncorhynchus keta</v>
      </c>
      <c r="H586" t="s">
        <v>492</v>
      </c>
      <c r="I586" t="str">
        <f>HYPERLINK("http://www.ncbi.nlm.nih.gov/protein/XP_035628149.1","fatty acid-binding protein, liver-type-like")</f>
        <v>fatty acid-binding protein, liver-type-like</v>
      </c>
      <c r="J586" t="s">
        <v>1390</v>
      </c>
      <c r="K586" t="s">
        <v>25</v>
      </c>
      <c r="L586">
        <v>50</v>
      </c>
      <c r="M586" t="s">
        <v>1379</v>
      </c>
      <c r="N586" t="s">
        <v>25</v>
      </c>
    </row>
    <row r="587" spans="1:14" x14ac:dyDescent="0.25">
      <c r="A587">
        <v>6</v>
      </c>
      <c r="B587" t="s">
        <v>384</v>
      </c>
      <c r="C587" t="str">
        <f>HYPERLINK("http://www.ncbi.nlm.nih.gov/protein/CAB1332787.1","CAB1332787.1")</f>
        <v>CAB1332787.1</v>
      </c>
      <c r="D587">
        <v>41735</v>
      </c>
      <c r="E587" t="str">
        <f>HYPERLINK("http://www.ncbi.nlm.nih.gov/Taxonomy/Browser/wwwtax.cgi?mode=Info&amp;id=861768&amp;lvl=3&amp;lin=f&amp;keep=1&amp;srchmode=1&amp;unlock","861768")</f>
        <v>861768</v>
      </c>
      <c r="F587" t="s">
        <v>384</v>
      </c>
      <c r="G587" t="str">
        <f>HYPERLINK("http://www.ncbi.nlm.nih.gov/Taxonomy/Browser/wwwtax.cgi?mode=Info&amp;id=861768&amp;lvl=3&amp;lin=f&amp;keep=1&amp;srchmode=1&amp;unlock","Coregonus sp. 'balchen'")</f>
        <v>Coregonus sp. 'balchen'</v>
      </c>
      <c r="H587" t="s">
        <v>494</v>
      </c>
      <c r="I587" t="str">
        <f>HYPERLINK("http://www.ncbi.nlm.nih.gov/protein/CAB1332787.1","unnamed protein product")</f>
        <v>unnamed protein product</v>
      </c>
      <c r="J587" t="s">
        <v>1390</v>
      </c>
      <c r="K587" t="s">
        <v>25</v>
      </c>
      <c r="L587">
        <v>50</v>
      </c>
      <c r="M587" t="s">
        <v>1379</v>
      </c>
      <c r="N587" t="s">
        <v>25</v>
      </c>
    </row>
    <row r="588" spans="1:14" x14ac:dyDescent="0.25">
      <c r="A588">
        <v>6</v>
      </c>
      <c r="B588" t="s">
        <v>384</v>
      </c>
      <c r="C588" t="str">
        <f>HYPERLINK("http://www.ncbi.nlm.nih.gov/protein/KAG5271990.1","KAG5271990.1")</f>
        <v>KAG5271990.1</v>
      </c>
      <c r="D588">
        <v>26424</v>
      </c>
      <c r="E588" t="str">
        <f>HYPERLINK("http://www.ncbi.nlm.nih.gov/Taxonomy/Browser/wwwtax.cgi?mode=Info&amp;id=278164&amp;lvl=3&amp;lin=f&amp;keep=1&amp;srchmode=1&amp;unlock","278164")</f>
        <v>278164</v>
      </c>
      <c r="F588" t="s">
        <v>384</v>
      </c>
      <c r="G588" t="str">
        <f>HYPERLINK("http://www.ncbi.nlm.nih.gov/Taxonomy/Browser/wwwtax.cgi?mode=Info&amp;id=278164&amp;lvl=3&amp;lin=f&amp;keep=1&amp;srchmode=1&amp;unlock","Alosa alosa")</f>
        <v>Alosa alosa</v>
      </c>
      <c r="H588" t="s">
        <v>498</v>
      </c>
      <c r="I588" t="str">
        <f>HYPERLINK("http://www.ncbi.nlm.nih.gov/protein/KAG5271990.1","hypothetical protein AALO_G00160430")</f>
        <v>hypothetical protein AALO_G00160430</v>
      </c>
      <c r="J588" t="s">
        <v>1390</v>
      </c>
      <c r="K588" t="s">
        <v>25</v>
      </c>
      <c r="L588">
        <v>50</v>
      </c>
      <c r="M588" t="s">
        <v>1379</v>
      </c>
      <c r="N588" t="s">
        <v>25</v>
      </c>
    </row>
    <row r="589" spans="1:14" x14ac:dyDescent="0.25">
      <c r="A589">
        <v>6</v>
      </c>
      <c r="B589" t="s">
        <v>384</v>
      </c>
      <c r="C589" t="str">
        <f>HYPERLINK("http://www.ncbi.nlm.nih.gov/protein/XP_024253295.1","XP_024253295.1")</f>
        <v>XP_024253295.1</v>
      </c>
      <c r="D589">
        <v>73759</v>
      </c>
      <c r="E589" t="str">
        <f>HYPERLINK("http://www.ncbi.nlm.nih.gov/Taxonomy/Browser/wwwtax.cgi?mode=Info&amp;id=74940&amp;lvl=3&amp;lin=f&amp;keep=1&amp;srchmode=1&amp;unlock","74940")</f>
        <v>74940</v>
      </c>
      <c r="F589" t="s">
        <v>384</v>
      </c>
      <c r="G589" t="str">
        <f>HYPERLINK("http://www.ncbi.nlm.nih.gov/Taxonomy/Browser/wwwtax.cgi?mode=Info&amp;id=74940&amp;lvl=3&amp;lin=f&amp;keep=1&amp;srchmode=1&amp;unlock","Oncorhynchus tshawytscha")</f>
        <v>Oncorhynchus tshawytscha</v>
      </c>
      <c r="H589" t="s">
        <v>500</v>
      </c>
      <c r="I589" t="str">
        <f>HYPERLINK("http://www.ncbi.nlm.nih.gov/protein/XP_024253295.1","fatty acid-binding protein, liver-type-like")</f>
        <v>fatty acid-binding protein, liver-type-like</v>
      </c>
      <c r="J589" t="s">
        <v>1390</v>
      </c>
      <c r="K589" t="s">
        <v>25</v>
      </c>
      <c r="L589">
        <v>50</v>
      </c>
      <c r="M589" t="s">
        <v>1379</v>
      </c>
      <c r="N589" t="s">
        <v>25</v>
      </c>
    </row>
    <row r="590" spans="1:14" x14ac:dyDescent="0.25">
      <c r="A590">
        <v>6</v>
      </c>
      <c r="B590" t="s">
        <v>384</v>
      </c>
      <c r="C590" t="str">
        <f>HYPERLINK("http://www.ncbi.nlm.nih.gov/protein/XP_020321356.1","XP_020321356.1")</f>
        <v>XP_020321356.1</v>
      </c>
      <c r="D590">
        <v>89590</v>
      </c>
      <c r="E590" t="str">
        <f>HYPERLINK("http://www.ncbi.nlm.nih.gov/Taxonomy/Browser/wwwtax.cgi?mode=Info&amp;id=8019&amp;lvl=3&amp;lin=f&amp;keep=1&amp;srchmode=1&amp;unlock","8019")</f>
        <v>8019</v>
      </c>
      <c r="F590" t="s">
        <v>384</v>
      </c>
      <c r="G590" t="str">
        <f>HYPERLINK("http://www.ncbi.nlm.nih.gov/Taxonomy/Browser/wwwtax.cgi?mode=Info&amp;id=8019&amp;lvl=3&amp;lin=f&amp;keep=1&amp;srchmode=1&amp;unlock","Oncorhynchus kisutch")</f>
        <v>Oncorhynchus kisutch</v>
      </c>
      <c r="H590" t="s">
        <v>501</v>
      </c>
      <c r="I590" t="str">
        <f>HYPERLINK("http://www.ncbi.nlm.nih.gov/protein/XP_020321356.1","fatty acid-binding protein, liver-type")</f>
        <v>fatty acid-binding protein, liver-type</v>
      </c>
      <c r="J590" t="s">
        <v>1390</v>
      </c>
      <c r="K590" t="s">
        <v>25</v>
      </c>
      <c r="L590">
        <v>50</v>
      </c>
      <c r="M590" t="s">
        <v>1379</v>
      </c>
      <c r="N590" t="s">
        <v>25</v>
      </c>
    </row>
    <row r="591" spans="1:14" x14ac:dyDescent="0.25">
      <c r="A591">
        <v>6</v>
      </c>
      <c r="B591" t="s">
        <v>384</v>
      </c>
      <c r="C591" t="str">
        <f>HYPERLINK("http://www.ncbi.nlm.nih.gov/protein/XP_028829487.1","XP_028829487.1")</f>
        <v>XP_028829487.1</v>
      </c>
      <c r="D591">
        <v>50098</v>
      </c>
      <c r="E591" t="str">
        <f>HYPERLINK("http://www.ncbi.nlm.nih.gov/Taxonomy/Browser/wwwtax.cgi?mode=Info&amp;id=299321&amp;lvl=3&amp;lin=f&amp;keep=1&amp;srchmode=1&amp;unlock","299321")</f>
        <v>299321</v>
      </c>
      <c r="F591" t="s">
        <v>384</v>
      </c>
      <c r="G591" t="str">
        <f>HYPERLINK("http://www.ncbi.nlm.nih.gov/Taxonomy/Browser/wwwtax.cgi?mode=Info&amp;id=299321&amp;lvl=3&amp;lin=f&amp;keep=1&amp;srchmode=1&amp;unlock","Denticeps clupeoides")</f>
        <v>Denticeps clupeoides</v>
      </c>
      <c r="H591" t="s">
        <v>506</v>
      </c>
      <c r="I591" t="str">
        <f>HYPERLINK("http://www.ncbi.nlm.nih.gov/protein/XP_028829487.1","fatty acid-binding protein, liver-type-like")</f>
        <v>fatty acid-binding protein, liver-type-like</v>
      </c>
      <c r="J591" t="s">
        <v>1390</v>
      </c>
      <c r="K591" t="s">
        <v>25</v>
      </c>
      <c r="L591">
        <v>50</v>
      </c>
      <c r="M591" t="s">
        <v>1379</v>
      </c>
      <c r="N591" t="s">
        <v>25</v>
      </c>
    </row>
    <row r="592" spans="1:14" x14ac:dyDescent="0.25">
      <c r="A592">
        <v>6</v>
      </c>
      <c r="B592" t="s">
        <v>384</v>
      </c>
      <c r="C592" t="str">
        <f>HYPERLINK("http://www.ncbi.nlm.nih.gov/protein/XP_007254048.1","XP_007254048.1")</f>
        <v>XP_007254048.1</v>
      </c>
      <c r="D592">
        <v>42884</v>
      </c>
      <c r="E592" t="str">
        <f>HYPERLINK("http://www.ncbi.nlm.nih.gov/Taxonomy/Browser/wwwtax.cgi?mode=Info&amp;id=7994&amp;lvl=3&amp;lin=f&amp;keep=1&amp;srchmode=1&amp;unlock","7994")</f>
        <v>7994</v>
      </c>
      <c r="F592" t="s">
        <v>384</v>
      </c>
      <c r="G592" t="str">
        <f>HYPERLINK("http://www.ncbi.nlm.nih.gov/Taxonomy/Browser/wwwtax.cgi?mode=Info&amp;id=7994&amp;lvl=3&amp;lin=f&amp;keep=1&amp;srchmode=1&amp;unlock","Astyanax mexicanus")</f>
        <v>Astyanax mexicanus</v>
      </c>
      <c r="H592" t="s">
        <v>508</v>
      </c>
      <c r="I592" t="str">
        <f>HYPERLINK("http://www.ncbi.nlm.nih.gov/protein/XP_007254048.1","fatty acid-binding protein, liver-type")</f>
        <v>fatty acid-binding protein, liver-type</v>
      </c>
      <c r="J592" t="s">
        <v>1390</v>
      </c>
      <c r="K592" t="s">
        <v>25</v>
      </c>
      <c r="L592">
        <v>50</v>
      </c>
      <c r="M592" t="s">
        <v>1379</v>
      </c>
      <c r="N592" t="s">
        <v>25</v>
      </c>
    </row>
    <row r="593" spans="1:14" x14ac:dyDescent="0.25">
      <c r="A593">
        <v>6</v>
      </c>
      <c r="B593" t="s">
        <v>384</v>
      </c>
      <c r="C593" t="str">
        <f>HYPERLINK("http://www.ncbi.nlm.nih.gov/protein/XP_036436059.1","XP_036436059.1")</f>
        <v>XP_036436059.1</v>
      </c>
      <c r="D593">
        <v>43803</v>
      </c>
      <c r="E593" t="str">
        <f>HYPERLINK("http://www.ncbi.nlm.nih.gov/Taxonomy/Browser/wwwtax.cgi?mode=Info&amp;id=42526&amp;lvl=3&amp;lin=f&amp;keep=1&amp;srchmode=1&amp;unlock","42526")</f>
        <v>42526</v>
      </c>
      <c r="F593" t="s">
        <v>384</v>
      </c>
      <c r="G593" t="str">
        <f>HYPERLINK("http://www.ncbi.nlm.nih.gov/Taxonomy/Browser/wwwtax.cgi?mode=Info&amp;id=42526&amp;lvl=3&amp;lin=f&amp;keep=1&amp;srchmode=1&amp;unlock","Colossoma macropomum")</f>
        <v>Colossoma macropomum</v>
      </c>
      <c r="H593" t="s">
        <v>507</v>
      </c>
      <c r="I593" t="str">
        <f>HYPERLINK("http://www.ncbi.nlm.nih.gov/protein/XP_036436059.1","fatty acid binding protein 1-A, liver")</f>
        <v>fatty acid binding protein 1-A, liver</v>
      </c>
      <c r="J593" t="s">
        <v>1390</v>
      </c>
      <c r="K593" t="s">
        <v>25</v>
      </c>
      <c r="L593">
        <v>50</v>
      </c>
      <c r="M593" t="s">
        <v>1379</v>
      </c>
      <c r="N593" t="s">
        <v>25</v>
      </c>
    </row>
    <row r="594" spans="1:14" x14ac:dyDescent="0.25">
      <c r="A594">
        <v>6</v>
      </c>
      <c r="B594" t="s">
        <v>384</v>
      </c>
      <c r="C594" t="str">
        <f>HYPERLINK("http://www.ncbi.nlm.nih.gov/protein/XP_017557159.1","XP_017557159.1")</f>
        <v>XP_017557159.1</v>
      </c>
      <c r="D594">
        <v>50677</v>
      </c>
      <c r="E594" t="str">
        <f>HYPERLINK("http://www.ncbi.nlm.nih.gov/Taxonomy/Browser/wwwtax.cgi?mode=Info&amp;id=42514&amp;lvl=3&amp;lin=f&amp;keep=1&amp;srchmode=1&amp;unlock","42514")</f>
        <v>42514</v>
      </c>
      <c r="F594" t="s">
        <v>384</v>
      </c>
      <c r="G594" t="str">
        <f>HYPERLINK("http://www.ncbi.nlm.nih.gov/Taxonomy/Browser/wwwtax.cgi?mode=Info&amp;id=42514&amp;lvl=3&amp;lin=f&amp;keep=1&amp;srchmode=1&amp;unlock","Pygocentrus nattereri")</f>
        <v>Pygocentrus nattereri</v>
      </c>
      <c r="H594" t="s">
        <v>510</v>
      </c>
      <c r="I594" t="str">
        <f>HYPERLINK("http://www.ncbi.nlm.nih.gov/protein/XP_017557159.1","fatty acid binding protein 1-A, liver")</f>
        <v>fatty acid binding protein 1-A, liver</v>
      </c>
      <c r="J594" t="s">
        <v>1390</v>
      </c>
      <c r="K594" t="s">
        <v>25</v>
      </c>
      <c r="L594">
        <v>50</v>
      </c>
      <c r="M594" t="s">
        <v>1379</v>
      </c>
      <c r="N594" t="s">
        <v>25</v>
      </c>
    </row>
    <row r="595" spans="1:14" x14ac:dyDescent="0.25">
      <c r="A595">
        <v>6</v>
      </c>
      <c r="B595" t="s">
        <v>384</v>
      </c>
      <c r="C595" t="str">
        <f>HYPERLINK("http://www.ncbi.nlm.nih.gov/protein/XP_034782898.1","XP_034782898.1")</f>
        <v>XP_034782898.1</v>
      </c>
      <c r="D595">
        <v>89392</v>
      </c>
      <c r="E595" t="str">
        <f>HYPERLINK("http://www.ncbi.nlm.nih.gov/Taxonomy/Browser/wwwtax.cgi?mode=Info&amp;id=7906&amp;lvl=3&amp;lin=f&amp;keep=1&amp;srchmode=1&amp;unlock","7906")</f>
        <v>7906</v>
      </c>
      <c r="F595" t="s">
        <v>384</v>
      </c>
      <c r="G595" t="str">
        <f>HYPERLINK("http://www.ncbi.nlm.nih.gov/Taxonomy/Browser/wwwtax.cgi?mode=Info&amp;id=7906&amp;lvl=3&amp;lin=f&amp;keep=1&amp;srchmode=1&amp;unlock","Acipenser ruthenus")</f>
        <v>Acipenser ruthenus</v>
      </c>
      <c r="H595" t="s">
        <v>512</v>
      </c>
      <c r="I595" t="str">
        <f>HYPERLINK("http://www.ncbi.nlm.nih.gov/protein/XP_034782898.1","fatty acid-binding protein, liver-type-like")</f>
        <v>fatty acid-binding protein, liver-type-like</v>
      </c>
      <c r="J595" t="s">
        <v>1390</v>
      </c>
      <c r="K595" t="s">
        <v>25</v>
      </c>
      <c r="L595">
        <v>50</v>
      </c>
      <c r="M595" t="s">
        <v>1379</v>
      </c>
      <c r="N595" t="s">
        <v>25</v>
      </c>
    </row>
    <row r="596" spans="1:14" x14ac:dyDescent="0.25">
      <c r="A596">
        <v>6</v>
      </c>
      <c r="B596" t="s">
        <v>384</v>
      </c>
      <c r="C596" t="str">
        <f>HYPERLINK("http://www.ncbi.nlm.nih.gov/protein/KAG1957691.1","KAG1957691.1")</f>
        <v>KAG1957691.1</v>
      </c>
      <c r="D596">
        <v>96106</v>
      </c>
      <c r="E596" t="str">
        <f>HYPERLINK("http://www.ncbi.nlm.nih.gov/Taxonomy/Browser/wwwtax.cgi?mode=Info&amp;id=90988&amp;lvl=3&amp;lin=f&amp;keep=1&amp;srchmode=1&amp;unlock","90988")</f>
        <v>90988</v>
      </c>
      <c r="F596" t="s">
        <v>384</v>
      </c>
      <c r="G596" t="str">
        <f>HYPERLINK("http://www.ncbi.nlm.nih.gov/Taxonomy/Browser/wwwtax.cgi?mode=Info&amp;id=90988&amp;lvl=3&amp;lin=f&amp;keep=1&amp;srchmode=1&amp;unlock","Pimephales promelas")</f>
        <v>Pimephales promelas</v>
      </c>
      <c r="H596" t="s">
        <v>513</v>
      </c>
      <c r="I596" t="str">
        <f>HYPERLINK("http://www.ncbi.nlm.nih.gov/protein/KAG1957691.1","fatty acid-binding protein, liver")</f>
        <v>fatty acid-binding protein, liver</v>
      </c>
      <c r="J596" t="s">
        <v>1390</v>
      </c>
      <c r="K596" t="s">
        <v>25</v>
      </c>
      <c r="L596">
        <v>55</v>
      </c>
      <c r="M596" t="s">
        <v>1379</v>
      </c>
      <c r="N596" t="s">
        <v>25</v>
      </c>
    </row>
    <row r="597" spans="1:14" x14ac:dyDescent="0.25">
      <c r="A597">
        <v>6</v>
      </c>
      <c r="B597" t="s">
        <v>384</v>
      </c>
      <c r="C597" t="str">
        <f>HYPERLINK("http://www.ncbi.nlm.nih.gov/protein/XP_033472370.1","XP_033472370.1")</f>
        <v>XP_033472370.1</v>
      </c>
      <c r="D597">
        <v>43073</v>
      </c>
      <c r="E597" t="str">
        <f>HYPERLINK("http://www.ncbi.nlm.nih.gov/Taxonomy/Browser/wwwtax.cgi?mode=Info&amp;id=310571&amp;lvl=3&amp;lin=f&amp;keep=1&amp;srchmode=1&amp;unlock","310571")</f>
        <v>310571</v>
      </c>
      <c r="F597" t="s">
        <v>384</v>
      </c>
      <c r="G597" t="str">
        <f>HYPERLINK("http://www.ncbi.nlm.nih.gov/Taxonomy/Browser/wwwtax.cgi?mode=Info&amp;id=310571&amp;lvl=3&amp;lin=f&amp;keep=1&amp;srchmode=1&amp;unlock","Epinephelus lanceolatus")</f>
        <v>Epinephelus lanceolatus</v>
      </c>
      <c r="H597" t="s">
        <v>515</v>
      </c>
      <c r="I597" t="str">
        <f>HYPERLINK("http://www.ncbi.nlm.nih.gov/protein/XP_033472370.1","fatty acid-binding protein, liver-type")</f>
        <v>fatty acid-binding protein, liver-type</v>
      </c>
      <c r="J597" t="s">
        <v>1390</v>
      </c>
      <c r="K597" t="s">
        <v>25</v>
      </c>
      <c r="L597">
        <v>50</v>
      </c>
      <c r="M597" t="s">
        <v>1379</v>
      </c>
      <c r="N597" t="s">
        <v>25</v>
      </c>
    </row>
    <row r="598" spans="1:14" x14ac:dyDescent="0.25">
      <c r="A598">
        <v>6</v>
      </c>
      <c r="B598" t="s">
        <v>384</v>
      </c>
      <c r="C598" t="str">
        <f>HYPERLINK("http://www.ncbi.nlm.nih.gov/protein/RXN13305.1","RXN13305.1")</f>
        <v>RXN13305.1</v>
      </c>
      <c r="D598">
        <v>37718</v>
      </c>
      <c r="E598" t="str">
        <f>HYPERLINK("http://www.ncbi.nlm.nih.gov/Taxonomy/Browser/wwwtax.cgi?mode=Info&amp;id=84645&amp;lvl=3&amp;lin=f&amp;keep=1&amp;srchmode=1&amp;unlock","84645")</f>
        <v>84645</v>
      </c>
      <c r="F598" t="s">
        <v>384</v>
      </c>
      <c r="G598" t="str">
        <f>HYPERLINK("http://www.ncbi.nlm.nih.gov/Taxonomy/Browser/wwwtax.cgi?mode=Info&amp;id=84645&amp;lvl=3&amp;lin=f&amp;keep=1&amp;srchmode=1&amp;unlock","Labeo rohita")</f>
        <v>Labeo rohita</v>
      </c>
      <c r="H598" t="s">
        <v>516</v>
      </c>
      <c r="I598" t="str">
        <f>HYPERLINK("http://www.ncbi.nlm.nih.gov/protein/RXN13305.1","fatty acid-binding liver")</f>
        <v>fatty acid-binding liver</v>
      </c>
      <c r="J598" t="s">
        <v>1390</v>
      </c>
      <c r="K598" t="s">
        <v>25</v>
      </c>
      <c r="L598">
        <v>50</v>
      </c>
      <c r="M598" t="s">
        <v>1379</v>
      </c>
      <c r="N598" t="s">
        <v>25</v>
      </c>
    </row>
    <row r="599" spans="1:14" x14ac:dyDescent="0.25">
      <c r="A599">
        <v>6</v>
      </c>
      <c r="B599" t="s">
        <v>384</v>
      </c>
      <c r="C599" t="str">
        <f>HYPERLINK("http://www.ncbi.nlm.nih.gov/protein/XP_026066362.1","XP_026066362.1")</f>
        <v>XP_026066362.1</v>
      </c>
      <c r="D599">
        <v>98599</v>
      </c>
      <c r="E599" t="str">
        <f>HYPERLINK("http://www.ncbi.nlm.nih.gov/Taxonomy/Browser/wwwtax.cgi?mode=Info&amp;id=7957&amp;lvl=3&amp;lin=f&amp;keep=1&amp;srchmode=1&amp;unlock","7957")</f>
        <v>7957</v>
      </c>
      <c r="F599" t="s">
        <v>384</v>
      </c>
      <c r="G599" t="str">
        <f>HYPERLINK("http://www.ncbi.nlm.nih.gov/Taxonomy/Browser/wwwtax.cgi?mode=Info&amp;id=7957&amp;lvl=3&amp;lin=f&amp;keep=1&amp;srchmode=1&amp;unlock","Carassius auratus")</f>
        <v>Carassius auratus</v>
      </c>
      <c r="H599" t="s">
        <v>518</v>
      </c>
      <c r="I599" t="str">
        <f>HYPERLINK("http://www.ncbi.nlm.nih.gov/protein/XP_026066362.1","fatty acid-binding protein, liver")</f>
        <v>fatty acid-binding protein, liver</v>
      </c>
      <c r="J599" t="s">
        <v>1390</v>
      </c>
      <c r="K599" t="s">
        <v>25</v>
      </c>
      <c r="L599">
        <v>50</v>
      </c>
      <c r="M599" t="s">
        <v>1379</v>
      </c>
      <c r="N599" t="s">
        <v>25</v>
      </c>
    </row>
    <row r="600" spans="1:14" x14ac:dyDescent="0.25">
      <c r="A600">
        <v>6</v>
      </c>
      <c r="B600" t="s">
        <v>384</v>
      </c>
      <c r="C600" t="str">
        <f>HYPERLINK("http://www.ncbi.nlm.nih.gov/protein/QRE01784.1","QRE01784.1")</f>
        <v>QRE01784.1</v>
      </c>
      <c r="D600">
        <v>774</v>
      </c>
      <c r="E600" t="str">
        <f>HYPERLINK("http://www.ncbi.nlm.nih.gov/Taxonomy/Browser/wwwtax.cgi?mode=Info&amp;id=119488&amp;lvl=3&amp;lin=f&amp;keep=1&amp;srchmode=1&amp;unlock","119488")</f>
        <v>119488</v>
      </c>
      <c r="F600" t="s">
        <v>384</v>
      </c>
      <c r="G600" t="str">
        <f>HYPERLINK("http://www.ncbi.nlm.nih.gov/Taxonomy/Browser/wwwtax.cgi?mode=Info&amp;id=119488&amp;lvl=3&amp;lin=f&amp;keep=1&amp;srchmode=1&amp;unlock","Siniperca chuatsi")</f>
        <v>Siniperca chuatsi</v>
      </c>
      <c r="H600" t="s">
        <v>519</v>
      </c>
      <c r="I600" t="str">
        <f>HYPERLINK("http://www.ncbi.nlm.nih.gov/protein/QRE01784.1","fatty acid-binding protein 1")</f>
        <v>fatty acid-binding protein 1</v>
      </c>
      <c r="J600" t="s">
        <v>1390</v>
      </c>
      <c r="K600" t="s">
        <v>25</v>
      </c>
      <c r="L600">
        <v>50</v>
      </c>
      <c r="M600" t="s">
        <v>1379</v>
      </c>
      <c r="N600" t="s">
        <v>25</v>
      </c>
    </row>
    <row r="601" spans="1:14" x14ac:dyDescent="0.25">
      <c r="A601">
        <v>6</v>
      </c>
      <c r="B601" t="s">
        <v>384</v>
      </c>
      <c r="C601" t="str">
        <f>HYPERLINK("http://www.ncbi.nlm.nih.gov/protein/XP_013858101.1","XP_013858101.1")</f>
        <v>XP_013858101.1</v>
      </c>
      <c r="D601">
        <v>35359</v>
      </c>
      <c r="E601" t="str">
        <f>HYPERLINK("http://www.ncbi.nlm.nih.gov/Taxonomy/Browser/wwwtax.cgi?mode=Info&amp;id=52670&amp;lvl=3&amp;lin=f&amp;keep=1&amp;srchmode=1&amp;unlock","52670")</f>
        <v>52670</v>
      </c>
      <c r="F601" t="s">
        <v>384</v>
      </c>
      <c r="G601" t="str">
        <f>HYPERLINK("http://www.ncbi.nlm.nih.gov/Taxonomy/Browser/wwwtax.cgi?mode=Info&amp;id=52670&amp;lvl=3&amp;lin=f&amp;keep=1&amp;srchmode=1&amp;unlock","Austrofundulus limnaeus")</f>
        <v>Austrofundulus limnaeus</v>
      </c>
      <c r="H601" t="s">
        <v>520</v>
      </c>
      <c r="I601" t="str">
        <f>HYPERLINK("http://www.ncbi.nlm.nih.gov/protein/XP_013858101.1","PREDICTED: fatty acid-binding protein, liver-type-like isoform X1")</f>
        <v>PREDICTED: fatty acid-binding protein, liver-type-like isoform X1</v>
      </c>
      <c r="J601" t="s">
        <v>1390</v>
      </c>
      <c r="K601" t="s">
        <v>25</v>
      </c>
      <c r="L601">
        <v>50</v>
      </c>
      <c r="M601" t="s">
        <v>1379</v>
      </c>
      <c r="N601" t="s">
        <v>25</v>
      </c>
    </row>
    <row r="602" spans="1:14" x14ac:dyDescent="0.25">
      <c r="A602">
        <v>6</v>
      </c>
      <c r="B602" t="s">
        <v>384</v>
      </c>
      <c r="C602" t="str">
        <f>HYPERLINK("http://www.ncbi.nlm.nih.gov/protein/XP_020788026.1","XP_020788026.1")</f>
        <v>XP_020788026.1</v>
      </c>
      <c r="D602">
        <v>25404</v>
      </c>
      <c r="E602" t="str">
        <f>HYPERLINK("http://www.ncbi.nlm.nih.gov/Taxonomy/Browser/wwwtax.cgi?mode=Info&amp;id=150288&amp;lvl=3&amp;lin=f&amp;keep=1&amp;srchmode=1&amp;unlock","150288")</f>
        <v>150288</v>
      </c>
      <c r="F602" t="s">
        <v>384</v>
      </c>
      <c r="G602" t="str">
        <f>HYPERLINK("http://www.ncbi.nlm.nih.gov/Taxonomy/Browser/wwwtax.cgi?mode=Info&amp;id=150288&amp;lvl=3&amp;lin=f&amp;keep=1&amp;srchmode=1&amp;unlock","Boleophthalmus pectinirostris")</f>
        <v>Boleophthalmus pectinirostris</v>
      </c>
      <c r="H602" t="s">
        <v>521</v>
      </c>
      <c r="I602" t="str">
        <f>HYPERLINK("http://www.ncbi.nlm.nih.gov/protein/XP_020788026.1","fatty acid-binding protein, liver-type-like")</f>
        <v>fatty acid-binding protein, liver-type-like</v>
      </c>
      <c r="J602" t="s">
        <v>1390</v>
      </c>
      <c r="K602" t="s">
        <v>25</v>
      </c>
      <c r="L602">
        <v>50</v>
      </c>
      <c r="M602" t="s">
        <v>1379</v>
      </c>
      <c r="N602" t="s">
        <v>25</v>
      </c>
    </row>
    <row r="603" spans="1:14" x14ac:dyDescent="0.25">
      <c r="A603">
        <v>6</v>
      </c>
      <c r="B603" t="s">
        <v>384</v>
      </c>
      <c r="C603" t="str">
        <f>HYPERLINK("http://www.ncbi.nlm.nih.gov/protein/XP_035021869.1","XP_035021869.1")</f>
        <v>XP_035021869.1</v>
      </c>
      <c r="D603">
        <v>65062</v>
      </c>
      <c r="E603" t="str">
        <f>HYPERLINK("http://www.ncbi.nlm.nih.gov/Taxonomy/Browser/wwwtax.cgi?mode=Info&amp;id=195615&amp;lvl=3&amp;lin=f&amp;keep=1&amp;srchmode=1&amp;unlock","195615")</f>
        <v>195615</v>
      </c>
      <c r="F603" t="s">
        <v>384</v>
      </c>
      <c r="G603" t="str">
        <f>HYPERLINK("http://www.ncbi.nlm.nih.gov/Taxonomy/Browser/wwwtax.cgi?mode=Info&amp;id=195615&amp;lvl=3&amp;lin=f&amp;keep=1&amp;srchmode=1&amp;unlock","Hippoglossus stenolepis")</f>
        <v>Hippoglossus stenolepis</v>
      </c>
      <c r="H603" t="s">
        <v>524</v>
      </c>
      <c r="I603" t="str">
        <f>HYPERLINK("http://www.ncbi.nlm.nih.gov/protein/XP_035021869.1","fatty acid-binding protein, liver-type-like")</f>
        <v>fatty acid-binding protein, liver-type-like</v>
      </c>
      <c r="J603" t="s">
        <v>1390</v>
      </c>
      <c r="K603" t="s">
        <v>25</v>
      </c>
      <c r="L603">
        <v>50</v>
      </c>
      <c r="M603" t="s">
        <v>1379</v>
      </c>
      <c r="N603" t="s">
        <v>25</v>
      </c>
    </row>
    <row r="604" spans="1:14" x14ac:dyDescent="0.25">
      <c r="A604">
        <v>6</v>
      </c>
      <c r="B604" t="s">
        <v>384</v>
      </c>
      <c r="C604" t="str">
        <f>HYPERLINK("http://www.ncbi.nlm.nih.gov/protein/XP_023133436.1","XP_023133436.1")</f>
        <v>XP_023133436.1</v>
      </c>
      <c r="D604">
        <v>48634</v>
      </c>
      <c r="E604" t="str">
        <f>HYPERLINK("http://www.ncbi.nlm.nih.gov/Taxonomy/Browser/wwwtax.cgi?mode=Info&amp;id=80972&amp;lvl=3&amp;lin=f&amp;keep=1&amp;srchmode=1&amp;unlock","80972")</f>
        <v>80972</v>
      </c>
      <c r="F604" t="s">
        <v>384</v>
      </c>
      <c r="G604" t="str">
        <f>HYPERLINK("http://www.ncbi.nlm.nih.gov/Taxonomy/Browser/wwwtax.cgi?mode=Info&amp;id=80972&amp;lvl=3&amp;lin=f&amp;keep=1&amp;srchmode=1&amp;unlock","Amphiprion ocellaris")</f>
        <v>Amphiprion ocellaris</v>
      </c>
      <c r="H604" t="s">
        <v>525</v>
      </c>
      <c r="I604" t="str">
        <f>HYPERLINK("http://www.ncbi.nlm.nih.gov/protein/XP_023133436.1","fatty acid-binding protein, liver-type")</f>
        <v>fatty acid-binding protein, liver-type</v>
      </c>
      <c r="J604" t="s">
        <v>1390</v>
      </c>
      <c r="K604" t="s">
        <v>25</v>
      </c>
      <c r="L604">
        <v>50</v>
      </c>
      <c r="M604" t="s">
        <v>1379</v>
      </c>
      <c r="N604" t="s">
        <v>25</v>
      </c>
    </row>
    <row r="605" spans="1:14" x14ac:dyDescent="0.25">
      <c r="A605">
        <v>6</v>
      </c>
      <c r="B605" t="s">
        <v>384</v>
      </c>
      <c r="C605" t="str">
        <f>HYPERLINK("http://www.ncbi.nlm.nih.gov/protein/XP_016324559.1","XP_016324559.1")</f>
        <v>XP_016324559.1</v>
      </c>
      <c r="D605">
        <v>68489</v>
      </c>
      <c r="E605" t="str">
        <f>HYPERLINK("http://www.ncbi.nlm.nih.gov/Taxonomy/Browser/wwwtax.cgi?mode=Info&amp;id=1608454&amp;lvl=3&amp;lin=f&amp;keep=1&amp;srchmode=1&amp;unlock","1608454")</f>
        <v>1608454</v>
      </c>
      <c r="F605" t="s">
        <v>384</v>
      </c>
      <c r="G605" t="str">
        <f>HYPERLINK("http://www.ncbi.nlm.nih.gov/Taxonomy/Browser/wwwtax.cgi?mode=Info&amp;id=1608454&amp;lvl=3&amp;lin=f&amp;keep=1&amp;srchmode=1&amp;unlock","Sinocyclocheilus anshuiensis")</f>
        <v>Sinocyclocheilus anshuiensis</v>
      </c>
      <c r="H605" t="s">
        <v>529</v>
      </c>
      <c r="I605" t="str">
        <f>HYPERLINK("http://www.ncbi.nlm.nih.gov/protein/XP_016324559.1","PREDICTED: fatty acid-binding protein, liver")</f>
        <v>PREDICTED: fatty acid-binding protein, liver</v>
      </c>
      <c r="J605" t="s">
        <v>1390</v>
      </c>
      <c r="K605" t="s">
        <v>25</v>
      </c>
      <c r="L605">
        <v>50</v>
      </c>
      <c r="M605" t="s">
        <v>1379</v>
      </c>
      <c r="N605" t="s">
        <v>25</v>
      </c>
    </row>
    <row r="606" spans="1:14" x14ac:dyDescent="0.25">
      <c r="A606">
        <v>6</v>
      </c>
      <c r="B606" t="s">
        <v>384</v>
      </c>
      <c r="C606" t="str">
        <f>HYPERLINK("http://www.ncbi.nlm.nih.gov/protein/XP_037114705.1","XP_037114705.1")</f>
        <v>XP_037114705.1</v>
      </c>
      <c r="D606">
        <v>41996</v>
      </c>
      <c r="E606" t="str">
        <f>HYPERLINK("http://www.ncbi.nlm.nih.gov/Taxonomy/Browser/wwwtax.cgi?mode=Info&amp;id=161584&amp;lvl=3&amp;lin=f&amp;keep=1&amp;srchmode=1&amp;unlock","161584")</f>
        <v>161584</v>
      </c>
      <c r="F606" t="s">
        <v>384</v>
      </c>
      <c r="G606" t="str">
        <f>HYPERLINK("http://www.ncbi.nlm.nih.gov/Taxonomy/Browser/wwwtax.cgi?mode=Info&amp;id=161584&amp;lvl=3&amp;lin=f&amp;keep=1&amp;srchmode=1&amp;unlock","Syngnathus acus")</f>
        <v>Syngnathus acus</v>
      </c>
      <c r="H606" t="s">
        <v>530</v>
      </c>
      <c r="I606" t="str">
        <f>HYPERLINK("http://www.ncbi.nlm.nih.gov/protein/XP_037114705.1","fatty acid-binding protein, liver-type-like")</f>
        <v>fatty acid-binding protein, liver-type-like</v>
      </c>
      <c r="J606" t="s">
        <v>1390</v>
      </c>
      <c r="K606" t="s">
        <v>25</v>
      </c>
      <c r="L606">
        <v>50</v>
      </c>
      <c r="M606" t="s">
        <v>1379</v>
      </c>
      <c r="N606" t="s">
        <v>25</v>
      </c>
    </row>
    <row r="607" spans="1:14" x14ac:dyDescent="0.25">
      <c r="A607">
        <v>6</v>
      </c>
      <c r="B607" t="s">
        <v>384</v>
      </c>
      <c r="C607" t="str">
        <f>HYPERLINK("http://www.ncbi.nlm.nih.gov/protein/XP_040899087.1","XP_040899087.1")</f>
        <v>XP_040899087.1</v>
      </c>
      <c r="D607">
        <v>38442</v>
      </c>
      <c r="E607" t="str">
        <f>HYPERLINK("http://www.ncbi.nlm.nih.gov/Taxonomy/Browser/wwwtax.cgi?mode=Info&amp;id=941984&amp;lvl=3&amp;lin=f&amp;keep=1&amp;srchmode=1&amp;unlock","941984")</f>
        <v>941984</v>
      </c>
      <c r="F607" t="s">
        <v>384</v>
      </c>
      <c r="G607" t="str">
        <f>HYPERLINK("http://www.ncbi.nlm.nih.gov/Taxonomy/Browser/wwwtax.cgi?mode=Info&amp;id=941984&amp;lvl=3&amp;lin=f&amp;keep=1&amp;srchmode=1&amp;unlock","Toxotes jaculatrix")</f>
        <v>Toxotes jaculatrix</v>
      </c>
      <c r="H607" t="s">
        <v>531</v>
      </c>
      <c r="I607" t="str">
        <f>HYPERLINK("http://www.ncbi.nlm.nih.gov/protein/XP_040899087.1","fatty acid-binding protein, liver-type")</f>
        <v>fatty acid-binding protein, liver-type</v>
      </c>
      <c r="J607" t="s">
        <v>1390</v>
      </c>
      <c r="K607" t="s">
        <v>25</v>
      </c>
      <c r="L607">
        <v>50</v>
      </c>
      <c r="M607" t="s">
        <v>1379</v>
      </c>
      <c r="N607" t="s">
        <v>25</v>
      </c>
    </row>
    <row r="608" spans="1:14" x14ac:dyDescent="0.25">
      <c r="A608">
        <v>6</v>
      </c>
      <c r="B608" t="s">
        <v>384</v>
      </c>
      <c r="C608" t="str">
        <f>HYPERLINK("http://www.ncbi.nlm.nih.gov/protein/ALC78631.1","ALC78631.1")</f>
        <v>ALC78631.1</v>
      </c>
      <c r="D608">
        <v>433</v>
      </c>
      <c r="E608" t="str">
        <f>HYPERLINK("http://www.ncbi.nlm.nih.gov/Taxonomy/Browser/wwwtax.cgi?mode=Info&amp;id=28829&amp;lvl=3&amp;lin=f&amp;keep=1&amp;srchmode=1&amp;unlock","28829")</f>
        <v>28829</v>
      </c>
      <c r="F608" t="s">
        <v>384</v>
      </c>
      <c r="G608" t="str">
        <f>HYPERLINK("http://www.ncbi.nlm.nih.gov/Taxonomy/Browser/wwwtax.cgi?mode=Info&amp;id=28829&amp;lvl=3&amp;lin=f&amp;keep=1&amp;srchmode=1&amp;unlock","Solea senegalensis")</f>
        <v>Solea senegalensis</v>
      </c>
      <c r="H608" t="s">
        <v>527</v>
      </c>
      <c r="I608" t="str">
        <f>HYPERLINK("http://www.ncbi.nlm.nih.gov/protein/ALC78631.1","fatty acid binding protein 1")</f>
        <v>fatty acid binding protein 1</v>
      </c>
      <c r="J608" t="s">
        <v>1390</v>
      </c>
      <c r="K608" t="s">
        <v>25</v>
      </c>
      <c r="L608">
        <v>50</v>
      </c>
      <c r="M608" t="s">
        <v>1379</v>
      </c>
      <c r="N608" t="s">
        <v>25</v>
      </c>
    </row>
    <row r="609" spans="1:14" x14ac:dyDescent="0.25">
      <c r="A609">
        <v>6</v>
      </c>
      <c r="B609" t="s">
        <v>384</v>
      </c>
      <c r="C609" t="str">
        <f>HYPERLINK("http://www.ncbi.nlm.nih.gov/protein/TKS78254.1","TKS78254.1")</f>
        <v>TKS78254.1</v>
      </c>
      <c r="D609">
        <v>28569</v>
      </c>
      <c r="E609" t="str">
        <f>HYPERLINK("http://www.ncbi.nlm.nih.gov/Taxonomy/Browser/wwwtax.cgi?mode=Info&amp;id=240159&amp;lvl=3&amp;lin=f&amp;keep=1&amp;srchmode=1&amp;unlock","240159")</f>
        <v>240159</v>
      </c>
      <c r="F609" t="s">
        <v>384</v>
      </c>
      <c r="G609" t="str">
        <f>HYPERLINK("http://www.ncbi.nlm.nih.gov/Taxonomy/Browser/wwwtax.cgi?mode=Info&amp;id=240159&amp;lvl=3&amp;lin=f&amp;keep=1&amp;srchmode=1&amp;unlock","Collichthys lucidus")</f>
        <v>Collichthys lucidus</v>
      </c>
      <c r="H609" t="s">
        <v>528</v>
      </c>
      <c r="I609" t="str">
        <f>HYPERLINK("http://www.ncbi.nlm.nih.gov/protein/TKS78254.1","Fatty acid-binding protein, liver-type")</f>
        <v>Fatty acid-binding protein, liver-type</v>
      </c>
      <c r="J609" t="s">
        <v>1390</v>
      </c>
      <c r="K609" t="s">
        <v>25</v>
      </c>
      <c r="L609">
        <v>50</v>
      </c>
      <c r="M609" t="s">
        <v>1379</v>
      </c>
      <c r="N609" t="s">
        <v>25</v>
      </c>
    </row>
    <row r="610" spans="1:14" x14ac:dyDescent="0.25">
      <c r="A610">
        <v>6</v>
      </c>
      <c r="B610" t="s">
        <v>384</v>
      </c>
      <c r="C610" t="str">
        <f>HYPERLINK("http://www.ncbi.nlm.nih.gov/protein/XP_029916132.1","XP_029916132.1")</f>
        <v>XP_029916132.1</v>
      </c>
      <c r="D610">
        <v>38165</v>
      </c>
      <c r="E610" t="str">
        <f>HYPERLINK("http://www.ncbi.nlm.nih.gov/Taxonomy/Browser/wwwtax.cgi?mode=Info&amp;id=586833&amp;lvl=3&amp;lin=f&amp;keep=1&amp;srchmode=1&amp;unlock","586833")</f>
        <v>586833</v>
      </c>
      <c r="F610" t="s">
        <v>384</v>
      </c>
      <c r="G610" t="str">
        <f>HYPERLINK("http://www.ncbi.nlm.nih.gov/Taxonomy/Browser/wwwtax.cgi?mode=Info&amp;id=586833&amp;lvl=3&amp;lin=f&amp;keep=1&amp;srchmode=1&amp;unlock","Myripristis murdjan")</f>
        <v>Myripristis murdjan</v>
      </c>
      <c r="H610" t="s">
        <v>533</v>
      </c>
      <c r="I610" t="str">
        <f>HYPERLINK("http://www.ncbi.nlm.nih.gov/protein/XP_029916132.1","fatty acid-binding protein, liver")</f>
        <v>fatty acid-binding protein, liver</v>
      </c>
      <c r="J610" t="s">
        <v>1390</v>
      </c>
      <c r="K610" t="s">
        <v>25</v>
      </c>
      <c r="L610">
        <v>63</v>
      </c>
      <c r="M610" t="s">
        <v>1379</v>
      </c>
      <c r="N610" t="s">
        <v>25</v>
      </c>
    </row>
    <row r="611" spans="1:14" x14ac:dyDescent="0.25">
      <c r="A611">
        <v>6</v>
      </c>
      <c r="B611" t="s">
        <v>384</v>
      </c>
      <c r="C611" t="str">
        <f>HYPERLINK("http://www.ncbi.nlm.nih.gov/protein/XP_029961342.1","XP_029961342.1")</f>
        <v>XP_029961342.1</v>
      </c>
      <c r="D611">
        <v>39284</v>
      </c>
      <c r="E611" t="str">
        <f>HYPERLINK("http://www.ncbi.nlm.nih.gov/Taxonomy/Browser/wwwtax.cgi?mode=Info&amp;id=181472&amp;lvl=3&amp;lin=f&amp;keep=1&amp;srchmode=1&amp;unlock","181472")</f>
        <v>181472</v>
      </c>
      <c r="F611" t="s">
        <v>384</v>
      </c>
      <c r="G611" t="str">
        <f>HYPERLINK("http://www.ncbi.nlm.nih.gov/Taxonomy/Browser/wwwtax.cgi?mode=Info&amp;id=181472&amp;lvl=3&amp;lin=f&amp;keep=1&amp;srchmode=1&amp;unlock","Salarias fasciatus")</f>
        <v>Salarias fasciatus</v>
      </c>
      <c r="H611" t="s">
        <v>534</v>
      </c>
      <c r="I611" t="str">
        <f>HYPERLINK("http://www.ncbi.nlm.nih.gov/protein/XP_029961342.1","fatty acid-binding protein, liver isoform X1")</f>
        <v>fatty acid-binding protein, liver isoform X1</v>
      </c>
      <c r="J611" t="s">
        <v>1390</v>
      </c>
      <c r="K611" t="s">
        <v>25</v>
      </c>
      <c r="L611">
        <v>50</v>
      </c>
      <c r="M611" t="s">
        <v>1379</v>
      </c>
      <c r="N611" t="s">
        <v>25</v>
      </c>
    </row>
    <row r="612" spans="1:14" x14ac:dyDescent="0.25">
      <c r="A612">
        <v>6</v>
      </c>
      <c r="B612" t="s">
        <v>384</v>
      </c>
      <c r="C612" t="str">
        <f>HYPERLINK("http://www.ncbi.nlm.nih.gov/protein/NP_001038177.1","NP_001038177.1")</f>
        <v>NP_001038177.1</v>
      </c>
      <c r="D612">
        <v>87653</v>
      </c>
      <c r="E612" t="str">
        <f>HYPERLINK("http://www.ncbi.nlm.nih.gov/Taxonomy/Browser/wwwtax.cgi?mode=Info&amp;id=7955&amp;lvl=3&amp;lin=f&amp;keep=1&amp;srchmode=1&amp;unlock","7955")</f>
        <v>7955</v>
      </c>
      <c r="F612" t="s">
        <v>384</v>
      </c>
      <c r="G612" t="str">
        <f>HYPERLINK("http://www.ncbi.nlm.nih.gov/Taxonomy/Browser/wwwtax.cgi?mode=Info&amp;id=7955&amp;lvl=3&amp;lin=f&amp;keep=1&amp;srchmode=1&amp;unlock","Danio rerio")</f>
        <v>Danio rerio</v>
      </c>
      <c r="H612" t="s">
        <v>535</v>
      </c>
      <c r="I612" t="str">
        <f>HYPERLINK("http://www.ncbi.nlm.nih.gov/protein/NP_001038177.1","fatty acid binding protein 1-A, liver")</f>
        <v>fatty acid binding protein 1-A, liver</v>
      </c>
      <c r="J612" t="s">
        <v>1390</v>
      </c>
      <c r="K612" t="s">
        <v>25</v>
      </c>
      <c r="L612">
        <v>50</v>
      </c>
      <c r="M612" t="s">
        <v>1379</v>
      </c>
      <c r="N612" t="s">
        <v>25</v>
      </c>
    </row>
    <row r="613" spans="1:14" x14ac:dyDescent="0.25">
      <c r="A613">
        <v>6</v>
      </c>
      <c r="B613" t="s">
        <v>384</v>
      </c>
      <c r="C613" t="str">
        <f>HYPERLINK("http://www.ncbi.nlm.nih.gov/protein/XP_018530340.1","XP_018530340.1")</f>
        <v>XP_018530340.1</v>
      </c>
      <c r="D613">
        <v>45628</v>
      </c>
      <c r="E613" t="str">
        <f>HYPERLINK("http://www.ncbi.nlm.nih.gov/Taxonomy/Browser/wwwtax.cgi?mode=Info&amp;id=8187&amp;lvl=3&amp;lin=f&amp;keep=1&amp;srchmode=1&amp;unlock","8187")</f>
        <v>8187</v>
      </c>
      <c r="F613" t="s">
        <v>384</v>
      </c>
      <c r="G613" t="str">
        <f>HYPERLINK("http://www.ncbi.nlm.nih.gov/Taxonomy/Browser/wwwtax.cgi?mode=Info&amp;id=8187&amp;lvl=3&amp;lin=f&amp;keep=1&amp;srchmode=1&amp;unlock","Lates calcarifer")</f>
        <v>Lates calcarifer</v>
      </c>
      <c r="H613" t="s">
        <v>532</v>
      </c>
      <c r="I613" t="str">
        <f>HYPERLINK("http://www.ncbi.nlm.nih.gov/protein/XP_018530340.1","PREDICTED: fatty acid-binding protein, liver")</f>
        <v>PREDICTED: fatty acid-binding protein, liver</v>
      </c>
      <c r="J613" t="s">
        <v>1390</v>
      </c>
      <c r="K613" t="s">
        <v>25</v>
      </c>
      <c r="L613">
        <v>50</v>
      </c>
      <c r="M613" t="s">
        <v>1379</v>
      </c>
      <c r="N613" t="s">
        <v>25</v>
      </c>
    </row>
    <row r="614" spans="1:14" x14ac:dyDescent="0.25">
      <c r="A614">
        <v>6</v>
      </c>
      <c r="B614" t="s">
        <v>384</v>
      </c>
      <c r="C614" t="str">
        <f>HYPERLINK("http://www.ncbi.nlm.nih.gov/protein/XP_006626561.1","XP_006626561.1")</f>
        <v>XP_006626561.1</v>
      </c>
      <c r="D614">
        <v>41863</v>
      </c>
      <c r="E614" t="str">
        <f>HYPERLINK("http://www.ncbi.nlm.nih.gov/Taxonomy/Browser/wwwtax.cgi?mode=Info&amp;id=7918&amp;lvl=3&amp;lin=f&amp;keep=1&amp;srchmode=1&amp;unlock","7918")</f>
        <v>7918</v>
      </c>
      <c r="F614" t="s">
        <v>384</v>
      </c>
      <c r="G614" t="str">
        <f>HYPERLINK("http://www.ncbi.nlm.nih.gov/Taxonomy/Browser/wwwtax.cgi?mode=Info&amp;id=7918&amp;lvl=3&amp;lin=f&amp;keep=1&amp;srchmode=1&amp;unlock","Lepisosteus oculatus")</f>
        <v>Lepisosteus oculatus</v>
      </c>
      <c r="H614" t="s">
        <v>537</v>
      </c>
      <c r="I614" t="str">
        <f>HYPERLINK("http://www.ncbi.nlm.nih.gov/protein/XP_006626561.1","PREDICTED: fatty acid-binding protein, liver")</f>
        <v>PREDICTED: fatty acid-binding protein, liver</v>
      </c>
      <c r="J614" t="s">
        <v>1390</v>
      </c>
      <c r="K614" t="s">
        <v>25</v>
      </c>
      <c r="L614">
        <v>50</v>
      </c>
      <c r="M614" t="s">
        <v>1379</v>
      </c>
      <c r="N614" t="s">
        <v>25</v>
      </c>
    </row>
    <row r="615" spans="1:14" x14ac:dyDescent="0.25">
      <c r="A615">
        <v>6</v>
      </c>
      <c r="B615" t="s">
        <v>384</v>
      </c>
      <c r="C615" t="str">
        <f>HYPERLINK("http://www.ncbi.nlm.nih.gov/protein/XP_016414672.1","XP_016414672.1")</f>
        <v>XP_016414672.1</v>
      </c>
      <c r="D615">
        <v>68583</v>
      </c>
      <c r="E615" t="str">
        <f>HYPERLINK("http://www.ncbi.nlm.nih.gov/Taxonomy/Browser/wwwtax.cgi?mode=Info&amp;id=307959&amp;lvl=3&amp;lin=f&amp;keep=1&amp;srchmode=1&amp;unlock","307959")</f>
        <v>307959</v>
      </c>
      <c r="F615" t="s">
        <v>384</v>
      </c>
      <c r="G615" t="str">
        <f>HYPERLINK("http://www.ncbi.nlm.nih.gov/Taxonomy/Browser/wwwtax.cgi?mode=Info&amp;id=307959&amp;lvl=3&amp;lin=f&amp;keep=1&amp;srchmode=1&amp;unlock","Sinocyclocheilus rhinocerous")</f>
        <v>Sinocyclocheilus rhinocerous</v>
      </c>
      <c r="H615" t="s">
        <v>529</v>
      </c>
      <c r="I615" t="str">
        <f>HYPERLINK("http://www.ncbi.nlm.nih.gov/protein/XP_016414672.1","PREDICTED: fatty acid binding protein 1-A, liver")</f>
        <v>PREDICTED: fatty acid binding protein 1-A, liver</v>
      </c>
      <c r="J615" t="s">
        <v>1390</v>
      </c>
      <c r="K615" t="s">
        <v>25</v>
      </c>
      <c r="L615">
        <v>53</v>
      </c>
      <c r="M615" t="s">
        <v>1379</v>
      </c>
      <c r="N615" t="s">
        <v>25</v>
      </c>
    </row>
    <row r="616" spans="1:14" x14ac:dyDescent="0.25">
      <c r="A616">
        <v>6</v>
      </c>
      <c r="B616" t="s">
        <v>384</v>
      </c>
      <c r="C616" t="str">
        <f>HYPERLINK("http://www.ncbi.nlm.nih.gov/protein/XP_034452876.1","XP_034452876.1")</f>
        <v>XP_034452876.1</v>
      </c>
      <c r="D616">
        <v>47299</v>
      </c>
      <c r="E616" t="str">
        <f>HYPERLINK("http://www.ncbi.nlm.nih.gov/Taxonomy/Browser/wwwtax.cgi?mode=Info&amp;id=8267&amp;lvl=3&amp;lin=f&amp;keep=1&amp;srchmode=1&amp;unlock","8267")</f>
        <v>8267</v>
      </c>
      <c r="F616" t="s">
        <v>384</v>
      </c>
      <c r="G616" t="str">
        <f>HYPERLINK("http://www.ncbi.nlm.nih.gov/Taxonomy/Browser/wwwtax.cgi?mode=Info&amp;id=8267&amp;lvl=3&amp;lin=f&amp;keep=1&amp;srchmode=1&amp;unlock","Hippoglossus hippoglossus")</f>
        <v>Hippoglossus hippoglossus</v>
      </c>
      <c r="H616" t="s">
        <v>538</v>
      </c>
      <c r="I616" t="str">
        <f>HYPERLINK("http://www.ncbi.nlm.nih.gov/protein/XP_034452876.1","fatty acid-binding protein, liver-type-like")</f>
        <v>fatty acid-binding protein, liver-type-like</v>
      </c>
      <c r="J616" t="s">
        <v>1390</v>
      </c>
      <c r="K616" t="s">
        <v>25</v>
      </c>
      <c r="L616">
        <v>50</v>
      </c>
      <c r="M616" t="s">
        <v>1379</v>
      </c>
      <c r="N616" t="s">
        <v>25</v>
      </c>
    </row>
    <row r="617" spans="1:14" x14ac:dyDescent="0.25">
      <c r="A617">
        <v>6</v>
      </c>
      <c r="B617" t="s">
        <v>384</v>
      </c>
      <c r="C617" t="str">
        <f>HYPERLINK("http://www.ncbi.nlm.nih.gov/protein/XP_031161071.2","XP_031161071.2")</f>
        <v>XP_031161071.2</v>
      </c>
      <c r="D617">
        <v>56683</v>
      </c>
      <c r="E617" t="str">
        <f>HYPERLINK("http://www.ncbi.nlm.nih.gov/Taxonomy/Browser/wwwtax.cgi?mode=Info&amp;id=283035&amp;lvl=3&amp;lin=f&amp;keep=1&amp;srchmode=1&amp;unlock","283035")</f>
        <v>283035</v>
      </c>
      <c r="F617" t="s">
        <v>384</v>
      </c>
      <c r="G617" t="str">
        <f>HYPERLINK("http://www.ncbi.nlm.nih.gov/Taxonomy/Browser/wwwtax.cgi?mode=Info&amp;id=283035&amp;lvl=3&amp;lin=f&amp;keep=1&amp;srchmode=1&amp;unlock","Sander lucioperca")</f>
        <v>Sander lucioperca</v>
      </c>
      <c r="H617" t="s">
        <v>539</v>
      </c>
      <c r="I617" t="str">
        <f>HYPERLINK("http://www.ncbi.nlm.nih.gov/protein/XP_031161071.2","fatty acid-binding protein, liver-type isoform X1")</f>
        <v>fatty acid-binding protein, liver-type isoform X1</v>
      </c>
      <c r="J617" t="s">
        <v>1390</v>
      </c>
      <c r="K617" t="s">
        <v>25</v>
      </c>
      <c r="L617">
        <v>76</v>
      </c>
      <c r="M617" t="s">
        <v>1379</v>
      </c>
      <c r="N617" t="s">
        <v>25</v>
      </c>
    </row>
    <row r="618" spans="1:14" x14ac:dyDescent="0.25">
      <c r="A618">
        <v>6</v>
      </c>
      <c r="B618" t="s">
        <v>384</v>
      </c>
      <c r="C618" t="str">
        <f>HYPERLINK("http://www.ncbi.nlm.nih.gov/protein/XP_031712715.1","XP_031712715.1")</f>
        <v>XP_031712715.1</v>
      </c>
      <c r="D618">
        <v>41911</v>
      </c>
      <c r="E618" t="str">
        <f>HYPERLINK("http://www.ncbi.nlm.nih.gov/Taxonomy/Browser/wwwtax.cgi?mode=Info&amp;id=433405&amp;lvl=3&amp;lin=f&amp;keep=1&amp;srchmode=1&amp;unlock","433405")</f>
        <v>433405</v>
      </c>
      <c r="F618" t="s">
        <v>384</v>
      </c>
      <c r="G618" t="str">
        <f>HYPERLINK("http://www.ncbi.nlm.nih.gov/Taxonomy/Browser/wwwtax.cgi?mode=Info&amp;id=433405&amp;lvl=3&amp;lin=f&amp;keep=1&amp;srchmode=1&amp;unlock","Anarrhichthys ocellatus")</f>
        <v>Anarrhichthys ocellatus</v>
      </c>
      <c r="H618" t="s">
        <v>536</v>
      </c>
      <c r="I618" t="str">
        <f>HYPERLINK("http://www.ncbi.nlm.nih.gov/protein/XP_031712715.1","fatty acid-binding protein, liver")</f>
        <v>fatty acid-binding protein, liver</v>
      </c>
      <c r="J618" t="s">
        <v>1390</v>
      </c>
      <c r="K618" t="s">
        <v>25</v>
      </c>
      <c r="L618">
        <v>50</v>
      </c>
      <c r="M618" t="s">
        <v>1379</v>
      </c>
      <c r="N618" t="s">
        <v>25</v>
      </c>
    </row>
    <row r="619" spans="1:14" x14ac:dyDescent="0.25">
      <c r="A619">
        <v>6</v>
      </c>
      <c r="B619" t="s">
        <v>384</v>
      </c>
      <c r="C619" t="str">
        <f>HYPERLINK("http://www.ncbi.nlm.nih.gov/protein/TNN50194.1","TNN50194.1")</f>
        <v>TNN50194.1</v>
      </c>
      <c r="D619">
        <v>68294</v>
      </c>
      <c r="E619" t="str">
        <f>HYPERLINK("http://www.ncbi.nlm.nih.gov/Taxonomy/Browser/wwwtax.cgi?mode=Info&amp;id=230148&amp;lvl=3&amp;lin=f&amp;keep=1&amp;srchmode=1&amp;unlock","230148")</f>
        <v>230148</v>
      </c>
      <c r="F619" t="s">
        <v>384</v>
      </c>
      <c r="G619" t="str">
        <f>HYPERLINK("http://www.ncbi.nlm.nih.gov/Taxonomy/Browser/wwwtax.cgi?mode=Info&amp;id=230148&amp;lvl=3&amp;lin=f&amp;keep=1&amp;srchmode=1&amp;unlock","Liparis tanakae")</f>
        <v>Liparis tanakae</v>
      </c>
      <c r="H619" t="s">
        <v>542</v>
      </c>
      <c r="I619" t="str">
        <f>HYPERLINK("http://www.ncbi.nlm.nih.gov/protein/TNN50194.1","Fatty acid-binding protein, liver-type")</f>
        <v>Fatty acid-binding protein, liver-type</v>
      </c>
      <c r="J619" t="s">
        <v>1390</v>
      </c>
      <c r="K619" t="s">
        <v>25</v>
      </c>
      <c r="L619">
        <v>50</v>
      </c>
      <c r="M619" t="s">
        <v>1383</v>
      </c>
      <c r="N619" t="s">
        <v>25</v>
      </c>
    </row>
    <row r="620" spans="1:14" x14ac:dyDescent="0.25">
      <c r="A620">
        <v>6</v>
      </c>
      <c r="B620" t="s">
        <v>384</v>
      </c>
      <c r="C620" t="str">
        <f>HYPERLINK("http://www.ncbi.nlm.nih.gov/protein/XP_016144627.1","XP_016144627.1")</f>
        <v>XP_016144627.1</v>
      </c>
      <c r="D620">
        <v>67440</v>
      </c>
      <c r="E620" t="str">
        <f>HYPERLINK("http://www.ncbi.nlm.nih.gov/Taxonomy/Browser/wwwtax.cgi?mode=Info&amp;id=75366&amp;lvl=3&amp;lin=f&amp;keep=1&amp;srchmode=1&amp;unlock","75366")</f>
        <v>75366</v>
      </c>
      <c r="F620" t="s">
        <v>384</v>
      </c>
      <c r="G620" t="str">
        <f>HYPERLINK("http://www.ncbi.nlm.nih.gov/Taxonomy/Browser/wwwtax.cgi?mode=Info&amp;id=75366&amp;lvl=3&amp;lin=f&amp;keep=1&amp;srchmode=1&amp;unlock","Sinocyclocheilus grahami")</f>
        <v>Sinocyclocheilus grahami</v>
      </c>
      <c r="H620" t="s">
        <v>529</v>
      </c>
      <c r="I620" t="str">
        <f>HYPERLINK("http://www.ncbi.nlm.nih.gov/protein/XP_016144627.1","PREDICTED: fatty acid binding protein 1-A, liver")</f>
        <v>PREDICTED: fatty acid binding protein 1-A, liver</v>
      </c>
      <c r="J620" t="s">
        <v>1390</v>
      </c>
      <c r="K620" t="s">
        <v>25</v>
      </c>
      <c r="L620">
        <v>50</v>
      </c>
      <c r="M620" t="s">
        <v>1379</v>
      </c>
      <c r="N620" t="s">
        <v>25</v>
      </c>
    </row>
    <row r="621" spans="1:14" x14ac:dyDescent="0.25">
      <c r="A621">
        <v>6</v>
      </c>
      <c r="B621" t="s">
        <v>384</v>
      </c>
      <c r="C621" t="str">
        <f>HYPERLINK("http://www.ncbi.nlm.nih.gov/protein/XP_026177327.1","XP_026177327.1")</f>
        <v>XP_026177327.1</v>
      </c>
      <c r="D621">
        <v>42451</v>
      </c>
      <c r="E621" t="str">
        <f>HYPERLINK("http://www.ncbi.nlm.nih.gov/Taxonomy/Browser/wwwtax.cgi?mode=Info&amp;id=205130&amp;lvl=3&amp;lin=f&amp;keep=1&amp;srchmode=1&amp;unlock","205130")</f>
        <v>205130</v>
      </c>
      <c r="F621" t="s">
        <v>384</v>
      </c>
      <c r="G621" t="str">
        <f>HYPERLINK("http://www.ncbi.nlm.nih.gov/Taxonomy/Browser/wwwtax.cgi?mode=Info&amp;id=205130&amp;lvl=3&amp;lin=f&amp;keep=1&amp;srchmode=1&amp;unlock","Mastacembelus armatus")</f>
        <v>Mastacembelus armatus</v>
      </c>
      <c r="H621" t="s">
        <v>540</v>
      </c>
      <c r="I621" t="str">
        <f>HYPERLINK("http://www.ncbi.nlm.nih.gov/protein/XP_026177327.1","fatty acid-binding protein, liver")</f>
        <v>fatty acid-binding protein, liver</v>
      </c>
      <c r="J621" t="s">
        <v>1390</v>
      </c>
      <c r="K621" t="s">
        <v>25</v>
      </c>
      <c r="L621">
        <v>50</v>
      </c>
      <c r="M621" t="s">
        <v>1379</v>
      </c>
      <c r="N621" t="s">
        <v>25</v>
      </c>
    </row>
    <row r="622" spans="1:14" x14ac:dyDescent="0.25">
      <c r="A622">
        <v>6</v>
      </c>
      <c r="B622" t="s">
        <v>384</v>
      </c>
      <c r="C622" t="str">
        <f>HYPERLINK("http://www.ncbi.nlm.nih.gov/protein/XP_038560557.1","XP_038560557.1")</f>
        <v>XP_038560557.1</v>
      </c>
      <c r="D622">
        <v>48256</v>
      </c>
      <c r="E622" t="str">
        <f>HYPERLINK("http://www.ncbi.nlm.nih.gov/Taxonomy/Browser/wwwtax.cgi?mode=Info&amp;id=27706&amp;lvl=3&amp;lin=f&amp;keep=1&amp;srchmode=1&amp;unlock","27706")</f>
        <v>27706</v>
      </c>
      <c r="F622" t="s">
        <v>384</v>
      </c>
      <c r="G622" t="str">
        <f>HYPERLINK("http://www.ncbi.nlm.nih.gov/Taxonomy/Browser/wwwtax.cgi?mode=Info&amp;id=27706&amp;lvl=3&amp;lin=f&amp;keep=1&amp;srchmode=1&amp;unlock","Micropterus salmoides")</f>
        <v>Micropterus salmoides</v>
      </c>
      <c r="H622" t="s">
        <v>541</v>
      </c>
      <c r="I622" t="str">
        <f>HYPERLINK("http://www.ncbi.nlm.nih.gov/protein/XP_038560557.1","fatty acid-binding protein, liver-type")</f>
        <v>fatty acid-binding protein, liver-type</v>
      </c>
      <c r="J622" t="s">
        <v>1390</v>
      </c>
      <c r="K622" t="s">
        <v>25</v>
      </c>
      <c r="L622">
        <v>50</v>
      </c>
      <c r="M622" t="s">
        <v>1379</v>
      </c>
      <c r="N622" t="s">
        <v>25</v>
      </c>
    </row>
    <row r="623" spans="1:14" x14ac:dyDescent="0.25">
      <c r="A623">
        <v>6</v>
      </c>
      <c r="B623" t="s">
        <v>384</v>
      </c>
      <c r="C623" t="str">
        <f>HYPERLINK("http://www.ncbi.nlm.nih.gov/protein/AOW69614.1","AOW69614.1")</f>
        <v>AOW69614.1</v>
      </c>
      <c r="D623">
        <v>339</v>
      </c>
      <c r="E623" t="str">
        <f>HYPERLINK("http://www.ncbi.nlm.nih.gov/Taxonomy/Browser/wwwtax.cgi?mode=Info&amp;id=8164&amp;lvl=3&amp;lin=f&amp;keep=1&amp;srchmode=1&amp;unlock","8164")</f>
        <v>8164</v>
      </c>
      <c r="F623" t="s">
        <v>384</v>
      </c>
      <c r="G623" t="str">
        <f>HYPERLINK("http://www.ncbi.nlm.nih.gov/Taxonomy/Browser/wwwtax.cgi?mode=Info&amp;id=8164&amp;lvl=3&amp;lin=f&amp;keep=1&amp;srchmode=1&amp;unlock","Lateolabrax japonicus")</f>
        <v>Lateolabrax japonicus</v>
      </c>
      <c r="H623" t="s">
        <v>543</v>
      </c>
      <c r="I623" t="str">
        <f>HYPERLINK("http://www.ncbi.nlm.nih.gov/protein/AOW69614.1","liver-type fatty acid-binding protein")</f>
        <v>liver-type fatty acid-binding protein</v>
      </c>
      <c r="J623" t="s">
        <v>1390</v>
      </c>
      <c r="K623" t="s">
        <v>25</v>
      </c>
      <c r="L623">
        <v>50</v>
      </c>
      <c r="M623" t="s">
        <v>1379</v>
      </c>
      <c r="N623" t="s">
        <v>25</v>
      </c>
    </row>
    <row r="624" spans="1:14" x14ac:dyDescent="0.25">
      <c r="A624">
        <v>6</v>
      </c>
      <c r="B624" t="s">
        <v>384</v>
      </c>
      <c r="C624" t="str">
        <f>HYPERLINK("http://www.ncbi.nlm.nih.gov/protein/XP_034728078.1","XP_034728078.1")</f>
        <v>XP_034728078.1</v>
      </c>
      <c r="D624">
        <v>45233</v>
      </c>
      <c r="E624" t="str">
        <f>HYPERLINK("http://www.ncbi.nlm.nih.gov/Taxonomy/Browser/wwwtax.cgi?mode=Info&amp;id=417921&amp;lvl=3&amp;lin=f&amp;keep=1&amp;srchmode=1&amp;unlock","417921")</f>
        <v>417921</v>
      </c>
      <c r="F624" t="s">
        <v>384</v>
      </c>
      <c r="G624" t="str">
        <f>HYPERLINK("http://www.ncbi.nlm.nih.gov/Taxonomy/Browser/wwwtax.cgi?mode=Info&amp;id=417921&amp;lvl=3&amp;lin=f&amp;keep=1&amp;srchmode=1&amp;unlock","Etheostoma cragini")</f>
        <v>Etheostoma cragini</v>
      </c>
      <c r="H624" t="s">
        <v>544</v>
      </c>
      <c r="I624" t="str">
        <f>HYPERLINK("http://www.ncbi.nlm.nih.gov/protein/XP_034728078.1","fatty acid-binding protein, liver-type")</f>
        <v>fatty acid-binding protein, liver-type</v>
      </c>
      <c r="J624" t="s">
        <v>1390</v>
      </c>
      <c r="K624" t="s">
        <v>25</v>
      </c>
      <c r="L624">
        <v>50</v>
      </c>
      <c r="M624" t="s">
        <v>1379</v>
      </c>
      <c r="N624" t="s">
        <v>25</v>
      </c>
    </row>
    <row r="625" spans="1:14" x14ac:dyDescent="0.25">
      <c r="A625">
        <v>6</v>
      </c>
      <c r="B625" t="s">
        <v>384</v>
      </c>
      <c r="C625" t="str">
        <f>HYPERLINK("http://www.ncbi.nlm.nih.gov/protein/XP_028434716.1","XP_028434716.1")</f>
        <v>XP_028434716.1</v>
      </c>
      <c r="D625">
        <v>65039</v>
      </c>
      <c r="E625" t="str">
        <f>HYPERLINK("http://www.ncbi.nlm.nih.gov/Taxonomy/Browser/wwwtax.cgi?mode=Info&amp;id=8167&amp;lvl=3&amp;lin=f&amp;keep=1&amp;srchmode=1&amp;unlock","8167")</f>
        <v>8167</v>
      </c>
      <c r="F625" t="s">
        <v>384</v>
      </c>
      <c r="G625" t="str">
        <f>HYPERLINK("http://www.ncbi.nlm.nih.gov/Taxonomy/Browser/wwwtax.cgi?mode=Info&amp;id=8167&amp;lvl=3&amp;lin=f&amp;keep=1&amp;srchmode=1&amp;unlock","Perca flavescens")</f>
        <v>Perca flavescens</v>
      </c>
      <c r="H625" t="s">
        <v>545</v>
      </c>
      <c r="I625" t="str">
        <f>HYPERLINK("http://www.ncbi.nlm.nih.gov/protein/XP_028434716.1","fatty acid-binding protein, liver-type-like")</f>
        <v>fatty acid-binding protein, liver-type-like</v>
      </c>
      <c r="J625" t="s">
        <v>1390</v>
      </c>
      <c r="K625" t="s">
        <v>25</v>
      </c>
      <c r="L625">
        <v>50</v>
      </c>
      <c r="M625" t="s">
        <v>1379</v>
      </c>
      <c r="N625" t="s">
        <v>25</v>
      </c>
    </row>
    <row r="626" spans="1:14" x14ac:dyDescent="0.25">
      <c r="A626">
        <v>6</v>
      </c>
      <c r="B626" t="s">
        <v>384</v>
      </c>
      <c r="C626" t="str">
        <f>HYPERLINK("http://www.ncbi.nlm.nih.gov/protein/XP_020449296.1","XP_020449296.1")</f>
        <v>XP_020449296.1</v>
      </c>
      <c r="D626">
        <v>40892</v>
      </c>
      <c r="E626" t="str">
        <f>HYPERLINK("http://www.ncbi.nlm.nih.gov/Taxonomy/Browser/wwwtax.cgi?mode=Info&amp;id=43700&amp;lvl=3&amp;lin=f&amp;keep=1&amp;srchmode=1&amp;unlock","43700")</f>
        <v>43700</v>
      </c>
      <c r="F626" t="s">
        <v>384</v>
      </c>
      <c r="G626" t="str">
        <f>HYPERLINK("http://www.ncbi.nlm.nih.gov/Taxonomy/Browser/wwwtax.cgi?mode=Info&amp;id=43700&amp;lvl=3&amp;lin=f&amp;keep=1&amp;srchmode=1&amp;unlock","Monopterus albus")</f>
        <v>Monopterus albus</v>
      </c>
      <c r="H626" t="s">
        <v>547</v>
      </c>
      <c r="I626" t="str">
        <f>HYPERLINK("http://www.ncbi.nlm.nih.gov/protein/XP_020449296.1","fatty acid-binding protein, liver-type-like")</f>
        <v>fatty acid-binding protein, liver-type-like</v>
      </c>
      <c r="J626" t="s">
        <v>1390</v>
      </c>
      <c r="K626" t="s">
        <v>25</v>
      </c>
      <c r="L626">
        <v>50</v>
      </c>
      <c r="M626" t="s">
        <v>1379</v>
      </c>
      <c r="N626" t="s">
        <v>25</v>
      </c>
    </row>
    <row r="627" spans="1:14" x14ac:dyDescent="0.25">
      <c r="A627">
        <v>6</v>
      </c>
      <c r="B627" t="s">
        <v>384</v>
      </c>
      <c r="C627" t="str">
        <f>HYPERLINK("http://www.ncbi.nlm.nih.gov/protein/XP_028270578.1","XP_028270578.1")</f>
        <v>XP_028270578.1</v>
      </c>
      <c r="D627">
        <v>41035</v>
      </c>
      <c r="E627" t="str">
        <f>HYPERLINK("http://www.ncbi.nlm.nih.gov/Taxonomy/Browser/wwwtax.cgi?mode=Info&amp;id=210632&amp;lvl=3&amp;lin=f&amp;keep=1&amp;srchmode=1&amp;unlock","210632")</f>
        <v>210632</v>
      </c>
      <c r="F627" t="s">
        <v>384</v>
      </c>
      <c r="G627" t="str">
        <f>HYPERLINK("http://www.ncbi.nlm.nih.gov/Taxonomy/Browser/wwwtax.cgi?mode=Info&amp;id=210632&amp;lvl=3&amp;lin=f&amp;keep=1&amp;srchmode=1&amp;unlock","Parambassis ranga")</f>
        <v>Parambassis ranga</v>
      </c>
      <c r="H627" t="s">
        <v>549</v>
      </c>
      <c r="I627" t="str">
        <f>HYPERLINK("http://www.ncbi.nlm.nih.gov/protein/XP_028270578.1","fatty acid-binding protein, liver")</f>
        <v>fatty acid-binding protein, liver</v>
      </c>
      <c r="J627" t="s">
        <v>1390</v>
      </c>
      <c r="K627" t="s">
        <v>25</v>
      </c>
      <c r="L627">
        <v>50</v>
      </c>
      <c r="M627" t="s">
        <v>1379</v>
      </c>
      <c r="N627" t="s">
        <v>25</v>
      </c>
    </row>
    <row r="628" spans="1:14" x14ac:dyDescent="0.25">
      <c r="A628">
        <v>6</v>
      </c>
      <c r="B628" t="s">
        <v>384</v>
      </c>
      <c r="C628" t="str">
        <f>HYPERLINK("http://www.ncbi.nlm.nih.gov/protein/XP_008284849.1","XP_008284849.1")</f>
        <v>XP_008284849.1</v>
      </c>
      <c r="D628">
        <v>31743</v>
      </c>
      <c r="E628" t="str">
        <f>HYPERLINK("http://www.ncbi.nlm.nih.gov/Taxonomy/Browser/wwwtax.cgi?mode=Info&amp;id=144197&amp;lvl=3&amp;lin=f&amp;keep=1&amp;srchmode=1&amp;unlock","144197")</f>
        <v>144197</v>
      </c>
      <c r="F628" t="s">
        <v>384</v>
      </c>
      <c r="G628" t="str">
        <f>HYPERLINK("http://www.ncbi.nlm.nih.gov/Taxonomy/Browser/wwwtax.cgi?mode=Info&amp;id=144197&amp;lvl=3&amp;lin=f&amp;keep=1&amp;srchmode=1&amp;unlock","Stegastes partitus")</f>
        <v>Stegastes partitus</v>
      </c>
      <c r="H628" t="s">
        <v>546</v>
      </c>
      <c r="I628" t="str">
        <f>HYPERLINK("http://www.ncbi.nlm.nih.gov/protein/XP_008284849.1","PREDICTED: fatty acid-binding protein, liver")</f>
        <v>PREDICTED: fatty acid-binding protein, liver</v>
      </c>
      <c r="J628" t="s">
        <v>1390</v>
      </c>
      <c r="K628" t="s">
        <v>25</v>
      </c>
      <c r="L628">
        <v>50</v>
      </c>
      <c r="M628" t="s">
        <v>1379</v>
      </c>
      <c r="N628" t="s">
        <v>25</v>
      </c>
    </row>
    <row r="629" spans="1:14" x14ac:dyDescent="0.25">
      <c r="A629">
        <v>6</v>
      </c>
      <c r="B629" t="s">
        <v>384</v>
      </c>
      <c r="C629" t="str">
        <f>HYPERLINK("http://www.ncbi.nlm.nih.gov/protein/XP_026199525.1","XP_026199525.1")</f>
        <v>XP_026199525.1</v>
      </c>
      <c r="D629">
        <v>40631</v>
      </c>
      <c r="E629" t="str">
        <f>HYPERLINK("http://www.ncbi.nlm.nih.gov/Taxonomy/Browser/wwwtax.cgi?mode=Info&amp;id=64144&amp;lvl=3&amp;lin=f&amp;keep=1&amp;srchmode=1&amp;unlock","64144")</f>
        <v>64144</v>
      </c>
      <c r="F629" t="s">
        <v>384</v>
      </c>
      <c r="G629" t="str">
        <f>HYPERLINK("http://www.ncbi.nlm.nih.gov/Taxonomy/Browser/wwwtax.cgi?mode=Info&amp;id=64144&amp;lvl=3&amp;lin=f&amp;keep=1&amp;srchmode=1&amp;unlock","Anabas testudineus")</f>
        <v>Anabas testudineus</v>
      </c>
      <c r="H629" t="s">
        <v>553</v>
      </c>
      <c r="I629" t="str">
        <f>HYPERLINK("http://www.ncbi.nlm.nih.gov/protein/XP_026199525.1","fatty acid-binding protein, liver-type")</f>
        <v>fatty acid-binding protein, liver-type</v>
      </c>
      <c r="J629" t="s">
        <v>1390</v>
      </c>
      <c r="K629" t="s">
        <v>25</v>
      </c>
      <c r="L629">
        <v>50</v>
      </c>
      <c r="M629" t="s">
        <v>1379</v>
      </c>
      <c r="N629" t="s">
        <v>25</v>
      </c>
    </row>
    <row r="630" spans="1:14" x14ac:dyDescent="0.25">
      <c r="A630">
        <v>6</v>
      </c>
      <c r="B630" t="s">
        <v>384</v>
      </c>
      <c r="C630" t="str">
        <f>HYPERLINK("http://www.ncbi.nlm.nih.gov/protein/XP_035514644.1","XP_035514644.1")</f>
        <v>XP_035514644.1</v>
      </c>
      <c r="D630">
        <v>31138</v>
      </c>
      <c r="E630" t="str">
        <f>HYPERLINK("http://www.ncbi.nlm.nih.gov/Taxonomy/Browser/wwwtax.cgi?mode=Info&amp;id=34816&amp;lvl=3&amp;lin=f&amp;keep=1&amp;srchmode=1&amp;unlock","34816")</f>
        <v>34816</v>
      </c>
      <c r="F630" t="s">
        <v>384</v>
      </c>
      <c r="G630" t="str">
        <f>HYPERLINK("http://www.ncbi.nlm.nih.gov/Taxonomy/Browser/wwwtax.cgi?mode=Info&amp;id=34816&amp;lvl=3&amp;lin=f&amp;keep=1&amp;srchmode=1&amp;unlock","Morone saxatilis")</f>
        <v>Morone saxatilis</v>
      </c>
      <c r="H630" t="s">
        <v>555</v>
      </c>
      <c r="I630" t="str">
        <f>HYPERLINK("http://www.ncbi.nlm.nih.gov/protein/XP_035514644.1","fatty acid-binding protein, liver-type")</f>
        <v>fatty acid-binding protein, liver-type</v>
      </c>
      <c r="J630" t="s">
        <v>1390</v>
      </c>
      <c r="K630" t="s">
        <v>25</v>
      </c>
      <c r="L630">
        <v>50</v>
      </c>
      <c r="M630" t="s">
        <v>1379</v>
      </c>
      <c r="N630" t="s">
        <v>25</v>
      </c>
    </row>
    <row r="631" spans="1:14" x14ac:dyDescent="0.25">
      <c r="A631">
        <v>6</v>
      </c>
      <c r="B631" t="s">
        <v>384</v>
      </c>
      <c r="C631" t="str">
        <f>HYPERLINK("http://www.ncbi.nlm.nih.gov/protein/XP_010731481.1","XP_010731481.1")</f>
        <v>XP_010731481.1</v>
      </c>
      <c r="D631">
        <v>94451</v>
      </c>
      <c r="E631" t="str">
        <f>HYPERLINK("http://www.ncbi.nlm.nih.gov/Taxonomy/Browser/wwwtax.cgi?mode=Info&amp;id=215358&amp;lvl=3&amp;lin=f&amp;keep=1&amp;srchmode=1&amp;unlock","215358")</f>
        <v>215358</v>
      </c>
      <c r="F631" t="s">
        <v>384</v>
      </c>
      <c r="G631" t="str">
        <f>HYPERLINK("http://www.ncbi.nlm.nih.gov/Taxonomy/Browser/wwwtax.cgi?mode=Info&amp;id=215358&amp;lvl=3&amp;lin=f&amp;keep=1&amp;srchmode=1&amp;unlock","Larimichthys crocea")</f>
        <v>Larimichthys crocea</v>
      </c>
      <c r="H631" t="s">
        <v>557</v>
      </c>
      <c r="I631" t="str">
        <f>HYPERLINK("http://www.ncbi.nlm.nih.gov/protein/XP_010731481.1","fatty acid-binding protein, liver")</f>
        <v>fatty acid-binding protein, liver</v>
      </c>
      <c r="J631" t="s">
        <v>1390</v>
      </c>
      <c r="K631" t="s">
        <v>25</v>
      </c>
      <c r="L631">
        <v>50</v>
      </c>
      <c r="M631" t="s">
        <v>1379</v>
      </c>
      <c r="N631" t="s">
        <v>25</v>
      </c>
    </row>
    <row r="632" spans="1:14" x14ac:dyDescent="0.25">
      <c r="A632">
        <v>6</v>
      </c>
      <c r="B632" t="s">
        <v>384</v>
      </c>
      <c r="C632" t="str">
        <f>HYPERLINK("http://www.ncbi.nlm.nih.gov/protein/Q8JJ04.1","Q8JJ04.1")</f>
        <v>Q8JJ04.1</v>
      </c>
      <c r="D632">
        <v>1801</v>
      </c>
      <c r="E632" t="str">
        <f>HYPERLINK("http://www.ncbi.nlm.nih.gov/Taxonomy/Browser/wwwtax.cgi?mode=Info&amp;id=94232&amp;lvl=3&amp;lin=f&amp;keep=1&amp;srchmode=1&amp;unlock","94232")</f>
        <v>94232</v>
      </c>
      <c r="F632" t="s">
        <v>384</v>
      </c>
      <c r="G632" t="str">
        <f>HYPERLINK("http://www.ncbi.nlm.nih.gov/Taxonomy/Browser/wwwtax.cgi?mode=Info&amp;id=94232&amp;lvl=3&amp;lin=f&amp;keep=1&amp;srchmode=1&amp;unlock","Epinephelus coioides")</f>
        <v>Epinephelus coioides</v>
      </c>
      <c r="H632" t="s">
        <v>558</v>
      </c>
      <c r="I632" t="str">
        <f>HYPERLINK("http://www.ncbi.nlm.nih.gov/protein/Q8JJ04.1","RecName: Full=Fatty acid-binding protein, liver-type; AltName: Full=Fatty acid-binding protein 1; AltName: Full=Liver-type fatty acid-binding protein; Short=L-FABP")</f>
        <v>RecName: Full=Fatty acid-binding protein, liver-type; AltName: Full=Fatty acid-binding protein 1; AltName: Full=Liver-type fatty acid-binding protein; Short=L-FABP</v>
      </c>
      <c r="J632" t="s">
        <v>1390</v>
      </c>
      <c r="K632" t="s">
        <v>25</v>
      </c>
      <c r="L632">
        <v>50</v>
      </c>
      <c r="M632" t="s">
        <v>1379</v>
      </c>
      <c r="N632" t="s">
        <v>25</v>
      </c>
    </row>
    <row r="633" spans="1:14" x14ac:dyDescent="0.25">
      <c r="A633">
        <v>6</v>
      </c>
      <c r="B633" t="s">
        <v>384</v>
      </c>
      <c r="C633" t="str">
        <f>HYPERLINK("http://www.ncbi.nlm.nih.gov/protein/XP_015828391.1","XP_015828391.1")</f>
        <v>XP_015828391.1</v>
      </c>
      <c r="D633">
        <v>70065</v>
      </c>
      <c r="E633" t="str">
        <f>HYPERLINK("http://www.ncbi.nlm.nih.gov/Taxonomy/Browser/wwwtax.cgi?mode=Info&amp;id=105023&amp;lvl=3&amp;lin=f&amp;keep=1&amp;srchmode=1&amp;unlock","105023")</f>
        <v>105023</v>
      </c>
      <c r="F633" t="s">
        <v>384</v>
      </c>
      <c r="G633" t="str">
        <f>HYPERLINK("http://www.ncbi.nlm.nih.gov/Taxonomy/Browser/wwwtax.cgi?mode=Info&amp;id=105023&amp;lvl=3&amp;lin=f&amp;keep=1&amp;srchmode=1&amp;unlock","Nothobranchius furzeri")</f>
        <v>Nothobranchius furzeri</v>
      </c>
      <c r="H633" t="s">
        <v>556</v>
      </c>
      <c r="I633" t="str">
        <f>HYPERLINK("http://www.ncbi.nlm.nih.gov/protein/XP_015828391.1","PREDICTED: fatty acid-binding protein, liver")</f>
        <v>PREDICTED: fatty acid-binding protein, liver</v>
      </c>
      <c r="J633" t="s">
        <v>1390</v>
      </c>
      <c r="K633" t="s">
        <v>25</v>
      </c>
      <c r="L633">
        <v>50</v>
      </c>
      <c r="M633" t="s">
        <v>1379</v>
      </c>
      <c r="N633" t="s">
        <v>25</v>
      </c>
    </row>
    <row r="634" spans="1:14" x14ac:dyDescent="0.25">
      <c r="A634">
        <v>6</v>
      </c>
      <c r="B634" t="s">
        <v>384</v>
      </c>
      <c r="C634" t="str">
        <f>HYPERLINK("http://www.ncbi.nlm.nih.gov/protein/XP_034162154.1","XP_034162154.1")</f>
        <v>XP_034162154.1</v>
      </c>
      <c r="D634">
        <v>66732</v>
      </c>
      <c r="E634" t="str">
        <f>HYPERLINK("http://www.ncbi.nlm.nih.gov/Taxonomy/Browser/wwwtax.cgi?mode=Info&amp;id=310915&amp;lvl=3&amp;lin=f&amp;keep=1&amp;srchmode=1&amp;unlock","310915")</f>
        <v>310915</v>
      </c>
      <c r="F634" t="s">
        <v>384</v>
      </c>
      <c r="G634" t="str">
        <f>HYPERLINK("http://www.ncbi.nlm.nih.gov/Taxonomy/Browser/wwwtax.cgi?mode=Info&amp;id=310915&amp;lvl=3&amp;lin=f&amp;keep=1&amp;srchmode=1&amp;unlock","Pangasianodon hypophthalmus")</f>
        <v>Pangasianodon hypophthalmus</v>
      </c>
      <c r="H634" t="s">
        <v>562</v>
      </c>
      <c r="I634" t="str">
        <f>HYPERLINK("http://www.ncbi.nlm.nih.gov/protein/XP_034162154.1","fatty acid binding protein 1-B.1-like")</f>
        <v>fatty acid binding protein 1-B.1-like</v>
      </c>
      <c r="J634" t="s">
        <v>1390</v>
      </c>
      <c r="K634" t="s">
        <v>25</v>
      </c>
      <c r="L634">
        <v>50</v>
      </c>
      <c r="M634" t="s">
        <v>1379</v>
      </c>
      <c r="N634" t="s">
        <v>25</v>
      </c>
    </row>
    <row r="635" spans="1:14" x14ac:dyDescent="0.25">
      <c r="A635">
        <v>6</v>
      </c>
      <c r="B635" t="s">
        <v>384</v>
      </c>
      <c r="C635" t="str">
        <f>HYPERLINK("http://www.ncbi.nlm.nih.gov/protein/XP_019954673.1","XP_019954673.1")</f>
        <v>XP_019954673.1</v>
      </c>
      <c r="D635">
        <v>37796</v>
      </c>
      <c r="E635" t="str">
        <f>HYPERLINK("http://www.ncbi.nlm.nih.gov/Taxonomy/Browser/wwwtax.cgi?mode=Info&amp;id=8255&amp;lvl=3&amp;lin=f&amp;keep=1&amp;srchmode=1&amp;unlock","8255")</f>
        <v>8255</v>
      </c>
      <c r="F635" t="s">
        <v>384</v>
      </c>
      <c r="G635" t="str">
        <f>HYPERLINK("http://www.ncbi.nlm.nih.gov/Taxonomy/Browser/wwwtax.cgi?mode=Info&amp;id=8255&amp;lvl=3&amp;lin=f&amp;keep=1&amp;srchmode=1&amp;unlock","Paralichthys olivaceus")</f>
        <v>Paralichthys olivaceus</v>
      </c>
      <c r="H635" t="s">
        <v>563</v>
      </c>
      <c r="I635" t="str">
        <f>HYPERLINK("http://www.ncbi.nlm.nih.gov/protein/XP_019954673.1","PREDICTED: fatty acid-binding protein, liver")</f>
        <v>PREDICTED: fatty acid-binding protein, liver</v>
      </c>
      <c r="J635" t="s">
        <v>1390</v>
      </c>
      <c r="K635" t="s">
        <v>25</v>
      </c>
      <c r="L635">
        <v>50</v>
      </c>
      <c r="M635" t="s">
        <v>1379</v>
      </c>
      <c r="N635" t="s">
        <v>25</v>
      </c>
    </row>
    <row r="636" spans="1:14" x14ac:dyDescent="0.25">
      <c r="A636">
        <v>6</v>
      </c>
      <c r="B636" t="s">
        <v>384</v>
      </c>
      <c r="C636" t="str">
        <f>HYPERLINK("http://www.ncbi.nlm.nih.gov/protein/XP_036382481.1","XP_036382481.1")</f>
        <v>XP_036382481.1</v>
      </c>
      <c r="D636">
        <v>40209</v>
      </c>
      <c r="E636" t="str">
        <f>HYPERLINK("http://www.ncbi.nlm.nih.gov/Taxonomy/Browser/wwwtax.cgi?mode=Info&amp;id=118141&amp;lvl=3&amp;lin=f&amp;keep=1&amp;srchmode=1&amp;unlock","118141")</f>
        <v>118141</v>
      </c>
      <c r="F636" t="s">
        <v>384</v>
      </c>
      <c r="G636" t="str">
        <f>HYPERLINK("http://www.ncbi.nlm.nih.gov/Taxonomy/Browser/wwwtax.cgi?mode=Info&amp;id=118141&amp;lvl=3&amp;lin=f&amp;keep=1&amp;srchmode=1&amp;unlock","Megalops cyprinoides")</f>
        <v>Megalops cyprinoides</v>
      </c>
      <c r="H636" t="s">
        <v>564</v>
      </c>
      <c r="I636" t="str">
        <f>HYPERLINK("http://www.ncbi.nlm.nih.gov/protein/XP_036382481.1","fatty acid-binding protein, liver-type-like")</f>
        <v>fatty acid-binding protein, liver-type-like</v>
      </c>
      <c r="J636" t="s">
        <v>1390</v>
      </c>
      <c r="K636" t="s">
        <v>25</v>
      </c>
      <c r="L636">
        <v>50</v>
      </c>
      <c r="M636" t="s">
        <v>1379</v>
      </c>
      <c r="N636" t="s">
        <v>25</v>
      </c>
    </row>
    <row r="637" spans="1:14" x14ac:dyDescent="0.25">
      <c r="A637">
        <v>6</v>
      </c>
      <c r="B637" t="s">
        <v>384</v>
      </c>
      <c r="C637" t="str">
        <f>HYPERLINK("http://www.ncbi.nlm.nih.gov/protein/XP_037536187.1","XP_037536187.1")</f>
        <v>XP_037536187.1</v>
      </c>
      <c r="D637">
        <v>24152</v>
      </c>
      <c r="E637" t="str">
        <f>HYPERLINK("http://www.ncbi.nlm.nih.gov/Taxonomy/Browser/wwwtax.cgi?mode=Info&amp;id=451745&amp;lvl=3&amp;lin=f&amp;keep=1&amp;srchmode=1&amp;unlock","451745")</f>
        <v>451745</v>
      </c>
      <c r="F637" t="s">
        <v>384</v>
      </c>
      <c r="G637" t="str">
        <f>HYPERLINK("http://www.ncbi.nlm.nih.gov/Taxonomy/Browser/wwwtax.cgi?mode=Info&amp;id=451745&amp;lvl=3&amp;lin=f&amp;keep=1&amp;srchmode=1&amp;unlock","Nematolebias whitei")</f>
        <v>Nematolebias whitei</v>
      </c>
      <c r="H637" t="s">
        <v>565</v>
      </c>
      <c r="I637" t="str">
        <f>HYPERLINK("http://www.ncbi.nlm.nih.gov/protein/XP_037536187.1","fatty acid-binding protein, liver-type-like")</f>
        <v>fatty acid-binding protein, liver-type-like</v>
      </c>
      <c r="J637" t="s">
        <v>1390</v>
      </c>
      <c r="K637" t="s">
        <v>25</v>
      </c>
      <c r="L637">
        <v>50</v>
      </c>
      <c r="M637" t="s">
        <v>1383</v>
      </c>
      <c r="N637" t="s">
        <v>25</v>
      </c>
    </row>
    <row r="638" spans="1:14" x14ac:dyDescent="0.25">
      <c r="A638">
        <v>6</v>
      </c>
      <c r="B638" t="s">
        <v>384</v>
      </c>
      <c r="C638" t="str">
        <f>HYPERLINK("http://www.ncbi.nlm.nih.gov/protein/XP_030213930.1","XP_030213930.1")</f>
        <v>XP_030213930.1</v>
      </c>
      <c r="D638">
        <v>47233</v>
      </c>
      <c r="E638" t="str">
        <f>HYPERLINK("http://www.ncbi.nlm.nih.gov/Taxonomy/Browser/wwwtax.cgi?mode=Info&amp;id=8049&amp;lvl=3&amp;lin=f&amp;keep=1&amp;srchmode=1&amp;unlock","8049")</f>
        <v>8049</v>
      </c>
      <c r="F638" t="s">
        <v>384</v>
      </c>
      <c r="G638" t="str">
        <f>HYPERLINK("http://www.ncbi.nlm.nih.gov/Taxonomy/Browser/wwwtax.cgi?mode=Info&amp;id=8049&amp;lvl=3&amp;lin=f&amp;keep=1&amp;srchmode=1&amp;unlock","Gadus morhua")</f>
        <v>Gadus morhua</v>
      </c>
      <c r="H638" t="s">
        <v>566</v>
      </c>
      <c r="I638" t="str">
        <f>HYPERLINK("http://www.ncbi.nlm.nih.gov/protein/XP_030213930.1","fatty acid-binding protein, liver")</f>
        <v>fatty acid-binding protein, liver</v>
      </c>
      <c r="J638" t="s">
        <v>1390</v>
      </c>
      <c r="K638" t="s">
        <v>25</v>
      </c>
      <c r="L638">
        <v>50</v>
      </c>
      <c r="M638" t="s">
        <v>1379</v>
      </c>
      <c r="N638" t="s">
        <v>25</v>
      </c>
    </row>
    <row r="639" spans="1:14" x14ac:dyDescent="0.25">
      <c r="A639">
        <v>6</v>
      </c>
      <c r="B639" t="s">
        <v>384</v>
      </c>
      <c r="C639" t="str">
        <f>HYPERLINK("http://www.ncbi.nlm.nih.gov/protein/XP_029998978.1","XP_029998978.1")</f>
        <v>XP_029998978.1</v>
      </c>
      <c r="D639">
        <v>42352</v>
      </c>
      <c r="E639" t="str">
        <f>HYPERLINK("http://www.ncbi.nlm.nih.gov/Taxonomy/Browser/wwwtax.cgi?mode=Info&amp;id=375764&amp;lvl=3&amp;lin=f&amp;keep=1&amp;srchmode=1&amp;unlock","375764")</f>
        <v>375764</v>
      </c>
      <c r="F639" t="s">
        <v>384</v>
      </c>
      <c r="G639" t="str">
        <f>HYPERLINK("http://www.ncbi.nlm.nih.gov/Taxonomy/Browser/wwwtax.cgi?mode=Info&amp;id=375764&amp;lvl=3&amp;lin=f&amp;keep=1&amp;srchmode=1&amp;unlock","Sphaeramia orbicularis")</f>
        <v>Sphaeramia orbicularis</v>
      </c>
      <c r="H639" t="s">
        <v>561</v>
      </c>
      <c r="I639" t="str">
        <f>HYPERLINK("http://www.ncbi.nlm.nih.gov/protein/XP_029998978.1","fatty acid-binding protein, liver")</f>
        <v>fatty acid-binding protein, liver</v>
      </c>
      <c r="J639" t="s">
        <v>1390</v>
      </c>
      <c r="K639" t="s">
        <v>25</v>
      </c>
      <c r="L639">
        <v>50</v>
      </c>
      <c r="M639" t="s">
        <v>1379</v>
      </c>
      <c r="N639" t="s">
        <v>25</v>
      </c>
    </row>
    <row r="640" spans="1:14" x14ac:dyDescent="0.25">
      <c r="A640">
        <v>6</v>
      </c>
      <c r="B640" t="s">
        <v>384</v>
      </c>
      <c r="C640" t="str">
        <f>HYPERLINK("http://www.ncbi.nlm.nih.gov/protein/XP_032372665.1","XP_032372665.1")</f>
        <v>XP_032372665.1</v>
      </c>
      <c r="D640">
        <v>64531</v>
      </c>
      <c r="E640" t="str">
        <f>HYPERLINK("http://www.ncbi.nlm.nih.gov/Taxonomy/Browser/wwwtax.cgi?mode=Info&amp;id=54343&amp;lvl=3&amp;lin=f&amp;keep=1&amp;srchmode=1&amp;unlock","54343")</f>
        <v>54343</v>
      </c>
      <c r="F640" t="s">
        <v>384</v>
      </c>
      <c r="G640" t="str">
        <f>HYPERLINK("http://www.ncbi.nlm.nih.gov/Taxonomy/Browser/wwwtax.cgi?mode=Info&amp;id=54343&amp;lvl=3&amp;lin=f&amp;keep=1&amp;srchmode=1&amp;unlock","Etheostoma spectabile")</f>
        <v>Etheostoma spectabile</v>
      </c>
      <c r="H640" t="s">
        <v>568</v>
      </c>
      <c r="I640" t="str">
        <f>HYPERLINK("http://www.ncbi.nlm.nih.gov/protein/XP_032372665.1","fatty acid-binding protein, liver-type-like")</f>
        <v>fatty acid-binding protein, liver-type-like</v>
      </c>
      <c r="J640" t="s">
        <v>1390</v>
      </c>
      <c r="K640" t="s">
        <v>25</v>
      </c>
      <c r="L640">
        <v>76</v>
      </c>
      <c r="M640" t="s">
        <v>1379</v>
      </c>
      <c r="N640" t="s">
        <v>25</v>
      </c>
    </row>
    <row r="641" spans="1:14" x14ac:dyDescent="0.25">
      <c r="A641">
        <v>6</v>
      </c>
      <c r="B641" t="s">
        <v>384</v>
      </c>
      <c r="C641" t="str">
        <f>HYPERLINK("http://www.ncbi.nlm.nih.gov/protein/XP_030274010.1","XP_030274010.1")</f>
        <v>XP_030274010.1</v>
      </c>
      <c r="D641">
        <v>54133</v>
      </c>
      <c r="E641" t="str">
        <f>HYPERLINK("http://www.ncbi.nlm.nih.gov/Taxonomy/Browser/wwwtax.cgi?mode=Info&amp;id=8175&amp;lvl=3&amp;lin=f&amp;keep=1&amp;srchmode=1&amp;unlock","8175")</f>
        <v>8175</v>
      </c>
      <c r="F641" t="s">
        <v>384</v>
      </c>
      <c r="G641" t="str">
        <f>HYPERLINK("http://www.ncbi.nlm.nih.gov/Taxonomy/Browser/wwwtax.cgi?mode=Info&amp;id=8175&amp;lvl=3&amp;lin=f&amp;keep=1&amp;srchmode=1&amp;unlock","Sparus aurata")</f>
        <v>Sparus aurata</v>
      </c>
      <c r="H641" t="s">
        <v>567</v>
      </c>
      <c r="I641" t="str">
        <f>HYPERLINK("http://www.ncbi.nlm.nih.gov/protein/XP_030274010.1","fatty acid-binding protein, liver")</f>
        <v>fatty acid-binding protein, liver</v>
      </c>
      <c r="J641" t="s">
        <v>1390</v>
      </c>
      <c r="K641" t="s">
        <v>25</v>
      </c>
      <c r="L641">
        <v>50</v>
      </c>
      <c r="M641" t="s">
        <v>1379</v>
      </c>
      <c r="N641" t="s">
        <v>25</v>
      </c>
    </row>
    <row r="642" spans="1:14" x14ac:dyDescent="0.25">
      <c r="A642">
        <v>6</v>
      </c>
      <c r="B642" t="s">
        <v>384</v>
      </c>
      <c r="C642" t="str">
        <f>HYPERLINK("http://www.ncbi.nlm.nih.gov/protein/XP_036954147.1","XP_036954147.1")</f>
        <v>XP_036954147.1</v>
      </c>
      <c r="D642">
        <v>54695</v>
      </c>
      <c r="E642" t="str">
        <f>HYPERLINK("http://www.ncbi.nlm.nih.gov/Taxonomy/Browser/wwwtax.cgi?mode=Info&amp;id=8177&amp;lvl=3&amp;lin=f&amp;keep=1&amp;srchmode=1&amp;unlock","8177")</f>
        <v>8177</v>
      </c>
      <c r="F642" t="s">
        <v>384</v>
      </c>
      <c r="G642" t="str">
        <f>HYPERLINK("http://www.ncbi.nlm.nih.gov/Taxonomy/Browser/wwwtax.cgi?mode=Info&amp;id=8177&amp;lvl=3&amp;lin=f&amp;keep=1&amp;srchmode=1&amp;unlock","Acanthopagrus latus")</f>
        <v>Acanthopagrus latus</v>
      </c>
      <c r="H642" t="s">
        <v>570</v>
      </c>
      <c r="I642" t="str">
        <f>HYPERLINK("http://www.ncbi.nlm.nih.gov/protein/XP_036954147.1","fatty acid-binding protein, liver-type")</f>
        <v>fatty acid-binding protein, liver-type</v>
      </c>
      <c r="J642" t="s">
        <v>1390</v>
      </c>
      <c r="K642" t="s">
        <v>25</v>
      </c>
      <c r="L642">
        <v>50</v>
      </c>
      <c r="M642" t="s">
        <v>1379</v>
      </c>
      <c r="N642" t="s">
        <v>25</v>
      </c>
    </row>
    <row r="643" spans="1:14" x14ac:dyDescent="0.25">
      <c r="A643">
        <v>6</v>
      </c>
      <c r="B643" t="s">
        <v>384</v>
      </c>
      <c r="C643" t="str">
        <f>HYPERLINK("http://www.ncbi.nlm.nih.gov/protein/XP_012725415.1","XP_012725415.1")</f>
        <v>XP_012725415.1</v>
      </c>
      <c r="D643">
        <v>50120</v>
      </c>
      <c r="E643" t="str">
        <f>HYPERLINK("http://www.ncbi.nlm.nih.gov/Taxonomy/Browser/wwwtax.cgi?mode=Info&amp;id=8078&amp;lvl=3&amp;lin=f&amp;keep=1&amp;srchmode=1&amp;unlock","8078")</f>
        <v>8078</v>
      </c>
      <c r="F643" t="s">
        <v>384</v>
      </c>
      <c r="G643" t="str">
        <f>HYPERLINK("http://www.ncbi.nlm.nih.gov/Taxonomy/Browser/wwwtax.cgi?mode=Info&amp;id=8078&amp;lvl=3&amp;lin=f&amp;keep=1&amp;srchmode=1&amp;unlock","Fundulus heteroclitus")</f>
        <v>Fundulus heteroclitus</v>
      </c>
      <c r="H643" t="s">
        <v>571</v>
      </c>
      <c r="I643" t="str">
        <f>HYPERLINK("http://www.ncbi.nlm.nih.gov/protein/XP_012725415.1","fatty acid-binding protein, liver-type")</f>
        <v>fatty acid-binding protein, liver-type</v>
      </c>
      <c r="J643" t="s">
        <v>1390</v>
      </c>
      <c r="K643" t="s">
        <v>25</v>
      </c>
      <c r="L643">
        <v>50</v>
      </c>
      <c r="M643" t="s">
        <v>1379</v>
      </c>
      <c r="N643" t="s">
        <v>25</v>
      </c>
    </row>
    <row r="644" spans="1:14" x14ac:dyDescent="0.25">
      <c r="A644">
        <v>6</v>
      </c>
      <c r="B644" t="s">
        <v>384</v>
      </c>
      <c r="C644" t="str">
        <f>HYPERLINK("http://www.ncbi.nlm.nih.gov/protein/XP_034547736.1","XP_034547736.1")</f>
        <v>XP_034547736.1</v>
      </c>
      <c r="D644">
        <v>39441</v>
      </c>
      <c r="E644" t="str">
        <f>HYPERLINK("http://www.ncbi.nlm.nih.gov/Taxonomy/Browser/wwwtax.cgi?mode=Info&amp;id=1203425&amp;lvl=3&amp;lin=f&amp;keep=1&amp;srchmode=1&amp;unlock","1203425")</f>
        <v>1203425</v>
      </c>
      <c r="F644" t="s">
        <v>384</v>
      </c>
      <c r="G644" t="str">
        <f>HYPERLINK("http://www.ncbi.nlm.nih.gov/Taxonomy/Browser/wwwtax.cgi?mode=Info&amp;id=1203425&amp;lvl=3&amp;lin=f&amp;keep=1&amp;srchmode=1&amp;unlock","Notolabrus celidotus")</f>
        <v>Notolabrus celidotus</v>
      </c>
      <c r="H644" t="s">
        <v>572</v>
      </c>
      <c r="I644" t="str">
        <f>HYPERLINK("http://www.ncbi.nlm.nih.gov/protein/XP_034547736.1","fatty acid-binding protein, liver-type")</f>
        <v>fatty acid-binding protein, liver-type</v>
      </c>
      <c r="J644" t="s">
        <v>1390</v>
      </c>
      <c r="K644" t="s">
        <v>25</v>
      </c>
      <c r="L644">
        <v>50</v>
      </c>
      <c r="M644" t="s">
        <v>1379</v>
      </c>
      <c r="N644" t="s">
        <v>25</v>
      </c>
    </row>
    <row r="645" spans="1:14" x14ac:dyDescent="0.25">
      <c r="A645">
        <v>6</v>
      </c>
      <c r="B645" t="s">
        <v>384</v>
      </c>
      <c r="C645" t="str">
        <f>HYPERLINK("http://www.ncbi.nlm.nih.gov/protein/XP_034090900.1","XP_034090900.1")</f>
        <v>XP_034090900.1</v>
      </c>
      <c r="D645">
        <v>45860</v>
      </c>
      <c r="E645" t="str">
        <f>HYPERLINK("http://www.ncbi.nlm.nih.gov/Taxonomy/Browser/wwwtax.cgi?mode=Info&amp;id=8218&amp;lvl=3&amp;lin=f&amp;keep=1&amp;srchmode=1&amp;unlock","8218")</f>
        <v>8218</v>
      </c>
      <c r="F645" t="s">
        <v>384</v>
      </c>
      <c r="G645" t="str">
        <f>HYPERLINK("http://www.ncbi.nlm.nih.gov/Taxonomy/Browser/wwwtax.cgi?mode=Info&amp;id=8218&amp;lvl=3&amp;lin=f&amp;keep=1&amp;srchmode=1&amp;unlock","Gymnodraco acuticeps")</f>
        <v>Gymnodraco acuticeps</v>
      </c>
      <c r="H645" t="s">
        <v>577</v>
      </c>
      <c r="I645" t="str">
        <f>HYPERLINK("http://www.ncbi.nlm.nih.gov/protein/XP_034090900.1","fatty acid-binding protein, liver-type-like")</f>
        <v>fatty acid-binding protein, liver-type-like</v>
      </c>
      <c r="J645" t="s">
        <v>1390</v>
      </c>
      <c r="K645" t="s">
        <v>25</v>
      </c>
      <c r="L645">
        <v>50</v>
      </c>
      <c r="M645" t="s">
        <v>1379</v>
      </c>
      <c r="N645" t="s">
        <v>25</v>
      </c>
    </row>
    <row r="646" spans="1:14" x14ac:dyDescent="0.25">
      <c r="A646">
        <v>6</v>
      </c>
      <c r="B646" t="s">
        <v>384</v>
      </c>
      <c r="C646" t="str">
        <f>HYPERLINK("http://www.ncbi.nlm.nih.gov/protein/XP_040012404.1","XP_040012404.1")</f>
        <v>XP_040012404.1</v>
      </c>
      <c r="D646">
        <v>44807</v>
      </c>
      <c r="E646" t="str">
        <f>HYPERLINK("http://www.ncbi.nlm.nih.gov/Taxonomy/Browser/wwwtax.cgi?mode=Info&amp;id=8245&amp;lvl=3&amp;lin=f&amp;keep=1&amp;srchmode=1&amp;unlock","8245")</f>
        <v>8245</v>
      </c>
      <c r="F646" t="s">
        <v>384</v>
      </c>
      <c r="G646" t="str">
        <f>HYPERLINK("http://www.ncbi.nlm.nih.gov/Taxonomy/Browser/wwwtax.cgi?mode=Info&amp;id=8245&amp;lvl=3&amp;lin=f&amp;keep=1&amp;srchmode=1&amp;unlock","Xiphias gladius")</f>
        <v>Xiphias gladius</v>
      </c>
      <c r="H646" t="s">
        <v>573</v>
      </c>
      <c r="I646" t="str">
        <f>HYPERLINK("http://www.ncbi.nlm.nih.gov/protein/XP_040012404.1","fatty acid-binding protein, liver-type-like")</f>
        <v>fatty acid-binding protein, liver-type-like</v>
      </c>
      <c r="J646" t="s">
        <v>1390</v>
      </c>
      <c r="K646" t="s">
        <v>25</v>
      </c>
      <c r="L646">
        <v>50</v>
      </c>
      <c r="M646" t="s">
        <v>1379</v>
      </c>
      <c r="N646" t="s">
        <v>25</v>
      </c>
    </row>
    <row r="647" spans="1:14" x14ac:dyDescent="0.25">
      <c r="A647">
        <v>6</v>
      </c>
      <c r="B647" t="s">
        <v>384</v>
      </c>
      <c r="C647" t="str">
        <f>HYPERLINK("http://www.ncbi.nlm.nih.gov/protein/XP_029295977.1","XP_029295977.1")</f>
        <v>XP_029295977.1</v>
      </c>
      <c r="D647">
        <v>37869</v>
      </c>
      <c r="E647" t="str">
        <f>HYPERLINK("http://www.ncbi.nlm.nih.gov/Taxonomy/Browser/wwwtax.cgi?mode=Info&amp;id=56716&amp;lvl=3&amp;lin=f&amp;keep=1&amp;srchmode=1&amp;unlock","56716")</f>
        <v>56716</v>
      </c>
      <c r="F647" t="s">
        <v>384</v>
      </c>
      <c r="G647" t="str">
        <f>HYPERLINK("http://www.ncbi.nlm.nih.gov/Taxonomy/Browser/wwwtax.cgi?mode=Info&amp;id=56716&amp;lvl=3&amp;lin=f&amp;keep=1&amp;srchmode=1&amp;unlock","Cottoperca gobio")</f>
        <v>Cottoperca gobio</v>
      </c>
      <c r="H647" t="s">
        <v>575</v>
      </c>
      <c r="I647" t="str">
        <f>HYPERLINK("http://www.ncbi.nlm.nih.gov/protein/XP_029295977.1","fatty acid-binding protein, liver-type-like")</f>
        <v>fatty acid-binding protein, liver-type-like</v>
      </c>
      <c r="J647" t="s">
        <v>1390</v>
      </c>
      <c r="K647" t="s">
        <v>25</v>
      </c>
      <c r="L647">
        <v>50</v>
      </c>
      <c r="M647" t="s">
        <v>1379</v>
      </c>
      <c r="N647" t="s">
        <v>25</v>
      </c>
    </row>
    <row r="648" spans="1:14" x14ac:dyDescent="0.25">
      <c r="A648">
        <v>6</v>
      </c>
      <c r="B648" t="s">
        <v>384</v>
      </c>
      <c r="C648" t="str">
        <f>HYPERLINK("http://www.ncbi.nlm.nih.gov/protein/XP_033947697.1","XP_033947697.1")</f>
        <v>XP_033947697.1</v>
      </c>
      <c r="D648">
        <v>38002</v>
      </c>
      <c r="E648" t="str">
        <f>HYPERLINK("http://www.ncbi.nlm.nih.gov/Taxonomy/Browser/wwwtax.cgi?mode=Info&amp;id=52239&amp;lvl=3&amp;lin=f&amp;keep=1&amp;srchmode=1&amp;unlock","52239")</f>
        <v>52239</v>
      </c>
      <c r="F648" t="s">
        <v>384</v>
      </c>
      <c r="G648" t="str">
        <f>HYPERLINK("http://www.ncbi.nlm.nih.gov/Taxonomy/Browser/wwwtax.cgi?mode=Info&amp;id=52239&amp;lvl=3&amp;lin=f&amp;keep=1&amp;srchmode=1&amp;unlock","Pseudochaenichthys georgianus")</f>
        <v>Pseudochaenichthys georgianus</v>
      </c>
      <c r="H648" t="s">
        <v>576</v>
      </c>
      <c r="I648" t="str">
        <f>HYPERLINK("http://www.ncbi.nlm.nih.gov/protein/XP_033947697.1","fatty acid-binding protein, liver-type-like")</f>
        <v>fatty acid-binding protein, liver-type-like</v>
      </c>
      <c r="J648" t="s">
        <v>1390</v>
      </c>
      <c r="K648" t="s">
        <v>25</v>
      </c>
      <c r="L648">
        <v>50</v>
      </c>
      <c r="M648" t="s">
        <v>1379</v>
      </c>
      <c r="N648" t="s">
        <v>25</v>
      </c>
    </row>
    <row r="649" spans="1:14" x14ac:dyDescent="0.25">
      <c r="A649">
        <v>6</v>
      </c>
      <c r="B649" t="s">
        <v>384</v>
      </c>
      <c r="C649" t="str">
        <f>HYPERLINK("http://www.ncbi.nlm.nih.gov/protein/XP_008334230.1","XP_008334230.1")</f>
        <v>XP_008334230.1</v>
      </c>
      <c r="D649">
        <v>39998</v>
      </c>
      <c r="E649" t="str">
        <f>HYPERLINK("http://www.ncbi.nlm.nih.gov/Taxonomy/Browser/wwwtax.cgi?mode=Info&amp;id=244447&amp;lvl=3&amp;lin=f&amp;keep=1&amp;srchmode=1&amp;unlock","244447")</f>
        <v>244447</v>
      </c>
      <c r="F649" t="s">
        <v>384</v>
      </c>
      <c r="G649" t="str">
        <f>HYPERLINK("http://www.ncbi.nlm.nih.gov/Taxonomy/Browser/wwwtax.cgi?mode=Info&amp;id=244447&amp;lvl=3&amp;lin=f&amp;keep=1&amp;srchmode=1&amp;unlock","Cynoglossus semilaevis")</f>
        <v>Cynoglossus semilaevis</v>
      </c>
      <c r="H649" t="s">
        <v>580</v>
      </c>
      <c r="I649" t="str">
        <f>HYPERLINK("http://www.ncbi.nlm.nih.gov/protein/XP_008334230.1","fatty acid-binding protein, liver")</f>
        <v>fatty acid-binding protein, liver</v>
      </c>
      <c r="J649" t="s">
        <v>1390</v>
      </c>
      <c r="K649" t="s">
        <v>25</v>
      </c>
      <c r="L649">
        <v>50</v>
      </c>
      <c r="M649" t="s">
        <v>1379</v>
      </c>
      <c r="N649" t="s">
        <v>25</v>
      </c>
    </row>
    <row r="650" spans="1:14" x14ac:dyDescent="0.25">
      <c r="A650">
        <v>6</v>
      </c>
      <c r="B650" t="s">
        <v>384</v>
      </c>
      <c r="C650" t="str">
        <f>HYPERLINK("http://www.ncbi.nlm.nih.gov/protein/XP_039659152.1","XP_039659152.1")</f>
        <v>XP_039659152.1</v>
      </c>
      <c r="D650">
        <v>74410</v>
      </c>
      <c r="E650" t="str">
        <f>HYPERLINK("http://www.ncbi.nlm.nih.gov/Taxonomy/Browser/wwwtax.cgi?mode=Info&amp;id=8168&amp;lvl=3&amp;lin=f&amp;keep=1&amp;srchmode=1&amp;unlock","8168")</f>
        <v>8168</v>
      </c>
      <c r="F650" t="s">
        <v>384</v>
      </c>
      <c r="G650" t="str">
        <f>HYPERLINK("http://www.ncbi.nlm.nih.gov/Taxonomy/Browser/wwwtax.cgi?mode=Info&amp;id=8168&amp;lvl=3&amp;lin=f&amp;keep=1&amp;srchmode=1&amp;unlock","Perca fluviatilis")</f>
        <v>Perca fluviatilis</v>
      </c>
      <c r="H650" t="s">
        <v>582</v>
      </c>
      <c r="I650" t="str">
        <f>HYPERLINK("http://www.ncbi.nlm.nih.gov/protein/XP_039659152.1","fatty acid-binding protein, liver-type-like")</f>
        <v>fatty acid-binding protein, liver-type-like</v>
      </c>
      <c r="J650" t="s">
        <v>1390</v>
      </c>
      <c r="K650" t="s">
        <v>25</v>
      </c>
      <c r="L650">
        <v>50</v>
      </c>
      <c r="M650" t="s">
        <v>1379</v>
      </c>
      <c r="N650" t="s">
        <v>25</v>
      </c>
    </row>
    <row r="651" spans="1:14" x14ac:dyDescent="0.25">
      <c r="A651">
        <v>6</v>
      </c>
      <c r="B651" t="s">
        <v>384</v>
      </c>
      <c r="C651" t="str">
        <f>HYPERLINK("http://www.ncbi.nlm.nih.gov/protein/XP_017267948.1","XP_017267948.1")</f>
        <v>XP_017267948.1</v>
      </c>
      <c r="D651">
        <v>43416</v>
      </c>
      <c r="E651" t="str">
        <f>HYPERLINK("http://www.ncbi.nlm.nih.gov/Taxonomy/Browser/wwwtax.cgi?mode=Info&amp;id=37003&amp;lvl=3&amp;lin=f&amp;keep=1&amp;srchmode=1&amp;unlock","37003")</f>
        <v>37003</v>
      </c>
      <c r="F651" t="s">
        <v>384</v>
      </c>
      <c r="G651" t="str">
        <f>HYPERLINK("http://www.ncbi.nlm.nih.gov/Taxonomy/Browser/wwwtax.cgi?mode=Info&amp;id=37003&amp;lvl=3&amp;lin=f&amp;keep=1&amp;srchmode=1&amp;unlock","Kryptolebias marmoratus")</f>
        <v>Kryptolebias marmoratus</v>
      </c>
      <c r="H651" t="s">
        <v>583</v>
      </c>
      <c r="I651" t="str">
        <f>HYPERLINK("http://www.ncbi.nlm.nih.gov/protein/XP_017267948.1","fatty acid-binding protein, liver-type")</f>
        <v>fatty acid-binding protein, liver-type</v>
      </c>
      <c r="J651" t="s">
        <v>1390</v>
      </c>
      <c r="K651" t="s">
        <v>25</v>
      </c>
      <c r="L651">
        <v>50</v>
      </c>
      <c r="M651" t="s">
        <v>1379</v>
      </c>
      <c r="N651" t="s">
        <v>25</v>
      </c>
    </row>
    <row r="652" spans="1:14" x14ac:dyDescent="0.25">
      <c r="A652">
        <v>6</v>
      </c>
      <c r="B652" t="s">
        <v>384</v>
      </c>
      <c r="C652" t="str">
        <f>HYPERLINK("http://www.ncbi.nlm.nih.gov/protein/XP_022613519.1","XP_022613519.1")</f>
        <v>XP_022613519.1</v>
      </c>
      <c r="D652">
        <v>32883</v>
      </c>
      <c r="E652" t="str">
        <f>HYPERLINK("http://www.ncbi.nlm.nih.gov/Taxonomy/Browser/wwwtax.cgi?mode=Info&amp;id=41447&amp;lvl=3&amp;lin=f&amp;keep=1&amp;srchmode=1&amp;unlock","41447")</f>
        <v>41447</v>
      </c>
      <c r="F652" t="s">
        <v>384</v>
      </c>
      <c r="G652" t="str">
        <f>HYPERLINK("http://www.ncbi.nlm.nih.gov/Taxonomy/Browser/wwwtax.cgi?mode=Info&amp;id=41447&amp;lvl=3&amp;lin=f&amp;keep=1&amp;srchmode=1&amp;unlock","Seriola dumerili")</f>
        <v>Seriola dumerili</v>
      </c>
      <c r="H652" t="s">
        <v>584</v>
      </c>
      <c r="I652" t="str">
        <f>HYPERLINK("http://www.ncbi.nlm.nih.gov/protein/XP_022613519.1","fatty acid-binding protein, liver")</f>
        <v>fatty acid-binding protein, liver</v>
      </c>
      <c r="J652" t="s">
        <v>1390</v>
      </c>
      <c r="K652" t="s">
        <v>25</v>
      </c>
      <c r="L652">
        <v>50</v>
      </c>
      <c r="M652" t="s">
        <v>1379</v>
      </c>
      <c r="N652" t="s">
        <v>25</v>
      </c>
    </row>
    <row r="653" spans="1:14" x14ac:dyDescent="0.25">
      <c r="A653">
        <v>6</v>
      </c>
      <c r="B653" t="s">
        <v>384</v>
      </c>
      <c r="C653" t="str">
        <f>HYPERLINK("http://www.ncbi.nlm.nih.gov/protein/XP_029366833.1","XP_029366833.1")</f>
        <v>XP_029366833.1</v>
      </c>
      <c r="D653">
        <v>38279</v>
      </c>
      <c r="E653" t="str">
        <f>HYPERLINK("http://www.ncbi.nlm.nih.gov/Taxonomy/Browser/wwwtax.cgi?mode=Info&amp;id=173247&amp;lvl=3&amp;lin=f&amp;keep=1&amp;srchmode=1&amp;unlock","173247")</f>
        <v>173247</v>
      </c>
      <c r="F653" t="s">
        <v>384</v>
      </c>
      <c r="G653" t="str">
        <f>HYPERLINK("http://www.ncbi.nlm.nih.gov/Taxonomy/Browser/wwwtax.cgi?mode=Info&amp;id=173247&amp;lvl=3&amp;lin=f&amp;keep=1&amp;srchmode=1&amp;unlock","Echeneis naucrates")</f>
        <v>Echeneis naucrates</v>
      </c>
      <c r="H653" t="s">
        <v>588</v>
      </c>
      <c r="I653" t="str">
        <f>HYPERLINK("http://www.ncbi.nlm.nih.gov/protein/XP_029366833.1","fatty acid-binding protein, liver")</f>
        <v>fatty acid-binding protein, liver</v>
      </c>
      <c r="J653" t="s">
        <v>1390</v>
      </c>
      <c r="K653" t="s">
        <v>25</v>
      </c>
      <c r="L653">
        <v>50</v>
      </c>
      <c r="M653" t="s">
        <v>1379</v>
      </c>
      <c r="N653" t="s">
        <v>25</v>
      </c>
    </row>
    <row r="654" spans="1:14" x14ac:dyDescent="0.25">
      <c r="A654">
        <v>6</v>
      </c>
      <c r="B654" t="s">
        <v>384</v>
      </c>
      <c r="C654" t="str">
        <f>HYPERLINK("http://www.ncbi.nlm.nih.gov/protein/XP_028313810.1","XP_028313810.1")</f>
        <v>XP_028313810.1</v>
      </c>
      <c r="D654">
        <v>43564</v>
      </c>
      <c r="E654" t="str">
        <f>HYPERLINK("http://www.ncbi.nlm.nih.gov/Taxonomy/Browser/wwwtax.cgi?mode=Info&amp;id=441366&amp;lvl=3&amp;lin=f&amp;keep=1&amp;srchmode=1&amp;unlock","441366")</f>
        <v>441366</v>
      </c>
      <c r="F654" t="s">
        <v>384</v>
      </c>
      <c r="G654" t="str">
        <f>HYPERLINK("http://www.ncbi.nlm.nih.gov/Taxonomy/Browser/wwwtax.cgi?mode=Info&amp;id=441366&amp;lvl=3&amp;lin=f&amp;keep=1&amp;srchmode=1&amp;unlock","Gouania willdenowi")</f>
        <v>Gouania willdenowi</v>
      </c>
      <c r="H654" t="s">
        <v>586</v>
      </c>
      <c r="I654" t="str">
        <f>HYPERLINK("http://www.ncbi.nlm.nih.gov/protein/XP_028313810.1","fatty acid-binding protein, liver")</f>
        <v>fatty acid-binding protein, liver</v>
      </c>
      <c r="J654" t="s">
        <v>1390</v>
      </c>
      <c r="K654" t="s">
        <v>25</v>
      </c>
      <c r="L654">
        <v>50</v>
      </c>
      <c r="M654" t="s">
        <v>1379</v>
      </c>
      <c r="N654" t="s">
        <v>25</v>
      </c>
    </row>
    <row r="655" spans="1:14" x14ac:dyDescent="0.25">
      <c r="A655">
        <v>6</v>
      </c>
      <c r="B655" t="s">
        <v>384</v>
      </c>
      <c r="C655" t="str">
        <f>HYPERLINK("http://www.ncbi.nlm.nih.gov/protein/XP_029019510.1","XP_029019510.1")</f>
        <v>XP_029019510.1</v>
      </c>
      <c r="D655">
        <v>49355</v>
      </c>
      <c r="E655" t="str">
        <f>HYPERLINK("http://www.ncbi.nlm.nih.gov/Taxonomy/Browser/wwwtax.cgi?mode=Info&amp;id=158456&amp;lvl=3&amp;lin=f&amp;keep=1&amp;srchmode=1&amp;unlock","158456")</f>
        <v>158456</v>
      </c>
      <c r="F655" t="s">
        <v>384</v>
      </c>
      <c r="G655" t="str">
        <f>HYPERLINK("http://www.ncbi.nlm.nih.gov/Taxonomy/Browser/wwwtax.cgi?mode=Info&amp;id=158456&amp;lvl=3&amp;lin=f&amp;keep=1&amp;srchmode=1&amp;unlock","Betta splendens")</f>
        <v>Betta splendens</v>
      </c>
      <c r="H655" t="s">
        <v>592</v>
      </c>
      <c r="I655" t="str">
        <f>HYPERLINK("http://www.ncbi.nlm.nih.gov/protein/XP_029019510.1","fatty acid-binding protein, liver-type-like")</f>
        <v>fatty acid-binding protein, liver-type-like</v>
      </c>
      <c r="J655" t="s">
        <v>1390</v>
      </c>
      <c r="K655" t="s">
        <v>25</v>
      </c>
      <c r="L655">
        <v>50</v>
      </c>
      <c r="M655" t="s">
        <v>1379</v>
      </c>
      <c r="N655" t="s">
        <v>25</v>
      </c>
    </row>
    <row r="656" spans="1:14" x14ac:dyDescent="0.25">
      <c r="A656">
        <v>6</v>
      </c>
      <c r="B656" t="s">
        <v>384</v>
      </c>
      <c r="C656" t="str">
        <f>HYPERLINK("http://www.ncbi.nlm.nih.gov/protein/NP_001187954.1","NP_001187954.1")</f>
        <v>NP_001187954.1</v>
      </c>
      <c r="D656">
        <v>51410</v>
      </c>
      <c r="E656" t="str">
        <f>HYPERLINK("http://www.ncbi.nlm.nih.gov/Taxonomy/Browser/wwwtax.cgi?mode=Info&amp;id=7998&amp;lvl=3&amp;lin=f&amp;keep=1&amp;srchmode=1&amp;unlock","7998")</f>
        <v>7998</v>
      </c>
      <c r="F656" t="s">
        <v>384</v>
      </c>
      <c r="G656" t="str">
        <f>HYPERLINK("http://www.ncbi.nlm.nih.gov/Taxonomy/Browser/wwwtax.cgi?mode=Info&amp;id=7998&amp;lvl=3&amp;lin=f&amp;keep=1&amp;srchmode=1&amp;unlock","Ictalurus punctatus")</f>
        <v>Ictalurus punctatus</v>
      </c>
      <c r="H656" t="s">
        <v>593</v>
      </c>
      <c r="I656" t="str">
        <f>HYPERLINK("http://www.ncbi.nlm.nih.gov/protein/NP_001187954.1","fatty acid-binding protein, liver")</f>
        <v>fatty acid-binding protein, liver</v>
      </c>
      <c r="J656" t="s">
        <v>1390</v>
      </c>
      <c r="K656" t="s">
        <v>25</v>
      </c>
      <c r="L656">
        <v>50</v>
      </c>
      <c r="M656" t="s">
        <v>1379</v>
      </c>
      <c r="N656" t="s">
        <v>25</v>
      </c>
    </row>
    <row r="657" spans="1:14" x14ac:dyDescent="0.25">
      <c r="A657">
        <v>6</v>
      </c>
      <c r="B657" t="s">
        <v>384</v>
      </c>
      <c r="C657" t="str">
        <f>HYPERLINK("http://www.ncbi.nlm.nih.gov/protein/XP_023250027.1","XP_023250027.1")</f>
        <v>XP_023250027.1</v>
      </c>
      <c r="D657">
        <v>38822</v>
      </c>
      <c r="E657" t="str">
        <f>HYPERLINK("http://www.ncbi.nlm.nih.gov/Taxonomy/Browser/wwwtax.cgi?mode=Info&amp;id=1841481&amp;lvl=3&amp;lin=f&amp;keep=1&amp;srchmode=1&amp;unlock","1841481")</f>
        <v>1841481</v>
      </c>
      <c r="F657" t="s">
        <v>384</v>
      </c>
      <c r="G657" t="str">
        <f>HYPERLINK("http://www.ncbi.nlm.nih.gov/Taxonomy/Browser/wwwtax.cgi?mode=Info&amp;id=1841481&amp;lvl=3&amp;lin=f&amp;keep=1&amp;srchmode=1&amp;unlock","Seriola lalandi dorsalis")</f>
        <v>Seriola lalandi dorsalis</v>
      </c>
      <c r="H657" t="s">
        <v>591</v>
      </c>
      <c r="I657" t="str">
        <f>HYPERLINK("http://www.ncbi.nlm.nih.gov/protein/XP_023250027.1","fatty acid-binding protein, liver")</f>
        <v>fatty acid-binding protein, liver</v>
      </c>
      <c r="J657" t="s">
        <v>1390</v>
      </c>
      <c r="K657" t="s">
        <v>25</v>
      </c>
      <c r="L657">
        <v>50</v>
      </c>
      <c r="M657" t="s">
        <v>1379</v>
      </c>
      <c r="N657" t="s">
        <v>25</v>
      </c>
    </row>
    <row r="658" spans="1:14" x14ac:dyDescent="0.25">
      <c r="A658">
        <v>6</v>
      </c>
      <c r="B658" t="s">
        <v>384</v>
      </c>
      <c r="C658" t="str">
        <f>HYPERLINK("http://www.ncbi.nlm.nih.gov/protein/XP_033828885.1","XP_033828885.1")</f>
        <v>XP_033828885.1</v>
      </c>
      <c r="D658">
        <v>27762</v>
      </c>
      <c r="E658" t="str">
        <f>HYPERLINK("http://www.ncbi.nlm.nih.gov/Taxonomy/Browser/wwwtax.cgi?mode=Info&amp;id=409849&amp;lvl=3&amp;lin=f&amp;keep=1&amp;srchmode=1&amp;unlock","409849")</f>
        <v>409849</v>
      </c>
      <c r="F658" t="s">
        <v>384</v>
      </c>
      <c r="G658" t="str">
        <f>HYPERLINK("http://www.ncbi.nlm.nih.gov/Taxonomy/Browser/wwwtax.cgi?mode=Info&amp;id=409849&amp;lvl=3&amp;lin=f&amp;keep=1&amp;srchmode=1&amp;unlock","Periophthalmus magnuspinnatus")</f>
        <v>Periophthalmus magnuspinnatus</v>
      </c>
      <c r="H658" t="s">
        <v>594</v>
      </c>
      <c r="I658" t="str">
        <f>HYPERLINK("http://www.ncbi.nlm.nih.gov/protein/XP_033828885.1","fatty acid-binding protein, liver-type-like")</f>
        <v>fatty acid-binding protein, liver-type-like</v>
      </c>
      <c r="J658" t="s">
        <v>1390</v>
      </c>
      <c r="K658" t="s">
        <v>25</v>
      </c>
      <c r="L658">
        <v>50</v>
      </c>
      <c r="M658" t="s">
        <v>1379</v>
      </c>
      <c r="N658" t="s">
        <v>25</v>
      </c>
    </row>
    <row r="659" spans="1:14" x14ac:dyDescent="0.25">
      <c r="A659">
        <v>6</v>
      </c>
      <c r="B659" t="s">
        <v>384</v>
      </c>
      <c r="C659" t="str">
        <f>HYPERLINK("http://www.ncbi.nlm.nih.gov/protein/XP_035496657.1","XP_035496657.1")</f>
        <v>XP_035496657.1</v>
      </c>
      <c r="D659">
        <v>101851</v>
      </c>
      <c r="E659" t="str">
        <f>HYPERLINK("http://www.ncbi.nlm.nih.gov/Taxonomy/Browser/wwwtax.cgi?mode=Info&amp;id=52904&amp;lvl=3&amp;lin=f&amp;keep=1&amp;srchmode=1&amp;unlock","52904")</f>
        <v>52904</v>
      </c>
      <c r="F659" t="s">
        <v>384</v>
      </c>
      <c r="G659" t="str">
        <f>HYPERLINK("http://www.ncbi.nlm.nih.gov/Taxonomy/Browser/wwwtax.cgi?mode=Info&amp;id=52904&amp;lvl=3&amp;lin=f&amp;keep=1&amp;srchmode=1&amp;unlock","Scophthalmus maximus")</f>
        <v>Scophthalmus maximus</v>
      </c>
      <c r="H659" t="s">
        <v>595</v>
      </c>
      <c r="I659" t="str">
        <f>HYPERLINK("http://www.ncbi.nlm.nih.gov/protein/XP_035496657.1","fatty acid-binding protein, liver-type-like")</f>
        <v>fatty acid-binding protein, liver-type-like</v>
      </c>
      <c r="J659" t="s">
        <v>1390</v>
      </c>
      <c r="K659" t="s">
        <v>25</v>
      </c>
      <c r="L659">
        <v>50</v>
      </c>
      <c r="M659" t="s">
        <v>1379</v>
      </c>
      <c r="N659" t="s">
        <v>25</v>
      </c>
    </row>
    <row r="660" spans="1:14" x14ac:dyDescent="0.25">
      <c r="A660">
        <v>6</v>
      </c>
      <c r="B660" t="s">
        <v>384</v>
      </c>
      <c r="C660" t="str">
        <f>HYPERLINK("http://www.ncbi.nlm.nih.gov/protein/XP_015232611.1","XP_015232611.1")</f>
        <v>XP_015232611.1</v>
      </c>
      <c r="D660">
        <v>36661</v>
      </c>
      <c r="E660" t="str">
        <f>HYPERLINK("http://www.ncbi.nlm.nih.gov/Taxonomy/Browser/wwwtax.cgi?mode=Info&amp;id=28743&amp;lvl=3&amp;lin=f&amp;keep=1&amp;srchmode=1&amp;unlock","28743")</f>
        <v>28743</v>
      </c>
      <c r="F660" t="s">
        <v>384</v>
      </c>
      <c r="G660" t="str">
        <f>HYPERLINK("http://www.ncbi.nlm.nih.gov/Taxonomy/Browser/wwwtax.cgi?mode=Info&amp;id=28743&amp;lvl=3&amp;lin=f&amp;keep=1&amp;srchmode=1&amp;unlock","Cyprinodon variegatus")</f>
        <v>Cyprinodon variegatus</v>
      </c>
      <c r="H660" t="s">
        <v>596</v>
      </c>
      <c r="I660" t="str">
        <f>HYPERLINK("http://www.ncbi.nlm.nih.gov/protein/XP_015232611.1","PREDICTED: fatty acid-binding protein, liver-type-like")</f>
        <v>PREDICTED: fatty acid-binding protein, liver-type-like</v>
      </c>
      <c r="J660" t="s">
        <v>1390</v>
      </c>
      <c r="K660" t="s">
        <v>25</v>
      </c>
      <c r="L660">
        <v>50</v>
      </c>
      <c r="M660" t="s">
        <v>1379</v>
      </c>
      <c r="N660" t="s">
        <v>25</v>
      </c>
    </row>
    <row r="661" spans="1:14" x14ac:dyDescent="0.25">
      <c r="A661">
        <v>6</v>
      </c>
      <c r="B661" t="s">
        <v>384</v>
      </c>
      <c r="C661" t="str">
        <f>HYPERLINK("http://www.ncbi.nlm.nih.gov/protein/XP_038163975.1","XP_038163975.1")</f>
        <v>XP_038163975.1</v>
      </c>
      <c r="D661">
        <v>42390</v>
      </c>
      <c r="E661" t="str">
        <f>HYPERLINK("http://www.ncbi.nlm.nih.gov/Taxonomy/Browser/wwwtax.cgi?mode=Info&amp;id=77115&amp;lvl=3&amp;lin=f&amp;keep=1&amp;srchmode=1&amp;unlock","77115")</f>
        <v>77115</v>
      </c>
      <c r="F661" t="s">
        <v>384</v>
      </c>
      <c r="G661" t="str">
        <f>HYPERLINK("http://www.ncbi.nlm.nih.gov/Taxonomy/Browser/wwwtax.cgi?mode=Info&amp;id=77115&amp;lvl=3&amp;lin=f&amp;keep=1&amp;srchmode=1&amp;unlock","Cyprinodon tularosa")</f>
        <v>Cyprinodon tularosa</v>
      </c>
      <c r="H661" t="s">
        <v>597</v>
      </c>
      <c r="I661" t="str">
        <f>HYPERLINK("http://www.ncbi.nlm.nih.gov/protein/XP_038163975.1","fatty acid-binding protein, liver-type-like isoform X1")</f>
        <v>fatty acid-binding protein, liver-type-like isoform X1</v>
      </c>
      <c r="J661" t="s">
        <v>1390</v>
      </c>
      <c r="K661" t="s">
        <v>25</v>
      </c>
      <c r="L661">
        <v>50</v>
      </c>
      <c r="M661" t="s">
        <v>1379</v>
      </c>
      <c r="N661" t="s">
        <v>25</v>
      </c>
    </row>
    <row r="662" spans="1:14" x14ac:dyDescent="0.25">
      <c r="A662">
        <v>6</v>
      </c>
      <c r="B662" t="s">
        <v>384</v>
      </c>
      <c r="C662" t="str">
        <f>HYPERLINK("http://www.ncbi.nlm.nih.gov/protein/XP_010795638.1","XP_010795638.1")</f>
        <v>XP_010795638.1</v>
      </c>
      <c r="D662">
        <v>32359</v>
      </c>
      <c r="E662" t="str">
        <f>HYPERLINK("http://www.ncbi.nlm.nih.gov/Taxonomy/Browser/wwwtax.cgi?mode=Info&amp;id=8208&amp;lvl=3&amp;lin=f&amp;keep=1&amp;srchmode=1&amp;unlock","8208")</f>
        <v>8208</v>
      </c>
      <c r="F662" t="s">
        <v>384</v>
      </c>
      <c r="G662" t="str">
        <f>HYPERLINK("http://www.ncbi.nlm.nih.gov/Taxonomy/Browser/wwwtax.cgi?mode=Info&amp;id=8208&amp;lvl=3&amp;lin=f&amp;keep=1&amp;srchmode=1&amp;unlock","Notothenia coriiceps")</f>
        <v>Notothenia coriiceps</v>
      </c>
      <c r="H662" t="s">
        <v>598</v>
      </c>
      <c r="I662" t="str">
        <f>HYPERLINK("http://www.ncbi.nlm.nih.gov/protein/XP_010795638.1","PREDICTED: fatty acid-binding protein, liver")</f>
        <v>PREDICTED: fatty acid-binding protein, liver</v>
      </c>
      <c r="J662" t="s">
        <v>1390</v>
      </c>
      <c r="K662" t="s">
        <v>25</v>
      </c>
      <c r="L662">
        <v>50</v>
      </c>
      <c r="M662" t="s">
        <v>1379</v>
      </c>
      <c r="N662" t="s">
        <v>25</v>
      </c>
    </row>
    <row r="663" spans="1:14" x14ac:dyDescent="0.25">
      <c r="A663">
        <v>6</v>
      </c>
      <c r="B663" t="s">
        <v>384</v>
      </c>
      <c r="C663" t="str">
        <f>HYPERLINK("http://www.ncbi.nlm.nih.gov/protein/XP_014889721.1","XP_014889721.1")</f>
        <v>XP_014889721.1</v>
      </c>
      <c r="D663">
        <v>47232</v>
      </c>
      <c r="E663" t="str">
        <f>HYPERLINK("http://www.ncbi.nlm.nih.gov/Taxonomy/Browser/wwwtax.cgi?mode=Info&amp;id=48699&amp;lvl=3&amp;lin=f&amp;keep=1&amp;srchmode=1&amp;unlock","48699")</f>
        <v>48699</v>
      </c>
      <c r="F663" t="s">
        <v>384</v>
      </c>
      <c r="G663" t="str">
        <f>HYPERLINK("http://www.ncbi.nlm.nih.gov/Taxonomy/Browser/wwwtax.cgi?mode=Info&amp;id=48699&amp;lvl=3&amp;lin=f&amp;keep=1&amp;srchmode=1&amp;unlock","Poecilia latipinna")</f>
        <v>Poecilia latipinna</v>
      </c>
      <c r="H663" t="s">
        <v>600</v>
      </c>
      <c r="I663" t="str">
        <f>HYPERLINK("http://www.ncbi.nlm.nih.gov/protein/XP_014889721.1","PREDICTED: fatty acid-binding protein, liver")</f>
        <v>PREDICTED: fatty acid-binding protein, liver</v>
      </c>
      <c r="J663" t="s">
        <v>1390</v>
      </c>
      <c r="K663" t="s">
        <v>25</v>
      </c>
      <c r="L663">
        <v>50</v>
      </c>
      <c r="M663" t="s">
        <v>1379</v>
      </c>
      <c r="N663" t="s">
        <v>25</v>
      </c>
    </row>
    <row r="664" spans="1:14" x14ac:dyDescent="0.25">
      <c r="A664">
        <v>6</v>
      </c>
      <c r="B664" t="s">
        <v>384</v>
      </c>
      <c r="C664" t="str">
        <f>HYPERLINK("http://www.ncbi.nlm.nih.gov/protein/XP_033974371.1","XP_033974371.1")</f>
        <v>XP_033974371.1</v>
      </c>
      <c r="D664">
        <v>41297</v>
      </c>
      <c r="E664" t="str">
        <f>HYPERLINK("http://www.ncbi.nlm.nih.gov/Taxonomy/Browser/wwwtax.cgi?mode=Info&amp;id=40690&amp;lvl=3&amp;lin=f&amp;keep=1&amp;srchmode=1&amp;unlock","40690")</f>
        <v>40690</v>
      </c>
      <c r="F664" t="s">
        <v>384</v>
      </c>
      <c r="G664" t="str">
        <f>HYPERLINK("http://www.ncbi.nlm.nih.gov/Taxonomy/Browser/wwwtax.cgi?mode=Info&amp;id=40690&amp;lvl=3&amp;lin=f&amp;keep=1&amp;srchmode=1&amp;unlock","Trematomus bernacchii")</f>
        <v>Trematomus bernacchii</v>
      </c>
      <c r="H664" t="s">
        <v>603</v>
      </c>
      <c r="I664" t="str">
        <f>HYPERLINK("http://www.ncbi.nlm.nih.gov/protein/XP_033974371.1","fatty acid-binding protein, liver-type-like")</f>
        <v>fatty acid-binding protein, liver-type-like</v>
      </c>
      <c r="J664" t="s">
        <v>1390</v>
      </c>
      <c r="K664" t="s">
        <v>25</v>
      </c>
      <c r="L664">
        <v>50</v>
      </c>
      <c r="M664" t="s">
        <v>1379</v>
      </c>
      <c r="N664" t="s">
        <v>25</v>
      </c>
    </row>
    <row r="665" spans="1:14" x14ac:dyDescent="0.25">
      <c r="A665">
        <v>6</v>
      </c>
      <c r="B665" t="s">
        <v>384</v>
      </c>
      <c r="C665" t="str">
        <f>HYPERLINK("http://www.ncbi.nlm.nih.gov/protein/XP_040051500.1","XP_040051500.1")</f>
        <v>XP_040051500.1</v>
      </c>
      <c r="D665">
        <v>45331</v>
      </c>
      <c r="E665" t="str">
        <f>HYPERLINK("http://www.ncbi.nlm.nih.gov/Taxonomy/Browser/wwwtax.cgi?mode=Info&amp;id=481459&amp;lvl=3&amp;lin=f&amp;keep=1&amp;srchmode=1&amp;unlock","481459")</f>
        <v>481459</v>
      </c>
      <c r="F665" t="s">
        <v>384</v>
      </c>
      <c r="G665" t="str">
        <f>HYPERLINK("http://www.ncbi.nlm.nih.gov/Taxonomy/Browser/wwwtax.cgi?mode=Info&amp;id=481459&amp;lvl=3&amp;lin=f&amp;keep=1&amp;srchmode=1&amp;unlock","Gasterosteus aculeatus aculeatus")</f>
        <v>Gasterosteus aculeatus aculeatus</v>
      </c>
      <c r="H665" t="s">
        <v>605</v>
      </c>
      <c r="I665" t="str">
        <f>HYPERLINK("http://www.ncbi.nlm.nih.gov/protein/XP_040051500.1","fatty acid-binding protein, liver-type-like")</f>
        <v>fatty acid-binding protein, liver-type-like</v>
      </c>
      <c r="J665" t="s">
        <v>1390</v>
      </c>
      <c r="K665" t="s">
        <v>25</v>
      </c>
      <c r="L665">
        <v>50</v>
      </c>
      <c r="M665" t="s">
        <v>1379</v>
      </c>
      <c r="N665" t="s">
        <v>25</v>
      </c>
    </row>
    <row r="666" spans="1:14" x14ac:dyDescent="0.25">
      <c r="A666">
        <v>6</v>
      </c>
      <c r="B666" t="s">
        <v>384</v>
      </c>
      <c r="C666" t="str">
        <f>HYPERLINK("http://www.ncbi.nlm.nih.gov/protein/XP_026855613.1","XP_026855613.1")</f>
        <v>XP_026855613.1</v>
      </c>
      <c r="D666">
        <v>45368</v>
      </c>
      <c r="E666" t="str">
        <f>HYPERLINK("http://www.ncbi.nlm.nih.gov/Taxonomy/Browser/wwwtax.cgi?mode=Info&amp;id=8005&amp;lvl=3&amp;lin=f&amp;keep=1&amp;srchmode=1&amp;unlock","8005")</f>
        <v>8005</v>
      </c>
      <c r="F666" t="s">
        <v>384</v>
      </c>
      <c r="G666" t="str">
        <f>HYPERLINK("http://www.ncbi.nlm.nih.gov/Taxonomy/Browser/wwwtax.cgi?mode=Info&amp;id=8005&amp;lvl=3&amp;lin=f&amp;keep=1&amp;srchmode=1&amp;unlock","Electrophorus electricus")</f>
        <v>Electrophorus electricus</v>
      </c>
      <c r="H666" t="s">
        <v>606</v>
      </c>
      <c r="I666" t="str">
        <f>HYPERLINK("http://www.ncbi.nlm.nih.gov/protein/XP_026855613.1","fatty acid binding protein 1-B.1")</f>
        <v>fatty acid binding protein 1-B.1</v>
      </c>
      <c r="J666" t="s">
        <v>1390</v>
      </c>
      <c r="K666" t="s">
        <v>25</v>
      </c>
      <c r="L666">
        <v>50</v>
      </c>
      <c r="M666" t="s">
        <v>1379</v>
      </c>
      <c r="N666" t="s">
        <v>25</v>
      </c>
    </row>
    <row r="667" spans="1:14" x14ac:dyDescent="0.25">
      <c r="A667">
        <v>6</v>
      </c>
      <c r="B667" t="s">
        <v>384</v>
      </c>
      <c r="C667" t="str">
        <f>HYPERLINK("http://www.ncbi.nlm.nih.gov/protein/XP_037633906.1","XP_037633906.1")</f>
        <v>XP_037633906.1</v>
      </c>
      <c r="D667">
        <v>50721</v>
      </c>
      <c r="E667" t="str">
        <f>HYPERLINK("http://www.ncbi.nlm.nih.gov/Taxonomy/Browser/wwwtax.cgi?mode=Info&amp;id=72105&amp;lvl=3&amp;lin=f&amp;keep=1&amp;srchmode=1&amp;unlock","72105")</f>
        <v>72105</v>
      </c>
      <c r="F667" t="s">
        <v>384</v>
      </c>
      <c r="G667" t="str">
        <f>HYPERLINK("http://www.ncbi.nlm.nih.gov/Taxonomy/Browser/wwwtax.cgi?mode=Info&amp;id=72105&amp;lvl=3&amp;lin=f&amp;keep=1&amp;srchmode=1&amp;unlock","Sebastes umbrosus")</f>
        <v>Sebastes umbrosus</v>
      </c>
      <c r="H667" t="s">
        <v>611</v>
      </c>
      <c r="I667" t="str">
        <f>HYPERLINK("http://www.ncbi.nlm.nih.gov/protein/XP_037633906.1","fatty acid-binding protein, liver-type-like")</f>
        <v>fatty acid-binding protein, liver-type-like</v>
      </c>
      <c r="J667" t="s">
        <v>1390</v>
      </c>
      <c r="K667" t="s">
        <v>25</v>
      </c>
      <c r="L667">
        <v>50</v>
      </c>
      <c r="M667" t="s">
        <v>1379</v>
      </c>
      <c r="N667" t="s">
        <v>25</v>
      </c>
    </row>
    <row r="668" spans="1:14" x14ac:dyDescent="0.25">
      <c r="A668">
        <v>6</v>
      </c>
      <c r="B668" t="s">
        <v>384</v>
      </c>
      <c r="C668" t="str">
        <f>HYPERLINK("http://www.ncbi.nlm.nih.gov/protein/KAA0714485.1","KAA0714485.1")</f>
        <v>KAA0714485.1</v>
      </c>
      <c r="D668">
        <v>24328</v>
      </c>
      <c r="E668" t="str">
        <f>HYPERLINK("http://www.ncbi.nlm.nih.gov/Taxonomy/Browser/wwwtax.cgi?mode=Info&amp;id=1572043&amp;lvl=3&amp;lin=f&amp;keep=1&amp;srchmode=1&amp;unlock","1572043")</f>
        <v>1572043</v>
      </c>
      <c r="F668" t="s">
        <v>384</v>
      </c>
      <c r="G668" t="str">
        <f>HYPERLINK("http://www.ncbi.nlm.nih.gov/Taxonomy/Browser/wwwtax.cgi?mode=Info&amp;id=1572043&amp;lvl=3&amp;lin=f&amp;keep=1&amp;srchmode=1&amp;unlock","Triplophysa tibetana")</f>
        <v>Triplophysa tibetana</v>
      </c>
      <c r="H668" t="s">
        <v>612</v>
      </c>
      <c r="I668" t="str">
        <f>HYPERLINK("http://www.ncbi.nlm.nih.gov/protein/KAA0714485.1","Fatty acid binding protein 1-B.1")</f>
        <v>Fatty acid binding protein 1-B.1</v>
      </c>
      <c r="J668" t="s">
        <v>1390</v>
      </c>
      <c r="K668" t="s">
        <v>25</v>
      </c>
      <c r="L668">
        <v>50</v>
      </c>
      <c r="M668" t="s">
        <v>1379</v>
      </c>
      <c r="N668" t="s">
        <v>25</v>
      </c>
    </row>
    <row r="669" spans="1:14" x14ac:dyDescent="0.25">
      <c r="A669">
        <v>6</v>
      </c>
      <c r="B669" t="s">
        <v>384</v>
      </c>
      <c r="C669" t="str">
        <f>HYPERLINK("http://www.ncbi.nlm.nih.gov/protein/XP_034025367.1","XP_034025367.1")</f>
        <v>XP_034025367.1</v>
      </c>
      <c r="D669">
        <v>36364</v>
      </c>
      <c r="E669" t="str">
        <f>HYPERLINK("http://www.ncbi.nlm.nih.gov/Taxonomy/Browser/wwwtax.cgi?mode=Info&amp;id=390379&amp;lvl=3&amp;lin=f&amp;keep=1&amp;srchmode=1&amp;unlock","390379")</f>
        <v>390379</v>
      </c>
      <c r="F669" t="s">
        <v>384</v>
      </c>
      <c r="G669" t="str">
        <f>HYPERLINK("http://www.ncbi.nlm.nih.gov/Taxonomy/Browser/wwwtax.cgi?mode=Info&amp;id=390379&amp;lvl=3&amp;lin=f&amp;keep=1&amp;srchmode=1&amp;unlock","Thalassophryne amazonica")</f>
        <v>Thalassophryne amazonica</v>
      </c>
      <c r="H669" t="s">
        <v>609</v>
      </c>
      <c r="I669" t="str">
        <f>HYPERLINK("http://www.ncbi.nlm.nih.gov/protein/XP_034025367.1","fatty acid-binding protein, liver-type-like")</f>
        <v>fatty acid-binding protein, liver-type-like</v>
      </c>
      <c r="J669" t="s">
        <v>1390</v>
      </c>
      <c r="K669" t="s">
        <v>25</v>
      </c>
      <c r="L669">
        <v>50</v>
      </c>
      <c r="M669" t="s">
        <v>1379</v>
      </c>
      <c r="N669" t="s">
        <v>25</v>
      </c>
    </row>
    <row r="670" spans="1:14" x14ac:dyDescent="0.25">
      <c r="A670">
        <v>6</v>
      </c>
      <c r="B670" t="s">
        <v>384</v>
      </c>
      <c r="C670" t="str">
        <f>HYPERLINK("http://www.ncbi.nlm.nih.gov/protein/XP_007557616.1","XP_007557616.1")</f>
        <v>XP_007557616.1</v>
      </c>
      <c r="D670">
        <v>49656</v>
      </c>
      <c r="E670" t="str">
        <f>HYPERLINK("http://www.ncbi.nlm.nih.gov/Taxonomy/Browser/wwwtax.cgi?mode=Info&amp;id=48698&amp;lvl=3&amp;lin=f&amp;keep=1&amp;srchmode=1&amp;unlock","48698")</f>
        <v>48698</v>
      </c>
      <c r="F670" t="s">
        <v>384</v>
      </c>
      <c r="G670" t="str">
        <f>HYPERLINK("http://www.ncbi.nlm.nih.gov/Taxonomy/Browser/wwwtax.cgi?mode=Info&amp;id=48698&amp;lvl=3&amp;lin=f&amp;keep=1&amp;srchmode=1&amp;unlock","Poecilia formosa")</f>
        <v>Poecilia formosa</v>
      </c>
      <c r="H670" t="s">
        <v>613</v>
      </c>
      <c r="I670" t="str">
        <f>HYPERLINK("http://www.ncbi.nlm.nih.gov/protein/XP_007557616.1","PREDICTED: fatty acid-binding protein, liver-type-like")</f>
        <v>PREDICTED: fatty acid-binding protein, liver-type-like</v>
      </c>
      <c r="J670" t="s">
        <v>1390</v>
      </c>
      <c r="K670" t="s">
        <v>25</v>
      </c>
      <c r="L670">
        <v>50</v>
      </c>
      <c r="M670" t="s">
        <v>1379</v>
      </c>
      <c r="N670" t="s">
        <v>25</v>
      </c>
    </row>
    <row r="671" spans="1:14" x14ac:dyDescent="0.25">
      <c r="A671">
        <v>6</v>
      </c>
      <c r="B671" t="s">
        <v>384</v>
      </c>
      <c r="C671" t="str">
        <f>HYPERLINK("http://www.ncbi.nlm.nih.gov/protein/XP_014862905.1","XP_014862905.1")</f>
        <v>XP_014862905.1</v>
      </c>
      <c r="D671">
        <v>47807</v>
      </c>
      <c r="E671" t="str">
        <f>HYPERLINK("http://www.ncbi.nlm.nih.gov/Taxonomy/Browser/wwwtax.cgi?mode=Info&amp;id=48701&amp;lvl=3&amp;lin=f&amp;keep=1&amp;srchmode=1&amp;unlock","48701")</f>
        <v>48701</v>
      </c>
      <c r="F671" t="s">
        <v>384</v>
      </c>
      <c r="G671" t="str">
        <f>HYPERLINK("http://www.ncbi.nlm.nih.gov/Taxonomy/Browser/wwwtax.cgi?mode=Info&amp;id=48701&amp;lvl=3&amp;lin=f&amp;keep=1&amp;srchmode=1&amp;unlock","Poecilia mexicana")</f>
        <v>Poecilia mexicana</v>
      </c>
      <c r="H671" t="s">
        <v>615</v>
      </c>
      <c r="I671" t="str">
        <f>HYPERLINK("http://www.ncbi.nlm.nih.gov/protein/XP_014862905.1","PREDICTED: fatty acid-binding protein, liver")</f>
        <v>PREDICTED: fatty acid-binding protein, liver</v>
      </c>
      <c r="J671" t="s">
        <v>1390</v>
      </c>
      <c r="K671" t="s">
        <v>25</v>
      </c>
      <c r="L671">
        <v>50</v>
      </c>
      <c r="M671" t="s">
        <v>1379</v>
      </c>
      <c r="N671" t="s">
        <v>25</v>
      </c>
    </row>
    <row r="672" spans="1:14" x14ac:dyDescent="0.25">
      <c r="A672">
        <v>6</v>
      </c>
      <c r="B672" t="s">
        <v>384</v>
      </c>
      <c r="C672" t="str">
        <f>HYPERLINK("http://www.ncbi.nlm.nih.gov/protein/XP_037339533.1","XP_037339533.1")</f>
        <v>XP_037339533.1</v>
      </c>
      <c r="D672">
        <v>43840</v>
      </c>
      <c r="E672" t="str">
        <f>HYPERLINK("http://www.ncbi.nlm.nih.gov/Taxonomy/Browser/wwwtax.cgi?mode=Info&amp;id=134920&amp;lvl=3&amp;lin=f&amp;keep=1&amp;srchmode=1&amp;unlock","134920")</f>
        <v>134920</v>
      </c>
      <c r="F672" t="s">
        <v>384</v>
      </c>
      <c r="G672" t="str">
        <f>HYPERLINK("http://www.ncbi.nlm.nih.gov/Taxonomy/Browser/wwwtax.cgi?mode=Info&amp;id=134920&amp;lvl=3&amp;lin=f&amp;keep=1&amp;srchmode=1&amp;unlock","Pungitius pungitius")</f>
        <v>Pungitius pungitius</v>
      </c>
      <c r="H672" t="s">
        <v>617</v>
      </c>
      <c r="I672" t="str">
        <f>HYPERLINK("http://www.ncbi.nlm.nih.gov/protein/XP_037339533.1","fatty acid-binding protein, liver-type-like")</f>
        <v>fatty acid-binding protein, liver-type-like</v>
      </c>
      <c r="J672" t="s">
        <v>1390</v>
      </c>
      <c r="K672" t="s">
        <v>25</v>
      </c>
      <c r="L672">
        <v>50</v>
      </c>
      <c r="M672" t="s">
        <v>1379</v>
      </c>
      <c r="N672" t="s">
        <v>25</v>
      </c>
    </row>
    <row r="673" spans="1:14" x14ac:dyDescent="0.25">
      <c r="A673">
        <v>6</v>
      </c>
      <c r="B673" t="s">
        <v>384</v>
      </c>
      <c r="C673" t="str">
        <f>HYPERLINK("http://www.ncbi.nlm.nih.gov/protein/XP_027022755.1","XP_027022755.1")</f>
        <v>XP_027022755.1</v>
      </c>
      <c r="D673">
        <v>47885</v>
      </c>
      <c r="E673" t="str">
        <f>HYPERLINK("http://www.ncbi.nlm.nih.gov/Taxonomy/Browser/wwwtax.cgi?mode=Info&amp;id=1234273&amp;lvl=3&amp;lin=f&amp;keep=1&amp;srchmode=1&amp;unlock","1234273")</f>
        <v>1234273</v>
      </c>
      <c r="F673" t="s">
        <v>384</v>
      </c>
      <c r="G673" t="str">
        <f>HYPERLINK("http://www.ncbi.nlm.nih.gov/Taxonomy/Browser/wwwtax.cgi?mode=Info&amp;id=1234273&amp;lvl=3&amp;lin=f&amp;keep=1&amp;srchmode=1&amp;unlock","Tachysurus fulvidraco")</f>
        <v>Tachysurus fulvidraco</v>
      </c>
      <c r="H673" t="s">
        <v>616</v>
      </c>
      <c r="I673" t="str">
        <f>HYPERLINK("http://www.ncbi.nlm.nih.gov/protein/XP_027022755.1","fatty acid-binding protein, liver")</f>
        <v>fatty acid-binding protein, liver</v>
      </c>
      <c r="J673" t="s">
        <v>1390</v>
      </c>
      <c r="K673" t="s">
        <v>25</v>
      </c>
      <c r="L673">
        <v>50</v>
      </c>
      <c r="M673" t="s">
        <v>1379</v>
      </c>
      <c r="N673" t="s">
        <v>25</v>
      </c>
    </row>
    <row r="674" spans="1:14" x14ac:dyDescent="0.25">
      <c r="A674">
        <v>6</v>
      </c>
      <c r="B674" t="s">
        <v>384</v>
      </c>
      <c r="C674" t="str">
        <f>HYPERLINK("http://www.ncbi.nlm.nih.gov/protein/XP_032435134.1","XP_032435134.1")</f>
        <v>XP_032435134.1</v>
      </c>
      <c r="D674">
        <v>46452</v>
      </c>
      <c r="E674" t="str">
        <f>HYPERLINK("http://www.ncbi.nlm.nih.gov/Taxonomy/Browser/wwwtax.cgi?mode=Info&amp;id=8084&amp;lvl=3&amp;lin=f&amp;keep=1&amp;srchmode=1&amp;unlock","8084")</f>
        <v>8084</v>
      </c>
      <c r="F674" t="s">
        <v>384</v>
      </c>
      <c r="G674" t="str">
        <f>HYPERLINK("http://www.ncbi.nlm.nih.gov/Taxonomy/Browser/wwwtax.cgi?mode=Info&amp;id=8084&amp;lvl=3&amp;lin=f&amp;keep=1&amp;srchmode=1&amp;unlock","Xiphophorus hellerii")</f>
        <v>Xiphophorus hellerii</v>
      </c>
      <c r="H674" t="s">
        <v>620</v>
      </c>
      <c r="I674" t="str">
        <f>HYPERLINK("http://www.ncbi.nlm.nih.gov/protein/XP_032435134.1","fatty acid-binding protein, liver")</f>
        <v>fatty acid-binding protein, liver</v>
      </c>
      <c r="J674" t="s">
        <v>1390</v>
      </c>
      <c r="K674" t="s">
        <v>25</v>
      </c>
      <c r="L674">
        <v>50</v>
      </c>
      <c r="M674" t="s">
        <v>1379</v>
      </c>
      <c r="N674" t="s">
        <v>25</v>
      </c>
    </row>
    <row r="675" spans="1:14" x14ac:dyDescent="0.25">
      <c r="A675">
        <v>6</v>
      </c>
      <c r="B675" t="s">
        <v>384</v>
      </c>
      <c r="C675" t="str">
        <f>HYPERLINK("http://www.ncbi.nlm.nih.gov/protein/XP_035291474.1","XP_035291474.1")</f>
        <v>XP_035291474.1</v>
      </c>
      <c r="D675">
        <v>58879</v>
      </c>
      <c r="E675" t="str">
        <f>HYPERLINK("http://www.ncbi.nlm.nih.gov/Taxonomy/Browser/wwwtax.cgi?mode=Info&amp;id=7936&amp;lvl=3&amp;lin=f&amp;keep=1&amp;srchmode=1&amp;unlock","7936")</f>
        <v>7936</v>
      </c>
      <c r="F675" t="s">
        <v>384</v>
      </c>
      <c r="G675" t="str">
        <f>HYPERLINK("http://www.ncbi.nlm.nih.gov/Taxonomy/Browser/wwwtax.cgi?mode=Info&amp;id=7936&amp;lvl=3&amp;lin=f&amp;keep=1&amp;srchmode=1&amp;unlock","Anguilla anguilla")</f>
        <v>Anguilla anguilla</v>
      </c>
      <c r="H675" t="s">
        <v>619</v>
      </c>
      <c r="I675" t="str">
        <f>HYPERLINK("http://www.ncbi.nlm.nih.gov/protein/XP_035291474.1","fatty acid-binding protein, liver-type-like")</f>
        <v>fatty acid-binding protein, liver-type-like</v>
      </c>
      <c r="J675" t="s">
        <v>1390</v>
      </c>
      <c r="K675" t="s">
        <v>25</v>
      </c>
      <c r="L675">
        <v>50</v>
      </c>
      <c r="M675" t="s">
        <v>1379</v>
      </c>
      <c r="N675" t="s">
        <v>25</v>
      </c>
    </row>
    <row r="676" spans="1:14" x14ac:dyDescent="0.25">
      <c r="A676">
        <v>6</v>
      </c>
      <c r="B676" t="s">
        <v>384</v>
      </c>
      <c r="C676" t="str">
        <f>HYPERLINK("http://www.ncbi.nlm.nih.gov/protein/ROL44421.1","ROL44421.1")</f>
        <v>ROL44421.1</v>
      </c>
      <c r="D676">
        <v>23912</v>
      </c>
      <c r="E676" t="str">
        <f>HYPERLINK("http://www.ncbi.nlm.nih.gov/Taxonomy/Browser/wwwtax.cgi?mode=Info&amp;id=495550&amp;lvl=3&amp;lin=f&amp;keep=1&amp;srchmode=1&amp;unlock","495550")</f>
        <v>495550</v>
      </c>
      <c r="F676" t="s">
        <v>384</v>
      </c>
      <c r="G676" t="str">
        <f>HYPERLINK("http://www.ncbi.nlm.nih.gov/Taxonomy/Browser/wwwtax.cgi?mode=Info&amp;id=495550&amp;lvl=3&amp;lin=f&amp;keep=1&amp;srchmode=1&amp;unlock","Anabarilius grahami")</f>
        <v>Anabarilius grahami</v>
      </c>
      <c r="H676" t="s">
        <v>529</v>
      </c>
      <c r="I676" t="str">
        <f>HYPERLINK("http://www.ncbi.nlm.nih.gov/protein/ROL44421.1","Fatty acid binding protein 1-A, liver")</f>
        <v>Fatty acid binding protein 1-A, liver</v>
      </c>
      <c r="J676" t="s">
        <v>1390</v>
      </c>
      <c r="K676" t="s">
        <v>25</v>
      </c>
      <c r="L676">
        <v>61</v>
      </c>
      <c r="M676" t="s">
        <v>1379</v>
      </c>
      <c r="N676" t="s">
        <v>25</v>
      </c>
    </row>
    <row r="677" spans="1:14" x14ac:dyDescent="0.25">
      <c r="A677">
        <v>6</v>
      </c>
      <c r="B677" t="s">
        <v>384</v>
      </c>
      <c r="C677" t="str">
        <f>HYPERLINK("http://www.ncbi.nlm.nih.gov/protein/XP_027890178.1","XP_027890178.1")</f>
        <v>XP_027890178.1</v>
      </c>
      <c r="D677">
        <v>47115</v>
      </c>
      <c r="E677" t="str">
        <f>HYPERLINK("http://www.ncbi.nlm.nih.gov/Taxonomy/Browser/wwwtax.cgi?mode=Info&amp;id=32473&amp;lvl=3&amp;lin=f&amp;keep=1&amp;srchmode=1&amp;unlock","32473")</f>
        <v>32473</v>
      </c>
      <c r="F677" t="s">
        <v>384</v>
      </c>
      <c r="G677" t="str">
        <f>HYPERLINK("http://www.ncbi.nlm.nih.gov/Taxonomy/Browser/wwwtax.cgi?mode=Info&amp;id=32473&amp;lvl=3&amp;lin=f&amp;keep=1&amp;srchmode=1&amp;unlock","Xiphophorus couchianus")</f>
        <v>Xiphophorus couchianus</v>
      </c>
      <c r="H677" t="s">
        <v>621</v>
      </c>
      <c r="I677" t="str">
        <f>HYPERLINK("http://www.ncbi.nlm.nih.gov/protein/XP_027890178.1","fatty acid-binding protein, liver")</f>
        <v>fatty acid-binding protein, liver</v>
      </c>
      <c r="J677" t="s">
        <v>1390</v>
      </c>
      <c r="K677" t="s">
        <v>25</v>
      </c>
      <c r="L677">
        <v>50</v>
      </c>
      <c r="M677" t="s">
        <v>1379</v>
      </c>
      <c r="N677" t="s">
        <v>25</v>
      </c>
    </row>
    <row r="678" spans="1:14" x14ac:dyDescent="0.25">
      <c r="A678">
        <v>6</v>
      </c>
      <c r="B678" t="s">
        <v>384</v>
      </c>
      <c r="C678" t="str">
        <f>HYPERLINK("http://www.ncbi.nlm.nih.gov/protein/XP_020486114.1","XP_020486114.1")</f>
        <v>XP_020486114.1</v>
      </c>
      <c r="D678">
        <v>36766</v>
      </c>
      <c r="E678" t="str">
        <f>HYPERLINK("http://www.ncbi.nlm.nih.gov/Taxonomy/Browser/wwwtax.cgi?mode=Info&amp;id=56723&amp;lvl=3&amp;lin=f&amp;keep=1&amp;srchmode=1&amp;unlock","56723")</f>
        <v>56723</v>
      </c>
      <c r="F678" t="s">
        <v>384</v>
      </c>
      <c r="G678" t="str">
        <f>HYPERLINK("http://www.ncbi.nlm.nih.gov/Taxonomy/Browser/wwwtax.cgi?mode=Info&amp;id=56723&amp;lvl=3&amp;lin=f&amp;keep=1&amp;srchmode=1&amp;unlock","Labrus bergylta")</f>
        <v>Labrus bergylta</v>
      </c>
      <c r="H678" t="s">
        <v>623</v>
      </c>
      <c r="I678" t="str">
        <f>HYPERLINK("http://www.ncbi.nlm.nih.gov/protein/XP_020486114.1","fatty acid-binding protein, liver")</f>
        <v>fatty acid-binding protein, liver</v>
      </c>
      <c r="J678" t="s">
        <v>1390</v>
      </c>
      <c r="K678" t="s">
        <v>25</v>
      </c>
      <c r="L678">
        <v>50</v>
      </c>
      <c r="M678" t="s">
        <v>1379</v>
      </c>
      <c r="N678" t="s">
        <v>25</v>
      </c>
    </row>
    <row r="679" spans="1:14" x14ac:dyDescent="0.25">
      <c r="A679">
        <v>6</v>
      </c>
      <c r="B679" t="s">
        <v>384</v>
      </c>
      <c r="C679" t="str">
        <f>HYPERLINK("http://www.ncbi.nlm.nih.gov/protein/XP_030594149.1","XP_030594149.1")</f>
        <v>XP_030594149.1</v>
      </c>
      <c r="D679">
        <v>41125</v>
      </c>
      <c r="E679" t="str">
        <f>HYPERLINK("http://www.ncbi.nlm.nih.gov/Taxonomy/Browser/wwwtax.cgi?mode=Info&amp;id=63155&amp;lvl=3&amp;lin=f&amp;keep=1&amp;srchmode=1&amp;unlock","63155")</f>
        <v>63155</v>
      </c>
      <c r="F679" t="s">
        <v>384</v>
      </c>
      <c r="G679" t="str">
        <f>HYPERLINK("http://www.ncbi.nlm.nih.gov/Taxonomy/Browser/wwwtax.cgi?mode=Info&amp;id=63155&amp;lvl=3&amp;lin=f&amp;keep=1&amp;srchmode=1&amp;unlock","Archocentrus centrarchus")</f>
        <v>Archocentrus centrarchus</v>
      </c>
      <c r="H679" t="s">
        <v>622</v>
      </c>
      <c r="I679" t="str">
        <f>HYPERLINK("http://www.ncbi.nlm.nih.gov/protein/XP_030594149.1","fatty acid-binding protein, liver")</f>
        <v>fatty acid-binding protein, liver</v>
      </c>
      <c r="J679" t="s">
        <v>1390</v>
      </c>
      <c r="K679" t="s">
        <v>25</v>
      </c>
      <c r="L679">
        <v>50</v>
      </c>
      <c r="M679" t="s">
        <v>1379</v>
      </c>
      <c r="N679" t="s">
        <v>25</v>
      </c>
    </row>
    <row r="680" spans="1:14" x14ac:dyDescent="0.25">
      <c r="A680">
        <v>6</v>
      </c>
      <c r="B680" t="s">
        <v>384</v>
      </c>
      <c r="C680" t="str">
        <f>HYPERLINK("http://www.ncbi.nlm.nih.gov/protein/XP_005794978.1","XP_005794978.1")</f>
        <v>XP_005794978.1</v>
      </c>
      <c r="D680">
        <v>43734</v>
      </c>
      <c r="E680" t="str">
        <f>HYPERLINK("http://www.ncbi.nlm.nih.gov/Taxonomy/Browser/wwwtax.cgi?mode=Info&amp;id=8083&amp;lvl=3&amp;lin=f&amp;keep=1&amp;srchmode=1&amp;unlock","8083")</f>
        <v>8083</v>
      </c>
      <c r="F680" t="s">
        <v>384</v>
      </c>
      <c r="G680" t="str">
        <f>HYPERLINK("http://www.ncbi.nlm.nih.gov/Taxonomy/Browser/wwwtax.cgi?mode=Info&amp;id=8083&amp;lvl=3&amp;lin=f&amp;keep=1&amp;srchmode=1&amp;unlock","Xiphophorus maculatus")</f>
        <v>Xiphophorus maculatus</v>
      </c>
      <c r="H680" t="s">
        <v>624</v>
      </c>
      <c r="I680" t="str">
        <f>HYPERLINK("http://www.ncbi.nlm.nih.gov/protein/XP_005794978.1","fatty acid-binding protein, liver")</f>
        <v>fatty acid-binding protein, liver</v>
      </c>
      <c r="J680" t="s">
        <v>1390</v>
      </c>
      <c r="K680" t="s">
        <v>25</v>
      </c>
      <c r="L680">
        <v>50</v>
      </c>
      <c r="M680" t="s">
        <v>1379</v>
      </c>
      <c r="N680" t="s">
        <v>25</v>
      </c>
    </row>
    <row r="681" spans="1:14" x14ac:dyDescent="0.25">
      <c r="A681">
        <v>6</v>
      </c>
      <c r="B681" t="s">
        <v>384</v>
      </c>
      <c r="C681" t="str">
        <f>HYPERLINK("http://www.ncbi.nlm.nih.gov/protein/XP_018979800.1","XP_018979800.1")</f>
        <v>XP_018979800.1</v>
      </c>
      <c r="D681">
        <v>116977</v>
      </c>
      <c r="E681" t="str">
        <f>HYPERLINK("http://www.ncbi.nlm.nih.gov/Taxonomy/Browser/wwwtax.cgi?mode=Info&amp;id=7962&amp;lvl=3&amp;lin=f&amp;keep=1&amp;srchmode=1&amp;unlock","7962")</f>
        <v>7962</v>
      </c>
      <c r="F681" t="s">
        <v>384</v>
      </c>
      <c r="G681" t="str">
        <f>HYPERLINK("http://www.ncbi.nlm.nih.gov/Taxonomy/Browser/wwwtax.cgi?mode=Info&amp;id=7962&amp;lvl=3&amp;lin=f&amp;keep=1&amp;srchmode=1&amp;unlock","Cyprinus carpio")</f>
        <v>Cyprinus carpio</v>
      </c>
      <c r="H681" t="s">
        <v>625</v>
      </c>
      <c r="I681" t="str">
        <f>HYPERLINK("http://www.ncbi.nlm.nih.gov/protein/XP_018979800.1","PREDICTED: fatty acid binding protein 1-B.1")</f>
        <v>PREDICTED: fatty acid binding protein 1-B.1</v>
      </c>
      <c r="J681" t="s">
        <v>1390</v>
      </c>
      <c r="K681" t="s">
        <v>25</v>
      </c>
      <c r="L681">
        <v>50</v>
      </c>
      <c r="M681" t="s">
        <v>1379</v>
      </c>
      <c r="N681" t="s">
        <v>25</v>
      </c>
    </row>
    <row r="682" spans="1:14" x14ac:dyDescent="0.25">
      <c r="A682">
        <v>6</v>
      </c>
      <c r="B682" t="s">
        <v>384</v>
      </c>
      <c r="C682" t="str">
        <f>HYPERLINK("http://www.ncbi.nlm.nih.gov/protein/XP_031583207.1","XP_031583207.1")</f>
        <v>XP_031583207.1</v>
      </c>
      <c r="D682">
        <v>49810</v>
      </c>
      <c r="E682" t="str">
        <f>HYPERLINK("http://www.ncbi.nlm.nih.gov/Taxonomy/Browser/wwwtax.cgi?mode=Info&amp;id=47969&amp;lvl=3&amp;lin=f&amp;keep=1&amp;srchmode=1&amp;unlock","47969")</f>
        <v>47969</v>
      </c>
      <c r="F682" t="s">
        <v>384</v>
      </c>
      <c r="G682" t="str">
        <f>HYPERLINK("http://www.ncbi.nlm.nih.gov/Taxonomy/Browser/wwwtax.cgi?mode=Info&amp;id=47969&amp;lvl=3&amp;lin=f&amp;keep=1&amp;srchmode=1&amp;unlock","Oreochromis aureus")</f>
        <v>Oreochromis aureus</v>
      </c>
      <c r="H682" t="s">
        <v>626</v>
      </c>
      <c r="I682" t="str">
        <f>HYPERLINK("http://www.ncbi.nlm.nih.gov/protein/XP_031583207.1","fatty acid-binding protein, liver-type")</f>
        <v>fatty acid-binding protein, liver-type</v>
      </c>
      <c r="J682" t="s">
        <v>1390</v>
      </c>
      <c r="K682" t="s">
        <v>25</v>
      </c>
      <c r="L682">
        <v>50</v>
      </c>
      <c r="M682" t="s">
        <v>1379</v>
      </c>
      <c r="N682" t="s">
        <v>25</v>
      </c>
    </row>
    <row r="683" spans="1:14" x14ac:dyDescent="0.25">
      <c r="A683">
        <v>6</v>
      </c>
      <c r="B683" t="s">
        <v>384</v>
      </c>
      <c r="C683" t="str">
        <f>HYPERLINK("http://www.ncbi.nlm.nih.gov/protein/XP_018614471.1","XP_018614471.1")</f>
        <v>XP_018614471.1</v>
      </c>
      <c r="D683">
        <v>72416</v>
      </c>
      <c r="E683" t="str">
        <f>HYPERLINK("http://www.ncbi.nlm.nih.gov/Taxonomy/Browser/wwwtax.cgi?mode=Info&amp;id=113540&amp;lvl=3&amp;lin=f&amp;keep=1&amp;srchmode=1&amp;unlock","113540")</f>
        <v>113540</v>
      </c>
      <c r="F683" t="s">
        <v>384</v>
      </c>
      <c r="G683" t="str">
        <f>HYPERLINK("http://www.ncbi.nlm.nih.gov/Taxonomy/Browser/wwwtax.cgi?mode=Info&amp;id=113540&amp;lvl=3&amp;lin=f&amp;keep=1&amp;srchmode=1&amp;unlock","Scleropages formosus")</f>
        <v>Scleropages formosus</v>
      </c>
      <c r="H683" t="s">
        <v>627</v>
      </c>
      <c r="I683" t="str">
        <f>HYPERLINK("http://www.ncbi.nlm.nih.gov/protein/XP_018614471.1","fatty acid-binding protein, liver isoform X2")</f>
        <v>fatty acid-binding protein, liver isoform X2</v>
      </c>
      <c r="J683" t="s">
        <v>1390</v>
      </c>
      <c r="K683" t="s">
        <v>25</v>
      </c>
      <c r="L683">
        <v>50</v>
      </c>
      <c r="M683" t="s">
        <v>1383</v>
      </c>
      <c r="N683" t="s">
        <v>25</v>
      </c>
    </row>
    <row r="684" spans="1:14" x14ac:dyDescent="0.25">
      <c r="A684">
        <v>6</v>
      </c>
      <c r="B684" t="s">
        <v>384</v>
      </c>
      <c r="C684" t="str">
        <f>HYPERLINK("http://www.ncbi.nlm.nih.gov/protein/XP_003446140.1","XP_003446140.1")</f>
        <v>XP_003446140.1</v>
      </c>
      <c r="D684">
        <v>63394</v>
      </c>
      <c r="E684" t="str">
        <f>HYPERLINK("http://www.ncbi.nlm.nih.gov/Taxonomy/Browser/wwwtax.cgi?mode=Info&amp;id=8128&amp;lvl=3&amp;lin=f&amp;keep=1&amp;srchmode=1&amp;unlock","8128")</f>
        <v>8128</v>
      </c>
      <c r="F684" t="s">
        <v>384</v>
      </c>
      <c r="G684" t="str">
        <f>HYPERLINK("http://www.ncbi.nlm.nih.gov/Taxonomy/Browser/wwwtax.cgi?mode=Info&amp;id=8128&amp;lvl=3&amp;lin=f&amp;keep=1&amp;srchmode=1&amp;unlock","Oreochromis niloticus")</f>
        <v>Oreochromis niloticus</v>
      </c>
      <c r="H684" t="s">
        <v>628</v>
      </c>
      <c r="I684" t="str">
        <f>HYPERLINK("http://www.ncbi.nlm.nih.gov/protein/XP_003446140.1","fatty acid-binding protein, liver")</f>
        <v>fatty acid-binding protein, liver</v>
      </c>
      <c r="J684" t="s">
        <v>1390</v>
      </c>
      <c r="K684" t="s">
        <v>25</v>
      </c>
      <c r="L684">
        <v>50</v>
      </c>
      <c r="M684" t="s">
        <v>1379</v>
      </c>
      <c r="N684" t="s">
        <v>25</v>
      </c>
    </row>
    <row r="685" spans="1:14" x14ac:dyDescent="0.25">
      <c r="A685">
        <v>6</v>
      </c>
      <c r="B685" t="s">
        <v>384</v>
      </c>
      <c r="C685" t="str">
        <f>HYPERLINK("http://www.ncbi.nlm.nih.gov/protein/TWW60612.1","TWW60612.1")</f>
        <v>TWW60612.1</v>
      </c>
      <c r="D685">
        <v>29428</v>
      </c>
      <c r="E685" t="str">
        <f>HYPERLINK("http://www.ncbi.nlm.nih.gov/Taxonomy/Browser/wwwtax.cgi?mode=Info&amp;id=433684&amp;lvl=3&amp;lin=f&amp;keep=1&amp;srchmode=1&amp;unlock","433684")</f>
        <v>433684</v>
      </c>
      <c r="F685" t="s">
        <v>384</v>
      </c>
      <c r="G685" t="str">
        <f>HYPERLINK("http://www.ncbi.nlm.nih.gov/Taxonomy/Browser/wwwtax.cgi?mode=Info&amp;id=433684&amp;lvl=3&amp;lin=f&amp;keep=1&amp;srchmode=1&amp;unlock","Takifugu flavidus")</f>
        <v>Takifugu flavidus</v>
      </c>
      <c r="H685" t="s">
        <v>629</v>
      </c>
      <c r="I685" t="str">
        <f>HYPERLINK("http://www.ncbi.nlm.nih.gov/protein/TWW60612.1","Fatty acid-binding protein, liver-type")</f>
        <v>Fatty acid-binding protein, liver-type</v>
      </c>
      <c r="J685" t="s">
        <v>1390</v>
      </c>
      <c r="K685" t="s">
        <v>25</v>
      </c>
      <c r="L685">
        <v>50</v>
      </c>
      <c r="M685" t="s">
        <v>1383</v>
      </c>
      <c r="N685" t="s">
        <v>25</v>
      </c>
    </row>
    <row r="686" spans="1:14" x14ac:dyDescent="0.25">
      <c r="A686">
        <v>6</v>
      </c>
      <c r="B686" t="s">
        <v>384</v>
      </c>
      <c r="C686" t="str">
        <f>HYPERLINK("http://www.ncbi.nlm.nih.gov/protein/XP_003974856.1","XP_003974856.1")</f>
        <v>XP_003974856.1</v>
      </c>
      <c r="D686">
        <v>49062</v>
      </c>
      <c r="E686" t="str">
        <f>HYPERLINK("http://www.ncbi.nlm.nih.gov/Taxonomy/Browser/wwwtax.cgi?mode=Info&amp;id=31033&amp;lvl=3&amp;lin=f&amp;keep=1&amp;srchmode=1&amp;unlock","31033")</f>
        <v>31033</v>
      </c>
      <c r="F686" t="s">
        <v>384</v>
      </c>
      <c r="G686" t="str">
        <f>HYPERLINK("http://www.ncbi.nlm.nih.gov/Taxonomy/Browser/wwwtax.cgi?mode=Info&amp;id=31033&amp;lvl=3&amp;lin=f&amp;keep=1&amp;srchmode=1&amp;unlock","Takifugu rubripes")</f>
        <v>Takifugu rubripes</v>
      </c>
      <c r="H686" t="s">
        <v>630</v>
      </c>
      <c r="I686" t="str">
        <f>HYPERLINK("http://www.ncbi.nlm.nih.gov/protein/XP_003974856.1","fatty acid-binding protein, liver-type")</f>
        <v>fatty acid-binding protein, liver-type</v>
      </c>
      <c r="J686" t="s">
        <v>1390</v>
      </c>
      <c r="K686" t="s">
        <v>25</v>
      </c>
      <c r="L686">
        <v>50</v>
      </c>
      <c r="M686" t="s">
        <v>1383</v>
      </c>
      <c r="N686" t="s">
        <v>25</v>
      </c>
    </row>
    <row r="687" spans="1:14" x14ac:dyDescent="0.25">
      <c r="A687">
        <v>6</v>
      </c>
      <c r="B687" t="s">
        <v>384</v>
      </c>
      <c r="C687" t="str">
        <f>HYPERLINK("http://www.ncbi.nlm.nih.gov/protein/XP_008416522.1","XP_008416522.1")</f>
        <v>XP_008416522.1</v>
      </c>
      <c r="D687">
        <v>45406</v>
      </c>
      <c r="E687" t="str">
        <f>HYPERLINK("http://www.ncbi.nlm.nih.gov/Taxonomy/Browser/wwwtax.cgi?mode=Info&amp;id=8081&amp;lvl=3&amp;lin=f&amp;keep=1&amp;srchmode=1&amp;unlock","8081")</f>
        <v>8081</v>
      </c>
      <c r="F687" t="s">
        <v>384</v>
      </c>
      <c r="G687" t="str">
        <f>HYPERLINK("http://www.ncbi.nlm.nih.gov/Taxonomy/Browser/wwwtax.cgi?mode=Info&amp;id=8081&amp;lvl=3&amp;lin=f&amp;keep=1&amp;srchmode=1&amp;unlock","Poecilia reticulata")</f>
        <v>Poecilia reticulata</v>
      </c>
      <c r="H687" t="s">
        <v>631</v>
      </c>
      <c r="I687" t="str">
        <f>HYPERLINK("http://www.ncbi.nlm.nih.gov/protein/XP_008416522.1","PREDICTED: fatty acid-binding protein, liver")</f>
        <v>PREDICTED: fatty acid-binding protein, liver</v>
      </c>
      <c r="J687" t="s">
        <v>1390</v>
      </c>
      <c r="K687" t="s">
        <v>25</v>
      </c>
      <c r="L687">
        <v>50</v>
      </c>
      <c r="M687" t="s">
        <v>1379</v>
      </c>
      <c r="N687" t="s">
        <v>25</v>
      </c>
    </row>
    <row r="688" spans="1:14" x14ac:dyDescent="0.25">
      <c r="A688">
        <v>6</v>
      </c>
      <c r="B688" t="s">
        <v>384</v>
      </c>
      <c r="C688" t="str">
        <f>HYPERLINK("http://www.ncbi.nlm.nih.gov/protein/MBN3326319.1","MBN3326319.1")</f>
        <v>MBN3326319.1</v>
      </c>
      <c r="D688">
        <v>15567</v>
      </c>
      <c r="E688" t="str">
        <f>HYPERLINK("http://www.ncbi.nlm.nih.gov/Taxonomy/Browser/wwwtax.cgi?mode=Info&amp;id=7917&amp;lvl=3&amp;lin=f&amp;keep=1&amp;srchmode=1&amp;unlock","7917")</f>
        <v>7917</v>
      </c>
      <c r="F688" t="s">
        <v>384</v>
      </c>
      <c r="G688" t="str">
        <f>HYPERLINK("http://www.ncbi.nlm.nih.gov/Taxonomy/Browser/wwwtax.cgi?mode=Info&amp;id=7917&amp;lvl=3&amp;lin=f&amp;keep=1&amp;srchmode=1&amp;unlock","Atractosteus spatula")</f>
        <v>Atractosteus spatula</v>
      </c>
      <c r="H688" t="s">
        <v>632</v>
      </c>
      <c r="I688" t="str">
        <f>HYPERLINK("http://www.ncbi.nlm.nih.gov/protein/MBN3326319.1","FABP1 protein")</f>
        <v>FABP1 protein</v>
      </c>
      <c r="J688" t="s">
        <v>1390</v>
      </c>
      <c r="K688" t="s">
        <v>25</v>
      </c>
      <c r="L688">
        <v>560</v>
      </c>
      <c r="M688" t="s">
        <v>1379</v>
      </c>
      <c r="N688" t="s">
        <v>25</v>
      </c>
    </row>
    <row r="689" spans="1:14" x14ac:dyDescent="0.25">
      <c r="A689">
        <v>6</v>
      </c>
      <c r="B689" t="s">
        <v>384</v>
      </c>
      <c r="C689" t="str">
        <f>HYPERLINK("http://www.ncbi.nlm.nih.gov/protein/XP_006789912.1","XP_006789912.1")</f>
        <v>XP_006789912.1</v>
      </c>
      <c r="D689">
        <v>36437</v>
      </c>
      <c r="E689" t="str">
        <f>HYPERLINK("http://www.ncbi.nlm.nih.gov/Taxonomy/Browser/wwwtax.cgi?mode=Info&amp;id=32507&amp;lvl=3&amp;lin=f&amp;keep=1&amp;srchmode=1&amp;unlock","32507")</f>
        <v>32507</v>
      </c>
      <c r="F689" t="s">
        <v>384</v>
      </c>
      <c r="G689" t="str">
        <f>HYPERLINK("http://www.ncbi.nlm.nih.gov/Taxonomy/Browser/wwwtax.cgi?mode=Info&amp;id=32507&amp;lvl=3&amp;lin=f&amp;keep=1&amp;srchmode=1&amp;unlock","Neolamprologus brichardi")</f>
        <v>Neolamprologus brichardi</v>
      </c>
      <c r="H689" t="s">
        <v>635</v>
      </c>
      <c r="I689" t="str">
        <f>HYPERLINK("http://www.ncbi.nlm.nih.gov/protein/XP_006789912.1","fatty acid-binding protein, liver-type-like")</f>
        <v>fatty acid-binding protein, liver-type-like</v>
      </c>
      <c r="J689" t="s">
        <v>1390</v>
      </c>
      <c r="K689" t="s">
        <v>25</v>
      </c>
      <c r="L689">
        <v>50</v>
      </c>
      <c r="M689" t="s">
        <v>1379</v>
      </c>
      <c r="N689" t="s">
        <v>25</v>
      </c>
    </row>
    <row r="690" spans="1:14" x14ac:dyDescent="0.25">
      <c r="A690">
        <v>6</v>
      </c>
      <c r="B690" t="s">
        <v>384</v>
      </c>
      <c r="C690" t="str">
        <f>HYPERLINK("http://www.ncbi.nlm.nih.gov/protein/XP_039906942.1","XP_039906942.1")</f>
        <v>XP_039906942.1</v>
      </c>
      <c r="D690">
        <v>53697</v>
      </c>
      <c r="E690" t="str">
        <f>HYPERLINK("http://www.ncbi.nlm.nih.gov/Taxonomy/Browser/wwwtax.cgi?mode=Info&amp;id=43689&amp;lvl=3&amp;lin=f&amp;keep=1&amp;srchmode=1&amp;unlock","43689")</f>
        <v>43689</v>
      </c>
      <c r="F690" t="s">
        <v>384</v>
      </c>
      <c r="G690" t="str">
        <f>HYPERLINK("http://www.ncbi.nlm.nih.gov/Taxonomy/Browser/wwwtax.cgi?mode=Info&amp;id=43689&amp;lvl=3&amp;lin=f&amp;keep=1&amp;srchmode=1&amp;unlock","Simochromis diagramma")</f>
        <v>Simochromis diagramma</v>
      </c>
      <c r="H690" t="s">
        <v>637</v>
      </c>
      <c r="I690" t="str">
        <f>HYPERLINK("http://www.ncbi.nlm.nih.gov/protein/XP_039906942.1","fatty acid-binding protein, liver-type-like")</f>
        <v>fatty acid-binding protein, liver-type-like</v>
      </c>
      <c r="J690" t="s">
        <v>1390</v>
      </c>
      <c r="K690" t="s">
        <v>25</v>
      </c>
      <c r="L690">
        <v>50</v>
      </c>
      <c r="M690" t="s">
        <v>1379</v>
      </c>
      <c r="N690" t="s">
        <v>25</v>
      </c>
    </row>
    <row r="691" spans="1:14" x14ac:dyDescent="0.25">
      <c r="A691">
        <v>6</v>
      </c>
      <c r="B691" t="s">
        <v>384</v>
      </c>
      <c r="C691" t="str">
        <f>HYPERLINK("http://www.ncbi.nlm.nih.gov/protein/XP_005741793.1","XP_005741793.1")</f>
        <v>XP_005741793.1</v>
      </c>
      <c r="D691">
        <v>38743</v>
      </c>
      <c r="E691" t="str">
        <f>HYPERLINK("http://www.ncbi.nlm.nih.gov/Taxonomy/Browser/wwwtax.cgi?mode=Info&amp;id=303518&amp;lvl=3&amp;lin=f&amp;keep=1&amp;srchmode=1&amp;unlock","303518")</f>
        <v>303518</v>
      </c>
      <c r="F691" t="s">
        <v>384</v>
      </c>
      <c r="G691" t="str">
        <f>HYPERLINK("http://www.ncbi.nlm.nih.gov/Taxonomy/Browser/wwwtax.cgi?mode=Info&amp;id=303518&amp;lvl=3&amp;lin=f&amp;keep=1&amp;srchmode=1&amp;unlock","Pundamilia nyererei")</f>
        <v>Pundamilia nyererei</v>
      </c>
      <c r="H691" t="s">
        <v>637</v>
      </c>
      <c r="I691" t="str">
        <f>HYPERLINK("http://www.ncbi.nlm.nih.gov/protein/XP_005741793.1","PREDICTED: fatty acid-binding protein, liver")</f>
        <v>PREDICTED: fatty acid-binding protein, liver</v>
      </c>
      <c r="J691" t="s">
        <v>1390</v>
      </c>
      <c r="K691" t="s">
        <v>25</v>
      </c>
      <c r="L691">
        <v>50</v>
      </c>
      <c r="M691" t="s">
        <v>1379</v>
      </c>
      <c r="N691" t="s">
        <v>25</v>
      </c>
    </row>
    <row r="692" spans="1:14" x14ac:dyDescent="0.25">
      <c r="A692">
        <v>6</v>
      </c>
      <c r="B692" t="s">
        <v>384</v>
      </c>
      <c r="C692" t="str">
        <f>HYPERLINK("http://www.ncbi.nlm.nih.gov/protein/XP_005919104.1","XP_005919104.1")</f>
        <v>XP_005919104.1</v>
      </c>
      <c r="D692">
        <v>45053</v>
      </c>
      <c r="E692" t="str">
        <f>HYPERLINK("http://www.ncbi.nlm.nih.gov/Taxonomy/Browser/wwwtax.cgi?mode=Info&amp;id=8153&amp;lvl=3&amp;lin=f&amp;keep=1&amp;srchmode=1&amp;unlock","8153")</f>
        <v>8153</v>
      </c>
      <c r="F692" t="s">
        <v>384</v>
      </c>
      <c r="G692" t="str">
        <f>HYPERLINK("http://www.ncbi.nlm.nih.gov/Taxonomy/Browser/wwwtax.cgi?mode=Info&amp;id=8153&amp;lvl=3&amp;lin=f&amp;keep=1&amp;srchmode=1&amp;unlock","Haplochromis burtoni")</f>
        <v>Haplochromis burtoni</v>
      </c>
      <c r="H692" t="s">
        <v>639</v>
      </c>
      <c r="I692" t="str">
        <f>HYPERLINK("http://www.ncbi.nlm.nih.gov/protein/XP_005919104.1","PREDICTED: fatty acid-binding protein, liver")</f>
        <v>PREDICTED: fatty acid-binding protein, liver</v>
      </c>
      <c r="J692" t="s">
        <v>1390</v>
      </c>
      <c r="K692" t="s">
        <v>25</v>
      </c>
      <c r="L692">
        <v>50</v>
      </c>
      <c r="M692" t="s">
        <v>1379</v>
      </c>
      <c r="N692" t="s">
        <v>25</v>
      </c>
    </row>
    <row r="693" spans="1:14" x14ac:dyDescent="0.25">
      <c r="A693">
        <v>6</v>
      </c>
      <c r="B693" t="s">
        <v>384</v>
      </c>
      <c r="C693" t="str">
        <f>HYPERLINK("http://www.ncbi.nlm.nih.gov/protein/XP_004547199.1","XP_004547199.1")</f>
        <v>XP_004547199.1</v>
      </c>
      <c r="D693">
        <v>46437</v>
      </c>
      <c r="E693" t="str">
        <f>HYPERLINK("http://www.ncbi.nlm.nih.gov/Taxonomy/Browser/wwwtax.cgi?mode=Info&amp;id=106582&amp;lvl=3&amp;lin=f&amp;keep=1&amp;srchmode=1&amp;unlock","106582")</f>
        <v>106582</v>
      </c>
      <c r="F693" t="s">
        <v>384</v>
      </c>
      <c r="G693" t="str">
        <f>HYPERLINK("http://www.ncbi.nlm.nih.gov/Taxonomy/Browser/wwwtax.cgi?mode=Info&amp;id=106582&amp;lvl=3&amp;lin=f&amp;keep=1&amp;srchmode=1&amp;unlock","Maylandia zebra")</f>
        <v>Maylandia zebra</v>
      </c>
      <c r="H693" t="s">
        <v>641</v>
      </c>
      <c r="I693" t="str">
        <f>HYPERLINK("http://www.ncbi.nlm.nih.gov/protein/XP_004547199.1","fatty acid-binding protein, liver")</f>
        <v>fatty acid-binding protein, liver</v>
      </c>
      <c r="J693" t="s">
        <v>1390</v>
      </c>
      <c r="K693" t="s">
        <v>25</v>
      </c>
      <c r="L693">
        <v>50</v>
      </c>
      <c r="M693" t="s">
        <v>1379</v>
      </c>
      <c r="N693" t="s">
        <v>25</v>
      </c>
    </row>
    <row r="694" spans="1:14" x14ac:dyDescent="0.25">
      <c r="A694">
        <v>6</v>
      </c>
      <c r="B694" t="s">
        <v>384</v>
      </c>
      <c r="C694" t="str">
        <f>HYPERLINK("http://www.ncbi.nlm.nih.gov/protein/XP_026041990.1","XP_026041990.1")</f>
        <v>XP_026041990.1</v>
      </c>
      <c r="D694">
        <v>52755</v>
      </c>
      <c r="E694" t="str">
        <f>HYPERLINK("http://www.ncbi.nlm.nih.gov/Taxonomy/Browser/wwwtax.cgi?mode=Info&amp;id=8154&amp;lvl=3&amp;lin=f&amp;keep=1&amp;srchmode=1&amp;unlock","8154")</f>
        <v>8154</v>
      </c>
      <c r="F694" t="s">
        <v>384</v>
      </c>
      <c r="G694" t="str">
        <f>HYPERLINK("http://www.ncbi.nlm.nih.gov/Taxonomy/Browser/wwwtax.cgi?mode=Info&amp;id=8154&amp;lvl=3&amp;lin=f&amp;keep=1&amp;srchmode=1&amp;unlock","Astatotilapia calliptera")</f>
        <v>Astatotilapia calliptera</v>
      </c>
      <c r="H694" t="s">
        <v>640</v>
      </c>
      <c r="I694" t="str">
        <f>HYPERLINK("http://www.ncbi.nlm.nih.gov/protein/XP_026041990.1","fatty acid-binding protein, liver")</f>
        <v>fatty acid-binding protein, liver</v>
      </c>
      <c r="J694" t="s">
        <v>1390</v>
      </c>
      <c r="K694" t="s">
        <v>25</v>
      </c>
      <c r="L694">
        <v>50</v>
      </c>
      <c r="M694" t="s">
        <v>1379</v>
      </c>
      <c r="N694" t="s">
        <v>25</v>
      </c>
    </row>
    <row r="695" spans="1:14" x14ac:dyDescent="0.25">
      <c r="A695">
        <v>6</v>
      </c>
      <c r="B695" t="s">
        <v>384</v>
      </c>
      <c r="C695" t="str">
        <f>HYPERLINK("http://www.ncbi.nlm.nih.gov/protein/XP_004072258.1","XP_004072258.1")</f>
        <v>XP_004072258.1</v>
      </c>
      <c r="D695">
        <v>47310</v>
      </c>
      <c r="E695" t="str">
        <f>HYPERLINK("http://www.ncbi.nlm.nih.gov/Taxonomy/Browser/wwwtax.cgi?mode=Info&amp;id=8090&amp;lvl=3&amp;lin=f&amp;keep=1&amp;srchmode=1&amp;unlock","8090")</f>
        <v>8090</v>
      </c>
      <c r="F695" t="s">
        <v>384</v>
      </c>
      <c r="G695" t="str">
        <f>HYPERLINK("http://www.ncbi.nlm.nih.gov/Taxonomy/Browser/wwwtax.cgi?mode=Info&amp;id=8090&amp;lvl=3&amp;lin=f&amp;keep=1&amp;srchmode=1&amp;unlock","Oryzias latipes")</f>
        <v>Oryzias latipes</v>
      </c>
      <c r="H695" t="s">
        <v>644</v>
      </c>
      <c r="I695" t="str">
        <f>HYPERLINK("http://www.ncbi.nlm.nih.gov/protein/XP_004072258.1","fatty acid-binding protein, liver-type")</f>
        <v>fatty acid-binding protein, liver-type</v>
      </c>
      <c r="J695" t="s">
        <v>1390</v>
      </c>
      <c r="K695" t="s">
        <v>25</v>
      </c>
      <c r="L695">
        <v>50</v>
      </c>
      <c r="M695" t="s">
        <v>1379</v>
      </c>
      <c r="N695" t="s">
        <v>25</v>
      </c>
    </row>
    <row r="696" spans="1:14" x14ac:dyDescent="0.25">
      <c r="A696">
        <v>6</v>
      </c>
      <c r="B696" t="s">
        <v>384</v>
      </c>
      <c r="C696" t="str">
        <f>HYPERLINK("http://www.ncbi.nlm.nih.gov/protein/XP_024131968.1","XP_024131968.1")</f>
        <v>XP_024131968.1</v>
      </c>
      <c r="D696">
        <v>69259</v>
      </c>
      <c r="E696" t="str">
        <f>HYPERLINK("http://www.ncbi.nlm.nih.gov/Taxonomy/Browser/wwwtax.cgi?mode=Info&amp;id=30732&amp;lvl=3&amp;lin=f&amp;keep=1&amp;srchmode=1&amp;unlock","30732")</f>
        <v>30732</v>
      </c>
      <c r="F696" t="s">
        <v>384</v>
      </c>
      <c r="G696" t="str">
        <f>HYPERLINK("http://www.ncbi.nlm.nih.gov/Taxonomy/Browser/wwwtax.cgi?mode=Info&amp;id=30732&amp;lvl=3&amp;lin=f&amp;keep=1&amp;srchmode=1&amp;unlock","Oryzias melastigma")</f>
        <v>Oryzias melastigma</v>
      </c>
      <c r="H696" t="s">
        <v>645</v>
      </c>
      <c r="I696" t="str">
        <f>HYPERLINK("http://www.ncbi.nlm.nih.gov/protein/XP_024131968.1","fatty acid-binding protein, liver-type")</f>
        <v>fatty acid-binding protein, liver-type</v>
      </c>
      <c r="J696" t="s">
        <v>1390</v>
      </c>
      <c r="K696" t="s">
        <v>25</v>
      </c>
      <c r="L696">
        <v>50</v>
      </c>
      <c r="M696" t="s">
        <v>1379</v>
      </c>
      <c r="N696" t="s">
        <v>25</v>
      </c>
    </row>
    <row r="697" spans="1:14" x14ac:dyDescent="0.25">
      <c r="A697">
        <v>6</v>
      </c>
      <c r="B697" t="s">
        <v>384</v>
      </c>
      <c r="C697" t="str">
        <f>HYPERLINK("http://www.ncbi.nlm.nih.gov/protein/ABW38784.1","ABW38784.1")</f>
        <v>ABW38784.1</v>
      </c>
      <c r="D697">
        <v>2173</v>
      </c>
      <c r="E697" t="str">
        <f>HYPERLINK("http://www.ncbi.nlm.nih.gov/Taxonomy/Browser/wwwtax.cgi?mode=Info&amp;id=7959&amp;lvl=3&amp;lin=f&amp;keep=1&amp;srchmode=1&amp;unlock","7959")</f>
        <v>7959</v>
      </c>
      <c r="F697" t="s">
        <v>384</v>
      </c>
      <c r="G697" t="str">
        <f>HYPERLINK("http://www.ncbi.nlm.nih.gov/Taxonomy/Browser/wwwtax.cgi?mode=Info&amp;id=7959&amp;lvl=3&amp;lin=f&amp;keep=1&amp;srchmode=1&amp;unlock","Ctenopharyngodon idella")</f>
        <v>Ctenopharyngodon idella</v>
      </c>
      <c r="H697" t="s">
        <v>662</v>
      </c>
      <c r="I697" t="str">
        <f>HYPERLINK("http://www.ncbi.nlm.nih.gov/protein/ABW38784.1","liver-type fatty acid-binding protein")</f>
        <v>liver-type fatty acid-binding protein</v>
      </c>
      <c r="J697" t="s">
        <v>1390</v>
      </c>
      <c r="K697" t="s">
        <v>25</v>
      </c>
      <c r="L697">
        <v>50</v>
      </c>
      <c r="M697" t="s">
        <v>1383</v>
      </c>
      <c r="N697" t="s">
        <v>25</v>
      </c>
    </row>
    <row r="698" spans="1:14" x14ac:dyDescent="0.25">
      <c r="A698">
        <v>6</v>
      </c>
      <c r="B698" t="s">
        <v>384</v>
      </c>
      <c r="C698" t="str">
        <f>HYPERLINK("http://www.ncbi.nlm.nih.gov/protein/AAP93878.1","AAP93878.1")</f>
        <v>AAP93878.1</v>
      </c>
      <c r="D698">
        <v>318</v>
      </c>
      <c r="E698" t="str">
        <f>HYPERLINK("http://www.ncbi.nlm.nih.gov/Taxonomy/Browser/wwwtax.cgi?mode=Info&amp;id=8260&amp;lvl=3&amp;lin=f&amp;keep=1&amp;srchmode=1&amp;unlock","8260")</f>
        <v>8260</v>
      </c>
      <c r="F698" t="s">
        <v>384</v>
      </c>
      <c r="G698" t="str">
        <f>HYPERLINK("http://www.ncbi.nlm.nih.gov/Taxonomy/Browser/wwwtax.cgi?mode=Info&amp;id=8260&amp;lvl=3&amp;lin=f&amp;keep=1&amp;srchmode=1&amp;unlock","Platichthys flesus")</f>
        <v>Platichthys flesus</v>
      </c>
      <c r="H698" t="s">
        <v>671</v>
      </c>
      <c r="I698" t="str">
        <f>HYPERLINK("http://www.ncbi.nlm.nih.gov/protein/AAP93878.1","fatty acid-binding protein")</f>
        <v>fatty acid-binding protein</v>
      </c>
      <c r="J698" t="s">
        <v>1390</v>
      </c>
      <c r="K698" t="s">
        <v>25</v>
      </c>
      <c r="L698">
        <v>50</v>
      </c>
      <c r="M698" t="s">
        <v>1383</v>
      </c>
      <c r="N698" t="s">
        <v>25</v>
      </c>
    </row>
    <row r="699" spans="1:14" x14ac:dyDescent="0.25">
      <c r="A699">
        <v>6</v>
      </c>
      <c r="B699" t="s">
        <v>384</v>
      </c>
      <c r="C699" t="str">
        <f>HYPERLINK("http://www.ncbi.nlm.nih.gov/protein/TSY41760.1","TSY41760.1")</f>
        <v>TSY41760.1</v>
      </c>
      <c r="D699">
        <v>17327</v>
      </c>
      <c r="E699" t="str">
        <f>HYPERLINK("http://www.ncbi.nlm.nih.gov/Taxonomy/Browser/wwwtax.cgi?mode=Info&amp;id=175774&amp;lvl=3&amp;lin=f&amp;keep=1&amp;srchmode=1&amp;unlock","175774")</f>
        <v>175774</v>
      </c>
      <c r="F699" t="s">
        <v>384</v>
      </c>
      <c r="G699" t="str">
        <f>HYPERLINK("http://www.ncbi.nlm.nih.gov/Taxonomy/Browser/wwwtax.cgi?mode=Info&amp;id=175774&amp;lvl=3&amp;lin=f&amp;keep=1&amp;srchmode=1&amp;unlock","Bagarius yarrelli")</f>
        <v>Bagarius yarrelli</v>
      </c>
      <c r="H699" t="s">
        <v>670</v>
      </c>
      <c r="I699" t="str">
        <f>HYPERLINK("http://www.ncbi.nlm.nih.gov/protein/TSY41760.1","Fatty acid binding protein 1-B.1")</f>
        <v>Fatty acid binding protein 1-B.1</v>
      </c>
      <c r="J699" t="s">
        <v>1390</v>
      </c>
      <c r="K699" t="s">
        <v>25</v>
      </c>
      <c r="L699">
        <v>50</v>
      </c>
      <c r="M699" t="s">
        <v>1315</v>
      </c>
      <c r="N699" t="s">
        <v>25</v>
      </c>
    </row>
    <row r="700" spans="1:14" x14ac:dyDescent="0.25">
      <c r="A700">
        <v>6</v>
      </c>
      <c r="B700" t="s">
        <v>384</v>
      </c>
      <c r="C700" t="str">
        <f>HYPERLINK("http://www.ncbi.nlm.nih.gov/protein/ADO28127.1","ADO28127.1")</f>
        <v>ADO28127.1</v>
      </c>
      <c r="D700">
        <v>802</v>
      </c>
      <c r="E700" t="str">
        <f>HYPERLINK("http://www.ncbi.nlm.nih.gov/Taxonomy/Browser/wwwtax.cgi?mode=Info&amp;id=66913&amp;lvl=3&amp;lin=f&amp;keep=1&amp;srchmode=1&amp;unlock","66913")</f>
        <v>66913</v>
      </c>
      <c r="F700" t="s">
        <v>384</v>
      </c>
      <c r="G700" t="str">
        <f>HYPERLINK("http://www.ncbi.nlm.nih.gov/Taxonomy/Browser/wwwtax.cgi?mode=Info&amp;id=66913&amp;lvl=3&amp;lin=f&amp;keep=1&amp;srchmode=1&amp;unlock","Ictalurus furcatus")</f>
        <v>Ictalurus furcatus</v>
      </c>
      <c r="H700" t="s">
        <v>673</v>
      </c>
      <c r="I700" t="str">
        <f>HYPERLINK("http://www.ncbi.nlm.nih.gov/protein/ADO28127.1","fatty acid-binding protein liver")</f>
        <v>fatty acid-binding protein liver</v>
      </c>
      <c r="J700" t="s">
        <v>1390</v>
      </c>
      <c r="K700" t="s">
        <v>25</v>
      </c>
      <c r="L700">
        <v>50</v>
      </c>
      <c r="M700" t="s">
        <v>1383</v>
      </c>
      <c r="N700" t="s">
        <v>25</v>
      </c>
    </row>
    <row r="701" spans="1:14" x14ac:dyDescent="0.25">
      <c r="A701">
        <v>6</v>
      </c>
      <c r="B701" t="s">
        <v>384</v>
      </c>
      <c r="C701" t="str">
        <f>HYPERLINK("http://www.ncbi.nlm.nih.gov/protein/QIE07388.1","QIE07388.1")</f>
        <v>QIE07388.1</v>
      </c>
      <c r="D701">
        <v>204</v>
      </c>
      <c r="E701" t="str">
        <f>HYPERLINK("http://www.ncbi.nlm.nih.gov/Taxonomy/Browser/wwwtax.cgi?mode=Info&amp;id=267130&amp;lvl=3&amp;lin=f&amp;keep=1&amp;srchmode=1&amp;unlock","267130")</f>
        <v>267130</v>
      </c>
      <c r="F701" t="s">
        <v>384</v>
      </c>
      <c r="G701" t="str">
        <f>HYPERLINK("http://www.ncbi.nlm.nih.gov/Taxonomy/Browser/wwwtax.cgi?mode=Info&amp;id=267130&amp;lvl=3&amp;lin=f&amp;keep=1&amp;srchmode=1&amp;unlock","Acanthogobius hasta")</f>
        <v>Acanthogobius hasta</v>
      </c>
      <c r="H701" t="s">
        <v>678</v>
      </c>
      <c r="I701" t="str">
        <f>HYPERLINK("http://www.ncbi.nlm.nih.gov/protein/QIE07388.1","liver-type fatty acid-binding protein")</f>
        <v>liver-type fatty acid-binding protein</v>
      </c>
      <c r="J701" t="s">
        <v>1390</v>
      </c>
      <c r="K701" t="s">
        <v>25</v>
      </c>
      <c r="L701">
        <v>50</v>
      </c>
      <c r="M701" t="s">
        <v>1383</v>
      </c>
      <c r="N701" t="s">
        <v>25</v>
      </c>
    </row>
    <row r="702" spans="1:14" x14ac:dyDescent="0.25">
      <c r="A702">
        <v>6</v>
      </c>
      <c r="B702" t="s">
        <v>384</v>
      </c>
      <c r="C702" t="str">
        <f>HYPERLINK("http://www.ncbi.nlm.nih.gov/protein/P80856.2","P80856.2")</f>
        <v>P80856.2</v>
      </c>
      <c r="D702">
        <v>12</v>
      </c>
      <c r="E702" t="str">
        <f>HYPERLINK("http://www.ncbi.nlm.nih.gov/Taxonomy/Browser/wwwtax.cgi?mode=Info&amp;id=55673&amp;lvl=3&amp;lin=f&amp;keep=1&amp;srchmode=1&amp;unlock","55673")</f>
        <v>55673</v>
      </c>
      <c r="F702" t="s">
        <v>384</v>
      </c>
      <c r="G702" t="str">
        <f>HYPERLINK("http://www.ncbi.nlm.nih.gov/Taxonomy/Browser/wwwtax.cgi?mode=Info&amp;id=55673&amp;lvl=3&amp;lin=f&amp;keep=1&amp;srchmode=1&amp;unlock","Rhamdia sapo")</f>
        <v>Rhamdia sapo</v>
      </c>
      <c r="H702" t="s">
        <v>679</v>
      </c>
      <c r="I702" t="str">
        <f>HYPERLINK("http://www.ncbi.nlm.nih.gov/protein/P80856.2","RecName: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702" t="s">
        <v>1390</v>
      </c>
      <c r="K702" t="s">
        <v>25</v>
      </c>
      <c r="L702">
        <v>50</v>
      </c>
      <c r="M702" t="s">
        <v>1383</v>
      </c>
      <c r="N702" t="s">
        <v>25</v>
      </c>
    </row>
    <row r="703" spans="1:14" x14ac:dyDescent="0.25">
      <c r="A703">
        <v>6</v>
      </c>
      <c r="B703" t="s">
        <v>384</v>
      </c>
      <c r="C703" t="str">
        <f>HYPERLINK("http://www.ncbi.nlm.nih.gov/protein/AIL82448.1","AIL82448.1")</f>
        <v>AIL82448.1</v>
      </c>
      <c r="D703">
        <v>585</v>
      </c>
      <c r="E703" t="str">
        <f>HYPERLINK("http://www.ncbi.nlm.nih.gov/Taxonomy/Browser/wwwtax.cgi?mode=Info&amp;id=64152&amp;lvl=3&amp;lin=f&amp;keep=1&amp;srchmode=1&amp;unlock","64152")</f>
        <v>64152</v>
      </c>
      <c r="F703" t="s">
        <v>384</v>
      </c>
      <c r="G703" t="str">
        <f>HYPERLINK("http://www.ncbi.nlm.nih.gov/Taxonomy/Browser/wwwtax.cgi?mode=Info&amp;id=64152&amp;lvl=3&amp;lin=f&amp;keep=1&amp;srchmode=1&amp;unlock","Channa striata")</f>
        <v>Channa striata</v>
      </c>
      <c r="H703" t="s">
        <v>682</v>
      </c>
      <c r="I703" t="str">
        <f>HYPERLINK("http://www.ncbi.nlm.nih.gov/protein/AIL82448.1","fatty acid binding protein")</f>
        <v>fatty acid binding protein</v>
      </c>
      <c r="J703" t="s">
        <v>1390</v>
      </c>
      <c r="K703" t="s">
        <v>25</v>
      </c>
      <c r="L703">
        <v>50</v>
      </c>
      <c r="M703" t="s">
        <v>1379</v>
      </c>
      <c r="N703" t="s">
        <v>25</v>
      </c>
    </row>
    <row r="704" spans="1:14" x14ac:dyDescent="0.25">
      <c r="A704">
        <v>6</v>
      </c>
      <c r="B704" t="s">
        <v>384</v>
      </c>
      <c r="C704" t="str">
        <f>HYPERLINK("http://www.ncbi.nlm.nih.gov/protein/ADN04913.1","ADN04913.1")</f>
        <v>ADN04913.1</v>
      </c>
      <c r="D704">
        <v>98</v>
      </c>
      <c r="E704" t="str">
        <f>HYPERLINK("http://www.ncbi.nlm.nih.gov/Taxonomy/Browser/wwwtax.cgi?mode=Info&amp;id=162300&amp;lvl=3&amp;lin=f&amp;keep=1&amp;srchmode=1&amp;unlock","162300")</f>
        <v>162300</v>
      </c>
      <c r="F704" t="s">
        <v>384</v>
      </c>
      <c r="G704" t="str">
        <f>HYPERLINK("http://www.ncbi.nlm.nih.gov/Taxonomy/Browser/wwwtax.cgi?mode=Info&amp;id=162300&amp;lvl=3&amp;lin=f&amp;keep=1&amp;srchmode=1&amp;unlock","Epinephelus malabaricus")</f>
        <v>Epinephelus malabaricus</v>
      </c>
      <c r="H704" t="s">
        <v>684</v>
      </c>
      <c r="I704" t="str">
        <f>HYPERLINK("http://www.ncbi.nlm.nih.gov/protein/ADN04913.1","fatty acid-binding protein")</f>
        <v>fatty acid-binding protein</v>
      </c>
      <c r="J704" t="s">
        <v>1390</v>
      </c>
      <c r="K704" t="s">
        <v>25</v>
      </c>
      <c r="L704">
        <v>50</v>
      </c>
      <c r="M704" t="s">
        <v>1379</v>
      </c>
      <c r="N704" t="s">
        <v>25</v>
      </c>
    </row>
    <row r="705" spans="1:14" x14ac:dyDescent="0.25">
      <c r="A705">
        <v>6</v>
      </c>
      <c r="B705" t="s">
        <v>384</v>
      </c>
      <c r="C705" t="str">
        <f>HYPERLINK("http://www.ncbi.nlm.nih.gov/protein/QEQ55688.1","QEQ55688.1")</f>
        <v>QEQ55688.1</v>
      </c>
      <c r="D705">
        <v>31</v>
      </c>
      <c r="E705" t="str">
        <f>HYPERLINK("http://www.ncbi.nlm.nih.gov/Taxonomy/Browser/wwwtax.cgi?mode=Info&amp;id=2528762&amp;lvl=3&amp;lin=f&amp;keep=1&amp;srchmode=1&amp;unlock","2528762")</f>
        <v>2528762</v>
      </c>
      <c r="F705" t="s">
        <v>384</v>
      </c>
      <c r="G705" t="str">
        <f>HYPERLINK("http://www.ncbi.nlm.nih.gov/Taxonomy/Browser/wwwtax.cgi?mode=Info&amp;id=2528762&amp;lvl=3&amp;lin=f&amp;keep=1&amp;srchmode=1&amp;unlock","Epinephelus fuscoguttatus x Epinephelus polyphekadion")</f>
        <v>Epinephelus fuscoguttatus x Epinephelus polyphekadion</v>
      </c>
      <c r="H705" t="s">
        <v>685</v>
      </c>
      <c r="I705" t="str">
        <f>HYPERLINK("http://www.ncbi.nlm.nih.gov/protein/QEQ55688.1","fatty acid binding protein")</f>
        <v>fatty acid binding protein</v>
      </c>
      <c r="J705" t="s">
        <v>1390</v>
      </c>
      <c r="K705" t="s">
        <v>25</v>
      </c>
      <c r="L705">
        <v>50</v>
      </c>
      <c r="M705" t="s">
        <v>1379</v>
      </c>
      <c r="N705" t="s">
        <v>25</v>
      </c>
    </row>
    <row r="706" spans="1:14" x14ac:dyDescent="0.25">
      <c r="A706">
        <v>6</v>
      </c>
      <c r="B706" t="s">
        <v>384</v>
      </c>
      <c r="C706" t="str">
        <f>HYPERLINK("http://www.ncbi.nlm.nih.gov/protein/AKG51662.1","AKG51662.1")</f>
        <v>AKG51662.1</v>
      </c>
      <c r="D706">
        <v>106</v>
      </c>
      <c r="E706" t="str">
        <f>HYPERLINK("http://www.ncbi.nlm.nih.gov/Taxonomy/Browser/wwwtax.cgi?mode=Info&amp;id=183150&amp;lvl=3&amp;lin=f&amp;keep=1&amp;srchmode=1&amp;unlock","183150")</f>
        <v>183150</v>
      </c>
      <c r="F706" t="s">
        <v>384</v>
      </c>
      <c r="G706" t="str">
        <f>HYPERLINK("http://www.ncbi.nlm.nih.gov/Taxonomy/Browser/wwwtax.cgi?mode=Info&amp;id=183150&amp;lvl=3&amp;lin=f&amp;keep=1&amp;srchmode=1&amp;unlock","Oryzias sinensis")</f>
        <v>Oryzias sinensis</v>
      </c>
      <c r="H706" t="s">
        <v>686</v>
      </c>
      <c r="I706" t="str">
        <f>HYPERLINK("http://www.ncbi.nlm.nih.gov/protein/AKG51662.1","fatty acid-binding protein")</f>
        <v>fatty acid-binding protein</v>
      </c>
      <c r="J706" t="s">
        <v>1390</v>
      </c>
      <c r="K706" t="s">
        <v>25</v>
      </c>
      <c r="L706">
        <v>50</v>
      </c>
      <c r="M706" t="s">
        <v>1383</v>
      </c>
      <c r="N706" t="s">
        <v>25</v>
      </c>
    </row>
    <row r="707" spans="1:14" x14ac:dyDescent="0.25">
      <c r="A707">
        <v>6</v>
      </c>
      <c r="B707" t="s">
        <v>522</v>
      </c>
      <c r="C707" t="str">
        <f>HYPERLINK("http://www.ncbi.nlm.nih.gov/protein/XP_028660485.1","XP_028660485.1")</f>
        <v>XP_028660485.1</v>
      </c>
      <c r="D707">
        <v>35768</v>
      </c>
      <c r="E707" t="str">
        <f>HYPERLINK("http://www.ncbi.nlm.nih.gov/Taxonomy/Browser/wwwtax.cgi?mode=Info&amp;id=27687&amp;lvl=3&amp;lin=f&amp;keep=1&amp;srchmode=1&amp;unlock","27687")</f>
        <v>27687</v>
      </c>
      <c r="F707" t="s">
        <v>522</v>
      </c>
      <c r="G707" t="str">
        <f>HYPERLINK("http://www.ncbi.nlm.nih.gov/Taxonomy/Browser/wwwtax.cgi?mode=Info&amp;id=27687&amp;lvl=3&amp;lin=f&amp;keep=1&amp;srchmode=1&amp;unlock","Erpetoichthys calabaricus")</f>
        <v>Erpetoichthys calabaricus</v>
      </c>
      <c r="H707" t="s">
        <v>523</v>
      </c>
      <c r="I707" t="str">
        <f>HYPERLINK("http://www.ncbi.nlm.nih.gov/protein/XP_028660485.1","fatty acid-binding protein, liver")</f>
        <v>fatty acid-binding protein, liver</v>
      </c>
      <c r="J707" t="s">
        <v>1391</v>
      </c>
      <c r="K707" t="s">
        <v>25</v>
      </c>
      <c r="L707">
        <v>50</v>
      </c>
      <c r="M707" t="s">
        <v>1379</v>
      </c>
      <c r="N707" t="s">
        <v>25</v>
      </c>
    </row>
    <row r="708" spans="1:14" x14ac:dyDescent="0.25">
      <c r="A708">
        <v>6</v>
      </c>
      <c r="B708" t="s">
        <v>522</v>
      </c>
      <c r="C708" t="str">
        <f>HYPERLINK("http://www.ncbi.nlm.nih.gov/protein/XP_039615032.1","XP_039615032.1")</f>
        <v>XP_039615032.1</v>
      </c>
      <c r="D708">
        <v>64388</v>
      </c>
      <c r="E708" t="str">
        <f>HYPERLINK("http://www.ncbi.nlm.nih.gov/Taxonomy/Browser/wwwtax.cgi?mode=Info&amp;id=55291&amp;lvl=3&amp;lin=f&amp;keep=1&amp;srchmode=1&amp;unlock","55291")</f>
        <v>55291</v>
      </c>
      <c r="F708" t="s">
        <v>522</v>
      </c>
      <c r="G708" t="str">
        <f>HYPERLINK("http://www.ncbi.nlm.nih.gov/Taxonomy/Browser/wwwtax.cgi?mode=Info&amp;id=55291&amp;lvl=3&amp;lin=f&amp;keep=1&amp;srchmode=1&amp;unlock","Polypterus senegalus")</f>
        <v>Polypterus senegalus</v>
      </c>
      <c r="H708" t="s">
        <v>554</v>
      </c>
      <c r="I708" t="str">
        <f>HYPERLINK("http://www.ncbi.nlm.nih.gov/protein/XP_039615032.1","fatty acid-binding protein 1, liver-like isoform X1")</f>
        <v>fatty acid-binding protein 1, liver-like isoform X1</v>
      </c>
      <c r="J708" t="s">
        <v>1391</v>
      </c>
      <c r="K708" t="s">
        <v>25</v>
      </c>
      <c r="L708">
        <v>50</v>
      </c>
      <c r="M708" t="s">
        <v>1379</v>
      </c>
      <c r="N708" t="s">
        <v>25</v>
      </c>
    </row>
    <row r="709" spans="1:14" x14ac:dyDescent="0.25">
      <c r="A709">
        <v>6</v>
      </c>
      <c r="B709" t="s">
        <v>550</v>
      </c>
      <c r="C709" t="str">
        <f>HYPERLINK("http://www.ncbi.nlm.nih.gov/protein/XP_020385610.1","XP_020385610.1")</f>
        <v>XP_020385610.1</v>
      </c>
      <c r="D709">
        <v>27965</v>
      </c>
      <c r="E709" t="str">
        <f>HYPERLINK("http://www.ncbi.nlm.nih.gov/Taxonomy/Browser/wwwtax.cgi?mode=Info&amp;id=259920&amp;lvl=3&amp;lin=f&amp;keep=1&amp;srchmode=1&amp;unlock","259920")</f>
        <v>259920</v>
      </c>
      <c r="F709" t="s">
        <v>550</v>
      </c>
      <c r="G709" t="str">
        <f>HYPERLINK("http://www.ncbi.nlm.nih.gov/Taxonomy/Browser/wwwtax.cgi?mode=Info&amp;id=259920&amp;lvl=3&amp;lin=f&amp;keep=1&amp;srchmode=1&amp;unlock","Rhincodon typus")</f>
        <v>Rhincodon typus</v>
      </c>
      <c r="H709" t="s">
        <v>601</v>
      </c>
      <c r="I709" t="str">
        <f>HYPERLINK("http://www.ncbi.nlm.nih.gov/protein/XP_020385610.1","fatty acid-binding protein, liver-like")</f>
        <v>fatty acid-binding protein, liver-like</v>
      </c>
      <c r="J709" t="s">
        <v>1392</v>
      </c>
      <c r="K709" t="s">
        <v>25</v>
      </c>
      <c r="L709">
        <v>50</v>
      </c>
      <c r="M709" t="s">
        <v>1383</v>
      </c>
      <c r="N709" t="s">
        <v>25</v>
      </c>
    </row>
    <row r="710" spans="1:14" x14ac:dyDescent="0.25">
      <c r="A710">
        <v>6</v>
      </c>
      <c r="B710" t="s">
        <v>550</v>
      </c>
      <c r="C710" t="str">
        <f>HYPERLINK("http://www.ncbi.nlm.nih.gov/protein/AFK10903.1","AFK10903.1")</f>
        <v>AFK10903.1</v>
      </c>
      <c r="D710">
        <v>32968</v>
      </c>
      <c r="E710" t="str">
        <f>HYPERLINK("http://www.ncbi.nlm.nih.gov/Taxonomy/Browser/wwwtax.cgi?mode=Info&amp;id=7868&amp;lvl=3&amp;lin=f&amp;keep=1&amp;srchmode=1&amp;unlock","7868")</f>
        <v>7868</v>
      </c>
      <c r="F710" t="s">
        <v>550</v>
      </c>
      <c r="G710" t="str">
        <f>HYPERLINK("http://www.ncbi.nlm.nih.gov/Taxonomy/Browser/wwwtax.cgi?mode=Info&amp;id=7868&amp;lvl=3&amp;lin=f&amp;keep=1&amp;srchmode=1&amp;unlock","Callorhinchus milii")</f>
        <v>Callorhinchus milii</v>
      </c>
      <c r="H710" t="s">
        <v>608</v>
      </c>
      <c r="I710" t="str">
        <f>HYPERLINK("http://www.ncbi.nlm.nih.gov/protein/AFK10903.1","fatty acid-binding protein 1-like protein")</f>
        <v>fatty acid-binding protein 1-like protein</v>
      </c>
      <c r="J710" t="s">
        <v>1392</v>
      </c>
      <c r="K710" t="s">
        <v>25</v>
      </c>
      <c r="L710">
        <v>77</v>
      </c>
      <c r="M710" t="s">
        <v>1383</v>
      </c>
      <c r="N710" t="s">
        <v>25</v>
      </c>
    </row>
    <row r="711" spans="1:14" x14ac:dyDescent="0.25">
      <c r="A711">
        <v>6</v>
      </c>
      <c r="B711" t="s">
        <v>550</v>
      </c>
      <c r="C711" t="str">
        <f>HYPERLINK("http://www.ncbi.nlm.nih.gov/protein/XP_038632789.1","XP_038632789.1")</f>
        <v>XP_038632789.1</v>
      </c>
      <c r="D711">
        <v>50056</v>
      </c>
      <c r="E711" t="str">
        <f>HYPERLINK("http://www.ncbi.nlm.nih.gov/Taxonomy/Browser/wwwtax.cgi?mode=Info&amp;id=7830&amp;lvl=3&amp;lin=f&amp;keep=1&amp;srchmode=1&amp;unlock","7830")</f>
        <v>7830</v>
      </c>
      <c r="F711" t="s">
        <v>550</v>
      </c>
      <c r="G711" t="str">
        <f>HYPERLINK("http://www.ncbi.nlm.nih.gov/Taxonomy/Browser/wwwtax.cgi?mode=Info&amp;id=7830&amp;lvl=3&amp;lin=f&amp;keep=1&amp;srchmode=1&amp;unlock","Scyliorhinus canicula")</f>
        <v>Scyliorhinus canicula</v>
      </c>
      <c r="H711" t="s">
        <v>614</v>
      </c>
      <c r="I711" t="str">
        <f>HYPERLINK("http://www.ncbi.nlm.nih.gov/protein/XP_038632789.1","fatty acid-binding protein 1, liver-like")</f>
        <v>fatty acid-binding protein 1, liver-like</v>
      </c>
      <c r="J711" t="s">
        <v>1392</v>
      </c>
      <c r="K711" t="s">
        <v>25</v>
      </c>
      <c r="L711">
        <v>50</v>
      </c>
      <c r="M711" t="s">
        <v>1383</v>
      </c>
      <c r="N711" t="s">
        <v>25</v>
      </c>
    </row>
    <row r="712" spans="1:14" x14ac:dyDescent="0.25">
      <c r="A712">
        <v>6</v>
      </c>
      <c r="B712" t="s">
        <v>550</v>
      </c>
      <c r="C712" t="str">
        <f>HYPERLINK("http://www.ncbi.nlm.nih.gov/protein/XP_032900479.1","XP_032900479.1")</f>
        <v>XP_032900479.1</v>
      </c>
      <c r="D712">
        <v>38961</v>
      </c>
      <c r="E712" t="str">
        <f>HYPERLINK("http://www.ncbi.nlm.nih.gov/Taxonomy/Browser/wwwtax.cgi?mode=Info&amp;id=386614&amp;lvl=3&amp;lin=f&amp;keep=1&amp;srchmode=1&amp;unlock","386614")</f>
        <v>386614</v>
      </c>
      <c r="F712" t="s">
        <v>550</v>
      </c>
      <c r="G712" t="str">
        <f>HYPERLINK("http://www.ncbi.nlm.nih.gov/Taxonomy/Browser/wwwtax.cgi?mode=Info&amp;id=386614&amp;lvl=3&amp;lin=f&amp;keep=1&amp;srchmode=1&amp;unlock","Amblyraja radiata")</f>
        <v>Amblyraja radiata</v>
      </c>
      <c r="H712" t="s">
        <v>633</v>
      </c>
      <c r="I712" t="str">
        <f>HYPERLINK("http://www.ncbi.nlm.nih.gov/protein/XP_032900479.1","fatty acid-binding protein 1, liver-like")</f>
        <v>fatty acid-binding protein 1, liver-like</v>
      </c>
      <c r="J712" t="s">
        <v>1392</v>
      </c>
      <c r="K712" t="s">
        <v>25</v>
      </c>
      <c r="L712">
        <v>50</v>
      </c>
      <c r="M712" t="s">
        <v>1379</v>
      </c>
      <c r="N712" t="s">
        <v>25</v>
      </c>
    </row>
    <row r="713" spans="1:14" x14ac:dyDescent="0.25">
      <c r="A713">
        <v>6</v>
      </c>
      <c r="B713" t="s">
        <v>550</v>
      </c>
      <c r="C713" t="str">
        <f>HYPERLINK("http://www.ncbi.nlm.nih.gov/protein/P81653.2","P81653.2")</f>
        <v>P81653.2</v>
      </c>
      <c r="D713">
        <v>7</v>
      </c>
      <c r="E713" t="str">
        <f>HYPERLINK("http://www.ncbi.nlm.nih.gov/Taxonomy/Browser/wwwtax.cgi?mode=Info&amp;id=458609&amp;lvl=3&amp;lin=f&amp;keep=1&amp;srchmode=1&amp;unlock","458609")</f>
        <v>458609</v>
      </c>
      <c r="F713" t="s">
        <v>550</v>
      </c>
      <c r="G713" t="str">
        <f>HYPERLINK("http://www.ncbi.nlm.nih.gov/Taxonomy/Browser/wwwtax.cgi?mode=Info&amp;id=458609&amp;lvl=3&amp;lin=f&amp;keep=1&amp;srchmode=1&amp;unlock","Schroederichthys bivius")</f>
        <v>Schroederichthys bivius</v>
      </c>
      <c r="H713" t="s">
        <v>665</v>
      </c>
      <c r="I713" t="str">
        <f>HYPERLINK("http://www.ncbi.nlm.nih.gov/protein/P81653.2","RecName: Full=Fatty acid-binding protein, liver; AltName: Full=Fatty acid-binding protein 1; AltName: Full=Liver-type fatty acid-binding protein; Short=L-FABP")</f>
        <v>RecName: Full=Fatty acid-binding protein, liver; AltName: Full=Fatty acid-binding protein 1; AltName: Full=Liver-type fatty acid-binding protein; Short=L-FABP</v>
      </c>
      <c r="J713" t="s">
        <v>1392</v>
      </c>
      <c r="K713" t="s">
        <v>25</v>
      </c>
      <c r="L713">
        <v>50</v>
      </c>
      <c r="M713" t="s">
        <v>1383</v>
      </c>
      <c r="N713" t="s">
        <v>25</v>
      </c>
    </row>
    <row r="714" spans="1:14" x14ac:dyDescent="0.25">
      <c r="A714">
        <v>6</v>
      </c>
      <c r="B714" t="s">
        <v>646</v>
      </c>
      <c r="C714" t="str">
        <f>HYPERLINK("http://www.ncbi.nlm.nih.gov/protein/XP_006014294.2","XP_006014294.2")</f>
        <v>XP_006014294.2</v>
      </c>
      <c r="D714">
        <v>34479</v>
      </c>
      <c r="E714" t="str">
        <f>HYPERLINK("http://www.ncbi.nlm.nih.gov/Taxonomy/Browser/wwwtax.cgi?mode=Info&amp;id=7897&amp;lvl=3&amp;lin=f&amp;keep=1&amp;srchmode=1&amp;unlock","7897")</f>
        <v>7897</v>
      </c>
      <c r="F714" t="s">
        <v>646</v>
      </c>
      <c r="G714" t="str">
        <f>HYPERLINK("http://www.ncbi.nlm.nih.gov/Taxonomy/Browser/wwwtax.cgi?mode=Info&amp;id=7897&amp;lvl=3&amp;lin=f&amp;keep=1&amp;srchmode=1&amp;unlock","Latimeria chalumnae")</f>
        <v>Latimeria chalumnae</v>
      </c>
      <c r="H714" t="s">
        <v>647</v>
      </c>
      <c r="I714" t="str">
        <f>HYPERLINK("http://www.ncbi.nlm.nih.gov/protein/XP_006014294.2","PREDICTED: LOW QUALITY PROTEIN: fatty acid-binding protein, liver, partial")</f>
        <v>PREDICTED: LOW QUALITY PROTEIN: fatty acid-binding protein, liver, partial</v>
      </c>
      <c r="J714" t="s">
        <v>1393</v>
      </c>
      <c r="K714" t="s">
        <v>25</v>
      </c>
      <c r="L714">
        <v>50</v>
      </c>
      <c r="M714" t="s">
        <v>1379</v>
      </c>
      <c r="N714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4BEF-0BC5-4432-8A61-57DEB7C3713D}">
  <dimension ref="A1:S714"/>
  <sheetViews>
    <sheetView tabSelected="1" workbookViewId="0">
      <selection activeCell="U15" sqref="U15"/>
    </sheetView>
  </sheetViews>
  <sheetFormatPr defaultRowHeight="15" x14ac:dyDescent="0.25"/>
  <sheetData>
    <row r="1" spans="1:19" x14ac:dyDescent="0.25">
      <c r="A1" t="s">
        <v>0</v>
      </c>
      <c r="B1" t="s">
        <v>1298</v>
      </c>
      <c r="C1" t="s">
        <v>1</v>
      </c>
      <c r="D1" t="s">
        <v>2</v>
      </c>
      <c r="E1" t="s">
        <v>3</v>
      </c>
      <c r="F1" t="s">
        <v>4</v>
      </c>
      <c r="G1" t="s">
        <v>6</v>
      </c>
      <c r="H1" t="s">
        <v>7</v>
      </c>
      <c r="I1" t="s">
        <v>8</v>
      </c>
      <c r="J1" t="s">
        <v>15</v>
      </c>
      <c r="K1" t="s">
        <v>1299</v>
      </c>
      <c r="L1" t="s">
        <v>1300</v>
      </c>
      <c r="M1" t="s">
        <v>1301</v>
      </c>
      <c r="N1" t="s">
        <v>1332</v>
      </c>
      <c r="O1" t="s">
        <v>1333</v>
      </c>
      <c r="P1" t="s">
        <v>1334</v>
      </c>
      <c r="Q1" t="s">
        <v>1335</v>
      </c>
      <c r="R1" t="s">
        <v>1336</v>
      </c>
      <c r="S1" t="s">
        <v>1302</v>
      </c>
    </row>
    <row r="2" spans="1:19" x14ac:dyDescent="0.25">
      <c r="A2">
        <v>6</v>
      </c>
      <c r="B2" t="s">
        <v>18</v>
      </c>
      <c r="C2" t="str">
        <f>HYPERLINK("http://www.ncbi.nlm.nih.gov/protein/NP_001434.1","NP_001434.1")</f>
        <v>NP_001434.1</v>
      </c>
      <c r="D2">
        <v>2603582</v>
      </c>
      <c r="E2" t="str">
        <f>HYPERLINK("http://www.ncbi.nlm.nih.gov/Taxonomy/Browser/wwwtax.cgi?mode=Info&amp;id=9606&amp;lvl=3&amp;lin=f&amp;keep=1&amp;srchmode=1&amp;unlock","9606")</f>
        <v>9606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HYPERLINK("http://www.ncbi.nlm.nih.gov/protein/NP_001434.1","fatty acid-binding protein, liver")</f>
        <v>fatty acid-binding protein, liver</v>
      </c>
      <c r="J2" t="s">
        <v>1381</v>
      </c>
      <c r="K2" t="s">
        <v>20</v>
      </c>
      <c r="L2">
        <v>50</v>
      </c>
      <c r="M2" t="s">
        <v>1380</v>
      </c>
      <c r="N2" t="s">
        <v>20</v>
      </c>
      <c r="O2" t="s">
        <v>1394</v>
      </c>
      <c r="P2" t="s">
        <v>20</v>
      </c>
      <c r="Q2">
        <v>165.19200000000001</v>
      </c>
      <c r="R2" t="s">
        <v>20</v>
      </c>
      <c r="S2" t="s">
        <v>20</v>
      </c>
    </row>
    <row r="3" spans="1:19" x14ac:dyDescent="0.25">
      <c r="A3">
        <v>6</v>
      </c>
      <c r="B3" t="s">
        <v>18</v>
      </c>
      <c r="C3" t="str">
        <f>HYPERLINK("http://www.ncbi.nlm.nih.gov/protein/XP_003805902.1","XP_003805902.1")</f>
        <v>XP_003805902.1</v>
      </c>
      <c r="D3">
        <v>71982</v>
      </c>
      <c r="E3" t="str">
        <f>HYPERLINK("http://www.ncbi.nlm.nih.gov/Taxonomy/Browser/wwwtax.cgi?mode=Info&amp;id=9597&amp;lvl=3&amp;lin=f&amp;keep=1&amp;srchmode=1&amp;unlock","9597")</f>
        <v>9597</v>
      </c>
      <c r="F3" t="s">
        <v>18</v>
      </c>
      <c r="G3" t="str">
        <f>HYPERLINK("http://www.ncbi.nlm.nih.gov/Taxonomy/Browser/wwwtax.cgi?mode=Info&amp;id=9597&amp;lvl=3&amp;lin=f&amp;keep=1&amp;srchmode=1&amp;unlock","Pan paniscus")</f>
        <v>Pan paniscus</v>
      </c>
      <c r="H3" t="s">
        <v>23</v>
      </c>
      <c r="I3" t="str">
        <f>HYPERLINK("http://www.ncbi.nlm.nih.gov/protein/XP_003805902.1","fatty acid-binding protein, liver isoform X1")</f>
        <v>fatty acid-binding protein, liver isoform X1</v>
      </c>
      <c r="J3" t="s">
        <v>1381</v>
      </c>
      <c r="K3" t="s">
        <v>20</v>
      </c>
      <c r="L3">
        <v>50</v>
      </c>
      <c r="M3" t="s">
        <v>1380</v>
      </c>
      <c r="N3" t="s">
        <v>20</v>
      </c>
      <c r="O3" t="s">
        <v>1394</v>
      </c>
      <c r="P3" t="s">
        <v>20</v>
      </c>
      <c r="Q3">
        <v>165.19200000000001</v>
      </c>
      <c r="R3" t="s">
        <v>20</v>
      </c>
      <c r="S3" t="s">
        <v>20</v>
      </c>
    </row>
    <row r="4" spans="1:19" x14ac:dyDescent="0.25">
      <c r="A4">
        <v>6</v>
      </c>
      <c r="B4" t="s">
        <v>18</v>
      </c>
      <c r="C4" t="str">
        <f>HYPERLINK("http://www.ncbi.nlm.nih.gov/protein/XP_001140263.1","XP_001140263.1")</f>
        <v>XP_001140263.1</v>
      </c>
      <c r="D4">
        <v>171683</v>
      </c>
      <c r="E4" t="str">
        <f>HYPERLINK("http://www.ncbi.nlm.nih.gov/Taxonomy/Browser/wwwtax.cgi?mode=Info&amp;id=9598&amp;lvl=3&amp;lin=f&amp;keep=1&amp;srchmode=1&amp;unlock","9598")</f>
        <v>9598</v>
      </c>
      <c r="F4" t="s">
        <v>18</v>
      </c>
      <c r="G4" t="str">
        <f>HYPERLINK("http://www.ncbi.nlm.nih.gov/Taxonomy/Browser/wwwtax.cgi?mode=Info&amp;id=9598&amp;lvl=3&amp;lin=f&amp;keep=1&amp;srchmode=1&amp;unlock","Pan troglodytes")</f>
        <v>Pan troglodytes</v>
      </c>
      <c r="H4" t="s">
        <v>22</v>
      </c>
      <c r="I4" t="str">
        <f>HYPERLINK("http://www.ncbi.nlm.nih.gov/protein/XP_001140263.1","fatty acid-binding protein, liver")</f>
        <v>fatty acid-binding protein, liver</v>
      </c>
      <c r="J4" t="s">
        <v>1381</v>
      </c>
      <c r="K4" t="s">
        <v>20</v>
      </c>
      <c r="L4">
        <v>50</v>
      </c>
      <c r="M4" t="s">
        <v>1380</v>
      </c>
      <c r="N4" t="s">
        <v>20</v>
      </c>
      <c r="O4" t="s">
        <v>1394</v>
      </c>
      <c r="P4" t="s">
        <v>20</v>
      </c>
      <c r="Q4">
        <v>165.19200000000001</v>
      </c>
      <c r="R4" t="s">
        <v>20</v>
      </c>
      <c r="S4" t="s">
        <v>20</v>
      </c>
    </row>
    <row r="5" spans="1:19" x14ac:dyDescent="0.25">
      <c r="A5">
        <v>6</v>
      </c>
      <c r="B5" t="s">
        <v>18</v>
      </c>
      <c r="C5" t="str">
        <f>HYPERLINK("http://www.ncbi.nlm.nih.gov/protein/XP_004029642.1","XP_004029642.1")</f>
        <v>XP_004029642.1</v>
      </c>
      <c r="D5">
        <v>52137</v>
      </c>
      <c r="E5" t="str">
        <f>HYPERLINK("http://www.ncbi.nlm.nih.gov/Taxonomy/Browser/wwwtax.cgi?mode=Info&amp;id=9595&amp;lvl=3&amp;lin=f&amp;keep=1&amp;srchmode=1&amp;unlock","9595")</f>
        <v>9595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HYPERLINK("http://www.ncbi.nlm.nih.gov/protein/XP_004029642.1","fatty acid-binding protein, liver")</f>
        <v>fatty acid-binding protein, liver</v>
      </c>
      <c r="J5" t="s">
        <v>1381</v>
      </c>
      <c r="K5" t="s">
        <v>20</v>
      </c>
      <c r="L5">
        <v>50</v>
      </c>
      <c r="M5" t="s">
        <v>1380</v>
      </c>
      <c r="N5" t="s">
        <v>20</v>
      </c>
      <c r="O5" t="s">
        <v>1394</v>
      </c>
      <c r="P5" t="s">
        <v>20</v>
      </c>
      <c r="Q5">
        <v>165.19200000000001</v>
      </c>
      <c r="R5" t="s">
        <v>20</v>
      </c>
      <c r="S5" t="s">
        <v>20</v>
      </c>
    </row>
    <row r="6" spans="1:19" x14ac:dyDescent="0.25">
      <c r="A6">
        <v>6</v>
      </c>
      <c r="B6" t="s">
        <v>18</v>
      </c>
      <c r="C6" t="str">
        <f>HYPERLINK("http://www.ncbi.nlm.nih.gov/protein/XP_003268834.1","XP_003268834.1")</f>
        <v>XP_003268834.1</v>
      </c>
      <c r="D6">
        <v>51657</v>
      </c>
      <c r="E6" t="str">
        <f>HYPERLINK("http://www.ncbi.nlm.nih.gov/Taxonomy/Browser/wwwtax.cgi?mode=Info&amp;id=61853&amp;lvl=3&amp;lin=f&amp;keep=1&amp;srchmode=1&amp;unlock","61853")</f>
        <v>61853</v>
      </c>
      <c r="F6" t="s">
        <v>18</v>
      </c>
      <c r="G6" t="str">
        <f>HYPERLINK("http://www.ncbi.nlm.nih.gov/Taxonomy/Browser/wwwtax.cgi?mode=Info&amp;id=61853&amp;lvl=3&amp;lin=f&amp;keep=1&amp;srchmode=1&amp;unlock","Nomascus leucogenys")</f>
        <v>Nomascus leucogenys</v>
      </c>
      <c r="H6" t="s">
        <v>27</v>
      </c>
      <c r="I6" t="str">
        <f>HYPERLINK("http://www.ncbi.nlm.nih.gov/protein/XP_003268834.1","fatty acid-binding protein, liver")</f>
        <v>fatty acid-binding protein, liver</v>
      </c>
      <c r="J6" t="s">
        <v>1381</v>
      </c>
      <c r="K6" t="s">
        <v>20</v>
      </c>
      <c r="L6">
        <v>50</v>
      </c>
      <c r="M6" t="s">
        <v>1380</v>
      </c>
      <c r="N6" t="s">
        <v>20</v>
      </c>
      <c r="O6" t="s">
        <v>1394</v>
      </c>
      <c r="P6" t="s">
        <v>20</v>
      </c>
      <c r="Q6">
        <v>165.19200000000001</v>
      </c>
      <c r="R6" t="s">
        <v>20</v>
      </c>
      <c r="S6" t="s">
        <v>20</v>
      </c>
    </row>
    <row r="7" spans="1:19" x14ac:dyDescent="0.25">
      <c r="A7">
        <v>6</v>
      </c>
      <c r="B7" t="s">
        <v>18</v>
      </c>
      <c r="C7" t="str">
        <f>HYPERLINK("http://www.ncbi.nlm.nih.gov/protein/XP_032033286.1","XP_032033286.1")</f>
        <v>XP_032033286.1</v>
      </c>
      <c r="D7">
        <v>54538</v>
      </c>
      <c r="E7" t="str">
        <f>HYPERLINK("http://www.ncbi.nlm.nih.gov/Taxonomy/Browser/wwwtax.cgi?mode=Info&amp;id=81572&amp;lvl=3&amp;lin=f&amp;keep=1&amp;srchmode=1&amp;unlock","81572")</f>
        <v>81572</v>
      </c>
      <c r="F7" t="s">
        <v>18</v>
      </c>
      <c r="G7" t="str">
        <f>HYPERLINK("http://www.ncbi.nlm.nih.gov/Taxonomy/Browser/wwwtax.cgi?mode=Info&amp;id=81572&amp;lvl=3&amp;lin=f&amp;keep=1&amp;srchmode=1&amp;unlock","Hylobates moloch")</f>
        <v>Hylobates moloch</v>
      </c>
      <c r="H7" t="s">
        <v>26</v>
      </c>
      <c r="I7" t="str">
        <f>HYPERLINK("http://www.ncbi.nlm.nih.gov/protein/XP_032033286.1","fatty acid-binding protein, liver")</f>
        <v>fatty acid-binding protein, liver</v>
      </c>
      <c r="J7" t="s">
        <v>1381</v>
      </c>
      <c r="K7" t="s">
        <v>20</v>
      </c>
      <c r="L7">
        <v>50</v>
      </c>
      <c r="M7" t="s">
        <v>1380</v>
      </c>
      <c r="N7" t="s">
        <v>20</v>
      </c>
      <c r="O7" t="s">
        <v>1394</v>
      </c>
      <c r="P7" t="s">
        <v>20</v>
      </c>
      <c r="Q7">
        <v>165.19200000000001</v>
      </c>
      <c r="R7" t="s">
        <v>20</v>
      </c>
      <c r="S7" t="s">
        <v>20</v>
      </c>
    </row>
    <row r="8" spans="1:19" x14ac:dyDescent="0.25">
      <c r="A8">
        <v>6</v>
      </c>
      <c r="B8" t="s">
        <v>18</v>
      </c>
      <c r="C8" t="str">
        <f>HYPERLINK("http://www.ncbi.nlm.nih.gov/protein/NP_001125017.1","NP_001125017.1")</f>
        <v>NP_001125017.1</v>
      </c>
      <c r="D8">
        <v>141069</v>
      </c>
      <c r="E8" t="str">
        <f>HYPERLINK("http://www.ncbi.nlm.nih.gov/Taxonomy/Browser/wwwtax.cgi?mode=Info&amp;id=9601&amp;lvl=3&amp;lin=f&amp;keep=1&amp;srchmode=1&amp;unlock","9601")</f>
        <v>9601</v>
      </c>
      <c r="F8" t="s">
        <v>18</v>
      </c>
      <c r="G8" t="str">
        <f>HYPERLINK("http://www.ncbi.nlm.nih.gov/Taxonomy/Browser/wwwtax.cgi?mode=Info&amp;id=9601&amp;lvl=3&amp;lin=f&amp;keep=1&amp;srchmode=1&amp;unlock","Pongo abelii")</f>
        <v>Pongo abelii</v>
      </c>
      <c r="H8" t="s">
        <v>28</v>
      </c>
      <c r="I8" t="str">
        <f>HYPERLINK("http://www.ncbi.nlm.nih.gov/protein/NP_001125017.1","fatty acid-binding protein, liver")</f>
        <v>fatty acid-binding protein, liver</v>
      </c>
      <c r="J8" t="s">
        <v>1381</v>
      </c>
      <c r="K8" t="s">
        <v>20</v>
      </c>
      <c r="L8">
        <v>50</v>
      </c>
      <c r="M8" t="s">
        <v>1380</v>
      </c>
      <c r="N8" t="s">
        <v>20</v>
      </c>
      <c r="O8" t="s">
        <v>1394</v>
      </c>
      <c r="P8" t="s">
        <v>20</v>
      </c>
      <c r="Q8">
        <v>165.19200000000001</v>
      </c>
      <c r="R8" t="s">
        <v>20</v>
      </c>
      <c r="S8" t="s">
        <v>20</v>
      </c>
    </row>
    <row r="9" spans="1:19" x14ac:dyDescent="0.25">
      <c r="A9">
        <v>6</v>
      </c>
      <c r="B9" t="s">
        <v>18</v>
      </c>
      <c r="C9" t="str">
        <f>HYPERLINK("http://www.ncbi.nlm.nih.gov/protein/XP_014968302.1","XP_014968302.1")</f>
        <v>XP_014968302.1</v>
      </c>
      <c r="D9">
        <v>177851</v>
      </c>
      <c r="E9" t="str">
        <f>HYPERLINK("http://www.ncbi.nlm.nih.gov/Taxonomy/Browser/wwwtax.cgi?mode=Info&amp;id=9544&amp;lvl=3&amp;lin=f&amp;keep=1&amp;srchmode=1&amp;unlock","9544")</f>
        <v>9544</v>
      </c>
      <c r="F9" t="s">
        <v>18</v>
      </c>
      <c r="G9" t="str">
        <f>HYPERLINK("http://www.ncbi.nlm.nih.gov/Taxonomy/Browser/wwwtax.cgi?mode=Info&amp;id=9544&amp;lvl=3&amp;lin=f&amp;keep=1&amp;srchmode=1&amp;unlock","Macaca mulatta")</f>
        <v>Macaca mulatta</v>
      </c>
      <c r="H9" t="s">
        <v>29</v>
      </c>
      <c r="I9" t="str">
        <f>HYPERLINK("http://www.ncbi.nlm.nih.gov/protein/XP_014968302.1","fatty acid-binding protein, liver")</f>
        <v>fatty acid-binding protein, liver</v>
      </c>
      <c r="J9" t="s">
        <v>1381</v>
      </c>
      <c r="K9" t="s">
        <v>20</v>
      </c>
      <c r="L9">
        <v>50</v>
      </c>
      <c r="M9" t="s">
        <v>1380</v>
      </c>
      <c r="N9" t="s">
        <v>20</v>
      </c>
      <c r="O9" t="s">
        <v>1394</v>
      </c>
      <c r="P9" t="s">
        <v>20</v>
      </c>
      <c r="Q9">
        <v>165.19200000000001</v>
      </c>
      <c r="R9" t="s">
        <v>20</v>
      </c>
      <c r="S9" t="s">
        <v>20</v>
      </c>
    </row>
    <row r="10" spans="1:19" x14ac:dyDescent="0.25">
      <c r="A10">
        <v>6</v>
      </c>
      <c r="B10" t="s">
        <v>18</v>
      </c>
      <c r="C10" t="str">
        <f>HYPERLINK("http://www.ncbi.nlm.nih.gov/protein/XP_011764356.1","XP_011764356.1")</f>
        <v>XP_011764356.1</v>
      </c>
      <c r="D10">
        <v>68712</v>
      </c>
      <c r="E10" t="str">
        <f>HYPERLINK("http://www.ncbi.nlm.nih.gov/Taxonomy/Browser/wwwtax.cgi?mode=Info&amp;id=9545&amp;lvl=3&amp;lin=f&amp;keep=1&amp;srchmode=1&amp;unlock","9545")</f>
        <v>9545</v>
      </c>
      <c r="F10" t="s">
        <v>18</v>
      </c>
      <c r="G10" t="str">
        <f>HYPERLINK("http://www.ncbi.nlm.nih.gov/Taxonomy/Browser/wwwtax.cgi?mode=Info&amp;id=9545&amp;lvl=3&amp;lin=f&amp;keep=1&amp;srchmode=1&amp;unlock","Macaca nemestrina")</f>
        <v>Macaca nemestrina</v>
      </c>
      <c r="H10" t="s">
        <v>30</v>
      </c>
      <c r="I10" t="str">
        <f>HYPERLINK("http://www.ncbi.nlm.nih.gov/protein/XP_011764356.1","fatty acid-binding protein, liver")</f>
        <v>fatty acid-binding protein, liver</v>
      </c>
      <c r="J10" t="s">
        <v>1381</v>
      </c>
      <c r="K10" t="s">
        <v>20</v>
      </c>
      <c r="L10">
        <v>50</v>
      </c>
      <c r="M10" t="s">
        <v>1380</v>
      </c>
      <c r="N10" t="s">
        <v>20</v>
      </c>
      <c r="O10" t="s">
        <v>1394</v>
      </c>
      <c r="P10" t="s">
        <v>20</v>
      </c>
      <c r="Q10">
        <v>165.19200000000001</v>
      </c>
      <c r="R10" t="s">
        <v>20</v>
      </c>
      <c r="S10" t="s">
        <v>20</v>
      </c>
    </row>
    <row r="11" spans="1:19" x14ac:dyDescent="0.25">
      <c r="A11">
        <v>6</v>
      </c>
      <c r="B11" t="s">
        <v>18</v>
      </c>
      <c r="C11" t="str">
        <f>HYPERLINK("http://www.ncbi.nlm.nih.gov/protein/XP_005575408.1","XP_005575408.1")</f>
        <v>XP_005575408.1</v>
      </c>
      <c r="D11">
        <v>98680</v>
      </c>
      <c r="E11" t="str">
        <f>HYPERLINK("http://www.ncbi.nlm.nih.gov/Taxonomy/Browser/wwwtax.cgi?mode=Info&amp;id=9541&amp;lvl=3&amp;lin=f&amp;keep=1&amp;srchmode=1&amp;unlock","9541")</f>
        <v>9541</v>
      </c>
      <c r="F11" t="s">
        <v>18</v>
      </c>
      <c r="G11" t="str">
        <f>HYPERLINK("http://www.ncbi.nlm.nih.gov/Taxonomy/Browser/wwwtax.cgi?mode=Info&amp;id=9541&amp;lvl=3&amp;lin=f&amp;keep=1&amp;srchmode=1&amp;unlock","Macaca fascicularis")</f>
        <v>Macaca fascicularis</v>
      </c>
      <c r="H11" t="s">
        <v>31</v>
      </c>
      <c r="I11" t="str">
        <f>HYPERLINK("http://www.ncbi.nlm.nih.gov/protein/XP_005575408.1","PREDICTED: fatty acid-binding protein, liver")</f>
        <v>PREDICTED: fatty acid-binding protein, liver</v>
      </c>
      <c r="J11" t="s">
        <v>1381</v>
      </c>
      <c r="K11" t="s">
        <v>20</v>
      </c>
      <c r="L11">
        <v>50</v>
      </c>
      <c r="M11" t="s">
        <v>1380</v>
      </c>
      <c r="N11" t="s">
        <v>20</v>
      </c>
      <c r="O11" t="s">
        <v>1394</v>
      </c>
      <c r="P11" t="s">
        <v>20</v>
      </c>
      <c r="Q11">
        <v>165.19200000000001</v>
      </c>
      <c r="R11" t="s">
        <v>20</v>
      </c>
      <c r="S11" t="s">
        <v>20</v>
      </c>
    </row>
    <row r="12" spans="1:19" x14ac:dyDescent="0.25">
      <c r="A12">
        <v>6</v>
      </c>
      <c r="B12" t="s">
        <v>18</v>
      </c>
      <c r="C12" t="str">
        <f>HYPERLINK("http://www.ncbi.nlm.nih.gov/protein/XP_023050665.1","XP_023050665.1")</f>
        <v>XP_023050665.1</v>
      </c>
      <c r="D12">
        <v>55467</v>
      </c>
      <c r="E12" t="str">
        <f>HYPERLINK("http://www.ncbi.nlm.nih.gov/Taxonomy/Browser/wwwtax.cgi?mode=Info&amp;id=591936&amp;lvl=3&amp;lin=f&amp;keep=1&amp;srchmode=1&amp;unlock","591936")</f>
        <v>591936</v>
      </c>
      <c r="F12" t="s">
        <v>18</v>
      </c>
      <c r="G12" t="str">
        <f>HYPERLINK("http://www.ncbi.nlm.nih.gov/Taxonomy/Browser/wwwtax.cgi?mode=Info&amp;id=591936&amp;lvl=3&amp;lin=f&amp;keep=1&amp;srchmode=1&amp;unlock","Piliocolobus tephrosceles")</f>
        <v>Piliocolobus tephrosceles</v>
      </c>
      <c r="H12" t="s">
        <v>33</v>
      </c>
      <c r="I12" t="str">
        <f>HYPERLINK("http://www.ncbi.nlm.nih.gov/protein/XP_023050665.1","fatty acid-binding protein, liver")</f>
        <v>fatty acid-binding protein, liver</v>
      </c>
      <c r="J12" t="s">
        <v>1381</v>
      </c>
      <c r="K12" t="s">
        <v>20</v>
      </c>
      <c r="L12">
        <v>50</v>
      </c>
      <c r="M12" t="s">
        <v>1380</v>
      </c>
      <c r="N12" t="s">
        <v>20</v>
      </c>
      <c r="O12" t="s">
        <v>1394</v>
      </c>
      <c r="P12" t="s">
        <v>20</v>
      </c>
      <c r="Q12">
        <v>165.19200000000001</v>
      </c>
      <c r="R12" t="s">
        <v>20</v>
      </c>
      <c r="S12" t="s">
        <v>20</v>
      </c>
    </row>
    <row r="13" spans="1:19" x14ac:dyDescent="0.25">
      <c r="A13">
        <v>6</v>
      </c>
      <c r="B13" t="s">
        <v>18</v>
      </c>
      <c r="C13" t="str">
        <f>HYPERLINK("http://www.ncbi.nlm.nih.gov/protein/XP_011808498.1","XP_011808498.1")</f>
        <v>XP_011808498.1</v>
      </c>
      <c r="D13">
        <v>38676</v>
      </c>
      <c r="E13" t="str">
        <f>HYPERLINK("http://www.ncbi.nlm.nih.gov/Taxonomy/Browser/wwwtax.cgi?mode=Info&amp;id=336983&amp;lvl=3&amp;lin=f&amp;keep=1&amp;srchmode=1&amp;unlock","336983")</f>
        <v>336983</v>
      </c>
      <c r="F13" t="s">
        <v>18</v>
      </c>
      <c r="G13" t="str">
        <f>HYPERLINK("http://www.ncbi.nlm.nih.gov/Taxonomy/Browser/wwwtax.cgi?mode=Info&amp;id=336983&amp;lvl=3&amp;lin=f&amp;keep=1&amp;srchmode=1&amp;unlock","Colobus angolensis palliatus")</f>
        <v>Colobus angolensis palliatus</v>
      </c>
      <c r="H13" t="s">
        <v>32</v>
      </c>
      <c r="I13" t="str">
        <f>HYPERLINK("http://www.ncbi.nlm.nih.gov/protein/XP_011808498.1","PREDICTED: fatty acid-binding protein, liver")</f>
        <v>PREDICTED: fatty acid-binding protein, liver</v>
      </c>
      <c r="J13" t="s">
        <v>1381</v>
      </c>
      <c r="K13" t="s">
        <v>20</v>
      </c>
      <c r="L13">
        <v>50</v>
      </c>
      <c r="M13" t="s">
        <v>1380</v>
      </c>
      <c r="N13" t="s">
        <v>20</v>
      </c>
      <c r="O13" t="s">
        <v>1394</v>
      </c>
      <c r="P13" t="s">
        <v>20</v>
      </c>
      <c r="Q13">
        <v>165.19200000000001</v>
      </c>
      <c r="R13" t="s">
        <v>20</v>
      </c>
      <c r="S13" t="s">
        <v>20</v>
      </c>
    </row>
    <row r="14" spans="1:19" x14ac:dyDescent="0.25">
      <c r="A14">
        <v>6</v>
      </c>
      <c r="B14" t="s">
        <v>18</v>
      </c>
      <c r="C14" t="str">
        <f>HYPERLINK("http://www.ncbi.nlm.nih.gov/protein/XP_010376732.1","XP_010376732.1")</f>
        <v>XP_010376732.1</v>
      </c>
      <c r="D14">
        <v>53902</v>
      </c>
      <c r="E14" t="str">
        <f>HYPERLINK("http://www.ncbi.nlm.nih.gov/Taxonomy/Browser/wwwtax.cgi?mode=Info&amp;id=61622&amp;lvl=3&amp;lin=f&amp;keep=1&amp;srchmode=1&amp;unlock","61622")</f>
        <v>61622</v>
      </c>
      <c r="F14" t="s">
        <v>18</v>
      </c>
      <c r="G14" t="str">
        <f>HYPERLINK("http://www.ncbi.nlm.nih.gov/Taxonomy/Browser/wwwtax.cgi?mode=Info&amp;id=61622&amp;lvl=3&amp;lin=f&amp;keep=1&amp;srchmode=1&amp;unlock","Rhinopithecus roxellana")</f>
        <v>Rhinopithecus roxellana</v>
      </c>
      <c r="H14" t="s">
        <v>36</v>
      </c>
      <c r="I14" t="str">
        <f>HYPERLINK("http://www.ncbi.nlm.nih.gov/protein/XP_010376732.1","fatty acid-binding protein, liver")</f>
        <v>fatty acid-binding protein, liver</v>
      </c>
      <c r="J14" t="s">
        <v>1381</v>
      </c>
      <c r="K14" t="s">
        <v>20</v>
      </c>
      <c r="L14">
        <v>50</v>
      </c>
      <c r="M14" t="s">
        <v>1380</v>
      </c>
      <c r="N14" t="s">
        <v>20</v>
      </c>
      <c r="O14" t="s">
        <v>1394</v>
      </c>
      <c r="P14" t="s">
        <v>20</v>
      </c>
      <c r="Q14">
        <v>165.19200000000001</v>
      </c>
      <c r="R14" t="s">
        <v>20</v>
      </c>
      <c r="S14" t="s">
        <v>20</v>
      </c>
    </row>
    <row r="15" spans="1:19" x14ac:dyDescent="0.25">
      <c r="A15">
        <v>6</v>
      </c>
      <c r="B15" t="s">
        <v>18</v>
      </c>
      <c r="C15" t="str">
        <f>HYPERLINK("http://www.ncbi.nlm.nih.gov/protein/XP_017713075.1","XP_017713075.1")</f>
        <v>XP_017713075.1</v>
      </c>
      <c r="D15">
        <v>49685</v>
      </c>
      <c r="E15" t="str">
        <f>HYPERLINK("http://www.ncbi.nlm.nih.gov/Taxonomy/Browser/wwwtax.cgi?mode=Info&amp;id=61621&amp;lvl=3&amp;lin=f&amp;keep=1&amp;srchmode=1&amp;unlock","61621")</f>
        <v>61621</v>
      </c>
      <c r="F15" t="s">
        <v>18</v>
      </c>
      <c r="G15" t="str">
        <f>HYPERLINK("http://www.ncbi.nlm.nih.gov/Taxonomy/Browser/wwwtax.cgi?mode=Info&amp;id=61621&amp;lvl=3&amp;lin=f&amp;keep=1&amp;srchmode=1&amp;unlock","Rhinopithecus bieti")</f>
        <v>Rhinopithecus bieti</v>
      </c>
      <c r="H15" t="s">
        <v>34</v>
      </c>
      <c r="I15" t="str">
        <f>HYPERLINK("http://www.ncbi.nlm.nih.gov/protein/XP_017713075.1","PREDICTED: fatty acid-binding protein, liver")</f>
        <v>PREDICTED: fatty acid-binding protein, liver</v>
      </c>
      <c r="J15" t="s">
        <v>1381</v>
      </c>
      <c r="K15" t="s">
        <v>20</v>
      </c>
      <c r="L15">
        <v>50</v>
      </c>
      <c r="M15" t="s">
        <v>1380</v>
      </c>
      <c r="N15" t="s">
        <v>20</v>
      </c>
      <c r="O15" t="s">
        <v>1394</v>
      </c>
      <c r="P15" t="s">
        <v>20</v>
      </c>
      <c r="Q15">
        <v>165.19200000000001</v>
      </c>
      <c r="R15" t="s">
        <v>20</v>
      </c>
      <c r="S15" t="s">
        <v>20</v>
      </c>
    </row>
    <row r="16" spans="1:19" x14ac:dyDescent="0.25">
      <c r="A16">
        <v>6</v>
      </c>
      <c r="B16" t="s">
        <v>18</v>
      </c>
      <c r="C16" t="str">
        <f>HYPERLINK("http://www.ncbi.nlm.nih.gov/protein/XP_033031288.1","XP_033031288.1")</f>
        <v>XP_033031288.1</v>
      </c>
      <c r="D16">
        <v>64510</v>
      </c>
      <c r="E16" t="str">
        <f>HYPERLINK("http://www.ncbi.nlm.nih.gov/Taxonomy/Browser/wwwtax.cgi?mode=Info&amp;id=54180&amp;lvl=3&amp;lin=f&amp;keep=1&amp;srchmode=1&amp;unlock","54180")</f>
        <v>54180</v>
      </c>
      <c r="F16" t="s">
        <v>18</v>
      </c>
      <c r="G16" t="str">
        <f>HYPERLINK("http://www.ncbi.nlm.nih.gov/Taxonomy/Browser/wwwtax.cgi?mode=Info&amp;id=54180&amp;lvl=3&amp;lin=f&amp;keep=1&amp;srchmode=1&amp;unlock","Trachypithecus francoisi")</f>
        <v>Trachypithecus francoisi</v>
      </c>
      <c r="H16" t="s">
        <v>35</v>
      </c>
      <c r="I16" t="str">
        <f>HYPERLINK("http://www.ncbi.nlm.nih.gov/protein/XP_033031288.1","fatty acid-binding protein, liver")</f>
        <v>fatty acid-binding protein, liver</v>
      </c>
      <c r="J16" t="s">
        <v>1381</v>
      </c>
      <c r="K16" t="s">
        <v>20</v>
      </c>
      <c r="L16">
        <v>50</v>
      </c>
      <c r="M16" t="s">
        <v>1380</v>
      </c>
      <c r="N16" t="s">
        <v>20</v>
      </c>
      <c r="O16" t="s">
        <v>1394</v>
      </c>
      <c r="P16" t="s">
        <v>20</v>
      </c>
      <c r="Q16">
        <v>165.19200000000001</v>
      </c>
      <c r="R16" t="s">
        <v>20</v>
      </c>
      <c r="S16" t="s">
        <v>20</v>
      </c>
    </row>
    <row r="17" spans="1:19" x14ac:dyDescent="0.25">
      <c r="A17">
        <v>6</v>
      </c>
      <c r="B17" t="s">
        <v>18</v>
      </c>
      <c r="C17" t="str">
        <f>HYPERLINK("http://www.ncbi.nlm.nih.gov/protein/XP_002922387.1","XP_002922387.1")</f>
        <v>XP_002922387.1</v>
      </c>
      <c r="D17">
        <v>73410</v>
      </c>
      <c r="E17" t="str">
        <f>HYPERLINK("http://www.ncbi.nlm.nih.gov/Taxonomy/Browser/wwwtax.cgi?mode=Info&amp;id=9646&amp;lvl=3&amp;lin=f&amp;keep=1&amp;srchmode=1&amp;unlock","9646")</f>
        <v>9646</v>
      </c>
      <c r="F17" t="s">
        <v>18</v>
      </c>
      <c r="G17" t="str">
        <f>HYPERLINK("http://www.ncbi.nlm.nih.gov/Taxonomy/Browser/wwwtax.cgi?mode=Info&amp;id=9646&amp;lvl=3&amp;lin=f&amp;keep=1&amp;srchmode=1&amp;unlock","Ailuropoda melanoleuca")</f>
        <v>Ailuropoda melanoleuca</v>
      </c>
      <c r="H17" t="s">
        <v>37</v>
      </c>
      <c r="I17" t="str">
        <f>HYPERLINK("http://www.ncbi.nlm.nih.gov/protein/XP_002922387.1","fatty acid-binding protein, liver")</f>
        <v>fatty acid-binding protein, liver</v>
      </c>
      <c r="J17" t="s">
        <v>1381</v>
      </c>
      <c r="K17" t="s">
        <v>25</v>
      </c>
      <c r="L17">
        <v>50</v>
      </c>
      <c r="M17" t="s">
        <v>1382</v>
      </c>
      <c r="N17" t="s">
        <v>25</v>
      </c>
      <c r="O17" t="s">
        <v>1355</v>
      </c>
      <c r="P17" t="s">
        <v>25</v>
      </c>
      <c r="Q17">
        <v>131.17500000000001</v>
      </c>
      <c r="R17" t="s">
        <v>25</v>
      </c>
      <c r="S17" t="s">
        <v>25</v>
      </c>
    </row>
    <row r="18" spans="1:19" x14ac:dyDescent="0.25">
      <c r="A18">
        <v>6</v>
      </c>
      <c r="B18" t="s">
        <v>18</v>
      </c>
      <c r="C18" t="str">
        <f>HYPERLINK("http://www.ncbi.nlm.nih.gov/protein/XP_003908995.2","XP_003908995.2")</f>
        <v>XP_003908995.2</v>
      </c>
      <c r="D18">
        <v>73528</v>
      </c>
      <c r="E18" t="str">
        <f>HYPERLINK("http://www.ncbi.nlm.nih.gov/Taxonomy/Browser/wwwtax.cgi?mode=Info&amp;id=9555&amp;lvl=3&amp;lin=f&amp;keep=1&amp;srchmode=1&amp;unlock","9555")</f>
        <v>9555</v>
      </c>
      <c r="F18" t="s">
        <v>18</v>
      </c>
      <c r="G18" t="str">
        <f>HYPERLINK("http://www.ncbi.nlm.nih.gov/Taxonomy/Browser/wwwtax.cgi?mode=Info&amp;id=9555&amp;lvl=3&amp;lin=f&amp;keep=1&amp;srchmode=1&amp;unlock","Papio anubis")</f>
        <v>Papio anubis</v>
      </c>
      <c r="H18" t="s">
        <v>38</v>
      </c>
      <c r="I18" t="str">
        <f>HYPERLINK("http://www.ncbi.nlm.nih.gov/protein/XP_003908995.2","fatty acid-binding protein, liver")</f>
        <v>fatty acid-binding protein, liver</v>
      </c>
      <c r="J18" t="s">
        <v>1381</v>
      </c>
      <c r="K18" t="s">
        <v>20</v>
      </c>
      <c r="L18">
        <v>50</v>
      </c>
      <c r="M18" t="s">
        <v>1380</v>
      </c>
      <c r="N18" t="s">
        <v>20</v>
      </c>
      <c r="O18" t="s">
        <v>1394</v>
      </c>
      <c r="P18" t="s">
        <v>20</v>
      </c>
      <c r="Q18">
        <v>165.19200000000001</v>
      </c>
      <c r="R18" t="s">
        <v>20</v>
      </c>
      <c r="S18" t="s">
        <v>20</v>
      </c>
    </row>
    <row r="19" spans="1:19" x14ac:dyDescent="0.25">
      <c r="A19">
        <v>6</v>
      </c>
      <c r="B19" t="s">
        <v>18</v>
      </c>
      <c r="C19" t="str">
        <f>HYPERLINK("http://www.ncbi.nlm.nih.gov/protein/CAD7676679.1","CAD7676679.1")</f>
        <v>CAD7676679.1</v>
      </c>
      <c r="D19">
        <v>27261</v>
      </c>
      <c r="E19" t="str">
        <f>HYPERLINK("http://www.ncbi.nlm.nih.gov/Taxonomy/Browser/wwwtax.cgi?mode=Info&amp;id=34880&amp;lvl=3&amp;lin=f&amp;keep=1&amp;srchmode=1&amp;unlock","34880")</f>
        <v>34880</v>
      </c>
      <c r="F19" t="s">
        <v>18</v>
      </c>
      <c r="G19" t="str">
        <f>HYPERLINK("http://www.ncbi.nlm.nih.gov/Taxonomy/Browser/wwwtax.cgi?mode=Info&amp;id=34880&amp;lvl=3&amp;lin=f&amp;keep=1&amp;srchmode=1&amp;unlock","Nyctereutes procyonoides")</f>
        <v>Nyctereutes procyonoides</v>
      </c>
      <c r="H19" t="s">
        <v>39</v>
      </c>
      <c r="I19" t="str">
        <f>HYPERLINK("http://www.ncbi.nlm.nih.gov/protein/CAD7676679.1","unnamed protein product")</f>
        <v>unnamed protein product</v>
      </c>
      <c r="J19" t="s">
        <v>1381</v>
      </c>
      <c r="K19" t="s">
        <v>25</v>
      </c>
      <c r="L19">
        <v>50</v>
      </c>
      <c r="M19" t="s">
        <v>1382</v>
      </c>
      <c r="N19" t="s">
        <v>25</v>
      </c>
      <c r="O19" t="s">
        <v>1355</v>
      </c>
      <c r="P19" t="s">
        <v>25</v>
      </c>
      <c r="Q19">
        <v>131.17500000000001</v>
      </c>
      <c r="R19" t="s">
        <v>25</v>
      </c>
      <c r="S19" t="s">
        <v>25</v>
      </c>
    </row>
    <row r="20" spans="1:19" x14ac:dyDescent="0.25">
      <c r="A20">
        <v>6</v>
      </c>
      <c r="B20" t="s">
        <v>18</v>
      </c>
      <c r="C20" t="str">
        <f>HYPERLINK("http://www.ncbi.nlm.nih.gov/protein/XP_025850451.1","XP_025850451.1")</f>
        <v>XP_025850451.1</v>
      </c>
      <c r="D20">
        <v>38432</v>
      </c>
      <c r="E20" t="str">
        <f>HYPERLINK("http://www.ncbi.nlm.nih.gov/Taxonomy/Browser/wwwtax.cgi?mode=Info&amp;id=9627&amp;lvl=3&amp;lin=f&amp;keep=1&amp;srchmode=1&amp;unlock","9627")</f>
        <v>9627</v>
      </c>
      <c r="F20" t="s">
        <v>18</v>
      </c>
      <c r="G20" t="str">
        <f>HYPERLINK("http://www.ncbi.nlm.nih.gov/Taxonomy/Browser/wwwtax.cgi?mode=Info&amp;id=9627&amp;lvl=3&amp;lin=f&amp;keep=1&amp;srchmode=1&amp;unlock","Vulpes vulpes")</f>
        <v>Vulpes vulpes</v>
      </c>
      <c r="H20" t="s">
        <v>40</v>
      </c>
      <c r="I20" t="str">
        <f>HYPERLINK("http://www.ncbi.nlm.nih.gov/protein/XP_025850451.1","fatty acid-binding protein, liver")</f>
        <v>fatty acid-binding protein, liver</v>
      </c>
      <c r="J20" t="s">
        <v>1381</v>
      </c>
      <c r="K20" t="s">
        <v>25</v>
      </c>
      <c r="L20">
        <v>50</v>
      </c>
      <c r="M20" t="s">
        <v>1382</v>
      </c>
      <c r="N20" t="s">
        <v>25</v>
      </c>
      <c r="O20" t="s">
        <v>1355</v>
      </c>
      <c r="P20" t="s">
        <v>25</v>
      </c>
      <c r="Q20">
        <v>131.17500000000001</v>
      </c>
      <c r="R20" t="s">
        <v>25</v>
      </c>
      <c r="S20" t="s">
        <v>25</v>
      </c>
    </row>
    <row r="21" spans="1:19" x14ac:dyDescent="0.25">
      <c r="A21">
        <v>6</v>
      </c>
      <c r="B21" t="s">
        <v>18</v>
      </c>
      <c r="C21" t="str">
        <f>HYPERLINK("http://www.ncbi.nlm.nih.gov/protein/XP_025209942.1","XP_025209942.1")</f>
        <v>XP_025209942.1</v>
      </c>
      <c r="D21">
        <v>52581</v>
      </c>
      <c r="E21" t="str">
        <f>HYPERLINK("http://www.ncbi.nlm.nih.gov/Taxonomy/Browser/wwwtax.cgi?mode=Info&amp;id=9565&amp;lvl=3&amp;lin=f&amp;keep=1&amp;srchmode=1&amp;unlock","9565")</f>
        <v>9565</v>
      </c>
      <c r="F21" t="s">
        <v>18</v>
      </c>
      <c r="G21" t="str">
        <f>HYPERLINK("http://www.ncbi.nlm.nih.gov/Taxonomy/Browser/wwwtax.cgi?mode=Info&amp;id=9565&amp;lvl=3&amp;lin=f&amp;keep=1&amp;srchmode=1&amp;unlock","Theropithecus gelada")</f>
        <v>Theropithecus gelada</v>
      </c>
      <c r="H21" t="s">
        <v>41</v>
      </c>
      <c r="I21" t="str">
        <f>HYPERLINK("http://www.ncbi.nlm.nih.gov/protein/XP_025209942.1","fatty acid-binding protein, liver")</f>
        <v>fatty acid-binding protein, liver</v>
      </c>
      <c r="J21" t="s">
        <v>1381</v>
      </c>
      <c r="K21" t="s">
        <v>20</v>
      </c>
      <c r="L21">
        <v>50</v>
      </c>
      <c r="M21" t="s">
        <v>1380</v>
      </c>
      <c r="N21" t="s">
        <v>20</v>
      </c>
      <c r="O21" t="s">
        <v>1394</v>
      </c>
      <c r="P21" t="s">
        <v>20</v>
      </c>
      <c r="Q21">
        <v>165.19200000000001</v>
      </c>
      <c r="R21" t="s">
        <v>20</v>
      </c>
      <c r="S21" t="s">
        <v>20</v>
      </c>
    </row>
    <row r="22" spans="1:19" x14ac:dyDescent="0.25">
      <c r="A22">
        <v>6</v>
      </c>
      <c r="B22" t="s">
        <v>18</v>
      </c>
      <c r="C22" t="str">
        <f>HYPERLINK("http://www.ncbi.nlm.nih.gov/protein/XP_011827150.1","XP_011827150.1")</f>
        <v>XP_011827150.1</v>
      </c>
      <c r="D22">
        <v>38457</v>
      </c>
      <c r="E22" t="str">
        <f>HYPERLINK("http://www.ncbi.nlm.nih.gov/Taxonomy/Browser/wwwtax.cgi?mode=Info&amp;id=9568&amp;lvl=3&amp;lin=f&amp;keep=1&amp;srchmode=1&amp;unlock","9568")</f>
        <v>9568</v>
      </c>
      <c r="F22" t="s">
        <v>18</v>
      </c>
      <c r="G22" t="str">
        <f>HYPERLINK("http://www.ncbi.nlm.nih.gov/Taxonomy/Browser/wwwtax.cgi?mode=Info&amp;id=9568&amp;lvl=3&amp;lin=f&amp;keep=1&amp;srchmode=1&amp;unlock","Mandrillus leucophaeus")</f>
        <v>Mandrillus leucophaeus</v>
      </c>
      <c r="H22" t="s">
        <v>43</v>
      </c>
      <c r="I22" t="str">
        <f>HYPERLINK("http://www.ncbi.nlm.nih.gov/protein/XP_011827150.1","PREDICTED: fatty acid-binding protein, liver")</f>
        <v>PREDICTED: fatty acid-binding protein, liver</v>
      </c>
      <c r="J22" t="s">
        <v>1381</v>
      </c>
      <c r="K22" t="s">
        <v>20</v>
      </c>
      <c r="L22">
        <v>50</v>
      </c>
      <c r="M22" t="s">
        <v>1380</v>
      </c>
      <c r="N22" t="s">
        <v>20</v>
      </c>
      <c r="O22" t="s">
        <v>1394</v>
      </c>
      <c r="P22" t="s">
        <v>20</v>
      </c>
      <c r="Q22">
        <v>165.19200000000001</v>
      </c>
      <c r="R22" t="s">
        <v>20</v>
      </c>
      <c r="S22" t="s">
        <v>20</v>
      </c>
    </row>
    <row r="23" spans="1:19" x14ac:dyDescent="0.25">
      <c r="A23">
        <v>6</v>
      </c>
      <c r="B23" t="s">
        <v>18</v>
      </c>
      <c r="C23" t="str">
        <f>HYPERLINK("http://www.ncbi.nlm.nih.gov/protein/VCX10107.1","VCX10107.1")</f>
        <v>VCX10107.1</v>
      </c>
      <c r="D23">
        <v>19820</v>
      </c>
      <c r="E23" t="str">
        <f>HYPERLINK("http://www.ncbi.nlm.nih.gov/Taxonomy/Browser/wwwtax.cgi?mode=Info&amp;id=48420&amp;lvl=3&amp;lin=f&amp;keep=1&amp;srchmode=1&amp;unlock","48420")</f>
        <v>48420</v>
      </c>
      <c r="F23" t="s">
        <v>18</v>
      </c>
      <c r="G23" t="str">
        <f>HYPERLINK("http://www.ncbi.nlm.nih.gov/Taxonomy/Browser/wwwtax.cgi?mode=Info&amp;id=48420&amp;lvl=3&amp;lin=f&amp;keep=1&amp;srchmode=1&amp;unlock","Gulo gulo")</f>
        <v>Gulo gulo</v>
      </c>
      <c r="H23" t="s">
        <v>42</v>
      </c>
      <c r="I23" t="str">
        <f>HYPERLINK("http://www.ncbi.nlm.nih.gov/protein/VCX10107.1","unnamed protein product")</f>
        <v>unnamed protein product</v>
      </c>
      <c r="J23" t="s">
        <v>1381</v>
      </c>
      <c r="K23" t="s">
        <v>25</v>
      </c>
      <c r="L23">
        <v>50</v>
      </c>
      <c r="M23" t="s">
        <v>1382</v>
      </c>
      <c r="N23" t="s">
        <v>25</v>
      </c>
      <c r="O23" t="s">
        <v>1355</v>
      </c>
      <c r="P23" t="s">
        <v>25</v>
      </c>
      <c r="Q23">
        <v>131.17500000000001</v>
      </c>
      <c r="R23" t="s">
        <v>25</v>
      </c>
      <c r="S23" t="s">
        <v>25</v>
      </c>
    </row>
    <row r="24" spans="1:19" x14ac:dyDescent="0.25">
      <c r="A24">
        <v>6</v>
      </c>
      <c r="B24" t="s">
        <v>18</v>
      </c>
      <c r="C24" t="str">
        <f>HYPERLINK("http://www.ncbi.nlm.nih.gov/protein/XP_039108582.1","XP_039108582.1")</f>
        <v>XP_039108582.1</v>
      </c>
      <c r="D24">
        <v>41430</v>
      </c>
      <c r="E24" t="str">
        <f>HYPERLINK("http://www.ncbi.nlm.nih.gov/Taxonomy/Browser/wwwtax.cgi?mode=Info&amp;id=95912&amp;lvl=3&amp;lin=f&amp;keep=1&amp;srchmode=1&amp;unlock","95912")</f>
        <v>95912</v>
      </c>
      <c r="F24" t="s">
        <v>18</v>
      </c>
      <c r="G24" t="str">
        <f>HYPERLINK("http://www.ncbi.nlm.nih.gov/Taxonomy/Browser/wwwtax.cgi?mode=Info&amp;id=95912&amp;lvl=3&amp;lin=f&amp;keep=1&amp;srchmode=1&amp;unlock","Hyaena hyaena")</f>
        <v>Hyaena hyaena</v>
      </c>
      <c r="H24" t="s">
        <v>44</v>
      </c>
      <c r="I24" t="str">
        <f>HYPERLINK("http://www.ncbi.nlm.nih.gov/protein/XP_039108582.1","fatty acid-binding protein, liver")</f>
        <v>fatty acid-binding protein, liver</v>
      </c>
      <c r="J24" t="s">
        <v>1381</v>
      </c>
      <c r="K24" t="s">
        <v>25</v>
      </c>
      <c r="L24">
        <v>50</v>
      </c>
      <c r="M24" t="s">
        <v>1382</v>
      </c>
      <c r="N24" t="s">
        <v>25</v>
      </c>
      <c r="O24" t="s">
        <v>1355</v>
      </c>
      <c r="P24" t="s">
        <v>25</v>
      </c>
      <c r="Q24">
        <v>131.17500000000001</v>
      </c>
      <c r="R24" t="s">
        <v>25</v>
      </c>
      <c r="S24" t="s">
        <v>25</v>
      </c>
    </row>
    <row r="25" spans="1:19" x14ac:dyDescent="0.25">
      <c r="A25">
        <v>6</v>
      </c>
      <c r="B25" t="s">
        <v>18</v>
      </c>
      <c r="C25" t="str">
        <f>HYPERLINK("http://www.ncbi.nlm.nih.gov/protein/XP_026336895.1","XP_026336895.1")</f>
        <v>XP_026336895.1</v>
      </c>
      <c r="D25">
        <v>43159</v>
      </c>
      <c r="E25" t="str">
        <f>HYPERLINK("http://www.ncbi.nlm.nih.gov/Taxonomy/Browser/wwwtax.cgi?mode=Info&amp;id=116960&amp;lvl=3&amp;lin=f&amp;keep=1&amp;srchmode=1&amp;unlock","116960")</f>
        <v>116960</v>
      </c>
      <c r="F25" t="s">
        <v>18</v>
      </c>
      <c r="G25" t="str">
        <f>HYPERLINK("http://www.ncbi.nlm.nih.gov/Taxonomy/Browser/wwwtax.cgi?mode=Info&amp;id=116960&amp;lvl=3&amp;lin=f&amp;keep=1&amp;srchmode=1&amp;unlock","Ursus arctos horribilis")</f>
        <v>Ursus arctos horribilis</v>
      </c>
      <c r="H25" t="s">
        <v>45</v>
      </c>
      <c r="I25" t="str">
        <f>HYPERLINK("http://www.ncbi.nlm.nih.gov/protein/XP_026336895.1","fatty acid-binding protein, liver")</f>
        <v>fatty acid-binding protein, liver</v>
      </c>
      <c r="J25" t="s">
        <v>1381</v>
      </c>
      <c r="K25" t="s">
        <v>25</v>
      </c>
      <c r="L25">
        <v>50</v>
      </c>
      <c r="M25" t="s">
        <v>1382</v>
      </c>
      <c r="N25" t="s">
        <v>25</v>
      </c>
      <c r="O25" t="s">
        <v>1355</v>
      </c>
      <c r="P25" t="s">
        <v>25</v>
      </c>
      <c r="Q25">
        <v>131.17500000000001</v>
      </c>
      <c r="R25" t="s">
        <v>25</v>
      </c>
      <c r="S25" t="s">
        <v>25</v>
      </c>
    </row>
    <row r="26" spans="1:19" x14ac:dyDescent="0.25">
      <c r="A26">
        <v>6</v>
      </c>
      <c r="B26" t="s">
        <v>18</v>
      </c>
      <c r="C26" t="str">
        <f>HYPERLINK("http://www.ncbi.nlm.nih.gov/protein/XP_006741225.1","XP_006741225.1")</f>
        <v>XP_006741225.1</v>
      </c>
      <c r="D26">
        <v>40472</v>
      </c>
      <c r="E26" t="str">
        <f>HYPERLINK("http://www.ncbi.nlm.nih.gov/Taxonomy/Browser/wwwtax.cgi?mode=Info&amp;id=9713&amp;lvl=3&amp;lin=f&amp;keep=1&amp;srchmode=1&amp;unlock","9713")</f>
        <v>9713</v>
      </c>
      <c r="F26" t="s">
        <v>18</v>
      </c>
      <c r="G26" t="str">
        <f>HYPERLINK("http://www.ncbi.nlm.nih.gov/Taxonomy/Browser/wwwtax.cgi?mode=Info&amp;id=9713&amp;lvl=3&amp;lin=f&amp;keep=1&amp;srchmode=1&amp;unlock","Leptonychotes weddellii")</f>
        <v>Leptonychotes weddellii</v>
      </c>
      <c r="H26" t="s">
        <v>49</v>
      </c>
      <c r="I26" t="str">
        <f>HYPERLINK("http://www.ncbi.nlm.nih.gov/protein/XP_006741225.1","fatty acid-binding protein, liver")</f>
        <v>fatty acid-binding protein, liver</v>
      </c>
      <c r="J26" t="s">
        <v>1381</v>
      </c>
      <c r="K26" t="s">
        <v>25</v>
      </c>
      <c r="L26">
        <v>50</v>
      </c>
      <c r="M26" t="s">
        <v>1382</v>
      </c>
      <c r="N26" t="s">
        <v>25</v>
      </c>
      <c r="O26" t="s">
        <v>1355</v>
      </c>
      <c r="P26" t="s">
        <v>25</v>
      </c>
      <c r="Q26">
        <v>131.17500000000001</v>
      </c>
      <c r="R26" t="s">
        <v>25</v>
      </c>
      <c r="S26" t="s">
        <v>25</v>
      </c>
    </row>
    <row r="27" spans="1:19" x14ac:dyDescent="0.25">
      <c r="A27">
        <v>6</v>
      </c>
      <c r="B27" t="s">
        <v>18</v>
      </c>
      <c r="C27" t="str">
        <f>HYPERLINK("http://www.ncbi.nlm.nih.gov/protein/XP_021553255.1","XP_021553255.1")</f>
        <v>XP_021553255.1</v>
      </c>
      <c r="D27">
        <v>28446</v>
      </c>
      <c r="E27" t="str">
        <f>HYPERLINK("http://www.ncbi.nlm.nih.gov/Taxonomy/Browser/wwwtax.cgi?mode=Info&amp;id=29088&amp;lvl=3&amp;lin=f&amp;keep=1&amp;srchmode=1&amp;unlock","29088")</f>
        <v>29088</v>
      </c>
      <c r="F27" t="s">
        <v>18</v>
      </c>
      <c r="G27" t="str">
        <f>HYPERLINK("http://www.ncbi.nlm.nih.gov/Taxonomy/Browser/wwwtax.cgi?mode=Info&amp;id=29088&amp;lvl=3&amp;lin=f&amp;keep=1&amp;srchmode=1&amp;unlock","Neomonachus schauinslandi")</f>
        <v>Neomonachus schauinslandi</v>
      </c>
      <c r="H27" t="s">
        <v>50</v>
      </c>
      <c r="I27" t="str">
        <f>HYPERLINK("http://www.ncbi.nlm.nih.gov/protein/XP_021553255.1","fatty acid-binding protein, liver")</f>
        <v>fatty acid-binding protein, liver</v>
      </c>
      <c r="J27" t="s">
        <v>1381</v>
      </c>
      <c r="K27" t="s">
        <v>25</v>
      </c>
      <c r="L27">
        <v>50</v>
      </c>
      <c r="M27" t="s">
        <v>1382</v>
      </c>
      <c r="N27" t="s">
        <v>25</v>
      </c>
      <c r="O27" t="s">
        <v>1355</v>
      </c>
      <c r="P27" t="s">
        <v>25</v>
      </c>
      <c r="Q27">
        <v>131.17500000000001</v>
      </c>
      <c r="R27" t="s">
        <v>25</v>
      </c>
      <c r="S27" t="s">
        <v>25</v>
      </c>
    </row>
    <row r="28" spans="1:19" x14ac:dyDescent="0.25">
      <c r="A28">
        <v>6</v>
      </c>
      <c r="B28" t="s">
        <v>18</v>
      </c>
      <c r="C28" t="str">
        <f>HYPERLINK("http://www.ncbi.nlm.nih.gov/protein/XP_032208604.1","XP_032208604.1")</f>
        <v>XP_032208604.1</v>
      </c>
      <c r="D28">
        <v>60653</v>
      </c>
      <c r="E28" t="str">
        <f>HYPERLINK("http://www.ncbi.nlm.nih.gov/Taxonomy/Browser/wwwtax.cgi?mode=Info&amp;id=36723&amp;lvl=3&amp;lin=f&amp;keep=1&amp;srchmode=1&amp;unlock","36723")</f>
        <v>36723</v>
      </c>
      <c r="F28" t="s">
        <v>18</v>
      </c>
      <c r="G28" t="str">
        <f>HYPERLINK("http://www.ncbi.nlm.nih.gov/Taxonomy/Browser/wwwtax.cgi?mode=Info&amp;id=36723&amp;lvl=3&amp;lin=f&amp;keep=1&amp;srchmode=1&amp;unlock","Mustela erminea")</f>
        <v>Mustela erminea</v>
      </c>
      <c r="H28" t="s">
        <v>51</v>
      </c>
      <c r="I28" t="str">
        <f>HYPERLINK("http://www.ncbi.nlm.nih.gov/protein/XP_032208604.1","fatty acid-binding protein, liver")</f>
        <v>fatty acid-binding protein, liver</v>
      </c>
      <c r="J28" t="s">
        <v>1381</v>
      </c>
      <c r="K28" t="s">
        <v>25</v>
      </c>
      <c r="L28">
        <v>50</v>
      </c>
      <c r="M28" t="s">
        <v>1382</v>
      </c>
      <c r="N28" t="s">
        <v>25</v>
      </c>
      <c r="O28" t="s">
        <v>1355</v>
      </c>
      <c r="P28" t="s">
        <v>25</v>
      </c>
      <c r="Q28">
        <v>131.17500000000001</v>
      </c>
      <c r="R28" t="s">
        <v>25</v>
      </c>
      <c r="S28" t="s">
        <v>25</v>
      </c>
    </row>
    <row r="29" spans="1:19" x14ac:dyDescent="0.25">
      <c r="A29">
        <v>6</v>
      </c>
      <c r="B29" t="s">
        <v>18</v>
      </c>
      <c r="C29" t="str">
        <f>HYPERLINK("http://www.ncbi.nlm.nih.gov/protein/XP_032736499.1","XP_032736499.1")</f>
        <v>XP_032736499.1</v>
      </c>
      <c r="D29">
        <v>48403</v>
      </c>
      <c r="E29" t="str">
        <f>HYPERLINK("http://www.ncbi.nlm.nih.gov/Taxonomy/Browser/wwwtax.cgi?mode=Info&amp;id=76717&amp;lvl=3&amp;lin=f&amp;keep=1&amp;srchmode=1&amp;unlock","76717")</f>
        <v>76717</v>
      </c>
      <c r="F29" t="s">
        <v>18</v>
      </c>
      <c r="G29" t="str">
        <f>HYPERLINK("http://www.ncbi.nlm.nih.gov/Taxonomy/Browser/wwwtax.cgi?mode=Info&amp;id=76717&amp;lvl=3&amp;lin=f&amp;keep=1&amp;srchmode=1&amp;unlock","Lontra canadensis")</f>
        <v>Lontra canadensis</v>
      </c>
      <c r="H29" t="s">
        <v>47</v>
      </c>
      <c r="I29" t="str">
        <f>HYPERLINK("http://www.ncbi.nlm.nih.gov/protein/XP_032736499.1","fatty acid-binding protein, liver")</f>
        <v>fatty acid-binding protein, liver</v>
      </c>
      <c r="J29" t="s">
        <v>1381</v>
      </c>
      <c r="K29" t="s">
        <v>25</v>
      </c>
      <c r="L29">
        <v>50</v>
      </c>
      <c r="M29" t="s">
        <v>1382</v>
      </c>
      <c r="N29" t="s">
        <v>25</v>
      </c>
      <c r="O29" t="s">
        <v>1355</v>
      </c>
      <c r="P29" t="s">
        <v>25</v>
      </c>
      <c r="Q29">
        <v>131.17500000000001</v>
      </c>
      <c r="R29" t="s">
        <v>25</v>
      </c>
      <c r="S29" t="s">
        <v>25</v>
      </c>
    </row>
    <row r="30" spans="1:19" x14ac:dyDescent="0.25">
      <c r="A30">
        <v>6</v>
      </c>
      <c r="B30" t="s">
        <v>18</v>
      </c>
      <c r="C30" t="str">
        <f>HYPERLINK("http://www.ncbi.nlm.nih.gov/protein/XP_032267051.1","XP_032267051.1")</f>
        <v>XP_032267051.1</v>
      </c>
      <c r="D30">
        <v>45582</v>
      </c>
      <c r="E30" t="str">
        <f>HYPERLINK("http://www.ncbi.nlm.nih.gov/Taxonomy/Browser/wwwtax.cgi?mode=Info&amp;id=9720&amp;lvl=3&amp;lin=f&amp;keep=1&amp;srchmode=1&amp;unlock","9720")</f>
        <v>9720</v>
      </c>
      <c r="F30" t="s">
        <v>18</v>
      </c>
      <c r="G30" t="str">
        <f>HYPERLINK("http://www.ncbi.nlm.nih.gov/Taxonomy/Browser/wwwtax.cgi?mode=Info&amp;id=9720&amp;lvl=3&amp;lin=f&amp;keep=1&amp;srchmode=1&amp;unlock","Phoca vitulina")</f>
        <v>Phoca vitulina</v>
      </c>
      <c r="H30" t="s">
        <v>46</v>
      </c>
      <c r="I30" t="str">
        <f>HYPERLINK("http://www.ncbi.nlm.nih.gov/protein/XP_032267051.1","fatty acid-binding protein, liver")</f>
        <v>fatty acid-binding protein, liver</v>
      </c>
      <c r="J30" t="s">
        <v>1381</v>
      </c>
      <c r="K30" t="s">
        <v>25</v>
      </c>
      <c r="L30">
        <v>50</v>
      </c>
      <c r="M30" t="s">
        <v>1382</v>
      </c>
      <c r="N30" t="s">
        <v>25</v>
      </c>
      <c r="O30" t="s">
        <v>1355</v>
      </c>
      <c r="P30" t="s">
        <v>25</v>
      </c>
      <c r="Q30">
        <v>131.17500000000001</v>
      </c>
      <c r="R30" t="s">
        <v>25</v>
      </c>
      <c r="S30" t="s">
        <v>25</v>
      </c>
    </row>
    <row r="31" spans="1:19" x14ac:dyDescent="0.25">
      <c r="A31">
        <v>6</v>
      </c>
      <c r="B31" t="s">
        <v>18</v>
      </c>
      <c r="C31" t="str">
        <f>HYPERLINK("http://www.ncbi.nlm.nih.gov/protein/XP_004742435.1","XP_004742435.1")</f>
        <v>XP_004742435.1</v>
      </c>
      <c r="D31">
        <v>48574</v>
      </c>
      <c r="E31" t="str">
        <f>HYPERLINK("http://www.ncbi.nlm.nih.gov/Taxonomy/Browser/wwwtax.cgi?mode=Info&amp;id=9669&amp;lvl=3&amp;lin=f&amp;keep=1&amp;srchmode=1&amp;unlock","9669")</f>
        <v>9669</v>
      </c>
      <c r="F31" t="s">
        <v>18</v>
      </c>
      <c r="G31" t="str">
        <f>HYPERLINK("http://www.ncbi.nlm.nih.gov/Taxonomy/Browser/wwwtax.cgi?mode=Info&amp;id=9669&amp;lvl=3&amp;lin=f&amp;keep=1&amp;srchmode=1&amp;unlock","Mustela putorius furo")</f>
        <v>Mustela putorius furo</v>
      </c>
      <c r="H31" t="s">
        <v>48</v>
      </c>
      <c r="I31" t="str">
        <f>HYPERLINK("http://www.ncbi.nlm.nih.gov/protein/XP_004742435.1","PREDICTED: fatty acid-binding protein, liver")</f>
        <v>PREDICTED: fatty acid-binding protein, liver</v>
      </c>
      <c r="J31" t="s">
        <v>1381</v>
      </c>
      <c r="K31" t="s">
        <v>25</v>
      </c>
      <c r="L31">
        <v>50</v>
      </c>
      <c r="M31" t="s">
        <v>1382</v>
      </c>
      <c r="N31" t="s">
        <v>25</v>
      </c>
      <c r="O31" t="s">
        <v>1355</v>
      </c>
      <c r="P31" t="s">
        <v>25</v>
      </c>
      <c r="Q31">
        <v>131.17500000000001</v>
      </c>
      <c r="R31" t="s">
        <v>25</v>
      </c>
      <c r="S31" t="s">
        <v>25</v>
      </c>
    </row>
    <row r="32" spans="1:19" x14ac:dyDescent="0.25">
      <c r="A32">
        <v>6</v>
      </c>
      <c r="B32" t="s">
        <v>18</v>
      </c>
      <c r="C32" t="str">
        <f>HYPERLINK("http://www.ncbi.nlm.nih.gov/protein/AAX62515.1","AAX62515.1")</f>
        <v>AAX62515.1</v>
      </c>
      <c r="D32">
        <v>83623</v>
      </c>
      <c r="E32" t="str">
        <f>HYPERLINK("http://www.ncbi.nlm.nih.gov/Taxonomy/Browser/wwwtax.cgi?mode=Info&amp;id=9823&amp;lvl=3&amp;lin=f&amp;keep=1&amp;srchmode=1&amp;unlock","9823")</f>
        <v>9823</v>
      </c>
      <c r="F32" t="s">
        <v>18</v>
      </c>
      <c r="G32" t="str">
        <f>HYPERLINK("http://www.ncbi.nlm.nih.gov/Taxonomy/Browser/wwwtax.cgi?mode=Info&amp;id=9823&amp;lvl=3&amp;lin=f&amp;keep=1&amp;srchmode=1&amp;unlock","Sus scrofa")</f>
        <v>Sus scrofa</v>
      </c>
      <c r="H32" t="s">
        <v>55</v>
      </c>
      <c r="I32" t="str">
        <f>HYPERLINK("http://www.ncbi.nlm.nih.gov/protein/AAX62515.1","liver fatty acid binding protein")</f>
        <v>liver fatty acid binding protein</v>
      </c>
      <c r="J32" t="s">
        <v>1381</v>
      </c>
      <c r="K32" t="s">
        <v>25</v>
      </c>
      <c r="L32">
        <v>50</v>
      </c>
      <c r="M32" t="s">
        <v>1382</v>
      </c>
      <c r="N32" t="s">
        <v>25</v>
      </c>
      <c r="O32" t="s">
        <v>1355</v>
      </c>
      <c r="P32" t="s">
        <v>25</v>
      </c>
      <c r="Q32">
        <v>131.17500000000001</v>
      </c>
      <c r="R32" t="s">
        <v>25</v>
      </c>
      <c r="S32" t="s">
        <v>25</v>
      </c>
    </row>
    <row r="33" spans="1:19" x14ac:dyDescent="0.25">
      <c r="A33">
        <v>6</v>
      </c>
      <c r="B33" t="s">
        <v>18</v>
      </c>
      <c r="C33" t="str">
        <f>HYPERLINK("http://www.ncbi.nlm.nih.gov/protein/NP_001273980.1","NP_001273980.1")</f>
        <v>NP_001273980.1</v>
      </c>
      <c r="D33">
        <v>136175</v>
      </c>
      <c r="E33" t="str">
        <f>HYPERLINK("http://www.ncbi.nlm.nih.gov/Taxonomy/Browser/wwwtax.cgi?mode=Info&amp;id=9615&amp;lvl=3&amp;lin=f&amp;keep=1&amp;srchmode=1&amp;unlock","9615")</f>
        <v>9615</v>
      </c>
      <c r="F33" t="s">
        <v>18</v>
      </c>
      <c r="G33" t="str">
        <f>HYPERLINK("http://www.ncbi.nlm.nih.gov/Taxonomy/Browser/wwwtax.cgi?mode=Info&amp;id=9615&amp;lvl=3&amp;lin=f&amp;keep=1&amp;srchmode=1&amp;unlock","Canis lupus familiaris")</f>
        <v>Canis lupus familiaris</v>
      </c>
      <c r="H33" t="s">
        <v>54</v>
      </c>
      <c r="I33" t="str">
        <f>HYPERLINK("http://www.ncbi.nlm.nih.gov/protein/NP_001273980.1","fatty acid-binding protein, liver")</f>
        <v>fatty acid-binding protein, liver</v>
      </c>
      <c r="J33" t="s">
        <v>1381</v>
      </c>
      <c r="K33" t="s">
        <v>25</v>
      </c>
      <c r="L33">
        <v>50</v>
      </c>
      <c r="M33" t="s">
        <v>1382</v>
      </c>
      <c r="N33" t="s">
        <v>25</v>
      </c>
      <c r="O33" t="s">
        <v>1355</v>
      </c>
      <c r="P33" t="s">
        <v>25</v>
      </c>
      <c r="Q33">
        <v>131.17500000000001</v>
      </c>
      <c r="R33" t="s">
        <v>25</v>
      </c>
      <c r="S33" t="s">
        <v>25</v>
      </c>
    </row>
    <row r="34" spans="1:19" x14ac:dyDescent="0.25">
      <c r="A34">
        <v>6</v>
      </c>
      <c r="B34" t="s">
        <v>18</v>
      </c>
      <c r="C34" t="str">
        <f>HYPERLINK("http://www.ncbi.nlm.nih.gov/protein/XP_008006679.1","XP_008006679.1")</f>
        <v>XP_008006679.1</v>
      </c>
      <c r="D34">
        <v>62297</v>
      </c>
      <c r="E34" t="str">
        <f>HYPERLINK("http://www.ncbi.nlm.nih.gov/Taxonomy/Browser/wwwtax.cgi?mode=Info&amp;id=60711&amp;lvl=3&amp;lin=f&amp;keep=1&amp;srchmode=1&amp;unlock","60711")</f>
        <v>60711</v>
      </c>
      <c r="F34" t="s">
        <v>18</v>
      </c>
      <c r="G34" t="str">
        <f>HYPERLINK("http://www.ncbi.nlm.nih.gov/Taxonomy/Browser/wwwtax.cgi?mode=Info&amp;id=60711&amp;lvl=3&amp;lin=f&amp;keep=1&amp;srchmode=1&amp;unlock","Chlorocebus sabaeus")</f>
        <v>Chlorocebus sabaeus</v>
      </c>
      <c r="H34" t="s">
        <v>52</v>
      </c>
      <c r="I34" t="str">
        <f>HYPERLINK("http://www.ncbi.nlm.nih.gov/protein/XP_008006679.1","fatty acid-binding protein, liver")</f>
        <v>fatty acid-binding protein, liver</v>
      </c>
      <c r="J34" t="s">
        <v>1381</v>
      </c>
      <c r="K34" t="s">
        <v>20</v>
      </c>
      <c r="L34">
        <v>50</v>
      </c>
      <c r="M34" t="s">
        <v>1380</v>
      </c>
      <c r="N34" t="s">
        <v>20</v>
      </c>
      <c r="O34" t="s">
        <v>1394</v>
      </c>
      <c r="P34" t="s">
        <v>20</v>
      </c>
      <c r="Q34">
        <v>165.19200000000001</v>
      </c>
      <c r="R34" t="s">
        <v>20</v>
      </c>
      <c r="S34" t="s">
        <v>20</v>
      </c>
    </row>
    <row r="35" spans="1:19" x14ac:dyDescent="0.25">
      <c r="A35">
        <v>6</v>
      </c>
      <c r="B35" t="s">
        <v>18</v>
      </c>
      <c r="C35" t="str">
        <f>HYPERLINK("http://www.ncbi.nlm.nih.gov/protein/XP_025309650.1","XP_025309650.1")</f>
        <v>XP_025309650.1</v>
      </c>
      <c r="D35">
        <v>70986</v>
      </c>
      <c r="E35" t="str">
        <f>HYPERLINK("http://www.ncbi.nlm.nih.gov/Taxonomy/Browser/wwwtax.cgi?mode=Info&amp;id=286419&amp;lvl=3&amp;lin=f&amp;keep=1&amp;srchmode=1&amp;unlock","286419")</f>
        <v>286419</v>
      </c>
      <c r="F35" t="s">
        <v>18</v>
      </c>
      <c r="G35" t="str">
        <f>HYPERLINK("http://www.ncbi.nlm.nih.gov/Taxonomy/Browser/wwwtax.cgi?mode=Info&amp;id=286419&amp;lvl=3&amp;lin=f&amp;keep=1&amp;srchmode=1&amp;unlock","Canis lupus dingo")</f>
        <v>Canis lupus dingo</v>
      </c>
      <c r="H35" t="s">
        <v>53</v>
      </c>
      <c r="I35" t="str">
        <f>HYPERLINK("http://www.ncbi.nlm.nih.gov/protein/XP_025309650.1","fatty acid-binding protein, liver")</f>
        <v>fatty acid-binding protein, liver</v>
      </c>
      <c r="J35" t="s">
        <v>1381</v>
      </c>
      <c r="K35" t="s">
        <v>25</v>
      </c>
      <c r="L35">
        <v>50</v>
      </c>
      <c r="M35" t="s">
        <v>1382</v>
      </c>
      <c r="N35" t="s">
        <v>25</v>
      </c>
      <c r="O35" t="s">
        <v>1355</v>
      </c>
      <c r="P35" t="s">
        <v>25</v>
      </c>
      <c r="Q35">
        <v>131.17500000000001</v>
      </c>
      <c r="R35" t="s">
        <v>25</v>
      </c>
      <c r="S35" t="s">
        <v>25</v>
      </c>
    </row>
    <row r="36" spans="1:19" x14ac:dyDescent="0.25">
      <c r="A36">
        <v>6</v>
      </c>
      <c r="B36" t="s">
        <v>18</v>
      </c>
      <c r="C36" t="str">
        <f>HYPERLINK("http://www.ncbi.nlm.nih.gov/protein/XP_029792145.1","XP_029792145.1")</f>
        <v>XP_029792145.1</v>
      </c>
      <c r="D36">
        <v>43355</v>
      </c>
      <c r="E36" t="str">
        <f>HYPERLINK("http://www.ncbi.nlm.nih.gov/Taxonomy/Browser/wwwtax.cgi?mode=Info&amp;id=37032&amp;lvl=3&amp;lin=f&amp;keep=1&amp;srchmode=1&amp;unlock","37032")</f>
        <v>37032</v>
      </c>
      <c r="F36" t="s">
        <v>18</v>
      </c>
      <c r="G36" t="str">
        <f>HYPERLINK("http://www.ncbi.nlm.nih.gov/Taxonomy/Browser/wwwtax.cgi?mode=Info&amp;id=37032&amp;lvl=3&amp;lin=f&amp;keep=1&amp;srchmode=1&amp;unlock","Suricata suricatta")</f>
        <v>Suricata suricatta</v>
      </c>
      <c r="H36" t="s">
        <v>57</v>
      </c>
      <c r="I36" t="str">
        <f>HYPERLINK("http://www.ncbi.nlm.nih.gov/protein/XP_029792145.1","fatty acid-binding protein, liver")</f>
        <v>fatty acid-binding protein, liver</v>
      </c>
      <c r="J36" t="s">
        <v>1381</v>
      </c>
      <c r="K36" t="s">
        <v>25</v>
      </c>
      <c r="L36">
        <v>50</v>
      </c>
      <c r="M36" t="s">
        <v>1382</v>
      </c>
      <c r="N36" t="s">
        <v>25</v>
      </c>
      <c r="O36" t="s">
        <v>1355</v>
      </c>
      <c r="P36" t="s">
        <v>25</v>
      </c>
      <c r="Q36">
        <v>131.17500000000001</v>
      </c>
      <c r="R36" t="s">
        <v>25</v>
      </c>
      <c r="S36" t="s">
        <v>25</v>
      </c>
    </row>
    <row r="37" spans="1:19" x14ac:dyDescent="0.25">
      <c r="A37">
        <v>6</v>
      </c>
      <c r="B37" t="s">
        <v>18</v>
      </c>
      <c r="C37" t="str">
        <f>HYPERLINK("http://www.ncbi.nlm.nih.gov/protein/XP_034856360.1","XP_034856360.1")</f>
        <v>XP_034856360.1</v>
      </c>
      <c r="D37">
        <v>64815</v>
      </c>
      <c r="E37" t="str">
        <f>HYPERLINK("http://www.ncbi.nlm.nih.gov/Taxonomy/Browser/wwwtax.cgi?mode=Info&amp;id=9715&amp;lvl=3&amp;lin=f&amp;keep=1&amp;srchmode=1&amp;unlock","9715")</f>
        <v>9715</v>
      </c>
      <c r="F37" t="s">
        <v>18</v>
      </c>
      <c r="G37" t="str">
        <f>HYPERLINK("http://www.ncbi.nlm.nih.gov/Taxonomy/Browser/wwwtax.cgi?mode=Info&amp;id=9715&amp;lvl=3&amp;lin=f&amp;keep=1&amp;srchmode=1&amp;unlock","Mirounga leonina")</f>
        <v>Mirounga leonina</v>
      </c>
      <c r="H37" t="s">
        <v>58</v>
      </c>
      <c r="I37" t="str">
        <f>HYPERLINK("http://www.ncbi.nlm.nih.gov/protein/XP_034856360.1","fatty acid-binding protein, liver")</f>
        <v>fatty acid-binding protein, liver</v>
      </c>
      <c r="J37" t="s">
        <v>1381</v>
      </c>
      <c r="K37" t="s">
        <v>25</v>
      </c>
      <c r="L37">
        <v>50</v>
      </c>
      <c r="M37" t="s">
        <v>1382</v>
      </c>
      <c r="N37" t="s">
        <v>25</v>
      </c>
      <c r="O37" t="s">
        <v>1355</v>
      </c>
      <c r="P37" t="s">
        <v>25</v>
      </c>
      <c r="Q37">
        <v>131.17500000000001</v>
      </c>
      <c r="R37" t="s">
        <v>25</v>
      </c>
      <c r="S37" t="s">
        <v>25</v>
      </c>
    </row>
    <row r="38" spans="1:19" x14ac:dyDescent="0.25">
      <c r="A38">
        <v>6</v>
      </c>
      <c r="B38" t="s">
        <v>18</v>
      </c>
      <c r="C38" t="str">
        <f>HYPERLINK("http://www.ncbi.nlm.nih.gov/protein/XP_036787010.1","XP_036787010.1")</f>
        <v>XP_036787010.1</v>
      </c>
      <c r="D38">
        <v>58394</v>
      </c>
      <c r="E38" t="str">
        <f>HYPERLINK("http://www.ncbi.nlm.nih.gov/Taxonomy/Browser/wwwtax.cgi?mode=Info&amp;id=143292&amp;lvl=3&amp;lin=f&amp;keep=1&amp;srchmode=1&amp;unlock","143292")</f>
        <v>143292</v>
      </c>
      <c r="F38" t="s">
        <v>18</v>
      </c>
      <c r="G38" t="str">
        <f>HYPERLINK("http://www.ncbi.nlm.nih.gov/Taxonomy/Browser/wwwtax.cgi?mode=Info&amp;id=143292&amp;lvl=3&amp;lin=f&amp;keep=1&amp;srchmode=1&amp;unlock","Manis pentadactyla")</f>
        <v>Manis pentadactyla</v>
      </c>
      <c r="H38" t="s">
        <v>56</v>
      </c>
      <c r="I38" t="str">
        <f>HYPERLINK("http://www.ncbi.nlm.nih.gov/protein/XP_036787010.1","fatty acid-binding protein, liver")</f>
        <v>fatty acid-binding protein, liver</v>
      </c>
      <c r="J38" t="s">
        <v>1381</v>
      </c>
      <c r="K38" t="s">
        <v>20</v>
      </c>
      <c r="L38">
        <v>50</v>
      </c>
      <c r="M38" t="s">
        <v>1380</v>
      </c>
      <c r="N38" t="s">
        <v>20</v>
      </c>
      <c r="O38" t="s">
        <v>1394</v>
      </c>
      <c r="P38" t="s">
        <v>20</v>
      </c>
      <c r="Q38">
        <v>165.19200000000001</v>
      </c>
      <c r="R38" t="s">
        <v>20</v>
      </c>
      <c r="S38" t="s">
        <v>20</v>
      </c>
    </row>
    <row r="39" spans="1:19" x14ac:dyDescent="0.25">
      <c r="A39">
        <v>6</v>
      </c>
      <c r="B39" t="s">
        <v>18</v>
      </c>
      <c r="C39" t="str">
        <f>HYPERLINK("http://www.ncbi.nlm.nih.gov/protein/XP_014931273.1","XP_014931273.1")</f>
        <v>XP_014931273.1</v>
      </c>
      <c r="D39">
        <v>56437</v>
      </c>
      <c r="E39" t="str">
        <f>HYPERLINK("http://www.ncbi.nlm.nih.gov/Taxonomy/Browser/wwwtax.cgi?mode=Info&amp;id=32536&amp;lvl=3&amp;lin=f&amp;keep=1&amp;srchmode=1&amp;unlock","32536")</f>
        <v>32536</v>
      </c>
      <c r="F39" t="s">
        <v>18</v>
      </c>
      <c r="G39" t="str">
        <f>HYPERLINK("http://www.ncbi.nlm.nih.gov/Taxonomy/Browser/wwwtax.cgi?mode=Info&amp;id=32536&amp;lvl=3&amp;lin=f&amp;keep=1&amp;srchmode=1&amp;unlock","Acinonyx jubatus")</f>
        <v>Acinonyx jubatus</v>
      </c>
      <c r="H39" t="s">
        <v>62</v>
      </c>
      <c r="I39" t="str">
        <f>HYPERLINK("http://www.ncbi.nlm.nih.gov/protein/XP_014931273.1","fatty acid-binding protein, liver")</f>
        <v>fatty acid-binding protein, liver</v>
      </c>
      <c r="J39" t="s">
        <v>1381</v>
      </c>
      <c r="K39" t="s">
        <v>25</v>
      </c>
      <c r="L39">
        <v>50</v>
      </c>
      <c r="M39" t="s">
        <v>1382</v>
      </c>
      <c r="N39" t="s">
        <v>25</v>
      </c>
      <c r="O39" t="s">
        <v>1355</v>
      </c>
      <c r="P39" t="s">
        <v>25</v>
      </c>
      <c r="Q39">
        <v>131.17500000000001</v>
      </c>
      <c r="R39" t="s">
        <v>25</v>
      </c>
      <c r="S39" t="s">
        <v>25</v>
      </c>
    </row>
    <row r="40" spans="1:19" x14ac:dyDescent="0.25">
      <c r="A40">
        <v>6</v>
      </c>
      <c r="B40" t="s">
        <v>18</v>
      </c>
      <c r="C40" t="str">
        <f>HYPERLINK("http://www.ncbi.nlm.nih.gov/protein/XP_030164911.1","XP_030164911.1")</f>
        <v>XP_030164911.1</v>
      </c>
      <c r="D40">
        <v>42175</v>
      </c>
      <c r="E40" t="str">
        <f>HYPERLINK("http://www.ncbi.nlm.nih.gov/Taxonomy/Browser/wwwtax.cgi?mode=Info&amp;id=61383&amp;lvl=3&amp;lin=f&amp;keep=1&amp;srchmode=1&amp;unlock","61383")</f>
        <v>61383</v>
      </c>
      <c r="F40" t="s">
        <v>18</v>
      </c>
      <c r="G40" t="str">
        <f>HYPERLINK("http://www.ncbi.nlm.nih.gov/Taxonomy/Browser/wwwtax.cgi?mode=Info&amp;id=61383&amp;lvl=3&amp;lin=f&amp;keep=1&amp;srchmode=1&amp;unlock","Lynx canadensis")</f>
        <v>Lynx canadensis</v>
      </c>
      <c r="H40" t="s">
        <v>63</v>
      </c>
      <c r="I40" t="str">
        <f>HYPERLINK("http://www.ncbi.nlm.nih.gov/protein/XP_030164911.1","fatty acid-binding protein, liver")</f>
        <v>fatty acid-binding protein, liver</v>
      </c>
      <c r="J40" t="s">
        <v>1381</v>
      </c>
      <c r="K40" t="s">
        <v>25</v>
      </c>
      <c r="L40">
        <v>50</v>
      </c>
      <c r="M40" t="s">
        <v>1382</v>
      </c>
      <c r="N40" t="s">
        <v>25</v>
      </c>
      <c r="O40" t="s">
        <v>1355</v>
      </c>
      <c r="P40" t="s">
        <v>25</v>
      </c>
      <c r="Q40">
        <v>131.17500000000001</v>
      </c>
      <c r="R40" t="s">
        <v>25</v>
      </c>
      <c r="S40" t="s">
        <v>25</v>
      </c>
    </row>
    <row r="41" spans="1:19" x14ac:dyDescent="0.25">
      <c r="A41">
        <v>6</v>
      </c>
      <c r="B41" t="s">
        <v>18</v>
      </c>
      <c r="C41" t="str">
        <f>HYPERLINK("http://www.ncbi.nlm.nih.gov/protein/XP_025783149.1","XP_025783149.1")</f>
        <v>XP_025783149.1</v>
      </c>
      <c r="D41">
        <v>23617</v>
      </c>
      <c r="E41" t="str">
        <f>HYPERLINK("http://www.ncbi.nlm.nih.gov/Taxonomy/Browser/wwwtax.cgi?mode=Info&amp;id=9696&amp;lvl=3&amp;lin=f&amp;keep=1&amp;srchmode=1&amp;unlock","9696")</f>
        <v>9696</v>
      </c>
      <c r="F41" t="s">
        <v>18</v>
      </c>
      <c r="G41" t="str">
        <f>HYPERLINK("http://www.ncbi.nlm.nih.gov/Taxonomy/Browser/wwwtax.cgi?mode=Info&amp;id=9696&amp;lvl=3&amp;lin=f&amp;keep=1&amp;srchmode=1&amp;unlock","Puma concolor")</f>
        <v>Puma concolor</v>
      </c>
      <c r="H41" t="s">
        <v>64</v>
      </c>
      <c r="I41" t="str">
        <f>HYPERLINK("http://www.ncbi.nlm.nih.gov/protein/XP_025783149.1","fatty acid-binding protein, liver")</f>
        <v>fatty acid-binding protein, liver</v>
      </c>
      <c r="J41" t="s">
        <v>1381</v>
      </c>
      <c r="K41" t="s">
        <v>25</v>
      </c>
      <c r="L41">
        <v>50</v>
      </c>
      <c r="M41" t="s">
        <v>1382</v>
      </c>
      <c r="N41" t="s">
        <v>25</v>
      </c>
      <c r="O41" t="s">
        <v>1355</v>
      </c>
      <c r="P41" t="s">
        <v>25</v>
      </c>
      <c r="Q41">
        <v>131.17500000000001</v>
      </c>
      <c r="R41" t="s">
        <v>25</v>
      </c>
      <c r="S41" t="s">
        <v>25</v>
      </c>
    </row>
    <row r="42" spans="1:19" x14ac:dyDescent="0.25">
      <c r="A42">
        <v>6</v>
      </c>
      <c r="B42" t="s">
        <v>18</v>
      </c>
      <c r="C42" t="str">
        <f>HYPERLINK("http://www.ncbi.nlm.nih.gov/protein/XP_012328400.1","XP_012328400.1")</f>
        <v>XP_012328400.1</v>
      </c>
      <c r="D42">
        <v>48089</v>
      </c>
      <c r="E42" t="str">
        <f>HYPERLINK("http://www.ncbi.nlm.nih.gov/Taxonomy/Browser/wwwtax.cgi?mode=Info&amp;id=37293&amp;lvl=3&amp;lin=f&amp;keep=1&amp;srchmode=1&amp;unlock","37293")</f>
        <v>37293</v>
      </c>
      <c r="F42" t="s">
        <v>18</v>
      </c>
      <c r="G42" t="str">
        <f>HYPERLINK("http://www.ncbi.nlm.nih.gov/Taxonomy/Browser/wwwtax.cgi?mode=Info&amp;id=37293&amp;lvl=3&amp;lin=f&amp;keep=1&amp;srchmode=1&amp;unlock","Aotus nancymaae")</f>
        <v>Aotus nancymaae</v>
      </c>
      <c r="H42" t="s">
        <v>65</v>
      </c>
      <c r="I42" t="str">
        <f>HYPERLINK("http://www.ncbi.nlm.nih.gov/protein/XP_012328400.1","fatty acid-binding protein, liver")</f>
        <v>fatty acid-binding protein, liver</v>
      </c>
      <c r="J42" t="s">
        <v>1381</v>
      </c>
      <c r="K42" t="s">
        <v>25</v>
      </c>
      <c r="L42">
        <v>50</v>
      </c>
      <c r="M42" t="s">
        <v>1382</v>
      </c>
      <c r="N42" t="s">
        <v>25</v>
      </c>
      <c r="O42" t="s">
        <v>1355</v>
      </c>
      <c r="P42" t="s">
        <v>25</v>
      </c>
      <c r="Q42">
        <v>131.17500000000001</v>
      </c>
      <c r="R42" t="s">
        <v>25</v>
      </c>
      <c r="S42" t="s">
        <v>25</v>
      </c>
    </row>
    <row r="43" spans="1:19" x14ac:dyDescent="0.25">
      <c r="A43">
        <v>6</v>
      </c>
      <c r="B43" t="s">
        <v>18</v>
      </c>
      <c r="C43" t="str">
        <f>HYPERLINK("http://www.ncbi.nlm.nih.gov/protein/XP_040352755.1","XP_040352755.1")</f>
        <v>XP_040352755.1</v>
      </c>
      <c r="D43">
        <v>55674</v>
      </c>
      <c r="E43" t="str">
        <f>HYPERLINK("http://www.ncbi.nlm.nih.gov/Taxonomy/Browser/wwwtax.cgi?mode=Info&amp;id=1608482&amp;lvl=3&amp;lin=f&amp;keep=1&amp;srchmode=1&amp;unlock","1608482")</f>
        <v>1608482</v>
      </c>
      <c r="F43" t="s">
        <v>18</v>
      </c>
      <c r="G43" t="str">
        <f>HYPERLINK("http://www.ncbi.nlm.nih.gov/Taxonomy/Browser/wwwtax.cgi?mode=Info&amp;id=1608482&amp;lvl=3&amp;lin=f&amp;keep=1&amp;srchmode=1&amp;unlock","Puma yagouaroundi")</f>
        <v>Puma yagouaroundi</v>
      </c>
      <c r="H43" t="s">
        <v>66</v>
      </c>
      <c r="I43" t="str">
        <f>HYPERLINK("http://www.ncbi.nlm.nih.gov/protein/XP_040352755.1","fatty acid-binding protein, liver")</f>
        <v>fatty acid-binding protein, liver</v>
      </c>
      <c r="J43" t="s">
        <v>1381</v>
      </c>
      <c r="K43" t="s">
        <v>25</v>
      </c>
      <c r="L43">
        <v>50</v>
      </c>
      <c r="M43" t="s">
        <v>1382</v>
      </c>
      <c r="N43" t="s">
        <v>25</v>
      </c>
      <c r="O43" t="s">
        <v>1355</v>
      </c>
      <c r="P43" t="s">
        <v>25</v>
      </c>
      <c r="Q43">
        <v>131.17500000000001</v>
      </c>
      <c r="R43" t="s">
        <v>25</v>
      </c>
      <c r="S43" t="s">
        <v>25</v>
      </c>
    </row>
    <row r="44" spans="1:19" x14ac:dyDescent="0.25">
      <c r="A44">
        <v>6</v>
      </c>
      <c r="B44" t="s">
        <v>18</v>
      </c>
      <c r="C44" t="str">
        <f>HYPERLINK("http://www.ncbi.nlm.nih.gov/protein/XP_027476370.1","XP_027476370.1")</f>
        <v>XP_027476370.1</v>
      </c>
      <c r="D44">
        <v>61138</v>
      </c>
      <c r="E44" t="str">
        <f>HYPERLINK("http://www.ncbi.nlm.nih.gov/Taxonomy/Browser/wwwtax.cgi?mode=Info&amp;id=9704&amp;lvl=3&amp;lin=f&amp;keep=1&amp;srchmode=1&amp;unlock","9704")</f>
        <v>9704</v>
      </c>
      <c r="F44" t="s">
        <v>18</v>
      </c>
      <c r="G44" t="str">
        <f>HYPERLINK("http://www.ncbi.nlm.nih.gov/Taxonomy/Browser/wwwtax.cgi?mode=Info&amp;id=9704&amp;lvl=3&amp;lin=f&amp;keep=1&amp;srchmode=1&amp;unlock","Zalophus californianus")</f>
        <v>Zalophus californianus</v>
      </c>
      <c r="H44" t="s">
        <v>67</v>
      </c>
      <c r="I44" t="str">
        <f>HYPERLINK("http://www.ncbi.nlm.nih.gov/protein/XP_027476370.1","fatty acid-binding protein, liver")</f>
        <v>fatty acid-binding protein, liver</v>
      </c>
      <c r="J44" t="s">
        <v>1381</v>
      </c>
      <c r="K44" t="s">
        <v>25</v>
      </c>
      <c r="L44">
        <v>50</v>
      </c>
      <c r="M44" t="s">
        <v>1382</v>
      </c>
      <c r="N44" t="s">
        <v>25</v>
      </c>
      <c r="O44" t="s">
        <v>1355</v>
      </c>
      <c r="P44" t="s">
        <v>25</v>
      </c>
      <c r="Q44">
        <v>131.17500000000001</v>
      </c>
      <c r="R44" t="s">
        <v>25</v>
      </c>
      <c r="S44" t="s">
        <v>25</v>
      </c>
    </row>
    <row r="45" spans="1:19" x14ac:dyDescent="0.25">
      <c r="A45">
        <v>6</v>
      </c>
      <c r="B45" t="s">
        <v>18</v>
      </c>
      <c r="C45" t="str">
        <f>HYPERLINK("http://www.ncbi.nlm.nih.gov/protein/XP_035932047.1","XP_035932047.1")</f>
        <v>XP_035932047.1</v>
      </c>
      <c r="D45">
        <v>60330</v>
      </c>
      <c r="E45" t="str">
        <f>HYPERLINK("http://www.ncbi.nlm.nih.gov/Taxonomy/Browser/wwwtax.cgi?mode=Info&amp;id=9711&amp;lvl=3&amp;lin=f&amp;keep=1&amp;srchmode=1&amp;unlock","9711")</f>
        <v>9711</v>
      </c>
      <c r="F45" t="s">
        <v>18</v>
      </c>
      <c r="G45" t="str">
        <f>HYPERLINK("http://www.ncbi.nlm.nih.gov/Taxonomy/Browser/wwwtax.cgi?mode=Info&amp;id=9711&amp;lvl=3&amp;lin=f&amp;keep=1&amp;srchmode=1&amp;unlock","Halichoerus grypus")</f>
        <v>Halichoerus grypus</v>
      </c>
      <c r="H45" t="s">
        <v>68</v>
      </c>
      <c r="I45" t="str">
        <f>HYPERLINK("http://www.ncbi.nlm.nih.gov/protein/XP_035932047.1","fatty acid-binding protein, liver")</f>
        <v>fatty acid-binding protein, liver</v>
      </c>
      <c r="J45" t="s">
        <v>1381</v>
      </c>
      <c r="K45" t="s">
        <v>25</v>
      </c>
      <c r="L45">
        <v>50</v>
      </c>
      <c r="M45" t="s">
        <v>1382</v>
      </c>
      <c r="N45" t="s">
        <v>25</v>
      </c>
      <c r="O45" t="s">
        <v>1355</v>
      </c>
      <c r="P45" t="s">
        <v>25</v>
      </c>
      <c r="Q45">
        <v>131.17500000000001</v>
      </c>
      <c r="R45" t="s">
        <v>25</v>
      </c>
      <c r="S45" t="s">
        <v>25</v>
      </c>
    </row>
    <row r="46" spans="1:19" x14ac:dyDescent="0.25">
      <c r="A46">
        <v>6</v>
      </c>
      <c r="B46" t="s">
        <v>18</v>
      </c>
      <c r="C46" t="str">
        <f>HYPERLINK("http://www.ncbi.nlm.nih.gov/protein/XP_025723410.1","XP_025723410.1")</f>
        <v>XP_025723410.1</v>
      </c>
      <c r="D46">
        <v>46265</v>
      </c>
      <c r="E46" t="str">
        <f>HYPERLINK("http://www.ncbi.nlm.nih.gov/Taxonomy/Browser/wwwtax.cgi?mode=Info&amp;id=34884&amp;lvl=3&amp;lin=f&amp;keep=1&amp;srchmode=1&amp;unlock","34884")</f>
        <v>34884</v>
      </c>
      <c r="F46" t="s">
        <v>18</v>
      </c>
      <c r="G46" t="str">
        <f>HYPERLINK("http://www.ncbi.nlm.nih.gov/Taxonomy/Browser/wwwtax.cgi?mode=Info&amp;id=34884&amp;lvl=3&amp;lin=f&amp;keep=1&amp;srchmode=1&amp;unlock","Callorhinus ursinus")</f>
        <v>Callorhinus ursinus</v>
      </c>
      <c r="H46" t="s">
        <v>59</v>
      </c>
      <c r="I46" t="str">
        <f>HYPERLINK("http://www.ncbi.nlm.nih.gov/protein/XP_025723410.1","fatty acid-binding protein, liver")</f>
        <v>fatty acid-binding protein, liver</v>
      </c>
      <c r="J46" t="s">
        <v>1381</v>
      </c>
      <c r="K46" t="s">
        <v>25</v>
      </c>
      <c r="L46">
        <v>50</v>
      </c>
      <c r="M46" t="s">
        <v>1382</v>
      </c>
      <c r="N46" t="s">
        <v>25</v>
      </c>
      <c r="O46" t="s">
        <v>1355</v>
      </c>
      <c r="P46" t="s">
        <v>25</v>
      </c>
      <c r="Q46">
        <v>131.17500000000001</v>
      </c>
      <c r="R46" t="s">
        <v>25</v>
      </c>
      <c r="S46" t="s">
        <v>25</v>
      </c>
    </row>
    <row r="47" spans="1:19" x14ac:dyDescent="0.25">
      <c r="A47">
        <v>6</v>
      </c>
      <c r="B47" t="s">
        <v>18</v>
      </c>
      <c r="C47" t="str">
        <f>HYPERLINK("http://www.ncbi.nlm.nih.gov/protein/XP_003984285.1","XP_003984285.1")</f>
        <v>XP_003984285.1</v>
      </c>
      <c r="D47">
        <v>57528</v>
      </c>
      <c r="E47" t="str">
        <f>HYPERLINK("http://www.ncbi.nlm.nih.gov/Taxonomy/Browser/wwwtax.cgi?mode=Info&amp;id=9685&amp;lvl=3&amp;lin=f&amp;keep=1&amp;srchmode=1&amp;unlock","9685")</f>
        <v>9685</v>
      </c>
      <c r="F47" t="s">
        <v>18</v>
      </c>
      <c r="G47" t="str">
        <f>HYPERLINK("http://www.ncbi.nlm.nih.gov/Taxonomy/Browser/wwwtax.cgi?mode=Info&amp;id=9685&amp;lvl=3&amp;lin=f&amp;keep=1&amp;srchmode=1&amp;unlock","Felis catus")</f>
        <v>Felis catus</v>
      </c>
      <c r="H47" t="s">
        <v>60</v>
      </c>
      <c r="I47" t="str">
        <f>HYPERLINK("http://www.ncbi.nlm.nih.gov/protein/XP_003984285.1","fatty acid-binding protein, liver")</f>
        <v>fatty acid-binding protein, liver</v>
      </c>
      <c r="J47" t="s">
        <v>1381</v>
      </c>
      <c r="K47" t="s">
        <v>25</v>
      </c>
      <c r="L47">
        <v>50</v>
      </c>
      <c r="M47" t="s">
        <v>1382</v>
      </c>
      <c r="N47" t="s">
        <v>25</v>
      </c>
      <c r="O47" t="s">
        <v>1355</v>
      </c>
      <c r="P47" t="s">
        <v>25</v>
      </c>
      <c r="Q47">
        <v>131.17500000000001</v>
      </c>
      <c r="R47" t="s">
        <v>25</v>
      </c>
      <c r="S47" t="s">
        <v>25</v>
      </c>
    </row>
    <row r="48" spans="1:19" x14ac:dyDescent="0.25">
      <c r="A48">
        <v>6</v>
      </c>
      <c r="B48" t="s">
        <v>18</v>
      </c>
      <c r="C48" t="str">
        <f>HYPERLINK("http://www.ncbi.nlm.nih.gov/protein/XP_027978263.1","XP_027978263.1")</f>
        <v>XP_027978263.1</v>
      </c>
      <c r="D48">
        <v>40115</v>
      </c>
      <c r="E48" t="str">
        <f>HYPERLINK("http://www.ncbi.nlm.nih.gov/Taxonomy/Browser/wwwtax.cgi?mode=Info&amp;id=34886&amp;lvl=3&amp;lin=f&amp;keep=1&amp;srchmode=1&amp;unlock","34886")</f>
        <v>34886</v>
      </c>
      <c r="F48" t="s">
        <v>18</v>
      </c>
      <c r="G48" t="str">
        <f>HYPERLINK("http://www.ncbi.nlm.nih.gov/Taxonomy/Browser/wwwtax.cgi?mode=Info&amp;id=34886&amp;lvl=3&amp;lin=f&amp;keep=1&amp;srchmode=1&amp;unlock","Eumetopias jubatus")</f>
        <v>Eumetopias jubatus</v>
      </c>
      <c r="H48" t="s">
        <v>61</v>
      </c>
      <c r="I48" t="str">
        <f>HYPERLINK("http://www.ncbi.nlm.nih.gov/protein/XP_027978263.1","fatty acid-binding protein, liver")</f>
        <v>fatty acid-binding protein, liver</v>
      </c>
      <c r="J48" t="s">
        <v>1381</v>
      </c>
      <c r="K48" t="s">
        <v>25</v>
      </c>
      <c r="L48">
        <v>50</v>
      </c>
      <c r="M48" t="s">
        <v>1382</v>
      </c>
      <c r="N48" t="s">
        <v>25</v>
      </c>
      <c r="O48" t="s">
        <v>1355</v>
      </c>
      <c r="P48" t="s">
        <v>25</v>
      </c>
      <c r="Q48">
        <v>131.17500000000001</v>
      </c>
      <c r="R48" t="s">
        <v>25</v>
      </c>
      <c r="S48" t="s">
        <v>25</v>
      </c>
    </row>
    <row r="49" spans="1:19" x14ac:dyDescent="0.25">
      <c r="A49">
        <v>6</v>
      </c>
      <c r="B49" t="s">
        <v>18</v>
      </c>
      <c r="C49" t="str">
        <f>HYPERLINK("http://www.ncbi.nlm.nih.gov/protein/XP_008069922.1","XP_008069922.1")</f>
        <v>XP_008069922.1</v>
      </c>
      <c r="D49">
        <v>33266</v>
      </c>
      <c r="E49" t="str">
        <f>HYPERLINK("http://www.ncbi.nlm.nih.gov/Taxonomy/Browser/wwwtax.cgi?mode=Info&amp;id=1868482&amp;lvl=3&amp;lin=f&amp;keep=1&amp;srchmode=1&amp;unlock","1868482")</f>
        <v>1868482</v>
      </c>
      <c r="F49" t="s">
        <v>18</v>
      </c>
      <c r="G49" t="str">
        <f>HYPERLINK("http://www.ncbi.nlm.nih.gov/Taxonomy/Browser/wwwtax.cgi?mode=Info&amp;id=1868482&amp;lvl=3&amp;lin=f&amp;keep=1&amp;srchmode=1&amp;unlock","Carlito syrichta")</f>
        <v>Carlito syrichta</v>
      </c>
      <c r="H49" t="s">
        <v>69</v>
      </c>
      <c r="I49" t="str">
        <f>HYPERLINK("http://www.ncbi.nlm.nih.gov/protein/XP_008069922.1","fatty acid-binding protein, liver")</f>
        <v>fatty acid-binding protein, liver</v>
      </c>
      <c r="J49" t="s">
        <v>1381</v>
      </c>
      <c r="K49" t="s">
        <v>25</v>
      </c>
      <c r="L49">
        <v>50</v>
      </c>
      <c r="M49" t="s">
        <v>1382</v>
      </c>
      <c r="N49" t="s">
        <v>25</v>
      </c>
      <c r="O49" t="s">
        <v>1355</v>
      </c>
      <c r="P49" t="s">
        <v>25</v>
      </c>
      <c r="Q49">
        <v>131.17500000000001</v>
      </c>
      <c r="R49" t="s">
        <v>25</v>
      </c>
      <c r="S49" t="s">
        <v>25</v>
      </c>
    </row>
    <row r="50" spans="1:19" x14ac:dyDescent="0.25">
      <c r="A50">
        <v>6</v>
      </c>
      <c r="B50" t="s">
        <v>18</v>
      </c>
      <c r="C50" t="str">
        <f>HYPERLINK("http://www.ncbi.nlm.nih.gov/protein/XP_006168422.1","XP_006168422.1")</f>
        <v>XP_006168422.1</v>
      </c>
      <c r="D50">
        <v>59503</v>
      </c>
      <c r="E50" t="str">
        <f>HYPERLINK("http://www.ncbi.nlm.nih.gov/Taxonomy/Browser/wwwtax.cgi?mode=Info&amp;id=246437&amp;lvl=3&amp;lin=f&amp;keep=1&amp;srchmode=1&amp;unlock","246437")</f>
        <v>246437</v>
      </c>
      <c r="F50" t="s">
        <v>18</v>
      </c>
      <c r="G50" t="str">
        <f>HYPERLINK("http://www.ncbi.nlm.nih.gov/Taxonomy/Browser/wwwtax.cgi?mode=Info&amp;id=246437&amp;lvl=3&amp;lin=f&amp;keep=1&amp;srchmode=1&amp;unlock","Tupaia chinensis")</f>
        <v>Tupaia chinensis</v>
      </c>
      <c r="H50" t="s">
        <v>70</v>
      </c>
      <c r="I50" t="str">
        <f>HYPERLINK("http://www.ncbi.nlm.nih.gov/protein/XP_006168422.1","fatty acid-binding protein, liver")</f>
        <v>fatty acid-binding protein, liver</v>
      </c>
      <c r="J50" t="s">
        <v>1381</v>
      </c>
      <c r="K50" t="s">
        <v>25</v>
      </c>
      <c r="L50">
        <v>50</v>
      </c>
      <c r="M50" t="s">
        <v>1382</v>
      </c>
      <c r="N50" t="s">
        <v>25</v>
      </c>
      <c r="O50" t="s">
        <v>1355</v>
      </c>
      <c r="P50" t="s">
        <v>25</v>
      </c>
      <c r="Q50">
        <v>131.17500000000001</v>
      </c>
      <c r="R50" t="s">
        <v>25</v>
      </c>
      <c r="S50" t="s">
        <v>25</v>
      </c>
    </row>
    <row r="51" spans="1:19" x14ac:dyDescent="0.25">
      <c r="A51">
        <v>6</v>
      </c>
      <c r="B51" t="s">
        <v>18</v>
      </c>
      <c r="C51" t="str">
        <f>HYPERLINK("http://www.ncbi.nlm.nih.gov/protein/XP_022360267.1","XP_022360267.1")</f>
        <v>XP_022360267.1</v>
      </c>
      <c r="D51">
        <v>36593</v>
      </c>
      <c r="E51" t="str">
        <f>HYPERLINK("http://www.ncbi.nlm.nih.gov/Taxonomy/Browser/wwwtax.cgi?mode=Info&amp;id=391180&amp;lvl=3&amp;lin=f&amp;keep=1&amp;srchmode=1&amp;unlock","391180")</f>
        <v>391180</v>
      </c>
      <c r="F51" t="s">
        <v>18</v>
      </c>
      <c r="G51" t="str">
        <f>HYPERLINK("http://www.ncbi.nlm.nih.gov/Taxonomy/Browser/wwwtax.cgi?mode=Info&amp;id=391180&amp;lvl=3&amp;lin=f&amp;keep=1&amp;srchmode=1&amp;unlock","Enhydra lutris kenyoni")</f>
        <v>Enhydra lutris kenyoni</v>
      </c>
      <c r="H51" t="s">
        <v>71</v>
      </c>
      <c r="I51" t="str">
        <f>HYPERLINK("http://www.ncbi.nlm.nih.gov/protein/XP_022360267.1","fatty acid-binding protein, liver")</f>
        <v>fatty acid-binding protein, liver</v>
      </c>
      <c r="J51" t="s">
        <v>1381</v>
      </c>
      <c r="K51" t="s">
        <v>25</v>
      </c>
      <c r="L51">
        <v>50</v>
      </c>
      <c r="M51" t="s">
        <v>1382</v>
      </c>
      <c r="N51" t="s">
        <v>25</v>
      </c>
      <c r="O51" t="s">
        <v>1355</v>
      </c>
      <c r="P51" t="s">
        <v>25</v>
      </c>
      <c r="Q51">
        <v>131.17500000000001</v>
      </c>
      <c r="R51" t="s">
        <v>25</v>
      </c>
      <c r="S51" t="s">
        <v>25</v>
      </c>
    </row>
    <row r="52" spans="1:19" x14ac:dyDescent="0.25">
      <c r="A52">
        <v>6</v>
      </c>
      <c r="B52" t="s">
        <v>18</v>
      </c>
      <c r="C52" t="str">
        <f>HYPERLINK("http://www.ncbi.nlm.nih.gov/protein/VFV46488.1","VFV46488.1")</f>
        <v>VFV46488.1</v>
      </c>
      <c r="D52">
        <v>31243</v>
      </c>
      <c r="E52" t="str">
        <f>HYPERLINK("http://www.ncbi.nlm.nih.gov/Taxonomy/Browser/wwwtax.cgi?mode=Info&amp;id=191816&amp;lvl=3&amp;lin=f&amp;keep=1&amp;srchmode=1&amp;unlock","191816")</f>
        <v>191816</v>
      </c>
      <c r="F52" t="s">
        <v>18</v>
      </c>
      <c r="G52" t="str">
        <f>HYPERLINK("http://www.ncbi.nlm.nih.gov/Taxonomy/Browser/wwwtax.cgi?mode=Info&amp;id=191816&amp;lvl=3&amp;lin=f&amp;keep=1&amp;srchmode=1&amp;unlock","Lynx pardinus")</f>
        <v>Lynx pardinus</v>
      </c>
      <c r="H52" t="s">
        <v>72</v>
      </c>
      <c r="I52" t="str">
        <f>HYPERLINK("http://www.ncbi.nlm.nih.gov/protein/VFV46488.1","fatty acid-binding liver")</f>
        <v>fatty acid-binding liver</v>
      </c>
      <c r="J52" t="s">
        <v>1381</v>
      </c>
      <c r="K52" t="s">
        <v>25</v>
      </c>
      <c r="L52">
        <v>50</v>
      </c>
      <c r="M52" t="s">
        <v>1382</v>
      </c>
      <c r="N52" t="s">
        <v>25</v>
      </c>
      <c r="O52" t="s">
        <v>1355</v>
      </c>
      <c r="P52" t="s">
        <v>25</v>
      </c>
      <c r="Q52">
        <v>131.17500000000001</v>
      </c>
      <c r="R52" t="s">
        <v>25</v>
      </c>
      <c r="S52" t="s">
        <v>25</v>
      </c>
    </row>
    <row r="53" spans="1:19" x14ac:dyDescent="0.25">
      <c r="A53">
        <v>6</v>
      </c>
      <c r="B53" t="s">
        <v>18</v>
      </c>
      <c r="C53" t="str">
        <f>HYPERLINK("http://www.ncbi.nlm.nih.gov/protein/XP_003942565.1","XP_003942565.1")</f>
        <v>XP_003942565.1</v>
      </c>
      <c r="D53">
        <v>45635</v>
      </c>
      <c r="E53" t="str">
        <f>HYPERLINK("http://www.ncbi.nlm.nih.gov/Taxonomy/Browser/wwwtax.cgi?mode=Info&amp;id=39432&amp;lvl=3&amp;lin=f&amp;keep=1&amp;srchmode=1&amp;unlock","39432")</f>
        <v>39432</v>
      </c>
      <c r="F53" t="s">
        <v>18</v>
      </c>
      <c r="G53" t="str">
        <f>HYPERLINK("http://www.ncbi.nlm.nih.gov/Taxonomy/Browser/wwwtax.cgi?mode=Info&amp;id=39432&amp;lvl=3&amp;lin=f&amp;keep=1&amp;srchmode=1&amp;unlock","Saimiri boliviensis boliviensis")</f>
        <v>Saimiri boliviensis boliviensis</v>
      </c>
      <c r="H53" t="s">
        <v>73</v>
      </c>
      <c r="I53" t="str">
        <f>HYPERLINK("http://www.ncbi.nlm.nih.gov/protein/XP_003942565.1","fatty acid-binding protein, liver")</f>
        <v>fatty acid-binding protein, liver</v>
      </c>
      <c r="J53" t="s">
        <v>1381</v>
      </c>
      <c r="K53" t="s">
        <v>25</v>
      </c>
      <c r="L53">
        <v>50</v>
      </c>
      <c r="M53" t="s">
        <v>1382</v>
      </c>
      <c r="N53" t="s">
        <v>25</v>
      </c>
      <c r="O53" t="s">
        <v>1355</v>
      </c>
      <c r="P53" t="s">
        <v>25</v>
      </c>
      <c r="Q53">
        <v>131.17500000000001</v>
      </c>
      <c r="R53" t="s">
        <v>25</v>
      </c>
      <c r="S53" t="s">
        <v>25</v>
      </c>
    </row>
    <row r="54" spans="1:19" x14ac:dyDescent="0.25">
      <c r="A54">
        <v>6</v>
      </c>
      <c r="B54" t="s">
        <v>18</v>
      </c>
      <c r="C54" t="str">
        <f>HYPERLINK("http://www.ncbi.nlm.nih.gov/protein/XP_007082383.1","XP_007082383.1")</f>
        <v>XP_007082383.1</v>
      </c>
      <c r="D54">
        <v>29960</v>
      </c>
      <c r="E54" t="str">
        <f>HYPERLINK("http://www.ncbi.nlm.nih.gov/Taxonomy/Browser/wwwtax.cgi?mode=Info&amp;id=74533&amp;lvl=3&amp;lin=f&amp;keep=1&amp;srchmode=1&amp;unlock","74533")</f>
        <v>74533</v>
      </c>
      <c r="F54" t="s">
        <v>18</v>
      </c>
      <c r="G54" t="str">
        <f>HYPERLINK("http://www.ncbi.nlm.nih.gov/Taxonomy/Browser/wwwtax.cgi?mode=Info&amp;id=74533&amp;lvl=3&amp;lin=f&amp;keep=1&amp;srchmode=1&amp;unlock","Panthera tigris altaica")</f>
        <v>Panthera tigris altaica</v>
      </c>
      <c r="H54" t="s">
        <v>74</v>
      </c>
      <c r="I54" t="str">
        <f>HYPERLINK("http://www.ncbi.nlm.nih.gov/protein/XP_007082383.1","PREDICTED: fatty acid-binding protein, liver")</f>
        <v>PREDICTED: fatty acid-binding protein, liver</v>
      </c>
      <c r="J54" t="s">
        <v>1381</v>
      </c>
      <c r="K54" t="s">
        <v>25</v>
      </c>
      <c r="L54">
        <v>50</v>
      </c>
      <c r="M54" t="s">
        <v>1382</v>
      </c>
      <c r="N54" t="s">
        <v>25</v>
      </c>
      <c r="O54" t="s">
        <v>1355</v>
      </c>
      <c r="P54" t="s">
        <v>25</v>
      </c>
      <c r="Q54">
        <v>131.17500000000001</v>
      </c>
      <c r="R54" t="s">
        <v>25</v>
      </c>
      <c r="S54" t="s">
        <v>25</v>
      </c>
    </row>
    <row r="55" spans="1:19" x14ac:dyDescent="0.25">
      <c r="A55">
        <v>6</v>
      </c>
      <c r="B55" t="s">
        <v>18</v>
      </c>
      <c r="C55" t="str">
        <f>HYPERLINK("http://www.ncbi.nlm.nih.gov/protein/XP_019299758.1","XP_019299758.1")</f>
        <v>XP_019299758.1</v>
      </c>
      <c r="D55">
        <v>58570</v>
      </c>
      <c r="E55" t="str">
        <f>HYPERLINK("http://www.ncbi.nlm.nih.gov/Taxonomy/Browser/wwwtax.cgi?mode=Info&amp;id=9691&amp;lvl=3&amp;lin=f&amp;keep=1&amp;srchmode=1&amp;unlock","9691")</f>
        <v>9691</v>
      </c>
      <c r="F55" t="s">
        <v>18</v>
      </c>
      <c r="G55" t="str">
        <f>HYPERLINK("http://www.ncbi.nlm.nih.gov/Taxonomy/Browser/wwwtax.cgi?mode=Info&amp;id=9691&amp;lvl=3&amp;lin=f&amp;keep=1&amp;srchmode=1&amp;unlock","Panthera pardus")</f>
        <v>Panthera pardus</v>
      </c>
      <c r="H55" t="s">
        <v>75</v>
      </c>
      <c r="I55" t="str">
        <f>HYPERLINK("http://www.ncbi.nlm.nih.gov/protein/XP_019299758.1","PREDICTED: fatty acid-binding protein, liver")</f>
        <v>PREDICTED: fatty acid-binding protein, liver</v>
      </c>
      <c r="J55" t="s">
        <v>1381</v>
      </c>
      <c r="K55" t="s">
        <v>25</v>
      </c>
      <c r="L55">
        <v>50</v>
      </c>
      <c r="M55" t="s">
        <v>1382</v>
      </c>
      <c r="N55" t="s">
        <v>25</v>
      </c>
      <c r="O55" t="s">
        <v>1355</v>
      </c>
      <c r="P55" t="s">
        <v>25</v>
      </c>
      <c r="Q55">
        <v>131.17500000000001</v>
      </c>
      <c r="R55" t="s">
        <v>25</v>
      </c>
      <c r="S55" t="s">
        <v>25</v>
      </c>
    </row>
    <row r="56" spans="1:19" x14ac:dyDescent="0.25">
      <c r="A56">
        <v>6</v>
      </c>
      <c r="B56" t="s">
        <v>18</v>
      </c>
      <c r="C56" t="str">
        <f>HYPERLINK("http://www.ncbi.nlm.nih.gov/protein/XP_016057263.1","XP_016057263.1")</f>
        <v>XP_016057263.1</v>
      </c>
      <c r="D56">
        <v>29863</v>
      </c>
      <c r="E56" t="str">
        <f>HYPERLINK("http://www.ncbi.nlm.nih.gov/Taxonomy/Browser/wwwtax.cgi?mode=Info&amp;id=291302&amp;lvl=3&amp;lin=f&amp;keep=1&amp;srchmode=1&amp;unlock","291302")</f>
        <v>291302</v>
      </c>
      <c r="F56" t="s">
        <v>18</v>
      </c>
      <c r="G56" t="str">
        <f>HYPERLINK("http://www.ncbi.nlm.nih.gov/Taxonomy/Browser/wwwtax.cgi?mode=Info&amp;id=291302&amp;lvl=3&amp;lin=f&amp;keep=1&amp;srchmode=1&amp;unlock","Miniopterus natalensis")</f>
        <v>Miniopterus natalensis</v>
      </c>
      <c r="H56" t="s">
        <v>77</v>
      </c>
      <c r="I56" t="str">
        <f>HYPERLINK("http://www.ncbi.nlm.nih.gov/protein/XP_016057263.1","PREDICTED: fatty acid-binding protein, liver")</f>
        <v>PREDICTED: fatty acid-binding protein, liver</v>
      </c>
      <c r="J56" t="s">
        <v>1381</v>
      </c>
      <c r="K56" t="s">
        <v>25</v>
      </c>
      <c r="L56">
        <v>50</v>
      </c>
      <c r="M56" t="s">
        <v>1382</v>
      </c>
      <c r="N56" t="s">
        <v>25</v>
      </c>
      <c r="O56" t="s">
        <v>1355</v>
      </c>
      <c r="P56" t="s">
        <v>25</v>
      </c>
      <c r="Q56">
        <v>131.17500000000001</v>
      </c>
      <c r="R56" t="s">
        <v>25</v>
      </c>
      <c r="S56" t="s">
        <v>25</v>
      </c>
    </row>
    <row r="57" spans="1:19" x14ac:dyDescent="0.25">
      <c r="A57">
        <v>6</v>
      </c>
      <c r="B57" t="s">
        <v>18</v>
      </c>
      <c r="C57" t="str">
        <f>HYPERLINK("http://www.ncbi.nlm.nih.gov/protein/XP_005338488.1","XP_005338488.1")</f>
        <v>XP_005338488.1</v>
      </c>
      <c r="D57">
        <v>94507</v>
      </c>
      <c r="E57" t="str">
        <f>HYPERLINK("http://www.ncbi.nlm.nih.gov/Taxonomy/Browser/wwwtax.cgi?mode=Info&amp;id=43179&amp;lvl=3&amp;lin=f&amp;keep=1&amp;srchmode=1&amp;unlock","43179")</f>
        <v>43179</v>
      </c>
      <c r="F57" t="s">
        <v>18</v>
      </c>
      <c r="G57" t="str">
        <f>HYPERLINK("http://www.ncbi.nlm.nih.gov/Taxonomy/Browser/wwwtax.cgi?mode=Info&amp;id=43179&amp;lvl=3&amp;lin=f&amp;keep=1&amp;srchmode=1&amp;unlock","Ictidomys tridecemlineatus")</f>
        <v>Ictidomys tridecemlineatus</v>
      </c>
      <c r="H57" t="s">
        <v>78</v>
      </c>
      <c r="I57" t="str">
        <f>HYPERLINK("http://www.ncbi.nlm.nih.gov/protein/XP_005338488.1","fatty acid-binding protein, liver")</f>
        <v>fatty acid-binding protein, liver</v>
      </c>
      <c r="J57" t="s">
        <v>1381</v>
      </c>
      <c r="K57" t="s">
        <v>25</v>
      </c>
      <c r="L57">
        <v>50</v>
      </c>
      <c r="M57" t="s">
        <v>1382</v>
      </c>
      <c r="N57" t="s">
        <v>25</v>
      </c>
      <c r="O57" t="s">
        <v>1355</v>
      </c>
      <c r="P57" t="s">
        <v>25</v>
      </c>
      <c r="Q57">
        <v>131.17500000000001</v>
      </c>
      <c r="R57" t="s">
        <v>25</v>
      </c>
      <c r="S57" t="s">
        <v>25</v>
      </c>
    </row>
    <row r="58" spans="1:19" x14ac:dyDescent="0.25">
      <c r="A58">
        <v>6</v>
      </c>
      <c r="B58" t="s">
        <v>18</v>
      </c>
      <c r="C58" t="str">
        <f>HYPERLINK("http://www.ncbi.nlm.nih.gov/protein/XP_027804721.2","XP_027804721.2")</f>
        <v>XP_027804721.2</v>
      </c>
      <c r="D58">
        <v>37737</v>
      </c>
      <c r="E58" t="str">
        <f>HYPERLINK("http://www.ncbi.nlm.nih.gov/Taxonomy/Browser/wwwtax.cgi?mode=Info&amp;id=93162&amp;lvl=3&amp;lin=f&amp;keep=1&amp;srchmode=1&amp;unlock","93162")</f>
        <v>93162</v>
      </c>
      <c r="F58" t="s">
        <v>18</v>
      </c>
      <c r="G58" t="str">
        <f>HYPERLINK("http://www.ncbi.nlm.nih.gov/Taxonomy/Browser/wwwtax.cgi?mode=Info&amp;id=93162&amp;lvl=3&amp;lin=f&amp;keep=1&amp;srchmode=1&amp;unlock","Marmota flaviventris")</f>
        <v>Marmota flaviventris</v>
      </c>
      <c r="H58" t="s">
        <v>76</v>
      </c>
      <c r="I58" t="str">
        <f>HYPERLINK("http://www.ncbi.nlm.nih.gov/protein/XP_027804721.2","fatty acid-binding protein, liver")</f>
        <v>fatty acid-binding protein, liver</v>
      </c>
      <c r="J58" t="s">
        <v>1381</v>
      </c>
      <c r="K58" t="s">
        <v>25</v>
      </c>
      <c r="L58">
        <v>61</v>
      </c>
      <c r="M58" t="s">
        <v>1382</v>
      </c>
      <c r="N58" t="s">
        <v>25</v>
      </c>
      <c r="O58" t="s">
        <v>1355</v>
      </c>
      <c r="P58" t="s">
        <v>25</v>
      </c>
      <c r="Q58">
        <v>131.17500000000001</v>
      </c>
      <c r="R58" t="s">
        <v>25</v>
      </c>
      <c r="S58" t="s">
        <v>25</v>
      </c>
    </row>
    <row r="59" spans="1:19" x14ac:dyDescent="0.25">
      <c r="A59">
        <v>6</v>
      </c>
      <c r="B59" t="s">
        <v>18</v>
      </c>
      <c r="C59" t="str">
        <f>HYPERLINK("http://www.ncbi.nlm.nih.gov/protein/XP_015361843.1","XP_015361843.1")</f>
        <v>XP_015361843.1</v>
      </c>
      <c r="D59">
        <v>31077</v>
      </c>
      <c r="E59" t="str">
        <f>HYPERLINK("http://www.ncbi.nlm.nih.gov/Taxonomy/Browser/wwwtax.cgi?mode=Info&amp;id=9994&amp;lvl=3&amp;lin=f&amp;keep=1&amp;srchmode=1&amp;unlock","9994")</f>
        <v>9994</v>
      </c>
      <c r="F59" t="s">
        <v>18</v>
      </c>
      <c r="G59" t="str">
        <f>HYPERLINK("http://www.ncbi.nlm.nih.gov/Taxonomy/Browser/wwwtax.cgi?mode=Info&amp;id=9994&amp;lvl=3&amp;lin=f&amp;keep=1&amp;srchmode=1&amp;unlock","Marmota marmota marmota")</f>
        <v>Marmota marmota marmota</v>
      </c>
      <c r="H59" t="s">
        <v>81</v>
      </c>
      <c r="I59" t="str">
        <f>HYPERLINK("http://www.ncbi.nlm.nih.gov/protein/XP_015361843.1","PREDICTED: fatty acid-binding protein, liver")</f>
        <v>PREDICTED: fatty acid-binding protein, liver</v>
      </c>
      <c r="J59" t="s">
        <v>1381</v>
      </c>
      <c r="K59" t="s">
        <v>25</v>
      </c>
      <c r="L59">
        <v>50</v>
      </c>
      <c r="M59" t="s">
        <v>1382</v>
      </c>
      <c r="N59" t="s">
        <v>25</v>
      </c>
      <c r="O59" t="s">
        <v>1355</v>
      </c>
      <c r="P59" t="s">
        <v>25</v>
      </c>
      <c r="Q59">
        <v>131.17500000000001</v>
      </c>
      <c r="R59" t="s">
        <v>25</v>
      </c>
      <c r="S59" t="s">
        <v>25</v>
      </c>
    </row>
    <row r="60" spans="1:19" x14ac:dyDescent="0.25">
      <c r="A60">
        <v>6</v>
      </c>
      <c r="B60" t="s">
        <v>18</v>
      </c>
      <c r="C60" t="str">
        <f>HYPERLINK("http://www.ncbi.nlm.nih.gov/protein/XP_019488527.1","XP_019488527.1")</f>
        <v>XP_019488527.1</v>
      </c>
      <c r="D60">
        <v>46132</v>
      </c>
      <c r="E60" t="str">
        <f>HYPERLINK("http://www.ncbi.nlm.nih.gov/Taxonomy/Browser/wwwtax.cgi?mode=Info&amp;id=186990&amp;lvl=3&amp;lin=f&amp;keep=1&amp;srchmode=1&amp;unlock","186990")</f>
        <v>186990</v>
      </c>
      <c r="F60" t="s">
        <v>18</v>
      </c>
      <c r="G60" t="str">
        <f>HYPERLINK("http://www.ncbi.nlm.nih.gov/Taxonomy/Browser/wwwtax.cgi?mode=Info&amp;id=186990&amp;lvl=3&amp;lin=f&amp;keep=1&amp;srchmode=1&amp;unlock","Hipposideros armiger")</f>
        <v>Hipposideros armiger</v>
      </c>
      <c r="H60" t="s">
        <v>82</v>
      </c>
      <c r="I60" t="str">
        <f>HYPERLINK("http://www.ncbi.nlm.nih.gov/protein/XP_019488527.1","PREDICTED: fatty acid-binding protein, liver")</f>
        <v>PREDICTED: fatty acid-binding protein, liver</v>
      </c>
      <c r="J60" t="s">
        <v>1381</v>
      </c>
      <c r="K60" t="s">
        <v>25</v>
      </c>
      <c r="L60">
        <v>50</v>
      </c>
      <c r="M60" t="s">
        <v>1382</v>
      </c>
      <c r="N60" t="s">
        <v>25</v>
      </c>
      <c r="O60" t="s">
        <v>1355</v>
      </c>
      <c r="P60" t="s">
        <v>25</v>
      </c>
      <c r="Q60">
        <v>131.17500000000001</v>
      </c>
      <c r="R60" t="s">
        <v>25</v>
      </c>
      <c r="S60" t="s">
        <v>25</v>
      </c>
    </row>
    <row r="61" spans="1:19" x14ac:dyDescent="0.25">
      <c r="A61">
        <v>6</v>
      </c>
      <c r="B61" t="s">
        <v>18</v>
      </c>
      <c r="C61" t="str">
        <f>HYPERLINK("http://www.ncbi.nlm.nih.gov/protein/XP_008978612.1","XP_008978612.1")</f>
        <v>XP_008978612.1</v>
      </c>
      <c r="D61">
        <v>87648</v>
      </c>
      <c r="E61" t="str">
        <f>HYPERLINK("http://www.ncbi.nlm.nih.gov/Taxonomy/Browser/wwwtax.cgi?mode=Info&amp;id=9483&amp;lvl=3&amp;lin=f&amp;keep=1&amp;srchmode=1&amp;unlock","9483")</f>
        <v>9483</v>
      </c>
      <c r="F61" t="s">
        <v>18</v>
      </c>
      <c r="G61" t="str">
        <f>HYPERLINK("http://www.ncbi.nlm.nih.gov/Taxonomy/Browser/wwwtax.cgi?mode=Info&amp;id=9483&amp;lvl=3&amp;lin=f&amp;keep=1&amp;srchmode=1&amp;unlock","Callithrix jacchus")</f>
        <v>Callithrix jacchus</v>
      </c>
      <c r="H61" t="s">
        <v>79</v>
      </c>
      <c r="I61" t="str">
        <f>HYPERLINK("http://www.ncbi.nlm.nih.gov/protein/XP_008978612.1","fatty acid-binding protein, liver")</f>
        <v>fatty acid-binding protein, liver</v>
      </c>
      <c r="J61" t="s">
        <v>1381</v>
      </c>
      <c r="K61" t="s">
        <v>25</v>
      </c>
      <c r="L61">
        <v>50</v>
      </c>
      <c r="M61" t="s">
        <v>1382</v>
      </c>
      <c r="N61" t="s">
        <v>25</v>
      </c>
      <c r="O61" t="s">
        <v>1355</v>
      </c>
      <c r="P61" t="s">
        <v>25</v>
      </c>
      <c r="Q61">
        <v>131.17500000000001</v>
      </c>
      <c r="R61" t="s">
        <v>25</v>
      </c>
      <c r="S61" t="s">
        <v>25</v>
      </c>
    </row>
    <row r="62" spans="1:19" x14ac:dyDescent="0.25">
      <c r="A62">
        <v>6</v>
      </c>
      <c r="B62" t="s">
        <v>18</v>
      </c>
      <c r="C62" t="str">
        <f>HYPERLINK("http://www.ncbi.nlm.nih.gov/protein/KAF7463725.1","KAF7463725.1")</f>
        <v>KAF7463725.1</v>
      </c>
      <c r="D62">
        <v>69383</v>
      </c>
      <c r="E62" t="str">
        <f>HYPERLINK("http://www.ncbi.nlm.nih.gov/Taxonomy/Browser/wwwtax.cgi?mode=Info&amp;id=9995&amp;lvl=3&amp;lin=f&amp;keep=1&amp;srchmode=1&amp;unlock","9995")</f>
        <v>9995</v>
      </c>
      <c r="F62" t="s">
        <v>18</v>
      </c>
      <c r="G62" t="str">
        <f>HYPERLINK("http://www.ncbi.nlm.nih.gov/Taxonomy/Browser/wwwtax.cgi?mode=Info&amp;id=9995&amp;lvl=3&amp;lin=f&amp;keep=1&amp;srchmode=1&amp;unlock","Marmota monax")</f>
        <v>Marmota monax</v>
      </c>
      <c r="H62" t="s">
        <v>80</v>
      </c>
      <c r="I62" t="str">
        <f>HYPERLINK("http://www.ncbi.nlm.nih.gov/protein/KAF7463725.1","fatty acid-binding protein liver")</f>
        <v>fatty acid-binding protein liver</v>
      </c>
      <c r="J62" t="s">
        <v>1381</v>
      </c>
      <c r="K62" t="s">
        <v>25</v>
      </c>
      <c r="L62">
        <v>50</v>
      </c>
      <c r="M62" t="s">
        <v>1382</v>
      </c>
      <c r="N62" t="s">
        <v>25</v>
      </c>
      <c r="O62" t="s">
        <v>1355</v>
      </c>
      <c r="P62" t="s">
        <v>25</v>
      </c>
      <c r="Q62">
        <v>131.17500000000001</v>
      </c>
      <c r="R62" t="s">
        <v>25</v>
      </c>
      <c r="S62" t="s">
        <v>25</v>
      </c>
    </row>
    <row r="63" spans="1:19" x14ac:dyDescent="0.25">
      <c r="A63">
        <v>6</v>
      </c>
      <c r="B63" t="s">
        <v>18</v>
      </c>
      <c r="C63" t="str">
        <f>HYPERLINK("http://www.ncbi.nlm.nih.gov/protein/XP_004414263.1","XP_004414263.1")</f>
        <v>XP_004414263.1</v>
      </c>
      <c r="D63">
        <v>31383</v>
      </c>
      <c r="E63" t="str">
        <f>HYPERLINK("http://www.ncbi.nlm.nih.gov/Taxonomy/Browser/wwwtax.cgi?mode=Info&amp;id=9708&amp;lvl=3&amp;lin=f&amp;keep=1&amp;srchmode=1&amp;unlock","9708")</f>
        <v>9708</v>
      </c>
      <c r="F63" t="s">
        <v>18</v>
      </c>
      <c r="G63" t="str">
        <f>HYPERLINK("http://www.ncbi.nlm.nih.gov/Taxonomy/Browser/wwwtax.cgi?mode=Info&amp;id=9708&amp;lvl=3&amp;lin=f&amp;keep=1&amp;srchmode=1&amp;unlock","Odobenus rosmarus divergens")</f>
        <v>Odobenus rosmarus divergens</v>
      </c>
      <c r="H63" t="s">
        <v>83</v>
      </c>
      <c r="I63" t="str">
        <f>HYPERLINK("http://www.ncbi.nlm.nih.gov/protein/XP_004414263.1","PREDICTED: fatty acid-binding protein, liver")</f>
        <v>PREDICTED: fatty acid-binding protein, liver</v>
      </c>
      <c r="J63" t="s">
        <v>1381</v>
      </c>
      <c r="K63" t="s">
        <v>25</v>
      </c>
      <c r="L63">
        <v>50</v>
      </c>
      <c r="M63" t="s">
        <v>1382</v>
      </c>
      <c r="N63" t="s">
        <v>25</v>
      </c>
      <c r="O63" t="s">
        <v>1355</v>
      </c>
      <c r="P63" t="s">
        <v>25</v>
      </c>
      <c r="Q63">
        <v>131.17500000000001</v>
      </c>
      <c r="R63" t="s">
        <v>25</v>
      </c>
      <c r="S63" t="s">
        <v>25</v>
      </c>
    </row>
    <row r="64" spans="1:19" x14ac:dyDescent="0.25">
      <c r="A64">
        <v>6</v>
      </c>
      <c r="B64" t="s">
        <v>18</v>
      </c>
      <c r="C64" t="str">
        <f>HYPERLINK("http://www.ncbi.nlm.nih.gov/protein/XP_026265265.1","XP_026265265.1")</f>
        <v>XP_026265265.1</v>
      </c>
      <c r="D64">
        <v>36494</v>
      </c>
      <c r="E64" t="str">
        <f>HYPERLINK("http://www.ncbi.nlm.nih.gov/Taxonomy/Browser/wwwtax.cgi?mode=Info&amp;id=9999&amp;lvl=3&amp;lin=f&amp;keep=1&amp;srchmode=1&amp;unlock","9999")</f>
        <v>9999</v>
      </c>
      <c r="F64" t="s">
        <v>18</v>
      </c>
      <c r="G64" t="str">
        <f>HYPERLINK("http://www.ncbi.nlm.nih.gov/Taxonomy/Browser/wwwtax.cgi?mode=Info&amp;id=9999&amp;lvl=3&amp;lin=f&amp;keep=1&amp;srchmode=1&amp;unlock","Urocitellus parryii")</f>
        <v>Urocitellus parryii</v>
      </c>
      <c r="H64" t="s">
        <v>84</v>
      </c>
      <c r="I64" t="str">
        <f>HYPERLINK("http://www.ncbi.nlm.nih.gov/protein/XP_026265265.1","fatty acid-binding protein, liver")</f>
        <v>fatty acid-binding protein, liver</v>
      </c>
      <c r="J64" t="s">
        <v>1381</v>
      </c>
      <c r="K64" t="s">
        <v>25</v>
      </c>
      <c r="L64">
        <v>50</v>
      </c>
      <c r="M64" t="s">
        <v>1382</v>
      </c>
      <c r="N64" t="s">
        <v>25</v>
      </c>
      <c r="O64" t="s">
        <v>1355</v>
      </c>
      <c r="P64" t="s">
        <v>25</v>
      </c>
      <c r="Q64">
        <v>131.17500000000001</v>
      </c>
      <c r="R64" t="s">
        <v>25</v>
      </c>
      <c r="S64" t="s">
        <v>25</v>
      </c>
    </row>
    <row r="65" spans="1:19" x14ac:dyDescent="0.25">
      <c r="A65">
        <v>6</v>
      </c>
      <c r="B65" t="s">
        <v>18</v>
      </c>
      <c r="C65" t="str">
        <f>HYPERLINK("http://www.ncbi.nlm.nih.gov/protein/XP_032099526.1","XP_032099526.1")</f>
        <v>XP_032099526.1</v>
      </c>
      <c r="D65">
        <v>62477</v>
      </c>
      <c r="E65" t="str">
        <f>HYPERLINK("http://www.ncbi.nlm.nih.gov/Taxonomy/Browser/wwwtax.cgi?mode=Info&amp;id=9515&amp;lvl=3&amp;lin=f&amp;keep=1&amp;srchmode=1&amp;unlock","9515")</f>
        <v>9515</v>
      </c>
      <c r="F65" t="s">
        <v>18</v>
      </c>
      <c r="G65" t="str">
        <f>HYPERLINK("http://www.ncbi.nlm.nih.gov/Taxonomy/Browser/wwwtax.cgi?mode=Info&amp;id=9515&amp;lvl=3&amp;lin=f&amp;keep=1&amp;srchmode=1&amp;unlock","Sapajus apella")</f>
        <v>Sapajus apella</v>
      </c>
      <c r="H65" t="s">
        <v>86</v>
      </c>
      <c r="I65" t="str">
        <f>HYPERLINK("http://www.ncbi.nlm.nih.gov/protein/XP_032099526.1","fatty acid-binding protein, liver")</f>
        <v>fatty acid-binding protein, liver</v>
      </c>
      <c r="J65" t="s">
        <v>1381</v>
      </c>
      <c r="K65" t="s">
        <v>25</v>
      </c>
      <c r="L65">
        <v>50</v>
      </c>
      <c r="M65" t="s">
        <v>1382</v>
      </c>
      <c r="N65" t="s">
        <v>25</v>
      </c>
      <c r="O65" t="s">
        <v>1355</v>
      </c>
      <c r="P65" t="s">
        <v>25</v>
      </c>
      <c r="Q65">
        <v>131.17500000000001</v>
      </c>
      <c r="R65" t="s">
        <v>25</v>
      </c>
      <c r="S65" t="s">
        <v>25</v>
      </c>
    </row>
    <row r="66" spans="1:19" x14ac:dyDescent="0.25">
      <c r="A66">
        <v>6</v>
      </c>
      <c r="B66" t="s">
        <v>18</v>
      </c>
      <c r="C66" t="str">
        <f>HYPERLINK("http://www.ncbi.nlm.nih.gov/protein/XP_017392153.1","XP_017392153.1")</f>
        <v>XP_017392153.1</v>
      </c>
      <c r="D66">
        <v>55886</v>
      </c>
      <c r="E66" t="str">
        <f>HYPERLINK("http://www.ncbi.nlm.nih.gov/Taxonomy/Browser/wwwtax.cgi?mode=Info&amp;id=2715852&amp;lvl=3&amp;lin=f&amp;keep=1&amp;srchmode=1&amp;unlock","2715852")</f>
        <v>2715852</v>
      </c>
      <c r="F66" t="s">
        <v>18</v>
      </c>
      <c r="G66" t="str">
        <f>HYPERLINK("http://www.ncbi.nlm.nih.gov/Taxonomy/Browser/wwwtax.cgi?mode=Info&amp;id=2715852&amp;lvl=3&amp;lin=f&amp;keep=1&amp;srchmode=1&amp;unlock","Cebus imitator")</f>
        <v>Cebus imitator</v>
      </c>
      <c r="H66" t="s">
        <v>85</v>
      </c>
      <c r="I66" t="str">
        <f>HYPERLINK("http://www.ncbi.nlm.nih.gov/protein/XP_017392153.1","fatty acid-binding protein, liver")</f>
        <v>fatty acid-binding protein, liver</v>
      </c>
      <c r="J66" t="s">
        <v>1381</v>
      </c>
      <c r="K66" t="s">
        <v>25</v>
      </c>
      <c r="L66">
        <v>50</v>
      </c>
      <c r="M66" t="s">
        <v>1382</v>
      </c>
      <c r="N66" t="s">
        <v>25</v>
      </c>
      <c r="O66" t="s">
        <v>1355</v>
      </c>
      <c r="P66" t="s">
        <v>25</v>
      </c>
      <c r="Q66">
        <v>131.17500000000001</v>
      </c>
      <c r="R66" t="s">
        <v>25</v>
      </c>
      <c r="S66" t="s">
        <v>25</v>
      </c>
    </row>
    <row r="67" spans="1:19" x14ac:dyDescent="0.25">
      <c r="A67">
        <v>6</v>
      </c>
      <c r="B67" t="s">
        <v>18</v>
      </c>
      <c r="C67" t="str">
        <f>HYPERLINK("http://www.ncbi.nlm.nih.gov/protein/XP_017527706.1","XP_017527706.1")</f>
        <v>XP_017527706.1</v>
      </c>
      <c r="D67">
        <v>56038</v>
      </c>
      <c r="E67" t="str">
        <f>HYPERLINK("http://www.ncbi.nlm.nih.gov/Taxonomy/Browser/wwwtax.cgi?mode=Info&amp;id=9974&amp;lvl=3&amp;lin=f&amp;keep=1&amp;srchmode=1&amp;unlock","9974")</f>
        <v>9974</v>
      </c>
      <c r="F67" t="s">
        <v>18</v>
      </c>
      <c r="G67" t="str">
        <f>HYPERLINK("http://www.ncbi.nlm.nih.gov/Taxonomy/Browser/wwwtax.cgi?mode=Info&amp;id=9974&amp;lvl=3&amp;lin=f&amp;keep=1&amp;srchmode=1&amp;unlock","Manis javanica")</f>
        <v>Manis javanica</v>
      </c>
      <c r="H67" t="s">
        <v>87</v>
      </c>
      <c r="I67" t="str">
        <f>HYPERLINK("http://www.ncbi.nlm.nih.gov/protein/XP_017527706.1","fatty acid-binding protein, liver")</f>
        <v>fatty acid-binding protein, liver</v>
      </c>
      <c r="J67" t="s">
        <v>1381</v>
      </c>
      <c r="K67" t="s">
        <v>20</v>
      </c>
      <c r="L67">
        <v>50</v>
      </c>
      <c r="M67" t="s">
        <v>1380</v>
      </c>
      <c r="N67" t="s">
        <v>20</v>
      </c>
      <c r="O67" t="s">
        <v>1394</v>
      </c>
      <c r="P67" t="s">
        <v>20</v>
      </c>
      <c r="Q67">
        <v>165.19200000000001</v>
      </c>
      <c r="R67" t="s">
        <v>20</v>
      </c>
      <c r="S67" t="s">
        <v>20</v>
      </c>
    </row>
    <row r="68" spans="1:19" x14ac:dyDescent="0.25">
      <c r="A68">
        <v>6</v>
      </c>
      <c r="B68" t="s">
        <v>18</v>
      </c>
      <c r="C68" t="str">
        <f>HYPERLINK("http://www.ncbi.nlm.nih.gov/protein/XP_003799233.1","XP_003799233.1")</f>
        <v>XP_003799233.1</v>
      </c>
      <c r="D68">
        <v>33103</v>
      </c>
      <c r="E68" t="str">
        <f>HYPERLINK("http://www.ncbi.nlm.nih.gov/Taxonomy/Browser/wwwtax.cgi?mode=Info&amp;id=30611&amp;lvl=3&amp;lin=f&amp;keep=1&amp;srchmode=1&amp;unlock","30611")</f>
        <v>30611</v>
      </c>
      <c r="F68" t="s">
        <v>18</v>
      </c>
      <c r="G68" t="str">
        <f>HYPERLINK("http://www.ncbi.nlm.nih.gov/Taxonomy/Browser/wwwtax.cgi?mode=Info&amp;id=30611&amp;lvl=3&amp;lin=f&amp;keep=1&amp;srchmode=1&amp;unlock","Otolemur garnettii")</f>
        <v>Otolemur garnettii</v>
      </c>
      <c r="H68" t="s">
        <v>88</v>
      </c>
      <c r="I68" t="str">
        <f>HYPERLINK("http://www.ncbi.nlm.nih.gov/protein/XP_003799233.1","fatty acid-binding protein, liver")</f>
        <v>fatty acid-binding protein, liver</v>
      </c>
      <c r="J68" t="s">
        <v>1381</v>
      </c>
      <c r="K68" t="s">
        <v>25</v>
      </c>
      <c r="L68">
        <v>50</v>
      </c>
      <c r="M68" t="s">
        <v>1382</v>
      </c>
      <c r="N68" t="s">
        <v>25</v>
      </c>
      <c r="O68" t="s">
        <v>1355</v>
      </c>
      <c r="P68" t="s">
        <v>25</v>
      </c>
      <c r="Q68">
        <v>131.17500000000001</v>
      </c>
      <c r="R68" t="s">
        <v>25</v>
      </c>
      <c r="S68" t="s">
        <v>25</v>
      </c>
    </row>
    <row r="69" spans="1:19" x14ac:dyDescent="0.25">
      <c r="A69">
        <v>6</v>
      </c>
      <c r="B69" t="s">
        <v>18</v>
      </c>
      <c r="C69" t="str">
        <f>HYPERLINK("http://www.ncbi.nlm.nih.gov/protein/XP_032980104.1","XP_032980104.1")</f>
        <v>XP_032980104.1</v>
      </c>
      <c r="D69">
        <v>90503</v>
      </c>
      <c r="E69" t="str">
        <f>HYPERLINK("http://www.ncbi.nlm.nih.gov/Taxonomy/Browser/wwwtax.cgi?mode=Info&amp;id=59479&amp;lvl=3&amp;lin=f&amp;keep=1&amp;srchmode=1&amp;unlock","59479")</f>
        <v>59479</v>
      </c>
      <c r="F69" t="s">
        <v>18</v>
      </c>
      <c r="G69" t="str">
        <f>HYPERLINK("http://www.ncbi.nlm.nih.gov/Taxonomy/Browser/wwwtax.cgi?mode=Info&amp;id=59479&amp;lvl=3&amp;lin=f&amp;keep=1&amp;srchmode=1&amp;unlock","Rhinolophus ferrumequinum")</f>
        <v>Rhinolophus ferrumequinum</v>
      </c>
      <c r="H69" t="s">
        <v>89</v>
      </c>
      <c r="I69" t="str">
        <f>HYPERLINK("http://www.ncbi.nlm.nih.gov/protein/XP_032980104.1","fatty acid-binding protein, liver")</f>
        <v>fatty acid-binding protein, liver</v>
      </c>
      <c r="J69" t="s">
        <v>1381</v>
      </c>
      <c r="K69" t="s">
        <v>25</v>
      </c>
      <c r="L69">
        <v>50</v>
      </c>
      <c r="M69" t="s">
        <v>1382</v>
      </c>
      <c r="N69" t="s">
        <v>25</v>
      </c>
      <c r="O69" t="s">
        <v>1355</v>
      </c>
      <c r="P69" t="s">
        <v>25</v>
      </c>
      <c r="Q69">
        <v>131.17500000000001</v>
      </c>
      <c r="R69" t="s">
        <v>25</v>
      </c>
      <c r="S69" t="s">
        <v>25</v>
      </c>
    </row>
    <row r="70" spans="1:19" x14ac:dyDescent="0.25">
      <c r="A70">
        <v>6</v>
      </c>
      <c r="B70" t="s">
        <v>18</v>
      </c>
      <c r="C70" t="str">
        <f>HYPERLINK("http://www.ncbi.nlm.nih.gov/protein/XP_007952289.1","XP_007952289.1")</f>
        <v>XP_007952289.1</v>
      </c>
      <c r="D70">
        <v>25532</v>
      </c>
      <c r="E70" t="str">
        <f>HYPERLINK("http://www.ncbi.nlm.nih.gov/Taxonomy/Browser/wwwtax.cgi?mode=Info&amp;id=1230840&amp;lvl=3&amp;lin=f&amp;keep=1&amp;srchmode=1&amp;unlock","1230840")</f>
        <v>1230840</v>
      </c>
      <c r="F70" t="s">
        <v>18</v>
      </c>
      <c r="G70" t="str">
        <f>HYPERLINK("http://www.ncbi.nlm.nih.gov/Taxonomy/Browser/wwwtax.cgi?mode=Info&amp;id=1230840&amp;lvl=3&amp;lin=f&amp;keep=1&amp;srchmode=1&amp;unlock","Orycteropus afer afer")</f>
        <v>Orycteropus afer afer</v>
      </c>
      <c r="H70" t="s">
        <v>90</v>
      </c>
      <c r="I70" t="str">
        <f>HYPERLINK("http://www.ncbi.nlm.nih.gov/protein/XP_007952289.1","PREDICTED: fatty acid-binding protein, liver")</f>
        <v>PREDICTED: fatty acid-binding protein, liver</v>
      </c>
      <c r="J70" t="s">
        <v>1381</v>
      </c>
      <c r="K70" t="s">
        <v>25</v>
      </c>
      <c r="L70">
        <v>50</v>
      </c>
      <c r="M70" t="s">
        <v>1382</v>
      </c>
      <c r="N70" t="s">
        <v>25</v>
      </c>
      <c r="O70" t="s">
        <v>1355</v>
      </c>
      <c r="P70" t="s">
        <v>25</v>
      </c>
      <c r="Q70">
        <v>131.17500000000001</v>
      </c>
      <c r="R70" t="s">
        <v>25</v>
      </c>
      <c r="S70" t="s">
        <v>25</v>
      </c>
    </row>
    <row r="71" spans="1:19" x14ac:dyDescent="0.25">
      <c r="A71">
        <v>6</v>
      </c>
      <c r="B71" t="s">
        <v>18</v>
      </c>
      <c r="C71" t="str">
        <f>HYPERLINK("http://www.ncbi.nlm.nih.gov/protein/XP_036291857.1","XP_036291857.1")</f>
        <v>XP_036291857.1</v>
      </c>
      <c r="D71">
        <v>93471</v>
      </c>
      <c r="E71" t="str">
        <f>HYPERLINK("http://www.ncbi.nlm.nih.gov/Taxonomy/Browser/wwwtax.cgi?mode=Info&amp;id=59472&amp;lvl=3&amp;lin=f&amp;keep=1&amp;srchmode=1&amp;unlock","59472")</f>
        <v>59472</v>
      </c>
      <c r="F71" t="s">
        <v>18</v>
      </c>
      <c r="G71" t="str">
        <f>HYPERLINK("http://www.ncbi.nlm.nih.gov/Taxonomy/Browser/wwwtax.cgi?mode=Info&amp;id=59472&amp;lvl=3&amp;lin=f&amp;keep=1&amp;srchmode=1&amp;unlock","Pipistrellus kuhlii")</f>
        <v>Pipistrellus kuhlii</v>
      </c>
      <c r="H71" t="s">
        <v>92</v>
      </c>
      <c r="I71" t="str">
        <f>HYPERLINK("http://www.ncbi.nlm.nih.gov/protein/XP_036291857.1","fatty acid-binding protein, liver")</f>
        <v>fatty acid-binding protein, liver</v>
      </c>
      <c r="J71" t="s">
        <v>1381</v>
      </c>
      <c r="K71" t="s">
        <v>25</v>
      </c>
      <c r="L71">
        <v>50</v>
      </c>
      <c r="M71" t="s">
        <v>1382</v>
      </c>
      <c r="N71" t="s">
        <v>25</v>
      </c>
      <c r="O71" t="s">
        <v>1355</v>
      </c>
      <c r="P71" t="s">
        <v>25</v>
      </c>
      <c r="Q71">
        <v>131.17500000000001</v>
      </c>
      <c r="R71" t="s">
        <v>25</v>
      </c>
      <c r="S71" t="s">
        <v>25</v>
      </c>
    </row>
    <row r="72" spans="1:19" x14ac:dyDescent="0.25">
      <c r="A72">
        <v>6</v>
      </c>
      <c r="B72" t="s">
        <v>18</v>
      </c>
      <c r="C72" t="str">
        <f>HYPERLINK("http://www.ncbi.nlm.nih.gov/protein/XP_004660563.1","XP_004660563.1")</f>
        <v>XP_004660563.1</v>
      </c>
      <c r="D72">
        <v>25744</v>
      </c>
      <c r="E72" t="str">
        <f>HYPERLINK("http://www.ncbi.nlm.nih.gov/Taxonomy/Browser/wwwtax.cgi?mode=Info&amp;id=51337&amp;lvl=3&amp;lin=f&amp;keep=1&amp;srchmode=1&amp;unlock","51337")</f>
        <v>51337</v>
      </c>
      <c r="F72" t="s">
        <v>18</v>
      </c>
      <c r="G72" t="str">
        <f>HYPERLINK("http://www.ncbi.nlm.nih.gov/Taxonomy/Browser/wwwtax.cgi?mode=Info&amp;id=51337&amp;lvl=3&amp;lin=f&amp;keep=1&amp;srchmode=1&amp;unlock","Jaculus jaculus")</f>
        <v>Jaculus jaculus</v>
      </c>
      <c r="H72" t="s">
        <v>91</v>
      </c>
      <c r="I72" t="str">
        <f>HYPERLINK("http://www.ncbi.nlm.nih.gov/protein/XP_004660563.1","PREDICTED: fatty acid-binding protein, liver")</f>
        <v>PREDICTED: fatty acid-binding protein, liver</v>
      </c>
      <c r="J72" t="s">
        <v>1381</v>
      </c>
      <c r="K72" t="s">
        <v>25</v>
      </c>
      <c r="L72">
        <v>50</v>
      </c>
      <c r="M72" t="s">
        <v>1382</v>
      </c>
      <c r="N72" t="s">
        <v>25</v>
      </c>
      <c r="O72" t="s">
        <v>1355</v>
      </c>
      <c r="P72" t="s">
        <v>25</v>
      </c>
      <c r="Q72">
        <v>131.17500000000001</v>
      </c>
      <c r="R72" t="s">
        <v>25</v>
      </c>
      <c r="S72" t="s">
        <v>25</v>
      </c>
    </row>
    <row r="73" spans="1:19" x14ac:dyDescent="0.25">
      <c r="A73">
        <v>6</v>
      </c>
      <c r="B73" t="s">
        <v>18</v>
      </c>
      <c r="C73" t="str">
        <f>HYPERLINK("http://www.ncbi.nlm.nih.gov/protein/XP_012629799.1","XP_012629799.1")</f>
        <v>XP_012629799.1</v>
      </c>
      <c r="D73">
        <v>60035</v>
      </c>
      <c r="E73" t="str">
        <f>HYPERLINK("http://www.ncbi.nlm.nih.gov/Taxonomy/Browser/wwwtax.cgi?mode=Info&amp;id=30608&amp;lvl=3&amp;lin=f&amp;keep=1&amp;srchmode=1&amp;unlock","30608")</f>
        <v>30608</v>
      </c>
      <c r="F73" t="s">
        <v>18</v>
      </c>
      <c r="G73" t="str">
        <f>HYPERLINK("http://www.ncbi.nlm.nih.gov/Taxonomy/Browser/wwwtax.cgi?mode=Info&amp;id=30608&amp;lvl=3&amp;lin=f&amp;keep=1&amp;srchmode=1&amp;unlock","Microcebus murinus")</f>
        <v>Microcebus murinus</v>
      </c>
      <c r="H73" t="s">
        <v>93</v>
      </c>
      <c r="I73" t="str">
        <f>HYPERLINK("http://www.ncbi.nlm.nih.gov/protein/XP_012629799.1","fatty acid-binding protein, liver")</f>
        <v>fatty acid-binding protein, liver</v>
      </c>
      <c r="J73" t="s">
        <v>1381</v>
      </c>
      <c r="K73" t="s">
        <v>25</v>
      </c>
      <c r="L73">
        <v>50</v>
      </c>
      <c r="M73" t="s">
        <v>1382</v>
      </c>
      <c r="N73" t="s">
        <v>25</v>
      </c>
      <c r="O73" t="s">
        <v>1355</v>
      </c>
      <c r="P73" t="s">
        <v>25</v>
      </c>
      <c r="Q73">
        <v>131.17500000000001</v>
      </c>
      <c r="R73" t="s">
        <v>25</v>
      </c>
      <c r="S73" t="s">
        <v>25</v>
      </c>
    </row>
    <row r="74" spans="1:19" x14ac:dyDescent="0.25">
      <c r="A74">
        <v>6</v>
      </c>
      <c r="B74" t="s">
        <v>18</v>
      </c>
      <c r="C74" t="str">
        <f>HYPERLINK("http://www.ncbi.nlm.nih.gov/protein/XP_006103078.1","XP_006103078.1")</f>
        <v>XP_006103078.1</v>
      </c>
      <c r="D74">
        <v>44006</v>
      </c>
      <c r="E74" t="str">
        <f>HYPERLINK("http://www.ncbi.nlm.nih.gov/Taxonomy/Browser/wwwtax.cgi?mode=Info&amp;id=59463&amp;lvl=3&amp;lin=f&amp;keep=1&amp;srchmode=1&amp;unlock","59463")</f>
        <v>59463</v>
      </c>
      <c r="F74" t="s">
        <v>18</v>
      </c>
      <c r="G74" t="str">
        <f>HYPERLINK("http://www.ncbi.nlm.nih.gov/Taxonomy/Browser/wwwtax.cgi?mode=Info&amp;id=59463&amp;lvl=3&amp;lin=f&amp;keep=1&amp;srchmode=1&amp;unlock","Myotis lucifugus")</f>
        <v>Myotis lucifugus</v>
      </c>
      <c r="H74" t="s">
        <v>94</v>
      </c>
      <c r="I74" t="str">
        <f>HYPERLINK("http://www.ncbi.nlm.nih.gov/protein/XP_006103078.1","fatty acid-binding protein, liver")</f>
        <v>fatty acid-binding protein, liver</v>
      </c>
      <c r="J74" t="s">
        <v>1381</v>
      </c>
      <c r="K74" t="s">
        <v>25</v>
      </c>
      <c r="L74">
        <v>50</v>
      </c>
      <c r="M74" t="s">
        <v>1382</v>
      </c>
      <c r="N74" t="s">
        <v>25</v>
      </c>
      <c r="O74" t="s">
        <v>1355</v>
      </c>
      <c r="P74" t="s">
        <v>25</v>
      </c>
      <c r="Q74">
        <v>131.17500000000001</v>
      </c>
      <c r="R74" t="s">
        <v>25</v>
      </c>
      <c r="S74" t="s">
        <v>25</v>
      </c>
    </row>
    <row r="75" spans="1:19" x14ac:dyDescent="0.25">
      <c r="A75">
        <v>6</v>
      </c>
      <c r="B75" t="s">
        <v>18</v>
      </c>
      <c r="C75" t="str">
        <f>HYPERLINK("http://www.ncbi.nlm.nih.gov/protein/XP_036191465.1","XP_036191465.1")</f>
        <v>XP_036191465.1</v>
      </c>
      <c r="D75">
        <v>106885</v>
      </c>
      <c r="E75" t="str">
        <f>HYPERLINK("http://www.ncbi.nlm.nih.gov/Taxonomy/Browser/wwwtax.cgi?mode=Info&amp;id=51298&amp;lvl=3&amp;lin=f&amp;keep=1&amp;srchmode=1&amp;unlock","51298")</f>
        <v>51298</v>
      </c>
      <c r="F75" t="s">
        <v>18</v>
      </c>
      <c r="G75" t="str">
        <f>HYPERLINK("http://www.ncbi.nlm.nih.gov/Taxonomy/Browser/wwwtax.cgi?mode=Info&amp;id=51298&amp;lvl=3&amp;lin=f&amp;keep=1&amp;srchmode=1&amp;unlock","Myotis myotis")</f>
        <v>Myotis myotis</v>
      </c>
      <c r="H75" t="s">
        <v>77</v>
      </c>
      <c r="I75" t="str">
        <f>HYPERLINK("http://www.ncbi.nlm.nih.gov/protein/XP_036191465.1","fatty acid-binding protein, liver")</f>
        <v>fatty acid-binding protein, liver</v>
      </c>
      <c r="J75" t="s">
        <v>1381</v>
      </c>
      <c r="K75" t="s">
        <v>25</v>
      </c>
      <c r="L75">
        <v>50</v>
      </c>
      <c r="M75" t="s">
        <v>1382</v>
      </c>
      <c r="N75" t="s">
        <v>25</v>
      </c>
      <c r="O75" t="s">
        <v>1355</v>
      </c>
      <c r="P75" t="s">
        <v>25</v>
      </c>
      <c r="Q75">
        <v>131.17500000000001</v>
      </c>
      <c r="R75" t="s">
        <v>25</v>
      </c>
      <c r="S75" t="s">
        <v>25</v>
      </c>
    </row>
    <row r="76" spans="1:19" x14ac:dyDescent="0.25">
      <c r="A76">
        <v>6</v>
      </c>
      <c r="B76" t="s">
        <v>18</v>
      </c>
      <c r="C76" t="str">
        <f>HYPERLINK("http://www.ncbi.nlm.nih.gov/protein/XP_005883684.1","XP_005883684.1")</f>
        <v>XP_005883684.1</v>
      </c>
      <c r="D76">
        <v>60288</v>
      </c>
      <c r="E76" t="str">
        <f>HYPERLINK("http://www.ncbi.nlm.nih.gov/Taxonomy/Browser/wwwtax.cgi?mode=Info&amp;id=109478&amp;lvl=3&amp;lin=f&amp;keep=1&amp;srchmode=1&amp;unlock","109478")</f>
        <v>109478</v>
      </c>
      <c r="F76" t="s">
        <v>18</v>
      </c>
      <c r="G76" t="str">
        <f>HYPERLINK("http://www.ncbi.nlm.nih.gov/Taxonomy/Browser/wwwtax.cgi?mode=Info&amp;id=109478&amp;lvl=3&amp;lin=f&amp;keep=1&amp;srchmode=1&amp;unlock","Myotis brandtii")</f>
        <v>Myotis brandtii</v>
      </c>
      <c r="H76" t="s">
        <v>95</v>
      </c>
      <c r="I76" t="str">
        <f>HYPERLINK("http://www.ncbi.nlm.nih.gov/protein/XP_005883684.1","PREDICTED: fatty acid-binding protein, liver isoform X1")</f>
        <v>PREDICTED: fatty acid-binding protein, liver isoform X1</v>
      </c>
      <c r="J76" t="s">
        <v>1381</v>
      </c>
      <c r="K76" t="s">
        <v>25</v>
      </c>
      <c r="L76">
        <v>50</v>
      </c>
      <c r="M76" t="s">
        <v>1382</v>
      </c>
      <c r="N76" t="s">
        <v>25</v>
      </c>
      <c r="O76" t="s">
        <v>1355</v>
      </c>
      <c r="P76" t="s">
        <v>25</v>
      </c>
      <c r="Q76">
        <v>131.17500000000001</v>
      </c>
      <c r="R76" t="s">
        <v>25</v>
      </c>
      <c r="S76" t="s">
        <v>25</v>
      </c>
    </row>
    <row r="77" spans="1:19" x14ac:dyDescent="0.25">
      <c r="A77">
        <v>6</v>
      </c>
      <c r="B77" t="s">
        <v>18</v>
      </c>
      <c r="C77" t="str">
        <f>HYPERLINK("http://www.ncbi.nlm.nih.gov/protein/XP_010957262.1","XP_010957262.1")</f>
        <v>XP_010957262.1</v>
      </c>
      <c r="D77">
        <v>29301</v>
      </c>
      <c r="E77" t="str">
        <f>HYPERLINK("http://www.ncbi.nlm.nih.gov/Taxonomy/Browser/wwwtax.cgi?mode=Info&amp;id=9837&amp;lvl=3&amp;lin=f&amp;keep=1&amp;srchmode=1&amp;unlock","9837")</f>
        <v>9837</v>
      </c>
      <c r="F77" t="s">
        <v>18</v>
      </c>
      <c r="G77" t="str">
        <f>HYPERLINK("http://www.ncbi.nlm.nih.gov/Taxonomy/Browser/wwwtax.cgi?mode=Info&amp;id=9837&amp;lvl=3&amp;lin=f&amp;keep=1&amp;srchmode=1&amp;unlock","Camelus bactrianus")</f>
        <v>Camelus bactrianus</v>
      </c>
      <c r="H77" t="s">
        <v>97</v>
      </c>
      <c r="I77" t="str">
        <f>HYPERLINK("http://www.ncbi.nlm.nih.gov/protein/XP_010957262.1","PREDICTED: fatty acid-binding protein, liver")</f>
        <v>PREDICTED: fatty acid-binding protein, liver</v>
      </c>
      <c r="J77" t="s">
        <v>1381</v>
      </c>
      <c r="K77" t="s">
        <v>25</v>
      </c>
      <c r="L77">
        <v>50</v>
      </c>
      <c r="M77" t="s">
        <v>1382</v>
      </c>
      <c r="N77" t="s">
        <v>25</v>
      </c>
      <c r="O77" t="s">
        <v>1355</v>
      </c>
      <c r="P77" t="s">
        <v>25</v>
      </c>
      <c r="Q77">
        <v>131.17500000000001</v>
      </c>
      <c r="R77" t="s">
        <v>25</v>
      </c>
      <c r="S77" t="s">
        <v>25</v>
      </c>
    </row>
    <row r="78" spans="1:19" x14ac:dyDescent="0.25">
      <c r="A78">
        <v>6</v>
      </c>
      <c r="B78" t="s">
        <v>18</v>
      </c>
      <c r="C78" t="str">
        <f>HYPERLINK("http://www.ncbi.nlm.nih.gov/protein/XP_006183659.1","XP_006183659.1")</f>
        <v>XP_006183659.1</v>
      </c>
      <c r="D78">
        <v>74736</v>
      </c>
      <c r="E78" t="str">
        <f>HYPERLINK("http://www.ncbi.nlm.nih.gov/Taxonomy/Browser/wwwtax.cgi?mode=Info&amp;id=419612&amp;lvl=3&amp;lin=f&amp;keep=1&amp;srchmode=1&amp;unlock","419612")</f>
        <v>419612</v>
      </c>
      <c r="F78" t="s">
        <v>18</v>
      </c>
      <c r="G78" t="str">
        <f>HYPERLINK("http://www.ncbi.nlm.nih.gov/Taxonomy/Browser/wwwtax.cgi?mode=Info&amp;id=419612&amp;lvl=3&amp;lin=f&amp;keep=1&amp;srchmode=1&amp;unlock","Camelus ferus")</f>
        <v>Camelus ferus</v>
      </c>
      <c r="H78" t="s">
        <v>96</v>
      </c>
      <c r="I78" t="str">
        <f>HYPERLINK("http://www.ncbi.nlm.nih.gov/protein/XP_006183659.1","fatty acid-binding protein, liver")</f>
        <v>fatty acid-binding protein, liver</v>
      </c>
      <c r="J78" t="s">
        <v>1381</v>
      </c>
      <c r="K78" t="s">
        <v>25</v>
      </c>
      <c r="L78">
        <v>50</v>
      </c>
      <c r="M78" t="s">
        <v>1382</v>
      </c>
      <c r="N78" t="s">
        <v>25</v>
      </c>
      <c r="O78" t="s">
        <v>1355</v>
      </c>
      <c r="P78" t="s">
        <v>25</v>
      </c>
      <c r="Q78">
        <v>131.17500000000001</v>
      </c>
      <c r="R78" t="s">
        <v>25</v>
      </c>
      <c r="S78" t="s">
        <v>25</v>
      </c>
    </row>
    <row r="79" spans="1:19" x14ac:dyDescent="0.25">
      <c r="A79">
        <v>6</v>
      </c>
      <c r="B79" t="s">
        <v>18</v>
      </c>
      <c r="C79" t="str">
        <f>HYPERLINK("http://www.ncbi.nlm.nih.gov/protein/XP_028373133.1","XP_028373133.1")</f>
        <v>XP_028373133.1</v>
      </c>
      <c r="D79">
        <v>107564</v>
      </c>
      <c r="E79" t="str">
        <f>HYPERLINK("http://www.ncbi.nlm.nih.gov/Taxonomy/Browser/wwwtax.cgi?mode=Info&amp;id=89673&amp;lvl=3&amp;lin=f&amp;keep=1&amp;srchmode=1&amp;unlock","89673")</f>
        <v>89673</v>
      </c>
      <c r="F79" t="s">
        <v>18</v>
      </c>
      <c r="G79" t="str">
        <f>HYPERLINK("http://www.ncbi.nlm.nih.gov/Taxonomy/Browser/wwwtax.cgi?mode=Info&amp;id=89673&amp;lvl=3&amp;lin=f&amp;keep=1&amp;srchmode=1&amp;unlock","Phyllostomus discolor")</f>
        <v>Phyllostomus discolor</v>
      </c>
      <c r="H79" t="s">
        <v>98</v>
      </c>
      <c r="I79" t="str">
        <f>HYPERLINK("http://www.ncbi.nlm.nih.gov/protein/XP_028373133.1","fatty acid-binding protein, liver")</f>
        <v>fatty acid-binding protein, liver</v>
      </c>
      <c r="J79" t="s">
        <v>1381</v>
      </c>
      <c r="K79" t="s">
        <v>25</v>
      </c>
      <c r="L79">
        <v>50</v>
      </c>
      <c r="M79" t="s">
        <v>1382</v>
      </c>
      <c r="N79" t="s">
        <v>25</v>
      </c>
      <c r="O79" t="s">
        <v>1355</v>
      </c>
      <c r="P79" t="s">
        <v>25</v>
      </c>
      <c r="Q79">
        <v>131.17500000000001</v>
      </c>
      <c r="R79" t="s">
        <v>25</v>
      </c>
      <c r="S79" t="s">
        <v>25</v>
      </c>
    </row>
    <row r="80" spans="1:19" x14ac:dyDescent="0.25">
      <c r="A80">
        <v>6</v>
      </c>
      <c r="B80" t="s">
        <v>18</v>
      </c>
      <c r="C80" t="str">
        <f>HYPERLINK("http://www.ncbi.nlm.nih.gov/protein/XP_008154150.1","XP_008154150.1")</f>
        <v>XP_008154150.1</v>
      </c>
      <c r="D80">
        <v>50025</v>
      </c>
      <c r="E80" t="str">
        <f>HYPERLINK("http://www.ncbi.nlm.nih.gov/Taxonomy/Browser/wwwtax.cgi?mode=Info&amp;id=29078&amp;lvl=3&amp;lin=f&amp;keep=1&amp;srchmode=1&amp;unlock","29078")</f>
        <v>29078</v>
      </c>
      <c r="F80" t="s">
        <v>18</v>
      </c>
      <c r="G80" t="str">
        <f>HYPERLINK("http://www.ncbi.nlm.nih.gov/Taxonomy/Browser/wwwtax.cgi?mode=Info&amp;id=29078&amp;lvl=3&amp;lin=f&amp;keep=1&amp;srchmode=1&amp;unlock","Eptesicus fuscus")</f>
        <v>Eptesicus fuscus</v>
      </c>
      <c r="H80" t="s">
        <v>99</v>
      </c>
      <c r="I80" t="str">
        <f>HYPERLINK("http://www.ncbi.nlm.nih.gov/protein/XP_008154150.1","fatty acid-binding protein, liver")</f>
        <v>fatty acid-binding protein, liver</v>
      </c>
      <c r="J80" t="s">
        <v>1381</v>
      </c>
      <c r="K80" t="s">
        <v>25</v>
      </c>
      <c r="L80">
        <v>50</v>
      </c>
      <c r="M80" t="s">
        <v>1382</v>
      </c>
      <c r="N80" t="s">
        <v>25</v>
      </c>
      <c r="O80" t="s">
        <v>1355</v>
      </c>
      <c r="P80" t="s">
        <v>25</v>
      </c>
      <c r="Q80">
        <v>131.17500000000001</v>
      </c>
      <c r="R80" t="s">
        <v>25</v>
      </c>
      <c r="S80" t="s">
        <v>25</v>
      </c>
    </row>
    <row r="81" spans="1:19" x14ac:dyDescent="0.25">
      <c r="A81">
        <v>6</v>
      </c>
      <c r="B81" t="s">
        <v>18</v>
      </c>
      <c r="C81" t="str">
        <f>HYPERLINK("http://www.ncbi.nlm.nih.gov/protein/XP_006913559.1","XP_006913559.1")</f>
        <v>XP_006913559.1</v>
      </c>
      <c r="D81">
        <v>59367</v>
      </c>
      <c r="E81" t="str">
        <f>HYPERLINK("http://www.ncbi.nlm.nih.gov/Taxonomy/Browser/wwwtax.cgi?mode=Info&amp;id=9402&amp;lvl=3&amp;lin=f&amp;keep=1&amp;srchmode=1&amp;unlock","9402")</f>
        <v>9402</v>
      </c>
      <c r="F81" t="s">
        <v>18</v>
      </c>
      <c r="G81" t="str">
        <f>HYPERLINK("http://www.ncbi.nlm.nih.gov/Taxonomy/Browser/wwwtax.cgi?mode=Info&amp;id=9402&amp;lvl=3&amp;lin=f&amp;keep=1&amp;srchmode=1&amp;unlock","Pteropus alecto")</f>
        <v>Pteropus alecto</v>
      </c>
      <c r="H81" t="s">
        <v>100</v>
      </c>
      <c r="I81" t="str">
        <f>HYPERLINK("http://www.ncbi.nlm.nih.gov/protein/XP_006913559.1","fatty acid-binding protein, liver")</f>
        <v>fatty acid-binding protein, liver</v>
      </c>
      <c r="J81" t="s">
        <v>1381</v>
      </c>
      <c r="K81" t="s">
        <v>25</v>
      </c>
      <c r="L81">
        <v>50</v>
      </c>
      <c r="M81" t="s">
        <v>1382</v>
      </c>
      <c r="N81" t="s">
        <v>25</v>
      </c>
      <c r="O81" t="s">
        <v>1355</v>
      </c>
      <c r="P81" t="s">
        <v>25</v>
      </c>
      <c r="Q81">
        <v>131.17500000000001</v>
      </c>
      <c r="R81" t="s">
        <v>25</v>
      </c>
      <c r="S81" t="s">
        <v>25</v>
      </c>
    </row>
    <row r="82" spans="1:19" x14ac:dyDescent="0.25">
      <c r="A82">
        <v>6</v>
      </c>
      <c r="B82" t="s">
        <v>18</v>
      </c>
      <c r="C82" t="str">
        <f>HYPERLINK("http://www.ncbi.nlm.nih.gov/protein/XP_020745143.1","XP_020745143.1")</f>
        <v>XP_020745143.1</v>
      </c>
      <c r="D82">
        <v>48218</v>
      </c>
      <c r="E82" t="str">
        <f>HYPERLINK("http://www.ncbi.nlm.nih.gov/Taxonomy/Browser/wwwtax.cgi?mode=Info&amp;id=9880&amp;lvl=3&amp;lin=f&amp;keep=1&amp;srchmode=1&amp;unlock","9880")</f>
        <v>9880</v>
      </c>
      <c r="F82" t="s">
        <v>18</v>
      </c>
      <c r="G82" t="str">
        <f>HYPERLINK("http://www.ncbi.nlm.nih.gov/Taxonomy/Browser/wwwtax.cgi?mode=Info&amp;id=9880&amp;lvl=3&amp;lin=f&amp;keep=1&amp;srchmode=1&amp;unlock","Odocoileus virginianus texanus")</f>
        <v>Odocoileus virginianus texanus</v>
      </c>
      <c r="H82" t="s">
        <v>101</v>
      </c>
      <c r="I82" t="str">
        <f>HYPERLINK("http://www.ncbi.nlm.nih.gov/protein/XP_020745143.1","fatty acid-binding protein, liver")</f>
        <v>fatty acid-binding protein, liver</v>
      </c>
      <c r="J82" t="s">
        <v>1381</v>
      </c>
      <c r="K82" t="s">
        <v>20</v>
      </c>
      <c r="L82">
        <v>50</v>
      </c>
      <c r="M82" t="s">
        <v>1380</v>
      </c>
      <c r="N82" t="s">
        <v>20</v>
      </c>
      <c r="O82" t="s">
        <v>1394</v>
      </c>
      <c r="P82" t="s">
        <v>20</v>
      </c>
      <c r="Q82">
        <v>165.19200000000001</v>
      </c>
      <c r="R82" t="s">
        <v>20</v>
      </c>
      <c r="S82" t="s">
        <v>20</v>
      </c>
    </row>
    <row r="83" spans="1:19" x14ac:dyDescent="0.25">
      <c r="A83">
        <v>6</v>
      </c>
      <c r="B83" t="s">
        <v>18</v>
      </c>
      <c r="C83" t="str">
        <f>HYPERLINK("http://www.ncbi.nlm.nih.gov/protein/XP_008834943.1","XP_008834943.1")</f>
        <v>XP_008834943.1</v>
      </c>
      <c r="D83">
        <v>49440</v>
      </c>
      <c r="E83" t="str">
        <f>HYPERLINK("http://www.ncbi.nlm.nih.gov/Taxonomy/Browser/wwwtax.cgi?mode=Info&amp;id=1026970&amp;lvl=3&amp;lin=f&amp;keep=1&amp;srchmode=1&amp;unlock","1026970")</f>
        <v>1026970</v>
      </c>
      <c r="F83" t="s">
        <v>18</v>
      </c>
      <c r="G83" t="str">
        <f>HYPERLINK("http://www.ncbi.nlm.nih.gov/Taxonomy/Browser/wwwtax.cgi?mode=Info&amp;id=1026970&amp;lvl=3&amp;lin=f&amp;keep=1&amp;srchmode=1&amp;unlock","Nannospalax galili")</f>
        <v>Nannospalax galili</v>
      </c>
      <c r="H83" t="s">
        <v>102</v>
      </c>
      <c r="I83" t="str">
        <f>HYPERLINK("http://www.ncbi.nlm.nih.gov/protein/XP_008834943.1","fatty acid-binding protein, liver")</f>
        <v>fatty acid-binding protein, liver</v>
      </c>
      <c r="J83" t="s">
        <v>1381</v>
      </c>
      <c r="K83" t="s">
        <v>25</v>
      </c>
      <c r="L83">
        <v>50</v>
      </c>
      <c r="M83" t="s">
        <v>1382</v>
      </c>
      <c r="N83" t="s">
        <v>25</v>
      </c>
      <c r="O83" t="s">
        <v>1355</v>
      </c>
      <c r="P83" t="s">
        <v>25</v>
      </c>
      <c r="Q83">
        <v>131.17500000000001</v>
      </c>
      <c r="R83" t="s">
        <v>25</v>
      </c>
      <c r="S83" t="s">
        <v>25</v>
      </c>
    </row>
    <row r="84" spans="1:19" x14ac:dyDescent="0.25">
      <c r="A84">
        <v>6</v>
      </c>
      <c r="B84" t="s">
        <v>18</v>
      </c>
      <c r="C84" t="str">
        <f>HYPERLINK("http://www.ncbi.nlm.nih.gov/protein/XP_039708402.1","XP_039708402.1")</f>
        <v>XP_039708402.1</v>
      </c>
      <c r="D84">
        <v>53655</v>
      </c>
      <c r="E84" t="str">
        <f>HYPERLINK("http://www.ncbi.nlm.nih.gov/Taxonomy/Browser/wwwtax.cgi?mode=Info&amp;id=143291&amp;lvl=3&amp;lin=f&amp;keep=1&amp;srchmode=1&amp;unlock","143291")</f>
        <v>143291</v>
      </c>
      <c r="F84" t="s">
        <v>18</v>
      </c>
      <c r="G84" t="str">
        <f>HYPERLINK("http://www.ncbi.nlm.nih.gov/Taxonomy/Browser/wwwtax.cgi?mode=Info&amp;id=143291&amp;lvl=3&amp;lin=f&amp;keep=1&amp;srchmode=1&amp;unlock","Pteropus giganteus")</f>
        <v>Pteropus giganteus</v>
      </c>
      <c r="H84" t="s">
        <v>103</v>
      </c>
      <c r="I84" t="str">
        <f>HYPERLINK("http://www.ncbi.nlm.nih.gov/protein/XP_039708402.1","fatty acid-binding protein, liver")</f>
        <v>fatty acid-binding protein, liver</v>
      </c>
      <c r="J84" t="s">
        <v>1381</v>
      </c>
      <c r="K84" t="s">
        <v>25</v>
      </c>
      <c r="L84">
        <v>50</v>
      </c>
      <c r="M84" t="s">
        <v>1382</v>
      </c>
      <c r="N84" t="s">
        <v>25</v>
      </c>
      <c r="O84" t="s">
        <v>1355</v>
      </c>
      <c r="P84" t="s">
        <v>25</v>
      </c>
      <c r="Q84">
        <v>131.17500000000001</v>
      </c>
      <c r="R84" t="s">
        <v>25</v>
      </c>
      <c r="S84" t="s">
        <v>25</v>
      </c>
    </row>
    <row r="85" spans="1:19" x14ac:dyDescent="0.25">
      <c r="A85">
        <v>6</v>
      </c>
      <c r="B85" t="s">
        <v>18</v>
      </c>
      <c r="C85" t="str">
        <f>HYPERLINK("http://www.ncbi.nlm.nih.gov/protein/XP_004642838.1","XP_004642838.1")</f>
        <v>XP_004642838.1</v>
      </c>
      <c r="D85">
        <v>42554</v>
      </c>
      <c r="E85" t="str">
        <f>HYPERLINK("http://www.ncbi.nlm.nih.gov/Taxonomy/Browser/wwwtax.cgi?mode=Info&amp;id=10160&amp;lvl=3&amp;lin=f&amp;keep=1&amp;srchmode=1&amp;unlock","10160")</f>
        <v>10160</v>
      </c>
      <c r="F85" t="s">
        <v>18</v>
      </c>
      <c r="G85" t="str">
        <f>HYPERLINK("http://www.ncbi.nlm.nih.gov/Taxonomy/Browser/wwwtax.cgi?mode=Info&amp;id=10160&amp;lvl=3&amp;lin=f&amp;keep=1&amp;srchmode=1&amp;unlock","Octodon degus")</f>
        <v>Octodon degus</v>
      </c>
      <c r="H85" t="s">
        <v>106</v>
      </c>
      <c r="I85" t="str">
        <f>HYPERLINK("http://www.ncbi.nlm.nih.gov/protein/XP_004642838.1","fatty acid-binding protein, liver")</f>
        <v>fatty acid-binding protein, liver</v>
      </c>
      <c r="J85" t="s">
        <v>1381</v>
      </c>
      <c r="K85" t="s">
        <v>25</v>
      </c>
      <c r="L85">
        <v>50</v>
      </c>
      <c r="M85" t="s">
        <v>1382</v>
      </c>
      <c r="N85" t="s">
        <v>25</v>
      </c>
      <c r="O85" t="s">
        <v>1355</v>
      </c>
      <c r="P85" t="s">
        <v>25</v>
      </c>
      <c r="Q85">
        <v>131.17500000000001</v>
      </c>
      <c r="R85" t="s">
        <v>25</v>
      </c>
      <c r="S85" t="s">
        <v>25</v>
      </c>
    </row>
    <row r="86" spans="1:19" x14ac:dyDescent="0.25">
      <c r="A86">
        <v>6</v>
      </c>
      <c r="B86" t="s">
        <v>18</v>
      </c>
      <c r="C86" t="str">
        <f>HYPERLINK("http://www.ncbi.nlm.nih.gov/protein/XP_007533957.1","XP_007533957.1")</f>
        <v>XP_007533957.1</v>
      </c>
      <c r="D86">
        <v>29636</v>
      </c>
      <c r="E86" t="str">
        <f>HYPERLINK("http://www.ncbi.nlm.nih.gov/Taxonomy/Browser/wwwtax.cgi?mode=Info&amp;id=9365&amp;lvl=3&amp;lin=f&amp;keep=1&amp;srchmode=1&amp;unlock","9365")</f>
        <v>9365</v>
      </c>
      <c r="F86" t="s">
        <v>18</v>
      </c>
      <c r="G86" t="str">
        <f>HYPERLINK("http://www.ncbi.nlm.nih.gov/Taxonomy/Browser/wwwtax.cgi?mode=Info&amp;id=9365&amp;lvl=3&amp;lin=f&amp;keep=1&amp;srchmode=1&amp;unlock","Erinaceus europaeus")</f>
        <v>Erinaceus europaeus</v>
      </c>
      <c r="H86" t="s">
        <v>105</v>
      </c>
      <c r="I86" t="str">
        <f>HYPERLINK("http://www.ncbi.nlm.nih.gov/protein/XP_007533957.1","PREDICTED: fatty acid-binding protein, liver")</f>
        <v>PREDICTED: fatty acid-binding protein, liver</v>
      </c>
      <c r="J86" t="s">
        <v>1381</v>
      </c>
      <c r="K86" t="s">
        <v>25</v>
      </c>
      <c r="L86">
        <v>50</v>
      </c>
      <c r="M86" t="s">
        <v>1382</v>
      </c>
      <c r="N86" t="s">
        <v>25</v>
      </c>
      <c r="O86" t="s">
        <v>1355</v>
      </c>
      <c r="P86" t="s">
        <v>25</v>
      </c>
      <c r="Q86">
        <v>131.17500000000001</v>
      </c>
      <c r="R86" t="s">
        <v>25</v>
      </c>
      <c r="S86" t="s">
        <v>25</v>
      </c>
    </row>
    <row r="87" spans="1:19" x14ac:dyDescent="0.25">
      <c r="A87">
        <v>6</v>
      </c>
      <c r="B87" t="s">
        <v>18</v>
      </c>
      <c r="C87" t="str">
        <f>HYPERLINK("http://www.ncbi.nlm.nih.gov/protein/XP_012890971.1","XP_012890971.1")</f>
        <v>XP_012890971.1</v>
      </c>
      <c r="D87">
        <v>29406</v>
      </c>
      <c r="E87" t="str">
        <f>HYPERLINK("http://www.ncbi.nlm.nih.gov/Taxonomy/Browser/wwwtax.cgi?mode=Info&amp;id=10020&amp;lvl=3&amp;lin=f&amp;keep=1&amp;srchmode=1&amp;unlock","10020")</f>
        <v>10020</v>
      </c>
      <c r="F87" t="s">
        <v>18</v>
      </c>
      <c r="G87" t="str">
        <f>HYPERLINK("http://www.ncbi.nlm.nih.gov/Taxonomy/Browser/wwwtax.cgi?mode=Info&amp;id=10020&amp;lvl=3&amp;lin=f&amp;keep=1&amp;srchmode=1&amp;unlock","Dipodomys ordii")</f>
        <v>Dipodomys ordii</v>
      </c>
      <c r="H87" t="s">
        <v>107</v>
      </c>
      <c r="I87" t="str">
        <f>HYPERLINK("http://www.ncbi.nlm.nih.gov/protein/XP_012890971.1","PREDICTED: fatty acid-binding protein, liver")</f>
        <v>PREDICTED: fatty acid-binding protein, liver</v>
      </c>
      <c r="J87" t="s">
        <v>1381</v>
      </c>
      <c r="K87" t="s">
        <v>25</v>
      </c>
      <c r="L87">
        <v>50</v>
      </c>
      <c r="M87" t="s">
        <v>1382</v>
      </c>
      <c r="N87" t="s">
        <v>25</v>
      </c>
      <c r="O87" t="s">
        <v>1355</v>
      </c>
      <c r="P87" t="s">
        <v>25</v>
      </c>
      <c r="Q87">
        <v>131.17500000000001</v>
      </c>
      <c r="R87" t="s">
        <v>25</v>
      </c>
      <c r="S87" t="s">
        <v>25</v>
      </c>
    </row>
    <row r="88" spans="1:19" x14ac:dyDescent="0.25">
      <c r="A88">
        <v>6</v>
      </c>
      <c r="B88" t="s">
        <v>18</v>
      </c>
      <c r="C88" t="str">
        <f>HYPERLINK("http://www.ncbi.nlm.nih.gov/protein/ADZ29097.1","ADZ29097.1")</f>
        <v>ADZ29097.1</v>
      </c>
      <c r="D88">
        <v>47245</v>
      </c>
      <c r="E88" t="str">
        <f>HYPERLINK("http://www.ncbi.nlm.nih.gov/Taxonomy/Browser/wwwtax.cgi?mode=Info&amp;id=9925&amp;lvl=3&amp;lin=f&amp;keep=1&amp;srchmode=1&amp;unlock","9925")</f>
        <v>9925</v>
      </c>
      <c r="F88" t="s">
        <v>18</v>
      </c>
      <c r="G88" t="str">
        <f>HYPERLINK("http://www.ncbi.nlm.nih.gov/Taxonomy/Browser/wwwtax.cgi?mode=Info&amp;id=9925&amp;lvl=3&amp;lin=f&amp;keep=1&amp;srchmode=1&amp;unlock","Capra hircus")</f>
        <v>Capra hircus</v>
      </c>
      <c r="H88" t="s">
        <v>108</v>
      </c>
      <c r="I88" t="str">
        <f>HYPERLINK("http://www.ncbi.nlm.nih.gov/protein/ADZ29097.1","fatty acid binding protein")</f>
        <v>fatty acid binding protein</v>
      </c>
      <c r="J88" t="s">
        <v>1381</v>
      </c>
      <c r="K88" t="s">
        <v>20</v>
      </c>
      <c r="L88">
        <v>50</v>
      </c>
      <c r="M88" t="s">
        <v>1380</v>
      </c>
      <c r="N88" t="s">
        <v>20</v>
      </c>
      <c r="O88" t="s">
        <v>1394</v>
      </c>
      <c r="P88" t="s">
        <v>20</v>
      </c>
      <c r="Q88">
        <v>165.19200000000001</v>
      </c>
      <c r="R88" t="s">
        <v>20</v>
      </c>
      <c r="S88" t="s">
        <v>20</v>
      </c>
    </row>
    <row r="89" spans="1:19" x14ac:dyDescent="0.25">
      <c r="A89">
        <v>6</v>
      </c>
      <c r="B89" t="s">
        <v>18</v>
      </c>
      <c r="C89" t="str">
        <f>HYPERLINK("http://www.ncbi.nlm.nih.gov/protein/XP_004691672.1","XP_004691672.1")</f>
        <v>XP_004691672.1</v>
      </c>
      <c r="D89">
        <v>29269</v>
      </c>
      <c r="E89" t="str">
        <f>HYPERLINK("http://www.ncbi.nlm.nih.gov/Taxonomy/Browser/wwwtax.cgi?mode=Info&amp;id=143302&amp;lvl=3&amp;lin=f&amp;keep=1&amp;srchmode=1&amp;unlock","143302")</f>
        <v>143302</v>
      </c>
      <c r="F89" t="s">
        <v>18</v>
      </c>
      <c r="G89" t="str">
        <f>HYPERLINK("http://www.ncbi.nlm.nih.gov/Taxonomy/Browser/wwwtax.cgi?mode=Info&amp;id=143302&amp;lvl=3&amp;lin=f&amp;keep=1&amp;srchmode=1&amp;unlock","Condylura cristata")</f>
        <v>Condylura cristata</v>
      </c>
      <c r="H89" t="s">
        <v>110</v>
      </c>
      <c r="I89" t="str">
        <f>HYPERLINK("http://www.ncbi.nlm.nih.gov/protein/XP_004691672.1","PREDICTED: fatty acid-binding protein, liver")</f>
        <v>PREDICTED: fatty acid-binding protein, liver</v>
      </c>
      <c r="J89" t="s">
        <v>1381</v>
      </c>
      <c r="K89" t="s">
        <v>25</v>
      </c>
      <c r="L89">
        <v>50</v>
      </c>
      <c r="M89" t="s">
        <v>1382</v>
      </c>
      <c r="N89" t="s">
        <v>25</v>
      </c>
      <c r="O89" t="s">
        <v>1355</v>
      </c>
      <c r="P89" t="s">
        <v>25</v>
      </c>
      <c r="Q89">
        <v>131.17500000000001</v>
      </c>
      <c r="R89" t="s">
        <v>25</v>
      </c>
      <c r="S89" t="s">
        <v>25</v>
      </c>
    </row>
    <row r="90" spans="1:19" x14ac:dyDescent="0.25">
      <c r="A90">
        <v>6</v>
      </c>
      <c r="B90" t="s">
        <v>18</v>
      </c>
      <c r="C90" t="str">
        <f>HYPERLINK("http://www.ncbi.nlm.nih.gov/protein/XP_036895787.1","XP_036895787.1")</f>
        <v>XP_036895787.1</v>
      </c>
      <c r="D90">
        <v>43557</v>
      </c>
      <c r="E90" t="str">
        <f>HYPERLINK("http://www.ncbi.nlm.nih.gov/Taxonomy/Browser/wwwtax.cgi?mode=Info&amp;id=192404&amp;lvl=3&amp;lin=f&amp;keep=1&amp;srchmode=1&amp;unlock","192404")</f>
        <v>192404</v>
      </c>
      <c r="F90" t="s">
        <v>18</v>
      </c>
      <c r="G90" t="str">
        <f>HYPERLINK("http://www.ncbi.nlm.nih.gov/Taxonomy/Browser/wwwtax.cgi?mode=Info&amp;id=192404&amp;lvl=3&amp;lin=f&amp;keep=1&amp;srchmode=1&amp;unlock","Sturnira hondurensis")</f>
        <v>Sturnira hondurensis</v>
      </c>
      <c r="H90" t="s">
        <v>111</v>
      </c>
      <c r="I90" t="str">
        <f>HYPERLINK("http://www.ncbi.nlm.nih.gov/protein/XP_036895787.1","fatty acid-binding protein, liver")</f>
        <v>fatty acid-binding protein, liver</v>
      </c>
      <c r="J90" t="s">
        <v>1381</v>
      </c>
      <c r="K90" t="s">
        <v>25</v>
      </c>
      <c r="L90">
        <v>50</v>
      </c>
      <c r="M90" t="s">
        <v>1382</v>
      </c>
      <c r="N90" t="s">
        <v>25</v>
      </c>
      <c r="O90" t="s">
        <v>1355</v>
      </c>
      <c r="P90" t="s">
        <v>25</v>
      </c>
      <c r="Q90">
        <v>131.17500000000001</v>
      </c>
      <c r="R90" t="s">
        <v>25</v>
      </c>
      <c r="S90" t="s">
        <v>25</v>
      </c>
    </row>
    <row r="91" spans="1:19" x14ac:dyDescent="0.25">
      <c r="A91">
        <v>6</v>
      </c>
      <c r="B91" t="s">
        <v>18</v>
      </c>
      <c r="C91" t="str">
        <f>HYPERLINK("http://www.ncbi.nlm.nih.gov/protein/XP_037024074.1","XP_037024074.1")</f>
        <v>XP_037024074.1</v>
      </c>
      <c r="D91">
        <v>43356</v>
      </c>
      <c r="E91" t="str">
        <f>HYPERLINK("http://www.ncbi.nlm.nih.gov/Taxonomy/Browser/wwwtax.cgi?mode=Info&amp;id=9417&amp;lvl=3&amp;lin=f&amp;keep=1&amp;srchmode=1&amp;unlock","9417")</f>
        <v>9417</v>
      </c>
      <c r="F91" t="s">
        <v>18</v>
      </c>
      <c r="G91" t="str">
        <f>HYPERLINK("http://www.ncbi.nlm.nih.gov/Taxonomy/Browser/wwwtax.cgi?mode=Info&amp;id=9417&amp;lvl=3&amp;lin=f&amp;keep=1&amp;srchmode=1&amp;unlock","Artibeus jamaicensis")</f>
        <v>Artibeus jamaicensis</v>
      </c>
      <c r="H91" t="s">
        <v>109</v>
      </c>
      <c r="I91" t="str">
        <f>HYPERLINK("http://www.ncbi.nlm.nih.gov/protein/XP_037024074.1","fatty acid-binding protein, liver")</f>
        <v>fatty acid-binding protein, liver</v>
      </c>
      <c r="J91" t="s">
        <v>1381</v>
      </c>
      <c r="K91" t="s">
        <v>20</v>
      </c>
      <c r="L91">
        <v>50</v>
      </c>
      <c r="M91" t="s">
        <v>1380</v>
      </c>
      <c r="N91" t="s">
        <v>20</v>
      </c>
      <c r="O91" t="s">
        <v>1394</v>
      </c>
      <c r="P91" t="s">
        <v>20</v>
      </c>
      <c r="Q91">
        <v>165.19200000000001</v>
      </c>
      <c r="R91" t="s">
        <v>20</v>
      </c>
      <c r="S91" t="s">
        <v>20</v>
      </c>
    </row>
    <row r="92" spans="1:19" x14ac:dyDescent="0.25">
      <c r="A92">
        <v>6</v>
      </c>
      <c r="B92" t="s">
        <v>18</v>
      </c>
      <c r="C92" t="str">
        <f>HYPERLINK("http://www.ncbi.nlm.nih.gov/protein/XP_036119160.1","XP_036119160.1")</f>
        <v>XP_036119160.1</v>
      </c>
      <c r="D92">
        <v>96162</v>
      </c>
      <c r="E92" t="str">
        <f>HYPERLINK("http://www.ncbi.nlm.nih.gov/Taxonomy/Browser/wwwtax.cgi?mode=Info&amp;id=27622&amp;lvl=3&amp;lin=f&amp;keep=1&amp;srchmode=1&amp;unlock","27622")</f>
        <v>27622</v>
      </c>
      <c r="F92" t="s">
        <v>18</v>
      </c>
      <c r="G92" t="str">
        <f>HYPERLINK("http://www.ncbi.nlm.nih.gov/Taxonomy/Browser/wwwtax.cgi?mode=Info&amp;id=27622&amp;lvl=3&amp;lin=f&amp;keep=1&amp;srchmode=1&amp;unlock","Molossus molossus")</f>
        <v>Molossus molossus</v>
      </c>
      <c r="H92" t="s">
        <v>112</v>
      </c>
      <c r="I92" t="str">
        <f>HYPERLINK("http://www.ncbi.nlm.nih.gov/protein/XP_036119160.1","fatty acid-binding protein, liver")</f>
        <v>fatty acid-binding protein, liver</v>
      </c>
      <c r="J92" t="s">
        <v>1381</v>
      </c>
      <c r="K92" t="s">
        <v>25</v>
      </c>
      <c r="L92">
        <v>50</v>
      </c>
      <c r="M92" t="s">
        <v>1382</v>
      </c>
      <c r="N92" t="s">
        <v>25</v>
      </c>
      <c r="O92" t="s">
        <v>1355</v>
      </c>
      <c r="P92" t="s">
        <v>25</v>
      </c>
      <c r="Q92">
        <v>131.17500000000001</v>
      </c>
      <c r="R92" t="s">
        <v>25</v>
      </c>
      <c r="S92" t="s">
        <v>25</v>
      </c>
    </row>
    <row r="93" spans="1:19" x14ac:dyDescent="0.25">
      <c r="A93">
        <v>6</v>
      </c>
      <c r="B93" t="s">
        <v>18</v>
      </c>
      <c r="C93" t="str">
        <f>HYPERLINK("http://www.ncbi.nlm.nih.gov/protein/XP_006074804.1","XP_006074804.1")</f>
        <v>XP_006074804.1</v>
      </c>
      <c r="D93">
        <v>61063</v>
      </c>
      <c r="E93" t="str">
        <f>HYPERLINK("http://www.ncbi.nlm.nih.gov/Taxonomy/Browser/wwwtax.cgi?mode=Info&amp;id=89462&amp;lvl=3&amp;lin=f&amp;keep=1&amp;srchmode=1&amp;unlock","89462")</f>
        <v>89462</v>
      </c>
      <c r="F93" t="s">
        <v>18</v>
      </c>
      <c r="G93" t="str">
        <f>HYPERLINK("http://www.ncbi.nlm.nih.gov/Taxonomy/Browser/wwwtax.cgi?mode=Info&amp;id=89462&amp;lvl=3&amp;lin=f&amp;keep=1&amp;srchmode=1&amp;unlock","Bubalus bubalis")</f>
        <v>Bubalus bubalis</v>
      </c>
      <c r="H93" t="s">
        <v>113</v>
      </c>
      <c r="I93" t="str">
        <f>HYPERLINK("http://www.ncbi.nlm.nih.gov/protein/XP_006074804.1","fatty acid-binding protein, liver")</f>
        <v>fatty acid-binding protein, liver</v>
      </c>
      <c r="J93" t="s">
        <v>1381</v>
      </c>
      <c r="K93" t="s">
        <v>20</v>
      </c>
      <c r="L93">
        <v>50</v>
      </c>
      <c r="M93" t="s">
        <v>1380</v>
      </c>
      <c r="N93" t="s">
        <v>20</v>
      </c>
      <c r="O93" t="s">
        <v>1394</v>
      </c>
      <c r="P93" t="s">
        <v>20</v>
      </c>
      <c r="Q93">
        <v>165.19200000000001</v>
      </c>
      <c r="R93" t="s">
        <v>20</v>
      </c>
      <c r="S93" t="s">
        <v>20</v>
      </c>
    </row>
    <row r="94" spans="1:19" x14ac:dyDescent="0.25">
      <c r="A94">
        <v>6</v>
      </c>
      <c r="B94" t="s">
        <v>18</v>
      </c>
      <c r="C94" t="str">
        <f>HYPERLINK("http://www.ncbi.nlm.nih.gov/protein/XP_004708000.1","XP_004708000.1")</f>
        <v>XP_004708000.1</v>
      </c>
      <c r="D94">
        <v>24944</v>
      </c>
      <c r="E94" t="str">
        <f>HYPERLINK("http://www.ncbi.nlm.nih.gov/Taxonomy/Browser/wwwtax.cgi?mode=Info&amp;id=9371&amp;lvl=3&amp;lin=f&amp;keep=1&amp;srchmode=1&amp;unlock","9371")</f>
        <v>9371</v>
      </c>
      <c r="F94" t="s">
        <v>18</v>
      </c>
      <c r="G94" t="str">
        <f>HYPERLINK("http://www.ncbi.nlm.nih.gov/Taxonomy/Browser/wwwtax.cgi?mode=Info&amp;id=9371&amp;lvl=3&amp;lin=f&amp;keep=1&amp;srchmode=1&amp;unlock","Echinops telfairi")</f>
        <v>Echinops telfairi</v>
      </c>
      <c r="H94" t="s">
        <v>114</v>
      </c>
      <c r="I94" t="str">
        <f>HYPERLINK("http://www.ncbi.nlm.nih.gov/protein/XP_004708000.1","fatty acid-binding protein, liver isoform X1")</f>
        <v>fatty acid-binding protein, liver isoform X1</v>
      </c>
      <c r="J94" t="s">
        <v>1381</v>
      </c>
      <c r="K94" t="s">
        <v>25</v>
      </c>
      <c r="L94">
        <v>50</v>
      </c>
      <c r="M94" t="s">
        <v>1382</v>
      </c>
      <c r="N94" t="s">
        <v>25</v>
      </c>
      <c r="O94" t="s">
        <v>1355</v>
      </c>
      <c r="P94" t="s">
        <v>25</v>
      </c>
      <c r="Q94">
        <v>131.17500000000001</v>
      </c>
      <c r="R94" t="s">
        <v>25</v>
      </c>
      <c r="S94" t="s">
        <v>25</v>
      </c>
    </row>
    <row r="95" spans="1:19" x14ac:dyDescent="0.25">
      <c r="A95">
        <v>6</v>
      </c>
      <c r="B95" t="s">
        <v>18</v>
      </c>
      <c r="C95" t="str">
        <f>HYPERLINK("http://www.ncbi.nlm.nih.gov/protein/XP_031297150.1","XP_031297150.1")</f>
        <v>XP_031297150.1</v>
      </c>
      <c r="D95">
        <v>86974</v>
      </c>
      <c r="E95" t="str">
        <f>HYPERLINK("http://www.ncbi.nlm.nih.gov/Taxonomy/Browser/wwwtax.cgi?mode=Info&amp;id=9838&amp;lvl=3&amp;lin=f&amp;keep=1&amp;srchmode=1&amp;unlock","9838")</f>
        <v>9838</v>
      </c>
      <c r="F95" t="s">
        <v>18</v>
      </c>
      <c r="G95" t="str">
        <f>HYPERLINK("http://www.ncbi.nlm.nih.gov/Taxonomy/Browser/wwwtax.cgi?mode=Info&amp;id=9838&amp;lvl=3&amp;lin=f&amp;keep=1&amp;srchmode=1&amp;unlock","Camelus dromedarius")</f>
        <v>Camelus dromedarius</v>
      </c>
      <c r="H95" t="s">
        <v>115</v>
      </c>
      <c r="I95" t="str">
        <f>HYPERLINK("http://www.ncbi.nlm.nih.gov/protein/XP_031297150.1","fatty acid-binding protein, liver")</f>
        <v>fatty acid-binding protein, liver</v>
      </c>
      <c r="J95" t="s">
        <v>1381</v>
      </c>
      <c r="K95" t="s">
        <v>20</v>
      </c>
      <c r="L95">
        <v>50</v>
      </c>
      <c r="M95" t="s">
        <v>1380</v>
      </c>
      <c r="N95" t="s">
        <v>20</v>
      </c>
      <c r="O95" t="s">
        <v>1394</v>
      </c>
      <c r="P95" t="s">
        <v>20</v>
      </c>
      <c r="Q95">
        <v>165.19200000000001</v>
      </c>
      <c r="R95" t="s">
        <v>20</v>
      </c>
      <c r="S95" t="s">
        <v>20</v>
      </c>
    </row>
    <row r="96" spans="1:19" x14ac:dyDescent="0.25">
      <c r="A96">
        <v>6</v>
      </c>
      <c r="B96" t="s">
        <v>18</v>
      </c>
      <c r="C96" t="str">
        <f>HYPERLINK("http://www.ncbi.nlm.nih.gov/protein/XP_040080192.1","XP_040080192.1")</f>
        <v>XP_040080192.1</v>
      </c>
      <c r="D96">
        <v>44054</v>
      </c>
      <c r="E96" t="str">
        <f>HYPERLINK("http://www.ncbi.nlm.nih.gov/Taxonomy/Browser/wwwtax.cgi?mode=Info&amp;id=59534&amp;lvl=3&amp;lin=f&amp;keep=1&amp;srchmode=1&amp;unlock","59534")</f>
        <v>59534</v>
      </c>
      <c r="F96" t="s">
        <v>18</v>
      </c>
      <c r="G96" t="str">
        <f>HYPERLINK("http://www.ncbi.nlm.nih.gov/Taxonomy/Browser/wwwtax.cgi?mode=Info&amp;id=59534&amp;lvl=3&amp;lin=f&amp;keep=1&amp;srchmode=1&amp;unlock","Oryx dammah")</f>
        <v>Oryx dammah</v>
      </c>
      <c r="H96" t="s">
        <v>116</v>
      </c>
      <c r="I96" t="str">
        <f>HYPERLINK("http://www.ncbi.nlm.nih.gov/protein/XP_040080192.1","fatty acid-binding protein, liver")</f>
        <v>fatty acid-binding protein, liver</v>
      </c>
      <c r="J96" t="s">
        <v>1381</v>
      </c>
      <c r="K96" t="s">
        <v>20</v>
      </c>
      <c r="L96">
        <v>50</v>
      </c>
      <c r="M96" t="s">
        <v>1380</v>
      </c>
      <c r="N96" t="s">
        <v>20</v>
      </c>
      <c r="O96" t="s">
        <v>1394</v>
      </c>
      <c r="P96" t="s">
        <v>20</v>
      </c>
      <c r="Q96">
        <v>165.19200000000001</v>
      </c>
      <c r="R96" t="s">
        <v>20</v>
      </c>
      <c r="S96" t="s">
        <v>20</v>
      </c>
    </row>
    <row r="97" spans="1:19" x14ac:dyDescent="0.25">
      <c r="A97">
        <v>6</v>
      </c>
      <c r="B97" t="s">
        <v>18</v>
      </c>
      <c r="C97" t="str">
        <f>HYPERLINK("http://www.ncbi.nlm.nih.gov/protein/XP_027411292.1","XP_027411292.1")</f>
        <v>XP_027411292.1</v>
      </c>
      <c r="D97">
        <v>54422</v>
      </c>
      <c r="E97" t="str">
        <f>HYPERLINK("http://www.ncbi.nlm.nih.gov/Taxonomy/Browser/wwwtax.cgi?mode=Info&amp;id=30522&amp;lvl=3&amp;lin=f&amp;keep=1&amp;srchmode=1&amp;unlock","30522")</f>
        <v>30522</v>
      </c>
      <c r="F97" t="s">
        <v>18</v>
      </c>
      <c r="G97" t="str">
        <f>HYPERLINK("http://www.ncbi.nlm.nih.gov/Taxonomy/Browser/wwwtax.cgi?mode=Info&amp;id=30522&amp;lvl=3&amp;lin=f&amp;keep=1&amp;srchmode=1&amp;unlock","Bos indicus x Bos taurus")</f>
        <v>Bos indicus x Bos taurus</v>
      </c>
      <c r="H97" t="s">
        <v>121</v>
      </c>
      <c r="I97" t="str">
        <f>HYPERLINK("http://www.ncbi.nlm.nih.gov/protein/XP_027411292.1","fatty acid-binding protein, liver")</f>
        <v>fatty acid-binding protein, liver</v>
      </c>
      <c r="J97" t="s">
        <v>1381</v>
      </c>
      <c r="K97" t="s">
        <v>20</v>
      </c>
      <c r="L97">
        <v>50</v>
      </c>
      <c r="M97" t="s">
        <v>1380</v>
      </c>
      <c r="N97" t="s">
        <v>20</v>
      </c>
      <c r="O97" t="s">
        <v>1394</v>
      </c>
      <c r="P97" t="s">
        <v>20</v>
      </c>
      <c r="Q97">
        <v>165.19200000000001</v>
      </c>
      <c r="R97" t="s">
        <v>20</v>
      </c>
      <c r="S97" t="s">
        <v>20</v>
      </c>
    </row>
    <row r="98" spans="1:19" x14ac:dyDescent="0.25">
      <c r="A98">
        <v>6</v>
      </c>
      <c r="B98" t="s">
        <v>18</v>
      </c>
      <c r="C98" t="str">
        <f>HYPERLINK("http://www.ncbi.nlm.nih.gov/protein/XP_003758682.1","XP_003758682.1")</f>
        <v>XP_003758682.1</v>
      </c>
      <c r="D98">
        <v>46282</v>
      </c>
      <c r="E98" t="str">
        <f>HYPERLINK("http://www.ncbi.nlm.nih.gov/Taxonomy/Browser/wwwtax.cgi?mode=Info&amp;id=9305&amp;lvl=3&amp;lin=f&amp;keep=1&amp;srchmode=1&amp;unlock","9305")</f>
        <v>9305</v>
      </c>
      <c r="F98" t="s">
        <v>18</v>
      </c>
      <c r="G98" t="str">
        <f>HYPERLINK("http://www.ncbi.nlm.nih.gov/Taxonomy/Browser/wwwtax.cgi?mode=Info&amp;id=9305&amp;lvl=3&amp;lin=f&amp;keep=1&amp;srchmode=1&amp;unlock","Sarcophilus harrisii")</f>
        <v>Sarcophilus harrisii</v>
      </c>
      <c r="H98" t="s">
        <v>122</v>
      </c>
      <c r="I98" t="str">
        <f>HYPERLINK("http://www.ncbi.nlm.nih.gov/protein/XP_003758682.1","fatty acid-binding protein, liver")</f>
        <v>fatty acid-binding protein, liver</v>
      </c>
      <c r="J98" t="s">
        <v>1381</v>
      </c>
      <c r="K98" t="s">
        <v>25</v>
      </c>
      <c r="L98">
        <v>50</v>
      </c>
      <c r="M98" t="s">
        <v>1382</v>
      </c>
      <c r="N98" t="s">
        <v>25</v>
      </c>
      <c r="O98" t="s">
        <v>1355</v>
      </c>
      <c r="P98" t="s">
        <v>25</v>
      </c>
      <c r="Q98">
        <v>131.17500000000001</v>
      </c>
      <c r="R98" t="s">
        <v>25</v>
      </c>
      <c r="S98" t="s">
        <v>25</v>
      </c>
    </row>
    <row r="99" spans="1:19" x14ac:dyDescent="0.25">
      <c r="A99">
        <v>6</v>
      </c>
      <c r="B99" t="s">
        <v>18</v>
      </c>
      <c r="C99" t="str">
        <f>HYPERLINK("http://www.ncbi.nlm.nih.gov/protein/NP_787011.1","NP_787011.1")</f>
        <v>NP_787011.1</v>
      </c>
      <c r="D99">
        <v>134275</v>
      </c>
      <c r="E99" t="str">
        <f>HYPERLINK("http://www.ncbi.nlm.nih.gov/Taxonomy/Browser/wwwtax.cgi?mode=Info&amp;id=9913&amp;lvl=3&amp;lin=f&amp;keep=1&amp;srchmode=1&amp;unlock","9913")</f>
        <v>9913</v>
      </c>
      <c r="F99" t="s">
        <v>18</v>
      </c>
      <c r="G99" t="str">
        <f>HYPERLINK("http://www.ncbi.nlm.nih.gov/Taxonomy/Browser/wwwtax.cgi?mode=Info&amp;id=9913&amp;lvl=3&amp;lin=f&amp;keep=1&amp;srchmode=1&amp;unlock","Bos taurus")</f>
        <v>Bos taurus</v>
      </c>
      <c r="H99" t="s">
        <v>123</v>
      </c>
      <c r="I99" t="str">
        <f>HYPERLINK("http://www.ncbi.nlm.nih.gov/protein/NP_787011.1","fatty acid-binding protein, liver")</f>
        <v>fatty acid-binding protein, liver</v>
      </c>
      <c r="J99" t="s">
        <v>1381</v>
      </c>
      <c r="K99" t="s">
        <v>20</v>
      </c>
      <c r="L99">
        <v>50</v>
      </c>
      <c r="M99" t="s">
        <v>1380</v>
      </c>
      <c r="N99" t="s">
        <v>20</v>
      </c>
      <c r="O99" t="s">
        <v>1394</v>
      </c>
      <c r="P99" t="s">
        <v>20</v>
      </c>
      <c r="Q99">
        <v>165.19200000000001</v>
      </c>
      <c r="R99" t="s">
        <v>20</v>
      </c>
      <c r="S99" t="s">
        <v>20</v>
      </c>
    </row>
    <row r="100" spans="1:19" x14ac:dyDescent="0.25">
      <c r="A100">
        <v>6</v>
      </c>
      <c r="B100" t="s">
        <v>18</v>
      </c>
      <c r="C100" t="str">
        <f>HYPERLINK("http://www.ncbi.nlm.nih.gov/protein/XP_010860544.1","XP_010860544.1")</f>
        <v>XP_010860544.1</v>
      </c>
      <c r="D100">
        <v>35574</v>
      </c>
      <c r="E100" t="str">
        <f>HYPERLINK("http://www.ncbi.nlm.nih.gov/Taxonomy/Browser/wwwtax.cgi?mode=Info&amp;id=43346&amp;lvl=3&amp;lin=f&amp;keep=1&amp;srchmode=1&amp;unlock","43346")</f>
        <v>43346</v>
      </c>
      <c r="F100" t="s">
        <v>18</v>
      </c>
      <c r="G100" t="str">
        <f>HYPERLINK("http://www.ncbi.nlm.nih.gov/Taxonomy/Browser/wwwtax.cgi?mode=Info&amp;id=43346&amp;lvl=3&amp;lin=f&amp;keep=1&amp;srchmode=1&amp;unlock","Bison bison bison")</f>
        <v>Bison bison bison</v>
      </c>
      <c r="H100" t="s">
        <v>118</v>
      </c>
      <c r="I100" t="str">
        <f>HYPERLINK("http://www.ncbi.nlm.nih.gov/protein/XP_010860544.1","PREDICTED: fatty acid-binding protein, liver")</f>
        <v>PREDICTED: fatty acid-binding protein, liver</v>
      </c>
      <c r="J100" t="s">
        <v>1381</v>
      </c>
      <c r="K100" t="s">
        <v>20</v>
      </c>
      <c r="L100">
        <v>50</v>
      </c>
      <c r="M100" t="s">
        <v>1380</v>
      </c>
      <c r="N100" t="s">
        <v>20</v>
      </c>
      <c r="O100" t="s">
        <v>1394</v>
      </c>
      <c r="P100" t="s">
        <v>20</v>
      </c>
      <c r="Q100">
        <v>165.19200000000001</v>
      </c>
      <c r="R100" t="s">
        <v>20</v>
      </c>
      <c r="S100" t="s">
        <v>20</v>
      </c>
    </row>
    <row r="101" spans="1:19" x14ac:dyDescent="0.25">
      <c r="A101">
        <v>6</v>
      </c>
      <c r="B101" t="s">
        <v>18</v>
      </c>
      <c r="C101" t="str">
        <f>HYPERLINK("http://www.ncbi.nlm.nih.gov/protein/NP_059095.1","NP_059095.1")</f>
        <v>NP_059095.1</v>
      </c>
      <c r="D101">
        <v>329947</v>
      </c>
      <c r="E101" t="str">
        <f>HYPERLINK("http://www.ncbi.nlm.nih.gov/Taxonomy/Browser/wwwtax.cgi?mode=Info&amp;id=10090&amp;lvl=3&amp;lin=f&amp;keep=1&amp;srchmode=1&amp;unlock","10090")</f>
        <v>10090</v>
      </c>
      <c r="F101" t="s">
        <v>18</v>
      </c>
      <c r="G101" t="str">
        <f>HYPERLINK("http://www.ncbi.nlm.nih.gov/Taxonomy/Browser/wwwtax.cgi?mode=Info&amp;id=10090&amp;lvl=3&amp;lin=f&amp;keep=1&amp;srchmode=1&amp;unlock","Mus musculus")</f>
        <v>Mus musculus</v>
      </c>
      <c r="H101" t="s">
        <v>119</v>
      </c>
      <c r="I101" t="str">
        <f>HYPERLINK("http://www.ncbi.nlm.nih.gov/protein/NP_059095.1","fatty acid-binding protein, liver")</f>
        <v>fatty acid-binding protein, liver</v>
      </c>
      <c r="J101" t="s">
        <v>1381</v>
      </c>
      <c r="K101" t="s">
        <v>25</v>
      </c>
      <c r="L101">
        <v>50</v>
      </c>
      <c r="M101" t="s">
        <v>1382</v>
      </c>
      <c r="N101" t="s">
        <v>25</v>
      </c>
      <c r="O101" t="s">
        <v>1355</v>
      </c>
      <c r="P101" t="s">
        <v>25</v>
      </c>
      <c r="Q101">
        <v>131.17500000000001</v>
      </c>
      <c r="R101" t="s">
        <v>25</v>
      </c>
      <c r="S101" t="s">
        <v>25</v>
      </c>
    </row>
    <row r="102" spans="1:19" x14ac:dyDescent="0.25">
      <c r="A102">
        <v>6</v>
      </c>
      <c r="B102" t="s">
        <v>18</v>
      </c>
      <c r="C102" t="str">
        <f>HYPERLINK("http://www.ncbi.nlm.nih.gov/protein/XP_003420466.1","XP_003420466.1")</f>
        <v>XP_003420466.1</v>
      </c>
      <c r="D102">
        <v>41920</v>
      </c>
      <c r="E102" t="str">
        <f>HYPERLINK("http://www.ncbi.nlm.nih.gov/Taxonomy/Browser/wwwtax.cgi?mode=Info&amp;id=9785&amp;lvl=3&amp;lin=f&amp;keep=1&amp;srchmode=1&amp;unlock","9785")</f>
        <v>9785</v>
      </c>
      <c r="F102" t="s">
        <v>18</v>
      </c>
      <c r="G102" t="str">
        <f>HYPERLINK("http://www.ncbi.nlm.nih.gov/Taxonomy/Browser/wwwtax.cgi?mode=Info&amp;id=9785&amp;lvl=3&amp;lin=f&amp;keep=1&amp;srchmode=1&amp;unlock","Loxodonta africana")</f>
        <v>Loxodonta africana</v>
      </c>
      <c r="H102" t="s">
        <v>120</v>
      </c>
      <c r="I102" t="str">
        <f>HYPERLINK("http://www.ncbi.nlm.nih.gov/protein/XP_003420466.1","fatty acid-binding protein, liver")</f>
        <v>fatty acid-binding protein, liver</v>
      </c>
      <c r="J102" t="s">
        <v>1381</v>
      </c>
      <c r="K102" t="s">
        <v>20</v>
      </c>
      <c r="L102">
        <v>50</v>
      </c>
      <c r="M102" t="s">
        <v>1380</v>
      </c>
      <c r="N102" t="s">
        <v>20</v>
      </c>
      <c r="O102" t="s">
        <v>1394</v>
      </c>
      <c r="P102" t="s">
        <v>20</v>
      </c>
      <c r="Q102">
        <v>165.19200000000001</v>
      </c>
      <c r="R102" t="s">
        <v>20</v>
      </c>
      <c r="S102" t="s">
        <v>20</v>
      </c>
    </row>
    <row r="103" spans="1:19" x14ac:dyDescent="0.25">
      <c r="A103">
        <v>6</v>
      </c>
      <c r="B103" t="s">
        <v>18</v>
      </c>
      <c r="C103" t="str">
        <f>HYPERLINK("http://www.ncbi.nlm.nih.gov/protein/XP_006875917.1","XP_006875917.1")</f>
        <v>XP_006875917.1</v>
      </c>
      <c r="D103">
        <v>25292</v>
      </c>
      <c r="E103" t="str">
        <f>HYPERLINK("http://www.ncbi.nlm.nih.gov/Taxonomy/Browser/wwwtax.cgi?mode=Info&amp;id=185453&amp;lvl=3&amp;lin=f&amp;keep=1&amp;srchmode=1&amp;unlock","185453")</f>
        <v>185453</v>
      </c>
      <c r="F103" t="s">
        <v>18</v>
      </c>
      <c r="G103" t="str">
        <f>HYPERLINK("http://www.ncbi.nlm.nih.gov/Taxonomy/Browser/wwwtax.cgi?mode=Info&amp;id=185453&amp;lvl=3&amp;lin=f&amp;keep=1&amp;srchmode=1&amp;unlock","Chrysochloris asiatica")</f>
        <v>Chrysochloris asiatica</v>
      </c>
      <c r="H103" t="s">
        <v>124</v>
      </c>
      <c r="I103" t="str">
        <f>HYPERLINK("http://www.ncbi.nlm.nih.gov/protein/XP_006875917.1","PREDICTED: fatty acid-binding protein, liver")</f>
        <v>PREDICTED: fatty acid-binding protein, liver</v>
      </c>
      <c r="J103" t="s">
        <v>1381</v>
      </c>
      <c r="K103" t="s">
        <v>25</v>
      </c>
      <c r="L103">
        <v>50</v>
      </c>
      <c r="M103" t="s">
        <v>1382</v>
      </c>
      <c r="N103" t="s">
        <v>25</v>
      </c>
      <c r="O103" t="s">
        <v>1355</v>
      </c>
      <c r="P103" t="s">
        <v>25</v>
      </c>
      <c r="Q103">
        <v>131.17500000000001</v>
      </c>
      <c r="R103" t="s">
        <v>25</v>
      </c>
      <c r="S103" t="s">
        <v>25</v>
      </c>
    </row>
    <row r="104" spans="1:19" x14ac:dyDescent="0.25">
      <c r="A104">
        <v>6</v>
      </c>
      <c r="B104" t="s">
        <v>18</v>
      </c>
      <c r="C104" t="str">
        <f>HYPERLINK("http://www.ncbi.nlm.nih.gov/protein/XP_031236734.1","XP_031236734.1")</f>
        <v>XP_031236734.1</v>
      </c>
      <c r="D104">
        <v>54478</v>
      </c>
      <c r="E104" t="str">
        <f>HYPERLINK("http://www.ncbi.nlm.nih.gov/Taxonomy/Browser/wwwtax.cgi?mode=Info&amp;id=35658&amp;lvl=3&amp;lin=f&amp;keep=1&amp;srchmode=1&amp;unlock","35658")</f>
        <v>35658</v>
      </c>
      <c r="F104" t="s">
        <v>18</v>
      </c>
      <c r="G104" t="str">
        <f>HYPERLINK("http://www.ncbi.nlm.nih.gov/Taxonomy/Browser/wwwtax.cgi?mode=Info&amp;id=35658&amp;lvl=3&amp;lin=f&amp;keep=1&amp;srchmode=1&amp;unlock","Mastomys coucha")</f>
        <v>Mastomys coucha</v>
      </c>
      <c r="H104" t="s">
        <v>127</v>
      </c>
      <c r="I104" t="str">
        <f>HYPERLINK("http://www.ncbi.nlm.nih.gov/protein/XP_031236734.1","fatty acid-binding protein, liver")</f>
        <v>fatty acid-binding protein, liver</v>
      </c>
      <c r="J104" t="s">
        <v>1381</v>
      </c>
      <c r="K104" t="s">
        <v>25</v>
      </c>
      <c r="L104">
        <v>50</v>
      </c>
      <c r="M104" t="s">
        <v>1382</v>
      </c>
      <c r="N104" t="s">
        <v>25</v>
      </c>
      <c r="O104" t="s">
        <v>1355</v>
      </c>
      <c r="P104" t="s">
        <v>25</v>
      </c>
      <c r="Q104">
        <v>131.17500000000001</v>
      </c>
      <c r="R104" t="s">
        <v>25</v>
      </c>
      <c r="S104" t="s">
        <v>25</v>
      </c>
    </row>
    <row r="105" spans="1:19" x14ac:dyDescent="0.25">
      <c r="A105">
        <v>6</v>
      </c>
      <c r="B105" t="s">
        <v>18</v>
      </c>
      <c r="C105" t="str">
        <f>HYPERLINK("http://www.ncbi.nlm.nih.gov/protein/XP_028716054.1","XP_028716054.1")</f>
        <v>XP_028716054.1</v>
      </c>
      <c r="D105">
        <v>48460</v>
      </c>
      <c r="E105" t="str">
        <f>HYPERLINK("http://www.ncbi.nlm.nih.gov/Taxonomy/Browser/wwwtax.cgi?mode=Info&amp;id=10041&amp;lvl=3&amp;lin=f&amp;keep=1&amp;srchmode=1&amp;unlock","10041")</f>
        <v>10041</v>
      </c>
      <c r="F105" t="s">
        <v>18</v>
      </c>
      <c r="G105" t="str">
        <f>HYPERLINK("http://www.ncbi.nlm.nih.gov/Taxonomy/Browser/wwwtax.cgi?mode=Info&amp;id=10041&amp;lvl=3&amp;lin=f&amp;keep=1&amp;srchmode=1&amp;unlock","Peromyscus leucopus")</f>
        <v>Peromyscus leucopus</v>
      </c>
      <c r="H105" t="s">
        <v>128</v>
      </c>
      <c r="I105" t="str">
        <f>HYPERLINK("http://www.ncbi.nlm.nih.gov/protein/XP_028716054.1","fatty acid-binding protein, liver")</f>
        <v>fatty acid-binding protein, liver</v>
      </c>
      <c r="J105" t="s">
        <v>1381</v>
      </c>
      <c r="K105" t="s">
        <v>25</v>
      </c>
      <c r="L105">
        <v>50</v>
      </c>
      <c r="M105" t="s">
        <v>1382</v>
      </c>
      <c r="N105" t="s">
        <v>25</v>
      </c>
      <c r="O105" t="s">
        <v>1355</v>
      </c>
      <c r="P105" t="s">
        <v>25</v>
      </c>
      <c r="Q105">
        <v>131.17500000000001</v>
      </c>
      <c r="R105" t="s">
        <v>25</v>
      </c>
      <c r="S105" t="s">
        <v>25</v>
      </c>
    </row>
    <row r="106" spans="1:19" x14ac:dyDescent="0.25">
      <c r="A106">
        <v>6</v>
      </c>
      <c r="B106" t="s">
        <v>18</v>
      </c>
      <c r="C106" t="str">
        <f>HYPERLINK("http://www.ncbi.nlm.nih.gov/protein/XP_004388282.1","XP_004388282.1")</f>
        <v>XP_004388282.1</v>
      </c>
      <c r="D106">
        <v>37488</v>
      </c>
      <c r="E106" t="str">
        <f>HYPERLINK("http://www.ncbi.nlm.nih.gov/Taxonomy/Browser/wwwtax.cgi?mode=Info&amp;id=127582&amp;lvl=3&amp;lin=f&amp;keep=1&amp;srchmode=1&amp;unlock","127582")</f>
        <v>127582</v>
      </c>
      <c r="F106" t="s">
        <v>18</v>
      </c>
      <c r="G106" t="str">
        <f>HYPERLINK("http://www.ncbi.nlm.nih.gov/Taxonomy/Browser/wwwtax.cgi?mode=Info&amp;id=127582&amp;lvl=3&amp;lin=f&amp;keep=1&amp;srchmode=1&amp;unlock","Trichechus manatus latirostris")</f>
        <v>Trichechus manatus latirostris</v>
      </c>
      <c r="H106" t="s">
        <v>125</v>
      </c>
      <c r="I106" t="str">
        <f>HYPERLINK("http://www.ncbi.nlm.nih.gov/protein/XP_004388282.1","fatty acid-binding protein, liver")</f>
        <v>fatty acid-binding protein, liver</v>
      </c>
      <c r="J106" t="s">
        <v>1381</v>
      </c>
      <c r="K106" t="s">
        <v>25</v>
      </c>
      <c r="L106">
        <v>50</v>
      </c>
      <c r="M106" t="s">
        <v>1382</v>
      </c>
      <c r="N106" t="s">
        <v>25</v>
      </c>
      <c r="O106" t="s">
        <v>1355</v>
      </c>
      <c r="P106" t="s">
        <v>25</v>
      </c>
      <c r="Q106">
        <v>131.17500000000001</v>
      </c>
      <c r="R106" t="s">
        <v>25</v>
      </c>
      <c r="S106" t="s">
        <v>25</v>
      </c>
    </row>
    <row r="107" spans="1:19" x14ac:dyDescent="0.25">
      <c r="A107">
        <v>6</v>
      </c>
      <c r="B107" t="s">
        <v>18</v>
      </c>
      <c r="C107" t="str">
        <f>HYPERLINK("http://www.ncbi.nlm.nih.gov/protein/XP_021021254.1","XP_021021254.1")</f>
        <v>XP_021021254.1</v>
      </c>
      <c r="D107">
        <v>47716</v>
      </c>
      <c r="E107" t="str">
        <f>HYPERLINK("http://www.ncbi.nlm.nih.gov/Taxonomy/Browser/wwwtax.cgi?mode=Info&amp;id=10089&amp;lvl=3&amp;lin=f&amp;keep=1&amp;srchmode=1&amp;unlock","10089")</f>
        <v>10089</v>
      </c>
      <c r="F107" t="s">
        <v>18</v>
      </c>
      <c r="G107" t="str">
        <f>HYPERLINK("http://www.ncbi.nlm.nih.gov/Taxonomy/Browser/wwwtax.cgi?mode=Info&amp;id=10089&amp;lvl=3&amp;lin=f&amp;keep=1&amp;srchmode=1&amp;unlock","Mus caroli")</f>
        <v>Mus caroli</v>
      </c>
      <c r="H107" t="s">
        <v>126</v>
      </c>
      <c r="I107" t="str">
        <f>HYPERLINK("http://www.ncbi.nlm.nih.gov/protein/XP_021021254.1","fatty acid-binding protein, liver")</f>
        <v>fatty acid-binding protein, liver</v>
      </c>
      <c r="J107" t="s">
        <v>1381</v>
      </c>
      <c r="K107" t="s">
        <v>25</v>
      </c>
      <c r="L107">
        <v>50</v>
      </c>
      <c r="M107" t="s">
        <v>1382</v>
      </c>
      <c r="N107" t="s">
        <v>25</v>
      </c>
      <c r="O107" t="s">
        <v>1355</v>
      </c>
      <c r="P107" t="s">
        <v>25</v>
      </c>
      <c r="Q107">
        <v>131.17500000000001</v>
      </c>
      <c r="R107" t="s">
        <v>25</v>
      </c>
      <c r="S107" t="s">
        <v>25</v>
      </c>
    </row>
    <row r="108" spans="1:19" x14ac:dyDescent="0.25">
      <c r="A108">
        <v>6</v>
      </c>
      <c r="B108" t="s">
        <v>18</v>
      </c>
      <c r="C108" t="str">
        <f>HYPERLINK("http://www.ncbi.nlm.nih.gov/protein/XP_004005947.1","XP_004005947.1")</f>
        <v>XP_004005947.1</v>
      </c>
      <c r="D108">
        <v>73093</v>
      </c>
      <c r="E108" t="str">
        <f>HYPERLINK("http://www.ncbi.nlm.nih.gov/Taxonomy/Browser/wwwtax.cgi?mode=Info&amp;id=9940&amp;lvl=3&amp;lin=f&amp;keep=1&amp;srchmode=1&amp;unlock","9940")</f>
        <v>9940</v>
      </c>
      <c r="F108" t="s">
        <v>18</v>
      </c>
      <c r="G108" t="str">
        <f>HYPERLINK("http://www.ncbi.nlm.nih.gov/Taxonomy/Browser/wwwtax.cgi?mode=Info&amp;id=9940&amp;lvl=3&amp;lin=f&amp;keep=1&amp;srchmode=1&amp;unlock","Ovis aries")</f>
        <v>Ovis aries</v>
      </c>
      <c r="H108" t="s">
        <v>129</v>
      </c>
      <c r="I108" t="str">
        <f>HYPERLINK("http://www.ncbi.nlm.nih.gov/protein/XP_004005947.1","fatty acid-binding protein, liver")</f>
        <v>fatty acid-binding protein, liver</v>
      </c>
      <c r="J108" t="s">
        <v>1381</v>
      </c>
      <c r="K108" t="s">
        <v>20</v>
      </c>
      <c r="L108">
        <v>50</v>
      </c>
      <c r="M108" t="s">
        <v>1380</v>
      </c>
      <c r="N108" t="s">
        <v>20</v>
      </c>
      <c r="O108" t="s">
        <v>1394</v>
      </c>
      <c r="P108" t="s">
        <v>20</v>
      </c>
      <c r="Q108">
        <v>165.19200000000001</v>
      </c>
      <c r="R108" t="s">
        <v>20</v>
      </c>
      <c r="S108" t="s">
        <v>20</v>
      </c>
    </row>
    <row r="109" spans="1:19" x14ac:dyDescent="0.25">
      <c r="A109">
        <v>6</v>
      </c>
      <c r="B109" t="s">
        <v>18</v>
      </c>
      <c r="C109" t="str">
        <f>HYPERLINK("http://www.ncbi.nlm.nih.gov/protein/XP_034368414.1","XP_034368414.1")</f>
        <v>XP_034368414.1</v>
      </c>
      <c r="D109">
        <v>41675</v>
      </c>
      <c r="E109" t="str">
        <f>HYPERLINK("http://www.ncbi.nlm.nih.gov/Taxonomy/Browser/wwwtax.cgi?mode=Info&amp;id=61156&amp;lvl=3&amp;lin=f&amp;keep=1&amp;srchmode=1&amp;unlock","61156")</f>
        <v>61156</v>
      </c>
      <c r="F109" t="s">
        <v>18</v>
      </c>
      <c r="G109" t="str">
        <f>HYPERLINK("http://www.ncbi.nlm.nih.gov/Taxonomy/Browser/wwwtax.cgi?mode=Info&amp;id=61156&amp;lvl=3&amp;lin=f&amp;keep=1&amp;srchmode=1&amp;unlock","Arvicanthis niloticus")</f>
        <v>Arvicanthis niloticus</v>
      </c>
      <c r="H109" t="s">
        <v>130</v>
      </c>
      <c r="I109" t="str">
        <f>HYPERLINK("http://www.ncbi.nlm.nih.gov/protein/XP_034368414.1","fatty acid-binding protein, liver")</f>
        <v>fatty acid-binding protein, liver</v>
      </c>
      <c r="J109" t="s">
        <v>1381</v>
      </c>
      <c r="K109" t="s">
        <v>25</v>
      </c>
      <c r="L109">
        <v>50</v>
      </c>
      <c r="M109" t="s">
        <v>1382</v>
      </c>
      <c r="N109" t="s">
        <v>25</v>
      </c>
      <c r="O109" t="s">
        <v>1355</v>
      </c>
      <c r="P109" t="s">
        <v>25</v>
      </c>
      <c r="Q109">
        <v>131.17500000000001</v>
      </c>
      <c r="R109" t="s">
        <v>25</v>
      </c>
      <c r="S109" t="s">
        <v>25</v>
      </c>
    </row>
    <row r="110" spans="1:19" x14ac:dyDescent="0.25">
      <c r="A110">
        <v>6</v>
      </c>
      <c r="B110" t="s">
        <v>18</v>
      </c>
      <c r="C110" t="str">
        <f>HYPERLINK("http://www.ncbi.nlm.nih.gov/protein/XP_024414363.1","XP_024414363.1")</f>
        <v>XP_024414363.1</v>
      </c>
      <c r="D110">
        <v>30698</v>
      </c>
      <c r="E110" t="str">
        <f>HYPERLINK("http://www.ncbi.nlm.nih.gov/Taxonomy/Browser/wwwtax.cgi?mode=Info&amp;id=9430&amp;lvl=3&amp;lin=f&amp;keep=1&amp;srchmode=1&amp;unlock","9430")</f>
        <v>9430</v>
      </c>
      <c r="F110" t="s">
        <v>18</v>
      </c>
      <c r="G110" t="str">
        <f>HYPERLINK("http://www.ncbi.nlm.nih.gov/Taxonomy/Browser/wwwtax.cgi?mode=Info&amp;id=9430&amp;lvl=3&amp;lin=f&amp;keep=1&amp;srchmode=1&amp;unlock","Desmodus rotundus")</f>
        <v>Desmodus rotundus</v>
      </c>
      <c r="H110" t="s">
        <v>131</v>
      </c>
      <c r="I110" t="str">
        <f>HYPERLINK("http://www.ncbi.nlm.nih.gov/protein/XP_024414363.1","fatty acid-binding protein, liver")</f>
        <v>fatty acid-binding protein, liver</v>
      </c>
      <c r="J110" t="s">
        <v>1381</v>
      </c>
      <c r="K110" t="s">
        <v>25</v>
      </c>
      <c r="L110">
        <v>50</v>
      </c>
      <c r="M110" t="s">
        <v>1382</v>
      </c>
      <c r="N110" t="s">
        <v>25</v>
      </c>
      <c r="O110" t="s">
        <v>1355</v>
      </c>
      <c r="P110" t="s">
        <v>25</v>
      </c>
      <c r="Q110">
        <v>131.17500000000001</v>
      </c>
      <c r="R110" t="s">
        <v>25</v>
      </c>
      <c r="S110" t="s">
        <v>25</v>
      </c>
    </row>
    <row r="111" spans="1:19" x14ac:dyDescent="0.25">
      <c r="A111">
        <v>6</v>
      </c>
      <c r="B111" t="s">
        <v>18</v>
      </c>
      <c r="C111" t="str">
        <f>HYPERLINK("http://www.ncbi.nlm.nih.gov/protein/XP_021047421.1","XP_021047421.1")</f>
        <v>XP_021047421.1</v>
      </c>
      <c r="D111">
        <v>42356</v>
      </c>
      <c r="E111" t="str">
        <f>HYPERLINK("http://www.ncbi.nlm.nih.gov/Taxonomy/Browser/wwwtax.cgi?mode=Info&amp;id=10093&amp;lvl=3&amp;lin=f&amp;keep=1&amp;srchmode=1&amp;unlock","10093")</f>
        <v>10093</v>
      </c>
      <c r="F111" t="s">
        <v>18</v>
      </c>
      <c r="G111" t="str">
        <f>HYPERLINK("http://www.ncbi.nlm.nih.gov/Taxonomy/Browser/wwwtax.cgi?mode=Info&amp;id=10093&amp;lvl=3&amp;lin=f&amp;keep=1&amp;srchmode=1&amp;unlock","Mus pahari")</f>
        <v>Mus pahari</v>
      </c>
      <c r="H111" t="s">
        <v>132</v>
      </c>
      <c r="I111" t="str">
        <f>HYPERLINK("http://www.ncbi.nlm.nih.gov/protein/XP_021047421.1","fatty acid-binding protein, liver")</f>
        <v>fatty acid-binding protein, liver</v>
      </c>
      <c r="J111" t="s">
        <v>1381</v>
      </c>
      <c r="K111" t="s">
        <v>25</v>
      </c>
      <c r="L111">
        <v>50</v>
      </c>
      <c r="M111" t="s">
        <v>1382</v>
      </c>
      <c r="N111" t="s">
        <v>25</v>
      </c>
      <c r="O111" t="s">
        <v>1355</v>
      </c>
      <c r="P111" t="s">
        <v>25</v>
      </c>
      <c r="Q111">
        <v>131.17500000000001</v>
      </c>
      <c r="R111" t="s">
        <v>25</v>
      </c>
      <c r="S111" t="s">
        <v>25</v>
      </c>
    </row>
    <row r="112" spans="1:19" x14ac:dyDescent="0.25">
      <c r="A112">
        <v>6</v>
      </c>
      <c r="B112" t="s">
        <v>18</v>
      </c>
      <c r="C112" t="str">
        <f>HYPERLINK("http://www.ncbi.nlm.nih.gov/protein/XP_028618311.1","XP_028618311.1")</f>
        <v>XP_028618311.1</v>
      </c>
      <c r="D112">
        <v>38217</v>
      </c>
      <c r="E112" t="str">
        <f>HYPERLINK("http://www.ncbi.nlm.nih.gov/Taxonomy/Browser/wwwtax.cgi?mode=Info&amp;id=491861&amp;lvl=3&amp;lin=f&amp;keep=1&amp;srchmode=1&amp;unlock","491861")</f>
        <v>491861</v>
      </c>
      <c r="F112" t="s">
        <v>18</v>
      </c>
      <c r="G112" t="str">
        <f>HYPERLINK("http://www.ncbi.nlm.nih.gov/Taxonomy/Browser/wwwtax.cgi?mode=Info&amp;id=491861&amp;lvl=3&amp;lin=f&amp;keep=1&amp;srchmode=1&amp;unlock","Grammomys surdaster")</f>
        <v>Grammomys surdaster</v>
      </c>
      <c r="H112" t="s">
        <v>133</v>
      </c>
      <c r="I112" t="str">
        <f>HYPERLINK("http://www.ncbi.nlm.nih.gov/protein/XP_028618311.1","fatty acid-binding protein, liver")</f>
        <v>fatty acid-binding protein, liver</v>
      </c>
      <c r="J112" t="s">
        <v>1381</v>
      </c>
      <c r="K112" t="s">
        <v>25</v>
      </c>
      <c r="L112">
        <v>50</v>
      </c>
      <c r="M112" t="s">
        <v>1382</v>
      </c>
      <c r="N112" t="s">
        <v>25</v>
      </c>
      <c r="O112" t="s">
        <v>1355</v>
      </c>
      <c r="P112" t="s">
        <v>25</v>
      </c>
      <c r="Q112">
        <v>131.17500000000001</v>
      </c>
      <c r="R112" t="s">
        <v>25</v>
      </c>
      <c r="S112" t="s">
        <v>25</v>
      </c>
    </row>
    <row r="113" spans="1:19" x14ac:dyDescent="0.25">
      <c r="A113">
        <v>6</v>
      </c>
      <c r="B113" t="s">
        <v>18</v>
      </c>
      <c r="C113" t="str">
        <f>HYPERLINK("http://www.ncbi.nlm.nih.gov/protein/NP_036688.1","NP_036688.1")</f>
        <v>NP_036688.1</v>
      </c>
      <c r="D113">
        <v>157817</v>
      </c>
      <c r="E113" t="str">
        <f>HYPERLINK("http://www.ncbi.nlm.nih.gov/Taxonomy/Browser/wwwtax.cgi?mode=Info&amp;id=10116&amp;lvl=3&amp;lin=f&amp;keep=1&amp;srchmode=1&amp;unlock","10116")</f>
        <v>10116</v>
      </c>
      <c r="F113" t="s">
        <v>18</v>
      </c>
      <c r="G113" t="str">
        <f>HYPERLINK("http://www.ncbi.nlm.nih.gov/Taxonomy/Browser/wwwtax.cgi?mode=Info&amp;id=10116&amp;lvl=3&amp;lin=f&amp;keep=1&amp;srchmode=1&amp;unlock","Rattus norvegicus")</f>
        <v>Rattus norvegicus</v>
      </c>
      <c r="H113" t="s">
        <v>136</v>
      </c>
      <c r="I113" t="str">
        <f>HYPERLINK("http://www.ncbi.nlm.nih.gov/protein/NP_036688.1","fatty acid-binding protein, liver")</f>
        <v>fatty acid-binding protein, liver</v>
      </c>
      <c r="J113" t="s">
        <v>1381</v>
      </c>
      <c r="K113" t="s">
        <v>25</v>
      </c>
      <c r="L113">
        <v>50</v>
      </c>
      <c r="M113" t="s">
        <v>1382</v>
      </c>
      <c r="N113" t="s">
        <v>25</v>
      </c>
      <c r="O113" t="s">
        <v>1355</v>
      </c>
      <c r="P113" t="s">
        <v>25</v>
      </c>
      <c r="Q113">
        <v>131.17500000000001</v>
      </c>
      <c r="R113" t="s">
        <v>25</v>
      </c>
      <c r="S113" t="s">
        <v>25</v>
      </c>
    </row>
    <row r="114" spans="1:19" x14ac:dyDescent="0.25">
      <c r="A114">
        <v>6</v>
      </c>
      <c r="B114" t="s">
        <v>18</v>
      </c>
      <c r="C114" t="str">
        <f>HYPERLINK("http://www.ncbi.nlm.nih.gov/protein/XP_036036299.1","XP_036036299.1")</f>
        <v>XP_036036299.1</v>
      </c>
      <c r="D114">
        <v>43277</v>
      </c>
      <c r="E114" t="str">
        <f>HYPERLINK("http://www.ncbi.nlm.nih.gov/Taxonomy/Browser/wwwtax.cgi?mode=Info&amp;id=38674&amp;lvl=3&amp;lin=f&amp;keep=1&amp;srchmode=1&amp;unlock","38674")</f>
        <v>38674</v>
      </c>
      <c r="F114" t="s">
        <v>18</v>
      </c>
      <c r="G114" t="str">
        <f>HYPERLINK("http://www.ncbi.nlm.nih.gov/Taxonomy/Browser/wwwtax.cgi?mode=Info&amp;id=38674&amp;lvl=3&amp;lin=f&amp;keep=1&amp;srchmode=1&amp;unlock","Onychomys torridus")</f>
        <v>Onychomys torridus</v>
      </c>
      <c r="H114" t="s">
        <v>137</v>
      </c>
      <c r="I114" t="str">
        <f>HYPERLINK("http://www.ncbi.nlm.nih.gov/protein/XP_036036299.1","fatty acid-binding protein, liver")</f>
        <v>fatty acid-binding protein, liver</v>
      </c>
      <c r="J114" t="s">
        <v>1381</v>
      </c>
      <c r="K114" t="s">
        <v>25</v>
      </c>
      <c r="L114">
        <v>50</v>
      </c>
      <c r="M114" t="s">
        <v>1382</v>
      </c>
      <c r="N114" t="s">
        <v>25</v>
      </c>
      <c r="O114" t="s">
        <v>1355</v>
      </c>
      <c r="P114" t="s">
        <v>25</v>
      </c>
      <c r="Q114">
        <v>131.17500000000001</v>
      </c>
      <c r="R114" t="s">
        <v>25</v>
      </c>
      <c r="S114" t="s">
        <v>25</v>
      </c>
    </row>
    <row r="115" spans="1:19" x14ac:dyDescent="0.25">
      <c r="A115">
        <v>6</v>
      </c>
      <c r="B115" t="s">
        <v>18</v>
      </c>
      <c r="C115" t="str">
        <f>HYPERLINK("http://www.ncbi.nlm.nih.gov/protein/XP_032762229.1","XP_032762229.1")</f>
        <v>XP_032762229.1</v>
      </c>
      <c r="D115">
        <v>36373</v>
      </c>
      <c r="E115" t="str">
        <f>HYPERLINK("http://www.ncbi.nlm.nih.gov/Taxonomy/Browser/wwwtax.cgi?mode=Info&amp;id=10117&amp;lvl=3&amp;lin=f&amp;keep=1&amp;srchmode=1&amp;unlock","10117")</f>
        <v>10117</v>
      </c>
      <c r="F115" t="s">
        <v>18</v>
      </c>
      <c r="G115" t="str">
        <f>HYPERLINK("http://www.ncbi.nlm.nih.gov/Taxonomy/Browser/wwwtax.cgi?mode=Info&amp;id=10117&amp;lvl=3&amp;lin=f&amp;keep=1&amp;srchmode=1&amp;unlock","Rattus rattus")</f>
        <v>Rattus rattus</v>
      </c>
      <c r="H115" t="s">
        <v>138</v>
      </c>
      <c r="I115" t="str">
        <f>HYPERLINK("http://www.ncbi.nlm.nih.gov/protein/XP_032762229.1","fatty acid-binding protein, liver")</f>
        <v>fatty acid-binding protein, liver</v>
      </c>
      <c r="J115" t="s">
        <v>1381</v>
      </c>
      <c r="K115" t="s">
        <v>25</v>
      </c>
      <c r="L115">
        <v>50</v>
      </c>
      <c r="M115" t="s">
        <v>1382</v>
      </c>
      <c r="N115" t="s">
        <v>25</v>
      </c>
      <c r="O115" t="s">
        <v>1355</v>
      </c>
      <c r="P115" t="s">
        <v>25</v>
      </c>
      <c r="Q115">
        <v>131.17500000000001</v>
      </c>
      <c r="R115" t="s">
        <v>25</v>
      </c>
      <c r="S115" t="s">
        <v>25</v>
      </c>
    </row>
    <row r="116" spans="1:19" x14ac:dyDescent="0.25">
      <c r="A116">
        <v>6</v>
      </c>
      <c r="B116" t="s">
        <v>18</v>
      </c>
      <c r="C116" t="str">
        <f>HYPERLINK("http://www.ncbi.nlm.nih.gov/protein/XP_007102601.1","XP_007102601.1")</f>
        <v>XP_007102601.1</v>
      </c>
      <c r="D116">
        <v>51265</v>
      </c>
      <c r="E116" t="str">
        <f>HYPERLINK("http://www.ncbi.nlm.nih.gov/Taxonomy/Browser/wwwtax.cgi?mode=Info&amp;id=9755&amp;lvl=3&amp;lin=f&amp;keep=1&amp;srchmode=1&amp;unlock","9755")</f>
        <v>9755</v>
      </c>
      <c r="F116" t="s">
        <v>18</v>
      </c>
      <c r="G116" t="str">
        <f>HYPERLINK("http://www.ncbi.nlm.nih.gov/Taxonomy/Browser/wwwtax.cgi?mode=Info&amp;id=9755&amp;lvl=3&amp;lin=f&amp;keep=1&amp;srchmode=1&amp;unlock","Physeter catodon")</f>
        <v>Physeter catodon</v>
      </c>
      <c r="H116" t="s">
        <v>139</v>
      </c>
      <c r="I116" t="str">
        <f>HYPERLINK("http://www.ncbi.nlm.nih.gov/protein/XP_007102601.1","fatty acid-binding protein, liver")</f>
        <v>fatty acid-binding protein, liver</v>
      </c>
      <c r="J116" t="s">
        <v>1381</v>
      </c>
      <c r="K116" t="s">
        <v>20</v>
      </c>
      <c r="L116">
        <v>50</v>
      </c>
      <c r="M116" t="s">
        <v>1380</v>
      </c>
      <c r="N116" t="s">
        <v>20</v>
      </c>
      <c r="O116" t="s">
        <v>1394</v>
      </c>
      <c r="P116" t="s">
        <v>20</v>
      </c>
      <c r="Q116">
        <v>165.19200000000001</v>
      </c>
      <c r="R116" t="s">
        <v>20</v>
      </c>
      <c r="S116" t="s">
        <v>20</v>
      </c>
    </row>
    <row r="117" spans="1:19" x14ac:dyDescent="0.25">
      <c r="A117">
        <v>6</v>
      </c>
      <c r="B117" t="s">
        <v>18</v>
      </c>
      <c r="C117" t="str">
        <f>HYPERLINK("http://www.ncbi.nlm.nih.gov/protein/XP_003468992.1","XP_003468992.1")</f>
        <v>XP_003468992.1</v>
      </c>
      <c r="D117">
        <v>49097</v>
      </c>
      <c r="E117" t="str">
        <f>HYPERLINK("http://www.ncbi.nlm.nih.gov/Taxonomy/Browser/wwwtax.cgi?mode=Info&amp;id=10141&amp;lvl=3&amp;lin=f&amp;keep=1&amp;srchmode=1&amp;unlock","10141")</f>
        <v>10141</v>
      </c>
      <c r="F117" t="s">
        <v>18</v>
      </c>
      <c r="G117" t="str">
        <f>HYPERLINK("http://www.ncbi.nlm.nih.gov/Taxonomy/Browser/wwwtax.cgi?mode=Info&amp;id=10141&amp;lvl=3&amp;lin=f&amp;keep=1&amp;srchmode=1&amp;unlock","Cavia porcellus")</f>
        <v>Cavia porcellus</v>
      </c>
      <c r="H117" t="s">
        <v>142</v>
      </c>
      <c r="I117" t="str">
        <f>HYPERLINK("http://www.ncbi.nlm.nih.gov/protein/XP_003468992.1","fatty acid-binding protein, liver-like")</f>
        <v>fatty acid-binding protein, liver-like</v>
      </c>
      <c r="J117" t="s">
        <v>1381</v>
      </c>
      <c r="K117" t="s">
        <v>25</v>
      </c>
      <c r="L117">
        <v>50</v>
      </c>
      <c r="M117" t="s">
        <v>1383</v>
      </c>
      <c r="N117" t="s">
        <v>25</v>
      </c>
      <c r="O117" t="s">
        <v>1355</v>
      </c>
      <c r="P117" t="s">
        <v>25</v>
      </c>
      <c r="Q117">
        <v>131.17500000000001</v>
      </c>
      <c r="R117" t="s">
        <v>25</v>
      </c>
      <c r="S117" t="s">
        <v>25</v>
      </c>
    </row>
    <row r="118" spans="1:19" x14ac:dyDescent="0.25">
      <c r="A118">
        <v>6</v>
      </c>
      <c r="B118" t="s">
        <v>18</v>
      </c>
      <c r="C118" t="str">
        <f>HYPERLINK("http://www.ncbi.nlm.nih.gov/protein/XP_037384769.1","XP_037384769.1")</f>
        <v>XP_037384769.1</v>
      </c>
      <c r="D118">
        <v>39570</v>
      </c>
      <c r="E118" t="str">
        <f>HYPERLINK("http://www.ncbi.nlm.nih.gov/Taxonomy/Browser/wwwtax.cgi?mode=Info&amp;id=50954&amp;lvl=3&amp;lin=f&amp;keep=1&amp;srchmode=1&amp;unlock","50954")</f>
        <v>50954</v>
      </c>
      <c r="F118" t="s">
        <v>18</v>
      </c>
      <c r="G118" t="str">
        <f>HYPERLINK("http://www.ncbi.nlm.nih.gov/Taxonomy/Browser/wwwtax.cgi?mode=Info&amp;id=50954&amp;lvl=3&amp;lin=f&amp;keep=1&amp;srchmode=1&amp;unlock","Talpa occidentalis")</f>
        <v>Talpa occidentalis</v>
      </c>
      <c r="H118" t="s">
        <v>143</v>
      </c>
      <c r="I118" t="str">
        <f>HYPERLINK("http://www.ncbi.nlm.nih.gov/protein/XP_037384769.1","fatty acid-binding protein, liver")</f>
        <v>fatty acid-binding protein, liver</v>
      </c>
      <c r="J118" t="s">
        <v>1381</v>
      </c>
      <c r="K118" t="s">
        <v>25</v>
      </c>
      <c r="L118">
        <v>50</v>
      </c>
      <c r="M118" t="s">
        <v>1382</v>
      </c>
      <c r="N118" t="s">
        <v>25</v>
      </c>
      <c r="O118" t="s">
        <v>1355</v>
      </c>
      <c r="P118" t="s">
        <v>25</v>
      </c>
      <c r="Q118">
        <v>131.17500000000001</v>
      </c>
      <c r="R118" t="s">
        <v>25</v>
      </c>
      <c r="S118" t="s">
        <v>25</v>
      </c>
    </row>
    <row r="119" spans="1:19" x14ac:dyDescent="0.25">
      <c r="A119">
        <v>6</v>
      </c>
      <c r="B119" t="s">
        <v>18</v>
      </c>
      <c r="C119" t="str">
        <f>HYPERLINK("http://www.ncbi.nlm.nih.gov/protein/EHA99113.1","EHA99113.1")</f>
        <v>EHA99113.1</v>
      </c>
      <c r="D119">
        <v>82656</v>
      </c>
      <c r="E119" t="str">
        <f>HYPERLINK("http://www.ncbi.nlm.nih.gov/Taxonomy/Browser/wwwtax.cgi?mode=Info&amp;id=10181&amp;lvl=3&amp;lin=f&amp;keep=1&amp;srchmode=1&amp;unlock","10181")</f>
        <v>10181</v>
      </c>
      <c r="F119" t="s">
        <v>18</v>
      </c>
      <c r="G119" t="str">
        <f>HYPERLINK("http://www.ncbi.nlm.nih.gov/Taxonomy/Browser/wwwtax.cgi?mode=Info&amp;id=10181&amp;lvl=3&amp;lin=f&amp;keep=1&amp;srchmode=1&amp;unlock","Heterocephalus glaber")</f>
        <v>Heterocephalus glaber</v>
      </c>
      <c r="H119" t="s">
        <v>144</v>
      </c>
      <c r="I119" t="str">
        <f>HYPERLINK("http://www.ncbi.nlm.nih.gov/protein/EHA99113.1","Fatty acid-binding protein, liver")</f>
        <v>Fatty acid-binding protein, liver</v>
      </c>
      <c r="J119" t="s">
        <v>1381</v>
      </c>
      <c r="K119" t="s">
        <v>25</v>
      </c>
      <c r="L119">
        <v>50</v>
      </c>
      <c r="M119" t="s">
        <v>1383</v>
      </c>
      <c r="N119" t="s">
        <v>25</v>
      </c>
      <c r="O119" t="s">
        <v>1355</v>
      </c>
      <c r="P119" t="s">
        <v>25</v>
      </c>
      <c r="Q119">
        <v>131.17500000000001</v>
      </c>
      <c r="R119" t="s">
        <v>25</v>
      </c>
      <c r="S119" t="s">
        <v>25</v>
      </c>
    </row>
    <row r="120" spans="1:19" x14ac:dyDescent="0.25">
      <c r="A120">
        <v>6</v>
      </c>
      <c r="B120" t="s">
        <v>18</v>
      </c>
      <c r="C120" t="str">
        <f>HYPERLINK("http://www.ncbi.nlm.nih.gov/protein/XP_005364828.1","XP_005364828.1")</f>
        <v>XP_005364828.1</v>
      </c>
      <c r="D120">
        <v>38011</v>
      </c>
      <c r="E120" t="str">
        <f>HYPERLINK("http://www.ncbi.nlm.nih.gov/Taxonomy/Browser/wwwtax.cgi?mode=Info&amp;id=79684&amp;lvl=3&amp;lin=f&amp;keep=1&amp;srchmode=1&amp;unlock","79684")</f>
        <v>79684</v>
      </c>
      <c r="F120" t="s">
        <v>18</v>
      </c>
      <c r="G120" t="str">
        <f>HYPERLINK("http://www.ncbi.nlm.nih.gov/Taxonomy/Browser/wwwtax.cgi?mode=Info&amp;id=79684&amp;lvl=3&amp;lin=f&amp;keep=1&amp;srchmode=1&amp;unlock","Microtus ochrogaster")</f>
        <v>Microtus ochrogaster</v>
      </c>
      <c r="H120" t="s">
        <v>141</v>
      </c>
      <c r="I120" t="str">
        <f>HYPERLINK("http://www.ncbi.nlm.nih.gov/protein/XP_005364828.1","fatty acid-binding protein, liver")</f>
        <v>fatty acid-binding protein, liver</v>
      </c>
      <c r="J120" t="s">
        <v>1381</v>
      </c>
      <c r="K120" t="s">
        <v>25</v>
      </c>
      <c r="L120">
        <v>50</v>
      </c>
      <c r="M120" t="s">
        <v>1382</v>
      </c>
      <c r="N120" t="s">
        <v>25</v>
      </c>
      <c r="O120" t="s">
        <v>1355</v>
      </c>
      <c r="P120" t="s">
        <v>25</v>
      </c>
      <c r="Q120">
        <v>131.17500000000001</v>
      </c>
      <c r="R120" t="s">
        <v>25</v>
      </c>
      <c r="S120" t="s">
        <v>25</v>
      </c>
    </row>
    <row r="121" spans="1:19" x14ac:dyDescent="0.25">
      <c r="A121">
        <v>6</v>
      </c>
      <c r="B121" t="s">
        <v>18</v>
      </c>
      <c r="C121" t="str">
        <f>HYPERLINK("http://www.ncbi.nlm.nih.gov/protein/XP_019825838.1","XP_019825838.1")</f>
        <v>XP_019825838.1</v>
      </c>
      <c r="D121">
        <v>37841</v>
      </c>
      <c r="E121" t="str">
        <f>HYPERLINK("http://www.ncbi.nlm.nih.gov/Taxonomy/Browser/wwwtax.cgi?mode=Info&amp;id=9915&amp;lvl=3&amp;lin=f&amp;keep=1&amp;srchmode=1&amp;unlock","9915")</f>
        <v>9915</v>
      </c>
      <c r="F121" t="s">
        <v>18</v>
      </c>
      <c r="G121" t="str">
        <f>HYPERLINK("http://www.ncbi.nlm.nih.gov/Taxonomy/Browser/wwwtax.cgi?mode=Info&amp;id=9915&amp;lvl=3&amp;lin=f&amp;keep=1&amp;srchmode=1&amp;unlock","Bos indicus")</f>
        <v>Bos indicus</v>
      </c>
      <c r="H121" t="s">
        <v>146</v>
      </c>
      <c r="I121" t="str">
        <f>HYPERLINK("http://www.ncbi.nlm.nih.gov/protein/XP_019825838.1","PREDICTED: fatty acid-binding protein, liver")</f>
        <v>PREDICTED: fatty acid-binding protein, liver</v>
      </c>
      <c r="J121" t="s">
        <v>1381</v>
      </c>
      <c r="K121" t="s">
        <v>20</v>
      </c>
      <c r="L121">
        <v>50</v>
      </c>
      <c r="M121" t="s">
        <v>1380</v>
      </c>
      <c r="N121" t="s">
        <v>20</v>
      </c>
      <c r="O121" t="s">
        <v>1394</v>
      </c>
      <c r="P121" t="s">
        <v>20</v>
      </c>
      <c r="Q121">
        <v>165.19200000000001</v>
      </c>
      <c r="R121" t="s">
        <v>20</v>
      </c>
      <c r="S121" t="s">
        <v>20</v>
      </c>
    </row>
    <row r="122" spans="1:19" x14ac:dyDescent="0.25">
      <c r="A122">
        <v>6</v>
      </c>
      <c r="B122" t="s">
        <v>18</v>
      </c>
      <c r="C122" t="str">
        <f>HYPERLINK("http://www.ncbi.nlm.nih.gov/protein/XP_038176303.1","XP_038176303.1")</f>
        <v>XP_038176303.1</v>
      </c>
      <c r="D122">
        <v>40931</v>
      </c>
      <c r="E122" t="str">
        <f>HYPERLINK("http://www.ncbi.nlm.nih.gov/Taxonomy/Browser/wwwtax.cgi?mode=Info&amp;id=1047088&amp;lvl=3&amp;lin=f&amp;keep=1&amp;srchmode=1&amp;unlock","1047088")</f>
        <v>1047088</v>
      </c>
      <c r="F122" t="s">
        <v>18</v>
      </c>
      <c r="G122" t="str">
        <f>HYPERLINK("http://www.ncbi.nlm.nih.gov/Taxonomy/Browser/wwwtax.cgi?mode=Info&amp;id=1047088&amp;lvl=3&amp;lin=f&amp;keep=1&amp;srchmode=1&amp;unlock","Arvicola amphibius")</f>
        <v>Arvicola amphibius</v>
      </c>
      <c r="H122" t="s">
        <v>145</v>
      </c>
      <c r="I122" t="str">
        <f>HYPERLINK("http://www.ncbi.nlm.nih.gov/protein/XP_038176303.1","fatty acid-binding protein, liver")</f>
        <v>fatty acid-binding protein, liver</v>
      </c>
      <c r="J122" t="s">
        <v>1381</v>
      </c>
      <c r="K122" t="s">
        <v>25</v>
      </c>
      <c r="L122">
        <v>50</v>
      </c>
      <c r="M122" t="s">
        <v>1382</v>
      </c>
      <c r="N122" t="s">
        <v>25</v>
      </c>
      <c r="O122" t="s">
        <v>1355</v>
      </c>
      <c r="P122" t="s">
        <v>25</v>
      </c>
      <c r="Q122">
        <v>131.17500000000001</v>
      </c>
      <c r="R122" t="s">
        <v>25</v>
      </c>
      <c r="S122" t="s">
        <v>25</v>
      </c>
    </row>
    <row r="123" spans="1:19" x14ac:dyDescent="0.25">
      <c r="A123">
        <v>6</v>
      </c>
      <c r="B123" t="s">
        <v>18</v>
      </c>
      <c r="C123" t="str">
        <f>HYPERLINK("http://www.ncbi.nlm.nih.gov/protein/XP_037662897.1","XP_037662897.1")</f>
        <v>XP_037662897.1</v>
      </c>
      <c r="D123">
        <v>54609</v>
      </c>
      <c r="E123" t="str">
        <f>HYPERLINK("http://www.ncbi.nlm.nih.gov/Taxonomy/Browser/wwwtax.cgi?mode=Info&amp;id=27675&amp;lvl=3&amp;lin=f&amp;keep=1&amp;srchmode=1&amp;unlock","27675")</f>
        <v>27675</v>
      </c>
      <c r="F123" t="s">
        <v>18</v>
      </c>
      <c r="G123" t="str">
        <f>HYPERLINK("http://www.ncbi.nlm.nih.gov/Taxonomy/Browser/wwwtax.cgi?mode=Info&amp;id=27675&amp;lvl=3&amp;lin=f&amp;keep=1&amp;srchmode=1&amp;unlock","Choloepus didactylus")</f>
        <v>Choloepus didactylus</v>
      </c>
      <c r="H123" t="s">
        <v>147</v>
      </c>
      <c r="I123" t="str">
        <f>HYPERLINK("http://www.ncbi.nlm.nih.gov/protein/XP_037662897.1","fatty acid-binding protein, liver")</f>
        <v>fatty acid-binding protein, liver</v>
      </c>
      <c r="J123" t="s">
        <v>1381</v>
      </c>
      <c r="K123" t="s">
        <v>25</v>
      </c>
      <c r="L123">
        <v>50</v>
      </c>
      <c r="M123" t="s">
        <v>1382</v>
      </c>
      <c r="N123" t="s">
        <v>25</v>
      </c>
      <c r="O123" t="s">
        <v>1355</v>
      </c>
      <c r="P123" t="s">
        <v>25</v>
      </c>
      <c r="Q123">
        <v>131.17500000000001</v>
      </c>
      <c r="R123" t="s">
        <v>25</v>
      </c>
      <c r="S123" t="s">
        <v>25</v>
      </c>
    </row>
    <row r="124" spans="1:19" x14ac:dyDescent="0.25">
      <c r="A124">
        <v>6</v>
      </c>
      <c r="B124" t="s">
        <v>18</v>
      </c>
      <c r="C124" t="str">
        <f>HYPERLINK("http://www.ncbi.nlm.nih.gov/protein/XP_021514644.1","XP_021514644.1")</f>
        <v>XP_021514644.1</v>
      </c>
      <c r="D124">
        <v>39125</v>
      </c>
      <c r="E124" t="str">
        <f>HYPERLINK("http://www.ncbi.nlm.nih.gov/Taxonomy/Browser/wwwtax.cgi?mode=Info&amp;id=10047&amp;lvl=3&amp;lin=f&amp;keep=1&amp;srchmode=1&amp;unlock","10047")</f>
        <v>10047</v>
      </c>
      <c r="F124" t="s">
        <v>18</v>
      </c>
      <c r="G124" t="str">
        <f>HYPERLINK("http://www.ncbi.nlm.nih.gov/Taxonomy/Browser/wwwtax.cgi?mode=Info&amp;id=10047&amp;lvl=3&amp;lin=f&amp;keep=1&amp;srchmode=1&amp;unlock","Meriones unguiculatus")</f>
        <v>Meriones unguiculatus</v>
      </c>
      <c r="H124" t="s">
        <v>148</v>
      </c>
      <c r="I124" t="str">
        <f>HYPERLINK("http://www.ncbi.nlm.nih.gov/protein/XP_021514644.1","fatty acid-binding protein, liver isoform X2")</f>
        <v>fatty acid-binding protein, liver isoform X2</v>
      </c>
      <c r="J124" t="s">
        <v>1381</v>
      </c>
      <c r="K124" t="s">
        <v>25</v>
      </c>
      <c r="L124">
        <v>50</v>
      </c>
      <c r="M124" t="s">
        <v>1382</v>
      </c>
      <c r="N124" t="s">
        <v>25</v>
      </c>
      <c r="O124" t="s">
        <v>1355</v>
      </c>
      <c r="P124" t="s">
        <v>25</v>
      </c>
      <c r="Q124">
        <v>131.17500000000001</v>
      </c>
      <c r="R124" t="s">
        <v>25</v>
      </c>
      <c r="S124" t="s">
        <v>25</v>
      </c>
    </row>
    <row r="125" spans="1:19" x14ac:dyDescent="0.25">
      <c r="A125">
        <v>6</v>
      </c>
      <c r="B125" t="s">
        <v>18</v>
      </c>
      <c r="C125" t="str">
        <f>HYPERLINK("http://www.ncbi.nlm.nih.gov/protein/XP_003503959.1","XP_003503959.1")</f>
        <v>XP_003503959.1</v>
      </c>
      <c r="D125">
        <v>138048</v>
      </c>
      <c r="E125" t="str">
        <f>HYPERLINK("http://www.ncbi.nlm.nih.gov/Taxonomy/Browser/wwwtax.cgi?mode=Info&amp;id=10029&amp;lvl=3&amp;lin=f&amp;keep=1&amp;srchmode=1&amp;unlock","10029")</f>
        <v>10029</v>
      </c>
      <c r="F125" t="s">
        <v>18</v>
      </c>
      <c r="G125" t="str">
        <f>HYPERLINK("http://www.ncbi.nlm.nih.gov/Taxonomy/Browser/wwwtax.cgi?mode=Info&amp;id=10029&amp;lvl=3&amp;lin=f&amp;keep=1&amp;srchmode=1&amp;unlock","Cricetulus griseus")</f>
        <v>Cricetulus griseus</v>
      </c>
      <c r="H125" t="s">
        <v>149</v>
      </c>
      <c r="I125" t="str">
        <f>HYPERLINK("http://www.ncbi.nlm.nih.gov/protein/XP_003503959.1","fatty acid-binding protein, liver")</f>
        <v>fatty acid-binding protein, liver</v>
      </c>
      <c r="J125" t="s">
        <v>1381</v>
      </c>
      <c r="K125" t="s">
        <v>25</v>
      </c>
      <c r="L125">
        <v>50</v>
      </c>
      <c r="M125" t="s">
        <v>1382</v>
      </c>
      <c r="N125" t="s">
        <v>25</v>
      </c>
      <c r="O125" t="s">
        <v>1355</v>
      </c>
      <c r="P125" t="s">
        <v>25</v>
      </c>
      <c r="Q125">
        <v>131.17500000000001</v>
      </c>
      <c r="R125" t="s">
        <v>25</v>
      </c>
      <c r="S125" t="s">
        <v>25</v>
      </c>
    </row>
    <row r="126" spans="1:19" x14ac:dyDescent="0.25">
      <c r="A126">
        <v>6</v>
      </c>
      <c r="B126" t="s">
        <v>18</v>
      </c>
      <c r="C126" t="str">
        <f>HYPERLINK("http://www.ncbi.nlm.nih.gov/protein/XP_036607948.1","XP_036607948.1")</f>
        <v>XP_036607948.1</v>
      </c>
      <c r="D126">
        <v>35972</v>
      </c>
      <c r="E126" t="str">
        <f>HYPERLINK("http://www.ncbi.nlm.nih.gov/Taxonomy/Browser/wwwtax.cgi?mode=Info&amp;id=9337&amp;lvl=3&amp;lin=f&amp;keep=1&amp;srchmode=1&amp;unlock","9337")</f>
        <v>9337</v>
      </c>
      <c r="F126" t="s">
        <v>18</v>
      </c>
      <c r="G126" t="str">
        <f>HYPERLINK("http://www.ncbi.nlm.nih.gov/Taxonomy/Browser/wwwtax.cgi?mode=Info&amp;id=9337&amp;lvl=3&amp;lin=f&amp;keep=1&amp;srchmode=1&amp;unlock","Trichosurus vulpecula")</f>
        <v>Trichosurus vulpecula</v>
      </c>
      <c r="H126" t="s">
        <v>150</v>
      </c>
      <c r="I126" t="str">
        <f>HYPERLINK("http://www.ncbi.nlm.nih.gov/protein/XP_036607948.1","fatty acid-binding protein, liver-like")</f>
        <v>fatty acid-binding protein, liver-like</v>
      </c>
      <c r="J126" t="s">
        <v>1381</v>
      </c>
      <c r="K126" t="s">
        <v>25</v>
      </c>
      <c r="L126">
        <v>50</v>
      </c>
      <c r="M126" t="s">
        <v>1382</v>
      </c>
      <c r="N126" t="s">
        <v>25</v>
      </c>
      <c r="O126" t="s">
        <v>1355</v>
      </c>
      <c r="P126" t="s">
        <v>25</v>
      </c>
      <c r="Q126">
        <v>131.17500000000001</v>
      </c>
      <c r="R126" t="s">
        <v>25</v>
      </c>
      <c r="S126" t="s">
        <v>25</v>
      </c>
    </row>
    <row r="127" spans="1:19" x14ac:dyDescent="0.25">
      <c r="A127">
        <v>6</v>
      </c>
      <c r="B127" t="s">
        <v>18</v>
      </c>
      <c r="C127" t="str">
        <f>HYPERLINK("http://www.ncbi.nlm.nih.gov/protein/XP_006902071.1","XP_006902071.1")</f>
        <v>XP_006902071.1</v>
      </c>
      <c r="D127">
        <v>25292</v>
      </c>
      <c r="E127" t="str">
        <f>HYPERLINK("http://www.ncbi.nlm.nih.gov/Taxonomy/Browser/wwwtax.cgi?mode=Info&amp;id=28737&amp;lvl=3&amp;lin=f&amp;keep=1&amp;srchmode=1&amp;unlock","28737")</f>
        <v>28737</v>
      </c>
      <c r="F127" t="s">
        <v>18</v>
      </c>
      <c r="G127" t="str">
        <f>HYPERLINK("http://www.ncbi.nlm.nih.gov/Taxonomy/Browser/wwwtax.cgi?mode=Info&amp;id=28737&amp;lvl=3&amp;lin=f&amp;keep=1&amp;srchmode=1&amp;unlock","Elephantulus edwardii")</f>
        <v>Elephantulus edwardii</v>
      </c>
      <c r="H127" t="s">
        <v>151</v>
      </c>
      <c r="I127" t="str">
        <f>HYPERLINK("http://www.ncbi.nlm.nih.gov/protein/XP_006902071.1","PREDICTED: fatty acid-binding protein, liver")</f>
        <v>PREDICTED: fatty acid-binding protein, liver</v>
      </c>
      <c r="J127" t="s">
        <v>1381</v>
      </c>
      <c r="K127" t="s">
        <v>25</v>
      </c>
      <c r="L127">
        <v>50</v>
      </c>
      <c r="M127" t="s">
        <v>1382</v>
      </c>
      <c r="N127" t="s">
        <v>25</v>
      </c>
      <c r="O127" t="s">
        <v>1355</v>
      </c>
      <c r="P127" t="s">
        <v>25</v>
      </c>
      <c r="Q127">
        <v>131.17500000000001</v>
      </c>
      <c r="R127" t="s">
        <v>25</v>
      </c>
      <c r="S127" t="s">
        <v>25</v>
      </c>
    </row>
    <row r="128" spans="1:19" x14ac:dyDescent="0.25">
      <c r="A128">
        <v>6</v>
      </c>
      <c r="B128" t="s">
        <v>18</v>
      </c>
      <c r="C128" t="str">
        <f>HYPERLINK("http://www.ncbi.nlm.nih.gov/protein/XP_029088039.1","XP_029088039.1")</f>
        <v>XP_029088039.1</v>
      </c>
      <c r="D128">
        <v>65835</v>
      </c>
      <c r="E128" t="str">
        <f>HYPERLINK("http://www.ncbi.nlm.nih.gov/Taxonomy/Browser/wwwtax.cgi?mode=Info&amp;id=40151&amp;lvl=3&amp;lin=f&amp;keep=1&amp;srchmode=1&amp;unlock","40151")</f>
        <v>40151</v>
      </c>
      <c r="F128" t="s">
        <v>18</v>
      </c>
      <c r="G128" t="str">
        <f>HYPERLINK("http://www.ncbi.nlm.nih.gov/Taxonomy/Browser/wwwtax.cgi?mode=Info&amp;id=40151&amp;lvl=3&amp;lin=f&amp;keep=1&amp;srchmode=1&amp;unlock","Monodon monoceros")</f>
        <v>Monodon monoceros</v>
      </c>
      <c r="H128" t="s">
        <v>153</v>
      </c>
      <c r="I128" t="str">
        <f>HYPERLINK("http://www.ncbi.nlm.nih.gov/protein/XP_029088039.1","fatty acid-binding protein, liver")</f>
        <v>fatty acid-binding protein, liver</v>
      </c>
      <c r="J128" t="s">
        <v>1381</v>
      </c>
      <c r="K128" t="s">
        <v>20</v>
      </c>
      <c r="L128">
        <v>50</v>
      </c>
      <c r="M128" t="s">
        <v>1380</v>
      </c>
      <c r="N128" t="s">
        <v>20</v>
      </c>
      <c r="O128" t="s">
        <v>1394</v>
      </c>
      <c r="P128" t="s">
        <v>20</v>
      </c>
      <c r="Q128">
        <v>165.19200000000001</v>
      </c>
      <c r="R128" t="s">
        <v>20</v>
      </c>
      <c r="S128" t="s">
        <v>20</v>
      </c>
    </row>
    <row r="129" spans="1:19" x14ac:dyDescent="0.25">
      <c r="A129">
        <v>6</v>
      </c>
      <c r="B129" t="s">
        <v>18</v>
      </c>
      <c r="C129" t="str">
        <f>HYPERLINK("http://www.ncbi.nlm.nih.gov/protein/XP_022411784.1","XP_022411784.1")</f>
        <v>XP_022411784.1</v>
      </c>
      <c r="D129">
        <v>51113</v>
      </c>
      <c r="E129" t="str">
        <f>HYPERLINK("http://www.ncbi.nlm.nih.gov/Taxonomy/Browser/wwwtax.cgi?mode=Info&amp;id=9749&amp;lvl=3&amp;lin=f&amp;keep=1&amp;srchmode=1&amp;unlock","9749")</f>
        <v>9749</v>
      </c>
      <c r="F129" t="s">
        <v>18</v>
      </c>
      <c r="G129" t="str">
        <f>HYPERLINK("http://www.ncbi.nlm.nih.gov/Taxonomy/Browser/wwwtax.cgi?mode=Info&amp;id=9749&amp;lvl=3&amp;lin=f&amp;keep=1&amp;srchmode=1&amp;unlock","Delphinapterus leucas")</f>
        <v>Delphinapterus leucas</v>
      </c>
      <c r="H129" t="s">
        <v>152</v>
      </c>
      <c r="I129" t="str">
        <f>HYPERLINK("http://www.ncbi.nlm.nih.gov/protein/XP_022411784.1","fatty acid-binding protein, liver")</f>
        <v>fatty acid-binding protein, liver</v>
      </c>
      <c r="J129" t="s">
        <v>1381</v>
      </c>
      <c r="K129" t="s">
        <v>20</v>
      </c>
      <c r="L129">
        <v>50</v>
      </c>
      <c r="M129" t="s">
        <v>1380</v>
      </c>
      <c r="N129" t="s">
        <v>20</v>
      </c>
      <c r="O129" t="s">
        <v>1394</v>
      </c>
      <c r="P129" t="s">
        <v>20</v>
      </c>
      <c r="Q129">
        <v>165.19200000000001</v>
      </c>
      <c r="R129" t="s">
        <v>20</v>
      </c>
      <c r="S129" t="s">
        <v>20</v>
      </c>
    </row>
    <row r="130" spans="1:19" x14ac:dyDescent="0.25">
      <c r="A130">
        <v>6</v>
      </c>
      <c r="B130" t="s">
        <v>18</v>
      </c>
      <c r="C130" t="str">
        <f>HYPERLINK("http://www.ncbi.nlm.nih.gov/protein/ELK30025.1","ELK30025.1")</f>
        <v>ELK30025.1</v>
      </c>
      <c r="D130">
        <v>48733</v>
      </c>
      <c r="E130" t="str">
        <f>HYPERLINK("http://www.ncbi.nlm.nih.gov/Taxonomy/Browser/wwwtax.cgi?mode=Info&amp;id=225400&amp;lvl=3&amp;lin=f&amp;keep=1&amp;srchmode=1&amp;unlock","225400")</f>
        <v>225400</v>
      </c>
      <c r="F130" t="s">
        <v>18</v>
      </c>
      <c r="G130" t="str">
        <f>HYPERLINK("http://www.ncbi.nlm.nih.gov/Taxonomy/Browser/wwwtax.cgi?mode=Info&amp;id=225400&amp;lvl=3&amp;lin=f&amp;keep=1&amp;srchmode=1&amp;unlock","Myotis davidii")</f>
        <v>Myotis davidii</v>
      </c>
      <c r="H130" t="s">
        <v>77</v>
      </c>
      <c r="I130" t="str">
        <f>HYPERLINK("http://www.ncbi.nlm.nih.gov/protein/ELK30025.1","Fatty acid-binding protein, liver")</f>
        <v>Fatty acid-binding protein, liver</v>
      </c>
      <c r="J130" t="s">
        <v>1381</v>
      </c>
      <c r="K130" t="s">
        <v>25</v>
      </c>
      <c r="L130">
        <v>50</v>
      </c>
      <c r="M130" t="s">
        <v>1382</v>
      </c>
      <c r="N130" t="s">
        <v>25</v>
      </c>
      <c r="O130" t="s">
        <v>1355</v>
      </c>
      <c r="P130" t="s">
        <v>25</v>
      </c>
      <c r="Q130">
        <v>131.17500000000001</v>
      </c>
      <c r="R130" t="s">
        <v>25</v>
      </c>
      <c r="S130" t="s">
        <v>25</v>
      </c>
    </row>
    <row r="131" spans="1:19" x14ac:dyDescent="0.25">
      <c r="A131">
        <v>6</v>
      </c>
      <c r="B131" t="s">
        <v>18</v>
      </c>
      <c r="C131" t="str">
        <f>HYPERLINK("http://www.ncbi.nlm.nih.gov/protein/XP_033694291.1","XP_033694291.1")</f>
        <v>XP_033694291.1</v>
      </c>
      <c r="D131">
        <v>57007</v>
      </c>
      <c r="E131" t="str">
        <f>HYPERLINK("http://www.ncbi.nlm.nih.gov/Taxonomy/Browser/wwwtax.cgi?mode=Info&amp;id=9739&amp;lvl=3&amp;lin=f&amp;keep=1&amp;srchmode=1&amp;unlock","9739")</f>
        <v>9739</v>
      </c>
      <c r="F131" t="s">
        <v>18</v>
      </c>
      <c r="G131" t="str">
        <f>HYPERLINK("http://www.ncbi.nlm.nih.gov/Taxonomy/Browser/wwwtax.cgi?mode=Info&amp;id=9739&amp;lvl=3&amp;lin=f&amp;keep=1&amp;srchmode=1&amp;unlock","Tursiops truncatus")</f>
        <v>Tursiops truncatus</v>
      </c>
      <c r="H131" t="s">
        <v>154</v>
      </c>
      <c r="I131" t="str">
        <f>HYPERLINK("http://www.ncbi.nlm.nih.gov/protein/XP_033694291.1","fatty acid-binding protein, liver")</f>
        <v>fatty acid-binding protein, liver</v>
      </c>
      <c r="J131" t="s">
        <v>1381</v>
      </c>
      <c r="K131" t="s">
        <v>20</v>
      </c>
      <c r="L131">
        <v>50</v>
      </c>
      <c r="M131" t="s">
        <v>1380</v>
      </c>
      <c r="N131" t="s">
        <v>20</v>
      </c>
      <c r="O131" t="s">
        <v>1394</v>
      </c>
      <c r="P131" t="s">
        <v>20</v>
      </c>
      <c r="Q131">
        <v>165.19200000000001</v>
      </c>
      <c r="R131" t="s">
        <v>20</v>
      </c>
      <c r="S131" t="s">
        <v>20</v>
      </c>
    </row>
    <row r="132" spans="1:19" x14ac:dyDescent="0.25">
      <c r="A132">
        <v>6</v>
      </c>
      <c r="B132" t="s">
        <v>18</v>
      </c>
      <c r="C132" t="str">
        <f>HYPERLINK("http://www.ncbi.nlm.nih.gov/protein/XP_004286696.1","XP_004286696.1")</f>
        <v>XP_004286696.1</v>
      </c>
      <c r="D132">
        <v>59479</v>
      </c>
      <c r="E132" t="str">
        <f>HYPERLINK("http://www.ncbi.nlm.nih.gov/Taxonomy/Browser/wwwtax.cgi?mode=Info&amp;id=9733&amp;lvl=3&amp;lin=f&amp;keep=1&amp;srchmode=1&amp;unlock","9733")</f>
        <v>9733</v>
      </c>
      <c r="F132" t="s">
        <v>18</v>
      </c>
      <c r="G132" t="str">
        <f>HYPERLINK("http://www.ncbi.nlm.nih.gov/Taxonomy/Browser/wwwtax.cgi?mode=Info&amp;id=9733&amp;lvl=3&amp;lin=f&amp;keep=1&amp;srchmode=1&amp;unlock","Orcinus orca")</f>
        <v>Orcinus orca</v>
      </c>
      <c r="H132" t="s">
        <v>155</v>
      </c>
      <c r="I132" t="str">
        <f>HYPERLINK("http://www.ncbi.nlm.nih.gov/protein/XP_004286696.1","fatty acid-binding protein, liver")</f>
        <v>fatty acid-binding protein, liver</v>
      </c>
      <c r="J132" t="s">
        <v>1381</v>
      </c>
      <c r="K132" t="s">
        <v>20</v>
      </c>
      <c r="L132">
        <v>50</v>
      </c>
      <c r="M132" t="s">
        <v>1380</v>
      </c>
      <c r="N132" t="s">
        <v>20</v>
      </c>
      <c r="O132" t="s">
        <v>1394</v>
      </c>
      <c r="P132" t="s">
        <v>20</v>
      </c>
      <c r="Q132">
        <v>165.19200000000001</v>
      </c>
      <c r="R132" t="s">
        <v>20</v>
      </c>
      <c r="S132" t="s">
        <v>20</v>
      </c>
    </row>
    <row r="133" spans="1:19" x14ac:dyDescent="0.25">
      <c r="A133">
        <v>6</v>
      </c>
      <c r="B133" t="s">
        <v>18</v>
      </c>
      <c r="C133" t="str">
        <f>HYPERLINK("http://www.ncbi.nlm.nih.gov/protein/XP_005385438.1","XP_005385438.1")</f>
        <v>XP_005385438.1</v>
      </c>
      <c r="D133">
        <v>45556</v>
      </c>
      <c r="E133" t="str">
        <f>HYPERLINK("http://www.ncbi.nlm.nih.gov/Taxonomy/Browser/wwwtax.cgi?mode=Info&amp;id=34839&amp;lvl=3&amp;lin=f&amp;keep=1&amp;srchmode=1&amp;unlock","34839")</f>
        <v>34839</v>
      </c>
      <c r="F133" t="s">
        <v>18</v>
      </c>
      <c r="G133" t="str">
        <f>HYPERLINK("http://www.ncbi.nlm.nih.gov/Taxonomy/Browser/wwwtax.cgi?mode=Info&amp;id=34839&amp;lvl=3&amp;lin=f&amp;keep=1&amp;srchmode=1&amp;unlock","Chinchilla lanigera")</f>
        <v>Chinchilla lanigera</v>
      </c>
      <c r="H133" t="s">
        <v>156</v>
      </c>
      <c r="I133" t="str">
        <f>HYPERLINK("http://www.ncbi.nlm.nih.gov/protein/XP_005385438.1","PREDICTED: fatty acid-binding protein, liver")</f>
        <v>PREDICTED: fatty acid-binding protein, liver</v>
      </c>
      <c r="J133" t="s">
        <v>1381</v>
      </c>
      <c r="K133" t="s">
        <v>25</v>
      </c>
      <c r="L133">
        <v>50</v>
      </c>
      <c r="M133" t="s">
        <v>1383</v>
      </c>
      <c r="N133" t="s">
        <v>25</v>
      </c>
      <c r="O133" t="s">
        <v>1355</v>
      </c>
      <c r="P133" t="s">
        <v>25</v>
      </c>
      <c r="Q133">
        <v>131.17500000000001</v>
      </c>
      <c r="R133" t="s">
        <v>25</v>
      </c>
      <c r="S133" t="s">
        <v>25</v>
      </c>
    </row>
    <row r="134" spans="1:19" x14ac:dyDescent="0.25">
      <c r="A134">
        <v>6</v>
      </c>
      <c r="B134" t="s">
        <v>18</v>
      </c>
      <c r="C134" t="str">
        <f>HYPERLINK("http://www.ncbi.nlm.nih.gov/protein/XP_006991072.1","XP_006991072.1")</f>
        <v>XP_006991072.1</v>
      </c>
      <c r="D134">
        <v>45653</v>
      </c>
      <c r="E134" t="str">
        <f>HYPERLINK("http://www.ncbi.nlm.nih.gov/Taxonomy/Browser/wwwtax.cgi?mode=Info&amp;id=230844&amp;lvl=3&amp;lin=f&amp;keep=1&amp;srchmode=1&amp;unlock","230844")</f>
        <v>230844</v>
      </c>
      <c r="F134" t="s">
        <v>18</v>
      </c>
      <c r="G134" t="str">
        <f>HYPERLINK("http://www.ncbi.nlm.nih.gov/Taxonomy/Browser/wwwtax.cgi?mode=Info&amp;id=230844&amp;lvl=3&amp;lin=f&amp;keep=1&amp;srchmode=1&amp;unlock","Peromyscus maniculatus bairdii")</f>
        <v>Peromyscus maniculatus bairdii</v>
      </c>
      <c r="H134" t="s">
        <v>157</v>
      </c>
      <c r="I134" t="str">
        <f>HYPERLINK("http://www.ncbi.nlm.nih.gov/protein/XP_006991072.1","PREDICTED: fatty acid-binding protein, liver")</f>
        <v>PREDICTED: fatty acid-binding protein, liver</v>
      </c>
      <c r="J134" t="s">
        <v>1381</v>
      </c>
      <c r="K134" t="s">
        <v>25</v>
      </c>
      <c r="L134">
        <v>50</v>
      </c>
      <c r="M134" t="s">
        <v>1382</v>
      </c>
      <c r="N134" t="s">
        <v>25</v>
      </c>
      <c r="O134" t="s">
        <v>1355</v>
      </c>
      <c r="P134" t="s">
        <v>25</v>
      </c>
      <c r="Q134">
        <v>131.17500000000001</v>
      </c>
      <c r="R134" t="s">
        <v>25</v>
      </c>
      <c r="S134" t="s">
        <v>25</v>
      </c>
    </row>
    <row r="135" spans="1:19" x14ac:dyDescent="0.25">
      <c r="A135">
        <v>6</v>
      </c>
      <c r="B135" t="s">
        <v>18</v>
      </c>
      <c r="C135" t="str">
        <f>HYPERLINK("http://www.ncbi.nlm.nih.gov/protein/XP_030693408.1","XP_030693408.1")</f>
        <v>XP_030693408.1</v>
      </c>
      <c r="D135">
        <v>54641</v>
      </c>
      <c r="E135" t="str">
        <f>HYPERLINK("http://www.ncbi.nlm.nih.gov/Taxonomy/Browser/wwwtax.cgi?mode=Info&amp;id=9731&amp;lvl=3&amp;lin=f&amp;keep=1&amp;srchmode=1&amp;unlock","9731")</f>
        <v>9731</v>
      </c>
      <c r="F135" t="s">
        <v>18</v>
      </c>
      <c r="G135" t="str">
        <f>HYPERLINK("http://www.ncbi.nlm.nih.gov/Taxonomy/Browser/wwwtax.cgi?mode=Info&amp;id=9731&amp;lvl=3&amp;lin=f&amp;keep=1&amp;srchmode=1&amp;unlock","Globicephala melas")</f>
        <v>Globicephala melas</v>
      </c>
      <c r="H135" t="s">
        <v>158</v>
      </c>
      <c r="I135" t="str">
        <f>HYPERLINK("http://www.ncbi.nlm.nih.gov/protein/XP_030693408.1","fatty acid-binding protein, liver")</f>
        <v>fatty acid-binding protein, liver</v>
      </c>
      <c r="J135" t="s">
        <v>1381</v>
      </c>
      <c r="K135" t="s">
        <v>20</v>
      </c>
      <c r="L135">
        <v>50</v>
      </c>
      <c r="M135" t="s">
        <v>1380</v>
      </c>
      <c r="N135" t="s">
        <v>20</v>
      </c>
      <c r="O135" t="s">
        <v>1394</v>
      </c>
      <c r="P135" t="s">
        <v>20</v>
      </c>
      <c r="Q135">
        <v>165.19200000000001</v>
      </c>
      <c r="R135" t="s">
        <v>20</v>
      </c>
      <c r="S135" t="s">
        <v>20</v>
      </c>
    </row>
    <row r="136" spans="1:19" x14ac:dyDescent="0.25">
      <c r="A136">
        <v>6</v>
      </c>
      <c r="B136" t="s">
        <v>18</v>
      </c>
      <c r="C136" t="str">
        <f>HYPERLINK("http://www.ncbi.nlm.nih.gov/protein/XP_026984444.1","XP_026984444.1")</f>
        <v>XP_026984444.1</v>
      </c>
      <c r="D136">
        <v>54700</v>
      </c>
      <c r="E136" t="str">
        <f>HYPERLINK("http://www.ncbi.nlm.nih.gov/Taxonomy/Browser/wwwtax.cgi?mode=Info&amp;id=90247&amp;lvl=3&amp;lin=f&amp;keep=1&amp;srchmode=1&amp;unlock","90247")</f>
        <v>90247</v>
      </c>
      <c r="F136" t="s">
        <v>18</v>
      </c>
      <c r="G136" t="str">
        <f>HYPERLINK("http://www.ncbi.nlm.nih.gov/Taxonomy/Browser/wwwtax.cgi?mode=Info&amp;id=90247&amp;lvl=3&amp;lin=f&amp;keep=1&amp;srchmode=1&amp;unlock","Lagenorhynchus obliquidens")</f>
        <v>Lagenorhynchus obliquidens</v>
      </c>
      <c r="H136" t="s">
        <v>159</v>
      </c>
      <c r="I136" t="str">
        <f>HYPERLINK("http://www.ncbi.nlm.nih.gov/protein/XP_026984444.1","fatty acid-binding protein, liver")</f>
        <v>fatty acid-binding protein, liver</v>
      </c>
      <c r="J136" t="s">
        <v>1381</v>
      </c>
      <c r="K136" t="s">
        <v>20</v>
      </c>
      <c r="L136">
        <v>50</v>
      </c>
      <c r="M136" t="s">
        <v>1380</v>
      </c>
      <c r="N136" t="s">
        <v>20</v>
      </c>
      <c r="O136" t="s">
        <v>1394</v>
      </c>
      <c r="P136" t="s">
        <v>20</v>
      </c>
      <c r="Q136">
        <v>165.19200000000001</v>
      </c>
      <c r="R136" t="s">
        <v>20</v>
      </c>
      <c r="S136" t="s">
        <v>20</v>
      </c>
    </row>
    <row r="137" spans="1:19" x14ac:dyDescent="0.25">
      <c r="A137">
        <v>6</v>
      </c>
      <c r="B137" t="s">
        <v>18</v>
      </c>
      <c r="C137" t="str">
        <f>HYPERLINK("http://www.ncbi.nlm.nih.gov/protein/XP_005076138.1","XP_005076138.1")</f>
        <v>XP_005076138.1</v>
      </c>
      <c r="D137">
        <v>54395</v>
      </c>
      <c r="E137" t="str">
        <f>HYPERLINK("http://www.ncbi.nlm.nih.gov/Taxonomy/Browser/wwwtax.cgi?mode=Info&amp;id=10036&amp;lvl=3&amp;lin=f&amp;keep=1&amp;srchmode=1&amp;unlock","10036")</f>
        <v>10036</v>
      </c>
      <c r="F137" t="s">
        <v>18</v>
      </c>
      <c r="G137" t="str">
        <f>HYPERLINK("http://www.ncbi.nlm.nih.gov/Taxonomy/Browser/wwwtax.cgi?mode=Info&amp;id=10036&amp;lvl=3&amp;lin=f&amp;keep=1&amp;srchmode=1&amp;unlock","Mesocricetus auratus")</f>
        <v>Mesocricetus auratus</v>
      </c>
      <c r="H137" t="s">
        <v>160</v>
      </c>
      <c r="I137" t="str">
        <f>HYPERLINK("http://www.ncbi.nlm.nih.gov/protein/XP_005076138.1","fatty acid-binding protein, liver")</f>
        <v>fatty acid-binding protein, liver</v>
      </c>
      <c r="J137" t="s">
        <v>1381</v>
      </c>
      <c r="K137" t="s">
        <v>25</v>
      </c>
      <c r="L137">
        <v>50</v>
      </c>
      <c r="M137" t="s">
        <v>1382</v>
      </c>
      <c r="N137" t="s">
        <v>25</v>
      </c>
      <c r="O137" t="s">
        <v>1355</v>
      </c>
      <c r="P137" t="s">
        <v>25</v>
      </c>
      <c r="Q137">
        <v>131.17500000000001</v>
      </c>
      <c r="R137" t="s">
        <v>25</v>
      </c>
      <c r="S137" t="s">
        <v>25</v>
      </c>
    </row>
    <row r="138" spans="1:19" x14ac:dyDescent="0.25">
      <c r="A138">
        <v>6</v>
      </c>
      <c r="B138" t="s">
        <v>18</v>
      </c>
      <c r="C138" t="str">
        <f>HYPERLINK("http://www.ncbi.nlm.nih.gov/protein/XP_008698325.2","XP_008698325.2")</f>
        <v>XP_008698325.2</v>
      </c>
      <c r="D138">
        <v>41699</v>
      </c>
      <c r="E138" t="str">
        <f>HYPERLINK("http://www.ncbi.nlm.nih.gov/Taxonomy/Browser/wwwtax.cgi?mode=Info&amp;id=29073&amp;lvl=3&amp;lin=f&amp;keep=1&amp;srchmode=1&amp;unlock","29073")</f>
        <v>29073</v>
      </c>
      <c r="F138" t="s">
        <v>18</v>
      </c>
      <c r="G138" t="str">
        <f>HYPERLINK("http://www.ncbi.nlm.nih.gov/Taxonomy/Browser/wwwtax.cgi?mode=Info&amp;id=29073&amp;lvl=3&amp;lin=f&amp;keep=1&amp;srchmode=1&amp;unlock","Ursus maritimus")</f>
        <v>Ursus maritimus</v>
      </c>
      <c r="H138" t="s">
        <v>161</v>
      </c>
      <c r="I138" t="str">
        <f>HYPERLINK("http://www.ncbi.nlm.nih.gov/protein/XP_008698325.2","fatty acid-binding protein, liver")</f>
        <v>fatty acid-binding protein, liver</v>
      </c>
      <c r="J138" t="s">
        <v>1381</v>
      </c>
      <c r="K138" t="s">
        <v>25</v>
      </c>
      <c r="L138">
        <v>50</v>
      </c>
      <c r="M138" t="s">
        <v>1382</v>
      </c>
      <c r="N138" t="s">
        <v>25</v>
      </c>
      <c r="O138" t="s">
        <v>1355</v>
      </c>
      <c r="P138" t="s">
        <v>25</v>
      </c>
      <c r="Q138">
        <v>131.17500000000001</v>
      </c>
      <c r="R138" t="s">
        <v>25</v>
      </c>
      <c r="S138" t="s">
        <v>25</v>
      </c>
    </row>
    <row r="139" spans="1:19" x14ac:dyDescent="0.25">
      <c r="A139">
        <v>6</v>
      </c>
      <c r="B139" t="s">
        <v>18</v>
      </c>
      <c r="C139" t="str">
        <f>HYPERLINK("http://www.ncbi.nlm.nih.gov/protein/XP_004472349.1","XP_004472349.1")</f>
        <v>XP_004472349.1</v>
      </c>
      <c r="D139">
        <v>38769</v>
      </c>
      <c r="E139" t="str">
        <f>HYPERLINK("http://www.ncbi.nlm.nih.gov/Taxonomy/Browser/wwwtax.cgi?mode=Info&amp;id=9361&amp;lvl=3&amp;lin=f&amp;keep=1&amp;srchmode=1&amp;unlock","9361")</f>
        <v>9361</v>
      </c>
      <c r="F139" t="s">
        <v>18</v>
      </c>
      <c r="G139" t="str">
        <f>HYPERLINK("http://www.ncbi.nlm.nih.gov/Taxonomy/Browser/wwwtax.cgi?mode=Info&amp;id=9361&amp;lvl=3&amp;lin=f&amp;keep=1&amp;srchmode=1&amp;unlock","Dasypus novemcinctus")</f>
        <v>Dasypus novemcinctus</v>
      </c>
      <c r="H139" t="s">
        <v>162</v>
      </c>
      <c r="I139" t="str">
        <f>HYPERLINK("http://www.ncbi.nlm.nih.gov/protein/XP_004472349.1","fatty acid-binding protein, liver")</f>
        <v>fatty acid-binding protein, liver</v>
      </c>
      <c r="J139" t="s">
        <v>1381</v>
      </c>
      <c r="K139" t="s">
        <v>25</v>
      </c>
      <c r="L139">
        <v>50</v>
      </c>
      <c r="M139" t="s">
        <v>1383</v>
      </c>
      <c r="N139" t="s">
        <v>25</v>
      </c>
      <c r="O139" t="s">
        <v>1355</v>
      </c>
      <c r="P139" t="s">
        <v>25</v>
      </c>
      <c r="Q139">
        <v>131.17500000000001</v>
      </c>
      <c r="R139" t="s">
        <v>25</v>
      </c>
      <c r="S139" t="s">
        <v>25</v>
      </c>
    </row>
    <row r="140" spans="1:19" x14ac:dyDescent="0.25">
      <c r="A140">
        <v>6</v>
      </c>
      <c r="B140" t="s">
        <v>18</v>
      </c>
      <c r="C140" t="str">
        <f>HYPERLINK("http://www.ncbi.nlm.nih.gov/protein/XP_010623938.1","XP_010623938.1")</f>
        <v>XP_010623938.1</v>
      </c>
      <c r="D140">
        <v>67680</v>
      </c>
      <c r="E140" t="str">
        <f>HYPERLINK("http://www.ncbi.nlm.nih.gov/Taxonomy/Browser/wwwtax.cgi?mode=Info&amp;id=885580&amp;lvl=3&amp;lin=f&amp;keep=1&amp;srchmode=1&amp;unlock","885580")</f>
        <v>885580</v>
      </c>
      <c r="F140" t="s">
        <v>18</v>
      </c>
      <c r="G140" t="str">
        <f>HYPERLINK("http://www.ncbi.nlm.nih.gov/Taxonomy/Browser/wwwtax.cgi?mode=Info&amp;id=885580&amp;lvl=3&amp;lin=f&amp;keep=1&amp;srchmode=1&amp;unlock","Fukomys damarensis")</f>
        <v>Fukomys damarensis</v>
      </c>
      <c r="H140" t="s">
        <v>163</v>
      </c>
      <c r="I140" t="str">
        <f>HYPERLINK("http://www.ncbi.nlm.nih.gov/protein/XP_010623938.1","fatty acid-binding protein, liver")</f>
        <v>fatty acid-binding protein, liver</v>
      </c>
      <c r="J140" t="s">
        <v>1381</v>
      </c>
      <c r="K140" t="s">
        <v>25</v>
      </c>
      <c r="L140">
        <v>50</v>
      </c>
      <c r="M140" t="s">
        <v>1382</v>
      </c>
      <c r="N140" t="s">
        <v>25</v>
      </c>
      <c r="O140" t="s">
        <v>1355</v>
      </c>
      <c r="P140" t="s">
        <v>25</v>
      </c>
      <c r="Q140">
        <v>131.17500000000001</v>
      </c>
      <c r="R140" t="s">
        <v>25</v>
      </c>
      <c r="S140" t="s">
        <v>25</v>
      </c>
    </row>
    <row r="141" spans="1:19" x14ac:dyDescent="0.25">
      <c r="A141">
        <v>6</v>
      </c>
      <c r="B141" t="s">
        <v>18</v>
      </c>
      <c r="C141" t="str">
        <f>HYPERLINK("http://www.ncbi.nlm.nih.gov/protein/XP_007466787.1","XP_007466787.1")</f>
        <v>XP_007466787.1</v>
      </c>
      <c r="D141">
        <v>27194</v>
      </c>
      <c r="E141" t="str">
        <f>HYPERLINK("http://www.ncbi.nlm.nih.gov/Taxonomy/Browser/wwwtax.cgi?mode=Info&amp;id=118797&amp;lvl=3&amp;lin=f&amp;keep=1&amp;srchmode=1&amp;unlock","118797")</f>
        <v>118797</v>
      </c>
      <c r="F141" t="s">
        <v>18</v>
      </c>
      <c r="G141" t="str">
        <f>HYPERLINK("http://www.ncbi.nlm.nih.gov/Taxonomy/Browser/wwwtax.cgi?mode=Info&amp;id=118797&amp;lvl=3&amp;lin=f&amp;keep=1&amp;srchmode=1&amp;unlock","Lipotes vexillifer")</f>
        <v>Lipotes vexillifer</v>
      </c>
      <c r="H141" t="s">
        <v>165</v>
      </c>
      <c r="I141" t="str">
        <f>HYPERLINK("http://www.ncbi.nlm.nih.gov/protein/XP_007466787.1","PREDICTED: fatty acid-binding protein, liver")</f>
        <v>PREDICTED: fatty acid-binding protein, liver</v>
      </c>
      <c r="J141" t="s">
        <v>1381</v>
      </c>
      <c r="K141" t="s">
        <v>20</v>
      </c>
      <c r="L141">
        <v>50</v>
      </c>
      <c r="M141" t="s">
        <v>1380</v>
      </c>
      <c r="N141" t="s">
        <v>20</v>
      </c>
      <c r="O141" t="s">
        <v>1394</v>
      </c>
      <c r="P141" t="s">
        <v>20</v>
      </c>
      <c r="Q141">
        <v>165.19200000000001</v>
      </c>
      <c r="R141" t="s">
        <v>20</v>
      </c>
      <c r="S141" t="s">
        <v>20</v>
      </c>
    </row>
    <row r="142" spans="1:19" x14ac:dyDescent="0.25">
      <c r="A142">
        <v>6</v>
      </c>
      <c r="B142" t="s">
        <v>18</v>
      </c>
      <c r="C142" t="str">
        <f>HYPERLINK("http://www.ncbi.nlm.nih.gov/protein/XP_038609031.1","XP_038609031.1")</f>
        <v>XP_038609031.1</v>
      </c>
      <c r="D142">
        <v>33527</v>
      </c>
      <c r="E142" t="str">
        <f>HYPERLINK("http://www.ncbi.nlm.nih.gov/Taxonomy/Browser/wwwtax.cgi?mode=Info&amp;id=9261&amp;lvl=3&amp;lin=f&amp;keep=1&amp;srchmode=1&amp;unlock","9261")</f>
        <v>9261</v>
      </c>
      <c r="F142" t="s">
        <v>18</v>
      </c>
      <c r="G142" t="str">
        <f>HYPERLINK("http://www.ncbi.nlm.nih.gov/Taxonomy/Browser/wwwtax.cgi?mode=Info&amp;id=9261&amp;lvl=3&amp;lin=f&amp;keep=1&amp;srchmode=1&amp;unlock","Tachyglossus aculeatus")</f>
        <v>Tachyglossus aculeatus</v>
      </c>
      <c r="H142" t="s">
        <v>166</v>
      </c>
      <c r="I142" t="str">
        <f>HYPERLINK("http://www.ncbi.nlm.nih.gov/protein/XP_038609031.1","fatty acid-binding protein, liver")</f>
        <v>fatty acid-binding protein, liver</v>
      </c>
      <c r="J142" t="s">
        <v>1381</v>
      </c>
      <c r="K142" t="s">
        <v>25</v>
      </c>
      <c r="L142">
        <v>50</v>
      </c>
      <c r="M142" t="s">
        <v>1382</v>
      </c>
      <c r="N142" t="s">
        <v>25</v>
      </c>
      <c r="O142" t="s">
        <v>1355</v>
      </c>
      <c r="P142" t="s">
        <v>25</v>
      </c>
      <c r="Q142">
        <v>131.17500000000001</v>
      </c>
      <c r="R142" t="s">
        <v>25</v>
      </c>
      <c r="S142" t="s">
        <v>25</v>
      </c>
    </row>
    <row r="143" spans="1:19" x14ac:dyDescent="0.25">
      <c r="A143">
        <v>6</v>
      </c>
      <c r="B143" t="s">
        <v>18</v>
      </c>
      <c r="C143" t="str">
        <f>HYPERLINK("http://www.ncbi.nlm.nih.gov/protein/MBW01623.1","MBW01623.1")</f>
        <v>MBW01623.1</v>
      </c>
      <c r="D143">
        <v>11098</v>
      </c>
      <c r="E143" t="str">
        <f>HYPERLINK("http://www.ncbi.nlm.nih.gov/Taxonomy/Browser/wwwtax.cgi?mode=Info&amp;id=9764&amp;lvl=3&amp;lin=f&amp;keep=1&amp;srchmode=1&amp;unlock","9764")</f>
        <v>9764</v>
      </c>
      <c r="F143" t="s">
        <v>18</v>
      </c>
      <c r="G143" t="str">
        <f>HYPERLINK("http://www.ncbi.nlm.nih.gov/Taxonomy/Browser/wwwtax.cgi?mode=Info&amp;id=9764&amp;lvl=3&amp;lin=f&amp;keep=1&amp;srchmode=1&amp;unlock","Eschrichtius robustus")</f>
        <v>Eschrichtius robustus</v>
      </c>
      <c r="H143" t="s">
        <v>169</v>
      </c>
      <c r="I143" t="str">
        <f>HYPERLINK("http://www.ncbi.nlm.nih.gov/protein/MBW01623.1","Fatty acid-binding protein, liver")</f>
        <v>Fatty acid-binding protein, liver</v>
      </c>
      <c r="J143" t="s">
        <v>1381</v>
      </c>
      <c r="K143" t="s">
        <v>20</v>
      </c>
      <c r="L143">
        <v>50</v>
      </c>
      <c r="M143" t="s">
        <v>1380</v>
      </c>
      <c r="N143" t="s">
        <v>20</v>
      </c>
      <c r="O143" t="s">
        <v>1394</v>
      </c>
      <c r="P143" t="s">
        <v>20</v>
      </c>
      <c r="Q143">
        <v>165.19200000000001</v>
      </c>
      <c r="R143" t="s">
        <v>20</v>
      </c>
      <c r="S143" t="s">
        <v>20</v>
      </c>
    </row>
    <row r="144" spans="1:19" x14ac:dyDescent="0.25">
      <c r="A144">
        <v>6</v>
      </c>
      <c r="B144" t="s">
        <v>18</v>
      </c>
      <c r="C144" t="str">
        <f>HYPERLINK("http://www.ncbi.nlm.nih.gov/protein/XP_015991809.1","XP_015991809.1")</f>
        <v>XP_015991809.1</v>
      </c>
      <c r="D144">
        <v>117130</v>
      </c>
      <c r="E144" t="str">
        <f>HYPERLINK("http://www.ncbi.nlm.nih.gov/Taxonomy/Browser/wwwtax.cgi?mode=Info&amp;id=9407&amp;lvl=3&amp;lin=f&amp;keep=1&amp;srchmode=1&amp;unlock","9407")</f>
        <v>9407</v>
      </c>
      <c r="F144" t="s">
        <v>18</v>
      </c>
      <c r="G144" t="str">
        <f>HYPERLINK("http://www.ncbi.nlm.nih.gov/Taxonomy/Browser/wwwtax.cgi?mode=Info&amp;id=9407&amp;lvl=3&amp;lin=f&amp;keep=1&amp;srchmode=1&amp;unlock","Rousettus aegyptiacus")</f>
        <v>Rousettus aegyptiacus</v>
      </c>
      <c r="H144" t="s">
        <v>170</v>
      </c>
      <c r="I144" t="str">
        <f>HYPERLINK("http://www.ncbi.nlm.nih.gov/protein/XP_015991809.1","fatty acid-binding protein, liver")</f>
        <v>fatty acid-binding protein, liver</v>
      </c>
      <c r="J144" t="s">
        <v>1381</v>
      </c>
      <c r="K144" t="s">
        <v>20</v>
      </c>
      <c r="L144">
        <v>50</v>
      </c>
      <c r="M144" t="s">
        <v>1384</v>
      </c>
      <c r="N144" t="s">
        <v>25</v>
      </c>
      <c r="O144" t="s">
        <v>1395</v>
      </c>
      <c r="P144" t="s">
        <v>25</v>
      </c>
      <c r="Q144">
        <v>149.208</v>
      </c>
      <c r="R144" t="s">
        <v>20</v>
      </c>
      <c r="S144" t="s">
        <v>20</v>
      </c>
    </row>
    <row r="145" spans="1:19" x14ac:dyDescent="0.25">
      <c r="A145">
        <v>6</v>
      </c>
      <c r="B145" t="s">
        <v>18</v>
      </c>
      <c r="C145" t="str">
        <f>HYPERLINK("http://www.ncbi.nlm.nih.gov/protein/XP_028939293.1","XP_028939293.1")</f>
        <v>XP_028939293.1</v>
      </c>
      <c r="D145">
        <v>39363</v>
      </c>
      <c r="E145" t="str">
        <f>HYPERLINK("http://www.ncbi.nlm.nih.gov/Taxonomy/Browser/wwwtax.cgi?mode=Info&amp;id=9258&amp;lvl=3&amp;lin=f&amp;keep=1&amp;srchmode=1&amp;unlock","9258")</f>
        <v>9258</v>
      </c>
      <c r="F145" t="s">
        <v>18</v>
      </c>
      <c r="G145" t="str">
        <f>HYPERLINK("http://www.ncbi.nlm.nih.gov/Taxonomy/Browser/wwwtax.cgi?mode=Info&amp;id=9258&amp;lvl=3&amp;lin=f&amp;keep=1&amp;srchmode=1&amp;unlock","Ornithorhynchus anatinus")</f>
        <v>Ornithorhynchus anatinus</v>
      </c>
      <c r="H145" t="s">
        <v>172</v>
      </c>
      <c r="I145" t="str">
        <f>HYPERLINK("http://www.ncbi.nlm.nih.gov/protein/XP_028939293.1","fatty acid-binding protein, liver")</f>
        <v>fatty acid-binding protein, liver</v>
      </c>
      <c r="J145" t="s">
        <v>1381</v>
      </c>
      <c r="K145" t="s">
        <v>25</v>
      </c>
      <c r="L145">
        <v>50</v>
      </c>
      <c r="M145" t="s">
        <v>1382</v>
      </c>
      <c r="N145" t="s">
        <v>25</v>
      </c>
      <c r="O145" t="s">
        <v>1355</v>
      </c>
      <c r="P145" t="s">
        <v>25</v>
      </c>
      <c r="Q145">
        <v>131.17500000000001</v>
      </c>
      <c r="R145" t="s">
        <v>25</v>
      </c>
      <c r="S145" t="s">
        <v>25</v>
      </c>
    </row>
    <row r="146" spans="1:19" x14ac:dyDescent="0.25">
      <c r="A146">
        <v>6</v>
      </c>
      <c r="B146" t="s">
        <v>18</v>
      </c>
      <c r="C146" t="str">
        <f>HYPERLINK("http://www.ncbi.nlm.nih.gov/protein/XP_024599684.1","XP_024599684.1")</f>
        <v>XP_024599684.1</v>
      </c>
      <c r="D146">
        <v>38184</v>
      </c>
      <c r="E146" t="str">
        <f>HYPERLINK("http://www.ncbi.nlm.nih.gov/Taxonomy/Browser/wwwtax.cgi?mode=Info&amp;id=1706337&amp;lvl=3&amp;lin=f&amp;keep=1&amp;srchmode=1&amp;unlock","1706337")</f>
        <v>1706337</v>
      </c>
      <c r="F146" t="s">
        <v>18</v>
      </c>
      <c r="G146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46" t="s">
        <v>175</v>
      </c>
      <c r="I146" t="str">
        <f>HYPERLINK("http://www.ncbi.nlm.nih.gov/protein/XP_024599684.1","fatty acid-binding protein, liver")</f>
        <v>fatty acid-binding protein, liver</v>
      </c>
      <c r="J146" t="s">
        <v>1381</v>
      </c>
      <c r="K146" t="s">
        <v>20</v>
      </c>
      <c r="L146">
        <v>50</v>
      </c>
      <c r="M146" t="s">
        <v>1380</v>
      </c>
      <c r="N146" t="s">
        <v>20</v>
      </c>
      <c r="O146" t="s">
        <v>1394</v>
      </c>
      <c r="P146" t="s">
        <v>20</v>
      </c>
      <c r="Q146">
        <v>165.19200000000001</v>
      </c>
      <c r="R146" t="s">
        <v>20</v>
      </c>
      <c r="S146" t="s">
        <v>20</v>
      </c>
    </row>
    <row r="147" spans="1:19" x14ac:dyDescent="0.25">
      <c r="A147">
        <v>6</v>
      </c>
      <c r="B147" t="s">
        <v>18</v>
      </c>
      <c r="C147" t="str">
        <f>HYPERLINK("http://www.ncbi.nlm.nih.gov/protein/XP_032508857.1","XP_032508857.1")</f>
        <v>XP_032508857.1</v>
      </c>
      <c r="D147">
        <v>52375</v>
      </c>
      <c r="E147" t="str">
        <f>HYPERLINK("http://www.ncbi.nlm.nih.gov/Taxonomy/Browser/wwwtax.cgi?mode=Info&amp;id=42100&amp;lvl=3&amp;lin=f&amp;keep=1&amp;srchmode=1&amp;unlock","42100")</f>
        <v>42100</v>
      </c>
      <c r="F147" t="s">
        <v>18</v>
      </c>
      <c r="G147" t="str">
        <f>HYPERLINK("http://www.ncbi.nlm.nih.gov/Taxonomy/Browser/wwwtax.cgi?mode=Info&amp;id=42100&amp;lvl=3&amp;lin=f&amp;keep=1&amp;srchmode=1&amp;unlock","Phocoena sinus")</f>
        <v>Phocoena sinus</v>
      </c>
      <c r="H147" t="s">
        <v>177</v>
      </c>
      <c r="I147" t="str">
        <f>HYPERLINK("http://www.ncbi.nlm.nih.gov/protein/XP_032508857.1","fatty acid-binding protein, liver")</f>
        <v>fatty acid-binding protein, liver</v>
      </c>
      <c r="J147" t="s">
        <v>1381</v>
      </c>
      <c r="K147" t="s">
        <v>20</v>
      </c>
      <c r="L147">
        <v>50</v>
      </c>
      <c r="M147" t="s">
        <v>1380</v>
      </c>
      <c r="N147" t="s">
        <v>20</v>
      </c>
      <c r="O147" t="s">
        <v>1394</v>
      </c>
      <c r="P147" t="s">
        <v>20</v>
      </c>
      <c r="Q147">
        <v>165.19200000000001</v>
      </c>
      <c r="R147" t="s">
        <v>20</v>
      </c>
      <c r="S147" t="s">
        <v>20</v>
      </c>
    </row>
    <row r="148" spans="1:19" x14ac:dyDescent="0.25">
      <c r="A148">
        <v>6</v>
      </c>
      <c r="B148" t="s">
        <v>18</v>
      </c>
      <c r="C148" t="str">
        <f>HYPERLINK("http://www.ncbi.nlm.nih.gov/protein/XP_027716980.1","XP_027716980.1")</f>
        <v>XP_027716980.1</v>
      </c>
      <c r="D148">
        <v>42741</v>
      </c>
      <c r="E148" t="str">
        <f>HYPERLINK("http://www.ncbi.nlm.nih.gov/Taxonomy/Browser/wwwtax.cgi?mode=Info&amp;id=29139&amp;lvl=3&amp;lin=f&amp;keep=1&amp;srchmode=1&amp;unlock","29139")</f>
        <v>29139</v>
      </c>
      <c r="F148" t="s">
        <v>18</v>
      </c>
      <c r="G148" t="str">
        <f>HYPERLINK("http://www.ncbi.nlm.nih.gov/Taxonomy/Browser/wwwtax.cgi?mode=Info&amp;id=29139&amp;lvl=3&amp;lin=f&amp;keep=1&amp;srchmode=1&amp;unlock","Vombatus ursinus")</f>
        <v>Vombatus ursinus</v>
      </c>
      <c r="H148" t="s">
        <v>181</v>
      </c>
      <c r="I148" t="str">
        <f>HYPERLINK("http://www.ncbi.nlm.nih.gov/protein/XP_027716980.1","fatty acid-binding protein, liver")</f>
        <v>fatty acid-binding protein, liver</v>
      </c>
      <c r="J148" t="s">
        <v>1381</v>
      </c>
      <c r="K148" t="s">
        <v>25</v>
      </c>
      <c r="L148">
        <v>50</v>
      </c>
      <c r="M148" t="s">
        <v>1382</v>
      </c>
      <c r="N148" t="s">
        <v>25</v>
      </c>
      <c r="O148" t="s">
        <v>1355</v>
      </c>
      <c r="P148" t="s">
        <v>25</v>
      </c>
      <c r="Q148">
        <v>131.17500000000001</v>
      </c>
      <c r="R148" t="s">
        <v>25</v>
      </c>
      <c r="S148" t="s">
        <v>25</v>
      </c>
    </row>
    <row r="149" spans="1:19" x14ac:dyDescent="0.25">
      <c r="A149">
        <v>6</v>
      </c>
      <c r="B149" t="s">
        <v>18</v>
      </c>
      <c r="C149" t="str">
        <f>HYPERLINK("http://www.ncbi.nlm.nih.gov/protein/XP_002709683.1","XP_002709683.1")</f>
        <v>XP_002709683.1</v>
      </c>
      <c r="D149">
        <v>52342</v>
      </c>
      <c r="E149" t="str">
        <f>HYPERLINK("http://www.ncbi.nlm.nih.gov/Taxonomy/Browser/wwwtax.cgi?mode=Info&amp;id=9986&amp;lvl=3&amp;lin=f&amp;keep=1&amp;srchmode=1&amp;unlock","9986")</f>
        <v>9986</v>
      </c>
      <c r="F149" t="s">
        <v>18</v>
      </c>
      <c r="G149" t="str">
        <f>HYPERLINK("http://www.ncbi.nlm.nih.gov/Taxonomy/Browser/wwwtax.cgi?mode=Info&amp;id=9986&amp;lvl=3&amp;lin=f&amp;keep=1&amp;srchmode=1&amp;unlock","Oryctolagus cuniculus")</f>
        <v>Oryctolagus cuniculus</v>
      </c>
      <c r="H149" t="s">
        <v>183</v>
      </c>
      <c r="I149" t="str">
        <f>HYPERLINK("http://www.ncbi.nlm.nih.gov/protein/XP_002709683.1","PREDICTED: fatty acid-binding protein, liver")</f>
        <v>PREDICTED: fatty acid-binding protein, liver</v>
      </c>
      <c r="J149" t="s">
        <v>1381</v>
      </c>
      <c r="K149" t="s">
        <v>25</v>
      </c>
      <c r="L149">
        <v>50</v>
      </c>
      <c r="M149" t="s">
        <v>1382</v>
      </c>
      <c r="N149" t="s">
        <v>25</v>
      </c>
      <c r="O149" t="s">
        <v>1355</v>
      </c>
      <c r="P149" t="s">
        <v>25</v>
      </c>
      <c r="Q149">
        <v>131.17500000000001</v>
      </c>
      <c r="R149" t="s">
        <v>25</v>
      </c>
      <c r="S149" t="s">
        <v>25</v>
      </c>
    </row>
    <row r="150" spans="1:19" x14ac:dyDescent="0.25">
      <c r="A150">
        <v>6</v>
      </c>
      <c r="B150" t="s">
        <v>18</v>
      </c>
      <c r="C150" t="str">
        <f>HYPERLINK("http://www.ncbi.nlm.nih.gov/protein/XP_036729393.1","XP_036729393.1")</f>
        <v>XP_036729393.1</v>
      </c>
      <c r="D150">
        <v>52383</v>
      </c>
      <c r="E150" t="str">
        <f>HYPERLINK("http://www.ncbi.nlm.nih.gov/Taxonomy/Browser/wwwtax.cgi?mode=Info&amp;id=9771&amp;lvl=3&amp;lin=f&amp;keep=1&amp;srchmode=1&amp;unlock","9771")</f>
        <v>9771</v>
      </c>
      <c r="F150" t="s">
        <v>18</v>
      </c>
      <c r="G150" t="str">
        <f>HYPERLINK("http://www.ncbi.nlm.nih.gov/Taxonomy/Browser/wwwtax.cgi?mode=Info&amp;id=9771&amp;lvl=3&amp;lin=f&amp;keep=1&amp;srchmode=1&amp;unlock","Balaenoptera musculus")</f>
        <v>Balaenoptera musculus</v>
      </c>
      <c r="H150" t="s">
        <v>190</v>
      </c>
      <c r="I150" t="str">
        <f>HYPERLINK("http://www.ncbi.nlm.nih.gov/protein/XP_036729393.1","fatty acid-binding protein, liver")</f>
        <v>fatty acid-binding protein, liver</v>
      </c>
      <c r="J150" t="s">
        <v>1381</v>
      </c>
      <c r="K150" t="s">
        <v>20</v>
      </c>
      <c r="L150">
        <v>50</v>
      </c>
      <c r="M150" t="s">
        <v>1380</v>
      </c>
      <c r="N150" t="s">
        <v>20</v>
      </c>
      <c r="O150" t="s">
        <v>1394</v>
      </c>
      <c r="P150" t="s">
        <v>20</v>
      </c>
      <c r="Q150">
        <v>165.19200000000001</v>
      </c>
      <c r="R150" t="s">
        <v>20</v>
      </c>
      <c r="S150" t="s">
        <v>20</v>
      </c>
    </row>
    <row r="151" spans="1:19" x14ac:dyDescent="0.25">
      <c r="A151">
        <v>6</v>
      </c>
      <c r="B151" t="s">
        <v>18</v>
      </c>
      <c r="C151" t="str">
        <f>HYPERLINK("http://www.ncbi.nlm.nih.gov/protein/XP_004612100.1","XP_004612100.1")</f>
        <v>XP_004612100.1</v>
      </c>
      <c r="D151">
        <v>24236</v>
      </c>
      <c r="E151" t="str">
        <f>HYPERLINK("http://www.ncbi.nlm.nih.gov/Taxonomy/Browser/wwwtax.cgi?mode=Info&amp;id=42254&amp;lvl=3&amp;lin=f&amp;keep=1&amp;srchmode=1&amp;unlock","42254")</f>
        <v>42254</v>
      </c>
      <c r="F151" t="s">
        <v>18</v>
      </c>
      <c r="G151" t="str">
        <f>HYPERLINK("http://www.ncbi.nlm.nih.gov/Taxonomy/Browser/wwwtax.cgi?mode=Info&amp;id=42254&amp;lvl=3&amp;lin=f&amp;keep=1&amp;srchmode=1&amp;unlock","Sorex araneus")</f>
        <v>Sorex araneus</v>
      </c>
      <c r="H151" t="s">
        <v>195</v>
      </c>
      <c r="I151" t="str">
        <f>HYPERLINK("http://www.ncbi.nlm.nih.gov/protein/XP_004612100.1","PREDICTED: fatty acid-binding protein, liver")</f>
        <v>PREDICTED: fatty acid-binding protein, liver</v>
      </c>
      <c r="J151" t="s">
        <v>1381</v>
      </c>
      <c r="K151" t="s">
        <v>25</v>
      </c>
      <c r="L151">
        <v>50</v>
      </c>
      <c r="M151" t="s">
        <v>1379</v>
      </c>
      <c r="N151" t="s">
        <v>25</v>
      </c>
      <c r="O151" t="s">
        <v>1355</v>
      </c>
      <c r="P151" t="s">
        <v>25</v>
      </c>
      <c r="Q151">
        <v>117.148</v>
      </c>
      <c r="R151" t="s">
        <v>25</v>
      </c>
      <c r="S151" t="s">
        <v>25</v>
      </c>
    </row>
    <row r="152" spans="1:19" x14ac:dyDescent="0.25">
      <c r="A152">
        <v>6</v>
      </c>
      <c r="B152" t="s">
        <v>18</v>
      </c>
      <c r="C152" t="str">
        <f>HYPERLINK("http://www.ncbi.nlm.nih.gov/protein/XP_007175370.1","XP_007175370.1")</f>
        <v>XP_007175370.1</v>
      </c>
      <c r="D152">
        <v>37624</v>
      </c>
      <c r="E152" t="str">
        <f>HYPERLINK("http://www.ncbi.nlm.nih.gov/Taxonomy/Browser/wwwtax.cgi?mode=Info&amp;id=310752&amp;lvl=3&amp;lin=f&amp;keep=1&amp;srchmode=1&amp;unlock","310752")</f>
        <v>310752</v>
      </c>
      <c r="F152" t="s">
        <v>18</v>
      </c>
      <c r="G152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52" t="s">
        <v>241</v>
      </c>
      <c r="I152" t="str">
        <f>HYPERLINK("http://www.ncbi.nlm.nih.gov/protein/XP_007175370.1","fatty acid-binding protein, liver")</f>
        <v>fatty acid-binding protein, liver</v>
      </c>
      <c r="J152" t="s">
        <v>1381</v>
      </c>
      <c r="K152" t="s">
        <v>20</v>
      </c>
      <c r="L152">
        <v>50</v>
      </c>
      <c r="M152" t="s">
        <v>1380</v>
      </c>
      <c r="N152" t="s">
        <v>20</v>
      </c>
      <c r="O152" t="s">
        <v>1394</v>
      </c>
      <c r="P152" t="s">
        <v>20</v>
      </c>
      <c r="Q152">
        <v>165.19200000000001</v>
      </c>
      <c r="R152" t="s">
        <v>20</v>
      </c>
      <c r="S152" t="s">
        <v>20</v>
      </c>
    </row>
    <row r="153" spans="1:19" x14ac:dyDescent="0.25">
      <c r="A153">
        <v>6</v>
      </c>
      <c r="B153" t="s">
        <v>18</v>
      </c>
      <c r="C153" t="str">
        <f>HYPERLINK("http://www.ncbi.nlm.nih.gov/protein/XP_040850026.1","XP_040850026.1")</f>
        <v>XP_040850026.1</v>
      </c>
      <c r="D153">
        <v>42386</v>
      </c>
      <c r="E153" t="str">
        <f>HYPERLINK("http://www.ncbi.nlm.nih.gov/Taxonomy/Browser/wwwtax.cgi?mode=Info&amp;id=130825&amp;lvl=3&amp;lin=f&amp;keep=1&amp;srchmode=1&amp;unlock","130825")</f>
        <v>130825</v>
      </c>
      <c r="F153" t="s">
        <v>18</v>
      </c>
      <c r="G153" t="str">
        <f>HYPERLINK("http://www.ncbi.nlm.nih.gov/Taxonomy/Browser/wwwtax.cgi?mode=Info&amp;id=130825&amp;lvl=3&amp;lin=f&amp;keep=1&amp;srchmode=1&amp;unlock","Ochotona curzoniae")</f>
        <v>Ochotona curzoniae</v>
      </c>
      <c r="H153" t="s">
        <v>350</v>
      </c>
      <c r="I153" t="str">
        <f>HYPERLINK("http://www.ncbi.nlm.nih.gov/protein/XP_040850026.1","fatty acid-binding protein, liver")</f>
        <v>fatty acid-binding protein, liver</v>
      </c>
      <c r="J153" t="s">
        <v>1381</v>
      </c>
      <c r="K153" t="s">
        <v>25</v>
      </c>
      <c r="L153">
        <v>50</v>
      </c>
      <c r="M153" t="s">
        <v>1382</v>
      </c>
      <c r="N153" t="s">
        <v>25</v>
      </c>
      <c r="O153" t="s">
        <v>1355</v>
      </c>
      <c r="P153" t="s">
        <v>25</v>
      </c>
      <c r="Q153">
        <v>131.17500000000001</v>
      </c>
      <c r="R153" t="s">
        <v>25</v>
      </c>
      <c r="S153" t="s">
        <v>25</v>
      </c>
    </row>
    <row r="154" spans="1:19" x14ac:dyDescent="0.25">
      <c r="A154">
        <v>6</v>
      </c>
      <c r="B154" t="s">
        <v>18</v>
      </c>
      <c r="C154" t="str">
        <f>HYPERLINK("http://www.ncbi.nlm.nih.gov/protein/XP_001497770.1","XP_001497770.1")</f>
        <v>XP_001497770.1</v>
      </c>
      <c r="D154">
        <v>67826</v>
      </c>
      <c r="E154" t="str">
        <f>HYPERLINK("http://www.ncbi.nlm.nih.gov/Taxonomy/Browser/wwwtax.cgi?mode=Info&amp;id=9796&amp;lvl=3&amp;lin=f&amp;keep=1&amp;srchmode=1&amp;unlock","9796")</f>
        <v>9796</v>
      </c>
      <c r="F154" t="s">
        <v>18</v>
      </c>
      <c r="G154" t="str">
        <f>HYPERLINK("http://www.ncbi.nlm.nih.gov/Taxonomy/Browser/wwwtax.cgi?mode=Info&amp;id=9796&amp;lvl=3&amp;lin=f&amp;keep=1&amp;srchmode=1&amp;unlock","Equus caballus")</f>
        <v>Equus caballus</v>
      </c>
      <c r="H154" t="s">
        <v>388</v>
      </c>
      <c r="I154" t="str">
        <f>HYPERLINK("http://www.ncbi.nlm.nih.gov/protein/XP_001497770.1","fatty acid-binding protein, liver")</f>
        <v>fatty acid-binding protein, liver</v>
      </c>
      <c r="J154" t="s">
        <v>1381</v>
      </c>
      <c r="K154" t="s">
        <v>25</v>
      </c>
      <c r="L154">
        <v>50</v>
      </c>
      <c r="M154" t="s">
        <v>1383</v>
      </c>
      <c r="N154" t="s">
        <v>25</v>
      </c>
      <c r="O154" t="s">
        <v>1355</v>
      </c>
      <c r="P154" t="s">
        <v>25</v>
      </c>
      <c r="Q154">
        <v>131.17500000000001</v>
      </c>
      <c r="R154" t="s">
        <v>25</v>
      </c>
      <c r="S154" t="s">
        <v>25</v>
      </c>
    </row>
    <row r="155" spans="1:19" x14ac:dyDescent="0.25">
      <c r="A155">
        <v>6</v>
      </c>
      <c r="B155" t="s">
        <v>18</v>
      </c>
      <c r="C155" t="str">
        <f>HYPERLINK("http://www.ncbi.nlm.nih.gov/protein/XP_014708265.1","XP_014708265.1")</f>
        <v>XP_014708265.1</v>
      </c>
      <c r="D155">
        <v>42730</v>
      </c>
      <c r="E155" t="str">
        <f>HYPERLINK("http://www.ncbi.nlm.nih.gov/Taxonomy/Browser/wwwtax.cgi?mode=Info&amp;id=9793&amp;lvl=3&amp;lin=f&amp;keep=1&amp;srchmode=1&amp;unlock","9793")</f>
        <v>9793</v>
      </c>
      <c r="F155" t="s">
        <v>18</v>
      </c>
      <c r="G155" t="str">
        <f>HYPERLINK("http://www.ncbi.nlm.nih.gov/Taxonomy/Browser/wwwtax.cgi?mode=Info&amp;id=9793&amp;lvl=3&amp;lin=f&amp;keep=1&amp;srchmode=1&amp;unlock","Equus asinus")</f>
        <v>Equus asinus</v>
      </c>
      <c r="H155" t="s">
        <v>381</v>
      </c>
      <c r="I155" t="str">
        <f>HYPERLINK("http://www.ncbi.nlm.nih.gov/protein/XP_014708265.1","PREDICTED: fatty acid-binding protein, liver")</f>
        <v>PREDICTED: fatty acid-binding protein, liver</v>
      </c>
      <c r="J155" t="s">
        <v>1381</v>
      </c>
      <c r="K155" t="s">
        <v>25</v>
      </c>
      <c r="L155">
        <v>50</v>
      </c>
      <c r="M155" t="s">
        <v>1383</v>
      </c>
      <c r="N155" t="s">
        <v>25</v>
      </c>
      <c r="O155" t="s">
        <v>1355</v>
      </c>
      <c r="P155" t="s">
        <v>25</v>
      </c>
      <c r="Q155">
        <v>131.17500000000001</v>
      </c>
      <c r="R155" t="s">
        <v>25</v>
      </c>
      <c r="S155" t="s">
        <v>25</v>
      </c>
    </row>
    <row r="156" spans="1:19" x14ac:dyDescent="0.25">
      <c r="A156">
        <v>6</v>
      </c>
      <c r="B156" t="s">
        <v>18</v>
      </c>
      <c r="C156" t="str">
        <f>HYPERLINK("http://www.ncbi.nlm.nih.gov/protein/XP_008516874.1","XP_008516874.1")</f>
        <v>XP_008516874.1</v>
      </c>
      <c r="D156">
        <v>38543</v>
      </c>
      <c r="E156" t="str">
        <f>HYPERLINK("http://www.ncbi.nlm.nih.gov/Taxonomy/Browser/wwwtax.cgi?mode=Info&amp;id=9798&amp;lvl=3&amp;lin=f&amp;keep=1&amp;srchmode=1&amp;unlock","9798")</f>
        <v>9798</v>
      </c>
      <c r="F156" t="s">
        <v>18</v>
      </c>
      <c r="G156" t="str">
        <f>HYPERLINK("http://www.ncbi.nlm.nih.gov/Taxonomy/Browser/wwwtax.cgi?mode=Info&amp;id=9798&amp;lvl=3&amp;lin=f&amp;keep=1&amp;srchmode=1&amp;unlock","Equus przewalskii")</f>
        <v>Equus przewalskii</v>
      </c>
      <c r="H156" t="s">
        <v>382</v>
      </c>
      <c r="I156" t="str">
        <f>HYPERLINK("http://www.ncbi.nlm.nih.gov/protein/XP_008516874.1","PREDICTED: fatty acid-binding protein, liver")</f>
        <v>PREDICTED: fatty acid-binding protein, liver</v>
      </c>
      <c r="J156" t="s">
        <v>1381</v>
      </c>
      <c r="K156" t="s">
        <v>25</v>
      </c>
      <c r="L156">
        <v>50</v>
      </c>
      <c r="M156" t="s">
        <v>1383</v>
      </c>
      <c r="N156" t="s">
        <v>25</v>
      </c>
      <c r="O156" t="s">
        <v>1355</v>
      </c>
      <c r="P156" t="s">
        <v>25</v>
      </c>
      <c r="Q156">
        <v>131.17500000000001</v>
      </c>
      <c r="R156" t="s">
        <v>25</v>
      </c>
      <c r="S156" t="s">
        <v>25</v>
      </c>
    </row>
    <row r="157" spans="1:19" x14ac:dyDescent="0.25">
      <c r="A157">
        <v>6</v>
      </c>
      <c r="B157" t="s">
        <v>18</v>
      </c>
      <c r="C157" t="str">
        <f>HYPERLINK("http://www.ncbi.nlm.nih.gov/protein/XP_020041276.1","XP_020041276.1")</f>
        <v>XP_020041276.1</v>
      </c>
      <c r="D157">
        <v>37573</v>
      </c>
      <c r="E157" t="str">
        <f>HYPERLINK("http://www.ncbi.nlm.nih.gov/Taxonomy/Browser/wwwtax.cgi?mode=Info&amp;id=51338&amp;lvl=3&amp;lin=f&amp;keep=1&amp;srchmode=1&amp;unlock","51338")</f>
        <v>51338</v>
      </c>
      <c r="F157" t="s">
        <v>18</v>
      </c>
      <c r="G157" t="str">
        <f>HYPERLINK("http://www.ncbi.nlm.nih.gov/Taxonomy/Browser/wwwtax.cgi?mode=Info&amp;id=51338&amp;lvl=3&amp;lin=f&amp;keep=1&amp;srchmode=1&amp;unlock","Castor canadensis")</f>
        <v>Castor canadensis</v>
      </c>
      <c r="H157" t="s">
        <v>416</v>
      </c>
      <c r="I157" t="str">
        <f>HYPERLINK("http://www.ncbi.nlm.nih.gov/protein/XP_020041276.1","fatty acid-binding protein, liver")</f>
        <v>fatty acid-binding protein, liver</v>
      </c>
      <c r="J157" t="s">
        <v>1381</v>
      </c>
      <c r="K157" t="s">
        <v>25</v>
      </c>
      <c r="L157">
        <v>50</v>
      </c>
      <c r="M157" t="s">
        <v>1382</v>
      </c>
      <c r="N157" t="s">
        <v>25</v>
      </c>
      <c r="O157" t="s">
        <v>1355</v>
      </c>
      <c r="P157" t="s">
        <v>25</v>
      </c>
      <c r="Q157">
        <v>131.17500000000001</v>
      </c>
      <c r="R157" t="s">
        <v>25</v>
      </c>
      <c r="S157" t="s">
        <v>25</v>
      </c>
    </row>
    <row r="158" spans="1:19" x14ac:dyDescent="0.25">
      <c r="A158">
        <v>6</v>
      </c>
      <c r="B158" t="s">
        <v>18</v>
      </c>
      <c r="C158" t="str">
        <f>HYPERLINK("http://www.ncbi.nlm.nih.gov/protein/XP_004590793.1","XP_004590793.1")</f>
        <v>XP_004590793.1</v>
      </c>
      <c r="D158">
        <v>30035</v>
      </c>
      <c r="E158" t="str">
        <f>HYPERLINK("http://www.ncbi.nlm.nih.gov/Taxonomy/Browser/wwwtax.cgi?mode=Info&amp;id=9978&amp;lvl=3&amp;lin=f&amp;keep=1&amp;srchmode=1&amp;unlock","9978")</f>
        <v>9978</v>
      </c>
      <c r="F158" t="s">
        <v>18</v>
      </c>
      <c r="G158" t="str">
        <f>HYPERLINK("http://www.ncbi.nlm.nih.gov/Taxonomy/Browser/wwwtax.cgi?mode=Info&amp;id=9978&amp;lvl=3&amp;lin=f&amp;keep=1&amp;srchmode=1&amp;unlock","Ochotona princeps")</f>
        <v>Ochotona princeps</v>
      </c>
      <c r="H158" t="s">
        <v>417</v>
      </c>
      <c r="I158" t="str">
        <f>HYPERLINK("http://www.ncbi.nlm.nih.gov/protein/XP_004590793.1","fatty acid-binding protein, liver")</f>
        <v>fatty acid-binding protein, liver</v>
      </c>
      <c r="J158" t="s">
        <v>1381</v>
      </c>
      <c r="K158" t="s">
        <v>25</v>
      </c>
      <c r="L158">
        <v>50</v>
      </c>
      <c r="M158" t="s">
        <v>1382</v>
      </c>
      <c r="N158" t="s">
        <v>25</v>
      </c>
      <c r="O158" t="s">
        <v>1355</v>
      </c>
      <c r="P158" t="s">
        <v>25</v>
      </c>
      <c r="Q158">
        <v>131.17500000000001</v>
      </c>
      <c r="R158" t="s">
        <v>25</v>
      </c>
      <c r="S158" t="s">
        <v>25</v>
      </c>
    </row>
    <row r="159" spans="1:19" x14ac:dyDescent="0.25">
      <c r="A159">
        <v>6</v>
      </c>
      <c r="B159" t="s">
        <v>18</v>
      </c>
      <c r="C159" t="str">
        <f>HYPERLINK("http://www.ncbi.nlm.nih.gov/protein/XP_020836189.1","XP_020836189.1")</f>
        <v>XP_020836189.1</v>
      </c>
      <c r="D159">
        <v>47290</v>
      </c>
      <c r="E159" t="str">
        <f>HYPERLINK("http://www.ncbi.nlm.nih.gov/Taxonomy/Browser/wwwtax.cgi?mode=Info&amp;id=38626&amp;lvl=3&amp;lin=f&amp;keep=1&amp;srchmode=1&amp;unlock","38626")</f>
        <v>38626</v>
      </c>
      <c r="F159" t="s">
        <v>18</v>
      </c>
      <c r="G159" t="str">
        <f>HYPERLINK("http://www.ncbi.nlm.nih.gov/Taxonomy/Browser/wwwtax.cgi?mode=Info&amp;id=38626&amp;lvl=3&amp;lin=f&amp;keep=1&amp;srchmode=1&amp;unlock","Phascolarctos cinereus")</f>
        <v>Phascolarctos cinereus</v>
      </c>
      <c r="H159" t="s">
        <v>472</v>
      </c>
      <c r="I159" t="str">
        <f>HYPERLINK("http://www.ncbi.nlm.nih.gov/protein/XP_020836189.1","fatty acid-binding protein, liver-like")</f>
        <v>fatty acid-binding protein, liver-like</v>
      </c>
      <c r="J159" t="s">
        <v>1381</v>
      </c>
      <c r="K159" t="s">
        <v>25</v>
      </c>
      <c r="L159">
        <v>50</v>
      </c>
      <c r="M159" t="s">
        <v>1383</v>
      </c>
      <c r="N159" t="s">
        <v>25</v>
      </c>
      <c r="O159" t="s">
        <v>1355</v>
      </c>
      <c r="P159" t="s">
        <v>25</v>
      </c>
      <c r="Q159">
        <v>131.17500000000001</v>
      </c>
      <c r="R159" t="s">
        <v>25</v>
      </c>
      <c r="S159" t="s">
        <v>25</v>
      </c>
    </row>
    <row r="160" spans="1:19" x14ac:dyDescent="0.25">
      <c r="A160">
        <v>6</v>
      </c>
      <c r="B160" t="s">
        <v>18</v>
      </c>
      <c r="C160" t="str">
        <f>HYPERLINK("http://www.ncbi.nlm.nih.gov/protein/XP_014648229.1","XP_014648229.1")</f>
        <v>XP_014648229.1</v>
      </c>
      <c r="D160">
        <v>33636</v>
      </c>
      <c r="E160" t="str">
        <f>HYPERLINK("http://www.ncbi.nlm.nih.gov/Taxonomy/Browser/wwwtax.cgi?mode=Info&amp;id=73337&amp;lvl=3&amp;lin=f&amp;keep=1&amp;srchmode=1&amp;unlock","73337")</f>
        <v>73337</v>
      </c>
      <c r="F160" t="s">
        <v>18</v>
      </c>
      <c r="G160" t="str">
        <f>HYPERLINK("http://www.ncbi.nlm.nih.gov/Taxonomy/Browser/wwwtax.cgi?mode=Info&amp;id=73337&amp;lvl=3&amp;lin=f&amp;keep=1&amp;srchmode=1&amp;unlock","Ceratotherium simum simum")</f>
        <v>Ceratotherium simum simum</v>
      </c>
      <c r="H160" t="s">
        <v>560</v>
      </c>
      <c r="I160" t="str">
        <f>HYPERLINK("http://www.ncbi.nlm.nih.gov/protein/XP_014648229.1","PREDICTED: fatty acid-binding protein, liver")</f>
        <v>PREDICTED: fatty acid-binding protein, liver</v>
      </c>
      <c r="J160" t="s">
        <v>1381</v>
      </c>
      <c r="K160" t="s">
        <v>20</v>
      </c>
      <c r="L160">
        <v>50</v>
      </c>
      <c r="M160" t="s">
        <v>1380</v>
      </c>
      <c r="N160" t="s">
        <v>20</v>
      </c>
      <c r="O160" t="s">
        <v>1394</v>
      </c>
      <c r="P160" t="s">
        <v>20</v>
      </c>
      <c r="Q160">
        <v>165.19200000000001</v>
      </c>
      <c r="R160" t="s">
        <v>20</v>
      </c>
      <c r="S160" t="s">
        <v>20</v>
      </c>
    </row>
    <row r="161" spans="1:19" x14ac:dyDescent="0.25">
      <c r="A161">
        <v>6</v>
      </c>
      <c r="B161" t="s">
        <v>18</v>
      </c>
      <c r="C161" t="str">
        <f>HYPERLINK("http://www.ncbi.nlm.nih.gov/protein/XP_011943946.1","XP_011943946.1")</f>
        <v>XP_011943946.1</v>
      </c>
      <c r="D161">
        <v>66421</v>
      </c>
      <c r="E161" t="str">
        <f>HYPERLINK("http://www.ncbi.nlm.nih.gov/Taxonomy/Browser/wwwtax.cgi?mode=Info&amp;id=9531&amp;lvl=3&amp;lin=f&amp;keep=1&amp;srchmode=1&amp;unlock","9531")</f>
        <v>9531</v>
      </c>
      <c r="F161" t="s">
        <v>18</v>
      </c>
      <c r="G161" t="str">
        <f>HYPERLINK("http://www.ncbi.nlm.nih.gov/Taxonomy/Browser/wwwtax.cgi?mode=Info&amp;id=9531&amp;lvl=3&amp;lin=f&amp;keep=1&amp;srchmode=1&amp;unlock","Cercocebus atys")</f>
        <v>Cercocebus atys</v>
      </c>
      <c r="H161" t="s">
        <v>599</v>
      </c>
      <c r="I161" t="str">
        <f>HYPERLINK("http://www.ncbi.nlm.nih.gov/protein/XP_011943946.1","PREDICTED: fatty acid-binding protein, liver")</f>
        <v>PREDICTED: fatty acid-binding protein, liver</v>
      </c>
      <c r="J161" t="s">
        <v>1381</v>
      </c>
      <c r="K161" t="s">
        <v>20</v>
      </c>
      <c r="L161">
        <v>50</v>
      </c>
      <c r="M161" t="s">
        <v>1380</v>
      </c>
      <c r="N161" t="s">
        <v>20</v>
      </c>
      <c r="O161" t="s">
        <v>1394</v>
      </c>
      <c r="P161" t="s">
        <v>20</v>
      </c>
      <c r="Q161">
        <v>165.19200000000001</v>
      </c>
      <c r="R161" t="s">
        <v>20</v>
      </c>
      <c r="S161" t="s">
        <v>20</v>
      </c>
    </row>
    <row r="162" spans="1:19" x14ac:dyDescent="0.25">
      <c r="A162">
        <v>6</v>
      </c>
      <c r="B162" t="s">
        <v>18</v>
      </c>
      <c r="C162" t="str">
        <f>HYPERLINK("http://www.ncbi.nlm.nih.gov/protein/XP_007477779.1","XP_007477779.1")</f>
        <v>XP_007477779.1</v>
      </c>
      <c r="D162">
        <v>51257</v>
      </c>
      <c r="E162" t="str">
        <f>HYPERLINK("http://www.ncbi.nlm.nih.gov/Taxonomy/Browser/wwwtax.cgi?mode=Info&amp;id=13616&amp;lvl=3&amp;lin=f&amp;keep=1&amp;srchmode=1&amp;unlock","13616")</f>
        <v>13616</v>
      </c>
      <c r="F162" t="s">
        <v>18</v>
      </c>
      <c r="G162" t="str">
        <f>HYPERLINK("http://www.ncbi.nlm.nih.gov/Taxonomy/Browser/wwwtax.cgi?mode=Info&amp;id=13616&amp;lvl=3&amp;lin=f&amp;keep=1&amp;srchmode=1&amp;unlock","Monodelphis domestica")</f>
        <v>Monodelphis domestica</v>
      </c>
      <c r="H162" t="s">
        <v>638</v>
      </c>
      <c r="I162" t="str">
        <f>HYPERLINK("http://www.ncbi.nlm.nih.gov/protein/XP_007477779.1","PREDICTED: fatty acid-binding protein, liver isoform X3")</f>
        <v>PREDICTED: fatty acid-binding protein, liver isoform X3</v>
      </c>
      <c r="J162" t="s">
        <v>1381</v>
      </c>
      <c r="K162" t="s">
        <v>25</v>
      </c>
      <c r="L162">
        <v>50</v>
      </c>
      <c r="M162" t="s">
        <v>1382</v>
      </c>
      <c r="N162" t="s">
        <v>25</v>
      </c>
      <c r="O162" t="s">
        <v>1355</v>
      </c>
      <c r="P162" t="s">
        <v>25</v>
      </c>
      <c r="Q162">
        <v>131.17500000000001</v>
      </c>
      <c r="R162" t="s">
        <v>25</v>
      </c>
      <c r="S162" t="s">
        <v>25</v>
      </c>
    </row>
    <row r="163" spans="1:19" x14ac:dyDescent="0.25">
      <c r="A163">
        <v>6</v>
      </c>
      <c r="B163" t="s">
        <v>18</v>
      </c>
      <c r="C163" t="str">
        <f>HYPERLINK("http://www.ncbi.nlm.nih.gov/protein/XP_008591933.1","XP_008591933.1")</f>
        <v>XP_008591933.1</v>
      </c>
      <c r="D163">
        <v>32194</v>
      </c>
      <c r="E163" t="str">
        <f>HYPERLINK("http://www.ncbi.nlm.nih.gov/Taxonomy/Browser/wwwtax.cgi?mode=Info&amp;id=482537&amp;lvl=3&amp;lin=f&amp;keep=1&amp;srchmode=1&amp;unlock","482537")</f>
        <v>482537</v>
      </c>
      <c r="F163" t="s">
        <v>18</v>
      </c>
      <c r="G163" t="str">
        <f>HYPERLINK("http://www.ncbi.nlm.nih.gov/Taxonomy/Browser/wwwtax.cgi?mode=Info&amp;id=482537&amp;lvl=3&amp;lin=f&amp;keep=1&amp;srchmode=1&amp;unlock","Galeopterus variegatus")</f>
        <v>Galeopterus variegatus</v>
      </c>
      <c r="H163" t="s">
        <v>648</v>
      </c>
      <c r="I163" t="str">
        <f>HYPERLINK("http://www.ncbi.nlm.nih.gov/protein/XP_008591933.1","PREDICTED: fatty acid-binding protein, liver")</f>
        <v>PREDICTED: fatty acid-binding protein, liver</v>
      </c>
      <c r="J163" t="s">
        <v>1381</v>
      </c>
      <c r="K163" t="s">
        <v>25</v>
      </c>
      <c r="L163" t="s">
        <v>1317</v>
      </c>
      <c r="M163" t="s">
        <v>1317</v>
      </c>
      <c r="N163" t="s">
        <v>25</v>
      </c>
      <c r="O163" t="s">
        <v>1317</v>
      </c>
      <c r="P163" t="s">
        <v>25</v>
      </c>
      <c r="Q163" t="s">
        <v>1317</v>
      </c>
      <c r="R163" t="s">
        <v>25</v>
      </c>
      <c r="S163" t="s">
        <v>25</v>
      </c>
    </row>
    <row r="164" spans="1:19" x14ac:dyDescent="0.25">
      <c r="A164">
        <v>6</v>
      </c>
      <c r="B164" t="s">
        <v>134</v>
      </c>
      <c r="C164" t="str">
        <f>HYPERLINK("http://www.ncbi.nlm.nih.gov/protein/XP_030048428.1","XP_030048428.1")</f>
        <v>XP_030048428.1</v>
      </c>
      <c r="D164">
        <v>37123</v>
      </c>
      <c r="E164" t="str">
        <f>HYPERLINK("http://www.ncbi.nlm.nih.gov/Taxonomy/Browser/wwwtax.cgi?mode=Info&amp;id=1415580&amp;lvl=3&amp;lin=f&amp;keep=1&amp;srchmode=1&amp;unlock","1415580")</f>
        <v>1415580</v>
      </c>
      <c r="F164" t="s">
        <v>134</v>
      </c>
      <c r="G164" t="str">
        <f>HYPERLINK("http://www.ncbi.nlm.nih.gov/Taxonomy/Browser/wwwtax.cgi?mode=Info&amp;id=1415580&amp;lvl=3&amp;lin=f&amp;keep=1&amp;srchmode=1&amp;unlock","Microcaecilia unicolor")</f>
        <v>Microcaecilia unicolor</v>
      </c>
      <c r="H164" t="s">
        <v>338</v>
      </c>
      <c r="I164" t="str">
        <f>HYPERLINK("http://www.ncbi.nlm.nih.gov/protein/XP_030048428.1","fatty acid-binding protein 1, liver-like")</f>
        <v>fatty acid-binding protein 1, liver-like</v>
      </c>
      <c r="J164" t="s">
        <v>1385</v>
      </c>
      <c r="K164" t="s">
        <v>25</v>
      </c>
      <c r="L164">
        <v>50</v>
      </c>
      <c r="M164" t="s">
        <v>1379</v>
      </c>
      <c r="N164" t="s">
        <v>25</v>
      </c>
      <c r="O164" t="s">
        <v>1355</v>
      </c>
      <c r="P164" t="s">
        <v>25</v>
      </c>
      <c r="Q164">
        <v>117.148</v>
      </c>
      <c r="R164" t="s">
        <v>25</v>
      </c>
      <c r="S164" t="s">
        <v>25</v>
      </c>
    </row>
    <row r="165" spans="1:19" x14ac:dyDescent="0.25">
      <c r="A165">
        <v>6</v>
      </c>
      <c r="B165" t="s">
        <v>134</v>
      </c>
      <c r="C165" t="str">
        <f>HYPERLINK("http://www.ncbi.nlm.nih.gov/protein/P81399.1","P81399.1")</f>
        <v>P81399.1</v>
      </c>
      <c r="D165">
        <v>604</v>
      </c>
      <c r="E165" t="str">
        <f>HYPERLINK("http://www.ncbi.nlm.nih.gov/Taxonomy/Browser/wwwtax.cgi?mode=Info&amp;id=8296&amp;lvl=3&amp;lin=f&amp;keep=1&amp;srchmode=1&amp;unlock","8296")</f>
        <v>8296</v>
      </c>
      <c r="F165" t="s">
        <v>134</v>
      </c>
      <c r="G165" t="str">
        <f>HYPERLINK("http://www.ncbi.nlm.nih.gov/Taxonomy/Browser/wwwtax.cgi?mode=Info&amp;id=8296&amp;lvl=3&amp;lin=f&amp;keep=1&amp;srchmode=1&amp;unlock","Ambystoma mexicanum")</f>
        <v>Ambystoma mexicanum</v>
      </c>
      <c r="H165" t="s">
        <v>391</v>
      </c>
      <c r="I165" t="str">
        <f>HYPERLINK("http://www.ncbi.nlm.nih.gov/protein/P81399.1","RecName: Full=Fatty acid-binding protein 1, liver; AltName: Full=Liver-type fatty acid-binding protein; Short=L-FABP")</f>
        <v>RecName: Full=Fatty acid-binding protein 1, liver; AltName: Full=Liver-type fatty acid-binding protein; Short=L-FABP</v>
      </c>
      <c r="J165" t="s">
        <v>1385</v>
      </c>
      <c r="K165" t="s">
        <v>25</v>
      </c>
      <c r="L165">
        <v>49</v>
      </c>
      <c r="M165" t="s">
        <v>1379</v>
      </c>
      <c r="N165" t="s">
        <v>25</v>
      </c>
      <c r="O165" t="s">
        <v>1355</v>
      </c>
      <c r="P165" t="s">
        <v>25</v>
      </c>
      <c r="Q165">
        <v>117.148</v>
      </c>
      <c r="R165" t="s">
        <v>25</v>
      </c>
      <c r="S165" t="s">
        <v>25</v>
      </c>
    </row>
    <row r="166" spans="1:19" x14ac:dyDescent="0.25">
      <c r="A166">
        <v>6</v>
      </c>
      <c r="B166" t="s">
        <v>134</v>
      </c>
      <c r="C166" t="str">
        <f>HYPERLINK("http://www.ncbi.nlm.nih.gov/protein/XP_029448933.1","XP_029448933.1")</f>
        <v>XP_029448933.1</v>
      </c>
      <c r="D166">
        <v>49320</v>
      </c>
      <c r="E166" t="str">
        <f>HYPERLINK("http://www.ncbi.nlm.nih.gov/Taxonomy/Browser/wwwtax.cgi?mode=Info&amp;id=194408&amp;lvl=3&amp;lin=f&amp;keep=1&amp;srchmode=1&amp;unlock","194408")</f>
        <v>194408</v>
      </c>
      <c r="F166" t="s">
        <v>134</v>
      </c>
      <c r="G166" t="str">
        <f>HYPERLINK("http://www.ncbi.nlm.nih.gov/Taxonomy/Browser/wwwtax.cgi?mode=Info&amp;id=194408&amp;lvl=3&amp;lin=f&amp;keep=1&amp;srchmode=1&amp;unlock","Rhinatrema bivittatum")</f>
        <v>Rhinatrema bivittatum</v>
      </c>
      <c r="H166" t="s">
        <v>393</v>
      </c>
      <c r="I166" t="str">
        <f>HYPERLINK("http://www.ncbi.nlm.nih.gov/protein/XP_029448933.1","fatty acid-binding protein 1, liver-like")</f>
        <v>fatty acid-binding protein 1, liver-like</v>
      </c>
      <c r="J166" t="s">
        <v>1385</v>
      </c>
      <c r="K166" t="s">
        <v>25</v>
      </c>
      <c r="L166">
        <v>50</v>
      </c>
      <c r="M166" t="s">
        <v>1379</v>
      </c>
      <c r="N166" t="s">
        <v>25</v>
      </c>
      <c r="O166" t="s">
        <v>1355</v>
      </c>
      <c r="P166" t="s">
        <v>25</v>
      </c>
      <c r="Q166">
        <v>117.148</v>
      </c>
      <c r="R166" t="s">
        <v>25</v>
      </c>
      <c r="S166" t="s">
        <v>25</v>
      </c>
    </row>
    <row r="167" spans="1:19" x14ac:dyDescent="0.25">
      <c r="A167">
        <v>6</v>
      </c>
      <c r="B167" t="s">
        <v>134</v>
      </c>
      <c r="C167" t="str">
        <f>HYPERLINK("http://www.ncbi.nlm.nih.gov/protein/NP_001116883.1","NP_001116883.1")</f>
        <v>NP_001116883.1</v>
      </c>
      <c r="D167">
        <v>122938</v>
      </c>
      <c r="E167" t="str">
        <f>HYPERLINK("http://www.ncbi.nlm.nih.gov/Taxonomy/Browser/wwwtax.cgi?mode=Info&amp;id=8364&amp;lvl=3&amp;lin=f&amp;keep=1&amp;srchmode=1&amp;unlock","8364")</f>
        <v>8364</v>
      </c>
      <c r="F167" t="s">
        <v>134</v>
      </c>
      <c r="G167" t="str">
        <f>HYPERLINK("http://www.ncbi.nlm.nih.gov/Taxonomy/Browser/wwwtax.cgi?mode=Info&amp;id=8364&amp;lvl=3&amp;lin=f&amp;keep=1&amp;srchmode=1&amp;unlock","Xenopus tropicalis")</f>
        <v>Xenopus tropicalis</v>
      </c>
      <c r="H167" t="s">
        <v>468</v>
      </c>
      <c r="I167" t="str">
        <f>HYPERLINK("http://www.ncbi.nlm.nih.gov/protein/NP_001116883.1","fatty acid-binding protein, liver")</f>
        <v>fatty acid-binding protein, liver</v>
      </c>
      <c r="J167" t="s">
        <v>1385</v>
      </c>
      <c r="K167" t="s">
        <v>25</v>
      </c>
      <c r="L167">
        <v>50</v>
      </c>
      <c r="M167" t="s">
        <v>1379</v>
      </c>
      <c r="N167" t="s">
        <v>25</v>
      </c>
      <c r="O167" t="s">
        <v>1355</v>
      </c>
      <c r="P167" t="s">
        <v>25</v>
      </c>
      <c r="Q167">
        <v>117.148</v>
      </c>
      <c r="R167" t="s">
        <v>25</v>
      </c>
      <c r="S167" t="s">
        <v>25</v>
      </c>
    </row>
    <row r="168" spans="1:19" x14ac:dyDescent="0.25">
      <c r="A168">
        <v>6</v>
      </c>
      <c r="B168" t="s">
        <v>134</v>
      </c>
      <c r="C168" t="str">
        <f>HYPERLINK("http://www.ncbi.nlm.nih.gov/protein/XP_018081038.1","XP_018081038.1")</f>
        <v>XP_018081038.1</v>
      </c>
      <c r="D168">
        <v>129058</v>
      </c>
      <c r="E168" t="str">
        <f>HYPERLINK("http://www.ncbi.nlm.nih.gov/Taxonomy/Browser/wwwtax.cgi?mode=Info&amp;id=8355&amp;lvl=3&amp;lin=f&amp;keep=1&amp;srchmode=1&amp;unlock","8355")</f>
        <v>8355</v>
      </c>
      <c r="F168" t="s">
        <v>134</v>
      </c>
      <c r="G168" t="str">
        <f>HYPERLINK("http://www.ncbi.nlm.nih.gov/Taxonomy/Browser/wwwtax.cgi?mode=Info&amp;id=8355&amp;lvl=3&amp;lin=f&amp;keep=1&amp;srchmode=1&amp;unlock","Xenopus laevis")</f>
        <v>Xenopus laevis</v>
      </c>
      <c r="H168" t="s">
        <v>473</v>
      </c>
      <c r="I168" t="str">
        <f>HYPERLINK("http://www.ncbi.nlm.nih.gov/protein/XP_018081038.1","PREDICTED: fatty acid-binding protein 1, liver-like")</f>
        <v>PREDICTED: fatty acid-binding protein 1, liver-like</v>
      </c>
      <c r="J168" t="s">
        <v>1385</v>
      </c>
      <c r="K168" t="s">
        <v>25</v>
      </c>
      <c r="L168">
        <v>50</v>
      </c>
      <c r="M168" t="s">
        <v>1379</v>
      </c>
      <c r="N168" t="s">
        <v>25</v>
      </c>
      <c r="O168" t="s">
        <v>1355</v>
      </c>
      <c r="P168" t="s">
        <v>25</v>
      </c>
      <c r="Q168">
        <v>117.148</v>
      </c>
      <c r="R168" t="s">
        <v>25</v>
      </c>
      <c r="S168" t="s">
        <v>25</v>
      </c>
    </row>
    <row r="169" spans="1:19" x14ac:dyDescent="0.25">
      <c r="A169">
        <v>6</v>
      </c>
      <c r="B169" t="s">
        <v>134</v>
      </c>
      <c r="C169" t="str">
        <f>HYPERLINK("http://www.ncbi.nlm.nih.gov/protein/ACO51701.1","ACO51701.1")</f>
        <v>ACO51701.1</v>
      </c>
      <c r="D169">
        <v>30167</v>
      </c>
      <c r="E169" t="str">
        <f>HYPERLINK("http://www.ncbi.nlm.nih.gov/Taxonomy/Browser/wwwtax.cgi?mode=Info&amp;id=8400&amp;lvl=3&amp;lin=f&amp;keep=1&amp;srchmode=1&amp;unlock","8400")</f>
        <v>8400</v>
      </c>
      <c r="F169" t="s">
        <v>134</v>
      </c>
      <c r="G169" t="str">
        <f>HYPERLINK("http://www.ncbi.nlm.nih.gov/Taxonomy/Browser/wwwtax.cgi?mode=Info&amp;id=8400&amp;lvl=3&amp;lin=f&amp;keep=1&amp;srchmode=1&amp;unlock","Lithobates catesbeianus")</f>
        <v>Lithobates catesbeianus</v>
      </c>
      <c r="H169" t="s">
        <v>578</v>
      </c>
      <c r="I169" t="str">
        <f>HYPERLINK("http://www.ncbi.nlm.nih.gov/protein/ACO51701.1","Fatty acid-binding protein, liver")</f>
        <v>Fatty acid-binding protein, liver</v>
      </c>
      <c r="J169" t="s">
        <v>1385</v>
      </c>
      <c r="K169" t="s">
        <v>25</v>
      </c>
      <c r="L169">
        <v>50</v>
      </c>
      <c r="M169" t="s">
        <v>1383</v>
      </c>
      <c r="N169" t="s">
        <v>25</v>
      </c>
      <c r="O169" t="s">
        <v>1355</v>
      </c>
      <c r="P169" t="s">
        <v>25</v>
      </c>
      <c r="Q169">
        <v>131.17500000000001</v>
      </c>
      <c r="R169" t="s">
        <v>25</v>
      </c>
      <c r="S169" t="s">
        <v>25</v>
      </c>
    </row>
    <row r="170" spans="1:19" x14ac:dyDescent="0.25">
      <c r="A170">
        <v>6</v>
      </c>
      <c r="B170" t="s">
        <v>134</v>
      </c>
      <c r="C170" t="str">
        <f>HYPERLINK("http://www.ncbi.nlm.nih.gov/protein/XP_040275212.1","XP_040275212.1")</f>
        <v>XP_040275212.1</v>
      </c>
      <c r="D170">
        <v>38439</v>
      </c>
      <c r="E170" t="str">
        <f>HYPERLINK("http://www.ncbi.nlm.nih.gov/Taxonomy/Browser/wwwtax.cgi?mode=Info&amp;id=8384&amp;lvl=3&amp;lin=f&amp;keep=1&amp;srchmode=1&amp;unlock","8384")</f>
        <v>8384</v>
      </c>
      <c r="F170" t="s">
        <v>134</v>
      </c>
      <c r="G170" t="str">
        <f>HYPERLINK("http://www.ncbi.nlm.nih.gov/Taxonomy/Browser/wwwtax.cgi?mode=Info&amp;id=8384&amp;lvl=3&amp;lin=f&amp;keep=1&amp;srchmode=1&amp;unlock","Bufo bufo")</f>
        <v>Bufo bufo</v>
      </c>
      <c r="H170" t="s">
        <v>579</v>
      </c>
      <c r="I170" t="str">
        <f>HYPERLINK("http://www.ncbi.nlm.nih.gov/protein/XP_040275212.1","fatty acid-binding protein 1, liver-like")</f>
        <v>fatty acid-binding protein 1, liver-like</v>
      </c>
      <c r="J170" t="s">
        <v>1385</v>
      </c>
      <c r="K170" t="s">
        <v>25</v>
      </c>
      <c r="L170">
        <v>50</v>
      </c>
      <c r="M170" t="s">
        <v>1379</v>
      </c>
      <c r="N170" t="s">
        <v>25</v>
      </c>
      <c r="O170" t="s">
        <v>1355</v>
      </c>
      <c r="P170" t="s">
        <v>25</v>
      </c>
      <c r="Q170">
        <v>117.148</v>
      </c>
      <c r="R170" t="s">
        <v>25</v>
      </c>
      <c r="S170" t="s">
        <v>25</v>
      </c>
    </row>
    <row r="171" spans="1:19" x14ac:dyDescent="0.25">
      <c r="A171">
        <v>6</v>
      </c>
      <c r="B171" t="s">
        <v>134</v>
      </c>
      <c r="C171" t="str">
        <f>HYPERLINK("http://www.ncbi.nlm.nih.gov/protein/XP_040191396.1","XP_040191396.1")</f>
        <v>XP_040191396.1</v>
      </c>
      <c r="D171">
        <v>42547</v>
      </c>
      <c r="E171" t="str">
        <f>HYPERLINK("http://www.ncbi.nlm.nih.gov/Taxonomy/Browser/wwwtax.cgi?mode=Info&amp;id=8407&amp;lvl=3&amp;lin=f&amp;keep=1&amp;srchmode=1&amp;unlock","8407")</f>
        <v>8407</v>
      </c>
      <c r="F171" t="s">
        <v>134</v>
      </c>
      <c r="G171" t="str">
        <f>HYPERLINK("http://www.ncbi.nlm.nih.gov/Taxonomy/Browser/wwwtax.cgi?mode=Info&amp;id=8407&amp;lvl=3&amp;lin=f&amp;keep=1&amp;srchmode=1&amp;unlock","Rana temporaria")</f>
        <v>Rana temporaria</v>
      </c>
      <c r="H171" t="s">
        <v>607</v>
      </c>
      <c r="I171" t="str">
        <f>HYPERLINK("http://www.ncbi.nlm.nih.gov/protein/XP_040191396.1","fatty acid-binding protein 1, liver-like")</f>
        <v>fatty acid-binding protein 1, liver-like</v>
      </c>
      <c r="J171" t="s">
        <v>1385</v>
      </c>
      <c r="K171" t="s">
        <v>25</v>
      </c>
      <c r="L171">
        <v>50</v>
      </c>
      <c r="M171" t="s">
        <v>1383</v>
      </c>
      <c r="N171" t="s">
        <v>25</v>
      </c>
      <c r="O171" t="s">
        <v>1355</v>
      </c>
      <c r="P171" t="s">
        <v>25</v>
      </c>
      <c r="Q171">
        <v>131.17500000000001</v>
      </c>
      <c r="R171" t="s">
        <v>25</v>
      </c>
      <c r="S171" t="s">
        <v>25</v>
      </c>
    </row>
    <row r="172" spans="1:19" x14ac:dyDescent="0.25">
      <c r="A172">
        <v>6</v>
      </c>
      <c r="B172" t="s">
        <v>134</v>
      </c>
      <c r="C172" t="str">
        <f>HYPERLINK("http://www.ncbi.nlm.nih.gov/protein/XP_018423945.1","XP_018423945.1")</f>
        <v>XP_018423945.1</v>
      </c>
      <c r="D172">
        <v>24944</v>
      </c>
      <c r="E172" t="str">
        <f>HYPERLINK("http://www.ncbi.nlm.nih.gov/Taxonomy/Browser/wwwtax.cgi?mode=Info&amp;id=125878&amp;lvl=3&amp;lin=f&amp;keep=1&amp;srchmode=1&amp;unlock","125878")</f>
        <v>125878</v>
      </c>
      <c r="F172" t="s">
        <v>134</v>
      </c>
      <c r="G172" t="str">
        <f>HYPERLINK("http://www.ncbi.nlm.nih.gov/Taxonomy/Browser/wwwtax.cgi?mode=Info&amp;id=125878&amp;lvl=3&amp;lin=f&amp;keep=1&amp;srchmode=1&amp;unlock","Nanorana parkeri")</f>
        <v>Nanorana parkeri</v>
      </c>
      <c r="H172" t="s">
        <v>642</v>
      </c>
      <c r="I172" t="str">
        <f>HYPERLINK("http://www.ncbi.nlm.nih.gov/protein/XP_018423945.1","PREDICTED: fatty acid-binding protein, liver-like")</f>
        <v>PREDICTED: fatty acid-binding protein, liver-like</v>
      </c>
      <c r="J172" t="s">
        <v>1385</v>
      </c>
      <c r="K172" t="s">
        <v>25</v>
      </c>
      <c r="L172">
        <v>50</v>
      </c>
      <c r="M172" t="s">
        <v>1383</v>
      </c>
      <c r="N172" t="s">
        <v>25</v>
      </c>
      <c r="O172" t="s">
        <v>1355</v>
      </c>
      <c r="P172" t="s">
        <v>25</v>
      </c>
      <c r="Q172">
        <v>131.17500000000001</v>
      </c>
      <c r="R172" t="s">
        <v>25</v>
      </c>
      <c r="S172" t="s">
        <v>25</v>
      </c>
    </row>
    <row r="173" spans="1:19" x14ac:dyDescent="0.25">
      <c r="A173">
        <v>6</v>
      </c>
      <c r="B173" t="s">
        <v>134</v>
      </c>
      <c r="C173" t="str">
        <f>HYPERLINK("http://www.ncbi.nlm.nih.gov/protein/P83409.2","P83409.2")</f>
        <v>P83409.2</v>
      </c>
      <c r="D173">
        <v>29</v>
      </c>
      <c r="E173" t="str">
        <f>HYPERLINK("http://www.ncbi.nlm.nih.gov/Taxonomy/Browser/wwwtax.cgi?mode=Info&amp;id=38577&amp;lvl=3&amp;lin=f&amp;keep=1&amp;srchmode=1&amp;unlock","38577")</f>
        <v>38577</v>
      </c>
      <c r="F173" t="s">
        <v>134</v>
      </c>
      <c r="G173" t="str">
        <f>HYPERLINK("http://www.ncbi.nlm.nih.gov/Taxonomy/Browser/wwwtax.cgi?mode=Info&amp;id=38577&amp;lvl=3&amp;lin=f&amp;keep=1&amp;srchmode=1&amp;unlock","Rhinella arenarum")</f>
        <v>Rhinella arenarum</v>
      </c>
      <c r="H173" t="s">
        <v>676</v>
      </c>
      <c r="I173" t="str">
        <f>HYPERLINK("http://www.ncbi.nlm.nih.gov/protein/P83409.2","RecName: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173" t="s">
        <v>1385</v>
      </c>
      <c r="K173" t="s">
        <v>25</v>
      </c>
      <c r="L173">
        <v>50</v>
      </c>
      <c r="M173" t="s">
        <v>1379</v>
      </c>
      <c r="N173" t="s">
        <v>25</v>
      </c>
      <c r="O173" t="s">
        <v>1355</v>
      </c>
      <c r="P173" t="s">
        <v>25</v>
      </c>
      <c r="Q173">
        <v>117.148</v>
      </c>
      <c r="R173" t="s">
        <v>25</v>
      </c>
      <c r="S173" t="s">
        <v>25</v>
      </c>
    </row>
    <row r="174" spans="1:19" x14ac:dyDescent="0.25">
      <c r="A174">
        <v>6</v>
      </c>
      <c r="B174" t="s">
        <v>167</v>
      </c>
      <c r="C174" t="str">
        <f>HYPERLINK("http://www.ncbi.nlm.nih.gov/protein/XP_003805902.1","XP_003805902.1")</f>
        <v>XP_003805902.1</v>
      </c>
      <c r="D174">
        <v>71982</v>
      </c>
      <c r="E174" t="str">
        <f>HYPERLINK("http://www.ncbi.nlm.nih.gov/Taxonomy/Browser/wwwtax.cgi?mode=Info&amp;id=9597&amp;lvl=3&amp;lin=f&amp;keep=1&amp;srchmode=1&amp;unlock","9597")</f>
        <v>9597</v>
      </c>
      <c r="F174" t="s">
        <v>18</v>
      </c>
      <c r="G174" t="str">
        <f>HYPERLINK("http://www.ncbi.nlm.nih.gov/Taxonomy/Browser/wwwtax.cgi?mode=Info&amp;id=9597&amp;lvl=3&amp;lin=f&amp;keep=1&amp;srchmode=1&amp;unlock","Pan paniscus")</f>
        <v>Pan paniscus</v>
      </c>
      <c r="H174" t="s">
        <v>23</v>
      </c>
      <c r="I174" t="str">
        <f>HYPERLINK("http://www.ncbi.nlm.nih.gov/protein/XP_003805902.1","fatty acid-binding protein, liver isoform X1")</f>
        <v>fatty acid-binding protein, liver isoform X1</v>
      </c>
      <c r="J174" t="s">
        <v>1386</v>
      </c>
      <c r="K174" t="s">
        <v>20</v>
      </c>
      <c r="L174">
        <v>50</v>
      </c>
      <c r="M174" t="s">
        <v>1380</v>
      </c>
      <c r="N174" t="s">
        <v>20</v>
      </c>
      <c r="O174" t="s">
        <v>1394</v>
      </c>
      <c r="P174" t="s">
        <v>20</v>
      </c>
      <c r="Q174">
        <v>165.19200000000001</v>
      </c>
      <c r="R174" t="s">
        <v>20</v>
      </c>
      <c r="S174" t="s">
        <v>20</v>
      </c>
    </row>
    <row r="175" spans="1:19" x14ac:dyDescent="0.25">
      <c r="A175">
        <v>6</v>
      </c>
      <c r="B175" t="s">
        <v>167</v>
      </c>
      <c r="C175" t="str">
        <f>HYPERLINK("http://www.ncbi.nlm.nih.gov/protein/XP_001140263.1","XP_001140263.1")</f>
        <v>XP_001140263.1</v>
      </c>
      <c r="D175">
        <v>171683</v>
      </c>
      <c r="E175" t="str">
        <f>HYPERLINK("http://www.ncbi.nlm.nih.gov/Taxonomy/Browser/wwwtax.cgi?mode=Info&amp;id=9598&amp;lvl=3&amp;lin=f&amp;keep=1&amp;srchmode=1&amp;unlock","9598")</f>
        <v>9598</v>
      </c>
      <c r="F175" t="s">
        <v>18</v>
      </c>
      <c r="G175" t="str">
        <f>HYPERLINK("http://www.ncbi.nlm.nih.gov/Taxonomy/Browser/wwwtax.cgi?mode=Info&amp;id=9598&amp;lvl=3&amp;lin=f&amp;keep=1&amp;srchmode=1&amp;unlock","Pan troglodytes")</f>
        <v>Pan troglodytes</v>
      </c>
      <c r="H175" t="s">
        <v>22</v>
      </c>
      <c r="I175" t="str">
        <f>HYPERLINK("http://www.ncbi.nlm.nih.gov/protein/XP_001140263.1","fatty acid-binding protein, liver")</f>
        <v>fatty acid-binding protein, liver</v>
      </c>
      <c r="J175" t="s">
        <v>1386</v>
      </c>
      <c r="K175" t="s">
        <v>20</v>
      </c>
      <c r="L175">
        <v>50</v>
      </c>
      <c r="M175" t="s">
        <v>1380</v>
      </c>
      <c r="N175" t="s">
        <v>20</v>
      </c>
      <c r="O175" t="s">
        <v>1394</v>
      </c>
      <c r="P175" t="s">
        <v>20</v>
      </c>
      <c r="Q175">
        <v>165.19200000000001</v>
      </c>
      <c r="R175" t="s">
        <v>20</v>
      </c>
      <c r="S175" t="s">
        <v>20</v>
      </c>
    </row>
    <row r="176" spans="1:19" x14ac:dyDescent="0.25">
      <c r="A176">
        <v>6</v>
      </c>
      <c r="B176" t="s">
        <v>167</v>
      </c>
      <c r="C176" t="str">
        <f>HYPERLINK("http://www.ncbi.nlm.nih.gov/protein/XP_004029642.1","XP_004029642.1")</f>
        <v>XP_004029642.1</v>
      </c>
      <c r="D176">
        <v>52137</v>
      </c>
      <c r="E176" t="str">
        <f>HYPERLINK("http://www.ncbi.nlm.nih.gov/Taxonomy/Browser/wwwtax.cgi?mode=Info&amp;id=9595&amp;lvl=3&amp;lin=f&amp;keep=1&amp;srchmode=1&amp;unlock","9595")</f>
        <v>9595</v>
      </c>
      <c r="F176" t="s">
        <v>18</v>
      </c>
      <c r="G176" t="str">
        <f>HYPERLINK("http://www.ncbi.nlm.nih.gov/Taxonomy/Browser/wwwtax.cgi?mode=Info&amp;id=9595&amp;lvl=3&amp;lin=f&amp;keep=1&amp;srchmode=1&amp;unlock","Gorilla gorilla gorilla")</f>
        <v>Gorilla gorilla gorilla</v>
      </c>
      <c r="H176" t="s">
        <v>24</v>
      </c>
      <c r="I176" t="str">
        <f>HYPERLINK("http://www.ncbi.nlm.nih.gov/protein/XP_004029642.1","fatty acid-binding protein, liver")</f>
        <v>fatty acid-binding protein, liver</v>
      </c>
      <c r="J176" t="s">
        <v>1386</v>
      </c>
      <c r="K176" t="s">
        <v>20</v>
      </c>
      <c r="L176">
        <v>50</v>
      </c>
      <c r="M176" t="s">
        <v>1380</v>
      </c>
      <c r="N176" t="s">
        <v>20</v>
      </c>
      <c r="O176" t="s">
        <v>1394</v>
      </c>
      <c r="P176" t="s">
        <v>20</v>
      </c>
      <c r="Q176">
        <v>165.19200000000001</v>
      </c>
      <c r="R176" t="s">
        <v>20</v>
      </c>
      <c r="S176" t="s">
        <v>20</v>
      </c>
    </row>
    <row r="177" spans="1:19" x14ac:dyDescent="0.25">
      <c r="A177">
        <v>6</v>
      </c>
      <c r="B177" t="s">
        <v>167</v>
      </c>
      <c r="C177" t="str">
        <f>HYPERLINK("http://www.ncbi.nlm.nih.gov/protein/XP_003268834.1","XP_003268834.1")</f>
        <v>XP_003268834.1</v>
      </c>
      <c r="D177">
        <v>51657</v>
      </c>
      <c r="E177" t="str">
        <f>HYPERLINK("http://www.ncbi.nlm.nih.gov/Taxonomy/Browser/wwwtax.cgi?mode=Info&amp;id=61853&amp;lvl=3&amp;lin=f&amp;keep=1&amp;srchmode=1&amp;unlock","61853")</f>
        <v>61853</v>
      </c>
      <c r="F177" t="s">
        <v>18</v>
      </c>
      <c r="G177" t="str">
        <f>HYPERLINK("http://www.ncbi.nlm.nih.gov/Taxonomy/Browser/wwwtax.cgi?mode=Info&amp;id=61853&amp;lvl=3&amp;lin=f&amp;keep=1&amp;srchmode=1&amp;unlock","Nomascus leucogenys")</f>
        <v>Nomascus leucogenys</v>
      </c>
      <c r="H177" t="s">
        <v>27</v>
      </c>
      <c r="I177" t="str">
        <f>HYPERLINK("http://www.ncbi.nlm.nih.gov/protein/XP_003268834.1","fatty acid-binding protein, liver")</f>
        <v>fatty acid-binding protein, liver</v>
      </c>
      <c r="J177" t="s">
        <v>1386</v>
      </c>
      <c r="K177" t="s">
        <v>20</v>
      </c>
      <c r="L177">
        <v>50</v>
      </c>
      <c r="M177" t="s">
        <v>1380</v>
      </c>
      <c r="N177" t="s">
        <v>20</v>
      </c>
      <c r="O177" t="s">
        <v>1394</v>
      </c>
      <c r="P177" t="s">
        <v>20</v>
      </c>
      <c r="Q177">
        <v>165.19200000000001</v>
      </c>
      <c r="R177" t="s">
        <v>20</v>
      </c>
      <c r="S177" t="s">
        <v>20</v>
      </c>
    </row>
    <row r="178" spans="1:19" x14ac:dyDescent="0.25">
      <c r="A178">
        <v>6</v>
      </c>
      <c r="B178" t="s">
        <v>167</v>
      </c>
      <c r="C178" t="str">
        <f>HYPERLINK("http://www.ncbi.nlm.nih.gov/protein/XP_032033286.1","XP_032033286.1")</f>
        <v>XP_032033286.1</v>
      </c>
      <c r="D178">
        <v>54538</v>
      </c>
      <c r="E178" t="str">
        <f>HYPERLINK("http://www.ncbi.nlm.nih.gov/Taxonomy/Browser/wwwtax.cgi?mode=Info&amp;id=81572&amp;lvl=3&amp;lin=f&amp;keep=1&amp;srchmode=1&amp;unlock","81572")</f>
        <v>81572</v>
      </c>
      <c r="F178" t="s">
        <v>18</v>
      </c>
      <c r="G178" t="str">
        <f>HYPERLINK("http://www.ncbi.nlm.nih.gov/Taxonomy/Browser/wwwtax.cgi?mode=Info&amp;id=81572&amp;lvl=3&amp;lin=f&amp;keep=1&amp;srchmode=1&amp;unlock","Hylobates moloch")</f>
        <v>Hylobates moloch</v>
      </c>
      <c r="H178" t="s">
        <v>26</v>
      </c>
      <c r="I178" t="str">
        <f>HYPERLINK("http://www.ncbi.nlm.nih.gov/protein/XP_032033286.1","fatty acid-binding protein, liver")</f>
        <v>fatty acid-binding protein, liver</v>
      </c>
      <c r="J178" t="s">
        <v>1386</v>
      </c>
      <c r="K178" t="s">
        <v>20</v>
      </c>
      <c r="L178">
        <v>50</v>
      </c>
      <c r="M178" t="s">
        <v>1380</v>
      </c>
      <c r="N178" t="s">
        <v>20</v>
      </c>
      <c r="O178" t="s">
        <v>1394</v>
      </c>
      <c r="P178" t="s">
        <v>20</v>
      </c>
      <c r="Q178">
        <v>165.19200000000001</v>
      </c>
      <c r="R178" t="s">
        <v>20</v>
      </c>
      <c r="S178" t="s">
        <v>20</v>
      </c>
    </row>
    <row r="179" spans="1:19" x14ac:dyDescent="0.25">
      <c r="A179">
        <v>6</v>
      </c>
      <c r="B179" t="s">
        <v>167</v>
      </c>
      <c r="C179" t="str">
        <f>HYPERLINK("http://www.ncbi.nlm.nih.gov/protein/NP_001125017.1","NP_001125017.1")</f>
        <v>NP_001125017.1</v>
      </c>
      <c r="D179">
        <v>141069</v>
      </c>
      <c r="E179" t="str">
        <f>HYPERLINK("http://www.ncbi.nlm.nih.gov/Taxonomy/Browser/wwwtax.cgi?mode=Info&amp;id=9601&amp;lvl=3&amp;lin=f&amp;keep=1&amp;srchmode=1&amp;unlock","9601")</f>
        <v>9601</v>
      </c>
      <c r="F179" t="s">
        <v>18</v>
      </c>
      <c r="G179" t="str">
        <f>HYPERLINK("http://www.ncbi.nlm.nih.gov/Taxonomy/Browser/wwwtax.cgi?mode=Info&amp;id=9601&amp;lvl=3&amp;lin=f&amp;keep=1&amp;srchmode=1&amp;unlock","Pongo abelii")</f>
        <v>Pongo abelii</v>
      </c>
      <c r="H179" t="s">
        <v>28</v>
      </c>
      <c r="I179" t="str">
        <f>HYPERLINK("http://www.ncbi.nlm.nih.gov/protein/NP_001125017.1","fatty acid-binding protein, liver")</f>
        <v>fatty acid-binding protein, liver</v>
      </c>
      <c r="J179" t="s">
        <v>1386</v>
      </c>
      <c r="K179" t="s">
        <v>20</v>
      </c>
      <c r="L179">
        <v>50</v>
      </c>
      <c r="M179" t="s">
        <v>1380</v>
      </c>
      <c r="N179" t="s">
        <v>20</v>
      </c>
      <c r="O179" t="s">
        <v>1394</v>
      </c>
      <c r="P179" t="s">
        <v>20</v>
      </c>
      <c r="Q179">
        <v>165.19200000000001</v>
      </c>
      <c r="R179" t="s">
        <v>20</v>
      </c>
      <c r="S179" t="s">
        <v>20</v>
      </c>
    </row>
    <row r="180" spans="1:19" x14ac:dyDescent="0.25">
      <c r="A180">
        <v>6</v>
      </c>
      <c r="B180" t="s">
        <v>167</v>
      </c>
      <c r="C180" t="str">
        <f>HYPERLINK("http://www.ncbi.nlm.nih.gov/protein/XP_014968302.1","XP_014968302.1")</f>
        <v>XP_014968302.1</v>
      </c>
      <c r="D180">
        <v>177851</v>
      </c>
      <c r="E180" t="str">
        <f>HYPERLINK("http://www.ncbi.nlm.nih.gov/Taxonomy/Browser/wwwtax.cgi?mode=Info&amp;id=9544&amp;lvl=3&amp;lin=f&amp;keep=1&amp;srchmode=1&amp;unlock","9544")</f>
        <v>9544</v>
      </c>
      <c r="F180" t="s">
        <v>18</v>
      </c>
      <c r="G180" t="str">
        <f>HYPERLINK("http://www.ncbi.nlm.nih.gov/Taxonomy/Browser/wwwtax.cgi?mode=Info&amp;id=9544&amp;lvl=3&amp;lin=f&amp;keep=1&amp;srchmode=1&amp;unlock","Macaca mulatta")</f>
        <v>Macaca mulatta</v>
      </c>
      <c r="H180" t="s">
        <v>29</v>
      </c>
      <c r="I180" t="str">
        <f>HYPERLINK("http://www.ncbi.nlm.nih.gov/protein/XP_014968302.1","fatty acid-binding protein, liver")</f>
        <v>fatty acid-binding protein, liver</v>
      </c>
      <c r="J180" t="s">
        <v>1386</v>
      </c>
      <c r="K180" t="s">
        <v>20</v>
      </c>
      <c r="L180">
        <v>50</v>
      </c>
      <c r="M180" t="s">
        <v>1380</v>
      </c>
      <c r="N180" t="s">
        <v>20</v>
      </c>
      <c r="O180" t="s">
        <v>1394</v>
      </c>
      <c r="P180" t="s">
        <v>20</v>
      </c>
      <c r="Q180">
        <v>165.19200000000001</v>
      </c>
      <c r="R180" t="s">
        <v>20</v>
      </c>
      <c r="S180" t="s">
        <v>20</v>
      </c>
    </row>
    <row r="181" spans="1:19" x14ac:dyDescent="0.25">
      <c r="A181">
        <v>6</v>
      </c>
      <c r="B181" t="s">
        <v>167</v>
      </c>
      <c r="C181" t="str">
        <f>HYPERLINK("http://www.ncbi.nlm.nih.gov/protein/XP_011764356.1","XP_011764356.1")</f>
        <v>XP_011764356.1</v>
      </c>
      <c r="D181">
        <v>68712</v>
      </c>
      <c r="E181" t="str">
        <f>HYPERLINK("http://www.ncbi.nlm.nih.gov/Taxonomy/Browser/wwwtax.cgi?mode=Info&amp;id=9545&amp;lvl=3&amp;lin=f&amp;keep=1&amp;srchmode=1&amp;unlock","9545")</f>
        <v>9545</v>
      </c>
      <c r="F181" t="s">
        <v>18</v>
      </c>
      <c r="G181" t="str">
        <f>HYPERLINK("http://www.ncbi.nlm.nih.gov/Taxonomy/Browser/wwwtax.cgi?mode=Info&amp;id=9545&amp;lvl=3&amp;lin=f&amp;keep=1&amp;srchmode=1&amp;unlock","Macaca nemestrina")</f>
        <v>Macaca nemestrina</v>
      </c>
      <c r="H181" t="s">
        <v>30</v>
      </c>
      <c r="I181" t="str">
        <f>HYPERLINK("http://www.ncbi.nlm.nih.gov/protein/XP_011764356.1","fatty acid-binding protein, liver")</f>
        <v>fatty acid-binding protein, liver</v>
      </c>
      <c r="J181" t="s">
        <v>1386</v>
      </c>
      <c r="K181" t="s">
        <v>20</v>
      </c>
      <c r="L181">
        <v>50</v>
      </c>
      <c r="M181" t="s">
        <v>1380</v>
      </c>
      <c r="N181" t="s">
        <v>20</v>
      </c>
      <c r="O181" t="s">
        <v>1394</v>
      </c>
      <c r="P181" t="s">
        <v>20</v>
      </c>
      <c r="Q181">
        <v>165.19200000000001</v>
      </c>
      <c r="R181" t="s">
        <v>20</v>
      </c>
      <c r="S181" t="s">
        <v>20</v>
      </c>
    </row>
    <row r="182" spans="1:19" x14ac:dyDescent="0.25">
      <c r="A182">
        <v>6</v>
      </c>
      <c r="B182" t="s">
        <v>167</v>
      </c>
      <c r="C182" t="str">
        <f>HYPERLINK("http://www.ncbi.nlm.nih.gov/protein/XP_005575408.1","XP_005575408.1")</f>
        <v>XP_005575408.1</v>
      </c>
      <c r="D182">
        <v>98680</v>
      </c>
      <c r="E182" t="str">
        <f>HYPERLINK("http://www.ncbi.nlm.nih.gov/Taxonomy/Browser/wwwtax.cgi?mode=Info&amp;id=9541&amp;lvl=3&amp;lin=f&amp;keep=1&amp;srchmode=1&amp;unlock","9541")</f>
        <v>9541</v>
      </c>
      <c r="F182" t="s">
        <v>18</v>
      </c>
      <c r="G182" t="str">
        <f>HYPERLINK("http://www.ncbi.nlm.nih.gov/Taxonomy/Browser/wwwtax.cgi?mode=Info&amp;id=9541&amp;lvl=3&amp;lin=f&amp;keep=1&amp;srchmode=1&amp;unlock","Macaca fascicularis")</f>
        <v>Macaca fascicularis</v>
      </c>
      <c r="H182" t="s">
        <v>31</v>
      </c>
      <c r="I182" t="str">
        <f>HYPERLINK("http://www.ncbi.nlm.nih.gov/protein/XP_005575408.1","PREDICTED: fatty acid-binding protein, liver")</f>
        <v>PREDICTED: fatty acid-binding protein, liver</v>
      </c>
      <c r="J182" t="s">
        <v>1386</v>
      </c>
      <c r="K182" t="s">
        <v>20</v>
      </c>
      <c r="L182">
        <v>50</v>
      </c>
      <c r="M182" t="s">
        <v>1380</v>
      </c>
      <c r="N182" t="s">
        <v>20</v>
      </c>
      <c r="O182" t="s">
        <v>1394</v>
      </c>
      <c r="P182" t="s">
        <v>20</v>
      </c>
      <c r="Q182">
        <v>165.19200000000001</v>
      </c>
      <c r="R182" t="s">
        <v>20</v>
      </c>
      <c r="S182" t="s">
        <v>20</v>
      </c>
    </row>
    <row r="183" spans="1:19" x14ac:dyDescent="0.25">
      <c r="A183">
        <v>6</v>
      </c>
      <c r="B183" t="s">
        <v>167</v>
      </c>
      <c r="C183" t="str">
        <f>HYPERLINK("http://www.ncbi.nlm.nih.gov/protein/XP_023050665.1","XP_023050665.1")</f>
        <v>XP_023050665.1</v>
      </c>
      <c r="D183">
        <v>55467</v>
      </c>
      <c r="E183" t="str">
        <f>HYPERLINK("http://www.ncbi.nlm.nih.gov/Taxonomy/Browser/wwwtax.cgi?mode=Info&amp;id=591936&amp;lvl=3&amp;lin=f&amp;keep=1&amp;srchmode=1&amp;unlock","591936")</f>
        <v>591936</v>
      </c>
      <c r="F183" t="s">
        <v>18</v>
      </c>
      <c r="G183" t="str">
        <f>HYPERLINK("http://www.ncbi.nlm.nih.gov/Taxonomy/Browser/wwwtax.cgi?mode=Info&amp;id=591936&amp;lvl=3&amp;lin=f&amp;keep=1&amp;srchmode=1&amp;unlock","Piliocolobus tephrosceles")</f>
        <v>Piliocolobus tephrosceles</v>
      </c>
      <c r="H183" t="s">
        <v>33</v>
      </c>
      <c r="I183" t="str">
        <f>HYPERLINK("http://www.ncbi.nlm.nih.gov/protein/XP_023050665.1","fatty acid-binding protein, liver")</f>
        <v>fatty acid-binding protein, liver</v>
      </c>
      <c r="J183" t="s">
        <v>1386</v>
      </c>
      <c r="K183" t="s">
        <v>20</v>
      </c>
      <c r="L183">
        <v>50</v>
      </c>
      <c r="M183" t="s">
        <v>1380</v>
      </c>
      <c r="N183" t="s">
        <v>20</v>
      </c>
      <c r="O183" t="s">
        <v>1394</v>
      </c>
      <c r="P183" t="s">
        <v>20</v>
      </c>
      <c r="Q183">
        <v>165.19200000000001</v>
      </c>
      <c r="R183" t="s">
        <v>20</v>
      </c>
      <c r="S183" t="s">
        <v>20</v>
      </c>
    </row>
    <row r="184" spans="1:19" x14ac:dyDescent="0.25">
      <c r="A184">
        <v>6</v>
      </c>
      <c r="B184" t="s">
        <v>167</v>
      </c>
      <c r="C184" t="str">
        <f>HYPERLINK("http://www.ncbi.nlm.nih.gov/protein/XP_011808498.1","XP_011808498.1")</f>
        <v>XP_011808498.1</v>
      </c>
      <c r="D184">
        <v>38676</v>
      </c>
      <c r="E184" t="str">
        <f>HYPERLINK("http://www.ncbi.nlm.nih.gov/Taxonomy/Browser/wwwtax.cgi?mode=Info&amp;id=336983&amp;lvl=3&amp;lin=f&amp;keep=1&amp;srchmode=1&amp;unlock","336983")</f>
        <v>336983</v>
      </c>
      <c r="F184" t="s">
        <v>18</v>
      </c>
      <c r="G184" t="str">
        <f>HYPERLINK("http://www.ncbi.nlm.nih.gov/Taxonomy/Browser/wwwtax.cgi?mode=Info&amp;id=336983&amp;lvl=3&amp;lin=f&amp;keep=1&amp;srchmode=1&amp;unlock","Colobus angolensis palliatus")</f>
        <v>Colobus angolensis palliatus</v>
      </c>
      <c r="H184" t="s">
        <v>32</v>
      </c>
      <c r="I184" t="str">
        <f>HYPERLINK("http://www.ncbi.nlm.nih.gov/protein/XP_011808498.1","PREDICTED: fatty acid-binding protein, liver")</f>
        <v>PREDICTED: fatty acid-binding protein, liver</v>
      </c>
      <c r="J184" t="s">
        <v>1386</v>
      </c>
      <c r="K184" t="s">
        <v>20</v>
      </c>
      <c r="L184">
        <v>50</v>
      </c>
      <c r="M184" t="s">
        <v>1380</v>
      </c>
      <c r="N184" t="s">
        <v>20</v>
      </c>
      <c r="O184" t="s">
        <v>1394</v>
      </c>
      <c r="P184" t="s">
        <v>20</v>
      </c>
      <c r="Q184">
        <v>165.19200000000001</v>
      </c>
      <c r="R184" t="s">
        <v>20</v>
      </c>
      <c r="S184" t="s">
        <v>20</v>
      </c>
    </row>
    <row r="185" spans="1:19" x14ac:dyDescent="0.25">
      <c r="A185">
        <v>6</v>
      </c>
      <c r="B185" t="s">
        <v>167</v>
      </c>
      <c r="C185" t="str">
        <f>HYPERLINK("http://www.ncbi.nlm.nih.gov/protein/XP_010376732.1","XP_010376732.1")</f>
        <v>XP_010376732.1</v>
      </c>
      <c r="D185">
        <v>53902</v>
      </c>
      <c r="E185" t="str">
        <f>HYPERLINK("http://www.ncbi.nlm.nih.gov/Taxonomy/Browser/wwwtax.cgi?mode=Info&amp;id=61622&amp;lvl=3&amp;lin=f&amp;keep=1&amp;srchmode=1&amp;unlock","61622")</f>
        <v>61622</v>
      </c>
      <c r="F185" t="s">
        <v>18</v>
      </c>
      <c r="G185" t="str">
        <f>HYPERLINK("http://www.ncbi.nlm.nih.gov/Taxonomy/Browser/wwwtax.cgi?mode=Info&amp;id=61622&amp;lvl=3&amp;lin=f&amp;keep=1&amp;srchmode=1&amp;unlock","Rhinopithecus roxellana")</f>
        <v>Rhinopithecus roxellana</v>
      </c>
      <c r="H185" t="s">
        <v>36</v>
      </c>
      <c r="I185" t="str">
        <f>HYPERLINK("http://www.ncbi.nlm.nih.gov/protein/XP_010376732.1","fatty acid-binding protein, liver")</f>
        <v>fatty acid-binding protein, liver</v>
      </c>
      <c r="J185" t="s">
        <v>1386</v>
      </c>
      <c r="K185" t="s">
        <v>20</v>
      </c>
      <c r="L185">
        <v>50</v>
      </c>
      <c r="M185" t="s">
        <v>1380</v>
      </c>
      <c r="N185" t="s">
        <v>20</v>
      </c>
      <c r="O185" t="s">
        <v>1394</v>
      </c>
      <c r="P185" t="s">
        <v>20</v>
      </c>
      <c r="Q185">
        <v>165.19200000000001</v>
      </c>
      <c r="R185" t="s">
        <v>20</v>
      </c>
      <c r="S185" t="s">
        <v>20</v>
      </c>
    </row>
    <row r="186" spans="1:19" x14ac:dyDescent="0.25">
      <c r="A186">
        <v>6</v>
      </c>
      <c r="B186" t="s">
        <v>167</v>
      </c>
      <c r="C186" t="str">
        <f>HYPERLINK("http://www.ncbi.nlm.nih.gov/protein/XP_017713075.1","XP_017713075.1")</f>
        <v>XP_017713075.1</v>
      </c>
      <c r="D186">
        <v>49685</v>
      </c>
      <c r="E186" t="str">
        <f>HYPERLINK("http://www.ncbi.nlm.nih.gov/Taxonomy/Browser/wwwtax.cgi?mode=Info&amp;id=61621&amp;lvl=3&amp;lin=f&amp;keep=1&amp;srchmode=1&amp;unlock","61621")</f>
        <v>61621</v>
      </c>
      <c r="F186" t="s">
        <v>18</v>
      </c>
      <c r="G186" t="str">
        <f>HYPERLINK("http://www.ncbi.nlm.nih.gov/Taxonomy/Browser/wwwtax.cgi?mode=Info&amp;id=61621&amp;lvl=3&amp;lin=f&amp;keep=1&amp;srchmode=1&amp;unlock","Rhinopithecus bieti")</f>
        <v>Rhinopithecus bieti</v>
      </c>
      <c r="H186" t="s">
        <v>34</v>
      </c>
      <c r="I186" t="str">
        <f>HYPERLINK("http://www.ncbi.nlm.nih.gov/protein/XP_017713075.1","PREDICTED: fatty acid-binding protein, liver")</f>
        <v>PREDICTED: fatty acid-binding protein, liver</v>
      </c>
      <c r="J186" t="s">
        <v>1386</v>
      </c>
      <c r="K186" t="s">
        <v>20</v>
      </c>
      <c r="L186">
        <v>50</v>
      </c>
      <c r="M186" t="s">
        <v>1380</v>
      </c>
      <c r="N186" t="s">
        <v>20</v>
      </c>
      <c r="O186" t="s">
        <v>1394</v>
      </c>
      <c r="P186" t="s">
        <v>20</v>
      </c>
      <c r="Q186">
        <v>165.19200000000001</v>
      </c>
      <c r="R186" t="s">
        <v>20</v>
      </c>
      <c r="S186" t="s">
        <v>20</v>
      </c>
    </row>
    <row r="187" spans="1:19" x14ac:dyDescent="0.25">
      <c r="A187">
        <v>6</v>
      </c>
      <c r="B187" t="s">
        <v>167</v>
      </c>
      <c r="C187" t="str">
        <f>HYPERLINK("http://www.ncbi.nlm.nih.gov/protein/XP_033031288.1","XP_033031288.1")</f>
        <v>XP_033031288.1</v>
      </c>
      <c r="D187">
        <v>64510</v>
      </c>
      <c r="E187" t="str">
        <f>HYPERLINK("http://www.ncbi.nlm.nih.gov/Taxonomy/Browser/wwwtax.cgi?mode=Info&amp;id=54180&amp;lvl=3&amp;lin=f&amp;keep=1&amp;srchmode=1&amp;unlock","54180")</f>
        <v>54180</v>
      </c>
      <c r="F187" t="s">
        <v>18</v>
      </c>
      <c r="G187" t="str">
        <f>HYPERLINK("http://www.ncbi.nlm.nih.gov/Taxonomy/Browser/wwwtax.cgi?mode=Info&amp;id=54180&amp;lvl=3&amp;lin=f&amp;keep=1&amp;srchmode=1&amp;unlock","Trachypithecus francoisi")</f>
        <v>Trachypithecus francoisi</v>
      </c>
      <c r="H187" t="s">
        <v>35</v>
      </c>
      <c r="I187" t="str">
        <f>HYPERLINK("http://www.ncbi.nlm.nih.gov/protein/XP_033031288.1","fatty acid-binding protein, liver")</f>
        <v>fatty acid-binding protein, liver</v>
      </c>
      <c r="J187" t="s">
        <v>1386</v>
      </c>
      <c r="K187" t="s">
        <v>20</v>
      </c>
      <c r="L187">
        <v>50</v>
      </c>
      <c r="M187" t="s">
        <v>1380</v>
      </c>
      <c r="N187" t="s">
        <v>20</v>
      </c>
      <c r="O187" t="s">
        <v>1394</v>
      </c>
      <c r="P187" t="s">
        <v>20</v>
      </c>
      <c r="Q187">
        <v>165.19200000000001</v>
      </c>
      <c r="R187" t="s">
        <v>20</v>
      </c>
      <c r="S187" t="s">
        <v>20</v>
      </c>
    </row>
    <row r="188" spans="1:19" x14ac:dyDescent="0.25">
      <c r="A188">
        <v>6</v>
      </c>
      <c r="B188" t="s">
        <v>167</v>
      </c>
      <c r="C188" t="str">
        <f>HYPERLINK("http://www.ncbi.nlm.nih.gov/protein/XP_002922387.1","XP_002922387.1")</f>
        <v>XP_002922387.1</v>
      </c>
      <c r="D188">
        <v>73410</v>
      </c>
      <c r="E188" t="str">
        <f>HYPERLINK("http://www.ncbi.nlm.nih.gov/Taxonomy/Browser/wwwtax.cgi?mode=Info&amp;id=9646&amp;lvl=3&amp;lin=f&amp;keep=1&amp;srchmode=1&amp;unlock","9646")</f>
        <v>9646</v>
      </c>
      <c r="F188" t="s">
        <v>18</v>
      </c>
      <c r="G188" t="str">
        <f>HYPERLINK("http://www.ncbi.nlm.nih.gov/Taxonomy/Browser/wwwtax.cgi?mode=Info&amp;id=9646&amp;lvl=3&amp;lin=f&amp;keep=1&amp;srchmode=1&amp;unlock","Ailuropoda melanoleuca")</f>
        <v>Ailuropoda melanoleuca</v>
      </c>
      <c r="H188" t="s">
        <v>37</v>
      </c>
      <c r="I188" t="str">
        <f>HYPERLINK("http://www.ncbi.nlm.nih.gov/protein/XP_002922387.1","fatty acid-binding protein, liver")</f>
        <v>fatty acid-binding protein, liver</v>
      </c>
      <c r="J188" t="s">
        <v>1386</v>
      </c>
      <c r="K188" t="s">
        <v>25</v>
      </c>
      <c r="L188">
        <v>50</v>
      </c>
      <c r="M188" t="s">
        <v>1382</v>
      </c>
      <c r="N188" t="s">
        <v>25</v>
      </c>
      <c r="O188" t="s">
        <v>1355</v>
      </c>
      <c r="P188" t="s">
        <v>25</v>
      </c>
      <c r="Q188">
        <v>131.17500000000001</v>
      </c>
      <c r="R188" t="s">
        <v>25</v>
      </c>
      <c r="S188" t="s">
        <v>25</v>
      </c>
    </row>
    <row r="189" spans="1:19" x14ac:dyDescent="0.25">
      <c r="A189">
        <v>6</v>
      </c>
      <c r="B189" t="s">
        <v>167</v>
      </c>
      <c r="C189" t="str">
        <f>HYPERLINK("http://www.ncbi.nlm.nih.gov/protein/XP_003908995.2","XP_003908995.2")</f>
        <v>XP_003908995.2</v>
      </c>
      <c r="D189">
        <v>73528</v>
      </c>
      <c r="E189" t="str">
        <f>HYPERLINK("http://www.ncbi.nlm.nih.gov/Taxonomy/Browser/wwwtax.cgi?mode=Info&amp;id=9555&amp;lvl=3&amp;lin=f&amp;keep=1&amp;srchmode=1&amp;unlock","9555")</f>
        <v>9555</v>
      </c>
      <c r="F189" t="s">
        <v>18</v>
      </c>
      <c r="G189" t="str">
        <f>HYPERLINK("http://www.ncbi.nlm.nih.gov/Taxonomy/Browser/wwwtax.cgi?mode=Info&amp;id=9555&amp;lvl=3&amp;lin=f&amp;keep=1&amp;srchmode=1&amp;unlock","Papio anubis")</f>
        <v>Papio anubis</v>
      </c>
      <c r="H189" t="s">
        <v>38</v>
      </c>
      <c r="I189" t="str">
        <f>HYPERLINK("http://www.ncbi.nlm.nih.gov/protein/XP_003908995.2","fatty acid-binding protein, liver")</f>
        <v>fatty acid-binding protein, liver</v>
      </c>
      <c r="J189" t="s">
        <v>1386</v>
      </c>
      <c r="K189" t="s">
        <v>20</v>
      </c>
      <c r="L189">
        <v>50</v>
      </c>
      <c r="M189" t="s">
        <v>1380</v>
      </c>
      <c r="N189" t="s">
        <v>20</v>
      </c>
      <c r="O189" t="s">
        <v>1394</v>
      </c>
      <c r="P189" t="s">
        <v>20</v>
      </c>
      <c r="Q189">
        <v>165.19200000000001</v>
      </c>
      <c r="R189" t="s">
        <v>20</v>
      </c>
      <c r="S189" t="s">
        <v>20</v>
      </c>
    </row>
    <row r="190" spans="1:19" x14ac:dyDescent="0.25">
      <c r="A190">
        <v>6</v>
      </c>
      <c r="B190" t="s">
        <v>167</v>
      </c>
      <c r="C190" t="str">
        <f>HYPERLINK("http://www.ncbi.nlm.nih.gov/protein/CAD7676679.1","CAD7676679.1")</f>
        <v>CAD7676679.1</v>
      </c>
      <c r="D190">
        <v>27261</v>
      </c>
      <c r="E190" t="str">
        <f>HYPERLINK("http://www.ncbi.nlm.nih.gov/Taxonomy/Browser/wwwtax.cgi?mode=Info&amp;id=34880&amp;lvl=3&amp;lin=f&amp;keep=1&amp;srchmode=1&amp;unlock","34880")</f>
        <v>34880</v>
      </c>
      <c r="F190" t="s">
        <v>18</v>
      </c>
      <c r="G190" t="str">
        <f>HYPERLINK("http://www.ncbi.nlm.nih.gov/Taxonomy/Browser/wwwtax.cgi?mode=Info&amp;id=34880&amp;lvl=3&amp;lin=f&amp;keep=1&amp;srchmode=1&amp;unlock","Nyctereutes procyonoides")</f>
        <v>Nyctereutes procyonoides</v>
      </c>
      <c r="H190" t="s">
        <v>39</v>
      </c>
      <c r="I190" t="str">
        <f>HYPERLINK("http://www.ncbi.nlm.nih.gov/protein/CAD7676679.1","unnamed protein product")</f>
        <v>unnamed protein product</v>
      </c>
      <c r="J190" t="s">
        <v>1386</v>
      </c>
      <c r="K190" t="s">
        <v>25</v>
      </c>
      <c r="L190">
        <v>50</v>
      </c>
      <c r="M190" t="s">
        <v>1382</v>
      </c>
      <c r="N190" t="s">
        <v>25</v>
      </c>
      <c r="O190" t="s">
        <v>1355</v>
      </c>
      <c r="P190" t="s">
        <v>25</v>
      </c>
      <c r="Q190">
        <v>131.17500000000001</v>
      </c>
      <c r="R190" t="s">
        <v>25</v>
      </c>
      <c r="S190" t="s">
        <v>25</v>
      </c>
    </row>
    <row r="191" spans="1:19" x14ac:dyDescent="0.25">
      <c r="A191">
        <v>6</v>
      </c>
      <c r="B191" t="s">
        <v>167</v>
      </c>
      <c r="C191" t="str">
        <f>HYPERLINK("http://www.ncbi.nlm.nih.gov/protein/XP_025850451.1","XP_025850451.1")</f>
        <v>XP_025850451.1</v>
      </c>
      <c r="D191">
        <v>38432</v>
      </c>
      <c r="E191" t="str">
        <f>HYPERLINK("http://www.ncbi.nlm.nih.gov/Taxonomy/Browser/wwwtax.cgi?mode=Info&amp;id=9627&amp;lvl=3&amp;lin=f&amp;keep=1&amp;srchmode=1&amp;unlock","9627")</f>
        <v>9627</v>
      </c>
      <c r="F191" t="s">
        <v>18</v>
      </c>
      <c r="G191" t="str">
        <f>HYPERLINK("http://www.ncbi.nlm.nih.gov/Taxonomy/Browser/wwwtax.cgi?mode=Info&amp;id=9627&amp;lvl=3&amp;lin=f&amp;keep=1&amp;srchmode=1&amp;unlock","Vulpes vulpes")</f>
        <v>Vulpes vulpes</v>
      </c>
      <c r="H191" t="s">
        <v>40</v>
      </c>
      <c r="I191" t="str">
        <f>HYPERLINK("http://www.ncbi.nlm.nih.gov/protein/XP_025850451.1","fatty acid-binding protein, liver")</f>
        <v>fatty acid-binding protein, liver</v>
      </c>
      <c r="J191" t="s">
        <v>1386</v>
      </c>
      <c r="K191" t="s">
        <v>25</v>
      </c>
      <c r="L191">
        <v>50</v>
      </c>
      <c r="M191" t="s">
        <v>1382</v>
      </c>
      <c r="N191" t="s">
        <v>25</v>
      </c>
      <c r="O191" t="s">
        <v>1355</v>
      </c>
      <c r="P191" t="s">
        <v>25</v>
      </c>
      <c r="Q191">
        <v>131.17500000000001</v>
      </c>
      <c r="R191" t="s">
        <v>25</v>
      </c>
      <c r="S191" t="s">
        <v>25</v>
      </c>
    </row>
    <row r="192" spans="1:19" x14ac:dyDescent="0.25">
      <c r="A192">
        <v>6</v>
      </c>
      <c r="B192" t="s">
        <v>167</v>
      </c>
      <c r="C192" t="str">
        <f>HYPERLINK("http://www.ncbi.nlm.nih.gov/protein/XP_025209942.1","XP_025209942.1")</f>
        <v>XP_025209942.1</v>
      </c>
      <c r="D192">
        <v>52581</v>
      </c>
      <c r="E192" t="str">
        <f>HYPERLINK("http://www.ncbi.nlm.nih.gov/Taxonomy/Browser/wwwtax.cgi?mode=Info&amp;id=9565&amp;lvl=3&amp;lin=f&amp;keep=1&amp;srchmode=1&amp;unlock","9565")</f>
        <v>9565</v>
      </c>
      <c r="F192" t="s">
        <v>18</v>
      </c>
      <c r="G192" t="str">
        <f>HYPERLINK("http://www.ncbi.nlm.nih.gov/Taxonomy/Browser/wwwtax.cgi?mode=Info&amp;id=9565&amp;lvl=3&amp;lin=f&amp;keep=1&amp;srchmode=1&amp;unlock","Theropithecus gelada")</f>
        <v>Theropithecus gelada</v>
      </c>
      <c r="H192" t="s">
        <v>41</v>
      </c>
      <c r="I192" t="str">
        <f>HYPERLINK("http://www.ncbi.nlm.nih.gov/protein/XP_025209942.1","fatty acid-binding protein, liver")</f>
        <v>fatty acid-binding protein, liver</v>
      </c>
      <c r="J192" t="s">
        <v>1386</v>
      </c>
      <c r="K192" t="s">
        <v>20</v>
      </c>
      <c r="L192">
        <v>50</v>
      </c>
      <c r="M192" t="s">
        <v>1380</v>
      </c>
      <c r="N192" t="s">
        <v>20</v>
      </c>
      <c r="O192" t="s">
        <v>1394</v>
      </c>
      <c r="P192" t="s">
        <v>20</v>
      </c>
      <c r="Q192">
        <v>165.19200000000001</v>
      </c>
      <c r="R192" t="s">
        <v>20</v>
      </c>
      <c r="S192" t="s">
        <v>20</v>
      </c>
    </row>
    <row r="193" spans="1:19" x14ac:dyDescent="0.25">
      <c r="A193">
        <v>6</v>
      </c>
      <c r="B193" t="s">
        <v>167</v>
      </c>
      <c r="C193" t="str">
        <f>HYPERLINK("http://www.ncbi.nlm.nih.gov/protein/XP_011827150.1","XP_011827150.1")</f>
        <v>XP_011827150.1</v>
      </c>
      <c r="D193">
        <v>38457</v>
      </c>
      <c r="E193" t="str">
        <f>HYPERLINK("http://www.ncbi.nlm.nih.gov/Taxonomy/Browser/wwwtax.cgi?mode=Info&amp;id=9568&amp;lvl=3&amp;lin=f&amp;keep=1&amp;srchmode=1&amp;unlock","9568")</f>
        <v>9568</v>
      </c>
      <c r="F193" t="s">
        <v>18</v>
      </c>
      <c r="G193" t="str">
        <f>HYPERLINK("http://www.ncbi.nlm.nih.gov/Taxonomy/Browser/wwwtax.cgi?mode=Info&amp;id=9568&amp;lvl=3&amp;lin=f&amp;keep=1&amp;srchmode=1&amp;unlock","Mandrillus leucophaeus")</f>
        <v>Mandrillus leucophaeus</v>
      </c>
      <c r="H193" t="s">
        <v>43</v>
      </c>
      <c r="I193" t="str">
        <f>HYPERLINK("http://www.ncbi.nlm.nih.gov/protein/XP_011827150.1","PREDICTED: fatty acid-binding protein, liver")</f>
        <v>PREDICTED: fatty acid-binding protein, liver</v>
      </c>
      <c r="J193" t="s">
        <v>1386</v>
      </c>
      <c r="K193" t="s">
        <v>20</v>
      </c>
      <c r="L193">
        <v>50</v>
      </c>
      <c r="M193" t="s">
        <v>1380</v>
      </c>
      <c r="N193" t="s">
        <v>20</v>
      </c>
      <c r="O193" t="s">
        <v>1394</v>
      </c>
      <c r="P193" t="s">
        <v>20</v>
      </c>
      <c r="Q193">
        <v>165.19200000000001</v>
      </c>
      <c r="R193" t="s">
        <v>20</v>
      </c>
      <c r="S193" t="s">
        <v>20</v>
      </c>
    </row>
    <row r="194" spans="1:19" x14ac:dyDescent="0.25">
      <c r="A194">
        <v>6</v>
      </c>
      <c r="B194" t="s">
        <v>167</v>
      </c>
      <c r="C194" t="str">
        <f>HYPERLINK("http://www.ncbi.nlm.nih.gov/protein/VCX10107.1","VCX10107.1")</f>
        <v>VCX10107.1</v>
      </c>
      <c r="D194">
        <v>19820</v>
      </c>
      <c r="E194" t="str">
        <f>HYPERLINK("http://www.ncbi.nlm.nih.gov/Taxonomy/Browser/wwwtax.cgi?mode=Info&amp;id=48420&amp;lvl=3&amp;lin=f&amp;keep=1&amp;srchmode=1&amp;unlock","48420")</f>
        <v>48420</v>
      </c>
      <c r="F194" t="s">
        <v>18</v>
      </c>
      <c r="G194" t="str">
        <f>HYPERLINK("http://www.ncbi.nlm.nih.gov/Taxonomy/Browser/wwwtax.cgi?mode=Info&amp;id=48420&amp;lvl=3&amp;lin=f&amp;keep=1&amp;srchmode=1&amp;unlock","Gulo gulo")</f>
        <v>Gulo gulo</v>
      </c>
      <c r="H194" t="s">
        <v>42</v>
      </c>
      <c r="I194" t="str">
        <f>HYPERLINK("http://www.ncbi.nlm.nih.gov/protein/VCX10107.1","unnamed protein product")</f>
        <v>unnamed protein product</v>
      </c>
      <c r="J194" t="s">
        <v>1386</v>
      </c>
      <c r="K194" t="s">
        <v>25</v>
      </c>
      <c r="L194">
        <v>50</v>
      </c>
      <c r="M194" t="s">
        <v>1382</v>
      </c>
      <c r="N194" t="s">
        <v>25</v>
      </c>
      <c r="O194" t="s">
        <v>1355</v>
      </c>
      <c r="P194" t="s">
        <v>25</v>
      </c>
      <c r="Q194">
        <v>131.17500000000001</v>
      </c>
      <c r="R194" t="s">
        <v>25</v>
      </c>
      <c r="S194" t="s">
        <v>25</v>
      </c>
    </row>
    <row r="195" spans="1:19" x14ac:dyDescent="0.25">
      <c r="A195">
        <v>6</v>
      </c>
      <c r="B195" t="s">
        <v>167</v>
      </c>
      <c r="C195" t="str">
        <f>HYPERLINK("http://www.ncbi.nlm.nih.gov/protein/XP_039108582.1","XP_039108582.1")</f>
        <v>XP_039108582.1</v>
      </c>
      <c r="D195">
        <v>41430</v>
      </c>
      <c r="E195" t="str">
        <f>HYPERLINK("http://www.ncbi.nlm.nih.gov/Taxonomy/Browser/wwwtax.cgi?mode=Info&amp;id=95912&amp;lvl=3&amp;lin=f&amp;keep=1&amp;srchmode=1&amp;unlock","95912")</f>
        <v>95912</v>
      </c>
      <c r="F195" t="s">
        <v>18</v>
      </c>
      <c r="G195" t="str">
        <f>HYPERLINK("http://www.ncbi.nlm.nih.gov/Taxonomy/Browser/wwwtax.cgi?mode=Info&amp;id=95912&amp;lvl=3&amp;lin=f&amp;keep=1&amp;srchmode=1&amp;unlock","Hyaena hyaena")</f>
        <v>Hyaena hyaena</v>
      </c>
      <c r="H195" t="s">
        <v>44</v>
      </c>
      <c r="I195" t="str">
        <f>HYPERLINK("http://www.ncbi.nlm.nih.gov/protein/XP_039108582.1","fatty acid-binding protein, liver")</f>
        <v>fatty acid-binding protein, liver</v>
      </c>
      <c r="J195" t="s">
        <v>1386</v>
      </c>
      <c r="K195" t="s">
        <v>25</v>
      </c>
      <c r="L195">
        <v>50</v>
      </c>
      <c r="M195" t="s">
        <v>1382</v>
      </c>
      <c r="N195" t="s">
        <v>25</v>
      </c>
      <c r="O195" t="s">
        <v>1355</v>
      </c>
      <c r="P195" t="s">
        <v>25</v>
      </c>
      <c r="Q195">
        <v>131.17500000000001</v>
      </c>
      <c r="R195" t="s">
        <v>25</v>
      </c>
      <c r="S195" t="s">
        <v>25</v>
      </c>
    </row>
    <row r="196" spans="1:19" x14ac:dyDescent="0.25">
      <c r="A196">
        <v>6</v>
      </c>
      <c r="B196" t="s">
        <v>167</v>
      </c>
      <c r="C196" t="str">
        <f>HYPERLINK("http://www.ncbi.nlm.nih.gov/protein/XP_026336895.1","XP_026336895.1")</f>
        <v>XP_026336895.1</v>
      </c>
      <c r="D196">
        <v>43159</v>
      </c>
      <c r="E196" t="str">
        <f>HYPERLINK("http://www.ncbi.nlm.nih.gov/Taxonomy/Browser/wwwtax.cgi?mode=Info&amp;id=116960&amp;lvl=3&amp;lin=f&amp;keep=1&amp;srchmode=1&amp;unlock","116960")</f>
        <v>116960</v>
      </c>
      <c r="F196" t="s">
        <v>18</v>
      </c>
      <c r="G196" t="str">
        <f>HYPERLINK("http://www.ncbi.nlm.nih.gov/Taxonomy/Browser/wwwtax.cgi?mode=Info&amp;id=116960&amp;lvl=3&amp;lin=f&amp;keep=1&amp;srchmode=1&amp;unlock","Ursus arctos horribilis")</f>
        <v>Ursus arctos horribilis</v>
      </c>
      <c r="H196" t="s">
        <v>45</v>
      </c>
      <c r="I196" t="str">
        <f>HYPERLINK("http://www.ncbi.nlm.nih.gov/protein/XP_026336895.1","fatty acid-binding protein, liver")</f>
        <v>fatty acid-binding protein, liver</v>
      </c>
      <c r="J196" t="s">
        <v>1386</v>
      </c>
      <c r="K196" t="s">
        <v>25</v>
      </c>
      <c r="L196">
        <v>50</v>
      </c>
      <c r="M196" t="s">
        <v>1382</v>
      </c>
      <c r="N196" t="s">
        <v>25</v>
      </c>
      <c r="O196" t="s">
        <v>1355</v>
      </c>
      <c r="P196" t="s">
        <v>25</v>
      </c>
      <c r="Q196">
        <v>131.17500000000001</v>
      </c>
      <c r="R196" t="s">
        <v>25</v>
      </c>
      <c r="S196" t="s">
        <v>25</v>
      </c>
    </row>
    <row r="197" spans="1:19" x14ac:dyDescent="0.25">
      <c r="A197">
        <v>6</v>
      </c>
      <c r="B197" t="s">
        <v>167</v>
      </c>
      <c r="C197" t="str">
        <f>HYPERLINK("http://www.ncbi.nlm.nih.gov/protein/XP_006741225.1","XP_006741225.1")</f>
        <v>XP_006741225.1</v>
      </c>
      <c r="D197">
        <v>40472</v>
      </c>
      <c r="E197" t="str">
        <f>HYPERLINK("http://www.ncbi.nlm.nih.gov/Taxonomy/Browser/wwwtax.cgi?mode=Info&amp;id=9713&amp;lvl=3&amp;lin=f&amp;keep=1&amp;srchmode=1&amp;unlock","9713")</f>
        <v>9713</v>
      </c>
      <c r="F197" t="s">
        <v>18</v>
      </c>
      <c r="G197" t="str">
        <f>HYPERLINK("http://www.ncbi.nlm.nih.gov/Taxonomy/Browser/wwwtax.cgi?mode=Info&amp;id=9713&amp;lvl=3&amp;lin=f&amp;keep=1&amp;srchmode=1&amp;unlock","Leptonychotes weddellii")</f>
        <v>Leptonychotes weddellii</v>
      </c>
      <c r="H197" t="s">
        <v>49</v>
      </c>
      <c r="I197" t="str">
        <f>HYPERLINK("http://www.ncbi.nlm.nih.gov/protein/XP_006741225.1","fatty acid-binding protein, liver")</f>
        <v>fatty acid-binding protein, liver</v>
      </c>
      <c r="J197" t="s">
        <v>1386</v>
      </c>
      <c r="K197" t="s">
        <v>25</v>
      </c>
      <c r="L197">
        <v>50</v>
      </c>
      <c r="M197" t="s">
        <v>1382</v>
      </c>
      <c r="N197" t="s">
        <v>25</v>
      </c>
      <c r="O197" t="s">
        <v>1355</v>
      </c>
      <c r="P197" t="s">
        <v>25</v>
      </c>
      <c r="Q197">
        <v>131.17500000000001</v>
      </c>
      <c r="R197" t="s">
        <v>25</v>
      </c>
      <c r="S197" t="s">
        <v>25</v>
      </c>
    </row>
    <row r="198" spans="1:19" x14ac:dyDescent="0.25">
      <c r="A198">
        <v>6</v>
      </c>
      <c r="B198" t="s">
        <v>167</v>
      </c>
      <c r="C198" t="str">
        <f>HYPERLINK("http://www.ncbi.nlm.nih.gov/protein/XP_021553255.1","XP_021553255.1")</f>
        <v>XP_021553255.1</v>
      </c>
      <c r="D198">
        <v>28446</v>
      </c>
      <c r="E198" t="str">
        <f>HYPERLINK("http://www.ncbi.nlm.nih.gov/Taxonomy/Browser/wwwtax.cgi?mode=Info&amp;id=29088&amp;lvl=3&amp;lin=f&amp;keep=1&amp;srchmode=1&amp;unlock","29088")</f>
        <v>29088</v>
      </c>
      <c r="F198" t="s">
        <v>18</v>
      </c>
      <c r="G198" t="str">
        <f>HYPERLINK("http://www.ncbi.nlm.nih.gov/Taxonomy/Browser/wwwtax.cgi?mode=Info&amp;id=29088&amp;lvl=3&amp;lin=f&amp;keep=1&amp;srchmode=1&amp;unlock","Neomonachus schauinslandi")</f>
        <v>Neomonachus schauinslandi</v>
      </c>
      <c r="H198" t="s">
        <v>50</v>
      </c>
      <c r="I198" t="str">
        <f>HYPERLINK("http://www.ncbi.nlm.nih.gov/protein/XP_021553255.1","fatty acid-binding protein, liver")</f>
        <v>fatty acid-binding protein, liver</v>
      </c>
      <c r="J198" t="s">
        <v>1386</v>
      </c>
      <c r="K198" t="s">
        <v>25</v>
      </c>
      <c r="L198">
        <v>50</v>
      </c>
      <c r="M198" t="s">
        <v>1382</v>
      </c>
      <c r="N198" t="s">
        <v>25</v>
      </c>
      <c r="O198" t="s">
        <v>1355</v>
      </c>
      <c r="P198" t="s">
        <v>25</v>
      </c>
      <c r="Q198">
        <v>131.17500000000001</v>
      </c>
      <c r="R198" t="s">
        <v>25</v>
      </c>
      <c r="S198" t="s">
        <v>25</v>
      </c>
    </row>
    <row r="199" spans="1:19" x14ac:dyDescent="0.25">
      <c r="A199">
        <v>6</v>
      </c>
      <c r="B199" t="s">
        <v>167</v>
      </c>
      <c r="C199" t="str">
        <f>HYPERLINK("http://www.ncbi.nlm.nih.gov/protein/XP_032208604.1","XP_032208604.1")</f>
        <v>XP_032208604.1</v>
      </c>
      <c r="D199">
        <v>60653</v>
      </c>
      <c r="E199" t="str">
        <f>HYPERLINK("http://www.ncbi.nlm.nih.gov/Taxonomy/Browser/wwwtax.cgi?mode=Info&amp;id=36723&amp;lvl=3&amp;lin=f&amp;keep=1&amp;srchmode=1&amp;unlock","36723")</f>
        <v>36723</v>
      </c>
      <c r="F199" t="s">
        <v>18</v>
      </c>
      <c r="G199" t="str">
        <f>HYPERLINK("http://www.ncbi.nlm.nih.gov/Taxonomy/Browser/wwwtax.cgi?mode=Info&amp;id=36723&amp;lvl=3&amp;lin=f&amp;keep=1&amp;srchmode=1&amp;unlock","Mustela erminea")</f>
        <v>Mustela erminea</v>
      </c>
      <c r="H199" t="s">
        <v>51</v>
      </c>
      <c r="I199" t="str">
        <f>HYPERLINK("http://www.ncbi.nlm.nih.gov/protein/XP_032208604.1","fatty acid-binding protein, liver")</f>
        <v>fatty acid-binding protein, liver</v>
      </c>
      <c r="J199" t="s">
        <v>1386</v>
      </c>
      <c r="K199" t="s">
        <v>25</v>
      </c>
      <c r="L199">
        <v>50</v>
      </c>
      <c r="M199" t="s">
        <v>1382</v>
      </c>
      <c r="N199" t="s">
        <v>25</v>
      </c>
      <c r="O199" t="s">
        <v>1355</v>
      </c>
      <c r="P199" t="s">
        <v>25</v>
      </c>
      <c r="Q199">
        <v>131.17500000000001</v>
      </c>
      <c r="R199" t="s">
        <v>25</v>
      </c>
      <c r="S199" t="s">
        <v>25</v>
      </c>
    </row>
    <row r="200" spans="1:19" x14ac:dyDescent="0.25">
      <c r="A200">
        <v>6</v>
      </c>
      <c r="B200" t="s">
        <v>167</v>
      </c>
      <c r="C200" t="str">
        <f>HYPERLINK("http://www.ncbi.nlm.nih.gov/protein/XP_032736499.1","XP_032736499.1")</f>
        <v>XP_032736499.1</v>
      </c>
      <c r="D200">
        <v>48403</v>
      </c>
      <c r="E200" t="str">
        <f>HYPERLINK("http://www.ncbi.nlm.nih.gov/Taxonomy/Browser/wwwtax.cgi?mode=Info&amp;id=76717&amp;lvl=3&amp;lin=f&amp;keep=1&amp;srchmode=1&amp;unlock","76717")</f>
        <v>76717</v>
      </c>
      <c r="F200" t="s">
        <v>18</v>
      </c>
      <c r="G200" t="str">
        <f>HYPERLINK("http://www.ncbi.nlm.nih.gov/Taxonomy/Browser/wwwtax.cgi?mode=Info&amp;id=76717&amp;lvl=3&amp;lin=f&amp;keep=1&amp;srchmode=1&amp;unlock","Lontra canadensis")</f>
        <v>Lontra canadensis</v>
      </c>
      <c r="H200" t="s">
        <v>47</v>
      </c>
      <c r="I200" t="str">
        <f>HYPERLINK("http://www.ncbi.nlm.nih.gov/protein/XP_032736499.1","fatty acid-binding protein, liver")</f>
        <v>fatty acid-binding protein, liver</v>
      </c>
      <c r="J200" t="s">
        <v>1386</v>
      </c>
      <c r="K200" t="s">
        <v>25</v>
      </c>
      <c r="L200">
        <v>50</v>
      </c>
      <c r="M200" t="s">
        <v>1382</v>
      </c>
      <c r="N200" t="s">
        <v>25</v>
      </c>
      <c r="O200" t="s">
        <v>1355</v>
      </c>
      <c r="P200" t="s">
        <v>25</v>
      </c>
      <c r="Q200">
        <v>131.17500000000001</v>
      </c>
      <c r="R200" t="s">
        <v>25</v>
      </c>
      <c r="S200" t="s">
        <v>25</v>
      </c>
    </row>
    <row r="201" spans="1:19" x14ac:dyDescent="0.25">
      <c r="A201">
        <v>6</v>
      </c>
      <c r="B201" t="s">
        <v>167</v>
      </c>
      <c r="C201" t="str">
        <f>HYPERLINK("http://www.ncbi.nlm.nih.gov/protein/XP_032267051.1","XP_032267051.1")</f>
        <v>XP_032267051.1</v>
      </c>
      <c r="D201">
        <v>45582</v>
      </c>
      <c r="E201" t="str">
        <f>HYPERLINK("http://www.ncbi.nlm.nih.gov/Taxonomy/Browser/wwwtax.cgi?mode=Info&amp;id=9720&amp;lvl=3&amp;lin=f&amp;keep=1&amp;srchmode=1&amp;unlock","9720")</f>
        <v>9720</v>
      </c>
      <c r="F201" t="s">
        <v>18</v>
      </c>
      <c r="G201" t="str">
        <f>HYPERLINK("http://www.ncbi.nlm.nih.gov/Taxonomy/Browser/wwwtax.cgi?mode=Info&amp;id=9720&amp;lvl=3&amp;lin=f&amp;keep=1&amp;srchmode=1&amp;unlock","Phoca vitulina")</f>
        <v>Phoca vitulina</v>
      </c>
      <c r="H201" t="s">
        <v>46</v>
      </c>
      <c r="I201" t="str">
        <f>HYPERLINK("http://www.ncbi.nlm.nih.gov/protein/XP_032267051.1","fatty acid-binding protein, liver")</f>
        <v>fatty acid-binding protein, liver</v>
      </c>
      <c r="J201" t="s">
        <v>1386</v>
      </c>
      <c r="K201" t="s">
        <v>25</v>
      </c>
      <c r="L201">
        <v>50</v>
      </c>
      <c r="M201" t="s">
        <v>1382</v>
      </c>
      <c r="N201" t="s">
        <v>25</v>
      </c>
      <c r="O201" t="s">
        <v>1355</v>
      </c>
      <c r="P201" t="s">
        <v>25</v>
      </c>
      <c r="Q201">
        <v>131.17500000000001</v>
      </c>
      <c r="R201" t="s">
        <v>25</v>
      </c>
      <c r="S201" t="s">
        <v>25</v>
      </c>
    </row>
    <row r="202" spans="1:19" x14ac:dyDescent="0.25">
      <c r="A202">
        <v>6</v>
      </c>
      <c r="B202" t="s">
        <v>167</v>
      </c>
      <c r="C202" t="str">
        <f>HYPERLINK("http://www.ncbi.nlm.nih.gov/protein/XP_004742435.1","XP_004742435.1")</f>
        <v>XP_004742435.1</v>
      </c>
      <c r="D202">
        <v>48574</v>
      </c>
      <c r="E202" t="str">
        <f>HYPERLINK("http://www.ncbi.nlm.nih.gov/Taxonomy/Browser/wwwtax.cgi?mode=Info&amp;id=9669&amp;lvl=3&amp;lin=f&amp;keep=1&amp;srchmode=1&amp;unlock","9669")</f>
        <v>9669</v>
      </c>
      <c r="F202" t="s">
        <v>18</v>
      </c>
      <c r="G202" t="str">
        <f>HYPERLINK("http://www.ncbi.nlm.nih.gov/Taxonomy/Browser/wwwtax.cgi?mode=Info&amp;id=9669&amp;lvl=3&amp;lin=f&amp;keep=1&amp;srchmode=1&amp;unlock","Mustela putorius furo")</f>
        <v>Mustela putorius furo</v>
      </c>
      <c r="H202" t="s">
        <v>48</v>
      </c>
      <c r="I202" t="str">
        <f>HYPERLINK("http://www.ncbi.nlm.nih.gov/protein/XP_004742435.1","PREDICTED: fatty acid-binding protein, liver")</f>
        <v>PREDICTED: fatty acid-binding protein, liver</v>
      </c>
      <c r="J202" t="s">
        <v>1386</v>
      </c>
      <c r="K202" t="s">
        <v>25</v>
      </c>
      <c r="L202">
        <v>50</v>
      </c>
      <c r="M202" t="s">
        <v>1382</v>
      </c>
      <c r="N202" t="s">
        <v>25</v>
      </c>
      <c r="O202" t="s">
        <v>1355</v>
      </c>
      <c r="P202" t="s">
        <v>25</v>
      </c>
      <c r="Q202">
        <v>131.17500000000001</v>
      </c>
      <c r="R202" t="s">
        <v>25</v>
      </c>
      <c r="S202" t="s">
        <v>25</v>
      </c>
    </row>
    <row r="203" spans="1:19" x14ac:dyDescent="0.25">
      <c r="A203">
        <v>6</v>
      </c>
      <c r="B203" t="s">
        <v>167</v>
      </c>
      <c r="C203" t="str">
        <f>HYPERLINK("http://www.ncbi.nlm.nih.gov/protein/AAX62515.1","AAX62515.1")</f>
        <v>AAX62515.1</v>
      </c>
      <c r="D203">
        <v>83623</v>
      </c>
      <c r="E203" t="str">
        <f>HYPERLINK("http://www.ncbi.nlm.nih.gov/Taxonomy/Browser/wwwtax.cgi?mode=Info&amp;id=9823&amp;lvl=3&amp;lin=f&amp;keep=1&amp;srchmode=1&amp;unlock","9823")</f>
        <v>9823</v>
      </c>
      <c r="F203" t="s">
        <v>18</v>
      </c>
      <c r="G203" t="str">
        <f>HYPERLINK("http://www.ncbi.nlm.nih.gov/Taxonomy/Browser/wwwtax.cgi?mode=Info&amp;id=9823&amp;lvl=3&amp;lin=f&amp;keep=1&amp;srchmode=1&amp;unlock","Sus scrofa")</f>
        <v>Sus scrofa</v>
      </c>
      <c r="H203" t="s">
        <v>55</v>
      </c>
      <c r="I203" t="str">
        <f>HYPERLINK("http://www.ncbi.nlm.nih.gov/protein/AAX62515.1","liver fatty acid binding protein")</f>
        <v>liver fatty acid binding protein</v>
      </c>
      <c r="J203" t="s">
        <v>1386</v>
      </c>
      <c r="K203" t="s">
        <v>25</v>
      </c>
      <c r="L203">
        <v>50</v>
      </c>
      <c r="M203" t="s">
        <v>1382</v>
      </c>
      <c r="N203" t="s">
        <v>25</v>
      </c>
      <c r="O203" t="s">
        <v>1355</v>
      </c>
      <c r="P203" t="s">
        <v>25</v>
      </c>
      <c r="Q203">
        <v>131.17500000000001</v>
      </c>
      <c r="R203" t="s">
        <v>25</v>
      </c>
      <c r="S203" t="s">
        <v>25</v>
      </c>
    </row>
    <row r="204" spans="1:19" x14ac:dyDescent="0.25">
      <c r="A204">
        <v>6</v>
      </c>
      <c r="B204" t="s">
        <v>167</v>
      </c>
      <c r="C204" t="str">
        <f>HYPERLINK("http://www.ncbi.nlm.nih.gov/protein/NP_001273980.1","NP_001273980.1")</f>
        <v>NP_001273980.1</v>
      </c>
      <c r="D204">
        <v>136175</v>
      </c>
      <c r="E204" t="str">
        <f>HYPERLINK("http://www.ncbi.nlm.nih.gov/Taxonomy/Browser/wwwtax.cgi?mode=Info&amp;id=9615&amp;lvl=3&amp;lin=f&amp;keep=1&amp;srchmode=1&amp;unlock","9615")</f>
        <v>9615</v>
      </c>
      <c r="F204" t="s">
        <v>18</v>
      </c>
      <c r="G204" t="str">
        <f>HYPERLINK("http://www.ncbi.nlm.nih.gov/Taxonomy/Browser/wwwtax.cgi?mode=Info&amp;id=9615&amp;lvl=3&amp;lin=f&amp;keep=1&amp;srchmode=1&amp;unlock","Canis lupus familiaris")</f>
        <v>Canis lupus familiaris</v>
      </c>
      <c r="H204" t="s">
        <v>54</v>
      </c>
      <c r="I204" t="str">
        <f>HYPERLINK("http://www.ncbi.nlm.nih.gov/protein/NP_001273980.1","fatty acid-binding protein, liver")</f>
        <v>fatty acid-binding protein, liver</v>
      </c>
      <c r="J204" t="s">
        <v>1386</v>
      </c>
      <c r="K204" t="s">
        <v>25</v>
      </c>
      <c r="L204">
        <v>50</v>
      </c>
      <c r="M204" t="s">
        <v>1382</v>
      </c>
      <c r="N204" t="s">
        <v>25</v>
      </c>
      <c r="O204" t="s">
        <v>1355</v>
      </c>
      <c r="P204" t="s">
        <v>25</v>
      </c>
      <c r="Q204">
        <v>131.17500000000001</v>
      </c>
      <c r="R204" t="s">
        <v>25</v>
      </c>
      <c r="S204" t="s">
        <v>25</v>
      </c>
    </row>
    <row r="205" spans="1:19" x14ac:dyDescent="0.25">
      <c r="A205">
        <v>6</v>
      </c>
      <c r="B205" t="s">
        <v>167</v>
      </c>
      <c r="C205" t="str">
        <f>HYPERLINK("http://www.ncbi.nlm.nih.gov/protein/XP_008006679.1","XP_008006679.1")</f>
        <v>XP_008006679.1</v>
      </c>
      <c r="D205">
        <v>62297</v>
      </c>
      <c r="E205" t="str">
        <f>HYPERLINK("http://www.ncbi.nlm.nih.gov/Taxonomy/Browser/wwwtax.cgi?mode=Info&amp;id=60711&amp;lvl=3&amp;lin=f&amp;keep=1&amp;srchmode=1&amp;unlock","60711")</f>
        <v>60711</v>
      </c>
      <c r="F205" t="s">
        <v>18</v>
      </c>
      <c r="G205" t="str">
        <f>HYPERLINK("http://www.ncbi.nlm.nih.gov/Taxonomy/Browser/wwwtax.cgi?mode=Info&amp;id=60711&amp;lvl=3&amp;lin=f&amp;keep=1&amp;srchmode=1&amp;unlock","Chlorocebus sabaeus")</f>
        <v>Chlorocebus sabaeus</v>
      </c>
      <c r="H205" t="s">
        <v>52</v>
      </c>
      <c r="I205" t="str">
        <f>HYPERLINK("http://www.ncbi.nlm.nih.gov/protein/XP_008006679.1","fatty acid-binding protein, liver")</f>
        <v>fatty acid-binding protein, liver</v>
      </c>
      <c r="J205" t="s">
        <v>1386</v>
      </c>
      <c r="K205" t="s">
        <v>20</v>
      </c>
      <c r="L205">
        <v>50</v>
      </c>
      <c r="M205" t="s">
        <v>1380</v>
      </c>
      <c r="N205" t="s">
        <v>20</v>
      </c>
      <c r="O205" t="s">
        <v>1394</v>
      </c>
      <c r="P205" t="s">
        <v>20</v>
      </c>
      <c r="Q205">
        <v>165.19200000000001</v>
      </c>
      <c r="R205" t="s">
        <v>20</v>
      </c>
      <c r="S205" t="s">
        <v>20</v>
      </c>
    </row>
    <row r="206" spans="1:19" x14ac:dyDescent="0.25">
      <c r="A206">
        <v>6</v>
      </c>
      <c r="B206" t="s">
        <v>167</v>
      </c>
      <c r="C206" t="str">
        <f>HYPERLINK("http://www.ncbi.nlm.nih.gov/protein/XP_025309650.1","XP_025309650.1")</f>
        <v>XP_025309650.1</v>
      </c>
      <c r="D206">
        <v>70986</v>
      </c>
      <c r="E206" t="str">
        <f>HYPERLINK("http://www.ncbi.nlm.nih.gov/Taxonomy/Browser/wwwtax.cgi?mode=Info&amp;id=286419&amp;lvl=3&amp;lin=f&amp;keep=1&amp;srchmode=1&amp;unlock","286419")</f>
        <v>286419</v>
      </c>
      <c r="F206" t="s">
        <v>18</v>
      </c>
      <c r="G206" t="str">
        <f>HYPERLINK("http://www.ncbi.nlm.nih.gov/Taxonomy/Browser/wwwtax.cgi?mode=Info&amp;id=286419&amp;lvl=3&amp;lin=f&amp;keep=1&amp;srchmode=1&amp;unlock","Canis lupus dingo")</f>
        <v>Canis lupus dingo</v>
      </c>
      <c r="H206" t="s">
        <v>53</v>
      </c>
      <c r="I206" t="str">
        <f>HYPERLINK("http://www.ncbi.nlm.nih.gov/protein/XP_025309650.1","fatty acid-binding protein, liver")</f>
        <v>fatty acid-binding protein, liver</v>
      </c>
      <c r="J206" t="s">
        <v>1386</v>
      </c>
      <c r="K206" t="s">
        <v>25</v>
      </c>
      <c r="L206">
        <v>50</v>
      </c>
      <c r="M206" t="s">
        <v>1382</v>
      </c>
      <c r="N206" t="s">
        <v>25</v>
      </c>
      <c r="O206" t="s">
        <v>1355</v>
      </c>
      <c r="P206" t="s">
        <v>25</v>
      </c>
      <c r="Q206">
        <v>131.17500000000001</v>
      </c>
      <c r="R206" t="s">
        <v>25</v>
      </c>
      <c r="S206" t="s">
        <v>25</v>
      </c>
    </row>
    <row r="207" spans="1:19" x14ac:dyDescent="0.25">
      <c r="A207">
        <v>6</v>
      </c>
      <c r="B207" t="s">
        <v>167</v>
      </c>
      <c r="C207" t="str">
        <f>HYPERLINK("http://www.ncbi.nlm.nih.gov/protein/XP_029792145.1","XP_029792145.1")</f>
        <v>XP_029792145.1</v>
      </c>
      <c r="D207">
        <v>43355</v>
      </c>
      <c r="E207" t="str">
        <f>HYPERLINK("http://www.ncbi.nlm.nih.gov/Taxonomy/Browser/wwwtax.cgi?mode=Info&amp;id=37032&amp;lvl=3&amp;lin=f&amp;keep=1&amp;srchmode=1&amp;unlock","37032")</f>
        <v>37032</v>
      </c>
      <c r="F207" t="s">
        <v>18</v>
      </c>
      <c r="G207" t="str">
        <f>HYPERLINK("http://www.ncbi.nlm.nih.gov/Taxonomy/Browser/wwwtax.cgi?mode=Info&amp;id=37032&amp;lvl=3&amp;lin=f&amp;keep=1&amp;srchmode=1&amp;unlock","Suricata suricatta")</f>
        <v>Suricata suricatta</v>
      </c>
      <c r="H207" t="s">
        <v>57</v>
      </c>
      <c r="I207" t="str">
        <f>HYPERLINK("http://www.ncbi.nlm.nih.gov/protein/XP_029792145.1","fatty acid-binding protein, liver")</f>
        <v>fatty acid-binding protein, liver</v>
      </c>
      <c r="J207" t="s">
        <v>1386</v>
      </c>
      <c r="K207" t="s">
        <v>25</v>
      </c>
      <c r="L207">
        <v>50</v>
      </c>
      <c r="M207" t="s">
        <v>1382</v>
      </c>
      <c r="N207" t="s">
        <v>25</v>
      </c>
      <c r="O207" t="s">
        <v>1355</v>
      </c>
      <c r="P207" t="s">
        <v>25</v>
      </c>
      <c r="Q207">
        <v>131.17500000000001</v>
      </c>
      <c r="R207" t="s">
        <v>25</v>
      </c>
      <c r="S207" t="s">
        <v>25</v>
      </c>
    </row>
    <row r="208" spans="1:19" x14ac:dyDescent="0.25">
      <c r="A208">
        <v>6</v>
      </c>
      <c r="B208" t="s">
        <v>167</v>
      </c>
      <c r="C208" t="str">
        <f>HYPERLINK("http://www.ncbi.nlm.nih.gov/protein/XP_034856360.1","XP_034856360.1")</f>
        <v>XP_034856360.1</v>
      </c>
      <c r="D208">
        <v>64815</v>
      </c>
      <c r="E208" t="str">
        <f>HYPERLINK("http://www.ncbi.nlm.nih.gov/Taxonomy/Browser/wwwtax.cgi?mode=Info&amp;id=9715&amp;lvl=3&amp;lin=f&amp;keep=1&amp;srchmode=1&amp;unlock","9715")</f>
        <v>9715</v>
      </c>
      <c r="F208" t="s">
        <v>18</v>
      </c>
      <c r="G208" t="str">
        <f>HYPERLINK("http://www.ncbi.nlm.nih.gov/Taxonomy/Browser/wwwtax.cgi?mode=Info&amp;id=9715&amp;lvl=3&amp;lin=f&amp;keep=1&amp;srchmode=1&amp;unlock","Mirounga leonina")</f>
        <v>Mirounga leonina</v>
      </c>
      <c r="H208" t="s">
        <v>58</v>
      </c>
      <c r="I208" t="str">
        <f>HYPERLINK("http://www.ncbi.nlm.nih.gov/protein/XP_034856360.1","fatty acid-binding protein, liver")</f>
        <v>fatty acid-binding protein, liver</v>
      </c>
      <c r="J208" t="s">
        <v>1386</v>
      </c>
      <c r="K208" t="s">
        <v>25</v>
      </c>
      <c r="L208">
        <v>50</v>
      </c>
      <c r="M208" t="s">
        <v>1382</v>
      </c>
      <c r="N208" t="s">
        <v>25</v>
      </c>
      <c r="O208" t="s">
        <v>1355</v>
      </c>
      <c r="P208" t="s">
        <v>25</v>
      </c>
      <c r="Q208">
        <v>131.17500000000001</v>
      </c>
      <c r="R208" t="s">
        <v>25</v>
      </c>
      <c r="S208" t="s">
        <v>25</v>
      </c>
    </row>
    <row r="209" spans="1:19" x14ac:dyDescent="0.25">
      <c r="A209">
        <v>6</v>
      </c>
      <c r="B209" t="s">
        <v>167</v>
      </c>
      <c r="C209" t="str">
        <f>HYPERLINK("http://www.ncbi.nlm.nih.gov/protein/XP_036787010.1","XP_036787010.1")</f>
        <v>XP_036787010.1</v>
      </c>
      <c r="D209">
        <v>58394</v>
      </c>
      <c r="E209" t="str">
        <f>HYPERLINK("http://www.ncbi.nlm.nih.gov/Taxonomy/Browser/wwwtax.cgi?mode=Info&amp;id=143292&amp;lvl=3&amp;lin=f&amp;keep=1&amp;srchmode=1&amp;unlock","143292")</f>
        <v>143292</v>
      </c>
      <c r="F209" t="s">
        <v>18</v>
      </c>
      <c r="G209" t="str">
        <f>HYPERLINK("http://www.ncbi.nlm.nih.gov/Taxonomy/Browser/wwwtax.cgi?mode=Info&amp;id=143292&amp;lvl=3&amp;lin=f&amp;keep=1&amp;srchmode=1&amp;unlock","Manis pentadactyla")</f>
        <v>Manis pentadactyla</v>
      </c>
      <c r="H209" t="s">
        <v>56</v>
      </c>
      <c r="I209" t="str">
        <f>HYPERLINK("http://www.ncbi.nlm.nih.gov/protein/XP_036787010.1","fatty acid-binding protein, liver")</f>
        <v>fatty acid-binding protein, liver</v>
      </c>
      <c r="J209" t="s">
        <v>1386</v>
      </c>
      <c r="K209" t="s">
        <v>20</v>
      </c>
      <c r="L209">
        <v>50</v>
      </c>
      <c r="M209" t="s">
        <v>1380</v>
      </c>
      <c r="N209" t="s">
        <v>20</v>
      </c>
      <c r="O209" t="s">
        <v>1394</v>
      </c>
      <c r="P209" t="s">
        <v>20</v>
      </c>
      <c r="Q209">
        <v>165.19200000000001</v>
      </c>
      <c r="R209" t="s">
        <v>20</v>
      </c>
      <c r="S209" t="s">
        <v>20</v>
      </c>
    </row>
    <row r="210" spans="1:19" x14ac:dyDescent="0.25">
      <c r="A210">
        <v>6</v>
      </c>
      <c r="B210" t="s">
        <v>167</v>
      </c>
      <c r="C210" t="str">
        <f>HYPERLINK("http://www.ncbi.nlm.nih.gov/protein/XP_014931273.1","XP_014931273.1")</f>
        <v>XP_014931273.1</v>
      </c>
      <c r="D210">
        <v>56437</v>
      </c>
      <c r="E210" t="str">
        <f>HYPERLINK("http://www.ncbi.nlm.nih.gov/Taxonomy/Browser/wwwtax.cgi?mode=Info&amp;id=32536&amp;lvl=3&amp;lin=f&amp;keep=1&amp;srchmode=1&amp;unlock","32536")</f>
        <v>32536</v>
      </c>
      <c r="F210" t="s">
        <v>18</v>
      </c>
      <c r="G210" t="str">
        <f>HYPERLINK("http://www.ncbi.nlm.nih.gov/Taxonomy/Browser/wwwtax.cgi?mode=Info&amp;id=32536&amp;lvl=3&amp;lin=f&amp;keep=1&amp;srchmode=1&amp;unlock","Acinonyx jubatus")</f>
        <v>Acinonyx jubatus</v>
      </c>
      <c r="H210" t="s">
        <v>62</v>
      </c>
      <c r="I210" t="str">
        <f>HYPERLINK("http://www.ncbi.nlm.nih.gov/protein/XP_014931273.1","fatty acid-binding protein, liver")</f>
        <v>fatty acid-binding protein, liver</v>
      </c>
      <c r="J210" t="s">
        <v>1386</v>
      </c>
      <c r="K210" t="s">
        <v>25</v>
      </c>
      <c r="L210">
        <v>50</v>
      </c>
      <c r="M210" t="s">
        <v>1382</v>
      </c>
      <c r="N210" t="s">
        <v>25</v>
      </c>
      <c r="O210" t="s">
        <v>1355</v>
      </c>
      <c r="P210" t="s">
        <v>25</v>
      </c>
      <c r="Q210">
        <v>131.17500000000001</v>
      </c>
      <c r="R210" t="s">
        <v>25</v>
      </c>
      <c r="S210" t="s">
        <v>25</v>
      </c>
    </row>
    <row r="211" spans="1:19" x14ac:dyDescent="0.25">
      <c r="A211">
        <v>6</v>
      </c>
      <c r="B211" t="s">
        <v>167</v>
      </c>
      <c r="C211" t="str">
        <f>HYPERLINK("http://www.ncbi.nlm.nih.gov/protein/XP_030164911.1","XP_030164911.1")</f>
        <v>XP_030164911.1</v>
      </c>
      <c r="D211">
        <v>42175</v>
      </c>
      <c r="E211" t="str">
        <f>HYPERLINK("http://www.ncbi.nlm.nih.gov/Taxonomy/Browser/wwwtax.cgi?mode=Info&amp;id=61383&amp;lvl=3&amp;lin=f&amp;keep=1&amp;srchmode=1&amp;unlock","61383")</f>
        <v>61383</v>
      </c>
      <c r="F211" t="s">
        <v>18</v>
      </c>
      <c r="G211" t="str">
        <f>HYPERLINK("http://www.ncbi.nlm.nih.gov/Taxonomy/Browser/wwwtax.cgi?mode=Info&amp;id=61383&amp;lvl=3&amp;lin=f&amp;keep=1&amp;srchmode=1&amp;unlock","Lynx canadensis")</f>
        <v>Lynx canadensis</v>
      </c>
      <c r="H211" t="s">
        <v>63</v>
      </c>
      <c r="I211" t="str">
        <f>HYPERLINK("http://www.ncbi.nlm.nih.gov/protein/XP_030164911.1","fatty acid-binding protein, liver")</f>
        <v>fatty acid-binding protein, liver</v>
      </c>
      <c r="J211" t="s">
        <v>1386</v>
      </c>
      <c r="K211" t="s">
        <v>25</v>
      </c>
      <c r="L211">
        <v>50</v>
      </c>
      <c r="M211" t="s">
        <v>1382</v>
      </c>
      <c r="N211" t="s">
        <v>25</v>
      </c>
      <c r="O211" t="s">
        <v>1355</v>
      </c>
      <c r="P211" t="s">
        <v>25</v>
      </c>
      <c r="Q211">
        <v>131.17500000000001</v>
      </c>
      <c r="R211" t="s">
        <v>25</v>
      </c>
      <c r="S211" t="s">
        <v>25</v>
      </c>
    </row>
    <row r="212" spans="1:19" x14ac:dyDescent="0.25">
      <c r="A212">
        <v>6</v>
      </c>
      <c r="B212" t="s">
        <v>167</v>
      </c>
      <c r="C212" t="str">
        <f>HYPERLINK("http://www.ncbi.nlm.nih.gov/protein/XP_025783149.1","XP_025783149.1")</f>
        <v>XP_025783149.1</v>
      </c>
      <c r="D212">
        <v>23617</v>
      </c>
      <c r="E212" t="str">
        <f>HYPERLINK("http://www.ncbi.nlm.nih.gov/Taxonomy/Browser/wwwtax.cgi?mode=Info&amp;id=9696&amp;lvl=3&amp;lin=f&amp;keep=1&amp;srchmode=1&amp;unlock","9696")</f>
        <v>9696</v>
      </c>
      <c r="F212" t="s">
        <v>18</v>
      </c>
      <c r="G212" t="str">
        <f>HYPERLINK("http://www.ncbi.nlm.nih.gov/Taxonomy/Browser/wwwtax.cgi?mode=Info&amp;id=9696&amp;lvl=3&amp;lin=f&amp;keep=1&amp;srchmode=1&amp;unlock","Puma concolor")</f>
        <v>Puma concolor</v>
      </c>
      <c r="H212" t="s">
        <v>64</v>
      </c>
      <c r="I212" t="str">
        <f>HYPERLINK("http://www.ncbi.nlm.nih.gov/protein/XP_025783149.1","fatty acid-binding protein, liver")</f>
        <v>fatty acid-binding protein, liver</v>
      </c>
      <c r="J212" t="s">
        <v>1386</v>
      </c>
      <c r="K212" t="s">
        <v>25</v>
      </c>
      <c r="L212">
        <v>50</v>
      </c>
      <c r="M212" t="s">
        <v>1382</v>
      </c>
      <c r="N212" t="s">
        <v>25</v>
      </c>
      <c r="O212" t="s">
        <v>1355</v>
      </c>
      <c r="P212" t="s">
        <v>25</v>
      </c>
      <c r="Q212">
        <v>131.17500000000001</v>
      </c>
      <c r="R212" t="s">
        <v>25</v>
      </c>
      <c r="S212" t="s">
        <v>25</v>
      </c>
    </row>
    <row r="213" spans="1:19" x14ac:dyDescent="0.25">
      <c r="A213">
        <v>6</v>
      </c>
      <c r="B213" t="s">
        <v>167</v>
      </c>
      <c r="C213" t="str">
        <f>HYPERLINK("http://www.ncbi.nlm.nih.gov/protein/XP_012328400.1","XP_012328400.1")</f>
        <v>XP_012328400.1</v>
      </c>
      <c r="D213">
        <v>48089</v>
      </c>
      <c r="E213" t="str">
        <f>HYPERLINK("http://www.ncbi.nlm.nih.gov/Taxonomy/Browser/wwwtax.cgi?mode=Info&amp;id=37293&amp;lvl=3&amp;lin=f&amp;keep=1&amp;srchmode=1&amp;unlock","37293")</f>
        <v>37293</v>
      </c>
      <c r="F213" t="s">
        <v>18</v>
      </c>
      <c r="G213" t="str">
        <f>HYPERLINK("http://www.ncbi.nlm.nih.gov/Taxonomy/Browser/wwwtax.cgi?mode=Info&amp;id=37293&amp;lvl=3&amp;lin=f&amp;keep=1&amp;srchmode=1&amp;unlock","Aotus nancymaae")</f>
        <v>Aotus nancymaae</v>
      </c>
      <c r="H213" t="s">
        <v>65</v>
      </c>
      <c r="I213" t="str">
        <f>HYPERLINK("http://www.ncbi.nlm.nih.gov/protein/XP_012328400.1","fatty acid-binding protein, liver")</f>
        <v>fatty acid-binding protein, liver</v>
      </c>
      <c r="J213" t="s">
        <v>1386</v>
      </c>
      <c r="K213" t="s">
        <v>25</v>
      </c>
      <c r="L213">
        <v>50</v>
      </c>
      <c r="M213" t="s">
        <v>1382</v>
      </c>
      <c r="N213" t="s">
        <v>25</v>
      </c>
      <c r="O213" t="s">
        <v>1355</v>
      </c>
      <c r="P213" t="s">
        <v>25</v>
      </c>
      <c r="Q213">
        <v>131.17500000000001</v>
      </c>
      <c r="R213" t="s">
        <v>25</v>
      </c>
      <c r="S213" t="s">
        <v>25</v>
      </c>
    </row>
    <row r="214" spans="1:19" x14ac:dyDescent="0.25">
      <c r="A214">
        <v>6</v>
      </c>
      <c r="B214" t="s">
        <v>167</v>
      </c>
      <c r="C214" t="str">
        <f>HYPERLINK("http://www.ncbi.nlm.nih.gov/protein/XP_040352755.1","XP_040352755.1")</f>
        <v>XP_040352755.1</v>
      </c>
      <c r="D214">
        <v>55674</v>
      </c>
      <c r="E214" t="str">
        <f>HYPERLINK("http://www.ncbi.nlm.nih.gov/Taxonomy/Browser/wwwtax.cgi?mode=Info&amp;id=1608482&amp;lvl=3&amp;lin=f&amp;keep=1&amp;srchmode=1&amp;unlock","1608482")</f>
        <v>1608482</v>
      </c>
      <c r="F214" t="s">
        <v>18</v>
      </c>
      <c r="G214" t="str">
        <f>HYPERLINK("http://www.ncbi.nlm.nih.gov/Taxonomy/Browser/wwwtax.cgi?mode=Info&amp;id=1608482&amp;lvl=3&amp;lin=f&amp;keep=1&amp;srchmode=1&amp;unlock","Puma yagouaroundi")</f>
        <v>Puma yagouaroundi</v>
      </c>
      <c r="H214" t="s">
        <v>66</v>
      </c>
      <c r="I214" t="str">
        <f>HYPERLINK("http://www.ncbi.nlm.nih.gov/protein/XP_040352755.1","fatty acid-binding protein, liver")</f>
        <v>fatty acid-binding protein, liver</v>
      </c>
      <c r="J214" t="s">
        <v>1386</v>
      </c>
      <c r="K214" t="s">
        <v>25</v>
      </c>
      <c r="L214">
        <v>50</v>
      </c>
      <c r="M214" t="s">
        <v>1382</v>
      </c>
      <c r="N214" t="s">
        <v>25</v>
      </c>
      <c r="O214" t="s">
        <v>1355</v>
      </c>
      <c r="P214" t="s">
        <v>25</v>
      </c>
      <c r="Q214">
        <v>131.17500000000001</v>
      </c>
      <c r="R214" t="s">
        <v>25</v>
      </c>
      <c r="S214" t="s">
        <v>25</v>
      </c>
    </row>
    <row r="215" spans="1:19" x14ac:dyDescent="0.25">
      <c r="A215">
        <v>6</v>
      </c>
      <c r="B215" t="s">
        <v>167</v>
      </c>
      <c r="C215" t="str">
        <f>HYPERLINK("http://www.ncbi.nlm.nih.gov/protein/XP_027476370.1","XP_027476370.1")</f>
        <v>XP_027476370.1</v>
      </c>
      <c r="D215">
        <v>61138</v>
      </c>
      <c r="E215" t="str">
        <f>HYPERLINK("http://www.ncbi.nlm.nih.gov/Taxonomy/Browser/wwwtax.cgi?mode=Info&amp;id=9704&amp;lvl=3&amp;lin=f&amp;keep=1&amp;srchmode=1&amp;unlock","9704")</f>
        <v>9704</v>
      </c>
      <c r="F215" t="s">
        <v>18</v>
      </c>
      <c r="G215" t="str">
        <f>HYPERLINK("http://www.ncbi.nlm.nih.gov/Taxonomy/Browser/wwwtax.cgi?mode=Info&amp;id=9704&amp;lvl=3&amp;lin=f&amp;keep=1&amp;srchmode=1&amp;unlock","Zalophus californianus")</f>
        <v>Zalophus californianus</v>
      </c>
      <c r="H215" t="s">
        <v>67</v>
      </c>
      <c r="I215" t="str">
        <f>HYPERLINK("http://www.ncbi.nlm.nih.gov/protein/XP_027476370.1","fatty acid-binding protein, liver")</f>
        <v>fatty acid-binding protein, liver</v>
      </c>
      <c r="J215" t="s">
        <v>1386</v>
      </c>
      <c r="K215" t="s">
        <v>25</v>
      </c>
      <c r="L215">
        <v>50</v>
      </c>
      <c r="M215" t="s">
        <v>1382</v>
      </c>
      <c r="N215" t="s">
        <v>25</v>
      </c>
      <c r="O215" t="s">
        <v>1355</v>
      </c>
      <c r="P215" t="s">
        <v>25</v>
      </c>
      <c r="Q215">
        <v>131.17500000000001</v>
      </c>
      <c r="R215" t="s">
        <v>25</v>
      </c>
      <c r="S215" t="s">
        <v>25</v>
      </c>
    </row>
    <row r="216" spans="1:19" x14ac:dyDescent="0.25">
      <c r="A216">
        <v>6</v>
      </c>
      <c r="B216" t="s">
        <v>167</v>
      </c>
      <c r="C216" t="str">
        <f>HYPERLINK("http://www.ncbi.nlm.nih.gov/protein/XP_035932047.1","XP_035932047.1")</f>
        <v>XP_035932047.1</v>
      </c>
      <c r="D216">
        <v>60330</v>
      </c>
      <c r="E216" t="str">
        <f>HYPERLINK("http://www.ncbi.nlm.nih.gov/Taxonomy/Browser/wwwtax.cgi?mode=Info&amp;id=9711&amp;lvl=3&amp;lin=f&amp;keep=1&amp;srchmode=1&amp;unlock","9711")</f>
        <v>9711</v>
      </c>
      <c r="F216" t="s">
        <v>18</v>
      </c>
      <c r="G216" t="str">
        <f>HYPERLINK("http://www.ncbi.nlm.nih.gov/Taxonomy/Browser/wwwtax.cgi?mode=Info&amp;id=9711&amp;lvl=3&amp;lin=f&amp;keep=1&amp;srchmode=1&amp;unlock","Halichoerus grypus")</f>
        <v>Halichoerus grypus</v>
      </c>
      <c r="H216" t="s">
        <v>68</v>
      </c>
      <c r="I216" t="str">
        <f>HYPERLINK("http://www.ncbi.nlm.nih.gov/protein/XP_035932047.1","fatty acid-binding protein, liver")</f>
        <v>fatty acid-binding protein, liver</v>
      </c>
      <c r="J216" t="s">
        <v>1386</v>
      </c>
      <c r="K216" t="s">
        <v>25</v>
      </c>
      <c r="L216">
        <v>50</v>
      </c>
      <c r="M216" t="s">
        <v>1382</v>
      </c>
      <c r="N216" t="s">
        <v>25</v>
      </c>
      <c r="O216" t="s">
        <v>1355</v>
      </c>
      <c r="P216" t="s">
        <v>25</v>
      </c>
      <c r="Q216">
        <v>131.17500000000001</v>
      </c>
      <c r="R216" t="s">
        <v>25</v>
      </c>
      <c r="S216" t="s">
        <v>25</v>
      </c>
    </row>
    <row r="217" spans="1:19" x14ac:dyDescent="0.25">
      <c r="A217">
        <v>6</v>
      </c>
      <c r="B217" t="s">
        <v>167</v>
      </c>
      <c r="C217" t="str">
        <f>HYPERLINK("http://www.ncbi.nlm.nih.gov/protein/XP_025723410.1","XP_025723410.1")</f>
        <v>XP_025723410.1</v>
      </c>
      <c r="D217">
        <v>46265</v>
      </c>
      <c r="E217" t="str">
        <f>HYPERLINK("http://www.ncbi.nlm.nih.gov/Taxonomy/Browser/wwwtax.cgi?mode=Info&amp;id=34884&amp;lvl=3&amp;lin=f&amp;keep=1&amp;srchmode=1&amp;unlock","34884")</f>
        <v>34884</v>
      </c>
      <c r="F217" t="s">
        <v>18</v>
      </c>
      <c r="G217" t="str">
        <f>HYPERLINK("http://www.ncbi.nlm.nih.gov/Taxonomy/Browser/wwwtax.cgi?mode=Info&amp;id=34884&amp;lvl=3&amp;lin=f&amp;keep=1&amp;srchmode=1&amp;unlock","Callorhinus ursinus")</f>
        <v>Callorhinus ursinus</v>
      </c>
      <c r="H217" t="s">
        <v>59</v>
      </c>
      <c r="I217" t="str">
        <f>HYPERLINK("http://www.ncbi.nlm.nih.gov/protein/XP_025723410.1","fatty acid-binding protein, liver")</f>
        <v>fatty acid-binding protein, liver</v>
      </c>
      <c r="J217" t="s">
        <v>1386</v>
      </c>
      <c r="K217" t="s">
        <v>25</v>
      </c>
      <c r="L217">
        <v>50</v>
      </c>
      <c r="M217" t="s">
        <v>1382</v>
      </c>
      <c r="N217" t="s">
        <v>25</v>
      </c>
      <c r="O217" t="s">
        <v>1355</v>
      </c>
      <c r="P217" t="s">
        <v>25</v>
      </c>
      <c r="Q217">
        <v>131.17500000000001</v>
      </c>
      <c r="R217" t="s">
        <v>25</v>
      </c>
      <c r="S217" t="s">
        <v>25</v>
      </c>
    </row>
    <row r="218" spans="1:19" x14ac:dyDescent="0.25">
      <c r="A218">
        <v>6</v>
      </c>
      <c r="B218" t="s">
        <v>167</v>
      </c>
      <c r="C218" t="str">
        <f>HYPERLINK("http://www.ncbi.nlm.nih.gov/protein/XP_003984285.1","XP_003984285.1")</f>
        <v>XP_003984285.1</v>
      </c>
      <c r="D218">
        <v>57528</v>
      </c>
      <c r="E218" t="str">
        <f>HYPERLINK("http://www.ncbi.nlm.nih.gov/Taxonomy/Browser/wwwtax.cgi?mode=Info&amp;id=9685&amp;lvl=3&amp;lin=f&amp;keep=1&amp;srchmode=1&amp;unlock","9685")</f>
        <v>9685</v>
      </c>
      <c r="F218" t="s">
        <v>18</v>
      </c>
      <c r="G218" t="str">
        <f>HYPERLINK("http://www.ncbi.nlm.nih.gov/Taxonomy/Browser/wwwtax.cgi?mode=Info&amp;id=9685&amp;lvl=3&amp;lin=f&amp;keep=1&amp;srchmode=1&amp;unlock","Felis catus")</f>
        <v>Felis catus</v>
      </c>
      <c r="H218" t="s">
        <v>60</v>
      </c>
      <c r="I218" t="str">
        <f>HYPERLINK("http://www.ncbi.nlm.nih.gov/protein/XP_003984285.1","fatty acid-binding protein, liver")</f>
        <v>fatty acid-binding protein, liver</v>
      </c>
      <c r="J218" t="s">
        <v>1386</v>
      </c>
      <c r="K218" t="s">
        <v>25</v>
      </c>
      <c r="L218">
        <v>50</v>
      </c>
      <c r="M218" t="s">
        <v>1382</v>
      </c>
      <c r="N218" t="s">
        <v>25</v>
      </c>
      <c r="O218" t="s">
        <v>1355</v>
      </c>
      <c r="P218" t="s">
        <v>25</v>
      </c>
      <c r="Q218">
        <v>131.17500000000001</v>
      </c>
      <c r="R218" t="s">
        <v>25</v>
      </c>
      <c r="S218" t="s">
        <v>25</v>
      </c>
    </row>
    <row r="219" spans="1:19" x14ac:dyDescent="0.25">
      <c r="A219">
        <v>6</v>
      </c>
      <c r="B219" t="s">
        <v>167</v>
      </c>
      <c r="C219" t="str">
        <f>HYPERLINK("http://www.ncbi.nlm.nih.gov/protein/XP_027978263.1","XP_027978263.1")</f>
        <v>XP_027978263.1</v>
      </c>
      <c r="D219">
        <v>40115</v>
      </c>
      <c r="E219" t="str">
        <f>HYPERLINK("http://www.ncbi.nlm.nih.gov/Taxonomy/Browser/wwwtax.cgi?mode=Info&amp;id=34886&amp;lvl=3&amp;lin=f&amp;keep=1&amp;srchmode=1&amp;unlock","34886")</f>
        <v>34886</v>
      </c>
      <c r="F219" t="s">
        <v>18</v>
      </c>
      <c r="G219" t="str">
        <f>HYPERLINK("http://www.ncbi.nlm.nih.gov/Taxonomy/Browser/wwwtax.cgi?mode=Info&amp;id=34886&amp;lvl=3&amp;lin=f&amp;keep=1&amp;srchmode=1&amp;unlock","Eumetopias jubatus")</f>
        <v>Eumetopias jubatus</v>
      </c>
      <c r="H219" t="s">
        <v>61</v>
      </c>
      <c r="I219" t="str">
        <f>HYPERLINK("http://www.ncbi.nlm.nih.gov/protein/XP_027978263.1","fatty acid-binding protein, liver")</f>
        <v>fatty acid-binding protein, liver</v>
      </c>
      <c r="J219" t="s">
        <v>1386</v>
      </c>
      <c r="K219" t="s">
        <v>25</v>
      </c>
      <c r="L219">
        <v>50</v>
      </c>
      <c r="M219" t="s">
        <v>1382</v>
      </c>
      <c r="N219" t="s">
        <v>25</v>
      </c>
      <c r="O219" t="s">
        <v>1355</v>
      </c>
      <c r="P219" t="s">
        <v>25</v>
      </c>
      <c r="Q219">
        <v>131.17500000000001</v>
      </c>
      <c r="R219" t="s">
        <v>25</v>
      </c>
      <c r="S219" t="s">
        <v>25</v>
      </c>
    </row>
    <row r="220" spans="1:19" x14ac:dyDescent="0.25">
      <c r="A220">
        <v>6</v>
      </c>
      <c r="B220" t="s">
        <v>167</v>
      </c>
      <c r="C220" t="str">
        <f>HYPERLINK("http://www.ncbi.nlm.nih.gov/protein/XP_008069922.1","XP_008069922.1")</f>
        <v>XP_008069922.1</v>
      </c>
      <c r="D220">
        <v>33266</v>
      </c>
      <c r="E220" t="str">
        <f>HYPERLINK("http://www.ncbi.nlm.nih.gov/Taxonomy/Browser/wwwtax.cgi?mode=Info&amp;id=1868482&amp;lvl=3&amp;lin=f&amp;keep=1&amp;srchmode=1&amp;unlock","1868482")</f>
        <v>1868482</v>
      </c>
      <c r="F220" t="s">
        <v>18</v>
      </c>
      <c r="G220" t="str">
        <f>HYPERLINK("http://www.ncbi.nlm.nih.gov/Taxonomy/Browser/wwwtax.cgi?mode=Info&amp;id=1868482&amp;lvl=3&amp;lin=f&amp;keep=1&amp;srchmode=1&amp;unlock","Carlito syrichta")</f>
        <v>Carlito syrichta</v>
      </c>
      <c r="H220" t="s">
        <v>69</v>
      </c>
      <c r="I220" t="str">
        <f>HYPERLINK("http://www.ncbi.nlm.nih.gov/protein/XP_008069922.1","fatty acid-binding protein, liver")</f>
        <v>fatty acid-binding protein, liver</v>
      </c>
      <c r="J220" t="s">
        <v>1386</v>
      </c>
      <c r="K220" t="s">
        <v>25</v>
      </c>
      <c r="L220">
        <v>50</v>
      </c>
      <c r="M220" t="s">
        <v>1382</v>
      </c>
      <c r="N220" t="s">
        <v>25</v>
      </c>
      <c r="O220" t="s">
        <v>1355</v>
      </c>
      <c r="P220" t="s">
        <v>25</v>
      </c>
      <c r="Q220">
        <v>131.17500000000001</v>
      </c>
      <c r="R220" t="s">
        <v>25</v>
      </c>
      <c r="S220" t="s">
        <v>25</v>
      </c>
    </row>
    <row r="221" spans="1:19" x14ac:dyDescent="0.25">
      <c r="A221">
        <v>6</v>
      </c>
      <c r="B221" t="s">
        <v>167</v>
      </c>
      <c r="C221" t="str">
        <f>HYPERLINK("http://www.ncbi.nlm.nih.gov/protein/XP_006168422.1","XP_006168422.1")</f>
        <v>XP_006168422.1</v>
      </c>
      <c r="D221">
        <v>59503</v>
      </c>
      <c r="E221" t="str">
        <f>HYPERLINK("http://www.ncbi.nlm.nih.gov/Taxonomy/Browser/wwwtax.cgi?mode=Info&amp;id=246437&amp;lvl=3&amp;lin=f&amp;keep=1&amp;srchmode=1&amp;unlock","246437")</f>
        <v>246437</v>
      </c>
      <c r="F221" t="s">
        <v>18</v>
      </c>
      <c r="G221" t="str">
        <f>HYPERLINK("http://www.ncbi.nlm.nih.gov/Taxonomy/Browser/wwwtax.cgi?mode=Info&amp;id=246437&amp;lvl=3&amp;lin=f&amp;keep=1&amp;srchmode=1&amp;unlock","Tupaia chinensis")</f>
        <v>Tupaia chinensis</v>
      </c>
      <c r="H221" t="s">
        <v>70</v>
      </c>
      <c r="I221" t="str">
        <f>HYPERLINK("http://www.ncbi.nlm.nih.gov/protein/XP_006168422.1","fatty acid-binding protein, liver")</f>
        <v>fatty acid-binding protein, liver</v>
      </c>
      <c r="J221" t="s">
        <v>1386</v>
      </c>
      <c r="K221" t="s">
        <v>25</v>
      </c>
      <c r="L221">
        <v>50</v>
      </c>
      <c r="M221" t="s">
        <v>1382</v>
      </c>
      <c r="N221" t="s">
        <v>25</v>
      </c>
      <c r="O221" t="s">
        <v>1355</v>
      </c>
      <c r="P221" t="s">
        <v>25</v>
      </c>
      <c r="Q221">
        <v>131.17500000000001</v>
      </c>
      <c r="R221" t="s">
        <v>25</v>
      </c>
      <c r="S221" t="s">
        <v>25</v>
      </c>
    </row>
    <row r="222" spans="1:19" x14ac:dyDescent="0.25">
      <c r="A222">
        <v>6</v>
      </c>
      <c r="B222" t="s">
        <v>167</v>
      </c>
      <c r="C222" t="str">
        <f>HYPERLINK("http://www.ncbi.nlm.nih.gov/protein/XP_022360267.1","XP_022360267.1")</f>
        <v>XP_022360267.1</v>
      </c>
      <c r="D222">
        <v>36593</v>
      </c>
      <c r="E222" t="str">
        <f>HYPERLINK("http://www.ncbi.nlm.nih.gov/Taxonomy/Browser/wwwtax.cgi?mode=Info&amp;id=391180&amp;lvl=3&amp;lin=f&amp;keep=1&amp;srchmode=1&amp;unlock","391180")</f>
        <v>391180</v>
      </c>
      <c r="F222" t="s">
        <v>18</v>
      </c>
      <c r="G222" t="str">
        <f>HYPERLINK("http://www.ncbi.nlm.nih.gov/Taxonomy/Browser/wwwtax.cgi?mode=Info&amp;id=391180&amp;lvl=3&amp;lin=f&amp;keep=1&amp;srchmode=1&amp;unlock","Enhydra lutris kenyoni")</f>
        <v>Enhydra lutris kenyoni</v>
      </c>
      <c r="H222" t="s">
        <v>71</v>
      </c>
      <c r="I222" t="str">
        <f>HYPERLINK("http://www.ncbi.nlm.nih.gov/protein/XP_022360267.1","fatty acid-binding protein, liver")</f>
        <v>fatty acid-binding protein, liver</v>
      </c>
      <c r="J222" t="s">
        <v>1386</v>
      </c>
      <c r="K222" t="s">
        <v>25</v>
      </c>
      <c r="L222">
        <v>50</v>
      </c>
      <c r="M222" t="s">
        <v>1382</v>
      </c>
      <c r="N222" t="s">
        <v>25</v>
      </c>
      <c r="O222" t="s">
        <v>1355</v>
      </c>
      <c r="P222" t="s">
        <v>25</v>
      </c>
      <c r="Q222">
        <v>131.17500000000001</v>
      </c>
      <c r="R222" t="s">
        <v>25</v>
      </c>
      <c r="S222" t="s">
        <v>25</v>
      </c>
    </row>
    <row r="223" spans="1:19" x14ac:dyDescent="0.25">
      <c r="A223">
        <v>6</v>
      </c>
      <c r="B223" t="s">
        <v>167</v>
      </c>
      <c r="C223" t="str">
        <f>HYPERLINK("http://www.ncbi.nlm.nih.gov/protein/NXY87323.1","NXY87323.1")</f>
        <v>NXY87323.1</v>
      </c>
      <c r="D223">
        <v>12038</v>
      </c>
      <c r="E223" t="str">
        <f>HYPERLINK("http://www.ncbi.nlm.nih.gov/Taxonomy/Browser/wwwtax.cgi?mode=Info&amp;id=390723&amp;lvl=3&amp;lin=f&amp;keep=1&amp;srchmode=1&amp;unlock","390723")</f>
        <v>390723</v>
      </c>
      <c r="F223" t="s">
        <v>167</v>
      </c>
      <c r="G223" t="str">
        <f>HYPERLINK("http://www.ncbi.nlm.nih.gov/Taxonomy/Browser/wwwtax.cgi?mode=Info&amp;id=390723&amp;lvl=3&amp;lin=f&amp;keep=1&amp;srchmode=1&amp;unlock","Ceyx cyanopectus")</f>
        <v>Ceyx cyanopectus</v>
      </c>
      <c r="H223" t="s">
        <v>168</v>
      </c>
      <c r="I223" t="str">
        <f>HYPERLINK("http://www.ncbi.nlm.nih.gov/protein/NXY87323.1","FABPL protein")</f>
        <v>FABPL protein</v>
      </c>
      <c r="J223" t="s">
        <v>1386</v>
      </c>
      <c r="K223" t="s">
        <v>25</v>
      </c>
      <c r="L223">
        <v>50</v>
      </c>
      <c r="M223" t="s">
        <v>1379</v>
      </c>
      <c r="N223" t="s">
        <v>25</v>
      </c>
      <c r="O223" t="s">
        <v>1355</v>
      </c>
      <c r="P223" t="s">
        <v>25</v>
      </c>
      <c r="Q223">
        <v>117.148</v>
      </c>
      <c r="R223" t="s">
        <v>25</v>
      </c>
      <c r="S223" t="s">
        <v>25</v>
      </c>
    </row>
    <row r="224" spans="1:19" x14ac:dyDescent="0.25">
      <c r="A224">
        <v>6</v>
      </c>
      <c r="B224" t="s">
        <v>167</v>
      </c>
      <c r="C224" t="str">
        <f>HYPERLINK("http://www.ncbi.nlm.nih.gov/protein/XP_009574418.1","XP_009574418.1")</f>
        <v>XP_009574418.1</v>
      </c>
      <c r="D224">
        <v>28139</v>
      </c>
      <c r="E224" t="str">
        <f>HYPERLINK("http://www.ncbi.nlm.nih.gov/Taxonomy/Browser/wwwtax.cgi?mode=Info&amp;id=30455&amp;lvl=3&amp;lin=f&amp;keep=1&amp;srchmode=1&amp;unlock","30455")</f>
        <v>30455</v>
      </c>
      <c r="F224" t="s">
        <v>167</v>
      </c>
      <c r="G224" t="str">
        <f>HYPERLINK("http://www.ncbi.nlm.nih.gov/Taxonomy/Browser/wwwtax.cgi?mode=Info&amp;id=30455&amp;lvl=3&amp;lin=f&amp;keep=1&amp;srchmode=1&amp;unlock","Fulmarus glacialis")</f>
        <v>Fulmarus glacialis</v>
      </c>
      <c r="H224" t="s">
        <v>171</v>
      </c>
      <c r="I224" t="str">
        <f>HYPERLINK("http://www.ncbi.nlm.nih.gov/protein/XP_009574418.1","PREDICTED: fatty acid-binding protein, liver")</f>
        <v>PREDICTED: fatty acid-binding protein, liver</v>
      </c>
      <c r="J224" t="s">
        <v>1386</v>
      </c>
      <c r="K224" t="s">
        <v>25</v>
      </c>
      <c r="L224">
        <v>50</v>
      </c>
      <c r="M224" t="s">
        <v>1383</v>
      </c>
      <c r="N224" t="s">
        <v>25</v>
      </c>
      <c r="O224" t="s">
        <v>1355</v>
      </c>
      <c r="P224" t="s">
        <v>25</v>
      </c>
      <c r="Q224">
        <v>131.17500000000001</v>
      </c>
      <c r="R224" t="s">
        <v>25</v>
      </c>
      <c r="S224" t="s">
        <v>25</v>
      </c>
    </row>
    <row r="225" spans="1:19" x14ac:dyDescent="0.25">
      <c r="A225">
        <v>6</v>
      </c>
      <c r="B225" t="s">
        <v>167</v>
      </c>
      <c r="C225" t="str">
        <f>HYPERLINK("http://www.ncbi.nlm.nih.gov/protein/NXH75727.1","NXH75727.1")</f>
        <v>NXH75727.1</v>
      </c>
      <c r="D225">
        <v>14052</v>
      </c>
      <c r="E225" t="str">
        <f>HYPERLINK("http://www.ncbi.nlm.nih.gov/Taxonomy/Browser/wwwtax.cgi?mode=Info&amp;id=79633&amp;lvl=3&amp;lin=f&amp;keep=1&amp;srchmode=1&amp;unlock","79633")</f>
        <v>79633</v>
      </c>
      <c r="F225" t="s">
        <v>167</v>
      </c>
      <c r="G225" t="str">
        <f>HYPERLINK("http://www.ncbi.nlm.nih.gov/Taxonomy/Browser/wwwtax.cgi?mode=Info&amp;id=79633&amp;lvl=3&amp;lin=f&amp;keep=1&amp;srchmode=1&amp;unlock","Oceanodroma tethys")</f>
        <v>Oceanodroma tethys</v>
      </c>
      <c r="H225" t="s">
        <v>173</v>
      </c>
      <c r="I225" t="str">
        <f>HYPERLINK("http://www.ncbi.nlm.nih.gov/protein/NXH75727.1","FABPL protein")</f>
        <v>FABPL protein</v>
      </c>
      <c r="J225" t="s">
        <v>1386</v>
      </c>
      <c r="K225" t="s">
        <v>25</v>
      </c>
      <c r="L225">
        <v>50</v>
      </c>
      <c r="M225" t="s">
        <v>1383</v>
      </c>
      <c r="N225" t="s">
        <v>25</v>
      </c>
      <c r="O225" t="s">
        <v>1355</v>
      </c>
      <c r="P225" t="s">
        <v>25</v>
      </c>
      <c r="Q225">
        <v>131.17500000000001</v>
      </c>
      <c r="R225" t="s">
        <v>25</v>
      </c>
      <c r="S225" t="s">
        <v>25</v>
      </c>
    </row>
    <row r="226" spans="1:19" x14ac:dyDescent="0.25">
      <c r="A226">
        <v>6</v>
      </c>
      <c r="B226" t="s">
        <v>167</v>
      </c>
      <c r="C226" t="str">
        <f>HYPERLINK("http://www.ncbi.nlm.nih.gov/protein/XP_009951890.1","XP_009951890.1")</f>
        <v>XP_009951890.1</v>
      </c>
      <c r="D226">
        <v>28808</v>
      </c>
      <c r="E226" t="str">
        <f>HYPERLINK("http://www.ncbi.nlm.nih.gov/Taxonomy/Browser/wwwtax.cgi?mode=Info&amp;id=188344&amp;lvl=3&amp;lin=f&amp;keep=1&amp;srchmode=1&amp;unlock","188344")</f>
        <v>188344</v>
      </c>
      <c r="F226" t="s">
        <v>167</v>
      </c>
      <c r="G226" t="str">
        <f>HYPERLINK("http://www.ncbi.nlm.nih.gov/Taxonomy/Browser/wwwtax.cgi?mode=Info&amp;id=188344&amp;lvl=3&amp;lin=f&amp;keep=1&amp;srchmode=1&amp;unlock","Leptosomus discolor")</f>
        <v>Leptosomus discolor</v>
      </c>
      <c r="H226" t="s">
        <v>174</v>
      </c>
      <c r="I226" t="str">
        <f>HYPERLINK("http://www.ncbi.nlm.nih.gov/protein/XP_009951890.1","PREDICTED: fatty acid-binding protein, liver")</f>
        <v>PREDICTED: fatty acid-binding protein, liver</v>
      </c>
      <c r="J226" t="s">
        <v>1386</v>
      </c>
      <c r="K226" t="s">
        <v>25</v>
      </c>
      <c r="L226">
        <v>50</v>
      </c>
      <c r="M226" t="s">
        <v>1379</v>
      </c>
      <c r="N226" t="s">
        <v>25</v>
      </c>
      <c r="O226" t="s">
        <v>1355</v>
      </c>
      <c r="P226" t="s">
        <v>25</v>
      </c>
      <c r="Q226">
        <v>117.148</v>
      </c>
      <c r="R226" t="s">
        <v>25</v>
      </c>
      <c r="S226" t="s">
        <v>25</v>
      </c>
    </row>
    <row r="227" spans="1:19" x14ac:dyDescent="0.25">
      <c r="A227">
        <v>6</v>
      </c>
      <c r="B227" t="s">
        <v>167</v>
      </c>
      <c r="C227" t="str">
        <f>HYPERLINK("http://www.ncbi.nlm.nih.gov/protein/XP_010128264.1","XP_010128264.1")</f>
        <v>XP_010128264.1</v>
      </c>
      <c r="D227">
        <v>26949</v>
      </c>
      <c r="E227" t="str">
        <f>HYPERLINK("http://www.ncbi.nlm.nih.gov/Taxonomy/Browser/wwwtax.cgi?mode=Info&amp;id=187382&amp;lvl=3&amp;lin=f&amp;keep=1&amp;srchmode=1&amp;unlock","187382")</f>
        <v>187382</v>
      </c>
      <c r="F227" t="s">
        <v>167</v>
      </c>
      <c r="G227" t="str">
        <f>HYPERLINK("http://www.ncbi.nlm.nih.gov/Taxonomy/Browser/wwwtax.cgi?mode=Info&amp;id=187382&amp;lvl=3&amp;lin=f&amp;keep=1&amp;srchmode=1&amp;unlock","Chlamydotis macqueenii")</f>
        <v>Chlamydotis macqueenii</v>
      </c>
      <c r="H227" t="s">
        <v>176</v>
      </c>
      <c r="I227" t="str">
        <f>HYPERLINK("http://www.ncbi.nlm.nih.gov/protein/XP_010128264.1","PREDICTED: fatty acid-binding protein, liver")</f>
        <v>PREDICTED: fatty acid-binding protein, liver</v>
      </c>
      <c r="J227" t="s">
        <v>1386</v>
      </c>
      <c r="K227" t="s">
        <v>25</v>
      </c>
      <c r="L227">
        <v>50</v>
      </c>
      <c r="M227" t="s">
        <v>1383</v>
      </c>
      <c r="N227" t="s">
        <v>25</v>
      </c>
      <c r="O227" t="s">
        <v>1355</v>
      </c>
      <c r="P227" t="s">
        <v>25</v>
      </c>
      <c r="Q227">
        <v>131.17500000000001</v>
      </c>
      <c r="R227" t="s">
        <v>25</v>
      </c>
      <c r="S227" t="s">
        <v>25</v>
      </c>
    </row>
    <row r="228" spans="1:19" x14ac:dyDescent="0.25">
      <c r="A228">
        <v>6</v>
      </c>
      <c r="B228" t="s">
        <v>167</v>
      </c>
      <c r="C228" t="str">
        <f>HYPERLINK("http://www.ncbi.nlm.nih.gov/protein/PKU48683.1","PKU48683.1")</f>
        <v>PKU48683.1</v>
      </c>
      <c r="D228">
        <v>23022</v>
      </c>
      <c r="E228" t="str">
        <f>HYPERLINK("http://www.ncbi.nlm.nih.gov/Taxonomy/Browser/wwwtax.cgi?mode=Info&amp;id=1758121&amp;lvl=3&amp;lin=f&amp;keep=1&amp;srchmode=1&amp;unlock","1758121")</f>
        <v>1758121</v>
      </c>
      <c r="F228" t="s">
        <v>167</v>
      </c>
      <c r="G228" t="str">
        <f>HYPERLINK("http://www.ncbi.nlm.nih.gov/Taxonomy/Browser/wwwtax.cgi?mode=Info&amp;id=1758121&amp;lvl=3&amp;lin=f&amp;keep=1&amp;srchmode=1&amp;unlock","Limosa lapponica baueri")</f>
        <v>Limosa lapponica baueri</v>
      </c>
      <c r="H228" t="s">
        <v>178</v>
      </c>
      <c r="I228" t="str">
        <f>HYPERLINK("http://www.ncbi.nlm.nih.gov/protein/PKU48683.1","fatty acid-binding liver")</f>
        <v>fatty acid-binding liver</v>
      </c>
      <c r="J228" t="s">
        <v>1386</v>
      </c>
      <c r="K228" t="s">
        <v>25</v>
      </c>
      <c r="L228">
        <v>50</v>
      </c>
      <c r="M228" t="s">
        <v>1379</v>
      </c>
      <c r="N228" t="s">
        <v>25</v>
      </c>
      <c r="O228" t="s">
        <v>1355</v>
      </c>
      <c r="P228" t="s">
        <v>25</v>
      </c>
      <c r="Q228">
        <v>117.148</v>
      </c>
      <c r="R228" t="s">
        <v>25</v>
      </c>
      <c r="S228" t="s">
        <v>25</v>
      </c>
    </row>
    <row r="229" spans="1:19" x14ac:dyDescent="0.25">
      <c r="A229">
        <v>6</v>
      </c>
      <c r="B229" t="s">
        <v>167</v>
      </c>
      <c r="C229" t="str">
        <f>HYPERLINK("http://www.ncbi.nlm.nih.gov/protein/NXT31540.1","NXT31540.1")</f>
        <v>NXT31540.1</v>
      </c>
      <c r="D229">
        <v>14805</v>
      </c>
      <c r="E229" t="str">
        <f>HYPERLINK("http://www.ncbi.nlm.nih.gov/Taxonomy/Browser/wwwtax.cgi?mode=Info&amp;id=37079&amp;lvl=3&amp;lin=f&amp;keep=1&amp;srchmode=1&amp;unlock","37079")</f>
        <v>37079</v>
      </c>
      <c r="F229" t="s">
        <v>167</v>
      </c>
      <c r="G229" t="str">
        <f>HYPERLINK("http://www.ncbi.nlm.nih.gov/Taxonomy/Browser/wwwtax.cgi?mode=Info&amp;id=37079&amp;lvl=3&amp;lin=f&amp;keep=1&amp;srchmode=1&amp;unlock","Pelecanoides urinatrix")</f>
        <v>Pelecanoides urinatrix</v>
      </c>
      <c r="H229" t="s">
        <v>179</v>
      </c>
      <c r="I229" t="str">
        <f>HYPERLINK("http://www.ncbi.nlm.nih.gov/protein/NXT31540.1","FABPL protein")</f>
        <v>FABPL protein</v>
      </c>
      <c r="J229" t="s">
        <v>1386</v>
      </c>
      <c r="K229" t="s">
        <v>25</v>
      </c>
      <c r="L229">
        <v>50</v>
      </c>
      <c r="M229" t="s">
        <v>1383</v>
      </c>
      <c r="N229" t="s">
        <v>25</v>
      </c>
      <c r="O229" t="s">
        <v>1355</v>
      </c>
      <c r="P229" t="s">
        <v>25</v>
      </c>
      <c r="Q229">
        <v>131.17500000000001</v>
      </c>
      <c r="R229" t="s">
        <v>25</v>
      </c>
      <c r="S229" t="s">
        <v>25</v>
      </c>
    </row>
    <row r="230" spans="1:19" x14ac:dyDescent="0.25">
      <c r="A230">
        <v>6</v>
      </c>
      <c r="B230" t="s">
        <v>167</v>
      </c>
      <c r="C230" t="str">
        <f>HYPERLINK("http://www.ncbi.nlm.nih.gov/protein/XP_009070303.1","XP_009070303.1")</f>
        <v>XP_009070303.1</v>
      </c>
      <c r="D230">
        <v>28094</v>
      </c>
      <c r="E230" t="str">
        <f>HYPERLINK("http://www.ncbi.nlm.nih.gov/Taxonomy/Browser/wwwtax.cgi?mode=Info&amp;id=57068&amp;lvl=3&amp;lin=f&amp;keep=1&amp;srchmode=1&amp;unlock","57068")</f>
        <v>57068</v>
      </c>
      <c r="F230" t="s">
        <v>167</v>
      </c>
      <c r="G230" t="str">
        <f>HYPERLINK("http://www.ncbi.nlm.nih.gov/Taxonomy/Browser/wwwtax.cgi?mode=Info&amp;id=57068&amp;lvl=3&amp;lin=f&amp;keep=1&amp;srchmode=1&amp;unlock","Acanthisitta chloris")</f>
        <v>Acanthisitta chloris</v>
      </c>
      <c r="H230" t="s">
        <v>180</v>
      </c>
      <c r="I230" t="str">
        <f>HYPERLINK("http://www.ncbi.nlm.nih.gov/protein/XP_009070303.1","PREDICTED: fatty acid-binding protein, liver")</f>
        <v>PREDICTED: fatty acid-binding protein, liver</v>
      </c>
      <c r="J230" t="s">
        <v>1386</v>
      </c>
      <c r="K230" t="s">
        <v>25</v>
      </c>
      <c r="L230">
        <v>50</v>
      </c>
      <c r="M230" t="s">
        <v>1379</v>
      </c>
      <c r="N230" t="s">
        <v>25</v>
      </c>
      <c r="O230" t="s">
        <v>1355</v>
      </c>
      <c r="P230" t="s">
        <v>25</v>
      </c>
      <c r="Q230">
        <v>117.148</v>
      </c>
      <c r="R230" t="s">
        <v>25</v>
      </c>
      <c r="S230" t="s">
        <v>25</v>
      </c>
    </row>
    <row r="231" spans="1:19" x14ac:dyDescent="0.25">
      <c r="A231">
        <v>6</v>
      </c>
      <c r="B231" t="s">
        <v>167</v>
      </c>
      <c r="C231" t="str">
        <f>HYPERLINK("http://www.ncbi.nlm.nih.gov/protein/NXE21427.1","NXE21427.1")</f>
        <v>NXE21427.1</v>
      </c>
      <c r="D231">
        <v>13745</v>
      </c>
      <c r="E231" t="str">
        <f>HYPERLINK("http://www.ncbi.nlm.nih.gov/Taxonomy/Browser/wwwtax.cgi?mode=Info&amp;id=89386&amp;lvl=3&amp;lin=f&amp;keep=1&amp;srchmode=1&amp;unlock","89386")</f>
        <v>89386</v>
      </c>
      <c r="F231" t="s">
        <v>167</v>
      </c>
      <c r="G231" t="str">
        <f>HYPERLINK("http://www.ncbi.nlm.nih.gov/Taxonomy/Browser/wwwtax.cgi?mode=Info&amp;id=89386&amp;lvl=3&amp;lin=f&amp;keep=1&amp;srchmode=1&amp;unlock","Ardeotis kori")</f>
        <v>Ardeotis kori</v>
      </c>
      <c r="H231" t="s">
        <v>182</v>
      </c>
      <c r="I231" t="str">
        <f>HYPERLINK("http://www.ncbi.nlm.nih.gov/protein/NXE21427.1","FABPL protein")</f>
        <v>FABPL protein</v>
      </c>
      <c r="J231" t="s">
        <v>1386</v>
      </c>
      <c r="K231" t="s">
        <v>25</v>
      </c>
      <c r="L231">
        <v>50</v>
      </c>
      <c r="M231" t="s">
        <v>1383</v>
      </c>
      <c r="N231" t="s">
        <v>25</v>
      </c>
      <c r="O231" t="s">
        <v>1355</v>
      </c>
      <c r="P231" t="s">
        <v>25</v>
      </c>
      <c r="Q231">
        <v>131.17500000000001</v>
      </c>
      <c r="R231" t="s">
        <v>25</v>
      </c>
      <c r="S231" t="s">
        <v>25</v>
      </c>
    </row>
    <row r="232" spans="1:19" x14ac:dyDescent="0.25">
      <c r="A232">
        <v>6</v>
      </c>
      <c r="B232" t="s">
        <v>167</v>
      </c>
      <c r="C232" t="str">
        <f>HYPERLINK("http://www.ncbi.nlm.nih.gov/protein/NXY48066.1","NXY48066.1")</f>
        <v>NXY48066.1</v>
      </c>
      <c r="D232">
        <v>12235</v>
      </c>
      <c r="E232" t="str">
        <f>HYPERLINK("http://www.ncbi.nlm.nih.gov/Taxonomy/Browser/wwwtax.cgi?mode=Info&amp;id=1961834&amp;lvl=3&amp;lin=f&amp;keep=1&amp;srchmode=1&amp;unlock","1961834")</f>
        <v>1961834</v>
      </c>
      <c r="F232" t="s">
        <v>167</v>
      </c>
      <c r="G232" t="str">
        <f>HYPERLINK("http://www.ncbi.nlm.nih.gov/Taxonomy/Browser/wwwtax.cgi?mode=Info&amp;id=1961834&amp;lvl=3&amp;lin=f&amp;keep=1&amp;srchmode=1&amp;unlock","Ceuthmochares aereus")</f>
        <v>Ceuthmochares aereus</v>
      </c>
      <c r="H232" t="s">
        <v>184</v>
      </c>
      <c r="I232" t="str">
        <f>HYPERLINK("http://www.ncbi.nlm.nih.gov/protein/NXY48066.1","FABPL protein")</f>
        <v>FABPL protein</v>
      </c>
      <c r="J232" t="s">
        <v>1386</v>
      </c>
      <c r="K232" t="s">
        <v>25</v>
      </c>
      <c r="L232">
        <v>50</v>
      </c>
      <c r="M232" t="s">
        <v>1379</v>
      </c>
      <c r="N232" t="s">
        <v>25</v>
      </c>
      <c r="O232" t="s">
        <v>1355</v>
      </c>
      <c r="P232" t="s">
        <v>25</v>
      </c>
      <c r="Q232">
        <v>117.148</v>
      </c>
      <c r="R232" t="s">
        <v>25</v>
      </c>
      <c r="S232" t="s">
        <v>25</v>
      </c>
    </row>
    <row r="233" spans="1:19" x14ac:dyDescent="0.25">
      <c r="A233">
        <v>6</v>
      </c>
      <c r="B233" t="s">
        <v>167</v>
      </c>
      <c r="C233" t="str">
        <f>HYPERLINK("http://www.ncbi.nlm.nih.gov/protein/NXA27554.1","NXA27554.1")</f>
        <v>NXA27554.1</v>
      </c>
      <c r="D233">
        <v>13860</v>
      </c>
      <c r="E233" t="str">
        <f>HYPERLINK("http://www.ncbi.nlm.nih.gov/Taxonomy/Browser/wwwtax.cgi?mode=Info&amp;id=425643&amp;lvl=3&amp;lin=f&amp;keep=1&amp;srchmode=1&amp;unlock","425643")</f>
        <v>425643</v>
      </c>
      <c r="F233" t="s">
        <v>167</v>
      </c>
      <c r="G233" t="str">
        <f>HYPERLINK("http://www.ncbi.nlm.nih.gov/Taxonomy/Browser/wwwtax.cgi?mode=Info&amp;id=425643&amp;lvl=3&amp;lin=f&amp;keep=1&amp;srchmode=1&amp;unlock","Ibidorhyncha struthersii")</f>
        <v>Ibidorhyncha struthersii</v>
      </c>
      <c r="H233" t="s">
        <v>185</v>
      </c>
      <c r="I233" t="str">
        <f>HYPERLINK("http://www.ncbi.nlm.nih.gov/protein/NXA27554.1","FABPL protein")</f>
        <v>FABPL protein</v>
      </c>
      <c r="J233" t="s">
        <v>1386</v>
      </c>
      <c r="K233" t="s">
        <v>25</v>
      </c>
      <c r="L233">
        <v>50</v>
      </c>
      <c r="M233" t="s">
        <v>1383</v>
      </c>
      <c r="N233" t="s">
        <v>25</v>
      </c>
      <c r="O233" t="s">
        <v>1355</v>
      </c>
      <c r="P233" t="s">
        <v>25</v>
      </c>
      <c r="Q233">
        <v>131.17500000000001</v>
      </c>
      <c r="R233" t="s">
        <v>25</v>
      </c>
      <c r="S233" t="s">
        <v>25</v>
      </c>
    </row>
    <row r="234" spans="1:19" x14ac:dyDescent="0.25">
      <c r="A234">
        <v>6</v>
      </c>
      <c r="B234" t="s">
        <v>167</v>
      </c>
      <c r="C234" t="str">
        <f>HYPERLINK("http://www.ncbi.nlm.nih.gov/protein/NXK25795.1","NXK25795.1")</f>
        <v>NXK25795.1</v>
      </c>
      <c r="D234">
        <v>13971</v>
      </c>
      <c r="E234" t="str">
        <f>HYPERLINK("http://www.ncbi.nlm.nih.gov/Taxonomy/Browser/wwwtax.cgi?mode=Info&amp;id=54971&amp;lvl=3&amp;lin=f&amp;keep=1&amp;srchmode=1&amp;unlock","54971")</f>
        <v>54971</v>
      </c>
      <c r="F234" t="s">
        <v>167</v>
      </c>
      <c r="G234" t="str">
        <f>HYPERLINK("http://www.ncbi.nlm.nih.gov/Taxonomy/Browser/wwwtax.cgi?mode=Info&amp;id=54971&amp;lvl=3&amp;lin=f&amp;keep=1&amp;srchmode=1&amp;unlock","Arenaria interpres")</f>
        <v>Arenaria interpres</v>
      </c>
      <c r="H234" t="s">
        <v>187</v>
      </c>
      <c r="I234" t="str">
        <f>HYPERLINK("http://www.ncbi.nlm.nih.gov/protein/NXK25795.1","FABPL protein")</f>
        <v>FABPL protein</v>
      </c>
      <c r="J234" t="s">
        <v>1386</v>
      </c>
      <c r="K234" t="s">
        <v>25</v>
      </c>
      <c r="L234">
        <v>50</v>
      </c>
      <c r="M234" t="s">
        <v>1379</v>
      </c>
      <c r="N234" t="s">
        <v>25</v>
      </c>
      <c r="O234" t="s">
        <v>1355</v>
      </c>
      <c r="P234" t="s">
        <v>25</v>
      </c>
      <c r="Q234">
        <v>117.148</v>
      </c>
      <c r="R234" t="s">
        <v>25</v>
      </c>
      <c r="S234" t="s">
        <v>25</v>
      </c>
    </row>
    <row r="235" spans="1:19" x14ac:dyDescent="0.25">
      <c r="A235">
        <v>6</v>
      </c>
      <c r="B235" t="s">
        <v>167</v>
      </c>
      <c r="C235" t="str">
        <f>HYPERLINK("http://www.ncbi.nlm.nih.gov/protein/NXV84972.1","NXV84972.1")</f>
        <v>NXV84972.1</v>
      </c>
      <c r="D235">
        <v>14439</v>
      </c>
      <c r="E235" t="str">
        <f>HYPERLINK("http://www.ncbi.nlm.nih.gov/Taxonomy/Browser/wwwtax.cgi?mode=Info&amp;id=1323832&amp;lvl=3&amp;lin=f&amp;keep=1&amp;srchmode=1&amp;unlock","1323832")</f>
        <v>1323832</v>
      </c>
      <c r="F235" t="s">
        <v>167</v>
      </c>
      <c r="G235" t="str">
        <f>HYPERLINK("http://www.ncbi.nlm.nih.gov/Taxonomy/Browser/wwwtax.cgi?mode=Info&amp;id=1323832&amp;lvl=3&amp;lin=f&amp;keep=1&amp;srchmode=1&amp;unlock","Calonectris borealis")</f>
        <v>Calonectris borealis</v>
      </c>
      <c r="H235" t="s">
        <v>186</v>
      </c>
      <c r="I235" t="str">
        <f>HYPERLINK("http://www.ncbi.nlm.nih.gov/protein/NXV84972.1","FABPL protein")</f>
        <v>FABPL protein</v>
      </c>
      <c r="J235" t="s">
        <v>1386</v>
      </c>
      <c r="K235" t="s">
        <v>25</v>
      </c>
      <c r="L235">
        <v>50</v>
      </c>
      <c r="M235" t="s">
        <v>1383</v>
      </c>
      <c r="N235" t="s">
        <v>25</v>
      </c>
      <c r="O235" t="s">
        <v>1355</v>
      </c>
      <c r="P235" t="s">
        <v>25</v>
      </c>
      <c r="Q235">
        <v>131.17500000000001</v>
      </c>
      <c r="R235" t="s">
        <v>25</v>
      </c>
      <c r="S235" t="s">
        <v>25</v>
      </c>
    </row>
    <row r="236" spans="1:19" x14ac:dyDescent="0.25">
      <c r="A236">
        <v>6</v>
      </c>
      <c r="B236" t="s">
        <v>167</v>
      </c>
      <c r="C236" t="str">
        <f>HYPERLINK("http://www.ncbi.nlm.nih.gov/protein/NXW09264.1","NXW09264.1")</f>
        <v>NXW09264.1</v>
      </c>
      <c r="D236">
        <v>13534</v>
      </c>
      <c r="E236" t="str">
        <f>HYPERLINK("http://www.ncbi.nlm.nih.gov/Taxonomy/Browser/wwwtax.cgi?mode=Info&amp;id=79628&amp;lvl=3&amp;lin=f&amp;keep=1&amp;srchmode=1&amp;unlock","79628")</f>
        <v>79628</v>
      </c>
      <c r="F236" t="s">
        <v>167</v>
      </c>
      <c r="G236" t="str">
        <f>HYPERLINK("http://www.ncbi.nlm.nih.gov/Taxonomy/Browser/wwwtax.cgi?mode=Info&amp;id=79628&amp;lvl=3&amp;lin=f&amp;keep=1&amp;srchmode=1&amp;unlock","Fregetta grallaria")</f>
        <v>Fregetta grallaria</v>
      </c>
      <c r="H236" t="s">
        <v>189</v>
      </c>
      <c r="I236" t="str">
        <f>HYPERLINK("http://www.ncbi.nlm.nih.gov/protein/NXW09264.1","FABPL protein")</f>
        <v>FABPL protein</v>
      </c>
      <c r="J236" t="s">
        <v>1386</v>
      </c>
      <c r="K236" t="s">
        <v>25</v>
      </c>
      <c r="L236">
        <v>50</v>
      </c>
      <c r="M236" t="s">
        <v>1383</v>
      </c>
      <c r="N236" t="s">
        <v>25</v>
      </c>
      <c r="O236" t="s">
        <v>1355</v>
      </c>
      <c r="P236" t="s">
        <v>25</v>
      </c>
      <c r="Q236">
        <v>131.17500000000001</v>
      </c>
      <c r="R236" t="s">
        <v>25</v>
      </c>
      <c r="S236" t="s">
        <v>25</v>
      </c>
    </row>
    <row r="237" spans="1:19" x14ac:dyDescent="0.25">
      <c r="A237">
        <v>6</v>
      </c>
      <c r="B237" t="s">
        <v>167</v>
      </c>
      <c r="C237" t="str">
        <f>HYPERLINK("http://www.ncbi.nlm.nih.gov/protein/XP_009816925.1","XP_009816925.1")</f>
        <v>XP_009816925.1</v>
      </c>
      <c r="D237">
        <v>26695</v>
      </c>
      <c r="E237" t="str">
        <f>HYPERLINK("http://www.ncbi.nlm.nih.gov/Taxonomy/Browser/wwwtax.cgi?mode=Info&amp;id=37040&amp;lvl=3&amp;lin=f&amp;keep=1&amp;srchmode=1&amp;unlock","37040")</f>
        <v>37040</v>
      </c>
      <c r="F237" t="s">
        <v>167</v>
      </c>
      <c r="G237" t="str">
        <f>HYPERLINK("http://www.ncbi.nlm.nih.gov/Taxonomy/Browser/wwwtax.cgi?mode=Info&amp;id=37040&amp;lvl=3&amp;lin=f&amp;keep=1&amp;srchmode=1&amp;unlock","Gavia stellata")</f>
        <v>Gavia stellata</v>
      </c>
      <c r="H237" t="s">
        <v>191</v>
      </c>
      <c r="I237" t="str">
        <f>HYPERLINK("http://www.ncbi.nlm.nih.gov/protein/XP_009816925.1","PREDICTED: fatty acid-binding protein, liver")</f>
        <v>PREDICTED: fatty acid-binding protein, liver</v>
      </c>
      <c r="J237" t="s">
        <v>1386</v>
      </c>
      <c r="K237" t="s">
        <v>25</v>
      </c>
      <c r="L237">
        <v>50</v>
      </c>
      <c r="M237" t="s">
        <v>1379</v>
      </c>
      <c r="N237" t="s">
        <v>25</v>
      </c>
      <c r="O237" t="s">
        <v>1355</v>
      </c>
      <c r="P237" t="s">
        <v>25</v>
      </c>
      <c r="Q237">
        <v>117.148</v>
      </c>
      <c r="R237" t="s">
        <v>25</v>
      </c>
      <c r="S237" t="s">
        <v>25</v>
      </c>
    </row>
    <row r="238" spans="1:19" x14ac:dyDescent="0.25">
      <c r="A238">
        <v>6</v>
      </c>
      <c r="B238" t="s">
        <v>167</v>
      </c>
      <c r="C238" t="str">
        <f>HYPERLINK("http://www.ncbi.nlm.nih.gov/protein/NXH20583.1","NXH20583.1")</f>
        <v>NXH20583.1</v>
      </c>
      <c r="D238">
        <v>14440</v>
      </c>
      <c r="E238" t="str">
        <f>HYPERLINK("http://www.ncbi.nlm.nih.gov/Taxonomy/Browser/wwwtax.cgi?mode=Info&amp;id=135168&amp;lvl=3&amp;lin=f&amp;keep=1&amp;srchmode=1&amp;unlock","135168")</f>
        <v>135168</v>
      </c>
      <c r="F238" t="s">
        <v>167</v>
      </c>
      <c r="G238" t="str">
        <f>HYPERLINK("http://www.ncbi.nlm.nih.gov/Taxonomy/Browser/wwwtax.cgi?mode=Info&amp;id=135168&amp;lvl=3&amp;lin=f&amp;keep=1&amp;srchmode=1&amp;unlock","Bucco capensis")</f>
        <v>Bucco capensis</v>
      </c>
      <c r="H238" t="s">
        <v>192</v>
      </c>
      <c r="I238" t="str">
        <f>HYPERLINK("http://www.ncbi.nlm.nih.gov/protein/NXH20583.1","FABPL protein")</f>
        <v>FABPL protein</v>
      </c>
      <c r="J238" t="s">
        <v>1386</v>
      </c>
      <c r="K238" t="s">
        <v>25</v>
      </c>
      <c r="L238">
        <v>50</v>
      </c>
      <c r="M238" t="s">
        <v>1379</v>
      </c>
      <c r="N238" t="s">
        <v>25</v>
      </c>
      <c r="O238" t="s">
        <v>1355</v>
      </c>
      <c r="P238" t="s">
        <v>25</v>
      </c>
      <c r="Q238">
        <v>117.148</v>
      </c>
      <c r="R238" t="s">
        <v>25</v>
      </c>
      <c r="S238" t="s">
        <v>25</v>
      </c>
    </row>
    <row r="239" spans="1:19" x14ac:dyDescent="0.25">
      <c r="A239">
        <v>6</v>
      </c>
      <c r="B239" t="s">
        <v>167</v>
      </c>
      <c r="C239" t="str">
        <f>HYPERLINK("http://www.ncbi.nlm.nih.gov/protein/NXX50165.1","NXX50165.1")</f>
        <v>NXX50165.1</v>
      </c>
      <c r="D239">
        <v>14338</v>
      </c>
      <c r="E239" t="str">
        <f>HYPERLINK("http://www.ncbi.nlm.nih.gov/Taxonomy/Browser/wwwtax.cgi?mode=Info&amp;id=240729&amp;lvl=3&amp;lin=f&amp;keep=1&amp;srchmode=1&amp;unlock","240729")</f>
        <v>240729</v>
      </c>
      <c r="F239" t="s">
        <v>167</v>
      </c>
      <c r="G239" t="str">
        <f>HYPERLINK("http://www.ncbi.nlm.nih.gov/Taxonomy/Browser/wwwtax.cgi?mode=Info&amp;id=240729&amp;lvl=3&amp;lin=f&amp;keep=1&amp;srchmode=1&amp;unlock","Tricholaema leucomelas")</f>
        <v>Tricholaema leucomelas</v>
      </c>
      <c r="H239" t="s">
        <v>193</v>
      </c>
      <c r="I239" t="str">
        <f>HYPERLINK("http://www.ncbi.nlm.nih.gov/protein/NXX50165.1","FABPL protein")</f>
        <v>FABPL protein</v>
      </c>
      <c r="J239" t="s">
        <v>1386</v>
      </c>
      <c r="K239" t="s">
        <v>20</v>
      </c>
      <c r="L239">
        <v>50</v>
      </c>
      <c r="M239" t="s">
        <v>1380</v>
      </c>
      <c r="N239" t="s">
        <v>20</v>
      </c>
      <c r="O239" t="s">
        <v>1394</v>
      </c>
      <c r="P239" t="s">
        <v>20</v>
      </c>
      <c r="Q239">
        <v>165.19200000000001</v>
      </c>
      <c r="R239" t="s">
        <v>20</v>
      </c>
      <c r="S239" t="s">
        <v>20</v>
      </c>
    </row>
    <row r="240" spans="1:19" x14ac:dyDescent="0.25">
      <c r="A240">
        <v>6</v>
      </c>
      <c r="B240" t="s">
        <v>167</v>
      </c>
      <c r="C240" t="str">
        <f>HYPERLINK("http://www.ncbi.nlm.nih.gov/protein/NXA54322.1","NXA54322.1")</f>
        <v>NXA54322.1</v>
      </c>
      <c r="D240">
        <v>13387</v>
      </c>
      <c r="E240" t="str">
        <f>HYPERLINK("http://www.ncbi.nlm.nih.gov/Taxonomy/Browser/wwwtax.cgi?mode=Info&amp;id=2585813&amp;lvl=3&amp;lin=f&amp;keep=1&amp;srchmode=1&amp;unlock","2585813")</f>
        <v>2585813</v>
      </c>
      <c r="F240" t="s">
        <v>167</v>
      </c>
      <c r="G240" t="str">
        <f>HYPERLINK("http://www.ncbi.nlm.nih.gov/Taxonomy/Browser/wwwtax.cgi?mode=Info&amp;id=2585813&amp;lvl=3&amp;lin=f&amp;keep=1&amp;srchmode=1&amp;unlock","Nothocercus julius")</f>
        <v>Nothocercus julius</v>
      </c>
      <c r="H240" t="s">
        <v>196</v>
      </c>
      <c r="I240" t="str">
        <f>HYPERLINK("http://www.ncbi.nlm.nih.gov/protein/NXA54322.1","FABPL protein")</f>
        <v>FABPL protein</v>
      </c>
      <c r="J240" t="s">
        <v>1386</v>
      </c>
      <c r="K240" t="s">
        <v>25</v>
      </c>
      <c r="L240">
        <v>50</v>
      </c>
      <c r="M240" t="s">
        <v>1383</v>
      </c>
      <c r="N240" t="s">
        <v>25</v>
      </c>
      <c r="O240" t="s">
        <v>1355</v>
      </c>
      <c r="P240" t="s">
        <v>25</v>
      </c>
      <c r="Q240">
        <v>131.17500000000001</v>
      </c>
      <c r="R240" t="s">
        <v>25</v>
      </c>
      <c r="S240" t="s">
        <v>25</v>
      </c>
    </row>
    <row r="241" spans="1:19" x14ac:dyDescent="0.25">
      <c r="A241">
        <v>6</v>
      </c>
      <c r="B241" t="s">
        <v>167</v>
      </c>
      <c r="C241" t="str">
        <f>HYPERLINK("http://www.ncbi.nlm.nih.gov/protein/XP_010182339.1","XP_010182339.1")</f>
        <v>XP_010182339.1</v>
      </c>
      <c r="D241">
        <v>29408</v>
      </c>
      <c r="E241" t="str">
        <f>HYPERLINK("http://www.ncbi.nlm.nih.gov/Taxonomy/Browser/wwwtax.cgi?mode=Info&amp;id=54374&amp;lvl=3&amp;lin=f&amp;keep=1&amp;srchmode=1&amp;unlock","54374")</f>
        <v>54374</v>
      </c>
      <c r="F241" t="s">
        <v>167</v>
      </c>
      <c r="G241" t="str">
        <f>HYPERLINK("http://www.ncbi.nlm.nih.gov/Taxonomy/Browser/wwwtax.cgi?mode=Info&amp;id=54374&amp;lvl=3&amp;lin=f&amp;keep=1&amp;srchmode=1&amp;unlock","Mesitornis unicolor")</f>
        <v>Mesitornis unicolor</v>
      </c>
      <c r="H241" t="s">
        <v>197</v>
      </c>
      <c r="I241" t="str">
        <f>HYPERLINK("http://www.ncbi.nlm.nih.gov/protein/XP_010182339.1","PREDICTED: fatty acid-binding protein, liver")</f>
        <v>PREDICTED: fatty acid-binding protein, liver</v>
      </c>
      <c r="J241" t="s">
        <v>1386</v>
      </c>
      <c r="K241" t="s">
        <v>25</v>
      </c>
      <c r="L241">
        <v>50</v>
      </c>
      <c r="M241" t="s">
        <v>1383</v>
      </c>
      <c r="N241" t="s">
        <v>25</v>
      </c>
      <c r="O241" t="s">
        <v>1355</v>
      </c>
      <c r="P241" t="s">
        <v>25</v>
      </c>
      <c r="Q241">
        <v>131.17500000000001</v>
      </c>
      <c r="R241" t="s">
        <v>25</v>
      </c>
      <c r="S241" t="s">
        <v>25</v>
      </c>
    </row>
    <row r="242" spans="1:19" x14ac:dyDescent="0.25">
      <c r="A242">
        <v>6</v>
      </c>
      <c r="B242" t="s">
        <v>167</v>
      </c>
      <c r="C242" t="str">
        <f>HYPERLINK("http://www.ncbi.nlm.nih.gov/protein/XP_010145683.1","XP_010145683.1")</f>
        <v>XP_010145683.1</v>
      </c>
      <c r="D242">
        <v>27322</v>
      </c>
      <c r="E242" t="str">
        <f>HYPERLINK("http://www.ncbi.nlm.nih.gov/Taxonomy/Browser/wwwtax.cgi?mode=Info&amp;id=54383&amp;lvl=3&amp;lin=f&amp;keep=1&amp;srchmode=1&amp;unlock","54383")</f>
        <v>54383</v>
      </c>
      <c r="F242" t="s">
        <v>167</v>
      </c>
      <c r="G242" t="str">
        <f>HYPERLINK("http://www.ncbi.nlm.nih.gov/Taxonomy/Browser/wwwtax.cgi?mode=Info&amp;id=54383&amp;lvl=3&amp;lin=f&amp;keep=1&amp;srchmode=1&amp;unlock","Eurypyga helias")</f>
        <v>Eurypyga helias</v>
      </c>
      <c r="H242" t="s">
        <v>198</v>
      </c>
      <c r="I242" t="str">
        <f>HYPERLINK("http://www.ncbi.nlm.nih.gov/protein/XP_010145683.1","PREDICTED: fatty acid-binding protein, liver")</f>
        <v>PREDICTED: fatty acid-binding protein, liver</v>
      </c>
      <c r="J242" t="s">
        <v>1386</v>
      </c>
      <c r="K242" t="s">
        <v>25</v>
      </c>
      <c r="L242">
        <v>50</v>
      </c>
      <c r="M242" t="s">
        <v>1383</v>
      </c>
      <c r="N242" t="s">
        <v>25</v>
      </c>
      <c r="O242" t="s">
        <v>1355</v>
      </c>
      <c r="P242" t="s">
        <v>25</v>
      </c>
      <c r="Q242">
        <v>131.17500000000001</v>
      </c>
      <c r="R242" t="s">
        <v>25</v>
      </c>
      <c r="S242" t="s">
        <v>25</v>
      </c>
    </row>
    <row r="243" spans="1:19" x14ac:dyDescent="0.25">
      <c r="A243">
        <v>6</v>
      </c>
      <c r="B243" t="s">
        <v>167</v>
      </c>
      <c r="C243" t="str">
        <f>HYPERLINK("http://www.ncbi.nlm.nih.gov/protein/NXE83675.1","NXE83675.1")</f>
        <v>NXE83675.1</v>
      </c>
      <c r="D243">
        <v>14098</v>
      </c>
      <c r="E243" t="str">
        <f>HYPERLINK("http://www.ncbi.nlm.nih.gov/Taxonomy/Browser/wwwtax.cgi?mode=Info&amp;id=110676&amp;lvl=3&amp;lin=f&amp;keep=1&amp;srchmode=1&amp;unlock","110676")</f>
        <v>110676</v>
      </c>
      <c r="F243" t="s">
        <v>167</v>
      </c>
      <c r="G243" t="str">
        <f>HYPERLINK("http://www.ncbi.nlm.nih.gov/Taxonomy/Browser/wwwtax.cgi?mode=Info&amp;id=110676&amp;lvl=3&amp;lin=f&amp;keep=1&amp;srchmode=1&amp;unlock","Cochlearius cochlearius")</f>
        <v>Cochlearius cochlearius</v>
      </c>
      <c r="H243" t="s">
        <v>199</v>
      </c>
      <c r="I243" t="str">
        <f>HYPERLINK("http://www.ncbi.nlm.nih.gov/protein/NXE83675.1","FABPL protein")</f>
        <v>FABPL protein</v>
      </c>
      <c r="J243" t="s">
        <v>1386</v>
      </c>
      <c r="K243" t="s">
        <v>25</v>
      </c>
      <c r="L243">
        <v>50</v>
      </c>
      <c r="M243" t="s">
        <v>1383</v>
      </c>
      <c r="N243" t="s">
        <v>25</v>
      </c>
      <c r="O243" t="s">
        <v>1355</v>
      </c>
      <c r="P243" t="s">
        <v>25</v>
      </c>
      <c r="Q243">
        <v>131.17500000000001</v>
      </c>
      <c r="R243" t="s">
        <v>25</v>
      </c>
      <c r="S243" t="s">
        <v>25</v>
      </c>
    </row>
    <row r="244" spans="1:19" x14ac:dyDescent="0.25">
      <c r="A244">
        <v>6</v>
      </c>
      <c r="B244" t="s">
        <v>167</v>
      </c>
      <c r="C244" t="str">
        <f>HYPERLINK("http://www.ncbi.nlm.nih.gov/protein/XP_009287675.1","XP_009287675.1")</f>
        <v>XP_009287675.1</v>
      </c>
      <c r="D244">
        <v>32672</v>
      </c>
      <c r="E244" t="str">
        <f>HYPERLINK("http://www.ncbi.nlm.nih.gov/Taxonomy/Browser/wwwtax.cgi?mode=Info&amp;id=9233&amp;lvl=3&amp;lin=f&amp;keep=1&amp;srchmode=1&amp;unlock","9233")</f>
        <v>9233</v>
      </c>
      <c r="F244" t="s">
        <v>167</v>
      </c>
      <c r="G244" t="str">
        <f>HYPERLINK("http://www.ncbi.nlm.nih.gov/Taxonomy/Browser/wwwtax.cgi?mode=Info&amp;id=9233&amp;lvl=3&amp;lin=f&amp;keep=1&amp;srchmode=1&amp;unlock","Aptenodytes forsteri")</f>
        <v>Aptenodytes forsteri</v>
      </c>
      <c r="H244" t="s">
        <v>194</v>
      </c>
      <c r="I244" t="str">
        <f>HYPERLINK("http://www.ncbi.nlm.nih.gov/protein/XP_009287675.1","PREDICTED: fatty acid-binding protein, liver")</f>
        <v>PREDICTED: fatty acid-binding protein, liver</v>
      </c>
      <c r="J244" t="s">
        <v>1386</v>
      </c>
      <c r="K244" t="s">
        <v>25</v>
      </c>
      <c r="L244">
        <v>50</v>
      </c>
      <c r="M244" t="s">
        <v>1383</v>
      </c>
      <c r="N244" t="s">
        <v>25</v>
      </c>
      <c r="O244" t="s">
        <v>1355</v>
      </c>
      <c r="P244" t="s">
        <v>25</v>
      </c>
      <c r="Q244">
        <v>131.17500000000001</v>
      </c>
      <c r="R244" t="s">
        <v>25</v>
      </c>
      <c r="S244" t="s">
        <v>25</v>
      </c>
    </row>
    <row r="245" spans="1:19" x14ac:dyDescent="0.25">
      <c r="A245">
        <v>6</v>
      </c>
      <c r="B245" t="s">
        <v>167</v>
      </c>
      <c r="C245" t="str">
        <f>HYPERLINK("http://www.ncbi.nlm.nih.gov/protein/NXT53195.1","NXT53195.1")</f>
        <v>NXT53195.1</v>
      </c>
      <c r="D245">
        <v>14341</v>
      </c>
      <c r="E245" t="str">
        <f>HYPERLINK("http://www.ncbi.nlm.nih.gov/Taxonomy/Browser/wwwtax.cgi?mode=Info&amp;id=227228&amp;lvl=3&amp;lin=f&amp;keep=1&amp;srchmode=1&amp;unlock","227228")</f>
        <v>227228</v>
      </c>
      <c r="F245" t="s">
        <v>167</v>
      </c>
      <c r="G245" t="str">
        <f>HYPERLINK("http://www.ncbi.nlm.nih.gov/Taxonomy/Browser/wwwtax.cgi?mode=Info&amp;id=227228&amp;lvl=3&amp;lin=f&amp;keep=1&amp;srchmode=1&amp;unlock","Pluvianellus socialis")</f>
        <v>Pluvianellus socialis</v>
      </c>
      <c r="H245" t="s">
        <v>205</v>
      </c>
      <c r="I245" t="str">
        <f>HYPERLINK("http://www.ncbi.nlm.nih.gov/protein/NXT53195.1","FABPL protein")</f>
        <v>FABPL protein</v>
      </c>
      <c r="J245" t="s">
        <v>1386</v>
      </c>
      <c r="K245" t="s">
        <v>25</v>
      </c>
      <c r="L245">
        <v>50</v>
      </c>
      <c r="M245" t="s">
        <v>1383</v>
      </c>
      <c r="N245" t="s">
        <v>25</v>
      </c>
      <c r="O245" t="s">
        <v>1355</v>
      </c>
      <c r="P245" t="s">
        <v>25</v>
      </c>
      <c r="Q245">
        <v>131.17500000000001</v>
      </c>
      <c r="R245" t="s">
        <v>25</v>
      </c>
      <c r="S245" t="s">
        <v>25</v>
      </c>
    </row>
    <row r="246" spans="1:19" x14ac:dyDescent="0.25">
      <c r="A246">
        <v>6</v>
      </c>
      <c r="B246" t="s">
        <v>167</v>
      </c>
      <c r="C246" t="str">
        <f>HYPERLINK("http://www.ncbi.nlm.nih.gov/protein/NXF03300.1","NXF03300.1")</f>
        <v>NXF03300.1</v>
      </c>
      <c r="D246">
        <v>13858</v>
      </c>
      <c r="E246" t="str">
        <f>HYPERLINK("http://www.ncbi.nlm.nih.gov/Taxonomy/Browser/wwwtax.cgi?mode=Info&amp;id=363769&amp;lvl=3&amp;lin=f&amp;keep=1&amp;srchmode=1&amp;unlock","363769")</f>
        <v>363769</v>
      </c>
      <c r="F246" t="s">
        <v>167</v>
      </c>
      <c r="G246" t="str">
        <f>HYPERLINK("http://www.ncbi.nlm.nih.gov/Taxonomy/Browser/wwwtax.cgi?mode=Info&amp;id=363769&amp;lvl=3&amp;lin=f&amp;keep=1&amp;srchmode=1&amp;unlock","Smithornis capensis")</f>
        <v>Smithornis capensis</v>
      </c>
      <c r="H246" t="s">
        <v>206</v>
      </c>
      <c r="I246" t="str">
        <f>HYPERLINK("http://www.ncbi.nlm.nih.gov/protein/NXF03300.1","FABPL protein")</f>
        <v>FABPL protein</v>
      </c>
      <c r="J246" t="s">
        <v>1386</v>
      </c>
      <c r="K246" t="s">
        <v>25</v>
      </c>
      <c r="L246">
        <v>50</v>
      </c>
      <c r="M246" t="s">
        <v>1383</v>
      </c>
      <c r="N246" t="s">
        <v>25</v>
      </c>
      <c r="O246" t="s">
        <v>1355</v>
      </c>
      <c r="P246" t="s">
        <v>25</v>
      </c>
      <c r="Q246">
        <v>131.17500000000001</v>
      </c>
      <c r="R246" t="s">
        <v>25</v>
      </c>
      <c r="S246" t="s">
        <v>25</v>
      </c>
    </row>
    <row r="247" spans="1:19" x14ac:dyDescent="0.25">
      <c r="A247">
        <v>6</v>
      </c>
      <c r="B247" t="s">
        <v>167</v>
      </c>
      <c r="C247" t="str">
        <f>HYPERLINK("http://www.ncbi.nlm.nih.gov/protein/KFP50005.1","KFP50005.1")</f>
        <v>KFP50005.1</v>
      </c>
      <c r="D247">
        <v>11460</v>
      </c>
      <c r="E247" t="str">
        <f>HYPERLINK("http://www.ncbi.nlm.nih.gov/Taxonomy/Browser/wwwtax.cgi?mode=Info&amp;id=43455&amp;lvl=3&amp;lin=f&amp;keep=1&amp;srchmode=1&amp;unlock","43455")</f>
        <v>43455</v>
      </c>
      <c r="F247" t="s">
        <v>167</v>
      </c>
      <c r="G247" t="str">
        <f>HYPERLINK("http://www.ncbi.nlm.nih.gov/Taxonomy/Browser/wwwtax.cgi?mode=Info&amp;id=43455&amp;lvl=3&amp;lin=f&amp;keep=1&amp;srchmode=1&amp;unlock","Cathartes aura")</f>
        <v>Cathartes aura</v>
      </c>
      <c r="H247" t="s">
        <v>207</v>
      </c>
      <c r="I247" t="str">
        <f>HYPERLINK("http://www.ncbi.nlm.nih.gov/protein/KFP50005.1","Fatty acid-binding protein, liver")</f>
        <v>Fatty acid-binding protein, liver</v>
      </c>
      <c r="J247" t="s">
        <v>1386</v>
      </c>
      <c r="K247" t="s">
        <v>25</v>
      </c>
      <c r="L247">
        <v>50</v>
      </c>
      <c r="M247" t="s">
        <v>1383</v>
      </c>
      <c r="N247" t="s">
        <v>25</v>
      </c>
      <c r="O247" t="s">
        <v>1355</v>
      </c>
      <c r="P247" t="s">
        <v>25</v>
      </c>
      <c r="Q247">
        <v>131.17500000000001</v>
      </c>
      <c r="R247" t="s">
        <v>25</v>
      </c>
      <c r="S247" t="s">
        <v>25</v>
      </c>
    </row>
    <row r="248" spans="1:19" x14ac:dyDescent="0.25">
      <c r="A248">
        <v>6</v>
      </c>
      <c r="B248" t="s">
        <v>167</v>
      </c>
      <c r="C248" t="str">
        <f>HYPERLINK("http://www.ncbi.nlm.nih.gov/protein/NXG87060.1","NXG87060.1")</f>
        <v>NXG87060.1</v>
      </c>
      <c r="D248">
        <v>13947</v>
      </c>
      <c r="E248" t="str">
        <f>HYPERLINK("http://www.ncbi.nlm.nih.gov/Taxonomy/Browser/wwwtax.cgi?mode=Info&amp;id=54059&amp;lvl=3&amp;lin=f&amp;keep=1&amp;srchmode=1&amp;unlock","54059")</f>
        <v>54059</v>
      </c>
      <c r="F248" t="s">
        <v>167</v>
      </c>
      <c r="G248" t="str">
        <f>HYPERLINK("http://www.ncbi.nlm.nih.gov/Taxonomy/Browser/wwwtax.cgi?mode=Info&amp;id=54059&amp;lvl=3&amp;lin=f&amp;keep=1&amp;srchmode=1&amp;unlock","Stercorarius parasiticus")</f>
        <v>Stercorarius parasiticus</v>
      </c>
      <c r="H248" t="s">
        <v>185</v>
      </c>
      <c r="I248" t="str">
        <f>HYPERLINK("http://www.ncbi.nlm.nih.gov/protein/NXG87060.1","FABPL protein")</f>
        <v>FABPL protein</v>
      </c>
      <c r="J248" t="s">
        <v>1386</v>
      </c>
      <c r="K248" t="s">
        <v>25</v>
      </c>
      <c r="L248">
        <v>50</v>
      </c>
      <c r="M248" t="s">
        <v>1383</v>
      </c>
      <c r="N248" t="s">
        <v>25</v>
      </c>
      <c r="O248" t="s">
        <v>1355</v>
      </c>
      <c r="P248" t="s">
        <v>25</v>
      </c>
      <c r="Q248">
        <v>131.17500000000001</v>
      </c>
      <c r="R248" t="s">
        <v>25</v>
      </c>
      <c r="S248" t="s">
        <v>25</v>
      </c>
    </row>
    <row r="249" spans="1:19" x14ac:dyDescent="0.25">
      <c r="A249">
        <v>6</v>
      </c>
      <c r="B249" t="s">
        <v>167</v>
      </c>
      <c r="C249" t="str">
        <f>HYPERLINK("http://www.ncbi.nlm.nih.gov/protein/NXS29537.1","NXS29537.1")</f>
        <v>NXS29537.1</v>
      </c>
      <c r="D249">
        <v>13329</v>
      </c>
      <c r="E249" t="str">
        <f>HYPERLINK("http://www.ncbi.nlm.nih.gov/Taxonomy/Browser/wwwtax.cgi?mode=Info&amp;id=9176&amp;lvl=3&amp;lin=f&amp;keep=1&amp;srchmode=1&amp;unlock","9176")</f>
        <v>9176</v>
      </c>
      <c r="F249" t="s">
        <v>167</v>
      </c>
      <c r="G249" t="str">
        <f>HYPERLINK("http://www.ncbi.nlm.nih.gov/Taxonomy/Browser/wwwtax.cgi?mode=Info&amp;id=9176&amp;lvl=3&amp;lin=f&amp;keep=1&amp;srchmode=1&amp;unlock","Pomatostomus ruficeps")</f>
        <v>Pomatostomus ruficeps</v>
      </c>
      <c r="H249" t="s">
        <v>200</v>
      </c>
      <c r="I249" t="str">
        <f>HYPERLINK("http://www.ncbi.nlm.nih.gov/protein/NXS29537.1","FABPL protein")</f>
        <v>FABPL protein</v>
      </c>
      <c r="J249" t="s">
        <v>1386</v>
      </c>
      <c r="K249" t="s">
        <v>25</v>
      </c>
      <c r="L249">
        <v>50</v>
      </c>
      <c r="M249" t="s">
        <v>1379</v>
      </c>
      <c r="N249" t="s">
        <v>25</v>
      </c>
      <c r="O249" t="s">
        <v>1355</v>
      </c>
      <c r="P249" t="s">
        <v>25</v>
      </c>
      <c r="Q249">
        <v>117.148</v>
      </c>
      <c r="R249" t="s">
        <v>25</v>
      </c>
      <c r="S249" t="s">
        <v>25</v>
      </c>
    </row>
    <row r="250" spans="1:19" x14ac:dyDescent="0.25">
      <c r="A250">
        <v>6</v>
      </c>
      <c r="B250" t="s">
        <v>167</v>
      </c>
      <c r="C250" t="str">
        <f>HYPERLINK("http://www.ncbi.nlm.nih.gov/protein/XP_014791491.1","XP_014791491.1")</f>
        <v>XP_014791491.1</v>
      </c>
      <c r="D250">
        <v>30960</v>
      </c>
      <c r="E250" t="str">
        <f>HYPERLINK("http://www.ncbi.nlm.nih.gov/Taxonomy/Browser/wwwtax.cgi?mode=Info&amp;id=198806&amp;lvl=3&amp;lin=f&amp;keep=1&amp;srchmode=1&amp;unlock","198806")</f>
        <v>198806</v>
      </c>
      <c r="F250" t="s">
        <v>167</v>
      </c>
      <c r="G250" t="str">
        <f>HYPERLINK("http://www.ncbi.nlm.nih.gov/Taxonomy/Browser/wwwtax.cgi?mode=Info&amp;id=198806&amp;lvl=3&amp;lin=f&amp;keep=1&amp;srchmode=1&amp;unlock","Calidris pugnax")</f>
        <v>Calidris pugnax</v>
      </c>
      <c r="H250" t="s">
        <v>201</v>
      </c>
      <c r="I250" t="str">
        <f>HYPERLINK("http://www.ncbi.nlm.nih.gov/protein/XP_014791491.1","PREDICTED: fatty acid-binding protein, liver")</f>
        <v>PREDICTED: fatty acid-binding protein, liver</v>
      </c>
      <c r="J250" t="s">
        <v>1386</v>
      </c>
      <c r="K250" t="s">
        <v>25</v>
      </c>
      <c r="L250">
        <v>50</v>
      </c>
      <c r="M250" t="s">
        <v>1379</v>
      </c>
      <c r="N250" t="s">
        <v>25</v>
      </c>
      <c r="O250" t="s">
        <v>1355</v>
      </c>
      <c r="P250" t="s">
        <v>25</v>
      </c>
      <c r="Q250">
        <v>117.148</v>
      </c>
      <c r="R250" t="s">
        <v>25</v>
      </c>
      <c r="S250" t="s">
        <v>25</v>
      </c>
    </row>
    <row r="251" spans="1:19" x14ac:dyDescent="0.25">
      <c r="A251">
        <v>6</v>
      </c>
      <c r="B251" t="s">
        <v>167</v>
      </c>
      <c r="C251" t="str">
        <f>HYPERLINK("http://www.ncbi.nlm.nih.gov/protein/NWX76966.1","NWX76966.1")</f>
        <v>NWX76966.1</v>
      </c>
      <c r="D251">
        <v>14034</v>
      </c>
      <c r="E251" t="str">
        <f>HYPERLINK("http://www.ncbi.nlm.nih.gov/Taxonomy/Browser/wwwtax.cgi?mode=Info&amp;id=28689&amp;lvl=3&amp;lin=f&amp;keep=1&amp;srchmode=1&amp;unlock","28689")</f>
        <v>28689</v>
      </c>
      <c r="F251" t="s">
        <v>167</v>
      </c>
      <c r="G251" t="str">
        <f>HYPERLINK("http://www.ncbi.nlm.nih.gov/Taxonomy/Browser/wwwtax.cgi?mode=Info&amp;id=28689&amp;lvl=3&amp;lin=f&amp;keep=1&amp;srchmode=1&amp;unlock","Alca torda")</f>
        <v>Alca torda</v>
      </c>
      <c r="H251" t="s">
        <v>202</v>
      </c>
      <c r="I251" t="str">
        <f>HYPERLINK("http://www.ncbi.nlm.nih.gov/protein/NWX76966.1","FABPL protein")</f>
        <v>FABPL protein</v>
      </c>
      <c r="J251" t="s">
        <v>1386</v>
      </c>
      <c r="K251" t="s">
        <v>25</v>
      </c>
      <c r="L251">
        <v>50</v>
      </c>
      <c r="M251" t="s">
        <v>1383</v>
      </c>
      <c r="N251" t="s">
        <v>25</v>
      </c>
      <c r="O251" t="s">
        <v>1355</v>
      </c>
      <c r="P251" t="s">
        <v>25</v>
      </c>
      <c r="Q251">
        <v>131.17500000000001</v>
      </c>
      <c r="R251" t="s">
        <v>25</v>
      </c>
      <c r="S251" t="s">
        <v>25</v>
      </c>
    </row>
    <row r="252" spans="1:19" x14ac:dyDescent="0.25">
      <c r="A252">
        <v>6</v>
      </c>
      <c r="B252" t="s">
        <v>167</v>
      </c>
      <c r="C252" t="str">
        <f>HYPERLINK("http://www.ncbi.nlm.nih.gov/protein/KFQ76585.1","KFQ76585.1")</f>
        <v>KFQ76585.1</v>
      </c>
      <c r="D252">
        <v>12119</v>
      </c>
      <c r="E252" t="str">
        <f>HYPERLINK("http://www.ncbi.nlm.nih.gov/Taxonomy/Browser/wwwtax.cgi?mode=Info&amp;id=9218&amp;lvl=3&amp;lin=f&amp;keep=1&amp;srchmode=1&amp;unlock","9218")</f>
        <v>9218</v>
      </c>
      <c r="F252" t="s">
        <v>167</v>
      </c>
      <c r="G252" t="str">
        <f>HYPERLINK("http://www.ncbi.nlm.nih.gov/Taxonomy/Browser/wwwtax.cgi?mode=Info&amp;id=9218&amp;lvl=3&amp;lin=f&amp;keep=1&amp;srchmode=1&amp;unlock","Phoenicopterus ruber ruber")</f>
        <v>Phoenicopterus ruber ruber</v>
      </c>
      <c r="H252" t="s">
        <v>204</v>
      </c>
      <c r="I252" t="str">
        <f>HYPERLINK("http://www.ncbi.nlm.nih.gov/protein/KFQ76585.1","Fatty acid-binding protein, liver")</f>
        <v>Fatty acid-binding protein, liver</v>
      </c>
      <c r="J252" t="s">
        <v>1386</v>
      </c>
      <c r="K252" t="s">
        <v>25</v>
      </c>
      <c r="L252">
        <v>50</v>
      </c>
      <c r="M252" t="s">
        <v>1379</v>
      </c>
      <c r="N252" t="s">
        <v>25</v>
      </c>
      <c r="O252" t="s">
        <v>1355</v>
      </c>
      <c r="P252" t="s">
        <v>25</v>
      </c>
      <c r="Q252">
        <v>117.148</v>
      </c>
      <c r="R252" t="s">
        <v>25</v>
      </c>
      <c r="S252" t="s">
        <v>25</v>
      </c>
    </row>
    <row r="253" spans="1:19" x14ac:dyDescent="0.25">
      <c r="A253">
        <v>6</v>
      </c>
      <c r="B253" t="s">
        <v>167</v>
      </c>
      <c r="C253" t="str">
        <f>HYPERLINK("http://www.ncbi.nlm.nih.gov/protein/NXV42444.1","NXV42444.1")</f>
        <v>NXV42444.1</v>
      </c>
      <c r="D253">
        <v>14270</v>
      </c>
      <c r="E253" t="str">
        <f>HYPERLINK("http://www.ncbi.nlm.nih.gov/Taxonomy/Browser/wwwtax.cgi?mode=Info&amp;id=13746&amp;lvl=3&amp;lin=f&amp;keep=1&amp;srchmode=1&amp;unlock","13746")</f>
        <v>13746</v>
      </c>
      <c r="F253" t="s">
        <v>167</v>
      </c>
      <c r="G253" t="str">
        <f>HYPERLINK("http://www.ncbi.nlm.nih.gov/Taxonomy/Browser/wwwtax.cgi?mode=Info&amp;id=13746&amp;lvl=3&amp;lin=f&amp;keep=1&amp;srchmode=1&amp;unlock","Uria aalge")</f>
        <v>Uria aalge</v>
      </c>
      <c r="H253" t="s">
        <v>203</v>
      </c>
      <c r="I253" t="str">
        <f>HYPERLINK("http://www.ncbi.nlm.nih.gov/protein/NXV42444.1","FABPL protein")</f>
        <v>FABPL protein</v>
      </c>
      <c r="J253" t="s">
        <v>1386</v>
      </c>
      <c r="K253" t="s">
        <v>25</v>
      </c>
      <c r="L253">
        <v>50</v>
      </c>
      <c r="M253" t="s">
        <v>1383</v>
      </c>
      <c r="N253" t="s">
        <v>25</v>
      </c>
      <c r="O253" t="s">
        <v>1355</v>
      </c>
      <c r="P253" t="s">
        <v>25</v>
      </c>
      <c r="Q253">
        <v>131.17500000000001</v>
      </c>
      <c r="R253" t="s">
        <v>25</v>
      </c>
      <c r="S253" t="s">
        <v>25</v>
      </c>
    </row>
    <row r="254" spans="1:19" x14ac:dyDescent="0.25">
      <c r="A254">
        <v>6</v>
      </c>
      <c r="B254" t="s">
        <v>167</v>
      </c>
      <c r="C254" t="str">
        <f>HYPERLINK("http://www.ncbi.nlm.nih.gov/protein/NXT75841.1","NXT75841.1")</f>
        <v>NXT75841.1</v>
      </c>
      <c r="D254">
        <v>13359</v>
      </c>
      <c r="E254" t="str">
        <f>HYPERLINK("http://www.ncbi.nlm.nih.gov/Taxonomy/Browser/wwwtax.cgi?mode=Info&amp;id=2585822&amp;lvl=3&amp;lin=f&amp;keep=1&amp;srchmode=1&amp;unlock","2585822")</f>
        <v>2585822</v>
      </c>
      <c r="F254" t="s">
        <v>167</v>
      </c>
      <c r="G254" t="str">
        <f>HYPERLINK("http://www.ncbi.nlm.nih.gov/Taxonomy/Browser/wwwtax.cgi?mode=Info&amp;id=2585822&amp;lvl=3&amp;lin=f&amp;keep=1&amp;srchmode=1&amp;unlock","Zapornia atra")</f>
        <v>Zapornia atra</v>
      </c>
      <c r="H254" t="s">
        <v>208</v>
      </c>
      <c r="I254" t="str">
        <f>HYPERLINK("http://www.ncbi.nlm.nih.gov/protein/NXT75841.1","FABPL protein")</f>
        <v>FABPL protein</v>
      </c>
      <c r="J254" t="s">
        <v>1386</v>
      </c>
      <c r="K254" t="s">
        <v>25</v>
      </c>
      <c r="L254">
        <v>50</v>
      </c>
      <c r="M254" t="s">
        <v>1379</v>
      </c>
      <c r="N254" t="s">
        <v>25</v>
      </c>
      <c r="O254" t="s">
        <v>1355</v>
      </c>
      <c r="P254" t="s">
        <v>25</v>
      </c>
      <c r="Q254">
        <v>117.148</v>
      </c>
      <c r="R254" t="s">
        <v>25</v>
      </c>
      <c r="S254" t="s">
        <v>25</v>
      </c>
    </row>
    <row r="255" spans="1:19" x14ac:dyDescent="0.25">
      <c r="A255">
        <v>6</v>
      </c>
      <c r="B255" t="s">
        <v>167</v>
      </c>
      <c r="C255" t="str">
        <f>HYPERLINK("http://www.ncbi.nlm.nih.gov/protein/XP_013798637.1","XP_013798637.1")</f>
        <v>XP_013798637.1</v>
      </c>
      <c r="D255">
        <v>22840</v>
      </c>
      <c r="E255" t="str">
        <f>HYPERLINK("http://www.ncbi.nlm.nih.gov/Taxonomy/Browser/wwwtax.cgi?mode=Info&amp;id=202946&amp;lvl=3&amp;lin=f&amp;keep=1&amp;srchmode=1&amp;unlock","202946")</f>
        <v>202946</v>
      </c>
      <c r="F255" t="s">
        <v>167</v>
      </c>
      <c r="G255" t="str">
        <f>HYPERLINK("http://www.ncbi.nlm.nih.gov/Taxonomy/Browser/wwwtax.cgi?mode=Info&amp;id=202946&amp;lvl=3&amp;lin=f&amp;keep=1&amp;srchmode=1&amp;unlock","Apteryx mantelli mantelli")</f>
        <v>Apteryx mantelli mantelli</v>
      </c>
      <c r="H255" t="s">
        <v>209</v>
      </c>
      <c r="I255" t="str">
        <f>HYPERLINK("http://www.ncbi.nlm.nih.gov/protein/XP_013798637.1","PREDICTED: fatty acid-binding protein, liver")</f>
        <v>PREDICTED: fatty acid-binding protein, liver</v>
      </c>
      <c r="J255" t="s">
        <v>1386</v>
      </c>
      <c r="K255" t="s">
        <v>25</v>
      </c>
      <c r="L255">
        <v>50</v>
      </c>
      <c r="M255" t="s">
        <v>1379</v>
      </c>
      <c r="N255" t="s">
        <v>25</v>
      </c>
      <c r="O255" t="s">
        <v>1355</v>
      </c>
      <c r="P255" t="s">
        <v>25</v>
      </c>
      <c r="Q255">
        <v>117.148</v>
      </c>
      <c r="R255" t="s">
        <v>25</v>
      </c>
      <c r="S255" t="s">
        <v>25</v>
      </c>
    </row>
    <row r="256" spans="1:19" x14ac:dyDescent="0.25">
      <c r="A256">
        <v>6</v>
      </c>
      <c r="B256" t="s">
        <v>167</v>
      </c>
      <c r="C256" t="str">
        <f>HYPERLINK("http://www.ncbi.nlm.nih.gov/protein/NWT35879.1","NWT35879.1")</f>
        <v>NWT35879.1</v>
      </c>
      <c r="D256">
        <v>13971</v>
      </c>
      <c r="E256" t="str">
        <f>HYPERLINK("http://www.ncbi.nlm.nih.gov/Taxonomy/Browser/wwwtax.cgi?mode=Info&amp;id=287016&amp;lvl=3&amp;lin=f&amp;keep=1&amp;srchmode=1&amp;unlock","287016")</f>
        <v>287016</v>
      </c>
      <c r="F256" t="s">
        <v>167</v>
      </c>
      <c r="G256" t="str">
        <f>HYPERLINK("http://www.ncbi.nlm.nih.gov/Taxonomy/Browser/wwwtax.cgi?mode=Info&amp;id=287016&amp;lvl=3&amp;lin=f&amp;keep=1&amp;srchmode=1&amp;unlock","Chroicocephalus maculipennis")</f>
        <v>Chroicocephalus maculipennis</v>
      </c>
      <c r="H256" t="s">
        <v>210</v>
      </c>
      <c r="I256" t="str">
        <f>HYPERLINK("http://www.ncbi.nlm.nih.gov/protein/NWT35879.1","FABPL protein")</f>
        <v>FABPL protein</v>
      </c>
      <c r="J256" t="s">
        <v>1386</v>
      </c>
      <c r="K256" t="s">
        <v>25</v>
      </c>
      <c r="L256">
        <v>50</v>
      </c>
      <c r="M256" t="s">
        <v>1383</v>
      </c>
      <c r="N256" t="s">
        <v>25</v>
      </c>
      <c r="O256" t="s">
        <v>1355</v>
      </c>
      <c r="P256" t="s">
        <v>25</v>
      </c>
      <c r="Q256">
        <v>131.17500000000001</v>
      </c>
      <c r="R256" t="s">
        <v>25</v>
      </c>
      <c r="S256" t="s">
        <v>25</v>
      </c>
    </row>
    <row r="257" spans="1:19" x14ac:dyDescent="0.25">
      <c r="A257">
        <v>6</v>
      </c>
      <c r="B257" t="s">
        <v>167</v>
      </c>
      <c r="C257" t="str">
        <f>HYPERLINK("http://www.ncbi.nlm.nih.gov/protein/XP_009330145.1","XP_009330145.1")</f>
        <v>XP_009330145.1</v>
      </c>
      <c r="D257">
        <v>29751</v>
      </c>
      <c r="E257" t="str">
        <f>HYPERLINK("http://www.ncbi.nlm.nih.gov/Taxonomy/Browser/wwwtax.cgi?mode=Info&amp;id=9238&amp;lvl=3&amp;lin=f&amp;keep=1&amp;srchmode=1&amp;unlock","9238")</f>
        <v>9238</v>
      </c>
      <c r="F257" t="s">
        <v>167</v>
      </c>
      <c r="G257" t="str">
        <f>HYPERLINK("http://www.ncbi.nlm.nih.gov/Taxonomy/Browser/wwwtax.cgi?mode=Info&amp;id=9238&amp;lvl=3&amp;lin=f&amp;keep=1&amp;srchmode=1&amp;unlock","Pygoscelis adeliae")</f>
        <v>Pygoscelis adeliae</v>
      </c>
      <c r="H257" t="s">
        <v>211</v>
      </c>
      <c r="I257" t="str">
        <f>HYPERLINK("http://www.ncbi.nlm.nih.gov/protein/XP_009330145.1","PREDICTED: fatty acid-binding protein, liver")</f>
        <v>PREDICTED: fatty acid-binding protein, liver</v>
      </c>
      <c r="J257" t="s">
        <v>1386</v>
      </c>
      <c r="K257" t="s">
        <v>25</v>
      </c>
      <c r="L257">
        <v>50</v>
      </c>
      <c r="M257" t="s">
        <v>1383</v>
      </c>
      <c r="N257" t="s">
        <v>25</v>
      </c>
      <c r="O257" t="s">
        <v>1355</v>
      </c>
      <c r="P257" t="s">
        <v>25</v>
      </c>
      <c r="Q257">
        <v>131.17500000000001</v>
      </c>
      <c r="R257" t="s">
        <v>25</v>
      </c>
      <c r="S257" t="s">
        <v>25</v>
      </c>
    </row>
    <row r="258" spans="1:19" x14ac:dyDescent="0.25">
      <c r="A258">
        <v>6</v>
      </c>
      <c r="B258" t="s">
        <v>167</v>
      </c>
      <c r="C258" t="str">
        <f>HYPERLINK("http://www.ncbi.nlm.nih.gov/protein/NXN52705.1","NXN52705.1")</f>
        <v>NXN52705.1</v>
      </c>
      <c r="D258">
        <v>14353</v>
      </c>
      <c r="E258" t="str">
        <f>HYPERLINK("http://www.ncbi.nlm.nih.gov/Taxonomy/Browser/wwwtax.cgi?mode=Info&amp;id=227184&amp;lvl=3&amp;lin=f&amp;keep=1&amp;srchmode=1&amp;unlock","227184")</f>
        <v>227184</v>
      </c>
      <c r="F258" t="s">
        <v>167</v>
      </c>
      <c r="G258" t="str">
        <f>HYPERLINK("http://www.ncbi.nlm.nih.gov/Taxonomy/Browser/wwwtax.cgi?mode=Info&amp;id=227184&amp;lvl=3&amp;lin=f&amp;keep=1&amp;srchmode=1&amp;unlock","Rynchops niger")</f>
        <v>Rynchops niger</v>
      </c>
      <c r="H258" t="s">
        <v>212</v>
      </c>
      <c r="I258" t="str">
        <f>HYPERLINK("http://www.ncbi.nlm.nih.gov/protein/NXN52705.1","FABPL protein")</f>
        <v>FABPL protein</v>
      </c>
      <c r="J258" t="s">
        <v>1386</v>
      </c>
      <c r="K258" t="s">
        <v>25</v>
      </c>
      <c r="L258">
        <v>50</v>
      </c>
      <c r="M258" t="s">
        <v>1383</v>
      </c>
      <c r="N258" t="s">
        <v>25</v>
      </c>
      <c r="O258" t="s">
        <v>1355</v>
      </c>
      <c r="P258" t="s">
        <v>25</v>
      </c>
      <c r="Q258">
        <v>131.17500000000001</v>
      </c>
      <c r="R258" t="s">
        <v>25</v>
      </c>
      <c r="S258" t="s">
        <v>25</v>
      </c>
    </row>
    <row r="259" spans="1:19" x14ac:dyDescent="0.25">
      <c r="A259">
        <v>6</v>
      </c>
      <c r="B259" t="s">
        <v>167</v>
      </c>
      <c r="C259" t="str">
        <f>HYPERLINK("http://www.ncbi.nlm.nih.gov/protein/NWH52221.1","NWH52221.1")</f>
        <v>NWH52221.1</v>
      </c>
      <c r="D259">
        <v>13301</v>
      </c>
      <c r="E259" t="str">
        <f>HYPERLINK("http://www.ncbi.nlm.nih.gov/Taxonomy/Browser/wwwtax.cgi?mode=Info&amp;id=37042&amp;lvl=3&amp;lin=f&amp;keep=1&amp;srchmode=1&amp;unlock","37042")</f>
        <v>37042</v>
      </c>
      <c r="F259" t="s">
        <v>167</v>
      </c>
      <c r="G259" t="str">
        <f>HYPERLINK("http://www.ncbi.nlm.nih.gov/Taxonomy/Browser/wwwtax.cgi?mode=Info&amp;id=37042&amp;lvl=3&amp;lin=f&amp;keep=1&amp;srchmode=1&amp;unlock","Fregata magnificens")</f>
        <v>Fregata magnificens</v>
      </c>
      <c r="H259" t="s">
        <v>213</v>
      </c>
      <c r="I259" t="str">
        <f>HYPERLINK("http://www.ncbi.nlm.nih.gov/protein/NWH52221.1","FABPL protein")</f>
        <v>FABPL protein</v>
      </c>
      <c r="J259" t="s">
        <v>1386</v>
      </c>
      <c r="K259" t="s">
        <v>25</v>
      </c>
      <c r="L259">
        <v>50</v>
      </c>
      <c r="M259" t="s">
        <v>1379</v>
      </c>
      <c r="N259" t="s">
        <v>25</v>
      </c>
      <c r="O259" t="s">
        <v>1355</v>
      </c>
      <c r="P259" t="s">
        <v>25</v>
      </c>
      <c r="Q259">
        <v>117.148</v>
      </c>
      <c r="R259" t="s">
        <v>25</v>
      </c>
      <c r="S259" t="s">
        <v>25</v>
      </c>
    </row>
    <row r="260" spans="1:19" x14ac:dyDescent="0.25">
      <c r="A260">
        <v>6</v>
      </c>
      <c r="B260" t="s">
        <v>167</v>
      </c>
      <c r="C260" t="str">
        <f>HYPERLINK("http://www.ncbi.nlm.nih.gov/protein/XP_025920457.1","XP_025920457.1")</f>
        <v>XP_025920457.1</v>
      </c>
      <c r="D260">
        <v>37692</v>
      </c>
      <c r="E260" t="str">
        <f>HYPERLINK("http://www.ncbi.nlm.nih.gov/Taxonomy/Browser/wwwtax.cgi?mode=Info&amp;id=308060&amp;lvl=3&amp;lin=f&amp;keep=1&amp;srchmode=1&amp;unlock","308060")</f>
        <v>308060</v>
      </c>
      <c r="F260" t="s">
        <v>167</v>
      </c>
      <c r="G260" t="str">
        <f>HYPERLINK("http://www.ncbi.nlm.nih.gov/Taxonomy/Browser/wwwtax.cgi?mode=Info&amp;id=308060&amp;lvl=3&amp;lin=f&amp;keep=1&amp;srchmode=1&amp;unlock","Apteryx rowi")</f>
        <v>Apteryx rowi</v>
      </c>
      <c r="H260" t="s">
        <v>214</v>
      </c>
      <c r="I260" t="str">
        <f>HYPERLINK("http://www.ncbi.nlm.nih.gov/protein/XP_025920457.1","fatty acid-binding protein, liver")</f>
        <v>fatty acid-binding protein, liver</v>
      </c>
      <c r="J260" t="s">
        <v>1386</v>
      </c>
      <c r="K260" t="s">
        <v>25</v>
      </c>
      <c r="L260">
        <v>50</v>
      </c>
      <c r="M260" t="s">
        <v>1379</v>
      </c>
      <c r="N260" t="s">
        <v>25</v>
      </c>
      <c r="O260" t="s">
        <v>1355</v>
      </c>
      <c r="P260" t="s">
        <v>25</v>
      </c>
      <c r="Q260">
        <v>117.148</v>
      </c>
      <c r="R260" t="s">
        <v>25</v>
      </c>
      <c r="S260" t="s">
        <v>25</v>
      </c>
    </row>
    <row r="261" spans="1:19" x14ac:dyDescent="0.25">
      <c r="A261">
        <v>6</v>
      </c>
      <c r="B261" t="s">
        <v>167</v>
      </c>
      <c r="C261" t="str">
        <f>HYPERLINK("http://www.ncbi.nlm.nih.gov/protein/NXB99672.1","NXB99672.1")</f>
        <v>NXB99672.1</v>
      </c>
      <c r="D261">
        <v>14308</v>
      </c>
      <c r="E261" t="str">
        <f>HYPERLINK("http://www.ncbi.nlm.nih.gov/Taxonomy/Browser/wwwtax.cgi?mode=Info&amp;id=38397&amp;lvl=3&amp;lin=f&amp;keep=1&amp;srchmode=1&amp;unlock","38397")</f>
        <v>38397</v>
      </c>
      <c r="F261" t="s">
        <v>167</v>
      </c>
      <c r="G261" t="str">
        <f>HYPERLINK("http://www.ncbi.nlm.nih.gov/Taxonomy/Browser/wwwtax.cgi?mode=Info&amp;id=38397&amp;lvl=3&amp;lin=f&amp;keep=1&amp;srchmode=1&amp;unlock","Orthonyx spaldingii")</f>
        <v>Orthonyx spaldingii</v>
      </c>
      <c r="H261" t="s">
        <v>215</v>
      </c>
      <c r="I261" t="str">
        <f>HYPERLINK("http://www.ncbi.nlm.nih.gov/protein/NXB99672.1","FABPL protein")</f>
        <v>FABPL protein</v>
      </c>
      <c r="J261" t="s">
        <v>1386</v>
      </c>
      <c r="K261" t="s">
        <v>25</v>
      </c>
      <c r="L261">
        <v>50</v>
      </c>
      <c r="M261" t="s">
        <v>1379</v>
      </c>
      <c r="N261" t="s">
        <v>25</v>
      </c>
      <c r="O261" t="s">
        <v>1355</v>
      </c>
      <c r="P261" t="s">
        <v>25</v>
      </c>
      <c r="Q261">
        <v>117.148</v>
      </c>
      <c r="R261" t="s">
        <v>25</v>
      </c>
      <c r="S261" t="s">
        <v>25</v>
      </c>
    </row>
    <row r="262" spans="1:19" x14ac:dyDescent="0.25">
      <c r="A262">
        <v>6</v>
      </c>
      <c r="B262" t="s">
        <v>167</v>
      </c>
      <c r="C262" t="str">
        <f>HYPERLINK("http://www.ncbi.nlm.nih.gov/protein/NXV76974.1","NXV76974.1")</f>
        <v>NXV76974.1</v>
      </c>
      <c r="D262">
        <v>13752</v>
      </c>
      <c r="E262" t="str">
        <f>HYPERLINK("http://www.ncbi.nlm.nih.gov/Taxonomy/Browser/wwwtax.cgi?mode=Info&amp;id=2478892&amp;lvl=3&amp;lin=f&amp;keep=1&amp;srchmode=1&amp;unlock","2478892")</f>
        <v>2478892</v>
      </c>
      <c r="F262" t="s">
        <v>167</v>
      </c>
      <c r="G262" t="str">
        <f>HYPERLINK("http://www.ncbi.nlm.nih.gov/Taxonomy/Browser/wwwtax.cgi?mode=Info&amp;id=2478892&amp;lvl=3&amp;lin=f&amp;keep=1&amp;srchmode=1&amp;unlock","Atlantisia rogersi")</f>
        <v>Atlantisia rogersi</v>
      </c>
      <c r="H262" t="s">
        <v>216</v>
      </c>
      <c r="I262" t="str">
        <f>HYPERLINK("http://www.ncbi.nlm.nih.gov/protein/NXV76974.1","FABPL protein")</f>
        <v>FABPL protein</v>
      </c>
      <c r="J262" t="s">
        <v>1386</v>
      </c>
      <c r="K262" t="s">
        <v>25</v>
      </c>
      <c r="L262">
        <v>50</v>
      </c>
      <c r="M262" t="s">
        <v>1379</v>
      </c>
      <c r="N262" t="s">
        <v>25</v>
      </c>
      <c r="O262" t="s">
        <v>1355</v>
      </c>
      <c r="P262" t="s">
        <v>25</v>
      </c>
      <c r="Q262">
        <v>117.148</v>
      </c>
      <c r="R262" t="s">
        <v>25</v>
      </c>
      <c r="S262" t="s">
        <v>25</v>
      </c>
    </row>
    <row r="263" spans="1:19" x14ac:dyDescent="0.25">
      <c r="A263">
        <v>6</v>
      </c>
      <c r="B263" t="s">
        <v>167</v>
      </c>
      <c r="C263" t="str">
        <f>HYPERLINK("http://www.ncbi.nlm.nih.gov/protein/NXP09187.1","NXP09187.1")</f>
        <v>NXP09187.1</v>
      </c>
      <c r="D263">
        <v>14091</v>
      </c>
      <c r="E263" t="str">
        <f>HYPERLINK("http://www.ncbi.nlm.nih.gov/Taxonomy/Browser/wwwtax.cgi?mode=Info&amp;id=161742&amp;lvl=3&amp;lin=f&amp;keep=1&amp;srchmode=1&amp;unlock","161742")</f>
        <v>161742</v>
      </c>
      <c r="F263" t="s">
        <v>167</v>
      </c>
      <c r="G263" t="str">
        <f>HYPERLINK("http://www.ncbi.nlm.nih.gov/Taxonomy/Browser/wwwtax.cgi?mode=Info&amp;id=161742&amp;lvl=3&amp;lin=f&amp;keep=1&amp;srchmode=1&amp;unlock","Thinocorus orbignyianus")</f>
        <v>Thinocorus orbignyianus</v>
      </c>
      <c r="H263" t="s">
        <v>217</v>
      </c>
      <c r="I263" t="str">
        <f>HYPERLINK("http://www.ncbi.nlm.nih.gov/protein/NXP09187.1","FABPL protein")</f>
        <v>FABPL protein</v>
      </c>
      <c r="J263" t="s">
        <v>1386</v>
      </c>
      <c r="K263" t="s">
        <v>25</v>
      </c>
      <c r="L263">
        <v>50</v>
      </c>
      <c r="M263" t="s">
        <v>1383</v>
      </c>
      <c r="N263" t="s">
        <v>25</v>
      </c>
      <c r="O263" t="s">
        <v>1355</v>
      </c>
      <c r="P263" t="s">
        <v>25</v>
      </c>
      <c r="Q263">
        <v>131.17500000000001</v>
      </c>
      <c r="R263" t="s">
        <v>25</v>
      </c>
      <c r="S263" t="s">
        <v>25</v>
      </c>
    </row>
    <row r="264" spans="1:19" x14ac:dyDescent="0.25">
      <c r="A264">
        <v>6</v>
      </c>
      <c r="B264" t="s">
        <v>167</v>
      </c>
      <c r="C264" t="str">
        <f>HYPERLINK("http://www.ncbi.nlm.nih.gov/protein/NXW98701.1","NXW98701.1")</f>
        <v>NXW98701.1</v>
      </c>
      <c r="D264">
        <v>14087</v>
      </c>
      <c r="E264" t="str">
        <f>HYPERLINK("http://www.ncbi.nlm.nih.gov/Taxonomy/Browser/wwwtax.cgi?mode=Info&amp;id=243888&amp;lvl=3&amp;lin=f&amp;keep=1&amp;srchmode=1&amp;unlock","243888")</f>
        <v>243888</v>
      </c>
      <c r="F264" t="s">
        <v>167</v>
      </c>
      <c r="G264" t="str">
        <f>HYPERLINK("http://www.ncbi.nlm.nih.gov/Taxonomy/Browser/wwwtax.cgi?mode=Info&amp;id=243888&amp;lvl=3&amp;lin=f&amp;keep=1&amp;srchmode=1&amp;unlock","Larus smithsonianus")</f>
        <v>Larus smithsonianus</v>
      </c>
      <c r="H264" t="s">
        <v>218</v>
      </c>
      <c r="I264" t="str">
        <f>HYPERLINK("http://www.ncbi.nlm.nih.gov/protein/NXW98701.1","FABPL protein")</f>
        <v>FABPL protein</v>
      </c>
      <c r="J264" t="s">
        <v>1386</v>
      </c>
      <c r="K264" t="s">
        <v>25</v>
      </c>
      <c r="L264">
        <v>50</v>
      </c>
      <c r="M264" t="s">
        <v>1383</v>
      </c>
      <c r="N264" t="s">
        <v>25</v>
      </c>
      <c r="O264" t="s">
        <v>1355</v>
      </c>
      <c r="P264" t="s">
        <v>25</v>
      </c>
      <c r="Q264">
        <v>131.17500000000001</v>
      </c>
      <c r="R264" t="s">
        <v>25</v>
      </c>
      <c r="S264" t="s">
        <v>25</v>
      </c>
    </row>
    <row r="265" spans="1:19" x14ac:dyDescent="0.25">
      <c r="A265">
        <v>6</v>
      </c>
      <c r="B265" t="s">
        <v>167</v>
      </c>
      <c r="C265" t="str">
        <f>HYPERLINK("http://www.ncbi.nlm.nih.gov/protein/XP_008500087.1","XP_008500087.1")</f>
        <v>XP_008500087.1</v>
      </c>
      <c r="D265">
        <v>42941</v>
      </c>
      <c r="E265" t="str">
        <f>HYPERLINK("http://www.ncbi.nlm.nih.gov/Taxonomy/Browser/wwwtax.cgi?mode=Info&amp;id=9244&amp;lvl=3&amp;lin=f&amp;keep=1&amp;srchmode=1&amp;unlock","9244")</f>
        <v>9244</v>
      </c>
      <c r="F265" t="s">
        <v>167</v>
      </c>
      <c r="G265" t="str">
        <f>HYPERLINK("http://www.ncbi.nlm.nih.gov/Taxonomy/Browser/wwwtax.cgi?mode=Info&amp;id=9244&amp;lvl=3&amp;lin=f&amp;keep=1&amp;srchmode=1&amp;unlock","Calypte anna")</f>
        <v>Calypte anna</v>
      </c>
      <c r="H265" t="s">
        <v>219</v>
      </c>
      <c r="I265" t="str">
        <f>HYPERLINK("http://www.ncbi.nlm.nih.gov/protein/XP_008500087.1","fatty acid-binding protein, liver")</f>
        <v>fatty acid-binding protein, liver</v>
      </c>
      <c r="J265" t="s">
        <v>1386</v>
      </c>
      <c r="K265" t="s">
        <v>25</v>
      </c>
      <c r="L265">
        <v>50</v>
      </c>
      <c r="M265" t="s">
        <v>1379</v>
      </c>
      <c r="N265" t="s">
        <v>25</v>
      </c>
      <c r="O265" t="s">
        <v>1355</v>
      </c>
      <c r="P265" t="s">
        <v>25</v>
      </c>
      <c r="Q265">
        <v>117.148</v>
      </c>
      <c r="R265" t="s">
        <v>25</v>
      </c>
      <c r="S265" t="s">
        <v>25</v>
      </c>
    </row>
    <row r="266" spans="1:19" x14ac:dyDescent="0.25">
      <c r="A266">
        <v>6</v>
      </c>
      <c r="B266" t="s">
        <v>167</v>
      </c>
      <c r="C266" t="str">
        <f>HYPERLINK("http://www.ncbi.nlm.nih.gov/protein/NXP51856.1","NXP51856.1")</f>
        <v>NXP51856.1</v>
      </c>
      <c r="D266">
        <v>13596</v>
      </c>
      <c r="E266" t="str">
        <f>HYPERLINK("http://www.ncbi.nlm.nih.gov/Taxonomy/Browser/wwwtax.cgi?mode=Info&amp;id=54369&amp;lvl=3&amp;lin=f&amp;keep=1&amp;srchmode=1&amp;unlock","54369")</f>
        <v>54369</v>
      </c>
      <c r="F266" t="s">
        <v>167</v>
      </c>
      <c r="G266" t="str">
        <f>HYPERLINK("http://www.ncbi.nlm.nih.gov/Taxonomy/Browser/wwwtax.cgi?mode=Info&amp;id=54369&amp;lvl=3&amp;lin=f&amp;keep=1&amp;srchmode=1&amp;unlock","Heliornis fulica")</f>
        <v>Heliornis fulica</v>
      </c>
      <c r="H266" t="s">
        <v>221</v>
      </c>
      <c r="I266" t="str">
        <f>HYPERLINK("http://www.ncbi.nlm.nih.gov/protein/NXP51856.1","FABPL protein")</f>
        <v>FABPL protein</v>
      </c>
      <c r="J266" t="s">
        <v>1386</v>
      </c>
      <c r="K266" t="s">
        <v>25</v>
      </c>
      <c r="L266">
        <v>50</v>
      </c>
      <c r="M266" t="s">
        <v>1379</v>
      </c>
      <c r="N266" t="s">
        <v>25</v>
      </c>
      <c r="O266" t="s">
        <v>1355</v>
      </c>
      <c r="P266" t="s">
        <v>25</v>
      </c>
      <c r="Q266">
        <v>117.148</v>
      </c>
      <c r="R266" t="s">
        <v>25</v>
      </c>
      <c r="S266" t="s">
        <v>25</v>
      </c>
    </row>
    <row r="267" spans="1:19" x14ac:dyDescent="0.25">
      <c r="A267">
        <v>6</v>
      </c>
      <c r="B267" t="s">
        <v>167</v>
      </c>
      <c r="C267" t="str">
        <f>HYPERLINK("http://www.ncbi.nlm.nih.gov/protein/NXF49511.1","NXF49511.1")</f>
        <v>NXF49511.1</v>
      </c>
      <c r="D267">
        <v>14303</v>
      </c>
      <c r="E267" t="str">
        <f>HYPERLINK("http://www.ncbi.nlm.nih.gov/Taxonomy/Browser/wwwtax.cgi?mode=Info&amp;id=79653&amp;lvl=3&amp;lin=f&amp;keep=1&amp;srchmode=1&amp;unlock","79653")</f>
        <v>79653</v>
      </c>
      <c r="F267" t="s">
        <v>167</v>
      </c>
      <c r="G267" t="str">
        <f>HYPERLINK("http://www.ncbi.nlm.nih.gov/Taxonomy/Browser/wwwtax.cgi?mode=Info&amp;id=79653&amp;lvl=3&amp;lin=f&amp;keep=1&amp;srchmode=1&amp;unlock","Oceanites oceanicus")</f>
        <v>Oceanites oceanicus</v>
      </c>
      <c r="H267" t="s">
        <v>222</v>
      </c>
      <c r="I267" t="str">
        <f>HYPERLINK("http://www.ncbi.nlm.nih.gov/protein/NXF49511.1","FABPL protein")</f>
        <v>FABPL protein</v>
      </c>
      <c r="J267" t="s">
        <v>1386</v>
      </c>
      <c r="K267" t="s">
        <v>25</v>
      </c>
      <c r="L267">
        <v>50</v>
      </c>
      <c r="M267" t="s">
        <v>1383</v>
      </c>
      <c r="N267" t="s">
        <v>25</v>
      </c>
      <c r="O267" t="s">
        <v>1355</v>
      </c>
      <c r="P267" t="s">
        <v>25</v>
      </c>
      <c r="Q267">
        <v>131.17500000000001</v>
      </c>
      <c r="R267" t="s">
        <v>25</v>
      </c>
      <c r="S267" t="s">
        <v>25</v>
      </c>
    </row>
    <row r="268" spans="1:19" x14ac:dyDescent="0.25">
      <c r="A268">
        <v>6</v>
      </c>
      <c r="B268" t="s">
        <v>167</v>
      </c>
      <c r="C268" t="str">
        <f>HYPERLINK("http://www.ncbi.nlm.nih.gov/protein/XP_009469959.1","XP_009469959.1")</f>
        <v>XP_009469959.1</v>
      </c>
      <c r="D268">
        <v>31423</v>
      </c>
      <c r="E268" t="str">
        <f>HYPERLINK("http://www.ncbi.nlm.nih.gov/Taxonomy/Browser/wwwtax.cgi?mode=Info&amp;id=128390&amp;lvl=3&amp;lin=f&amp;keep=1&amp;srchmode=1&amp;unlock","128390")</f>
        <v>128390</v>
      </c>
      <c r="F268" t="s">
        <v>167</v>
      </c>
      <c r="G268" t="str">
        <f>HYPERLINK("http://www.ncbi.nlm.nih.gov/Taxonomy/Browser/wwwtax.cgi?mode=Info&amp;id=128390&amp;lvl=3&amp;lin=f&amp;keep=1&amp;srchmode=1&amp;unlock","Nipponia nippon")</f>
        <v>Nipponia nippon</v>
      </c>
      <c r="H268" t="s">
        <v>220</v>
      </c>
      <c r="I268" t="str">
        <f>HYPERLINK("http://www.ncbi.nlm.nih.gov/protein/XP_009469959.1","PREDICTED: fatty acid-binding protein, liver")</f>
        <v>PREDICTED: fatty acid-binding protein, liver</v>
      </c>
      <c r="J268" t="s">
        <v>1386</v>
      </c>
      <c r="K268" t="s">
        <v>25</v>
      </c>
      <c r="L268">
        <v>50</v>
      </c>
      <c r="M268" t="s">
        <v>1379</v>
      </c>
      <c r="N268" t="s">
        <v>25</v>
      </c>
      <c r="O268" t="s">
        <v>1355</v>
      </c>
      <c r="P268" t="s">
        <v>25</v>
      </c>
      <c r="Q268">
        <v>117.148</v>
      </c>
      <c r="R268" t="s">
        <v>25</v>
      </c>
      <c r="S268" t="s">
        <v>25</v>
      </c>
    </row>
    <row r="269" spans="1:19" x14ac:dyDescent="0.25">
      <c r="A269">
        <v>6</v>
      </c>
      <c r="B269" t="s">
        <v>167</v>
      </c>
      <c r="C269" t="str">
        <f>HYPERLINK("http://www.ncbi.nlm.nih.gov/protein/NWY12763.1","NWY12763.1")</f>
        <v>NWY12763.1</v>
      </c>
      <c r="D269">
        <v>14632</v>
      </c>
      <c r="E269" t="str">
        <f>HYPERLINK("http://www.ncbi.nlm.nih.gov/Taxonomy/Browser/wwwtax.cgi?mode=Info&amp;id=39617&amp;lvl=3&amp;lin=f&amp;keep=1&amp;srchmode=1&amp;unlock","39617")</f>
        <v>39617</v>
      </c>
      <c r="F269" t="s">
        <v>167</v>
      </c>
      <c r="G269" t="str">
        <f>HYPERLINK("http://www.ncbi.nlm.nih.gov/Taxonomy/Browser/wwwtax.cgi?mode=Info&amp;id=39617&amp;lvl=3&amp;lin=f&amp;keep=1&amp;srchmode=1&amp;unlock","Aphelocoma coerulescens")</f>
        <v>Aphelocoma coerulescens</v>
      </c>
      <c r="H269" t="s">
        <v>224</v>
      </c>
      <c r="I269" t="str">
        <f>HYPERLINK("http://www.ncbi.nlm.nih.gov/protein/NWY12763.1","FABPL protein")</f>
        <v>FABPL protein</v>
      </c>
      <c r="J269" t="s">
        <v>1386</v>
      </c>
      <c r="K269" t="s">
        <v>25</v>
      </c>
      <c r="L269">
        <v>50</v>
      </c>
      <c r="M269" t="s">
        <v>1383</v>
      </c>
      <c r="N269" t="s">
        <v>25</v>
      </c>
      <c r="O269" t="s">
        <v>1355</v>
      </c>
      <c r="P269" t="s">
        <v>25</v>
      </c>
      <c r="Q269">
        <v>131.17500000000001</v>
      </c>
      <c r="R269" t="s">
        <v>25</v>
      </c>
      <c r="S269" t="s">
        <v>25</v>
      </c>
    </row>
    <row r="270" spans="1:19" x14ac:dyDescent="0.25">
      <c r="A270">
        <v>6</v>
      </c>
      <c r="B270" t="s">
        <v>167</v>
      </c>
      <c r="C270" t="str">
        <f>HYPERLINK("http://www.ncbi.nlm.nih.gov/protein/NXV14018.1","NXV14018.1")</f>
        <v>NXV14018.1</v>
      </c>
      <c r="D270">
        <v>14788</v>
      </c>
      <c r="E270" t="str">
        <f>HYPERLINK("http://www.ncbi.nlm.nih.gov/Taxonomy/Browser/wwwtax.cgi?mode=Info&amp;id=28697&amp;lvl=3&amp;lin=f&amp;keep=1&amp;srchmode=1&amp;unlock","28697")</f>
        <v>28697</v>
      </c>
      <c r="F270" t="s">
        <v>167</v>
      </c>
      <c r="G270" t="str">
        <f>HYPERLINK("http://www.ncbi.nlm.nih.gov/Taxonomy/Browser/wwwtax.cgi?mode=Info&amp;id=28697&amp;lvl=3&amp;lin=f&amp;keep=1&amp;srchmode=1&amp;unlock","Cepphus grylle")</f>
        <v>Cepphus grylle</v>
      </c>
      <c r="H270" t="s">
        <v>185</v>
      </c>
      <c r="I270" t="str">
        <f>HYPERLINK("http://www.ncbi.nlm.nih.gov/protein/NXV14018.1","FABPL protein")</f>
        <v>FABPL protein</v>
      </c>
      <c r="J270" t="s">
        <v>1386</v>
      </c>
      <c r="K270" t="s">
        <v>25</v>
      </c>
      <c r="L270">
        <v>50</v>
      </c>
      <c r="M270" t="s">
        <v>1383</v>
      </c>
      <c r="N270" t="s">
        <v>25</v>
      </c>
      <c r="O270" t="s">
        <v>1355</v>
      </c>
      <c r="P270" t="s">
        <v>25</v>
      </c>
      <c r="Q270">
        <v>131.17500000000001</v>
      </c>
      <c r="R270" t="s">
        <v>25</v>
      </c>
      <c r="S270" t="s">
        <v>25</v>
      </c>
    </row>
    <row r="271" spans="1:19" x14ac:dyDescent="0.25">
      <c r="A271">
        <v>6</v>
      </c>
      <c r="B271" t="s">
        <v>167</v>
      </c>
      <c r="C271" t="str">
        <f>HYPERLINK("http://www.ncbi.nlm.nih.gov/protein/NXD13974.1","NXD13974.1")</f>
        <v>NXD13974.1</v>
      </c>
      <c r="D271">
        <v>13147</v>
      </c>
      <c r="E271" t="str">
        <f>HYPERLINK("http://www.ncbi.nlm.nih.gov/Taxonomy/Browser/wwwtax.cgi?mode=Info&amp;id=1977171&amp;lvl=3&amp;lin=f&amp;keep=1&amp;srchmode=1&amp;unlock","1977171")</f>
        <v>1977171</v>
      </c>
      <c r="F271" t="s">
        <v>167</v>
      </c>
      <c r="G271" t="str">
        <f>HYPERLINK("http://www.ncbi.nlm.nih.gov/Taxonomy/Browser/wwwtax.cgi?mode=Info&amp;id=1977171&amp;lvl=3&amp;lin=f&amp;keep=1&amp;srchmode=1&amp;unlock","Nothocercus nigrocapillus")</f>
        <v>Nothocercus nigrocapillus</v>
      </c>
      <c r="H271" t="s">
        <v>196</v>
      </c>
      <c r="I271" t="str">
        <f>HYPERLINK("http://www.ncbi.nlm.nih.gov/protein/NXD13974.1","FABPL protein")</f>
        <v>FABPL protein</v>
      </c>
      <c r="J271" t="s">
        <v>1386</v>
      </c>
      <c r="K271" t="s">
        <v>25</v>
      </c>
      <c r="L271">
        <v>50</v>
      </c>
      <c r="M271" t="s">
        <v>1383</v>
      </c>
      <c r="N271" t="s">
        <v>25</v>
      </c>
      <c r="O271" t="s">
        <v>1355</v>
      </c>
      <c r="P271" t="s">
        <v>25</v>
      </c>
      <c r="Q271">
        <v>131.17500000000001</v>
      </c>
      <c r="R271" t="s">
        <v>25</v>
      </c>
      <c r="S271" t="s">
        <v>25</v>
      </c>
    </row>
    <row r="272" spans="1:19" x14ac:dyDescent="0.25">
      <c r="A272">
        <v>6</v>
      </c>
      <c r="B272" t="s">
        <v>167</v>
      </c>
      <c r="C272" t="str">
        <f>HYPERLINK("http://www.ncbi.nlm.nih.gov/protein/NXI50649.1","NXI50649.1")</f>
        <v>NXI50649.1</v>
      </c>
      <c r="D272">
        <v>12275</v>
      </c>
      <c r="E272" t="str">
        <f>HYPERLINK("http://www.ncbi.nlm.nih.gov/Taxonomy/Browser/wwwtax.cgi?mode=Info&amp;id=176938&amp;lvl=3&amp;lin=f&amp;keep=1&amp;srchmode=1&amp;unlock","176938")</f>
        <v>176938</v>
      </c>
      <c r="F272" t="s">
        <v>167</v>
      </c>
      <c r="G272" t="str">
        <f>HYPERLINK("http://www.ncbi.nlm.nih.gov/Taxonomy/Browser/wwwtax.cgi?mode=Info&amp;id=176938&amp;lvl=3&amp;lin=f&amp;keep=1&amp;srchmode=1&amp;unlock","Chloroceryle aenea")</f>
        <v>Chloroceryle aenea</v>
      </c>
      <c r="H272" t="s">
        <v>225</v>
      </c>
      <c r="I272" t="str">
        <f>HYPERLINK("http://www.ncbi.nlm.nih.gov/protein/NXI50649.1","FABPL protein")</f>
        <v>FABPL protein</v>
      </c>
      <c r="J272" t="s">
        <v>1386</v>
      </c>
      <c r="K272" t="s">
        <v>25</v>
      </c>
      <c r="L272">
        <v>50</v>
      </c>
      <c r="M272" t="s">
        <v>1379</v>
      </c>
      <c r="N272" t="s">
        <v>25</v>
      </c>
      <c r="O272" t="s">
        <v>1355</v>
      </c>
      <c r="P272" t="s">
        <v>25</v>
      </c>
      <c r="Q272">
        <v>117.148</v>
      </c>
      <c r="R272" t="s">
        <v>25</v>
      </c>
      <c r="S272" t="s">
        <v>25</v>
      </c>
    </row>
    <row r="273" spans="1:19" x14ac:dyDescent="0.25">
      <c r="A273">
        <v>6</v>
      </c>
      <c r="B273" t="s">
        <v>167</v>
      </c>
      <c r="C273" t="str">
        <f>HYPERLINK("http://www.ncbi.nlm.nih.gov/protein/NXJ01199.1","NXJ01199.1")</f>
        <v>NXJ01199.1</v>
      </c>
      <c r="D273">
        <v>13920</v>
      </c>
      <c r="E273" t="str">
        <f>HYPERLINK("http://www.ncbi.nlm.nih.gov/Taxonomy/Browser/wwwtax.cgi?mode=Info&amp;id=54359&amp;lvl=3&amp;lin=f&amp;keep=1&amp;srchmode=1&amp;unlock","54359")</f>
        <v>54359</v>
      </c>
      <c r="F273" t="s">
        <v>167</v>
      </c>
      <c r="G273" t="str">
        <f>HYPERLINK("http://www.ncbi.nlm.nih.gov/Taxonomy/Browser/wwwtax.cgi?mode=Info&amp;id=54359&amp;lvl=3&amp;lin=f&amp;keep=1&amp;srchmode=1&amp;unlock","Psophia crepitans")</f>
        <v>Psophia crepitans</v>
      </c>
      <c r="H273" t="s">
        <v>226</v>
      </c>
      <c r="I273" t="str">
        <f>HYPERLINK("http://www.ncbi.nlm.nih.gov/protein/NXJ01199.1","FABPL protein")</f>
        <v>FABPL protein</v>
      </c>
      <c r="J273" t="s">
        <v>1386</v>
      </c>
      <c r="K273" t="s">
        <v>25</v>
      </c>
      <c r="L273">
        <v>50</v>
      </c>
      <c r="M273" t="s">
        <v>1383</v>
      </c>
      <c r="N273" t="s">
        <v>25</v>
      </c>
      <c r="O273" t="s">
        <v>1355</v>
      </c>
      <c r="P273" t="s">
        <v>25</v>
      </c>
      <c r="Q273">
        <v>131.17500000000001</v>
      </c>
      <c r="R273" t="s">
        <v>25</v>
      </c>
      <c r="S273" t="s">
        <v>25</v>
      </c>
    </row>
    <row r="274" spans="1:19" x14ac:dyDescent="0.25">
      <c r="A274">
        <v>6</v>
      </c>
      <c r="B274" t="s">
        <v>167</v>
      </c>
      <c r="C274" t="str">
        <f>HYPERLINK("http://www.ncbi.nlm.nih.gov/protein/NXQ92781.1","NXQ92781.1")</f>
        <v>NXQ92781.1</v>
      </c>
      <c r="D274">
        <v>12894</v>
      </c>
      <c r="E274" t="str">
        <f>HYPERLINK("http://www.ncbi.nlm.nih.gov/Taxonomy/Browser/wwwtax.cgi?mode=Info&amp;id=56258&amp;lvl=3&amp;lin=f&amp;keep=1&amp;srchmode=1&amp;unlock","56258")</f>
        <v>56258</v>
      </c>
      <c r="F274" t="s">
        <v>167</v>
      </c>
      <c r="G274" t="str">
        <f>HYPERLINK("http://www.ncbi.nlm.nih.gov/Taxonomy/Browser/wwwtax.cgi?mode=Info&amp;id=56258&amp;lvl=3&amp;lin=f&amp;keep=1&amp;srchmode=1&amp;unlock","Sagittarius serpentarius")</f>
        <v>Sagittarius serpentarius</v>
      </c>
      <c r="H274" t="s">
        <v>227</v>
      </c>
      <c r="I274" t="str">
        <f>HYPERLINK("http://www.ncbi.nlm.nih.gov/protein/NXQ92781.1","FABPL protein")</f>
        <v>FABPL protein</v>
      </c>
      <c r="J274" t="s">
        <v>1386</v>
      </c>
      <c r="K274" t="s">
        <v>25</v>
      </c>
      <c r="L274">
        <v>50</v>
      </c>
      <c r="M274" t="s">
        <v>1383</v>
      </c>
      <c r="N274" t="s">
        <v>25</v>
      </c>
      <c r="O274" t="s">
        <v>1355</v>
      </c>
      <c r="P274" t="s">
        <v>25</v>
      </c>
      <c r="Q274">
        <v>131.17500000000001</v>
      </c>
      <c r="R274" t="s">
        <v>25</v>
      </c>
      <c r="S274" t="s">
        <v>25</v>
      </c>
    </row>
    <row r="275" spans="1:19" x14ac:dyDescent="0.25">
      <c r="A275">
        <v>6</v>
      </c>
      <c r="B275" t="s">
        <v>167</v>
      </c>
      <c r="C275" t="str">
        <f>HYPERLINK("http://www.ncbi.nlm.nih.gov/protein/NWX10622.1","NWX10622.1")</f>
        <v>NWX10622.1</v>
      </c>
      <c r="D275">
        <v>14125</v>
      </c>
      <c r="E275" t="str">
        <f>HYPERLINK("http://www.ncbi.nlm.nih.gov/Taxonomy/Browser/wwwtax.cgi?mode=Info&amp;id=187106&amp;lvl=3&amp;lin=f&amp;keep=1&amp;srchmode=1&amp;unlock","187106")</f>
        <v>187106</v>
      </c>
      <c r="F275" t="s">
        <v>167</v>
      </c>
      <c r="G275" t="str">
        <f>HYPERLINK("http://www.ncbi.nlm.nih.gov/Taxonomy/Browser/wwwtax.cgi?mode=Info&amp;id=187106&amp;lvl=3&amp;lin=f&amp;keep=1&amp;srchmode=1&amp;unlock","Caloenas nicobarica")</f>
        <v>Caloenas nicobarica</v>
      </c>
      <c r="H275" t="s">
        <v>223</v>
      </c>
      <c r="I275" t="str">
        <f>HYPERLINK("http://www.ncbi.nlm.nih.gov/protein/NWX10622.1","FABPL protein")</f>
        <v>FABPL protein</v>
      </c>
      <c r="J275" t="s">
        <v>1386</v>
      </c>
      <c r="K275" t="s">
        <v>25</v>
      </c>
      <c r="L275">
        <v>50</v>
      </c>
      <c r="M275" t="s">
        <v>1379</v>
      </c>
      <c r="N275" t="s">
        <v>25</v>
      </c>
      <c r="O275" t="s">
        <v>1355</v>
      </c>
      <c r="P275" t="s">
        <v>25</v>
      </c>
      <c r="Q275">
        <v>117.148</v>
      </c>
      <c r="R275" t="s">
        <v>25</v>
      </c>
      <c r="S275" t="s">
        <v>25</v>
      </c>
    </row>
    <row r="276" spans="1:19" x14ac:dyDescent="0.25">
      <c r="A276">
        <v>6</v>
      </c>
      <c r="B276" t="s">
        <v>167</v>
      </c>
      <c r="C276" t="str">
        <f>HYPERLINK("http://www.ncbi.nlm.nih.gov/protein/NXI45520.1","NXI45520.1")</f>
        <v>NXI45520.1</v>
      </c>
      <c r="D276">
        <v>14683</v>
      </c>
      <c r="E276" t="str">
        <f>HYPERLINK("http://www.ncbi.nlm.nih.gov/Taxonomy/Browser/wwwtax.cgi?mode=Info&amp;id=1109041&amp;lvl=3&amp;lin=f&amp;keep=1&amp;srchmode=1&amp;unlock","1109041")</f>
        <v>1109041</v>
      </c>
      <c r="F276" t="s">
        <v>167</v>
      </c>
      <c r="G276" t="str">
        <f>HYPERLINK("http://www.ncbi.nlm.nih.gov/Taxonomy/Browser/wwwtax.cgi?mode=Info&amp;id=1109041&amp;lvl=3&amp;lin=f&amp;keep=1&amp;srchmode=1&amp;unlock","Galbula dea")</f>
        <v>Galbula dea</v>
      </c>
      <c r="H276" t="s">
        <v>231</v>
      </c>
      <c r="I276" t="str">
        <f>HYPERLINK("http://www.ncbi.nlm.nih.gov/protein/NXI45520.1","FABPL protein")</f>
        <v>FABPL protein</v>
      </c>
      <c r="J276" t="s">
        <v>1386</v>
      </c>
      <c r="K276" t="s">
        <v>25</v>
      </c>
      <c r="L276">
        <v>50</v>
      </c>
      <c r="M276" t="s">
        <v>1383</v>
      </c>
      <c r="N276" t="s">
        <v>25</v>
      </c>
      <c r="O276" t="s">
        <v>1355</v>
      </c>
      <c r="P276" t="s">
        <v>25</v>
      </c>
      <c r="Q276">
        <v>131.17500000000001</v>
      </c>
      <c r="R276" t="s">
        <v>25</v>
      </c>
      <c r="S276" t="s">
        <v>25</v>
      </c>
    </row>
    <row r="277" spans="1:19" x14ac:dyDescent="0.25">
      <c r="A277">
        <v>6</v>
      </c>
      <c r="B277" t="s">
        <v>167</v>
      </c>
      <c r="C277" t="str">
        <f>HYPERLINK("http://www.ncbi.nlm.nih.gov/protein/NXF32561.1","NXF32561.1")</f>
        <v>NXF32561.1</v>
      </c>
      <c r="D277">
        <v>13974</v>
      </c>
      <c r="E277" t="str">
        <f>HYPERLINK("http://www.ncbi.nlm.nih.gov/Taxonomy/Browser/wwwtax.cgi?mode=Info&amp;id=48426&amp;lvl=3&amp;lin=f&amp;keep=1&amp;srchmode=1&amp;unlock","48426")</f>
        <v>48426</v>
      </c>
      <c r="F277" t="s">
        <v>167</v>
      </c>
      <c r="G277" t="str">
        <f>HYPERLINK("http://www.ncbi.nlm.nih.gov/Taxonomy/Browser/wwwtax.cgi?mode=Info&amp;id=48426&amp;lvl=3&amp;lin=f&amp;keep=1&amp;srchmode=1&amp;unlock","Nyctibius bracteatus")</f>
        <v>Nyctibius bracteatus</v>
      </c>
      <c r="H277" t="s">
        <v>232</v>
      </c>
      <c r="I277" t="str">
        <f>HYPERLINK("http://www.ncbi.nlm.nih.gov/protein/NXF32561.1","FABPL protein")</f>
        <v>FABPL protein</v>
      </c>
      <c r="J277" t="s">
        <v>1386</v>
      </c>
      <c r="K277" t="s">
        <v>25</v>
      </c>
      <c r="L277">
        <v>50</v>
      </c>
      <c r="M277" t="s">
        <v>1379</v>
      </c>
      <c r="N277" t="s">
        <v>25</v>
      </c>
      <c r="O277" t="s">
        <v>1355</v>
      </c>
      <c r="P277" t="s">
        <v>25</v>
      </c>
      <c r="Q277">
        <v>117.148</v>
      </c>
      <c r="R277" t="s">
        <v>25</v>
      </c>
      <c r="S277" t="s">
        <v>25</v>
      </c>
    </row>
    <row r="278" spans="1:19" x14ac:dyDescent="0.25">
      <c r="A278">
        <v>6</v>
      </c>
      <c r="B278" t="s">
        <v>167</v>
      </c>
      <c r="C278" t="str">
        <f>HYPERLINK("http://www.ncbi.nlm.nih.gov/protein/NXQ80872.1","NXQ80872.1")</f>
        <v>NXQ80872.1</v>
      </c>
      <c r="D278">
        <v>14112</v>
      </c>
      <c r="E278" t="str">
        <f>HYPERLINK("http://www.ncbi.nlm.nih.gov/Taxonomy/Browser/wwwtax.cgi?mode=Info&amp;id=48427&amp;lvl=3&amp;lin=f&amp;keep=1&amp;srchmode=1&amp;unlock","48427")</f>
        <v>48427</v>
      </c>
      <c r="F278" t="s">
        <v>167</v>
      </c>
      <c r="G278" t="str">
        <f>HYPERLINK("http://www.ncbi.nlm.nih.gov/Taxonomy/Browser/wwwtax.cgi?mode=Info&amp;id=48427&amp;lvl=3&amp;lin=f&amp;keep=1&amp;srchmode=1&amp;unlock","Nyctibius grandis")</f>
        <v>Nyctibius grandis</v>
      </c>
      <c r="H278" t="s">
        <v>233</v>
      </c>
      <c r="I278" t="str">
        <f>HYPERLINK("http://www.ncbi.nlm.nih.gov/protein/NXQ80872.1","FABPL protein")</f>
        <v>FABPL protein</v>
      </c>
      <c r="J278" t="s">
        <v>1386</v>
      </c>
      <c r="K278" t="s">
        <v>25</v>
      </c>
      <c r="L278">
        <v>50</v>
      </c>
      <c r="M278" t="s">
        <v>1379</v>
      </c>
      <c r="N278" t="s">
        <v>25</v>
      </c>
      <c r="O278" t="s">
        <v>1355</v>
      </c>
      <c r="P278" t="s">
        <v>25</v>
      </c>
      <c r="Q278">
        <v>117.148</v>
      </c>
      <c r="R278" t="s">
        <v>25</v>
      </c>
      <c r="S278" t="s">
        <v>25</v>
      </c>
    </row>
    <row r="279" spans="1:19" x14ac:dyDescent="0.25">
      <c r="A279">
        <v>6</v>
      </c>
      <c r="B279" t="s">
        <v>167</v>
      </c>
      <c r="C279" t="str">
        <f>HYPERLINK("http://www.ncbi.nlm.nih.gov/protein/NWU90422.1","NWU90422.1")</f>
        <v>NWU90422.1</v>
      </c>
      <c r="D279">
        <v>13878</v>
      </c>
      <c r="E279" t="str">
        <f>HYPERLINK("http://www.ncbi.nlm.nih.gov/Taxonomy/Browser/wwwtax.cgi?mode=Info&amp;id=57439&amp;lvl=3&amp;lin=f&amp;keep=1&amp;srchmode=1&amp;unlock","57439")</f>
        <v>57439</v>
      </c>
      <c r="F279" t="s">
        <v>167</v>
      </c>
      <c r="G279" t="str">
        <f>HYPERLINK("http://www.ncbi.nlm.nih.gov/Taxonomy/Browser/wwwtax.cgi?mode=Info&amp;id=57439&amp;lvl=3&amp;lin=f&amp;keep=1&amp;srchmode=1&amp;unlock","Upupa epops")</f>
        <v>Upupa epops</v>
      </c>
      <c r="H279" t="s">
        <v>234</v>
      </c>
      <c r="I279" t="str">
        <f>HYPERLINK("http://www.ncbi.nlm.nih.gov/protein/NWU90422.1","FABPL protein")</f>
        <v>FABPL protein</v>
      </c>
      <c r="J279" t="s">
        <v>1386</v>
      </c>
      <c r="K279" t="s">
        <v>25</v>
      </c>
      <c r="L279">
        <v>50</v>
      </c>
      <c r="M279" t="s">
        <v>1379</v>
      </c>
      <c r="N279" t="s">
        <v>25</v>
      </c>
      <c r="O279" t="s">
        <v>1355</v>
      </c>
      <c r="P279" t="s">
        <v>25</v>
      </c>
      <c r="Q279">
        <v>117.148</v>
      </c>
      <c r="R279" t="s">
        <v>25</v>
      </c>
      <c r="S279" t="s">
        <v>25</v>
      </c>
    </row>
    <row r="280" spans="1:19" x14ac:dyDescent="0.25">
      <c r="A280">
        <v>6</v>
      </c>
      <c r="B280" t="s">
        <v>167</v>
      </c>
      <c r="C280" t="str">
        <f>HYPERLINK("http://www.ncbi.nlm.nih.gov/protein/NXS63123.1","NXS63123.1")</f>
        <v>NXS63123.1</v>
      </c>
      <c r="D280">
        <v>13462</v>
      </c>
      <c r="E280" t="str">
        <f>HYPERLINK("http://www.ncbi.nlm.nih.gov/Taxonomy/Browser/wwwtax.cgi?mode=Info&amp;id=135165&amp;lvl=3&amp;lin=f&amp;keep=1&amp;srchmode=1&amp;unlock","135165")</f>
        <v>135165</v>
      </c>
      <c r="F280" t="s">
        <v>167</v>
      </c>
      <c r="G280" t="str">
        <f>HYPERLINK("http://www.ncbi.nlm.nih.gov/Taxonomy/Browser/wwwtax.cgi?mode=Info&amp;id=135165&amp;lvl=3&amp;lin=f&amp;keep=1&amp;srchmode=1&amp;unlock","Brachypteracias leptosomus")</f>
        <v>Brachypteracias leptosomus</v>
      </c>
      <c r="H280" t="s">
        <v>235</v>
      </c>
      <c r="I280" t="str">
        <f>HYPERLINK("http://www.ncbi.nlm.nih.gov/protein/NXS63123.1","FABP1 protein")</f>
        <v>FABP1 protein</v>
      </c>
      <c r="J280" t="s">
        <v>1386</v>
      </c>
      <c r="K280" t="s">
        <v>25</v>
      </c>
      <c r="L280">
        <v>50</v>
      </c>
      <c r="M280" t="s">
        <v>1379</v>
      </c>
      <c r="N280" t="s">
        <v>25</v>
      </c>
      <c r="O280" t="s">
        <v>1355</v>
      </c>
      <c r="P280" t="s">
        <v>25</v>
      </c>
      <c r="Q280">
        <v>117.148</v>
      </c>
      <c r="R280" t="s">
        <v>25</v>
      </c>
      <c r="S280" t="s">
        <v>25</v>
      </c>
    </row>
    <row r="281" spans="1:19" x14ac:dyDescent="0.25">
      <c r="A281">
        <v>6</v>
      </c>
      <c r="B281" t="s">
        <v>167</v>
      </c>
      <c r="C281" t="str">
        <f>HYPERLINK("http://www.ncbi.nlm.nih.gov/protein/NXW57142.1","NXW57142.1")</f>
        <v>NXW57142.1</v>
      </c>
      <c r="D281">
        <v>13972</v>
      </c>
      <c r="E281" t="str">
        <f>HYPERLINK("http://www.ncbi.nlm.nih.gov/Taxonomy/Browser/wwwtax.cgi?mode=Info&amp;id=325343&amp;lvl=3&amp;lin=f&amp;keep=1&amp;srchmode=1&amp;unlock","325343")</f>
        <v>325343</v>
      </c>
      <c r="F281" t="s">
        <v>167</v>
      </c>
      <c r="G281" t="str">
        <f>HYPERLINK("http://www.ncbi.nlm.nih.gov/Taxonomy/Browser/wwwtax.cgi?mode=Info&amp;id=325343&amp;lvl=3&amp;lin=f&amp;keep=1&amp;srchmode=1&amp;unlock","Eurystomus gularis")</f>
        <v>Eurystomus gularis</v>
      </c>
      <c r="H281" t="s">
        <v>238</v>
      </c>
      <c r="I281" t="str">
        <f>HYPERLINK("http://www.ncbi.nlm.nih.gov/protein/NXW57142.1","FABPL protein")</f>
        <v>FABPL protein</v>
      </c>
      <c r="J281" t="s">
        <v>1386</v>
      </c>
      <c r="K281" t="s">
        <v>25</v>
      </c>
      <c r="L281">
        <v>50</v>
      </c>
      <c r="M281" t="s">
        <v>1379</v>
      </c>
      <c r="N281" t="s">
        <v>25</v>
      </c>
      <c r="O281" t="s">
        <v>1355</v>
      </c>
      <c r="P281" t="s">
        <v>25</v>
      </c>
      <c r="Q281">
        <v>117.148</v>
      </c>
      <c r="R281" t="s">
        <v>25</v>
      </c>
      <c r="S281" t="s">
        <v>25</v>
      </c>
    </row>
    <row r="282" spans="1:19" x14ac:dyDescent="0.25">
      <c r="A282">
        <v>6</v>
      </c>
      <c r="B282" t="s">
        <v>167</v>
      </c>
      <c r="C282" t="str">
        <f>HYPERLINK("http://www.ncbi.nlm.nih.gov/protein/NXK04686.1","NXK04686.1")</f>
        <v>NXK04686.1</v>
      </c>
      <c r="D282">
        <v>14398</v>
      </c>
      <c r="E282" t="str">
        <f>HYPERLINK("http://www.ncbi.nlm.nih.gov/Taxonomy/Browser/wwwtax.cgi?mode=Info&amp;id=56343&amp;lvl=3&amp;lin=f&amp;keep=1&amp;srchmode=1&amp;unlock","56343")</f>
        <v>56343</v>
      </c>
      <c r="F282" t="s">
        <v>167</v>
      </c>
      <c r="G282" t="str">
        <f>HYPERLINK("http://www.ncbi.nlm.nih.gov/Taxonomy/Browser/wwwtax.cgi?mode=Info&amp;id=56343&amp;lvl=3&amp;lin=f&amp;keep=1&amp;srchmode=1&amp;unlock","Herpetotheres cachinnans")</f>
        <v>Herpetotheres cachinnans</v>
      </c>
      <c r="H282" t="s">
        <v>239</v>
      </c>
      <c r="I282" t="str">
        <f>HYPERLINK("http://www.ncbi.nlm.nih.gov/protein/NXK04686.1","FABPL protein")</f>
        <v>FABPL protein</v>
      </c>
      <c r="J282" t="s">
        <v>1386</v>
      </c>
      <c r="K282" t="s">
        <v>25</v>
      </c>
      <c r="L282">
        <v>50</v>
      </c>
      <c r="M282" t="s">
        <v>1383</v>
      </c>
      <c r="N282" t="s">
        <v>25</v>
      </c>
      <c r="O282" t="s">
        <v>1355</v>
      </c>
      <c r="P282" t="s">
        <v>25</v>
      </c>
      <c r="Q282">
        <v>131.17500000000001</v>
      </c>
      <c r="R282" t="s">
        <v>25</v>
      </c>
      <c r="S282" t="s">
        <v>25</v>
      </c>
    </row>
    <row r="283" spans="1:19" x14ac:dyDescent="0.25">
      <c r="A283">
        <v>6</v>
      </c>
      <c r="B283" t="s">
        <v>167</v>
      </c>
      <c r="C283" t="str">
        <f>HYPERLINK("http://www.ncbi.nlm.nih.gov/protein/NXX76325.1","NXX76325.1")</f>
        <v>NXX76325.1</v>
      </c>
      <c r="D283">
        <v>14124</v>
      </c>
      <c r="E283" t="str">
        <f>HYPERLINK("http://www.ncbi.nlm.nih.gov/Taxonomy/Browser/wwwtax.cgi?mode=Info&amp;id=458196&amp;lvl=3&amp;lin=f&amp;keep=1&amp;srchmode=1&amp;unlock","458196")</f>
        <v>458196</v>
      </c>
      <c r="F283" t="s">
        <v>167</v>
      </c>
      <c r="G283" t="str">
        <f>HYPERLINK("http://www.ncbi.nlm.nih.gov/Taxonomy/Browser/wwwtax.cgi?mode=Info&amp;id=458196&amp;lvl=3&amp;lin=f&amp;keep=1&amp;srchmode=1&amp;unlock","Urocolius indicus")</f>
        <v>Urocolius indicus</v>
      </c>
      <c r="H283" t="s">
        <v>228</v>
      </c>
      <c r="I283" t="str">
        <f>HYPERLINK("http://www.ncbi.nlm.nih.gov/protein/NXX76325.1","FABPL protein")</f>
        <v>FABPL protein</v>
      </c>
      <c r="J283" t="s">
        <v>1386</v>
      </c>
      <c r="K283" t="s">
        <v>25</v>
      </c>
      <c r="L283">
        <v>50</v>
      </c>
      <c r="M283" t="s">
        <v>1379</v>
      </c>
      <c r="N283" t="s">
        <v>25</v>
      </c>
      <c r="O283" t="s">
        <v>1355</v>
      </c>
      <c r="P283" t="s">
        <v>25</v>
      </c>
      <c r="Q283">
        <v>117.148</v>
      </c>
      <c r="R283" t="s">
        <v>25</v>
      </c>
      <c r="S283" t="s">
        <v>25</v>
      </c>
    </row>
    <row r="284" spans="1:19" x14ac:dyDescent="0.25">
      <c r="A284">
        <v>6</v>
      </c>
      <c r="B284" t="s">
        <v>167</v>
      </c>
      <c r="C284" t="str">
        <f>HYPERLINK("http://www.ncbi.nlm.nih.gov/protein/NXD75933.1","NXD75933.1")</f>
        <v>NXD75933.1</v>
      </c>
      <c r="D284">
        <v>14290</v>
      </c>
      <c r="E284" t="str">
        <f>HYPERLINK("http://www.ncbi.nlm.nih.gov/Taxonomy/Browser/wwwtax.cgi?mode=Info&amp;id=342381&amp;lvl=3&amp;lin=f&amp;keep=1&amp;srchmode=1&amp;unlock","342381")</f>
        <v>342381</v>
      </c>
      <c r="F284" t="s">
        <v>167</v>
      </c>
      <c r="G284" t="str">
        <f>HYPERLINK("http://www.ncbi.nlm.nih.gov/Taxonomy/Browser/wwwtax.cgi?mode=Info&amp;id=342381&amp;lvl=3&amp;lin=f&amp;keep=1&amp;srchmode=1&amp;unlock","Halcyon senegalensis")</f>
        <v>Halcyon senegalensis</v>
      </c>
      <c r="H284" t="s">
        <v>229</v>
      </c>
      <c r="I284" t="str">
        <f>HYPERLINK("http://www.ncbi.nlm.nih.gov/protein/NXD75933.1","FABPL protein")</f>
        <v>FABPL protein</v>
      </c>
      <c r="J284" t="s">
        <v>1386</v>
      </c>
      <c r="K284" t="s">
        <v>25</v>
      </c>
      <c r="L284">
        <v>50</v>
      </c>
      <c r="M284" t="s">
        <v>1379</v>
      </c>
      <c r="N284" t="s">
        <v>25</v>
      </c>
      <c r="O284" t="s">
        <v>1355</v>
      </c>
      <c r="P284" t="s">
        <v>25</v>
      </c>
      <c r="Q284">
        <v>117.148</v>
      </c>
      <c r="R284" t="s">
        <v>25</v>
      </c>
      <c r="S284" t="s">
        <v>25</v>
      </c>
    </row>
    <row r="285" spans="1:19" x14ac:dyDescent="0.25">
      <c r="A285">
        <v>6</v>
      </c>
      <c r="B285" t="s">
        <v>167</v>
      </c>
      <c r="C285" t="str">
        <f>HYPERLINK("http://www.ncbi.nlm.nih.gov/protein/XP_010018180.1","XP_010018180.1")</f>
        <v>XP_010018180.1</v>
      </c>
      <c r="D285">
        <v>27832</v>
      </c>
      <c r="E285" t="str">
        <f>HYPERLINK("http://www.ncbi.nlm.nih.gov/Taxonomy/Browser/wwwtax.cgi?mode=Info&amp;id=176057&amp;lvl=3&amp;lin=f&amp;keep=1&amp;srchmode=1&amp;unlock","176057")</f>
        <v>176057</v>
      </c>
      <c r="F285" t="s">
        <v>167</v>
      </c>
      <c r="G285" t="str">
        <f>HYPERLINK("http://www.ncbi.nlm.nih.gov/Taxonomy/Browser/wwwtax.cgi?mode=Info&amp;id=176057&amp;lvl=3&amp;lin=f&amp;keep=1&amp;srchmode=1&amp;unlock","Nestor notabilis")</f>
        <v>Nestor notabilis</v>
      </c>
      <c r="H285" t="s">
        <v>230</v>
      </c>
      <c r="I285" t="str">
        <f>HYPERLINK("http://www.ncbi.nlm.nih.gov/protein/XP_010018180.1","PREDICTED: fatty acid-binding protein, liver")</f>
        <v>PREDICTED: fatty acid-binding protein, liver</v>
      </c>
      <c r="J285" t="s">
        <v>1386</v>
      </c>
      <c r="K285" t="s">
        <v>25</v>
      </c>
      <c r="L285">
        <v>50</v>
      </c>
      <c r="M285" t="s">
        <v>1379</v>
      </c>
      <c r="N285" t="s">
        <v>25</v>
      </c>
      <c r="O285" t="s">
        <v>1355</v>
      </c>
      <c r="P285" t="s">
        <v>25</v>
      </c>
      <c r="Q285">
        <v>117.148</v>
      </c>
      <c r="R285" t="s">
        <v>25</v>
      </c>
      <c r="S285" t="s">
        <v>25</v>
      </c>
    </row>
    <row r="286" spans="1:19" x14ac:dyDescent="0.25">
      <c r="A286">
        <v>6</v>
      </c>
      <c r="B286" t="s">
        <v>167</v>
      </c>
      <c r="C286" t="str">
        <f>HYPERLINK("http://www.ncbi.nlm.nih.gov/protein/NXU73809.1","NXU73809.1")</f>
        <v>NXU73809.1</v>
      </c>
      <c r="D286">
        <v>12185</v>
      </c>
      <c r="E286" t="str">
        <f>HYPERLINK("http://www.ncbi.nlm.nih.gov/Taxonomy/Browser/wwwtax.cgi?mode=Info&amp;id=689266&amp;lvl=3&amp;lin=f&amp;keep=1&amp;srchmode=1&amp;unlock","689266")</f>
        <v>689266</v>
      </c>
      <c r="F286" t="s">
        <v>167</v>
      </c>
      <c r="G286" t="str">
        <f>HYPERLINK("http://www.ncbi.nlm.nih.gov/Taxonomy/Browser/wwwtax.cgi?mode=Info&amp;id=689266&amp;lvl=3&amp;lin=f&amp;keep=1&amp;srchmode=1&amp;unlock","Oreotrochilus melanogaster")</f>
        <v>Oreotrochilus melanogaster</v>
      </c>
      <c r="H286" t="s">
        <v>242</v>
      </c>
      <c r="I286" t="str">
        <f>HYPERLINK("http://www.ncbi.nlm.nih.gov/protein/NXU73809.1","FABPL protein")</f>
        <v>FABPL protein</v>
      </c>
      <c r="J286" t="s">
        <v>1386</v>
      </c>
      <c r="K286" t="s">
        <v>25</v>
      </c>
      <c r="L286">
        <v>50</v>
      </c>
      <c r="M286" t="s">
        <v>1379</v>
      </c>
      <c r="N286" t="s">
        <v>25</v>
      </c>
      <c r="O286" t="s">
        <v>1355</v>
      </c>
      <c r="P286" t="s">
        <v>25</v>
      </c>
      <c r="Q286">
        <v>117.148</v>
      </c>
      <c r="R286" t="s">
        <v>25</v>
      </c>
      <c r="S286" t="s">
        <v>25</v>
      </c>
    </row>
    <row r="287" spans="1:19" x14ac:dyDescent="0.25">
      <c r="A287">
        <v>6</v>
      </c>
      <c r="B287" t="s">
        <v>167</v>
      </c>
      <c r="C287" t="str">
        <f>HYPERLINK("http://www.ncbi.nlm.nih.gov/protein/NXO03063.1","NXO03063.1")</f>
        <v>NXO03063.1</v>
      </c>
      <c r="D287">
        <v>14850</v>
      </c>
      <c r="E287" t="str">
        <f>HYPERLINK("http://www.ncbi.nlm.nih.gov/Taxonomy/Browser/wwwtax.cgi?mode=Info&amp;id=113115&amp;lvl=3&amp;lin=f&amp;keep=1&amp;srchmode=1&amp;unlock","113115")</f>
        <v>113115</v>
      </c>
      <c r="F287" t="s">
        <v>167</v>
      </c>
      <c r="G287" t="str">
        <f>HYPERLINK("http://www.ncbi.nlm.nih.gov/Taxonomy/Browser/wwwtax.cgi?mode=Info&amp;id=113115&amp;lvl=3&amp;lin=f&amp;keep=1&amp;srchmode=1&amp;unlock","Rhinopomastus cyanomelas")</f>
        <v>Rhinopomastus cyanomelas</v>
      </c>
      <c r="H287" t="s">
        <v>243</v>
      </c>
      <c r="I287" t="str">
        <f>HYPERLINK("http://www.ncbi.nlm.nih.gov/protein/NXO03063.1","FABPL protein")</f>
        <v>FABPL protein</v>
      </c>
      <c r="J287" t="s">
        <v>1386</v>
      </c>
      <c r="K287" t="s">
        <v>25</v>
      </c>
      <c r="L287">
        <v>50</v>
      </c>
      <c r="M287" t="s">
        <v>1379</v>
      </c>
      <c r="N287" t="s">
        <v>25</v>
      </c>
      <c r="O287" t="s">
        <v>1355</v>
      </c>
      <c r="P287" t="s">
        <v>25</v>
      </c>
      <c r="Q287">
        <v>117.148</v>
      </c>
      <c r="R287" t="s">
        <v>25</v>
      </c>
      <c r="S287" t="s">
        <v>25</v>
      </c>
    </row>
    <row r="288" spans="1:19" x14ac:dyDescent="0.25">
      <c r="A288">
        <v>6</v>
      </c>
      <c r="B288" t="s">
        <v>167</v>
      </c>
      <c r="C288" t="str">
        <f>HYPERLINK("http://www.ncbi.nlm.nih.gov/protein/NXS85577.1","NXS85577.1")</f>
        <v>NXS85577.1</v>
      </c>
      <c r="D288">
        <v>13355</v>
      </c>
      <c r="E288" t="str">
        <f>HYPERLINK("http://www.ncbi.nlm.nih.gov/Taxonomy/Browser/wwwtax.cgi?mode=Info&amp;id=1112836&amp;lvl=3&amp;lin=f&amp;keep=1&amp;srchmode=1&amp;unlock","1112836")</f>
        <v>1112836</v>
      </c>
      <c r="F288" t="s">
        <v>167</v>
      </c>
      <c r="G288" t="str">
        <f>HYPERLINK("http://www.ncbi.nlm.nih.gov/Taxonomy/Browser/wwwtax.cgi?mode=Info&amp;id=1112836&amp;lvl=3&amp;lin=f&amp;keep=1&amp;srchmode=1&amp;unlock","Erpornis zantholeuca")</f>
        <v>Erpornis zantholeuca</v>
      </c>
      <c r="H288" t="s">
        <v>244</v>
      </c>
      <c r="I288" t="str">
        <f>HYPERLINK("http://www.ncbi.nlm.nih.gov/protein/NXS85577.1","FABPL protein")</f>
        <v>FABPL protein</v>
      </c>
      <c r="J288" t="s">
        <v>1386</v>
      </c>
      <c r="K288" t="s">
        <v>25</v>
      </c>
      <c r="L288">
        <v>50</v>
      </c>
      <c r="M288" t="s">
        <v>1383</v>
      </c>
      <c r="N288" t="s">
        <v>25</v>
      </c>
      <c r="O288" t="s">
        <v>1355</v>
      </c>
      <c r="P288" t="s">
        <v>25</v>
      </c>
      <c r="Q288">
        <v>131.17500000000001</v>
      </c>
      <c r="R288" t="s">
        <v>25</v>
      </c>
      <c r="S288" t="s">
        <v>25</v>
      </c>
    </row>
    <row r="289" spans="1:19" x14ac:dyDescent="0.25">
      <c r="A289">
        <v>6</v>
      </c>
      <c r="B289" t="s">
        <v>167</v>
      </c>
      <c r="C289" t="str">
        <f>HYPERLINK("http://www.ncbi.nlm.nih.gov/protein/XP_008948027.1","XP_008948027.1")</f>
        <v>XP_008948027.1</v>
      </c>
      <c r="D289">
        <v>26772</v>
      </c>
      <c r="E289" t="str">
        <f>HYPERLINK("http://www.ncbi.nlm.nih.gov/Taxonomy/Browser/wwwtax.cgi?mode=Info&amp;id=57421&amp;lvl=3&amp;lin=f&amp;keep=1&amp;srchmode=1&amp;unlock","57421")</f>
        <v>57421</v>
      </c>
      <c r="F289" t="s">
        <v>167</v>
      </c>
      <c r="G289" t="str">
        <f>HYPERLINK("http://www.ncbi.nlm.nih.gov/Taxonomy/Browser/wwwtax.cgi?mode=Info&amp;id=57421&amp;lvl=3&amp;lin=f&amp;keep=1&amp;srchmode=1&amp;unlock","Merops nubicus")</f>
        <v>Merops nubicus</v>
      </c>
      <c r="H289" t="s">
        <v>245</v>
      </c>
      <c r="I289" t="str">
        <f>HYPERLINK("http://www.ncbi.nlm.nih.gov/protein/XP_008948027.1","PREDICTED: fatty acid-binding protein, liver")</f>
        <v>PREDICTED: fatty acid-binding protein, liver</v>
      </c>
      <c r="J289" t="s">
        <v>1386</v>
      </c>
      <c r="K289" t="s">
        <v>25</v>
      </c>
      <c r="L289">
        <v>50</v>
      </c>
      <c r="M289" t="s">
        <v>1379</v>
      </c>
      <c r="N289" t="s">
        <v>25</v>
      </c>
      <c r="O289" t="s">
        <v>1355</v>
      </c>
      <c r="P289" t="s">
        <v>25</v>
      </c>
      <c r="Q289">
        <v>117.148</v>
      </c>
      <c r="R289" t="s">
        <v>25</v>
      </c>
      <c r="S289" t="s">
        <v>25</v>
      </c>
    </row>
    <row r="290" spans="1:19" x14ac:dyDescent="0.25">
      <c r="A290">
        <v>6</v>
      </c>
      <c r="B290" t="s">
        <v>167</v>
      </c>
      <c r="C290" t="str">
        <f>HYPERLINK("http://www.ncbi.nlm.nih.gov/protein/XP_009554280.1","XP_009554280.1")</f>
        <v>XP_009554280.1</v>
      </c>
      <c r="D290">
        <v>30502</v>
      </c>
      <c r="E290" t="str">
        <f>HYPERLINK("http://www.ncbi.nlm.nih.gov/Taxonomy/Browser/wwwtax.cgi?mode=Info&amp;id=55661&amp;lvl=3&amp;lin=f&amp;keep=1&amp;srchmode=1&amp;unlock","55661")</f>
        <v>55661</v>
      </c>
      <c r="F290" t="s">
        <v>167</v>
      </c>
      <c r="G290" t="str">
        <f>HYPERLINK("http://www.ncbi.nlm.nih.gov/Taxonomy/Browser/wwwtax.cgi?mode=Info&amp;id=55661&amp;lvl=3&amp;lin=f&amp;keep=1&amp;srchmode=1&amp;unlock","Cuculus canorus")</f>
        <v>Cuculus canorus</v>
      </c>
      <c r="H290" t="s">
        <v>246</v>
      </c>
      <c r="I290" t="str">
        <f>HYPERLINK("http://www.ncbi.nlm.nih.gov/protein/XP_009554280.1","PREDICTED: fatty acid-binding protein, liver")</f>
        <v>PREDICTED: fatty acid-binding protein, liver</v>
      </c>
      <c r="J290" t="s">
        <v>1386</v>
      </c>
      <c r="K290" t="s">
        <v>25</v>
      </c>
      <c r="L290">
        <v>50</v>
      </c>
      <c r="M290" t="s">
        <v>1379</v>
      </c>
      <c r="N290" t="s">
        <v>25</v>
      </c>
      <c r="O290" t="s">
        <v>1355</v>
      </c>
      <c r="P290" t="s">
        <v>25</v>
      </c>
      <c r="Q290">
        <v>117.148</v>
      </c>
      <c r="R290" t="s">
        <v>25</v>
      </c>
      <c r="S290" t="s">
        <v>25</v>
      </c>
    </row>
    <row r="291" spans="1:19" x14ac:dyDescent="0.25">
      <c r="A291">
        <v>6</v>
      </c>
      <c r="B291" t="s">
        <v>167</v>
      </c>
      <c r="C291" t="str">
        <f>HYPERLINK("http://www.ncbi.nlm.nih.gov/protein/NXF65018.1","NXF65018.1")</f>
        <v>NXF65018.1</v>
      </c>
      <c r="D291">
        <v>13848</v>
      </c>
      <c r="E291" t="str">
        <f>HYPERLINK("http://www.ncbi.nlm.nih.gov/Taxonomy/Browser/wwwtax.cgi?mode=Info&amp;id=1118524&amp;lvl=3&amp;lin=f&amp;keep=1&amp;srchmode=1&amp;unlock","1118524")</f>
        <v>1118524</v>
      </c>
      <c r="F291" t="s">
        <v>167</v>
      </c>
      <c r="G291" t="str">
        <f>HYPERLINK("http://www.ncbi.nlm.nih.gov/Taxonomy/Browser/wwwtax.cgi?mode=Info&amp;id=1118524&amp;lvl=3&amp;lin=f&amp;keep=1&amp;srchmode=1&amp;unlock","Ciccaba nigrolineata")</f>
        <v>Ciccaba nigrolineata</v>
      </c>
      <c r="H291" t="s">
        <v>240</v>
      </c>
      <c r="I291" t="str">
        <f>HYPERLINK("http://www.ncbi.nlm.nih.gov/protein/NXF65018.1","FABPL protein")</f>
        <v>FABPL protein</v>
      </c>
      <c r="J291" t="s">
        <v>1386</v>
      </c>
      <c r="K291" t="s">
        <v>25</v>
      </c>
      <c r="L291">
        <v>50</v>
      </c>
      <c r="M291" t="s">
        <v>1379</v>
      </c>
      <c r="N291" t="s">
        <v>25</v>
      </c>
      <c r="O291" t="s">
        <v>1355</v>
      </c>
      <c r="P291" t="s">
        <v>25</v>
      </c>
      <c r="Q291">
        <v>117.148</v>
      </c>
      <c r="R291" t="s">
        <v>25</v>
      </c>
      <c r="S291" t="s">
        <v>25</v>
      </c>
    </row>
    <row r="292" spans="1:19" x14ac:dyDescent="0.25">
      <c r="A292">
        <v>6</v>
      </c>
      <c r="B292" t="s">
        <v>167</v>
      </c>
      <c r="C292" t="str">
        <f>HYPERLINK("http://www.ncbi.nlm.nih.gov/protein/NXL34608.1","NXL34608.1")</f>
        <v>NXL34608.1</v>
      </c>
      <c r="D292">
        <v>14261</v>
      </c>
      <c r="E292" t="str">
        <f>HYPERLINK("http://www.ncbi.nlm.nih.gov/Taxonomy/Browser/wwwtax.cgi?mode=Info&amp;id=78217&amp;lvl=3&amp;lin=f&amp;keep=1&amp;srchmode=1&amp;unlock","78217")</f>
        <v>78217</v>
      </c>
      <c r="F292" t="s">
        <v>167</v>
      </c>
      <c r="G292" t="str">
        <f>HYPERLINK("http://www.ncbi.nlm.nih.gov/Taxonomy/Browser/wwwtax.cgi?mode=Info&amp;id=78217&amp;lvl=3&amp;lin=f&amp;keep=1&amp;srchmode=1&amp;unlock","Glaucidium brasilianum")</f>
        <v>Glaucidium brasilianum</v>
      </c>
      <c r="H292" t="s">
        <v>253</v>
      </c>
      <c r="I292" t="str">
        <f>HYPERLINK("http://www.ncbi.nlm.nih.gov/protein/NXL34608.1","FABPL protein")</f>
        <v>FABPL protein</v>
      </c>
      <c r="J292" t="s">
        <v>1386</v>
      </c>
      <c r="K292" t="s">
        <v>25</v>
      </c>
      <c r="L292">
        <v>50</v>
      </c>
      <c r="M292" t="s">
        <v>1379</v>
      </c>
      <c r="N292" t="s">
        <v>25</v>
      </c>
      <c r="O292" t="s">
        <v>1355</v>
      </c>
      <c r="P292" t="s">
        <v>25</v>
      </c>
      <c r="Q292">
        <v>117.148</v>
      </c>
      <c r="R292" t="s">
        <v>25</v>
      </c>
      <c r="S292" t="s">
        <v>25</v>
      </c>
    </row>
    <row r="293" spans="1:19" x14ac:dyDescent="0.25">
      <c r="A293">
        <v>6</v>
      </c>
      <c r="B293" t="s">
        <v>167</v>
      </c>
      <c r="C293" t="str">
        <f>HYPERLINK("http://www.ncbi.nlm.nih.gov/protein/NXX97299.1","NXX97299.1")</f>
        <v>NXX97299.1</v>
      </c>
      <c r="D293">
        <v>13206</v>
      </c>
      <c r="E293" t="str">
        <f>HYPERLINK("http://www.ncbi.nlm.nih.gov/Taxonomy/Browser/wwwtax.cgi?mode=Info&amp;id=1463675&amp;lvl=3&amp;lin=f&amp;keep=1&amp;srchmode=1&amp;unlock","1463675")</f>
        <v>1463675</v>
      </c>
      <c r="F293" t="s">
        <v>167</v>
      </c>
      <c r="G293" t="str">
        <f>HYPERLINK("http://www.ncbi.nlm.nih.gov/Taxonomy/Browser/wwwtax.cgi?mode=Info&amp;id=1463675&amp;lvl=3&amp;lin=f&amp;keep=1&amp;srchmode=1&amp;unlock","Centropus bengalensis")</f>
        <v>Centropus bengalensis</v>
      </c>
      <c r="H293" t="s">
        <v>254</v>
      </c>
      <c r="I293" t="str">
        <f>HYPERLINK("http://www.ncbi.nlm.nih.gov/protein/NXX97299.1","FABPL protein")</f>
        <v>FABPL protein</v>
      </c>
      <c r="J293" t="s">
        <v>1386</v>
      </c>
      <c r="K293" t="s">
        <v>25</v>
      </c>
      <c r="L293">
        <v>50</v>
      </c>
      <c r="M293" t="s">
        <v>1379</v>
      </c>
      <c r="N293" t="s">
        <v>25</v>
      </c>
      <c r="O293" t="s">
        <v>1355</v>
      </c>
      <c r="P293" t="s">
        <v>25</v>
      </c>
      <c r="Q293">
        <v>117.148</v>
      </c>
      <c r="R293" t="s">
        <v>25</v>
      </c>
      <c r="S293" t="s">
        <v>25</v>
      </c>
    </row>
    <row r="294" spans="1:19" x14ac:dyDescent="0.25">
      <c r="A294">
        <v>6</v>
      </c>
      <c r="B294" t="s">
        <v>167</v>
      </c>
      <c r="C294" t="str">
        <f>HYPERLINK("http://www.ncbi.nlm.nih.gov/protein/NWU54781.1","NWU54781.1")</f>
        <v>NWU54781.1</v>
      </c>
      <c r="D294">
        <v>13926</v>
      </c>
      <c r="E294" t="str">
        <f>HYPERLINK("http://www.ncbi.nlm.nih.gov/Taxonomy/Browser/wwwtax.cgi?mode=Info&amp;id=458190&amp;lvl=3&amp;lin=f&amp;keep=1&amp;srchmode=1&amp;unlock","458190")</f>
        <v>458190</v>
      </c>
      <c r="F294" t="s">
        <v>167</v>
      </c>
      <c r="G294" t="str">
        <f>HYPERLINK("http://www.ncbi.nlm.nih.gov/Taxonomy/Browser/wwwtax.cgi?mode=Info&amp;id=458190&amp;lvl=3&amp;lin=f&amp;keep=1&amp;srchmode=1&amp;unlock","Dromas ardeola")</f>
        <v>Dromas ardeola</v>
      </c>
      <c r="H294" t="s">
        <v>185</v>
      </c>
      <c r="I294" t="str">
        <f>HYPERLINK("http://www.ncbi.nlm.nih.gov/protein/NWU54781.1","FABPL protein")</f>
        <v>FABPL protein</v>
      </c>
      <c r="J294" t="s">
        <v>1386</v>
      </c>
      <c r="K294" t="s">
        <v>25</v>
      </c>
      <c r="L294">
        <v>50</v>
      </c>
      <c r="M294" t="s">
        <v>1383</v>
      </c>
      <c r="N294" t="s">
        <v>25</v>
      </c>
      <c r="O294" t="s">
        <v>1355</v>
      </c>
      <c r="P294" t="s">
        <v>25</v>
      </c>
      <c r="Q294">
        <v>131.17500000000001</v>
      </c>
      <c r="R294" t="s">
        <v>25</v>
      </c>
      <c r="S294" t="s">
        <v>25</v>
      </c>
    </row>
    <row r="295" spans="1:19" x14ac:dyDescent="0.25">
      <c r="A295">
        <v>6</v>
      </c>
      <c r="B295" t="s">
        <v>167</v>
      </c>
      <c r="C295" t="str">
        <f>HYPERLINK("http://www.ncbi.nlm.nih.gov/protein/NXI80162.1","NXI80162.1")</f>
        <v>NXI80162.1</v>
      </c>
      <c r="D295">
        <v>14200</v>
      </c>
      <c r="E295" t="str">
        <f>HYPERLINK("http://www.ncbi.nlm.nih.gov/Taxonomy/Browser/wwwtax.cgi?mode=Info&amp;id=667186&amp;lvl=3&amp;lin=f&amp;keep=1&amp;srchmode=1&amp;unlock","667186")</f>
        <v>667186</v>
      </c>
      <c r="F295" t="s">
        <v>167</v>
      </c>
      <c r="G295" t="str">
        <f>HYPERLINK("http://www.ncbi.nlm.nih.gov/Taxonomy/Browser/wwwtax.cgi?mode=Info&amp;id=667186&amp;lvl=3&amp;lin=f&amp;keep=1&amp;srchmode=1&amp;unlock","Rhipidura dahli")</f>
        <v>Rhipidura dahli</v>
      </c>
      <c r="H295" t="s">
        <v>206</v>
      </c>
      <c r="I295" t="str">
        <f>HYPERLINK("http://www.ncbi.nlm.nih.gov/protein/NXI80162.1","FABPL protein")</f>
        <v>FABPL protein</v>
      </c>
      <c r="J295" t="s">
        <v>1386</v>
      </c>
      <c r="K295" t="s">
        <v>25</v>
      </c>
      <c r="L295">
        <v>50</v>
      </c>
      <c r="M295" t="s">
        <v>1379</v>
      </c>
      <c r="N295" t="s">
        <v>25</v>
      </c>
      <c r="O295" t="s">
        <v>1355</v>
      </c>
      <c r="P295" t="s">
        <v>25</v>
      </c>
      <c r="Q295">
        <v>117.148</v>
      </c>
      <c r="R295" t="s">
        <v>25</v>
      </c>
      <c r="S295" t="s">
        <v>25</v>
      </c>
    </row>
    <row r="296" spans="1:19" x14ac:dyDescent="0.25">
      <c r="A296">
        <v>6</v>
      </c>
      <c r="B296" t="s">
        <v>167</v>
      </c>
      <c r="C296" t="str">
        <f>HYPERLINK("http://www.ncbi.nlm.nih.gov/protein/NXW44119.1","NXW44119.1")</f>
        <v>NXW44119.1</v>
      </c>
      <c r="D296">
        <v>13396</v>
      </c>
      <c r="E296" t="str">
        <f>HYPERLINK("http://www.ncbi.nlm.nih.gov/Taxonomy/Browser/wwwtax.cgi?mode=Info&amp;id=382315&amp;lvl=3&amp;lin=f&amp;keep=1&amp;srchmode=1&amp;unlock","382315")</f>
        <v>382315</v>
      </c>
      <c r="F296" t="s">
        <v>167</v>
      </c>
      <c r="G296" t="str">
        <f>HYPERLINK("http://www.ncbi.nlm.nih.gov/Taxonomy/Browser/wwwtax.cgi?mode=Info&amp;id=382315&amp;lvl=3&amp;lin=f&amp;keep=1&amp;srchmode=1&amp;unlock","Nyctiprogne leucopyga")</f>
        <v>Nyctiprogne leucopyga</v>
      </c>
      <c r="H296" t="s">
        <v>233</v>
      </c>
      <c r="I296" t="str">
        <f>HYPERLINK("http://www.ncbi.nlm.nih.gov/protein/NXW44119.1","FABPL protein")</f>
        <v>FABPL protein</v>
      </c>
      <c r="J296" t="s">
        <v>1386</v>
      </c>
      <c r="K296" t="s">
        <v>25</v>
      </c>
      <c r="L296">
        <v>50</v>
      </c>
      <c r="M296" t="s">
        <v>1379</v>
      </c>
      <c r="N296" t="s">
        <v>25</v>
      </c>
      <c r="O296" t="s">
        <v>1355</v>
      </c>
      <c r="P296" t="s">
        <v>25</v>
      </c>
      <c r="Q296">
        <v>117.148</v>
      </c>
      <c r="R296" t="s">
        <v>25</v>
      </c>
      <c r="S296" t="s">
        <v>25</v>
      </c>
    </row>
    <row r="297" spans="1:19" x14ac:dyDescent="0.25">
      <c r="A297">
        <v>6</v>
      </c>
      <c r="B297" t="s">
        <v>167</v>
      </c>
      <c r="C297" t="str">
        <f>HYPERLINK("http://www.ncbi.nlm.nih.gov/protein/XP_009880811.1","XP_009880811.1")</f>
        <v>XP_009880811.1</v>
      </c>
      <c r="D297">
        <v>30700</v>
      </c>
      <c r="E297" t="str">
        <f>HYPERLINK("http://www.ncbi.nlm.nih.gov/Taxonomy/Browser/wwwtax.cgi?mode=Info&amp;id=50402&amp;lvl=3&amp;lin=f&amp;keep=1&amp;srchmode=1&amp;unlock","50402")</f>
        <v>50402</v>
      </c>
      <c r="F297" t="s">
        <v>167</v>
      </c>
      <c r="G297" t="str">
        <f>HYPERLINK("http://www.ncbi.nlm.nih.gov/Taxonomy/Browser/wwwtax.cgi?mode=Info&amp;id=50402&amp;lvl=3&amp;lin=f&amp;keep=1&amp;srchmode=1&amp;unlock","Charadrius vociferus")</f>
        <v>Charadrius vociferus</v>
      </c>
      <c r="H297" t="s">
        <v>258</v>
      </c>
      <c r="I297" t="str">
        <f>HYPERLINK("http://www.ncbi.nlm.nih.gov/protein/XP_009880811.1","PREDICTED: fatty acid-binding protein, liver")</f>
        <v>PREDICTED: fatty acid-binding protein, liver</v>
      </c>
      <c r="J297" t="s">
        <v>1386</v>
      </c>
      <c r="K297" t="s">
        <v>25</v>
      </c>
      <c r="L297">
        <v>50</v>
      </c>
      <c r="M297" t="s">
        <v>1383</v>
      </c>
      <c r="N297" t="s">
        <v>25</v>
      </c>
      <c r="O297" t="s">
        <v>1355</v>
      </c>
      <c r="P297" t="s">
        <v>25</v>
      </c>
      <c r="Q297">
        <v>131.17500000000001</v>
      </c>
      <c r="R297" t="s">
        <v>25</v>
      </c>
      <c r="S297" t="s">
        <v>25</v>
      </c>
    </row>
    <row r="298" spans="1:19" x14ac:dyDescent="0.25">
      <c r="A298">
        <v>6</v>
      </c>
      <c r="B298" t="s">
        <v>167</v>
      </c>
      <c r="C298" t="str">
        <f>HYPERLINK("http://www.ncbi.nlm.nih.gov/protein/KFV49923.1","KFV49923.1")</f>
        <v>KFV49923.1</v>
      </c>
      <c r="D298">
        <v>11521</v>
      </c>
      <c r="E298" t="str">
        <f>HYPERLINK("http://www.ncbi.nlm.nih.gov/Taxonomy/Browser/wwwtax.cgi?mode=Info&amp;id=56313&amp;lvl=3&amp;lin=f&amp;keep=1&amp;srchmode=1&amp;unlock","56313")</f>
        <v>56313</v>
      </c>
      <c r="F298" t="s">
        <v>167</v>
      </c>
      <c r="G298" t="str">
        <f>HYPERLINK("http://www.ncbi.nlm.nih.gov/Taxonomy/Browser/wwwtax.cgi?mode=Info&amp;id=56313&amp;lvl=3&amp;lin=f&amp;keep=1&amp;srchmode=1&amp;unlock","Tyto alba")</f>
        <v>Tyto alba</v>
      </c>
      <c r="H298" t="s">
        <v>250</v>
      </c>
      <c r="I298" t="str">
        <f>HYPERLINK("http://www.ncbi.nlm.nih.gov/protein/KFV49923.1","Fatty acid-binding protein, liver")</f>
        <v>Fatty acid-binding protein, liver</v>
      </c>
      <c r="J298" t="s">
        <v>1386</v>
      </c>
      <c r="K298" t="s">
        <v>25</v>
      </c>
      <c r="L298">
        <v>50</v>
      </c>
      <c r="M298" t="s">
        <v>1379</v>
      </c>
      <c r="N298" t="s">
        <v>25</v>
      </c>
      <c r="O298" t="s">
        <v>1355</v>
      </c>
      <c r="P298" t="s">
        <v>25</v>
      </c>
      <c r="Q298">
        <v>117.148</v>
      </c>
      <c r="R298" t="s">
        <v>25</v>
      </c>
      <c r="S298" t="s">
        <v>25</v>
      </c>
    </row>
    <row r="299" spans="1:19" x14ac:dyDescent="0.25">
      <c r="A299">
        <v>6</v>
      </c>
      <c r="B299" t="s">
        <v>167</v>
      </c>
      <c r="C299" t="str">
        <f>HYPERLINK("http://www.ncbi.nlm.nih.gov/protein/XP_009964394.1","XP_009964394.1")</f>
        <v>XP_009964394.1</v>
      </c>
      <c r="D299">
        <v>32984</v>
      </c>
      <c r="E299" t="str">
        <f>HYPERLINK("http://www.ncbi.nlm.nih.gov/Taxonomy/Browser/wwwtax.cgi?mode=Info&amp;id=507980&amp;lvl=3&amp;lin=f&amp;keep=1&amp;srchmode=1&amp;unlock","507980")</f>
        <v>507980</v>
      </c>
      <c r="F299" t="s">
        <v>167</v>
      </c>
      <c r="G299" t="str">
        <f>HYPERLINK("http://www.ncbi.nlm.nih.gov/Taxonomy/Browser/wwwtax.cgi?mode=Info&amp;id=507980&amp;lvl=3&amp;lin=f&amp;keep=1&amp;srchmode=1&amp;unlock","Tyto alba alba")</f>
        <v>Tyto alba alba</v>
      </c>
      <c r="H299" t="s">
        <v>250</v>
      </c>
      <c r="I299" t="str">
        <f>HYPERLINK("http://www.ncbi.nlm.nih.gov/protein/XP_009964394.1","fatty acid-binding protein, liver")</f>
        <v>fatty acid-binding protein, liver</v>
      </c>
      <c r="J299" t="s">
        <v>1386</v>
      </c>
      <c r="K299" t="s">
        <v>25</v>
      </c>
      <c r="L299">
        <v>50</v>
      </c>
      <c r="M299" t="s">
        <v>1379</v>
      </c>
      <c r="N299" t="s">
        <v>25</v>
      </c>
      <c r="O299" t="s">
        <v>1355</v>
      </c>
      <c r="P299" t="s">
        <v>25</v>
      </c>
      <c r="Q299">
        <v>117.148</v>
      </c>
      <c r="R299" t="s">
        <v>25</v>
      </c>
      <c r="S299" t="s">
        <v>25</v>
      </c>
    </row>
    <row r="300" spans="1:19" x14ac:dyDescent="0.25">
      <c r="A300">
        <v>6</v>
      </c>
      <c r="B300" t="s">
        <v>167</v>
      </c>
      <c r="C300" t="str">
        <f>HYPERLINK("http://www.ncbi.nlm.nih.gov/protein/XP_025890019.1","XP_025890019.1")</f>
        <v>XP_025890019.1</v>
      </c>
      <c r="D300">
        <v>21562</v>
      </c>
      <c r="E300" t="str">
        <f>HYPERLINK("http://www.ncbi.nlm.nih.gov/Taxonomy/Browser/wwwtax.cgi?mode=Info&amp;id=30464&amp;lvl=3&amp;lin=f&amp;keep=1&amp;srchmode=1&amp;unlock","30464")</f>
        <v>30464</v>
      </c>
      <c r="F300" t="s">
        <v>167</v>
      </c>
      <c r="G300" t="str">
        <f>HYPERLINK("http://www.ncbi.nlm.nih.gov/Taxonomy/Browser/wwwtax.cgi?mode=Info&amp;id=30464&amp;lvl=3&amp;lin=f&amp;keep=1&amp;srchmode=1&amp;unlock","Nothoprocta perdicaria")</f>
        <v>Nothoprocta perdicaria</v>
      </c>
      <c r="H300" t="s">
        <v>196</v>
      </c>
      <c r="I300" t="str">
        <f>HYPERLINK("http://www.ncbi.nlm.nih.gov/protein/XP_025890019.1","fatty acid-binding protein, liver")</f>
        <v>fatty acid-binding protein, liver</v>
      </c>
      <c r="J300" t="s">
        <v>1386</v>
      </c>
      <c r="K300" t="s">
        <v>25</v>
      </c>
      <c r="L300">
        <v>50</v>
      </c>
      <c r="M300" t="s">
        <v>1382</v>
      </c>
      <c r="N300" t="s">
        <v>25</v>
      </c>
      <c r="O300" t="s">
        <v>1355</v>
      </c>
      <c r="P300" t="s">
        <v>25</v>
      </c>
      <c r="Q300">
        <v>131.17500000000001</v>
      </c>
      <c r="R300" t="s">
        <v>25</v>
      </c>
      <c r="S300" t="s">
        <v>25</v>
      </c>
    </row>
    <row r="301" spans="1:19" x14ac:dyDescent="0.25">
      <c r="A301">
        <v>6</v>
      </c>
      <c r="B301" t="s">
        <v>167</v>
      </c>
      <c r="C301" t="str">
        <f>HYPERLINK("http://www.ncbi.nlm.nih.gov/protein/NWX42163.1","NWX42163.1")</f>
        <v>NWX42163.1</v>
      </c>
      <c r="D301">
        <v>14617</v>
      </c>
      <c r="E301" t="str">
        <f>HYPERLINK("http://www.ncbi.nlm.nih.gov/Taxonomy/Browser/wwwtax.cgi?mode=Info&amp;id=48435&amp;lvl=3&amp;lin=f&amp;keep=1&amp;srchmode=1&amp;unlock","48435")</f>
        <v>48435</v>
      </c>
      <c r="F301" t="s">
        <v>167</v>
      </c>
      <c r="G301" t="str">
        <f>HYPERLINK("http://www.ncbi.nlm.nih.gov/Taxonomy/Browser/wwwtax.cgi?mode=Info&amp;id=48435&amp;lvl=3&amp;lin=f&amp;keep=1&amp;srchmode=1&amp;unlock","Steatornis caripensis")</f>
        <v>Steatornis caripensis</v>
      </c>
      <c r="H301" t="s">
        <v>263</v>
      </c>
      <c r="I301" t="str">
        <f>HYPERLINK("http://www.ncbi.nlm.nih.gov/protein/NWX42163.1","FABPL protein")</f>
        <v>FABPL protein</v>
      </c>
      <c r="J301" t="s">
        <v>1386</v>
      </c>
      <c r="K301" t="s">
        <v>25</v>
      </c>
      <c r="L301">
        <v>50</v>
      </c>
      <c r="M301" t="s">
        <v>1379</v>
      </c>
      <c r="N301" t="s">
        <v>25</v>
      </c>
      <c r="O301" t="s">
        <v>1355</v>
      </c>
      <c r="P301" t="s">
        <v>25</v>
      </c>
      <c r="Q301">
        <v>117.148</v>
      </c>
      <c r="R301" t="s">
        <v>25</v>
      </c>
      <c r="S301" t="s">
        <v>25</v>
      </c>
    </row>
    <row r="302" spans="1:19" x14ac:dyDescent="0.25">
      <c r="A302">
        <v>6</v>
      </c>
      <c r="B302" t="s">
        <v>167</v>
      </c>
      <c r="C302" t="str">
        <f>HYPERLINK("http://www.ncbi.nlm.nih.gov/protein/NXD96939.1","NXD96939.1")</f>
        <v>NXD96939.1</v>
      </c>
      <c r="D302">
        <v>14358</v>
      </c>
      <c r="E302" t="str">
        <f>HYPERLINK("http://www.ncbi.nlm.nih.gov/Taxonomy/Browser/wwwtax.cgi?mode=Info&amp;id=254446&amp;lvl=3&amp;lin=f&amp;keep=1&amp;srchmode=1&amp;unlock","254446")</f>
        <v>254446</v>
      </c>
      <c r="F302" t="s">
        <v>167</v>
      </c>
      <c r="G302" t="str">
        <f>HYPERLINK("http://www.ncbi.nlm.nih.gov/Taxonomy/Browser/wwwtax.cgi?mode=Info&amp;id=254446&amp;lvl=3&amp;lin=f&amp;keep=1&amp;srchmode=1&amp;unlock","Chaetorhynchus papuensis")</f>
        <v>Chaetorhynchus papuensis</v>
      </c>
      <c r="H302" t="s">
        <v>264</v>
      </c>
      <c r="I302" t="str">
        <f>HYPERLINK("http://www.ncbi.nlm.nih.gov/protein/NXD96939.1","FABPL protein")</f>
        <v>FABPL protein</v>
      </c>
      <c r="J302" t="s">
        <v>1386</v>
      </c>
      <c r="K302" t="s">
        <v>25</v>
      </c>
      <c r="L302">
        <v>50</v>
      </c>
      <c r="M302" t="s">
        <v>1379</v>
      </c>
      <c r="N302" t="s">
        <v>25</v>
      </c>
      <c r="O302" t="s">
        <v>1355</v>
      </c>
      <c r="P302" t="s">
        <v>25</v>
      </c>
      <c r="Q302">
        <v>117.148</v>
      </c>
      <c r="R302" t="s">
        <v>25</v>
      </c>
      <c r="S302" t="s">
        <v>25</v>
      </c>
    </row>
    <row r="303" spans="1:19" x14ac:dyDescent="0.25">
      <c r="A303">
        <v>6</v>
      </c>
      <c r="B303" t="s">
        <v>167</v>
      </c>
      <c r="C303" t="str">
        <f>HYPERLINK("http://www.ncbi.nlm.nih.gov/protein/XP_010289628.1","XP_010289628.1")</f>
        <v>XP_010289628.1</v>
      </c>
      <c r="D303">
        <v>28598</v>
      </c>
      <c r="E303" t="str">
        <f>HYPERLINK("http://www.ncbi.nlm.nih.gov/Taxonomy/Browser/wwwtax.cgi?mode=Info&amp;id=97097&amp;lvl=3&amp;lin=f&amp;keep=1&amp;srchmode=1&amp;unlock","97097")</f>
        <v>97097</v>
      </c>
      <c r="F303" t="s">
        <v>167</v>
      </c>
      <c r="G303" t="str">
        <f>HYPERLINK("http://www.ncbi.nlm.nih.gov/Taxonomy/Browser/wwwtax.cgi?mode=Info&amp;id=97097&amp;lvl=3&amp;lin=f&amp;keep=1&amp;srchmode=1&amp;unlock","Phaethon lepturus")</f>
        <v>Phaethon lepturus</v>
      </c>
      <c r="H303" t="s">
        <v>265</v>
      </c>
      <c r="I303" t="str">
        <f>HYPERLINK("http://www.ncbi.nlm.nih.gov/protein/XP_010289628.1","PREDICTED: fatty acid-binding protein, liver")</f>
        <v>PREDICTED: fatty acid-binding protein, liver</v>
      </c>
      <c r="J303" t="s">
        <v>1386</v>
      </c>
      <c r="K303" t="s">
        <v>25</v>
      </c>
      <c r="L303">
        <v>50</v>
      </c>
      <c r="M303" t="s">
        <v>1379</v>
      </c>
      <c r="N303" t="s">
        <v>25</v>
      </c>
      <c r="O303" t="s">
        <v>1355</v>
      </c>
      <c r="P303" t="s">
        <v>25</v>
      </c>
      <c r="Q303">
        <v>117.148</v>
      </c>
      <c r="R303" t="s">
        <v>25</v>
      </c>
      <c r="S303" t="s">
        <v>25</v>
      </c>
    </row>
    <row r="304" spans="1:19" x14ac:dyDescent="0.25">
      <c r="A304">
        <v>6</v>
      </c>
      <c r="B304" t="s">
        <v>167</v>
      </c>
      <c r="C304" t="str">
        <f>HYPERLINK("http://www.ncbi.nlm.nih.gov/protein/NWI31601.1","NWI31601.1")</f>
        <v>NWI31601.1</v>
      </c>
      <c r="D304">
        <v>12998</v>
      </c>
      <c r="E304" t="str">
        <f>HYPERLINK("http://www.ncbi.nlm.nih.gov/Taxonomy/Browser/wwwtax.cgi?mode=Info&amp;id=56068&amp;lvl=3&amp;lin=f&amp;keep=1&amp;srchmode=1&amp;unlock","56068")</f>
        <v>56068</v>
      </c>
      <c r="F304" t="s">
        <v>167</v>
      </c>
      <c r="G304" t="str">
        <f>HYPERLINK("http://www.ncbi.nlm.nih.gov/Taxonomy/Browser/wwwtax.cgi?mode=Info&amp;id=56068&amp;lvl=3&amp;lin=f&amp;keep=1&amp;srchmode=1&amp;unlock","Sula dactylatra")</f>
        <v>Sula dactylatra</v>
      </c>
      <c r="H304" t="s">
        <v>266</v>
      </c>
      <c r="I304" t="str">
        <f>HYPERLINK("http://www.ncbi.nlm.nih.gov/protein/NWI31601.1","FABPL protein")</f>
        <v>FABPL protein</v>
      </c>
      <c r="J304" t="s">
        <v>1386</v>
      </c>
      <c r="K304" t="s">
        <v>25</v>
      </c>
      <c r="L304">
        <v>50</v>
      </c>
      <c r="M304" t="s">
        <v>1383</v>
      </c>
      <c r="N304" t="s">
        <v>25</v>
      </c>
      <c r="O304" t="s">
        <v>1355</v>
      </c>
      <c r="P304" t="s">
        <v>25</v>
      </c>
      <c r="Q304">
        <v>131.17500000000001</v>
      </c>
      <c r="R304" t="s">
        <v>25</v>
      </c>
      <c r="S304" t="s">
        <v>25</v>
      </c>
    </row>
    <row r="305" spans="1:19" x14ac:dyDescent="0.25">
      <c r="A305">
        <v>6</v>
      </c>
      <c r="B305" t="s">
        <v>167</v>
      </c>
      <c r="C305" t="str">
        <f>HYPERLINK("http://www.ncbi.nlm.nih.gov/protein/NXC46600.1","NXC46600.1")</f>
        <v>NXC46600.1</v>
      </c>
      <c r="D305">
        <v>13966</v>
      </c>
      <c r="E305" t="str">
        <f>HYPERLINK("http://www.ncbi.nlm.nih.gov/Taxonomy/Browser/wwwtax.cgi?mode=Info&amp;id=1118817&amp;lvl=3&amp;lin=f&amp;keep=1&amp;srchmode=1&amp;unlock","1118817")</f>
        <v>1118817</v>
      </c>
      <c r="F305" t="s">
        <v>167</v>
      </c>
      <c r="G305" t="str">
        <f>HYPERLINK("http://www.ncbi.nlm.nih.gov/Taxonomy/Browser/wwwtax.cgi?mode=Info&amp;id=1118817&amp;lvl=3&amp;lin=f&amp;keep=1&amp;srchmode=1&amp;unlock","Penelope pileata")</f>
        <v>Penelope pileata</v>
      </c>
      <c r="H305" t="s">
        <v>267</v>
      </c>
      <c r="I305" t="str">
        <f>HYPERLINK("http://www.ncbi.nlm.nih.gov/protein/NXC46600.1","FABPL protein")</f>
        <v>FABPL protein</v>
      </c>
      <c r="J305" t="s">
        <v>1386</v>
      </c>
      <c r="K305" t="s">
        <v>25</v>
      </c>
      <c r="L305">
        <v>50</v>
      </c>
      <c r="M305" t="s">
        <v>1383</v>
      </c>
      <c r="N305" t="s">
        <v>25</v>
      </c>
      <c r="O305" t="s">
        <v>1355</v>
      </c>
      <c r="P305" t="s">
        <v>25</v>
      </c>
      <c r="Q305">
        <v>131.17500000000001</v>
      </c>
      <c r="R305" t="s">
        <v>25</v>
      </c>
      <c r="S305" t="s">
        <v>25</v>
      </c>
    </row>
    <row r="306" spans="1:19" x14ac:dyDescent="0.25">
      <c r="A306">
        <v>6</v>
      </c>
      <c r="B306" t="s">
        <v>167</v>
      </c>
      <c r="C306" t="str">
        <f>HYPERLINK("http://www.ncbi.nlm.nih.gov/protein/XP_031965671.1","XP_031965671.1")</f>
        <v>XP_031965671.1</v>
      </c>
      <c r="D306">
        <v>56759</v>
      </c>
      <c r="E306" t="str">
        <f>HYPERLINK("http://www.ncbi.nlm.nih.gov/Taxonomy/Browser/wwwtax.cgi?mode=Info&amp;id=1196302&amp;lvl=3&amp;lin=f&amp;keep=1&amp;srchmode=1&amp;unlock","1196302")</f>
        <v>1196302</v>
      </c>
      <c r="F306" t="s">
        <v>167</v>
      </c>
      <c r="G306" t="str">
        <f>HYPERLINK("http://www.ncbi.nlm.nih.gov/Taxonomy/Browser/wwwtax.cgi?mode=Info&amp;id=1196302&amp;lvl=3&amp;lin=f&amp;keep=1&amp;srchmode=1&amp;unlock","Corvus moneduloides")</f>
        <v>Corvus moneduloides</v>
      </c>
      <c r="H306" t="s">
        <v>268</v>
      </c>
      <c r="I306" t="str">
        <f>HYPERLINK("http://www.ncbi.nlm.nih.gov/protein/XP_031965671.1","fatty acid-binding protein, liver")</f>
        <v>fatty acid-binding protein, liver</v>
      </c>
      <c r="J306" t="s">
        <v>1386</v>
      </c>
      <c r="K306" t="s">
        <v>25</v>
      </c>
      <c r="L306">
        <v>50</v>
      </c>
      <c r="M306" t="s">
        <v>1379</v>
      </c>
      <c r="N306" t="s">
        <v>25</v>
      </c>
      <c r="O306" t="s">
        <v>1355</v>
      </c>
      <c r="P306" t="s">
        <v>25</v>
      </c>
      <c r="Q306">
        <v>117.148</v>
      </c>
      <c r="R306" t="s">
        <v>25</v>
      </c>
      <c r="S306" t="s">
        <v>25</v>
      </c>
    </row>
    <row r="307" spans="1:19" x14ac:dyDescent="0.25">
      <c r="A307">
        <v>6</v>
      </c>
      <c r="B307" t="s">
        <v>167</v>
      </c>
      <c r="C307" t="str">
        <f>HYPERLINK("http://www.ncbi.nlm.nih.gov/protein/NXG53713.1","NXG53713.1")</f>
        <v>NXG53713.1</v>
      </c>
      <c r="D307">
        <v>13561</v>
      </c>
      <c r="E307" t="str">
        <f>HYPERLINK("http://www.ncbi.nlm.nih.gov/Taxonomy/Browser/wwwtax.cgi?mode=Info&amp;id=2585815&amp;lvl=3&amp;lin=f&amp;keep=1&amp;srchmode=1&amp;unlock","2585815")</f>
        <v>2585815</v>
      </c>
      <c r="F307" t="s">
        <v>167</v>
      </c>
      <c r="G307" t="str">
        <f>HYPERLINK("http://www.ncbi.nlm.nih.gov/Taxonomy/Browser/wwwtax.cgi?mode=Info&amp;id=2585815&amp;lvl=3&amp;lin=f&amp;keep=1&amp;srchmode=1&amp;unlock","Psilopogon haemacephalus")</f>
        <v>Psilopogon haemacephalus</v>
      </c>
      <c r="H307" t="s">
        <v>262</v>
      </c>
      <c r="I307" t="str">
        <f>HYPERLINK("http://www.ncbi.nlm.nih.gov/protein/NXG53713.1","FABPL protein")</f>
        <v>FABPL protein</v>
      </c>
      <c r="J307" t="s">
        <v>1386</v>
      </c>
      <c r="K307" t="s">
        <v>25</v>
      </c>
      <c r="L307">
        <v>50</v>
      </c>
      <c r="M307" t="s">
        <v>1383</v>
      </c>
      <c r="N307" t="s">
        <v>25</v>
      </c>
      <c r="O307" t="s">
        <v>1355</v>
      </c>
      <c r="P307" t="s">
        <v>25</v>
      </c>
      <c r="Q307">
        <v>131.17500000000001</v>
      </c>
      <c r="R307" t="s">
        <v>25</v>
      </c>
      <c r="S307" t="s">
        <v>25</v>
      </c>
    </row>
    <row r="308" spans="1:19" x14ac:dyDescent="0.25">
      <c r="A308">
        <v>6</v>
      </c>
      <c r="B308" t="s">
        <v>167</v>
      </c>
      <c r="C308" t="str">
        <f>HYPERLINK("http://www.ncbi.nlm.nih.gov/protein/XP_035182227.1","XP_035182227.1")</f>
        <v>XP_035182227.1</v>
      </c>
      <c r="D308">
        <v>39822</v>
      </c>
      <c r="E308" t="str">
        <f>HYPERLINK("http://www.ncbi.nlm.nih.gov/Taxonomy/Browser/wwwtax.cgi?mode=Info&amp;id=8884&amp;lvl=3&amp;lin=f&amp;keep=1&amp;srchmode=1&amp;unlock","8884")</f>
        <v>8884</v>
      </c>
      <c r="F308" t="s">
        <v>167</v>
      </c>
      <c r="G308" t="str">
        <f>HYPERLINK("http://www.ncbi.nlm.nih.gov/Taxonomy/Browser/wwwtax.cgi?mode=Info&amp;id=8884&amp;lvl=3&amp;lin=f&amp;keep=1&amp;srchmode=1&amp;unlock","Oxyura jamaicensis")</f>
        <v>Oxyura jamaicensis</v>
      </c>
      <c r="H308" t="s">
        <v>273</v>
      </c>
      <c r="I308" t="str">
        <f>HYPERLINK("http://www.ncbi.nlm.nih.gov/protein/XP_035182227.1","fatty acid-binding protein, liver")</f>
        <v>fatty acid-binding protein, liver</v>
      </c>
      <c r="J308" t="s">
        <v>1386</v>
      </c>
      <c r="K308" t="s">
        <v>25</v>
      </c>
      <c r="L308">
        <v>50</v>
      </c>
      <c r="M308" t="s">
        <v>1379</v>
      </c>
      <c r="N308" t="s">
        <v>25</v>
      </c>
      <c r="O308" t="s">
        <v>1355</v>
      </c>
      <c r="P308" t="s">
        <v>25</v>
      </c>
      <c r="Q308">
        <v>117.148</v>
      </c>
      <c r="R308" t="s">
        <v>25</v>
      </c>
      <c r="S308" t="s">
        <v>25</v>
      </c>
    </row>
    <row r="309" spans="1:19" x14ac:dyDescent="0.25">
      <c r="A309">
        <v>6</v>
      </c>
      <c r="B309" t="s">
        <v>167</v>
      </c>
      <c r="C309" t="str">
        <f>HYPERLINK("http://www.ncbi.nlm.nih.gov/protein/KFZ56791.1","KFZ56791.1")</f>
        <v>KFZ56791.1</v>
      </c>
      <c r="D309">
        <v>11735</v>
      </c>
      <c r="E309" t="str">
        <f>HYPERLINK("http://www.ncbi.nlm.nih.gov/Taxonomy/Browser/wwwtax.cgi?mode=Info&amp;id=345573&amp;lvl=3&amp;lin=f&amp;keep=1&amp;srchmode=1&amp;unlock","345573")</f>
        <v>345573</v>
      </c>
      <c r="F309" t="s">
        <v>167</v>
      </c>
      <c r="G309" t="str">
        <f>HYPERLINK("http://www.ncbi.nlm.nih.gov/Taxonomy/Browser/wwwtax.cgi?mode=Info&amp;id=345573&amp;lvl=3&amp;lin=f&amp;keep=1&amp;srchmode=1&amp;unlock","Podiceps cristatus")</f>
        <v>Podiceps cristatus</v>
      </c>
      <c r="H309" t="s">
        <v>274</v>
      </c>
      <c r="I309" t="str">
        <f>HYPERLINK("http://www.ncbi.nlm.nih.gov/protein/KFZ56791.1","Fatty acid-binding protein, liver")</f>
        <v>Fatty acid-binding protein, liver</v>
      </c>
      <c r="J309" t="s">
        <v>1386</v>
      </c>
      <c r="K309" t="s">
        <v>25</v>
      </c>
      <c r="L309">
        <v>50</v>
      </c>
      <c r="M309" t="s">
        <v>1383</v>
      </c>
      <c r="N309" t="s">
        <v>25</v>
      </c>
      <c r="O309" t="s">
        <v>1355</v>
      </c>
      <c r="P309" t="s">
        <v>25</v>
      </c>
      <c r="Q309">
        <v>131.17500000000001</v>
      </c>
      <c r="R309" t="s">
        <v>25</v>
      </c>
      <c r="S309" t="s">
        <v>25</v>
      </c>
    </row>
    <row r="310" spans="1:19" x14ac:dyDescent="0.25">
      <c r="A310">
        <v>6</v>
      </c>
      <c r="B310" t="s">
        <v>167</v>
      </c>
      <c r="C310" t="str">
        <f>HYPERLINK("http://www.ncbi.nlm.nih.gov/protein/XP_026702845.1","XP_026702845.1")</f>
        <v>XP_026702845.1</v>
      </c>
      <c r="D310">
        <v>27794</v>
      </c>
      <c r="E310" t="str">
        <f>HYPERLINK("http://www.ncbi.nlm.nih.gov/Taxonomy/Browser/wwwtax.cgi?mode=Info&amp;id=194338&amp;lvl=3&amp;lin=f&amp;keep=1&amp;srchmode=1&amp;unlock","194338")</f>
        <v>194338</v>
      </c>
      <c r="F310" t="s">
        <v>167</v>
      </c>
      <c r="G310" t="str">
        <f>HYPERLINK("http://www.ncbi.nlm.nih.gov/Taxonomy/Browser/wwwtax.cgi?mode=Info&amp;id=194338&amp;lvl=3&amp;lin=f&amp;keep=1&amp;srchmode=1&amp;unlock","Athene cunicularia")</f>
        <v>Athene cunicularia</v>
      </c>
      <c r="H310" t="s">
        <v>275</v>
      </c>
      <c r="I310" t="str">
        <f>HYPERLINK("http://www.ncbi.nlm.nih.gov/protein/XP_026702845.1","fatty acid-binding protein, liver")</f>
        <v>fatty acid-binding protein, liver</v>
      </c>
      <c r="J310" t="s">
        <v>1386</v>
      </c>
      <c r="K310" t="s">
        <v>25</v>
      </c>
      <c r="L310">
        <v>50</v>
      </c>
      <c r="M310" t="s">
        <v>1379</v>
      </c>
      <c r="N310" t="s">
        <v>25</v>
      </c>
      <c r="O310" t="s">
        <v>1355</v>
      </c>
      <c r="P310" t="s">
        <v>25</v>
      </c>
      <c r="Q310">
        <v>117.148</v>
      </c>
      <c r="R310" t="s">
        <v>25</v>
      </c>
      <c r="S310" t="s">
        <v>25</v>
      </c>
    </row>
    <row r="311" spans="1:19" x14ac:dyDescent="0.25">
      <c r="A311">
        <v>6</v>
      </c>
      <c r="B311" t="s">
        <v>167</v>
      </c>
      <c r="C311" t="str">
        <f>HYPERLINK("http://www.ncbi.nlm.nih.gov/protein/XP_013032632.1","XP_013032632.1")</f>
        <v>XP_013032632.1</v>
      </c>
      <c r="D311">
        <v>31837</v>
      </c>
      <c r="E311" t="str">
        <f>HYPERLINK("http://www.ncbi.nlm.nih.gov/Taxonomy/Browser/wwwtax.cgi?mode=Info&amp;id=381198&amp;lvl=3&amp;lin=f&amp;keep=1&amp;srchmode=1&amp;unlock","381198")</f>
        <v>381198</v>
      </c>
      <c r="F311" t="s">
        <v>167</v>
      </c>
      <c r="G311" t="str">
        <f>HYPERLINK("http://www.ncbi.nlm.nih.gov/Taxonomy/Browser/wwwtax.cgi?mode=Info&amp;id=381198&amp;lvl=3&amp;lin=f&amp;keep=1&amp;srchmode=1&amp;unlock","Anser cygnoides domesticus")</f>
        <v>Anser cygnoides domesticus</v>
      </c>
      <c r="H311" t="s">
        <v>276</v>
      </c>
      <c r="I311" t="str">
        <f>HYPERLINK("http://www.ncbi.nlm.nih.gov/protein/XP_013032632.1","PREDICTED: fatty acid-binding protein, liver")</f>
        <v>PREDICTED: fatty acid-binding protein, liver</v>
      </c>
      <c r="J311" t="s">
        <v>1386</v>
      </c>
      <c r="K311" t="s">
        <v>25</v>
      </c>
      <c r="L311">
        <v>50</v>
      </c>
      <c r="M311" t="s">
        <v>1379</v>
      </c>
      <c r="N311" t="s">
        <v>25</v>
      </c>
      <c r="O311" t="s">
        <v>1355</v>
      </c>
      <c r="P311" t="s">
        <v>25</v>
      </c>
      <c r="Q311">
        <v>117.148</v>
      </c>
      <c r="R311" t="s">
        <v>25</v>
      </c>
      <c r="S311" t="s">
        <v>25</v>
      </c>
    </row>
    <row r="312" spans="1:19" x14ac:dyDescent="0.25">
      <c r="A312">
        <v>6</v>
      </c>
      <c r="B312" t="s">
        <v>167</v>
      </c>
      <c r="C312" t="str">
        <f>HYPERLINK("http://www.ncbi.nlm.nih.gov/protein/XP_009484525.1","XP_009484525.1")</f>
        <v>XP_009484525.1</v>
      </c>
      <c r="D312">
        <v>28615</v>
      </c>
      <c r="E312" t="str">
        <f>HYPERLINK("http://www.ncbi.nlm.nih.gov/Taxonomy/Browser/wwwtax.cgi?mode=Info&amp;id=36300&amp;lvl=3&amp;lin=f&amp;keep=1&amp;srchmode=1&amp;unlock","36300")</f>
        <v>36300</v>
      </c>
      <c r="F312" t="s">
        <v>167</v>
      </c>
      <c r="G312" t="str">
        <f>HYPERLINK("http://www.ncbi.nlm.nih.gov/Taxonomy/Browser/wwwtax.cgi?mode=Info&amp;id=36300&amp;lvl=3&amp;lin=f&amp;keep=1&amp;srchmode=1&amp;unlock","Pelecanus crispus")</f>
        <v>Pelecanus crispus</v>
      </c>
      <c r="H312" t="s">
        <v>269</v>
      </c>
      <c r="I312" t="str">
        <f>HYPERLINK("http://www.ncbi.nlm.nih.gov/protein/XP_009484525.1","PREDICTED: fatty acid-binding protein, liver")</f>
        <v>PREDICTED: fatty acid-binding protein, liver</v>
      </c>
      <c r="J312" t="s">
        <v>1386</v>
      </c>
      <c r="K312" t="s">
        <v>25</v>
      </c>
      <c r="L312">
        <v>50</v>
      </c>
      <c r="M312" t="s">
        <v>1383</v>
      </c>
      <c r="N312" t="s">
        <v>25</v>
      </c>
      <c r="O312" t="s">
        <v>1355</v>
      </c>
      <c r="P312" t="s">
        <v>25</v>
      </c>
      <c r="Q312">
        <v>131.17500000000001</v>
      </c>
      <c r="R312" t="s">
        <v>25</v>
      </c>
      <c r="S312" t="s">
        <v>25</v>
      </c>
    </row>
    <row r="313" spans="1:19" x14ac:dyDescent="0.25">
      <c r="A313">
        <v>6</v>
      </c>
      <c r="B313" t="s">
        <v>167</v>
      </c>
      <c r="C313" t="str">
        <f>HYPERLINK("http://www.ncbi.nlm.nih.gov/protein/NXX59041.1","NXX59041.1")</f>
        <v>NXX59041.1</v>
      </c>
      <c r="D313">
        <v>12329</v>
      </c>
      <c r="E313" t="str">
        <f>HYPERLINK("http://www.ncbi.nlm.nih.gov/Taxonomy/Browser/wwwtax.cgi?mode=Info&amp;id=33581&amp;lvl=3&amp;lin=f&amp;keep=1&amp;srchmode=1&amp;unlock","33581")</f>
        <v>33581</v>
      </c>
      <c r="F313" t="s">
        <v>167</v>
      </c>
      <c r="G313" t="str">
        <f>HYPERLINK("http://www.ncbi.nlm.nih.gov/Taxonomy/Browser/wwwtax.cgi?mode=Info&amp;id=33581&amp;lvl=3&amp;lin=f&amp;keep=1&amp;srchmode=1&amp;unlock","Scopus umbretta")</f>
        <v>Scopus umbretta</v>
      </c>
      <c r="H313" t="s">
        <v>271</v>
      </c>
      <c r="I313" t="str">
        <f>HYPERLINK("http://www.ncbi.nlm.nih.gov/protein/NXX59041.1","FABPL protein")</f>
        <v>FABPL protein</v>
      </c>
      <c r="J313" t="s">
        <v>1386</v>
      </c>
      <c r="K313" t="s">
        <v>20</v>
      </c>
      <c r="L313">
        <v>50</v>
      </c>
      <c r="M313" t="s">
        <v>1380</v>
      </c>
      <c r="N313" t="s">
        <v>20</v>
      </c>
      <c r="O313" t="s">
        <v>1394</v>
      </c>
      <c r="P313" t="s">
        <v>20</v>
      </c>
      <c r="Q313">
        <v>165.19200000000001</v>
      </c>
      <c r="R313" t="s">
        <v>20</v>
      </c>
      <c r="S313" t="s">
        <v>20</v>
      </c>
    </row>
    <row r="314" spans="1:19" x14ac:dyDescent="0.25">
      <c r="A314">
        <v>6</v>
      </c>
      <c r="B314" t="s">
        <v>167</v>
      </c>
      <c r="C314" t="str">
        <f>HYPERLINK("http://www.ncbi.nlm.nih.gov/protein/NXW29532.1","NXW29532.1")</f>
        <v>NXW29532.1</v>
      </c>
      <c r="D314">
        <v>13259</v>
      </c>
      <c r="E314" t="str">
        <f>HYPERLINK("http://www.ncbi.nlm.nih.gov/Taxonomy/Browser/wwwtax.cgi?mode=Info&amp;id=297813&amp;lvl=3&amp;lin=f&amp;keep=1&amp;srchmode=1&amp;unlock","297813")</f>
        <v>297813</v>
      </c>
      <c r="F314" t="s">
        <v>167</v>
      </c>
      <c r="G314" t="str">
        <f>HYPERLINK("http://www.ncbi.nlm.nih.gov/Taxonomy/Browser/wwwtax.cgi?mode=Info&amp;id=297813&amp;lvl=3&amp;lin=f&amp;keep=1&amp;srchmode=1&amp;unlock","Phaetusa simplex")</f>
        <v>Phaetusa simplex</v>
      </c>
      <c r="H314" t="s">
        <v>270</v>
      </c>
      <c r="I314" t="str">
        <f>HYPERLINK("http://www.ncbi.nlm.nih.gov/protein/NXW29532.1","FABPL protein")</f>
        <v>FABPL protein</v>
      </c>
      <c r="J314" t="s">
        <v>1386</v>
      </c>
      <c r="K314" t="s">
        <v>25</v>
      </c>
      <c r="L314">
        <v>50</v>
      </c>
      <c r="M314" t="s">
        <v>1379</v>
      </c>
      <c r="N314" t="s">
        <v>25</v>
      </c>
      <c r="O314" t="s">
        <v>1355</v>
      </c>
      <c r="P314" t="s">
        <v>25</v>
      </c>
      <c r="Q314">
        <v>117.148</v>
      </c>
      <c r="R314" t="s">
        <v>25</v>
      </c>
      <c r="S314" t="s">
        <v>25</v>
      </c>
    </row>
    <row r="315" spans="1:19" x14ac:dyDescent="0.25">
      <c r="A315">
        <v>6</v>
      </c>
      <c r="B315" t="s">
        <v>167</v>
      </c>
      <c r="C315" t="str">
        <f>HYPERLINK("http://www.ncbi.nlm.nih.gov/protein/NWV88972.1","NWV88972.1")</f>
        <v>NWV88972.1</v>
      </c>
      <c r="D315">
        <v>13983</v>
      </c>
      <c r="E315" t="str">
        <f>HYPERLINK("http://www.ncbi.nlm.nih.gov/Taxonomy/Browser/wwwtax.cgi?mode=Info&amp;id=1160894&amp;lvl=3&amp;lin=f&amp;keep=1&amp;srchmode=1&amp;unlock","1160894")</f>
        <v>1160894</v>
      </c>
      <c r="F315" t="s">
        <v>167</v>
      </c>
      <c r="G315" t="str">
        <f>HYPERLINK("http://www.ncbi.nlm.nih.gov/Taxonomy/Browser/wwwtax.cgi?mode=Info&amp;id=1160894&amp;lvl=3&amp;lin=f&amp;keep=1&amp;srchmode=1&amp;unlock","Machaerirhynchus nigripectus")</f>
        <v>Machaerirhynchus nigripectus</v>
      </c>
      <c r="H315" t="s">
        <v>206</v>
      </c>
      <c r="I315" t="str">
        <f>HYPERLINK("http://www.ncbi.nlm.nih.gov/protein/NWV88972.1","FABPL protein")</f>
        <v>FABPL protein</v>
      </c>
      <c r="J315" t="s">
        <v>1386</v>
      </c>
      <c r="K315" t="s">
        <v>25</v>
      </c>
      <c r="L315">
        <v>50</v>
      </c>
      <c r="M315" t="s">
        <v>1379</v>
      </c>
      <c r="N315" t="s">
        <v>25</v>
      </c>
      <c r="O315" t="s">
        <v>1355</v>
      </c>
      <c r="P315" t="s">
        <v>25</v>
      </c>
      <c r="Q315">
        <v>117.148</v>
      </c>
      <c r="R315" t="s">
        <v>25</v>
      </c>
      <c r="S315" t="s">
        <v>25</v>
      </c>
    </row>
    <row r="316" spans="1:19" x14ac:dyDescent="0.25">
      <c r="A316">
        <v>6</v>
      </c>
      <c r="B316" t="s">
        <v>167</v>
      </c>
      <c r="C316" t="str">
        <f>HYPERLINK("http://www.ncbi.nlm.nih.gov/protein/XP_009694660.1","XP_009694660.1")</f>
        <v>XP_009694660.1</v>
      </c>
      <c r="D316">
        <v>27818</v>
      </c>
      <c r="E316" t="str">
        <f>HYPERLINK("http://www.ncbi.nlm.nih.gov/Taxonomy/Browser/wwwtax.cgi?mode=Info&amp;id=54380&amp;lvl=3&amp;lin=f&amp;keep=1&amp;srchmode=1&amp;unlock","54380")</f>
        <v>54380</v>
      </c>
      <c r="F316" t="s">
        <v>167</v>
      </c>
      <c r="G316" t="str">
        <f>HYPERLINK("http://www.ncbi.nlm.nih.gov/Taxonomy/Browser/wwwtax.cgi?mode=Info&amp;id=54380&amp;lvl=3&amp;lin=f&amp;keep=1&amp;srchmode=1&amp;unlock","Cariama cristata")</f>
        <v>Cariama cristata</v>
      </c>
      <c r="H316" t="s">
        <v>282</v>
      </c>
      <c r="I316" t="str">
        <f>HYPERLINK("http://www.ncbi.nlm.nih.gov/protein/XP_009694660.1","PREDICTED: fatty acid-binding protein, liver")</f>
        <v>PREDICTED: fatty acid-binding protein, liver</v>
      </c>
      <c r="J316" t="s">
        <v>1386</v>
      </c>
      <c r="K316" t="s">
        <v>25</v>
      </c>
      <c r="L316">
        <v>50</v>
      </c>
      <c r="M316" t="s">
        <v>1379</v>
      </c>
      <c r="N316" t="s">
        <v>25</v>
      </c>
      <c r="O316" t="s">
        <v>1355</v>
      </c>
      <c r="P316" t="s">
        <v>25</v>
      </c>
      <c r="Q316">
        <v>117.148</v>
      </c>
      <c r="R316" t="s">
        <v>25</v>
      </c>
      <c r="S316" t="s">
        <v>25</v>
      </c>
    </row>
    <row r="317" spans="1:19" x14ac:dyDescent="0.25">
      <c r="A317">
        <v>6</v>
      </c>
      <c r="B317" t="s">
        <v>167</v>
      </c>
      <c r="C317" t="str">
        <f>HYPERLINK("http://www.ncbi.nlm.nih.gov/protein/XP_009637893.1","XP_009637893.1")</f>
        <v>XP_009637893.1</v>
      </c>
      <c r="D317">
        <v>37431</v>
      </c>
      <c r="E317" t="str">
        <f>HYPERLINK("http://www.ncbi.nlm.nih.gov/Taxonomy/Browser/wwwtax.cgi?mode=Info&amp;id=188379&amp;lvl=3&amp;lin=f&amp;keep=1&amp;srchmode=1&amp;unlock","188379")</f>
        <v>188379</v>
      </c>
      <c r="F317" t="s">
        <v>167</v>
      </c>
      <c r="G317" t="str">
        <f>HYPERLINK("http://www.ncbi.nlm.nih.gov/Taxonomy/Browser/wwwtax.cgi?mode=Info&amp;id=188379&amp;lvl=3&amp;lin=f&amp;keep=1&amp;srchmode=1&amp;unlock","Egretta garzetta")</f>
        <v>Egretta garzetta</v>
      </c>
      <c r="H317" t="s">
        <v>285</v>
      </c>
      <c r="I317" t="str">
        <f>HYPERLINK("http://www.ncbi.nlm.nih.gov/protein/XP_009637893.1","fatty acid-binding protein, liver")</f>
        <v>fatty acid-binding protein, liver</v>
      </c>
      <c r="J317" t="s">
        <v>1386</v>
      </c>
      <c r="K317" t="s">
        <v>25</v>
      </c>
      <c r="L317">
        <v>50</v>
      </c>
      <c r="M317" t="s">
        <v>1383</v>
      </c>
      <c r="N317" t="s">
        <v>25</v>
      </c>
      <c r="O317" t="s">
        <v>1355</v>
      </c>
      <c r="P317" t="s">
        <v>25</v>
      </c>
      <c r="Q317">
        <v>131.17500000000001</v>
      </c>
      <c r="R317" t="s">
        <v>25</v>
      </c>
      <c r="S317" t="s">
        <v>25</v>
      </c>
    </row>
    <row r="318" spans="1:19" x14ac:dyDescent="0.25">
      <c r="A318">
        <v>6</v>
      </c>
      <c r="B318" t="s">
        <v>167</v>
      </c>
      <c r="C318" t="str">
        <f>HYPERLINK("http://www.ncbi.nlm.nih.gov/protein/NWW43070.1","NWW43070.1")</f>
        <v>NWW43070.1</v>
      </c>
      <c r="D318">
        <v>13358</v>
      </c>
      <c r="E318" t="str">
        <f>HYPERLINK("http://www.ncbi.nlm.nih.gov/Taxonomy/Browser/wwwtax.cgi?mode=Info&amp;id=227192&amp;lvl=3&amp;lin=f&amp;keep=1&amp;srchmode=1&amp;unlock","227192")</f>
        <v>227192</v>
      </c>
      <c r="F318" t="s">
        <v>167</v>
      </c>
      <c r="G318" t="str">
        <f>HYPERLINK("http://www.ncbi.nlm.nih.gov/Taxonomy/Browser/wwwtax.cgi?mode=Info&amp;id=227192&amp;lvl=3&amp;lin=f&amp;keep=1&amp;srchmode=1&amp;unlock","Pedionomus torquatus")</f>
        <v>Pedionomus torquatus</v>
      </c>
      <c r="H318" t="s">
        <v>286</v>
      </c>
      <c r="I318" t="str">
        <f>HYPERLINK("http://www.ncbi.nlm.nih.gov/protein/NWW43070.1","FABPL protein")</f>
        <v>FABPL protein</v>
      </c>
      <c r="J318" t="s">
        <v>1386</v>
      </c>
      <c r="K318" t="s">
        <v>25</v>
      </c>
      <c r="L318">
        <v>50</v>
      </c>
      <c r="M318" t="s">
        <v>1383</v>
      </c>
      <c r="N318" t="s">
        <v>25</v>
      </c>
      <c r="O318" t="s">
        <v>1355</v>
      </c>
      <c r="P318" t="s">
        <v>25</v>
      </c>
      <c r="Q318">
        <v>131.17500000000001</v>
      </c>
      <c r="R318" t="s">
        <v>25</v>
      </c>
      <c r="S318" t="s">
        <v>25</v>
      </c>
    </row>
    <row r="319" spans="1:19" x14ac:dyDescent="0.25">
      <c r="A319">
        <v>6</v>
      </c>
      <c r="B319" t="s">
        <v>167</v>
      </c>
      <c r="C319" t="str">
        <f>HYPERLINK("http://www.ncbi.nlm.nih.gov/protein/NXU33055.1","NXU33055.1")</f>
        <v>NXU33055.1</v>
      </c>
      <c r="D319">
        <v>11831</v>
      </c>
      <c r="E319" t="str">
        <f>HYPERLINK("http://www.ncbi.nlm.nih.gov/Taxonomy/Browser/wwwtax.cgi?mode=Info&amp;id=54017&amp;lvl=3&amp;lin=f&amp;keep=1&amp;srchmode=1&amp;unlock","54017")</f>
        <v>54017</v>
      </c>
      <c r="F319" t="s">
        <v>167</v>
      </c>
      <c r="G319" t="str">
        <f>HYPERLINK("http://www.ncbi.nlm.nih.gov/Taxonomy/Browser/wwwtax.cgi?mode=Info&amp;id=54017&amp;lvl=3&amp;lin=f&amp;keep=1&amp;srchmode=1&amp;unlock","Thalassarche chlororhynchos")</f>
        <v>Thalassarche chlororhynchos</v>
      </c>
      <c r="H319" t="s">
        <v>287</v>
      </c>
      <c r="I319" t="str">
        <f>HYPERLINK("http://www.ncbi.nlm.nih.gov/protein/NXU33055.1","FABPL protein")</f>
        <v>FABPL protein</v>
      </c>
      <c r="J319" t="s">
        <v>1386</v>
      </c>
      <c r="K319" t="s">
        <v>25</v>
      </c>
      <c r="L319">
        <v>50</v>
      </c>
      <c r="M319" t="s">
        <v>1383</v>
      </c>
      <c r="N319" t="s">
        <v>25</v>
      </c>
      <c r="O319" t="s">
        <v>1355</v>
      </c>
      <c r="P319" t="s">
        <v>25</v>
      </c>
      <c r="Q319">
        <v>131.17500000000001</v>
      </c>
      <c r="R319" t="s">
        <v>25</v>
      </c>
      <c r="S319" t="s">
        <v>25</v>
      </c>
    </row>
    <row r="320" spans="1:19" x14ac:dyDescent="0.25">
      <c r="A320">
        <v>6</v>
      </c>
      <c r="B320" t="s">
        <v>167</v>
      </c>
      <c r="C320" t="str">
        <f>HYPERLINK("http://www.ncbi.nlm.nih.gov/protein/NWW97313.1","NWW97313.1")</f>
        <v>NWW97313.1</v>
      </c>
      <c r="D320">
        <v>13756</v>
      </c>
      <c r="E320" t="str">
        <f>HYPERLINK("http://www.ncbi.nlm.nih.gov/Taxonomy/Browser/wwwtax.cgi?mode=Info&amp;id=54386&amp;lvl=3&amp;lin=f&amp;keep=1&amp;srchmode=1&amp;unlock","54386")</f>
        <v>54386</v>
      </c>
      <c r="F320" t="s">
        <v>167</v>
      </c>
      <c r="G320" t="str">
        <f>HYPERLINK("http://www.ncbi.nlm.nih.gov/Taxonomy/Browser/wwwtax.cgi?mode=Info&amp;id=54386&amp;lvl=3&amp;lin=f&amp;keep=1&amp;srchmode=1&amp;unlock","Rhynochetos jubatus")</f>
        <v>Rhynochetos jubatus</v>
      </c>
      <c r="H320" t="s">
        <v>290</v>
      </c>
      <c r="I320" t="str">
        <f>HYPERLINK("http://www.ncbi.nlm.nih.gov/protein/NWW97313.1","FABPL protein")</f>
        <v>FABPL protein</v>
      </c>
      <c r="J320" t="s">
        <v>1386</v>
      </c>
      <c r="K320" t="s">
        <v>25</v>
      </c>
      <c r="L320">
        <v>50</v>
      </c>
      <c r="M320" t="s">
        <v>1383</v>
      </c>
      <c r="N320" t="s">
        <v>25</v>
      </c>
      <c r="O320" t="s">
        <v>1355</v>
      </c>
      <c r="P320" t="s">
        <v>25</v>
      </c>
      <c r="Q320">
        <v>131.17500000000001</v>
      </c>
      <c r="R320" t="s">
        <v>25</v>
      </c>
      <c r="S320" t="s">
        <v>25</v>
      </c>
    </row>
    <row r="321" spans="1:19" x14ac:dyDescent="0.25">
      <c r="A321">
        <v>6</v>
      </c>
      <c r="B321" t="s">
        <v>167</v>
      </c>
      <c r="C321" t="str">
        <f>HYPERLINK("http://www.ncbi.nlm.nih.gov/protein/NXN48244.1","NXN48244.1")</f>
        <v>NXN48244.1</v>
      </c>
      <c r="D321">
        <v>13695</v>
      </c>
      <c r="E321" t="str">
        <f>HYPERLINK("http://www.ncbi.nlm.nih.gov/Taxonomy/Browser/wwwtax.cgi?mode=Info&amp;id=240209&amp;lvl=3&amp;lin=f&amp;keep=1&amp;srchmode=1&amp;unlock","240209")</f>
        <v>240209</v>
      </c>
      <c r="F321" t="s">
        <v>167</v>
      </c>
      <c r="G321" t="str">
        <f>HYPERLINK("http://www.ncbi.nlm.nih.gov/Taxonomy/Browser/wwwtax.cgi?mode=Info&amp;id=240209&amp;lvl=3&amp;lin=f&amp;keep=1&amp;srchmode=1&amp;unlock","Rhinoptilus africanus")</f>
        <v>Rhinoptilus africanus</v>
      </c>
      <c r="H321" t="s">
        <v>278</v>
      </c>
      <c r="I321" t="str">
        <f>HYPERLINK("http://www.ncbi.nlm.nih.gov/protein/NXN48244.1","FABPL protein")</f>
        <v>FABPL protein</v>
      </c>
      <c r="J321" t="s">
        <v>1386</v>
      </c>
      <c r="K321" t="s">
        <v>25</v>
      </c>
      <c r="L321">
        <v>50</v>
      </c>
      <c r="M321" t="s">
        <v>1383</v>
      </c>
      <c r="N321" t="s">
        <v>25</v>
      </c>
      <c r="O321" t="s">
        <v>1355</v>
      </c>
      <c r="P321" t="s">
        <v>25</v>
      </c>
      <c r="Q321">
        <v>131.17500000000001</v>
      </c>
      <c r="R321" t="s">
        <v>25</v>
      </c>
      <c r="S321" t="s">
        <v>25</v>
      </c>
    </row>
    <row r="322" spans="1:19" x14ac:dyDescent="0.25">
      <c r="A322">
        <v>6</v>
      </c>
      <c r="B322" t="s">
        <v>167</v>
      </c>
      <c r="C322" t="str">
        <f>HYPERLINK("http://www.ncbi.nlm.nih.gov/protein/NWS53175.1","NWS53175.1")</f>
        <v>NWS53175.1</v>
      </c>
      <c r="D322">
        <v>14433</v>
      </c>
      <c r="E322" t="str">
        <f>HYPERLINK("http://www.ncbi.nlm.nih.gov/Taxonomy/Browser/wwwtax.cgi?mode=Info&amp;id=1352770&amp;lvl=3&amp;lin=f&amp;keep=1&amp;srchmode=1&amp;unlock","1352770")</f>
        <v>1352770</v>
      </c>
      <c r="F322" t="s">
        <v>167</v>
      </c>
      <c r="G322" t="str">
        <f>HYPERLINK("http://www.ncbi.nlm.nih.gov/Taxonomy/Browser/wwwtax.cgi?mode=Info&amp;id=1352770&amp;lvl=3&amp;lin=f&amp;keep=1&amp;srchmode=1&amp;unlock","Chunga burmeisteri")</f>
        <v>Chunga burmeisteri</v>
      </c>
      <c r="H322" t="s">
        <v>279</v>
      </c>
      <c r="I322" t="str">
        <f>HYPERLINK("http://www.ncbi.nlm.nih.gov/protein/NWS53175.1","FABPL protein")</f>
        <v>FABPL protein</v>
      </c>
      <c r="J322" t="s">
        <v>1386</v>
      </c>
      <c r="K322" t="s">
        <v>25</v>
      </c>
      <c r="L322">
        <v>50</v>
      </c>
      <c r="M322" t="s">
        <v>1383</v>
      </c>
      <c r="N322" t="s">
        <v>25</v>
      </c>
      <c r="O322" t="s">
        <v>1355</v>
      </c>
      <c r="P322" t="s">
        <v>25</v>
      </c>
      <c r="Q322">
        <v>131.17500000000001</v>
      </c>
      <c r="R322" t="s">
        <v>25</v>
      </c>
      <c r="S322" t="s">
        <v>25</v>
      </c>
    </row>
    <row r="323" spans="1:19" x14ac:dyDescent="0.25">
      <c r="A323">
        <v>6</v>
      </c>
      <c r="B323" t="s">
        <v>167</v>
      </c>
      <c r="C323" t="str">
        <f>HYPERLINK("http://www.ncbi.nlm.nih.gov/protein/NWV51535.1","NWV51535.1")</f>
        <v>NWV51535.1</v>
      </c>
      <c r="D323">
        <v>13977</v>
      </c>
      <c r="E323" t="str">
        <f>HYPERLINK("http://www.ncbi.nlm.nih.gov/Taxonomy/Browser/wwwtax.cgi?mode=Info&amp;id=254528&amp;lvl=3&amp;lin=f&amp;keep=1&amp;srchmode=1&amp;unlock","254528")</f>
        <v>254528</v>
      </c>
      <c r="F323" t="s">
        <v>167</v>
      </c>
      <c r="G323" t="str">
        <f>HYPERLINK("http://www.ncbi.nlm.nih.gov/Taxonomy/Browser/wwwtax.cgi?mode=Info&amp;id=254528&amp;lvl=3&amp;lin=f&amp;keep=1&amp;srchmode=1&amp;unlock","Daphoenositta chrysoptera")</f>
        <v>Daphoenositta chrysoptera</v>
      </c>
      <c r="H323" t="s">
        <v>280</v>
      </c>
      <c r="I323" t="str">
        <f>HYPERLINK("http://www.ncbi.nlm.nih.gov/protein/NWV51535.1","FABPL protein")</f>
        <v>FABPL protein</v>
      </c>
      <c r="J323" t="s">
        <v>1386</v>
      </c>
      <c r="K323" t="s">
        <v>25</v>
      </c>
      <c r="L323">
        <v>50</v>
      </c>
      <c r="M323" t="s">
        <v>1379</v>
      </c>
      <c r="N323" t="s">
        <v>25</v>
      </c>
      <c r="O323" t="s">
        <v>1355</v>
      </c>
      <c r="P323" t="s">
        <v>25</v>
      </c>
      <c r="Q323">
        <v>117.148</v>
      </c>
      <c r="R323" t="s">
        <v>25</v>
      </c>
      <c r="S323" t="s">
        <v>25</v>
      </c>
    </row>
    <row r="324" spans="1:19" x14ac:dyDescent="0.25">
      <c r="A324">
        <v>6</v>
      </c>
      <c r="B324" t="s">
        <v>167</v>
      </c>
      <c r="C324" t="str">
        <f>HYPERLINK("http://www.ncbi.nlm.nih.gov/protein/NXJ51376.1","NXJ51376.1")</f>
        <v>NXJ51376.1</v>
      </c>
      <c r="D324">
        <v>14391</v>
      </c>
      <c r="E324" t="str">
        <f>HYPERLINK("http://www.ncbi.nlm.nih.gov/Taxonomy/Browser/wwwtax.cgi?mode=Info&amp;id=252798&amp;lvl=3&amp;lin=f&amp;keep=1&amp;srchmode=1&amp;unlock","252798")</f>
        <v>252798</v>
      </c>
      <c r="F324" t="s">
        <v>167</v>
      </c>
      <c r="G324" t="str">
        <f>HYPERLINK("http://www.ncbi.nlm.nih.gov/Taxonomy/Browser/wwwtax.cgi?mode=Info&amp;id=252798&amp;lvl=3&amp;lin=f&amp;keep=1&amp;srchmode=1&amp;unlock","Spizaetus tyrannus")</f>
        <v>Spizaetus tyrannus</v>
      </c>
      <c r="H324" t="s">
        <v>292</v>
      </c>
      <c r="I324" t="str">
        <f>HYPERLINK("http://www.ncbi.nlm.nih.gov/protein/NXJ51376.1","FABPL protein")</f>
        <v>FABPL protein</v>
      </c>
      <c r="J324" t="s">
        <v>1386</v>
      </c>
      <c r="K324" t="s">
        <v>25</v>
      </c>
      <c r="L324">
        <v>50</v>
      </c>
      <c r="M324" t="s">
        <v>1383</v>
      </c>
      <c r="N324" t="s">
        <v>25</v>
      </c>
      <c r="O324" t="s">
        <v>1355</v>
      </c>
      <c r="P324" t="s">
        <v>25</v>
      </c>
      <c r="Q324">
        <v>131.17500000000001</v>
      </c>
      <c r="R324" t="s">
        <v>25</v>
      </c>
      <c r="S324" t="s">
        <v>25</v>
      </c>
    </row>
    <row r="325" spans="1:19" x14ac:dyDescent="0.25">
      <c r="A325">
        <v>6</v>
      </c>
      <c r="B325" t="s">
        <v>167</v>
      </c>
      <c r="C325" t="str">
        <f>HYPERLINK("http://www.ncbi.nlm.nih.gov/protein/NWV06505.1","NWV06505.1")</f>
        <v>NWV06505.1</v>
      </c>
      <c r="D325">
        <v>14013</v>
      </c>
      <c r="E325" t="str">
        <f>HYPERLINK("http://www.ncbi.nlm.nih.gov/Taxonomy/Browser/wwwtax.cgi?mode=Info&amp;id=28724&amp;lvl=3&amp;lin=f&amp;keep=1&amp;srchmode=1&amp;unlock","28724")</f>
        <v>28724</v>
      </c>
      <c r="F325" t="s">
        <v>167</v>
      </c>
      <c r="G325" t="str">
        <f>HYPERLINK("http://www.ncbi.nlm.nih.gov/Taxonomy/Browser/wwwtax.cgi?mode=Info&amp;id=28724&amp;lvl=3&amp;lin=f&amp;keep=1&amp;srchmode=1&amp;unlock","Ptilonorhynchus violaceus")</f>
        <v>Ptilonorhynchus violaceus</v>
      </c>
      <c r="H325" t="s">
        <v>293</v>
      </c>
      <c r="I325" t="str">
        <f>HYPERLINK("http://www.ncbi.nlm.nih.gov/protein/NWV06505.1","FABPL protein")</f>
        <v>FABPL protein</v>
      </c>
      <c r="J325" t="s">
        <v>1386</v>
      </c>
      <c r="K325" t="s">
        <v>25</v>
      </c>
      <c r="L325">
        <v>50</v>
      </c>
      <c r="M325" t="s">
        <v>1383</v>
      </c>
      <c r="N325" t="s">
        <v>25</v>
      </c>
      <c r="O325" t="s">
        <v>1355</v>
      </c>
      <c r="P325" t="s">
        <v>25</v>
      </c>
      <c r="Q325">
        <v>131.17500000000001</v>
      </c>
      <c r="R325" t="s">
        <v>25</v>
      </c>
      <c r="S325" t="s">
        <v>25</v>
      </c>
    </row>
    <row r="326" spans="1:19" x14ac:dyDescent="0.25">
      <c r="A326">
        <v>6</v>
      </c>
      <c r="B326" t="s">
        <v>167</v>
      </c>
      <c r="C326" t="str">
        <f>HYPERLINK("http://www.ncbi.nlm.nih.gov/protein/XP_029869118.1","XP_029869118.1")</f>
        <v>XP_029869118.1</v>
      </c>
      <c r="D326">
        <v>48151</v>
      </c>
      <c r="E326" t="str">
        <f>HYPERLINK("http://www.ncbi.nlm.nih.gov/Taxonomy/Browser/wwwtax.cgi?mode=Info&amp;id=223781&amp;lvl=3&amp;lin=f&amp;keep=1&amp;srchmode=1&amp;unlock","223781")</f>
        <v>223781</v>
      </c>
      <c r="F326" t="s">
        <v>167</v>
      </c>
      <c r="G326" t="str">
        <f>HYPERLINK("http://www.ncbi.nlm.nih.gov/Taxonomy/Browser/wwwtax.cgi?mode=Info&amp;id=223781&amp;lvl=3&amp;lin=f&amp;keep=1&amp;srchmode=1&amp;unlock","Aquila chrysaetos chrysaetos")</f>
        <v>Aquila chrysaetos chrysaetos</v>
      </c>
      <c r="H326" t="s">
        <v>291</v>
      </c>
      <c r="I326" t="str">
        <f>HYPERLINK("http://www.ncbi.nlm.nih.gov/protein/XP_029869118.1","fatty acid-binding protein, liver")</f>
        <v>fatty acid-binding protein, liver</v>
      </c>
      <c r="J326" t="s">
        <v>1386</v>
      </c>
      <c r="K326" t="s">
        <v>25</v>
      </c>
      <c r="L326">
        <v>50</v>
      </c>
      <c r="M326" t="s">
        <v>1383</v>
      </c>
      <c r="N326" t="s">
        <v>25</v>
      </c>
      <c r="O326" t="s">
        <v>1355</v>
      </c>
      <c r="P326" t="s">
        <v>25</v>
      </c>
      <c r="Q326">
        <v>131.17500000000001</v>
      </c>
      <c r="R326" t="s">
        <v>25</v>
      </c>
      <c r="S326" t="s">
        <v>25</v>
      </c>
    </row>
    <row r="327" spans="1:19" x14ac:dyDescent="0.25">
      <c r="A327">
        <v>6</v>
      </c>
      <c r="B327" t="s">
        <v>167</v>
      </c>
      <c r="C327" t="str">
        <f>HYPERLINK("http://www.ncbi.nlm.nih.gov/protein/NWV20188.1","NWV20188.1")</f>
        <v>NWV20188.1</v>
      </c>
      <c r="D327">
        <v>14487</v>
      </c>
      <c r="E327" t="str">
        <f>HYPERLINK("http://www.ncbi.nlm.nih.gov/Taxonomy/Browser/wwwtax.cgi?mode=Info&amp;id=720586&amp;lvl=3&amp;lin=f&amp;keep=1&amp;srchmode=1&amp;unlock","720586")</f>
        <v>720586</v>
      </c>
      <c r="F327" t="s">
        <v>167</v>
      </c>
      <c r="G327" t="str">
        <f>HYPERLINK("http://www.ncbi.nlm.nih.gov/Taxonomy/Browser/wwwtax.cgi?mode=Info&amp;id=720586&amp;lvl=3&amp;lin=f&amp;keep=1&amp;srchmode=1&amp;unlock","Origma solitaria")</f>
        <v>Origma solitaria</v>
      </c>
      <c r="H327" t="s">
        <v>206</v>
      </c>
      <c r="I327" t="str">
        <f>HYPERLINK("http://www.ncbi.nlm.nih.gov/protein/NWV20188.1","FABPL protein")</f>
        <v>FABPL protein</v>
      </c>
      <c r="J327" t="s">
        <v>1386</v>
      </c>
      <c r="K327" t="s">
        <v>25</v>
      </c>
      <c r="L327">
        <v>50</v>
      </c>
      <c r="M327" t="s">
        <v>1379</v>
      </c>
      <c r="N327" t="s">
        <v>25</v>
      </c>
      <c r="O327" t="s">
        <v>1355</v>
      </c>
      <c r="P327" t="s">
        <v>25</v>
      </c>
      <c r="Q327">
        <v>117.148</v>
      </c>
      <c r="R327" t="s">
        <v>25</v>
      </c>
      <c r="S327" t="s">
        <v>25</v>
      </c>
    </row>
    <row r="328" spans="1:19" x14ac:dyDescent="0.25">
      <c r="A328">
        <v>6</v>
      </c>
      <c r="B328" t="s">
        <v>167</v>
      </c>
      <c r="C328" t="str">
        <f>HYPERLINK("http://www.ncbi.nlm.nih.gov/protein/NXG65253.1","NXG65253.1")</f>
        <v>NXG65253.1</v>
      </c>
      <c r="D328">
        <v>13817</v>
      </c>
      <c r="E328" t="str">
        <f>HYPERLINK("http://www.ncbi.nlm.nih.gov/Taxonomy/Browser/wwwtax.cgi?mode=Info&amp;id=243314&amp;lvl=3&amp;lin=f&amp;keep=1&amp;srchmode=1&amp;unlock","243314")</f>
        <v>243314</v>
      </c>
      <c r="F328" t="s">
        <v>167</v>
      </c>
      <c r="G328" t="str">
        <f>HYPERLINK("http://www.ncbi.nlm.nih.gov/Taxonomy/Browser/wwwtax.cgi?mode=Info&amp;id=243314&amp;lvl=3&amp;lin=f&amp;keep=1&amp;srchmode=1&amp;unlock","Hemiprocne comata")</f>
        <v>Hemiprocne comata</v>
      </c>
      <c r="H328" t="s">
        <v>296</v>
      </c>
      <c r="I328" t="str">
        <f>HYPERLINK("http://www.ncbi.nlm.nih.gov/protein/NXG65253.1","FABPL protein")</f>
        <v>FABPL protein</v>
      </c>
      <c r="J328" t="s">
        <v>1386</v>
      </c>
      <c r="K328" t="s">
        <v>25</v>
      </c>
      <c r="L328">
        <v>50</v>
      </c>
      <c r="M328" t="s">
        <v>1383</v>
      </c>
      <c r="N328" t="s">
        <v>25</v>
      </c>
      <c r="O328" t="s">
        <v>1355</v>
      </c>
      <c r="P328" t="s">
        <v>25</v>
      </c>
      <c r="Q328">
        <v>131.17500000000001</v>
      </c>
      <c r="R328" t="s">
        <v>25</v>
      </c>
      <c r="S328" t="s">
        <v>25</v>
      </c>
    </row>
    <row r="329" spans="1:19" x14ac:dyDescent="0.25">
      <c r="A329">
        <v>6</v>
      </c>
      <c r="B329" t="s">
        <v>167</v>
      </c>
      <c r="C329" t="str">
        <f>HYPERLINK("http://www.ncbi.nlm.nih.gov/protein/NXC69071.1","NXC69071.1")</f>
        <v>NXC69071.1</v>
      </c>
      <c r="D329">
        <v>13634</v>
      </c>
      <c r="E329" t="str">
        <f>HYPERLINK("http://www.ncbi.nlm.nih.gov/Taxonomy/Browser/wwwtax.cgi?mode=Info&amp;id=56067&amp;lvl=3&amp;lin=f&amp;keep=1&amp;srchmode=1&amp;unlock","56067")</f>
        <v>56067</v>
      </c>
      <c r="F329" t="s">
        <v>167</v>
      </c>
      <c r="G329" t="str">
        <f>HYPERLINK("http://www.ncbi.nlm.nih.gov/Taxonomy/Browser/wwwtax.cgi?mode=Info&amp;id=56067&amp;lvl=3&amp;lin=f&amp;keep=1&amp;srchmode=1&amp;unlock","Anhinga anhinga")</f>
        <v>Anhinga anhinga</v>
      </c>
      <c r="H329" t="s">
        <v>297</v>
      </c>
      <c r="I329" t="str">
        <f>HYPERLINK("http://www.ncbi.nlm.nih.gov/protein/NXC69071.1","FABPL protein")</f>
        <v>FABPL protein</v>
      </c>
      <c r="J329" t="s">
        <v>1386</v>
      </c>
      <c r="K329" t="s">
        <v>25</v>
      </c>
      <c r="L329">
        <v>50</v>
      </c>
      <c r="M329" t="s">
        <v>1383</v>
      </c>
      <c r="N329" t="s">
        <v>25</v>
      </c>
      <c r="O329" t="s">
        <v>1355</v>
      </c>
      <c r="P329" t="s">
        <v>25</v>
      </c>
      <c r="Q329">
        <v>131.17500000000001</v>
      </c>
      <c r="R329" t="s">
        <v>25</v>
      </c>
      <c r="S329" t="s">
        <v>25</v>
      </c>
    </row>
    <row r="330" spans="1:19" x14ac:dyDescent="0.25">
      <c r="A330">
        <v>6</v>
      </c>
      <c r="B330" t="s">
        <v>167</v>
      </c>
      <c r="C330" t="str">
        <f>HYPERLINK("http://www.ncbi.nlm.nih.gov/protein/XP_010400394.1","XP_010400394.1")</f>
        <v>XP_010400394.1</v>
      </c>
      <c r="D330">
        <v>42637</v>
      </c>
      <c r="E330" t="str">
        <f>HYPERLINK("http://www.ncbi.nlm.nih.gov/Taxonomy/Browser/wwwtax.cgi?mode=Info&amp;id=932674&amp;lvl=3&amp;lin=f&amp;keep=1&amp;srchmode=1&amp;unlock","932674")</f>
        <v>932674</v>
      </c>
      <c r="F330" t="s">
        <v>167</v>
      </c>
      <c r="G330" t="str">
        <f>HYPERLINK("http://www.ncbi.nlm.nih.gov/Taxonomy/Browser/wwwtax.cgi?mode=Info&amp;id=932674&amp;lvl=3&amp;lin=f&amp;keep=1&amp;srchmode=1&amp;unlock","Corvus cornix cornix")</f>
        <v>Corvus cornix cornix</v>
      </c>
      <c r="H330" t="s">
        <v>298</v>
      </c>
      <c r="I330" t="str">
        <f>HYPERLINK("http://www.ncbi.nlm.nih.gov/protein/XP_010400394.1","fatty acid-binding protein, liver")</f>
        <v>fatty acid-binding protein, liver</v>
      </c>
      <c r="J330" t="s">
        <v>1386</v>
      </c>
      <c r="K330" t="s">
        <v>25</v>
      </c>
      <c r="L330">
        <v>50</v>
      </c>
      <c r="M330" t="s">
        <v>1379</v>
      </c>
      <c r="N330" t="s">
        <v>25</v>
      </c>
      <c r="O330" t="s">
        <v>1355</v>
      </c>
      <c r="P330" t="s">
        <v>25</v>
      </c>
      <c r="Q330">
        <v>117.148</v>
      </c>
      <c r="R330" t="s">
        <v>25</v>
      </c>
      <c r="S330" t="s">
        <v>25</v>
      </c>
    </row>
    <row r="331" spans="1:19" x14ac:dyDescent="0.25">
      <c r="A331">
        <v>6</v>
      </c>
      <c r="B331" t="s">
        <v>167</v>
      </c>
      <c r="C331" t="str">
        <f>HYPERLINK("http://www.ncbi.nlm.nih.gov/protein/XP_009993913.1","XP_009993913.1")</f>
        <v>XP_009993913.1</v>
      </c>
      <c r="D331">
        <v>29258</v>
      </c>
      <c r="E331" t="str">
        <f>HYPERLINK("http://www.ncbi.nlm.nih.gov/Taxonomy/Browser/wwwtax.cgi?mode=Info&amp;id=8897&amp;lvl=3&amp;lin=f&amp;keep=1&amp;srchmode=1&amp;unlock","8897")</f>
        <v>8897</v>
      </c>
      <c r="F331" t="s">
        <v>167</v>
      </c>
      <c r="G331" t="str">
        <f>HYPERLINK("http://www.ncbi.nlm.nih.gov/Taxonomy/Browser/wwwtax.cgi?mode=Info&amp;id=8897&amp;lvl=3&amp;lin=f&amp;keep=1&amp;srchmode=1&amp;unlock","Chaetura pelagica")</f>
        <v>Chaetura pelagica</v>
      </c>
      <c r="H331" t="s">
        <v>299</v>
      </c>
      <c r="I331" t="str">
        <f>HYPERLINK("http://www.ncbi.nlm.nih.gov/protein/XP_009993913.1","PREDICTED: fatty acid-binding protein, liver")</f>
        <v>PREDICTED: fatty acid-binding protein, liver</v>
      </c>
      <c r="J331" t="s">
        <v>1386</v>
      </c>
      <c r="K331" t="s">
        <v>25</v>
      </c>
      <c r="L331">
        <v>50</v>
      </c>
      <c r="M331" t="s">
        <v>1383</v>
      </c>
      <c r="N331" t="s">
        <v>25</v>
      </c>
      <c r="O331" t="s">
        <v>1355</v>
      </c>
      <c r="P331" t="s">
        <v>25</v>
      </c>
      <c r="Q331">
        <v>131.17500000000001</v>
      </c>
      <c r="R331" t="s">
        <v>25</v>
      </c>
      <c r="S331" t="s">
        <v>25</v>
      </c>
    </row>
    <row r="332" spans="1:19" x14ac:dyDescent="0.25">
      <c r="A332">
        <v>6</v>
      </c>
      <c r="B332" t="s">
        <v>167</v>
      </c>
      <c r="C332" t="str">
        <f>HYPERLINK("http://www.ncbi.nlm.nih.gov/protein/XP_008643337.1","XP_008643337.1")</f>
        <v>XP_008643337.1</v>
      </c>
      <c r="D332">
        <v>43088</v>
      </c>
      <c r="E332" t="str">
        <f>HYPERLINK("http://www.ncbi.nlm.nih.gov/Taxonomy/Browser/wwwtax.cgi?mode=Info&amp;id=85066&amp;lvl=3&amp;lin=f&amp;keep=1&amp;srchmode=1&amp;unlock","85066")</f>
        <v>85066</v>
      </c>
      <c r="F332" t="s">
        <v>167</v>
      </c>
      <c r="G332" t="str">
        <f>HYPERLINK("http://www.ncbi.nlm.nih.gov/Taxonomy/Browser/wwwtax.cgi?mode=Info&amp;id=85066&amp;lvl=3&amp;lin=f&amp;keep=1&amp;srchmode=1&amp;unlock","Corvus brachyrhynchos")</f>
        <v>Corvus brachyrhynchos</v>
      </c>
      <c r="H332" t="s">
        <v>294</v>
      </c>
      <c r="I332" t="str">
        <f>HYPERLINK("http://www.ncbi.nlm.nih.gov/protein/XP_008643337.1","PREDICTED: fatty acid-binding protein, liver")</f>
        <v>PREDICTED: fatty acid-binding protein, liver</v>
      </c>
      <c r="J332" t="s">
        <v>1386</v>
      </c>
      <c r="K332" t="s">
        <v>25</v>
      </c>
      <c r="L332">
        <v>50</v>
      </c>
      <c r="M332" t="s">
        <v>1379</v>
      </c>
      <c r="N332" t="s">
        <v>25</v>
      </c>
      <c r="O332" t="s">
        <v>1355</v>
      </c>
      <c r="P332" t="s">
        <v>25</v>
      </c>
      <c r="Q332">
        <v>117.148</v>
      </c>
      <c r="R332" t="s">
        <v>25</v>
      </c>
      <c r="S332" t="s">
        <v>25</v>
      </c>
    </row>
    <row r="333" spans="1:19" x14ac:dyDescent="0.25">
      <c r="A333">
        <v>6</v>
      </c>
      <c r="B333" t="s">
        <v>167</v>
      </c>
      <c r="C333" t="str">
        <f>HYPERLINK("http://www.ncbi.nlm.nih.gov/protein/NWH80582.1","NWH80582.1")</f>
        <v>NWH80582.1</v>
      </c>
      <c r="D333">
        <v>14099</v>
      </c>
      <c r="E333" t="str">
        <f>HYPERLINK("http://www.ncbi.nlm.nih.gov/Taxonomy/Browser/wwwtax.cgi?mode=Info&amp;id=33601&amp;lvl=3&amp;lin=f&amp;keep=1&amp;srchmode=1&amp;unlock","33601")</f>
        <v>33601</v>
      </c>
      <c r="F333" t="s">
        <v>167</v>
      </c>
      <c r="G333" t="str">
        <f>HYPERLINK("http://www.ncbi.nlm.nih.gov/Taxonomy/Browser/wwwtax.cgi?mode=Info&amp;id=33601&amp;lvl=3&amp;lin=f&amp;keep=1&amp;srchmode=1&amp;unlock","Piaya cayana")</f>
        <v>Piaya cayana</v>
      </c>
      <c r="H333" t="s">
        <v>295</v>
      </c>
      <c r="I333" t="str">
        <f>HYPERLINK("http://www.ncbi.nlm.nih.gov/protein/NWH80582.1","FABPL protein")</f>
        <v>FABPL protein</v>
      </c>
      <c r="J333" t="s">
        <v>1386</v>
      </c>
      <c r="K333" t="s">
        <v>25</v>
      </c>
      <c r="L333">
        <v>50</v>
      </c>
      <c r="M333" t="s">
        <v>1379</v>
      </c>
      <c r="N333" t="s">
        <v>25</v>
      </c>
      <c r="O333" t="s">
        <v>1355</v>
      </c>
      <c r="P333" t="s">
        <v>25</v>
      </c>
      <c r="Q333">
        <v>117.148</v>
      </c>
      <c r="R333" t="s">
        <v>25</v>
      </c>
      <c r="S333" t="s">
        <v>25</v>
      </c>
    </row>
    <row r="334" spans="1:19" x14ac:dyDescent="0.25">
      <c r="A334">
        <v>6</v>
      </c>
      <c r="B334" t="s">
        <v>167</v>
      </c>
      <c r="C334" t="str">
        <f>HYPERLINK("http://www.ncbi.nlm.nih.gov/protein/XP_010142905.1","XP_010142905.1")</f>
        <v>XP_010142905.1</v>
      </c>
      <c r="D334">
        <v>27223</v>
      </c>
      <c r="E334" t="str">
        <f>HYPERLINK("http://www.ncbi.nlm.nih.gov/Taxonomy/Browser/wwwtax.cgi?mode=Info&amp;id=175836&amp;lvl=3&amp;lin=f&amp;keep=1&amp;srchmode=1&amp;unlock","175836")</f>
        <v>175836</v>
      </c>
      <c r="F334" t="s">
        <v>167</v>
      </c>
      <c r="G334" t="str">
        <f>HYPERLINK("http://www.ncbi.nlm.nih.gov/Taxonomy/Browser/wwwtax.cgi?mode=Info&amp;id=175836&amp;lvl=3&amp;lin=f&amp;keep=1&amp;srchmode=1&amp;unlock","Buceros rhinoceros silvestris")</f>
        <v>Buceros rhinoceros silvestris</v>
      </c>
      <c r="H334" t="s">
        <v>301</v>
      </c>
      <c r="I334" t="str">
        <f>HYPERLINK("http://www.ncbi.nlm.nih.gov/protein/XP_010142905.1","PREDICTED: fatty acid-binding protein, liver")</f>
        <v>PREDICTED: fatty acid-binding protein, liver</v>
      </c>
      <c r="J334" t="s">
        <v>1386</v>
      </c>
      <c r="K334" t="s">
        <v>25</v>
      </c>
      <c r="L334">
        <v>50</v>
      </c>
      <c r="M334" t="s">
        <v>1383</v>
      </c>
      <c r="N334" t="s">
        <v>25</v>
      </c>
      <c r="O334" t="s">
        <v>1355</v>
      </c>
      <c r="P334" t="s">
        <v>25</v>
      </c>
      <c r="Q334">
        <v>131.17500000000001</v>
      </c>
      <c r="R334" t="s">
        <v>25</v>
      </c>
      <c r="S334" t="s">
        <v>25</v>
      </c>
    </row>
    <row r="335" spans="1:19" x14ac:dyDescent="0.25">
      <c r="A335">
        <v>6</v>
      </c>
      <c r="B335" t="s">
        <v>167</v>
      </c>
      <c r="C335" t="str">
        <f>HYPERLINK("http://www.ncbi.nlm.nih.gov/protein/NXY74130.1","NXY74130.1")</f>
        <v>NXY74130.1</v>
      </c>
      <c r="D335">
        <v>13804</v>
      </c>
      <c r="E335" t="str">
        <f>HYPERLINK("http://www.ncbi.nlm.nih.gov/Taxonomy/Browser/wwwtax.cgi?mode=Info&amp;id=43316&amp;lvl=3&amp;lin=f&amp;keep=1&amp;srchmode=1&amp;unlock","43316")</f>
        <v>43316</v>
      </c>
      <c r="F335" t="s">
        <v>167</v>
      </c>
      <c r="G335" t="str">
        <f>HYPERLINK("http://www.ncbi.nlm.nih.gov/Taxonomy/Browser/wwwtax.cgi?mode=Info&amp;id=43316&amp;lvl=3&amp;lin=f&amp;keep=1&amp;srchmode=1&amp;unlock","Glareola pratincola")</f>
        <v>Glareola pratincola</v>
      </c>
      <c r="H335" t="s">
        <v>185</v>
      </c>
      <c r="I335" t="str">
        <f>HYPERLINK("http://www.ncbi.nlm.nih.gov/protein/NXY74130.1","FABPL protein")</f>
        <v>FABPL protein</v>
      </c>
      <c r="J335" t="s">
        <v>1386</v>
      </c>
      <c r="K335" t="s">
        <v>25</v>
      </c>
      <c r="L335">
        <v>50</v>
      </c>
      <c r="M335" t="s">
        <v>1383</v>
      </c>
      <c r="N335" t="s">
        <v>25</v>
      </c>
      <c r="O335" t="s">
        <v>1355</v>
      </c>
      <c r="P335" t="s">
        <v>25</v>
      </c>
      <c r="Q335">
        <v>131.17500000000001</v>
      </c>
      <c r="R335" t="s">
        <v>25</v>
      </c>
      <c r="S335" t="s">
        <v>25</v>
      </c>
    </row>
    <row r="336" spans="1:19" x14ac:dyDescent="0.25">
      <c r="A336">
        <v>6</v>
      </c>
      <c r="B336" t="s">
        <v>167</v>
      </c>
      <c r="C336" t="str">
        <f>HYPERLINK("http://www.ncbi.nlm.nih.gov/protein/NWT14664.1","NWT14664.1")</f>
        <v>NWT14664.1</v>
      </c>
      <c r="D336">
        <v>14153</v>
      </c>
      <c r="E336" t="str">
        <f>HYPERLINK("http://www.ncbi.nlm.nih.gov/Taxonomy/Browser/wwwtax.cgi?mode=Info&amp;id=34956&amp;lvl=3&amp;lin=f&amp;keep=1&amp;srchmode=1&amp;unlock","34956")</f>
        <v>34956</v>
      </c>
      <c r="F336" t="s">
        <v>167</v>
      </c>
      <c r="G336" t="str">
        <f>HYPERLINK("http://www.ncbi.nlm.nih.gov/Taxonomy/Browser/wwwtax.cgi?mode=Info&amp;id=34956&amp;lvl=3&amp;lin=f&amp;keep=1&amp;srchmode=1&amp;unlock","Vireo altiloquus")</f>
        <v>Vireo altiloquus</v>
      </c>
      <c r="H336" t="s">
        <v>302</v>
      </c>
      <c r="I336" t="str">
        <f>HYPERLINK("http://www.ncbi.nlm.nih.gov/protein/NWT14664.1","FABPL protein")</f>
        <v>FABPL protein</v>
      </c>
      <c r="J336" t="s">
        <v>1386</v>
      </c>
      <c r="K336" t="s">
        <v>25</v>
      </c>
      <c r="L336">
        <v>50</v>
      </c>
      <c r="M336" t="s">
        <v>1383</v>
      </c>
      <c r="N336" t="s">
        <v>25</v>
      </c>
      <c r="O336" t="s">
        <v>1355</v>
      </c>
      <c r="P336" t="s">
        <v>25</v>
      </c>
      <c r="Q336">
        <v>131.17500000000001</v>
      </c>
      <c r="R336" t="s">
        <v>25</v>
      </c>
      <c r="S336" t="s">
        <v>25</v>
      </c>
    </row>
    <row r="337" spans="1:19" x14ac:dyDescent="0.25">
      <c r="A337">
        <v>6</v>
      </c>
      <c r="B337" t="s">
        <v>167</v>
      </c>
      <c r="C337" t="str">
        <f>HYPERLINK("http://www.ncbi.nlm.nih.gov/protein/NWR74348.1","NWR74348.1")</f>
        <v>NWR74348.1</v>
      </c>
      <c r="D337">
        <v>14035</v>
      </c>
      <c r="E337" t="str">
        <f>HYPERLINK("http://www.ncbi.nlm.nih.gov/Taxonomy/Browser/wwwtax.cgi?mode=Info&amp;id=1118519&amp;lvl=3&amp;lin=f&amp;keep=1&amp;srchmode=1&amp;unlock","1118519")</f>
        <v>1118519</v>
      </c>
      <c r="F337" t="s">
        <v>167</v>
      </c>
      <c r="G337" t="str">
        <f>HYPERLINK("http://www.ncbi.nlm.nih.gov/Taxonomy/Browser/wwwtax.cgi?mode=Info&amp;id=1118519&amp;lvl=3&amp;lin=f&amp;keep=1&amp;srchmode=1&amp;unlock","Centropus unirufus")</f>
        <v>Centropus unirufus</v>
      </c>
      <c r="H337" t="s">
        <v>303</v>
      </c>
      <c r="I337" t="str">
        <f>HYPERLINK("http://www.ncbi.nlm.nih.gov/protein/NWR74348.1","FABPL protein")</f>
        <v>FABPL protein</v>
      </c>
      <c r="J337" t="s">
        <v>1386</v>
      </c>
      <c r="K337" t="s">
        <v>25</v>
      </c>
      <c r="L337">
        <v>50</v>
      </c>
      <c r="M337" t="s">
        <v>1379</v>
      </c>
      <c r="N337" t="s">
        <v>25</v>
      </c>
      <c r="O337" t="s">
        <v>1355</v>
      </c>
      <c r="P337" t="s">
        <v>25</v>
      </c>
      <c r="Q337">
        <v>117.148</v>
      </c>
      <c r="R337" t="s">
        <v>25</v>
      </c>
      <c r="S337" t="s">
        <v>25</v>
      </c>
    </row>
    <row r="338" spans="1:19" x14ac:dyDescent="0.25">
      <c r="A338">
        <v>6</v>
      </c>
      <c r="B338" t="s">
        <v>167</v>
      </c>
      <c r="C338" t="str">
        <f>HYPERLINK("http://www.ncbi.nlm.nih.gov/protein/NXW19031.1","NXW19031.1")</f>
        <v>NXW19031.1</v>
      </c>
      <c r="D338">
        <v>14176</v>
      </c>
      <c r="E338" t="str">
        <f>HYPERLINK("http://www.ncbi.nlm.nih.gov/Taxonomy/Browser/wwwtax.cgi?mode=Info&amp;id=321084&amp;lvl=3&amp;lin=f&amp;keep=1&amp;srchmode=1&amp;unlock","321084")</f>
        <v>321084</v>
      </c>
      <c r="F338" t="s">
        <v>167</v>
      </c>
      <c r="G338" t="str">
        <f>HYPERLINK("http://www.ncbi.nlm.nih.gov/Taxonomy/Browser/wwwtax.cgi?mode=Info&amp;id=321084&amp;lvl=3&amp;lin=f&amp;keep=1&amp;srchmode=1&amp;unlock","Circaetus pectoralis")</f>
        <v>Circaetus pectoralis</v>
      </c>
      <c r="H338" t="s">
        <v>304</v>
      </c>
      <c r="I338" t="str">
        <f>HYPERLINK("http://www.ncbi.nlm.nih.gov/protein/NXW19031.1","FABPL protein")</f>
        <v>FABPL protein</v>
      </c>
      <c r="J338" t="s">
        <v>1386</v>
      </c>
      <c r="K338" t="s">
        <v>25</v>
      </c>
      <c r="L338">
        <v>50</v>
      </c>
      <c r="M338" t="s">
        <v>1383</v>
      </c>
      <c r="N338" t="s">
        <v>25</v>
      </c>
      <c r="O338" t="s">
        <v>1355</v>
      </c>
      <c r="P338" t="s">
        <v>25</v>
      </c>
      <c r="Q338">
        <v>131.17500000000001</v>
      </c>
      <c r="R338" t="s">
        <v>25</v>
      </c>
      <c r="S338" t="s">
        <v>25</v>
      </c>
    </row>
    <row r="339" spans="1:19" x14ac:dyDescent="0.25">
      <c r="A339">
        <v>6</v>
      </c>
      <c r="B339" t="s">
        <v>167</v>
      </c>
      <c r="C339" t="str">
        <f>HYPERLINK("http://www.ncbi.nlm.nih.gov/protein/NWI70669.1","NWI70669.1")</f>
        <v>NWI70669.1</v>
      </c>
      <c r="D339">
        <v>10103</v>
      </c>
      <c r="E339" t="str">
        <f>HYPERLINK("http://www.ncbi.nlm.nih.gov/Taxonomy/Browser/wwwtax.cgi?mode=Info&amp;id=135184&amp;lvl=3&amp;lin=f&amp;keep=1&amp;srchmode=1&amp;unlock","135184")</f>
        <v>135184</v>
      </c>
      <c r="F339" t="s">
        <v>167</v>
      </c>
      <c r="G339" t="str">
        <f>HYPERLINK("http://www.ncbi.nlm.nih.gov/Taxonomy/Browser/wwwtax.cgi?mode=Info&amp;id=135184&amp;lvl=3&amp;lin=f&amp;keep=1&amp;srchmode=1&amp;unlock","Todus mexicanus")</f>
        <v>Todus mexicanus</v>
      </c>
      <c r="H339" t="s">
        <v>305</v>
      </c>
      <c r="I339" t="str">
        <f>HYPERLINK("http://www.ncbi.nlm.nih.gov/protein/NWI70669.1","FABPL protein")</f>
        <v>FABPL protein</v>
      </c>
      <c r="J339" t="s">
        <v>1386</v>
      </c>
      <c r="K339" t="s">
        <v>25</v>
      </c>
      <c r="L339">
        <v>50</v>
      </c>
      <c r="M339" t="s">
        <v>1379</v>
      </c>
      <c r="N339" t="s">
        <v>25</v>
      </c>
      <c r="O339" t="s">
        <v>1355</v>
      </c>
      <c r="P339" t="s">
        <v>25</v>
      </c>
      <c r="Q339">
        <v>117.148</v>
      </c>
      <c r="R339" t="s">
        <v>25</v>
      </c>
      <c r="S339" t="s">
        <v>25</v>
      </c>
    </row>
    <row r="340" spans="1:19" x14ac:dyDescent="0.25">
      <c r="A340">
        <v>6</v>
      </c>
      <c r="B340" t="s">
        <v>167</v>
      </c>
      <c r="C340" t="str">
        <f>HYPERLINK("http://www.ncbi.nlm.nih.gov/protein/XP_010166822.1","XP_010166822.1")</f>
        <v>XP_010166822.1</v>
      </c>
      <c r="D340">
        <v>29268</v>
      </c>
      <c r="E340" t="str">
        <f>HYPERLINK("http://www.ncbi.nlm.nih.gov/Taxonomy/Browser/wwwtax.cgi?mode=Info&amp;id=279965&amp;lvl=3&amp;lin=f&amp;keep=1&amp;srchmode=1&amp;unlock","279965")</f>
        <v>279965</v>
      </c>
      <c r="F340" t="s">
        <v>167</v>
      </c>
      <c r="G340" t="str">
        <f>HYPERLINK("http://www.ncbi.nlm.nih.gov/Taxonomy/Browser/wwwtax.cgi?mode=Info&amp;id=279965&amp;lvl=3&amp;lin=f&amp;keep=1&amp;srchmode=1&amp;unlock","Antrostomus carolinensis")</f>
        <v>Antrostomus carolinensis</v>
      </c>
      <c r="H340" t="s">
        <v>300</v>
      </c>
      <c r="I340" t="str">
        <f>HYPERLINK("http://www.ncbi.nlm.nih.gov/protein/XP_010166822.1","fatty acid-binding protein, liver")</f>
        <v>fatty acid-binding protein, liver</v>
      </c>
      <c r="J340" t="s">
        <v>1386</v>
      </c>
      <c r="K340" t="s">
        <v>25</v>
      </c>
      <c r="L340">
        <v>50</v>
      </c>
      <c r="M340" t="s">
        <v>1379</v>
      </c>
      <c r="N340" t="s">
        <v>25</v>
      </c>
      <c r="O340" t="s">
        <v>1355</v>
      </c>
      <c r="P340" t="s">
        <v>25</v>
      </c>
      <c r="Q340">
        <v>117.148</v>
      </c>
      <c r="R340" t="s">
        <v>25</v>
      </c>
      <c r="S340" t="s">
        <v>25</v>
      </c>
    </row>
    <row r="341" spans="1:19" x14ac:dyDescent="0.25">
      <c r="A341">
        <v>6</v>
      </c>
      <c r="B341" t="s">
        <v>167</v>
      </c>
      <c r="C341" t="str">
        <f>HYPERLINK("http://www.ncbi.nlm.nih.gov/protein/NWI76321.1","NWI76321.1")</f>
        <v>NWI76321.1</v>
      </c>
      <c r="D341">
        <v>12349</v>
      </c>
      <c r="E341" t="str">
        <f>HYPERLINK("http://www.ncbi.nlm.nih.gov/Taxonomy/Browser/wwwtax.cgi?mode=Info&amp;id=85069&amp;lvl=3&amp;lin=f&amp;keep=1&amp;srchmode=1&amp;unlock","85069")</f>
        <v>85069</v>
      </c>
      <c r="F341" t="s">
        <v>167</v>
      </c>
      <c r="G341" t="str">
        <f>HYPERLINK("http://www.ncbi.nlm.nih.gov/Taxonomy/Browser/wwwtax.cgi?mode=Info&amp;id=85069&amp;lvl=3&amp;lin=f&amp;keep=1&amp;srchmode=1&amp;unlock","Dryoscopus gambensis")</f>
        <v>Dryoscopus gambensis</v>
      </c>
      <c r="H341" t="s">
        <v>206</v>
      </c>
      <c r="I341" t="str">
        <f>HYPERLINK("http://www.ncbi.nlm.nih.gov/protein/NWI76321.1","FABPL protein")</f>
        <v>FABPL protein</v>
      </c>
      <c r="J341" t="s">
        <v>1386</v>
      </c>
      <c r="K341" t="s">
        <v>25</v>
      </c>
      <c r="L341">
        <v>50</v>
      </c>
      <c r="M341" t="s">
        <v>1379</v>
      </c>
      <c r="N341" t="s">
        <v>25</v>
      </c>
      <c r="O341" t="s">
        <v>1355</v>
      </c>
      <c r="P341" t="s">
        <v>25</v>
      </c>
      <c r="Q341">
        <v>117.148</v>
      </c>
      <c r="R341" t="s">
        <v>25</v>
      </c>
      <c r="S341" t="s">
        <v>25</v>
      </c>
    </row>
    <row r="342" spans="1:19" x14ac:dyDescent="0.25">
      <c r="A342">
        <v>6</v>
      </c>
      <c r="B342" t="s">
        <v>167</v>
      </c>
      <c r="C342" t="str">
        <f>HYPERLINK("http://www.ncbi.nlm.nih.gov/protein/NXH23815.1","NXH23815.1")</f>
        <v>NXH23815.1</v>
      </c>
      <c r="D342">
        <v>13940</v>
      </c>
      <c r="E342" t="str">
        <f>HYPERLINK("http://www.ncbi.nlm.nih.gov/Taxonomy/Browser/wwwtax.cgi?mode=Info&amp;id=381031&amp;lvl=3&amp;lin=f&amp;keep=1&amp;srchmode=1&amp;unlock","381031")</f>
        <v>381031</v>
      </c>
      <c r="F342" t="s">
        <v>167</v>
      </c>
      <c r="G342" t="str">
        <f>HYPERLINK("http://www.ncbi.nlm.nih.gov/Taxonomy/Browser/wwwtax.cgi?mode=Info&amp;id=381031&amp;lvl=3&amp;lin=f&amp;keep=1&amp;srchmode=1&amp;unlock","Myiagra hebetior")</f>
        <v>Myiagra hebetior</v>
      </c>
      <c r="H342" t="s">
        <v>206</v>
      </c>
      <c r="I342" t="str">
        <f>HYPERLINK("http://www.ncbi.nlm.nih.gov/protein/NXH23815.1","FABPL protein")</f>
        <v>FABPL protein</v>
      </c>
      <c r="J342" t="s">
        <v>1386</v>
      </c>
      <c r="K342" t="s">
        <v>25</v>
      </c>
      <c r="L342">
        <v>50</v>
      </c>
      <c r="M342" t="s">
        <v>1379</v>
      </c>
      <c r="N342" t="s">
        <v>25</v>
      </c>
      <c r="O342" t="s">
        <v>1355</v>
      </c>
      <c r="P342" t="s">
        <v>25</v>
      </c>
      <c r="Q342">
        <v>117.148</v>
      </c>
      <c r="R342" t="s">
        <v>25</v>
      </c>
      <c r="S342" t="s">
        <v>25</v>
      </c>
    </row>
    <row r="343" spans="1:19" x14ac:dyDescent="0.25">
      <c r="A343">
        <v>6</v>
      </c>
      <c r="B343" t="s">
        <v>167</v>
      </c>
      <c r="C343" t="str">
        <f>HYPERLINK("http://www.ncbi.nlm.nih.gov/protein/NWR57646.1","NWR57646.1")</f>
        <v>NWR57646.1</v>
      </c>
      <c r="D343">
        <v>14438</v>
      </c>
      <c r="E343" t="str">
        <f>HYPERLINK("http://www.ncbi.nlm.nih.gov/Taxonomy/Browser/wwwtax.cgi?mode=Info&amp;id=153643&amp;lvl=3&amp;lin=f&amp;keep=1&amp;srchmode=1&amp;unlock","153643")</f>
        <v>153643</v>
      </c>
      <c r="F343" t="s">
        <v>167</v>
      </c>
      <c r="G343" t="str">
        <f>HYPERLINK("http://www.ncbi.nlm.nih.gov/Taxonomy/Browser/wwwtax.cgi?mode=Info&amp;id=153643&amp;lvl=3&amp;lin=f&amp;keep=1&amp;srchmode=1&amp;unlock","Bucorvus abyssinicus")</f>
        <v>Bucorvus abyssinicus</v>
      </c>
      <c r="H343" t="s">
        <v>310</v>
      </c>
      <c r="I343" t="str">
        <f>HYPERLINK("http://www.ncbi.nlm.nih.gov/protein/NWR57646.1","FABPL protein")</f>
        <v>FABPL protein</v>
      </c>
      <c r="J343" t="s">
        <v>1386</v>
      </c>
      <c r="K343" t="s">
        <v>25</v>
      </c>
      <c r="L343">
        <v>50</v>
      </c>
      <c r="M343" t="s">
        <v>1383</v>
      </c>
      <c r="N343" t="s">
        <v>25</v>
      </c>
      <c r="O343" t="s">
        <v>1355</v>
      </c>
      <c r="P343" t="s">
        <v>25</v>
      </c>
      <c r="Q343">
        <v>131.17500000000001</v>
      </c>
      <c r="R343" t="s">
        <v>25</v>
      </c>
      <c r="S343" t="s">
        <v>25</v>
      </c>
    </row>
    <row r="344" spans="1:19" x14ac:dyDescent="0.25">
      <c r="A344">
        <v>6</v>
      </c>
      <c r="B344" t="s">
        <v>167</v>
      </c>
      <c r="C344" t="str">
        <f>HYPERLINK("http://www.ncbi.nlm.nih.gov/protein/NXN33731.1","NXN33731.1")</f>
        <v>NXN33731.1</v>
      </c>
      <c r="D344">
        <v>14331</v>
      </c>
      <c r="E344" t="str">
        <f>HYPERLINK("http://www.ncbi.nlm.nih.gov/Taxonomy/Browser/wwwtax.cgi?mode=Info&amp;id=227226&amp;lvl=3&amp;lin=f&amp;keep=1&amp;srchmode=1&amp;unlock","227226")</f>
        <v>227226</v>
      </c>
      <c r="F344" t="s">
        <v>167</v>
      </c>
      <c r="G344" t="str">
        <f>HYPERLINK("http://www.ncbi.nlm.nih.gov/Taxonomy/Browser/wwwtax.cgi?mode=Info&amp;id=227226&amp;lvl=3&amp;lin=f&amp;keep=1&amp;srchmode=1&amp;unlock","Nycticryphes semicollaris")</f>
        <v>Nycticryphes semicollaris</v>
      </c>
      <c r="H344" t="s">
        <v>185</v>
      </c>
      <c r="I344" t="str">
        <f>HYPERLINK("http://www.ncbi.nlm.nih.gov/protein/NXN33731.1","FABPL protein")</f>
        <v>FABPL protein</v>
      </c>
      <c r="J344" t="s">
        <v>1386</v>
      </c>
      <c r="K344" t="s">
        <v>25</v>
      </c>
      <c r="L344">
        <v>50</v>
      </c>
      <c r="M344" t="s">
        <v>1379</v>
      </c>
      <c r="N344" t="s">
        <v>25</v>
      </c>
      <c r="O344" t="s">
        <v>1355</v>
      </c>
      <c r="P344" t="s">
        <v>25</v>
      </c>
      <c r="Q344">
        <v>117.148</v>
      </c>
      <c r="R344" t="s">
        <v>25</v>
      </c>
      <c r="S344" t="s">
        <v>25</v>
      </c>
    </row>
    <row r="345" spans="1:19" x14ac:dyDescent="0.25">
      <c r="A345">
        <v>6</v>
      </c>
      <c r="B345" t="s">
        <v>167</v>
      </c>
      <c r="C345" t="str">
        <f>HYPERLINK("http://www.ncbi.nlm.nih.gov/protein/NXS22032.1","NXS22032.1")</f>
        <v>NXS22032.1</v>
      </c>
      <c r="D345">
        <v>10611</v>
      </c>
      <c r="E345" t="str">
        <f>HYPERLINK("http://www.ncbi.nlm.nih.gov/Taxonomy/Browser/wwwtax.cgi?mode=Info&amp;id=98133&amp;lvl=3&amp;lin=f&amp;keep=1&amp;srchmode=1&amp;unlock","98133")</f>
        <v>98133</v>
      </c>
      <c r="F345" t="s">
        <v>167</v>
      </c>
      <c r="G345" t="str">
        <f>HYPERLINK("http://www.ncbi.nlm.nih.gov/Taxonomy/Browser/wwwtax.cgi?mode=Info&amp;id=98133&amp;lvl=3&amp;lin=f&amp;keep=1&amp;srchmode=1&amp;unlock","Mystacornis crossleyi")</f>
        <v>Mystacornis crossleyi</v>
      </c>
      <c r="H345" t="s">
        <v>311</v>
      </c>
      <c r="I345" t="str">
        <f>HYPERLINK("http://www.ncbi.nlm.nih.gov/protein/NXS22032.1","FABPL protein")</f>
        <v>FABPL protein</v>
      </c>
      <c r="J345" t="s">
        <v>1386</v>
      </c>
      <c r="K345" t="s">
        <v>25</v>
      </c>
      <c r="L345">
        <v>50</v>
      </c>
      <c r="M345" t="s">
        <v>1383</v>
      </c>
      <c r="N345" t="s">
        <v>25</v>
      </c>
      <c r="O345" t="s">
        <v>1355</v>
      </c>
      <c r="P345" t="s">
        <v>25</v>
      </c>
      <c r="Q345">
        <v>131.17500000000001</v>
      </c>
      <c r="R345" t="s">
        <v>25</v>
      </c>
      <c r="S345" t="s">
        <v>25</v>
      </c>
    </row>
    <row r="346" spans="1:19" x14ac:dyDescent="0.25">
      <c r="A346">
        <v>6</v>
      </c>
      <c r="B346" t="s">
        <v>167</v>
      </c>
      <c r="C346" t="str">
        <f>HYPERLINK("http://www.ncbi.nlm.nih.gov/protein/XP_032917085.1","XP_032917085.1")</f>
        <v>XP_032917085.1</v>
      </c>
      <c r="D346">
        <v>36100</v>
      </c>
      <c r="E346" t="str">
        <f>HYPERLINK("http://www.ncbi.nlm.nih.gov/Taxonomy/Browser/wwwtax.cgi?mode=Info&amp;id=91951&amp;lvl=3&amp;lin=f&amp;keep=1&amp;srchmode=1&amp;unlock","91951")</f>
        <v>91951</v>
      </c>
      <c r="F346" t="s">
        <v>167</v>
      </c>
      <c r="G346" t="str">
        <f>HYPERLINK("http://www.ncbi.nlm.nih.gov/Taxonomy/Browser/wwwtax.cgi?mode=Info&amp;id=91951&amp;lvl=3&amp;lin=f&amp;keep=1&amp;srchmode=1&amp;unlock","Catharus ustulatus")</f>
        <v>Catharus ustulatus</v>
      </c>
      <c r="H346" t="s">
        <v>306</v>
      </c>
      <c r="I346" t="str">
        <f>HYPERLINK("http://www.ncbi.nlm.nih.gov/protein/XP_032917085.1","fatty acid-binding protein, liver-like")</f>
        <v>fatty acid-binding protein, liver-like</v>
      </c>
      <c r="J346" t="s">
        <v>1386</v>
      </c>
      <c r="K346" t="s">
        <v>20</v>
      </c>
      <c r="L346">
        <v>50</v>
      </c>
      <c r="M346" t="s">
        <v>1380</v>
      </c>
      <c r="N346" t="s">
        <v>20</v>
      </c>
      <c r="O346" t="s">
        <v>1394</v>
      </c>
      <c r="P346" t="s">
        <v>20</v>
      </c>
      <c r="Q346">
        <v>165.19200000000001</v>
      </c>
      <c r="R346" t="s">
        <v>20</v>
      </c>
      <c r="S346" t="s">
        <v>20</v>
      </c>
    </row>
    <row r="347" spans="1:19" x14ac:dyDescent="0.25">
      <c r="A347">
        <v>6</v>
      </c>
      <c r="B347" t="s">
        <v>167</v>
      </c>
      <c r="C347" t="str">
        <f>HYPERLINK("http://www.ncbi.nlm.nih.gov/protein/XP_010301034.1","XP_010301034.1")</f>
        <v>XP_010301034.1</v>
      </c>
      <c r="D347">
        <v>27939</v>
      </c>
      <c r="E347" t="str">
        <f>HYPERLINK("http://www.ncbi.nlm.nih.gov/Taxonomy/Browser/wwwtax.cgi?mode=Info&amp;id=100784&amp;lvl=3&amp;lin=f&amp;keep=1&amp;srchmode=1&amp;unlock","100784")</f>
        <v>100784</v>
      </c>
      <c r="F347" t="s">
        <v>167</v>
      </c>
      <c r="G347" t="str">
        <f>HYPERLINK("http://www.ncbi.nlm.nih.gov/Taxonomy/Browser/wwwtax.cgi?mode=Info&amp;id=100784&amp;lvl=3&amp;lin=f&amp;keep=1&amp;srchmode=1&amp;unlock","Balearica regulorum gibbericeps")</f>
        <v>Balearica regulorum gibbericeps</v>
      </c>
      <c r="H347" t="s">
        <v>307</v>
      </c>
      <c r="I347" t="str">
        <f>HYPERLINK("http://www.ncbi.nlm.nih.gov/protein/XP_010301034.1","PREDICTED: fatty acid-binding protein, liver")</f>
        <v>PREDICTED: fatty acid-binding protein, liver</v>
      </c>
      <c r="J347" t="s">
        <v>1386</v>
      </c>
      <c r="K347" t="s">
        <v>25</v>
      </c>
      <c r="L347">
        <v>50</v>
      </c>
      <c r="M347" t="s">
        <v>1379</v>
      </c>
      <c r="N347" t="s">
        <v>25</v>
      </c>
      <c r="O347" t="s">
        <v>1355</v>
      </c>
      <c r="P347" t="s">
        <v>25</v>
      </c>
      <c r="Q347">
        <v>117.148</v>
      </c>
      <c r="R347" t="s">
        <v>25</v>
      </c>
      <c r="S347" t="s">
        <v>25</v>
      </c>
    </row>
    <row r="348" spans="1:19" x14ac:dyDescent="0.25">
      <c r="A348">
        <v>6</v>
      </c>
      <c r="B348" t="s">
        <v>167</v>
      </c>
      <c r="C348" t="str">
        <f>HYPERLINK("http://www.ncbi.nlm.nih.gov/protein/NXX22635.1","NXX22635.1")</f>
        <v>NXX22635.1</v>
      </c>
      <c r="D348">
        <v>14085</v>
      </c>
      <c r="E348" t="str">
        <f>HYPERLINK("http://www.ncbi.nlm.nih.gov/Taxonomy/Browser/wwwtax.cgi?mode=Info&amp;id=8905&amp;lvl=3&amp;lin=f&amp;keep=1&amp;srchmode=1&amp;unlock","8905")</f>
        <v>8905</v>
      </c>
      <c r="F348" t="s">
        <v>167</v>
      </c>
      <c r="G348" t="str">
        <f>HYPERLINK("http://www.ncbi.nlm.nih.gov/Taxonomy/Browser/wwwtax.cgi?mode=Info&amp;id=8905&amp;lvl=3&amp;lin=f&amp;keep=1&amp;srchmode=1&amp;unlock","Podargus strigoides")</f>
        <v>Podargus strigoides</v>
      </c>
      <c r="H348" t="s">
        <v>308</v>
      </c>
      <c r="I348" t="str">
        <f>HYPERLINK("http://www.ncbi.nlm.nih.gov/protein/NXX22635.1","FABPL protein")</f>
        <v>FABPL protein</v>
      </c>
      <c r="J348" t="s">
        <v>1386</v>
      </c>
      <c r="K348" t="s">
        <v>25</v>
      </c>
      <c r="L348">
        <v>50</v>
      </c>
      <c r="M348" t="s">
        <v>1379</v>
      </c>
      <c r="N348" t="s">
        <v>25</v>
      </c>
      <c r="O348" t="s">
        <v>1355</v>
      </c>
      <c r="P348" t="s">
        <v>25</v>
      </c>
      <c r="Q348">
        <v>117.148</v>
      </c>
      <c r="R348" t="s">
        <v>25</v>
      </c>
      <c r="S348" t="s">
        <v>25</v>
      </c>
    </row>
    <row r="349" spans="1:19" x14ac:dyDescent="0.25">
      <c r="A349">
        <v>6</v>
      </c>
      <c r="B349" t="s">
        <v>167</v>
      </c>
      <c r="C349" t="str">
        <f>HYPERLINK("http://www.ncbi.nlm.nih.gov/protein/NXH94011.1","NXH94011.1")</f>
        <v>NXH94011.1</v>
      </c>
      <c r="D349">
        <v>13430</v>
      </c>
      <c r="E349" t="str">
        <f>HYPERLINK("http://www.ncbi.nlm.nih.gov/Taxonomy/Browser/wwwtax.cgi?mode=Info&amp;id=449367&amp;lvl=3&amp;lin=f&amp;keep=1&amp;srchmode=1&amp;unlock","449367")</f>
        <v>449367</v>
      </c>
      <c r="F349" t="s">
        <v>167</v>
      </c>
      <c r="G349" t="str">
        <f>HYPERLINK("http://www.ncbi.nlm.nih.gov/Taxonomy/Browser/wwwtax.cgi?mode=Info&amp;id=449367&amp;lvl=3&amp;lin=f&amp;keep=1&amp;srchmode=1&amp;unlock","Pachycephala philippinensis")</f>
        <v>Pachycephala philippinensis</v>
      </c>
      <c r="H349" t="s">
        <v>309</v>
      </c>
      <c r="I349" t="str">
        <f>HYPERLINK("http://www.ncbi.nlm.nih.gov/protein/NXH94011.1","FABPL protein")</f>
        <v>FABPL protein</v>
      </c>
      <c r="J349" t="s">
        <v>1386</v>
      </c>
      <c r="K349" t="s">
        <v>25</v>
      </c>
      <c r="L349">
        <v>50</v>
      </c>
      <c r="M349" t="s">
        <v>1379</v>
      </c>
      <c r="N349" t="s">
        <v>25</v>
      </c>
      <c r="O349" t="s">
        <v>1355</v>
      </c>
      <c r="P349" t="s">
        <v>25</v>
      </c>
      <c r="Q349">
        <v>117.148</v>
      </c>
      <c r="R349" t="s">
        <v>25</v>
      </c>
      <c r="S349" t="s">
        <v>25</v>
      </c>
    </row>
    <row r="350" spans="1:19" x14ac:dyDescent="0.25">
      <c r="A350">
        <v>6</v>
      </c>
      <c r="B350" t="s">
        <v>167</v>
      </c>
      <c r="C350" t="str">
        <f>HYPERLINK("http://www.ncbi.nlm.nih.gov/protein/NXW84899.1","NXW84899.1")</f>
        <v>NXW84899.1</v>
      </c>
      <c r="D350">
        <v>14612</v>
      </c>
      <c r="E350" t="str">
        <f>HYPERLINK("http://www.ncbi.nlm.nih.gov/Taxonomy/Browser/wwwtax.cgi?mode=Info&amp;id=262131&amp;lvl=3&amp;lin=f&amp;keep=1&amp;srchmode=1&amp;unlock","262131")</f>
        <v>262131</v>
      </c>
      <c r="F350" t="s">
        <v>167</v>
      </c>
      <c r="G350" t="str">
        <f>HYPERLINK("http://www.ncbi.nlm.nih.gov/Taxonomy/Browser/wwwtax.cgi?mode=Info&amp;id=262131&amp;lvl=3&amp;lin=f&amp;keep=1&amp;srchmode=1&amp;unlock","Alopecoenas beccarii")</f>
        <v>Alopecoenas beccarii</v>
      </c>
      <c r="H350" t="s">
        <v>314</v>
      </c>
      <c r="I350" t="str">
        <f>HYPERLINK("http://www.ncbi.nlm.nih.gov/protein/NXW84899.1","FABPL protein")</f>
        <v>FABPL protein</v>
      </c>
      <c r="J350" t="s">
        <v>1386</v>
      </c>
      <c r="K350" t="s">
        <v>25</v>
      </c>
      <c r="L350">
        <v>50</v>
      </c>
      <c r="M350" t="s">
        <v>1383</v>
      </c>
      <c r="N350" t="s">
        <v>25</v>
      </c>
      <c r="O350" t="s">
        <v>1355</v>
      </c>
      <c r="P350" t="s">
        <v>25</v>
      </c>
      <c r="Q350">
        <v>131.17500000000001</v>
      </c>
      <c r="R350" t="s">
        <v>25</v>
      </c>
      <c r="S350" t="s">
        <v>25</v>
      </c>
    </row>
    <row r="351" spans="1:19" x14ac:dyDescent="0.25">
      <c r="A351">
        <v>6</v>
      </c>
      <c r="B351" t="s">
        <v>167</v>
      </c>
      <c r="C351" t="str">
        <f>HYPERLINK("http://www.ncbi.nlm.nih.gov/protein/XP_009978351.1","XP_009978351.1")</f>
        <v>XP_009978351.1</v>
      </c>
      <c r="D351">
        <v>28574</v>
      </c>
      <c r="E351" t="str">
        <f>HYPERLINK("http://www.ncbi.nlm.nih.gov/Taxonomy/Browser/wwwtax.cgi?mode=Info&amp;id=121530&amp;lvl=3&amp;lin=f&amp;keep=1&amp;srchmode=1&amp;unlock","121530")</f>
        <v>121530</v>
      </c>
      <c r="F351" t="s">
        <v>167</v>
      </c>
      <c r="G351" t="str">
        <f>HYPERLINK("http://www.ncbi.nlm.nih.gov/Taxonomy/Browser/wwwtax.cgi?mode=Info&amp;id=121530&amp;lvl=3&amp;lin=f&amp;keep=1&amp;srchmode=1&amp;unlock","Tauraco erythrolophus")</f>
        <v>Tauraco erythrolophus</v>
      </c>
      <c r="H351" t="s">
        <v>315</v>
      </c>
      <c r="I351" t="str">
        <f>HYPERLINK("http://www.ncbi.nlm.nih.gov/protein/XP_009978351.1","PREDICTED: fatty acid-binding protein, liver")</f>
        <v>PREDICTED: fatty acid-binding protein, liver</v>
      </c>
      <c r="J351" t="s">
        <v>1386</v>
      </c>
      <c r="K351" t="s">
        <v>25</v>
      </c>
      <c r="L351">
        <v>50</v>
      </c>
      <c r="M351" t="s">
        <v>1383</v>
      </c>
      <c r="N351" t="s">
        <v>25</v>
      </c>
      <c r="O351" t="s">
        <v>1355</v>
      </c>
      <c r="P351" t="s">
        <v>25</v>
      </c>
      <c r="Q351">
        <v>131.17500000000001</v>
      </c>
      <c r="R351" t="s">
        <v>25</v>
      </c>
      <c r="S351" t="s">
        <v>25</v>
      </c>
    </row>
    <row r="352" spans="1:19" x14ac:dyDescent="0.25">
      <c r="A352">
        <v>6</v>
      </c>
      <c r="B352" t="s">
        <v>167</v>
      </c>
      <c r="C352" t="str">
        <f>HYPERLINK("http://www.ncbi.nlm.nih.gov/protein/NXY03668.1","NXY03668.1")</f>
        <v>NXY03668.1</v>
      </c>
      <c r="D352">
        <v>11998</v>
      </c>
      <c r="E352" t="str">
        <f>HYPERLINK("http://www.ncbi.nlm.nih.gov/Taxonomy/Browser/wwwtax.cgi?mode=Info&amp;id=357074&amp;lvl=3&amp;lin=f&amp;keep=1&amp;srchmode=1&amp;unlock","357074")</f>
        <v>357074</v>
      </c>
      <c r="F352" t="s">
        <v>167</v>
      </c>
      <c r="G352" t="str">
        <f>HYPERLINK("http://www.ncbi.nlm.nih.gov/Taxonomy/Browser/wwwtax.cgi?mode=Info&amp;id=357074&amp;lvl=3&amp;lin=f&amp;keep=1&amp;srchmode=1&amp;unlock","Pteruthius melanotis")</f>
        <v>Pteruthius melanotis</v>
      </c>
      <c r="H352" t="s">
        <v>244</v>
      </c>
      <c r="I352" t="str">
        <f>HYPERLINK("http://www.ncbi.nlm.nih.gov/protein/NXY03668.1","FABPL protein")</f>
        <v>FABPL protein</v>
      </c>
      <c r="J352" t="s">
        <v>1386</v>
      </c>
      <c r="K352" t="s">
        <v>25</v>
      </c>
      <c r="L352">
        <v>50</v>
      </c>
      <c r="M352" t="s">
        <v>1383</v>
      </c>
      <c r="N352" t="s">
        <v>25</v>
      </c>
      <c r="O352" t="s">
        <v>1355</v>
      </c>
      <c r="P352" t="s">
        <v>25</v>
      </c>
      <c r="Q352">
        <v>131.17500000000001</v>
      </c>
      <c r="R352" t="s">
        <v>25</v>
      </c>
      <c r="S352" t="s">
        <v>25</v>
      </c>
    </row>
    <row r="353" spans="1:19" x14ac:dyDescent="0.25">
      <c r="A353">
        <v>6</v>
      </c>
      <c r="B353" t="s">
        <v>167</v>
      </c>
      <c r="C353" t="str">
        <f>HYPERLINK("http://www.ncbi.nlm.nih.gov/protein/NXJ62645.1","NXJ62645.1")</f>
        <v>NXJ62645.1</v>
      </c>
      <c r="D353">
        <v>14258</v>
      </c>
      <c r="E353" t="str">
        <f>HYPERLINK("http://www.ncbi.nlm.nih.gov/Taxonomy/Browser/wwwtax.cgi?mode=Info&amp;id=118793&amp;lvl=3&amp;lin=f&amp;keep=1&amp;srchmode=1&amp;unlock","118793")</f>
        <v>118793</v>
      </c>
      <c r="F353" t="s">
        <v>167</v>
      </c>
      <c r="G353" t="str">
        <f>HYPERLINK("http://www.ncbi.nlm.nih.gov/Taxonomy/Browser/wwwtax.cgi?mode=Info&amp;id=118793&amp;lvl=3&amp;lin=f&amp;keep=1&amp;srchmode=1&amp;unlock","Rostratula benghalensis")</f>
        <v>Rostratula benghalensis</v>
      </c>
      <c r="H353" t="s">
        <v>316</v>
      </c>
      <c r="I353" t="str">
        <f>HYPERLINK("http://www.ncbi.nlm.nih.gov/protein/NXJ62645.1","FABPL protein")</f>
        <v>FABPL protein</v>
      </c>
      <c r="J353" t="s">
        <v>1386</v>
      </c>
      <c r="K353" t="s">
        <v>25</v>
      </c>
      <c r="L353">
        <v>50</v>
      </c>
      <c r="M353" t="s">
        <v>1379</v>
      </c>
      <c r="N353" t="s">
        <v>25</v>
      </c>
      <c r="O353" t="s">
        <v>1355</v>
      </c>
      <c r="P353" t="s">
        <v>25</v>
      </c>
      <c r="Q353">
        <v>117.148</v>
      </c>
      <c r="R353" t="s">
        <v>25</v>
      </c>
      <c r="S353" t="s">
        <v>25</v>
      </c>
    </row>
    <row r="354" spans="1:19" x14ac:dyDescent="0.25">
      <c r="A354">
        <v>6</v>
      </c>
      <c r="B354" t="s">
        <v>167</v>
      </c>
      <c r="C354" t="str">
        <f>HYPERLINK("http://www.ncbi.nlm.nih.gov/protein/NWW17204.1","NWW17204.1")</f>
        <v>NWW17204.1</v>
      </c>
      <c r="D354">
        <v>14502</v>
      </c>
      <c r="E354" t="str">
        <f>HYPERLINK("http://www.ncbi.nlm.nih.gov/Taxonomy/Browser/wwwtax.cgi?mode=Info&amp;id=254539&amp;lvl=3&amp;lin=f&amp;keep=1&amp;srchmode=1&amp;unlock","254539")</f>
        <v>254539</v>
      </c>
      <c r="F354" t="s">
        <v>167</v>
      </c>
      <c r="G354" t="str">
        <f>HYPERLINK("http://www.ncbi.nlm.nih.gov/Taxonomy/Browser/wwwtax.cgi?mode=Info&amp;id=254539&amp;lvl=3&amp;lin=f&amp;keep=1&amp;srchmode=1&amp;unlock","Falcunculus frontatus")</f>
        <v>Falcunculus frontatus</v>
      </c>
      <c r="H354" t="s">
        <v>312</v>
      </c>
      <c r="I354" t="str">
        <f>HYPERLINK("http://www.ncbi.nlm.nih.gov/protein/NWW17204.1","FABPL protein")</f>
        <v>FABPL protein</v>
      </c>
      <c r="J354" t="s">
        <v>1386</v>
      </c>
      <c r="K354" t="s">
        <v>25</v>
      </c>
      <c r="L354">
        <v>50</v>
      </c>
      <c r="M354" t="s">
        <v>1379</v>
      </c>
      <c r="N354" t="s">
        <v>25</v>
      </c>
      <c r="O354" t="s">
        <v>1355</v>
      </c>
      <c r="P354" t="s">
        <v>25</v>
      </c>
      <c r="Q354">
        <v>117.148</v>
      </c>
      <c r="R354" t="s">
        <v>25</v>
      </c>
      <c r="S354" t="s">
        <v>25</v>
      </c>
    </row>
    <row r="355" spans="1:19" x14ac:dyDescent="0.25">
      <c r="A355">
        <v>6</v>
      </c>
      <c r="B355" t="s">
        <v>167</v>
      </c>
      <c r="C355" t="str">
        <f>HYPERLINK("http://www.ncbi.nlm.nih.gov/protein/XP_005510014.1","XP_005510014.1")</f>
        <v>XP_005510014.1</v>
      </c>
      <c r="D355">
        <v>50935</v>
      </c>
      <c r="E355" t="str">
        <f>HYPERLINK("http://www.ncbi.nlm.nih.gov/Taxonomy/Browser/wwwtax.cgi?mode=Info&amp;id=8932&amp;lvl=3&amp;lin=f&amp;keep=1&amp;srchmode=1&amp;unlock","8932")</f>
        <v>8932</v>
      </c>
      <c r="F355" t="s">
        <v>167</v>
      </c>
      <c r="G355" t="str">
        <f>HYPERLINK("http://www.ncbi.nlm.nih.gov/Taxonomy/Browser/wwwtax.cgi?mode=Info&amp;id=8932&amp;lvl=3&amp;lin=f&amp;keep=1&amp;srchmode=1&amp;unlock","Columba livia")</f>
        <v>Columba livia</v>
      </c>
      <c r="H355" t="s">
        <v>313</v>
      </c>
      <c r="I355" t="str">
        <f>HYPERLINK("http://www.ncbi.nlm.nih.gov/protein/XP_005510014.1","fatty acid-binding protein, liver")</f>
        <v>fatty acid-binding protein, liver</v>
      </c>
      <c r="J355" t="s">
        <v>1386</v>
      </c>
      <c r="K355" t="s">
        <v>25</v>
      </c>
      <c r="L355">
        <v>50</v>
      </c>
      <c r="M355" t="s">
        <v>1379</v>
      </c>
      <c r="N355" t="s">
        <v>25</v>
      </c>
      <c r="O355" t="s">
        <v>1355</v>
      </c>
      <c r="P355" t="s">
        <v>25</v>
      </c>
      <c r="Q355">
        <v>117.148</v>
      </c>
      <c r="R355" t="s">
        <v>25</v>
      </c>
      <c r="S355" t="s">
        <v>25</v>
      </c>
    </row>
    <row r="356" spans="1:19" x14ac:dyDescent="0.25">
      <c r="A356">
        <v>6</v>
      </c>
      <c r="B356" t="s">
        <v>167</v>
      </c>
      <c r="C356" t="str">
        <f>HYPERLINK("http://www.ncbi.nlm.nih.gov/protein/NWZ25192.1","NWZ25192.1")</f>
        <v>NWZ25192.1</v>
      </c>
      <c r="D356">
        <v>14748</v>
      </c>
      <c r="E356" t="str">
        <f>HYPERLINK("http://www.ncbi.nlm.nih.gov/Taxonomy/Browser/wwwtax.cgi?mode=Info&amp;id=75869&amp;lvl=3&amp;lin=f&amp;keep=1&amp;srchmode=1&amp;unlock","75869")</f>
        <v>75869</v>
      </c>
      <c r="F356" t="s">
        <v>167</v>
      </c>
      <c r="G356" t="str">
        <f>HYPERLINK("http://www.ncbi.nlm.nih.gov/Taxonomy/Browser/wwwtax.cgi?mode=Info&amp;id=75869&amp;lvl=3&amp;lin=f&amp;keep=1&amp;srchmode=1&amp;unlock","Asarcornis scutulata")</f>
        <v>Asarcornis scutulata</v>
      </c>
      <c r="H356" t="s">
        <v>317</v>
      </c>
      <c r="I356" t="str">
        <f>HYPERLINK("http://www.ncbi.nlm.nih.gov/protein/NWZ25192.1","FABPL protein")</f>
        <v>FABPL protein</v>
      </c>
      <c r="J356" t="s">
        <v>1386</v>
      </c>
      <c r="K356" t="s">
        <v>25</v>
      </c>
      <c r="L356">
        <v>50</v>
      </c>
      <c r="M356" t="s">
        <v>1379</v>
      </c>
      <c r="N356" t="s">
        <v>25</v>
      </c>
      <c r="O356" t="s">
        <v>1355</v>
      </c>
      <c r="P356" t="s">
        <v>25</v>
      </c>
      <c r="Q356">
        <v>117.148</v>
      </c>
      <c r="R356" t="s">
        <v>25</v>
      </c>
      <c r="S356" t="s">
        <v>25</v>
      </c>
    </row>
    <row r="357" spans="1:19" x14ac:dyDescent="0.25">
      <c r="A357">
        <v>6</v>
      </c>
      <c r="B357" t="s">
        <v>167</v>
      </c>
      <c r="C357" t="str">
        <f>HYPERLINK("http://www.ncbi.nlm.nih.gov/protein/NXB64387.1","NXB64387.1")</f>
        <v>NXB64387.1</v>
      </c>
      <c r="D357">
        <v>14168</v>
      </c>
      <c r="E357" t="str">
        <f>HYPERLINK("http://www.ncbi.nlm.nih.gov/Taxonomy/Browser/wwwtax.cgi?mode=Info&amp;id=181839&amp;lvl=3&amp;lin=f&amp;keep=1&amp;srchmode=1&amp;unlock","181839")</f>
        <v>181839</v>
      </c>
      <c r="F357" t="s">
        <v>167</v>
      </c>
      <c r="G357" t="str">
        <f>HYPERLINK("http://www.ncbi.nlm.nih.gov/Taxonomy/Browser/wwwtax.cgi?mode=Info&amp;id=181839&amp;lvl=3&amp;lin=f&amp;keep=1&amp;srchmode=1&amp;unlock","Struthidea cinerea")</f>
        <v>Struthidea cinerea</v>
      </c>
      <c r="H357" t="s">
        <v>318</v>
      </c>
      <c r="I357" t="str">
        <f>HYPERLINK("http://www.ncbi.nlm.nih.gov/protein/NXB64387.1","FABPL protein")</f>
        <v>FABPL protein</v>
      </c>
      <c r="J357" t="s">
        <v>1386</v>
      </c>
      <c r="K357" t="s">
        <v>25</v>
      </c>
      <c r="L357">
        <v>50</v>
      </c>
      <c r="M357" t="s">
        <v>1379</v>
      </c>
      <c r="N357" t="s">
        <v>25</v>
      </c>
      <c r="O357" t="s">
        <v>1355</v>
      </c>
      <c r="P357" t="s">
        <v>25</v>
      </c>
      <c r="Q357">
        <v>117.148</v>
      </c>
      <c r="R357" t="s">
        <v>25</v>
      </c>
      <c r="S357" t="s">
        <v>25</v>
      </c>
    </row>
    <row r="358" spans="1:19" x14ac:dyDescent="0.25">
      <c r="A358">
        <v>6</v>
      </c>
      <c r="B358" t="s">
        <v>167</v>
      </c>
      <c r="C358" t="str">
        <f>HYPERLINK("http://www.ncbi.nlm.nih.gov/protein/XP_032041849.1","XP_032041849.1")</f>
        <v>XP_032041849.1</v>
      </c>
      <c r="D358">
        <v>27813</v>
      </c>
      <c r="E358" t="str">
        <f>HYPERLINK("http://www.ncbi.nlm.nih.gov/Taxonomy/Browser/wwwtax.cgi?mode=Info&amp;id=219594&amp;lvl=3&amp;lin=f&amp;keep=1&amp;srchmode=1&amp;unlock","219594")</f>
        <v>219594</v>
      </c>
      <c r="F358" t="s">
        <v>167</v>
      </c>
      <c r="G358" t="str">
        <f>HYPERLINK("http://www.ncbi.nlm.nih.gov/Taxonomy/Browser/wwwtax.cgi?mode=Info&amp;id=219594&amp;lvl=3&amp;lin=f&amp;keep=1&amp;srchmode=1&amp;unlock","Aythya fuligula")</f>
        <v>Aythya fuligula</v>
      </c>
      <c r="H358" t="s">
        <v>319</v>
      </c>
      <c r="I358" t="str">
        <f>HYPERLINK("http://www.ncbi.nlm.nih.gov/protein/XP_032041849.1","fatty acid-binding protein, liver")</f>
        <v>fatty acid-binding protein, liver</v>
      </c>
      <c r="J358" t="s">
        <v>1386</v>
      </c>
      <c r="K358" t="s">
        <v>25</v>
      </c>
      <c r="L358">
        <v>50</v>
      </c>
      <c r="M358" t="s">
        <v>1379</v>
      </c>
      <c r="N358" t="s">
        <v>25</v>
      </c>
      <c r="O358" t="s">
        <v>1355</v>
      </c>
      <c r="P358" t="s">
        <v>25</v>
      </c>
      <c r="Q358">
        <v>117.148</v>
      </c>
      <c r="R358" t="s">
        <v>25</v>
      </c>
      <c r="S358" t="s">
        <v>25</v>
      </c>
    </row>
    <row r="359" spans="1:19" x14ac:dyDescent="0.25">
      <c r="A359">
        <v>6</v>
      </c>
      <c r="B359" t="s">
        <v>167</v>
      </c>
      <c r="C359" t="str">
        <f>HYPERLINK("http://www.ncbi.nlm.nih.gov/protein/NXV33602.1","NXV33602.1")</f>
        <v>NXV33602.1</v>
      </c>
      <c r="D359">
        <v>14938</v>
      </c>
      <c r="E359" t="str">
        <f>HYPERLINK("http://www.ncbi.nlm.nih.gov/Taxonomy/Browser/wwwtax.cgi?mode=Info&amp;id=75485&amp;lvl=3&amp;lin=f&amp;keep=1&amp;srchmode=1&amp;unlock","75485")</f>
        <v>75485</v>
      </c>
      <c r="F359" t="s">
        <v>167</v>
      </c>
      <c r="G359" t="str">
        <f>HYPERLINK("http://www.ncbi.nlm.nih.gov/Taxonomy/Browser/wwwtax.cgi?mode=Info&amp;id=75485&amp;lvl=3&amp;lin=f&amp;keep=1&amp;srchmode=1&amp;unlock","Rissa tridactyla")</f>
        <v>Rissa tridactyla</v>
      </c>
      <c r="H359" t="s">
        <v>320</v>
      </c>
      <c r="I359" t="str">
        <f>HYPERLINK("http://www.ncbi.nlm.nih.gov/protein/NXV33602.1","FABPL protein")</f>
        <v>FABPL protein</v>
      </c>
      <c r="J359" t="s">
        <v>1386</v>
      </c>
      <c r="K359" t="s">
        <v>25</v>
      </c>
      <c r="L359">
        <v>50</v>
      </c>
      <c r="M359" t="s">
        <v>1383</v>
      </c>
      <c r="N359" t="s">
        <v>25</v>
      </c>
      <c r="O359" t="s">
        <v>1355</v>
      </c>
      <c r="P359" t="s">
        <v>25</v>
      </c>
      <c r="Q359">
        <v>131.17500000000001</v>
      </c>
      <c r="R359" t="s">
        <v>25</v>
      </c>
      <c r="S359" t="s">
        <v>25</v>
      </c>
    </row>
    <row r="360" spans="1:19" x14ac:dyDescent="0.25">
      <c r="A360">
        <v>6</v>
      </c>
      <c r="B360" t="s">
        <v>167</v>
      </c>
      <c r="C360" t="str">
        <f>HYPERLINK("http://www.ncbi.nlm.nih.gov/protein/NXQ51765.1","NXQ51765.1")</f>
        <v>NXQ51765.1</v>
      </c>
      <c r="D360">
        <v>13596</v>
      </c>
      <c r="E360" t="str">
        <f>HYPERLINK("http://www.ncbi.nlm.nih.gov/Taxonomy/Browser/wwwtax.cgi?mode=Info&amp;id=156561&amp;lvl=3&amp;lin=f&amp;keep=1&amp;srchmode=1&amp;unlock","156561")</f>
        <v>156561</v>
      </c>
      <c r="F360" t="s">
        <v>167</v>
      </c>
      <c r="G360" t="str">
        <f>HYPERLINK("http://www.ncbi.nlm.nih.gov/Taxonomy/Browser/wwwtax.cgi?mode=Info&amp;id=156561&amp;lvl=3&amp;lin=f&amp;keep=1&amp;srchmode=1&amp;unlock","Anthoscopus minutus")</f>
        <v>Anthoscopus minutus</v>
      </c>
      <c r="H360" t="s">
        <v>325</v>
      </c>
      <c r="I360" t="str">
        <f>HYPERLINK("http://www.ncbi.nlm.nih.gov/protein/NXQ51765.1","FABPL protein")</f>
        <v>FABPL protein</v>
      </c>
      <c r="J360" t="s">
        <v>1386</v>
      </c>
      <c r="K360" t="s">
        <v>25</v>
      </c>
      <c r="L360">
        <v>50</v>
      </c>
      <c r="M360" t="s">
        <v>1379</v>
      </c>
      <c r="N360" t="s">
        <v>25</v>
      </c>
      <c r="O360" t="s">
        <v>1355</v>
      </c>
      <c r="P360" t="s">
        <v>25</v>
      </c>
      <c r="Q360">
        <v>117.148</v>
      </c>
      <c r="R360" t="s">
        <v>25</v>
      </c>
      <c r="S360" t="s">
        <v>25</v>
      </c>
    </row>
    <row r="361" spans="1:19" x14ac:dyDescent="0.25">
      <c r="A361">
        <v>6</v>
      </c>
      <c r="B361" t="s">
        <v>167</v>
      </c>
      <c r="C361" t="str">
        <f>HYPERLINK("http://www.ncbi.nlm.nih.gov/protein/NWT00227.1","NWT00227.1")</f>
        <v>NWT00227.1</v>
      </c>
      <c r="D361">
        <v>14226</v>
      </c>
      <c r="E361" t="str">
        <f>HYPERLINK("http://www.ncbi.nlm.nih.gov/Taxonomy/Browser/wwwtax.cgi?mode=Info&amp;id=254557&amp;lvl=3&amp;lin=f&amp;keep=1&amp;srchmode=1&amp;unlock","254557")</f>
        <v>254557</v>
      </c>
      <c r="F361" t="s">
        <v>167</v>
      </c>
      <c r="G361" t="str">
        <f>HYPERLINK("http://www.ncbi.nlm.nih.gov/Taxonomy/Browser/wwwtax.cgi?mode=Info&amp;id=254557&amp;lvl=3&amp;lin=f&amp;keep=1&amp;srchmode=1&amp;unlock","Mionectes macconnelli")</f>
        <v>Mionectes macconnelli</v>
      </c>
      <c r="H361" t="s">
        <v>323</v>
      </c>
      <c r="I361" t="str">
        <f>HYPERLINK("http://www.ncbi.nlm.nih.gov/protein/NWT00227.1","FABPL protein")</f>
        <v>FABPL protein</v>
      </c>
      <c r="J361" t="s">
        <v>1386</v>
      </c>
      <c r="K361" t="s">
        <v>25</v>
      </c>
      <c r="L361">
        <v>50</v>
      </c>
      <c r="M361" t="s">
        <v>1379</v>
      </c>
      <c r="N361" t="s">
        <v>25</v>
      </c>
      <c r="O361" t="s">
        <v>1355</v>
      </c>
      <c r="P361" t="s">
        <v>25</v>
      </c>
      <c r="Q361">
        <v>117.148</v>
      </c>
      <c r="R361" t="s">
        <v>25</v>
      </c>
      <c r="S361" t="s">
        <v>25</v>
      </c>
    </row>
    <row r="362" spans="1:19" x14ac:dyDescent="0.25">
      <c r="A362">
        <v>6</v>
      </c>
      <c r="B362" t="s">
        <v>167</v>
      </c>
      <c r="C362" t="str">
        <f>HYPERLINK("http://www.ncbi.nlm.nih.gov/protein/NXS67468.1","NXS67468.1")</f>
        <v>NXS67468.1</v>
      </c>
      <c r="D362">
        <v>12873</v>
      </c>
      <c r="E362" t="str">
        <f>HYPERLINK("http://www.ncbi.nlm.nih.gov/Taxonomy/Browser/wwwtax.cgi?mode=Info&amp;id=56262&amp;lvl=3&amp;lin=f&amp;keep=1&amp;srchmode=1&amp;unlock","56262")</f>
        <v>56262</v>
      </c>
      <c r="F362" t="s">
        <v>167</v>
      </c>
      <c r="G362" t="str">
        <f>HYPERLINK("http://www.ncbi.nlm.nih.gov/Taxonomy/Browser/wwwtax.cgi?mode=Info&amp;id=56262&amp;lvl=3&amp;lin=f&amp;keep=1&amp;srchmode=1&amp;unlock","Pandion haliaetus")</f>
        <v>Pandion haliaetus</v>
      </c>
      <c r="H362" t="s">
        <v>324</v>
      </c>
      <c r="I362" t="str">
        <f>HYPERLINK("http://www.ncbi.nlm.nih.gov/protein/NXS67468.1","FABPL protein")</f>
        <v>FABPL protein</v>
      </c>
      <c r="J362" t="s">
        <v>1386</v>
      </c>
      <c r="K362" t="s">
        <v>25</v>
      </c>
      <c r="L362">
        <v>50</v>
      </c>
      <c r="M362" t="s">
        <v>1383</v>
      </c>
      <c r="N362" t="s">
        <v>25</v>
      </c>
      <c r="O362" t="s">
        <v>1355</v>
      </c>
      <c r="P362" t="s">
        <v>25</v>
      </c>
      <c r="Q362">
        <v>131.17500000000001</v>
      </c>
      <c r="R362" t="s">
        <v>25</v>
      </c>
      <c r="S362" t="s">
        <v>25</v>
      </c>
    </row>
    <row r="363" spans="1:19" x14ac:dyDescent="0.25">
      <c r="A363">
        <v>6</v>
      </c>
      <c r="B363" t="s">
        <v>167</v>
      </c>
      <c r="C363" t="str">
        <f>HYPERLINK("http://www.ncbi.nlm.nih.gov/protein/NXM46825.1","NXM46825.1")</f>
        <v>NXM46825.1</v>
      </c>
      <c r="D363">
        <v>14416</v>
      </c>
      <c r="E363" t="str">
        <f>HYPERLINK("http://www.ncbi.nlm.nih.gov/Taxonomy/Browser/wwwtax.cgi?mode=Info&amp;id=9132&amp;lvl=3&amp;lin=f&amp;keep=1&amp;srchmode=1&amp;unlock","9132")</f>
        <v>9132</v>
      </c>
      <c r="F363" t="s">
        <v>167</v>
      </c>
      <c r="G363" t="str">
        <f>HYPERLINK("http://www.ncbi.nlm.nih.gov/Taxonomy/Browser/wwwtax.cgi?mode=Info&amp;id=9132&amp;lvl=3&amp;lin=f&amp;keep=1&amp;srchmode=1&amp;unlock","Gymnorhina tibicen")</f>
        <v>Gymnorhina tibicen</v>
      </c>
      <c r="H363" t="s">
        <v>326</v>
      </c>
      <c r="I363" t="str">
        <f>HYPERLINK("http://www.ncbi.nlm.nih.gov/protein/NXM46825.1","FABPL protein")</f>
        <v>FABPL protein</v>
      </c>
      <c r="J363" t="s">
        <v>1386</v>
      </c>
      <c r="K363" t="s">
        <v>25</v>
      </c>
      <c r="L363">
        <v>50</v>
      </c>
      <c r="M363" t="s">
        <v>1379</v>
      </c>
      <c r="N363" t="s">
        <v>25</v>
      </c>
      <c r="O363" t="s">
        <v>1355</v>
      </c>
      <c r="P363" t="s">
        <v>25</v>
      </c>
      <c r="Q363">
        <v>117.148</v>
      </c>
      <c r="R363" t="s">
        <v>25</v>
      </c>
      <c r="S363" t="s">
        <v>25</v>
      </c>
    </row>
    <row r="364" spans="1:19" x14ac:dyDescent="0.25">
      <c r="A364">
        <v>6</v>
      </c>
      <c r="B364" t="s">
        <v>167</v>
      </c>
      <c r="C364" t="str">
        <f>HYPERLINK("http://www.ncbi.nlm.nih.gov/protein/NWT81898.1","NWT81898.1")</f>
        <v>NWT81898.1</v>
      </c>
      <c r="D364">
        <v>13729</v>
      </c>
      <c r="E364" t="str">
        <f>HYPERLINK("http://www.ncbi.nlm.nih.gov/Taxonomy/Browser/wwwtax.cgi?mode=Info&amp;id=28713&amp;lvl=3&amp;lin=f&amp;keep=1&amp;srchmode=1&amp;unlock","28713")</f>
        <v>28713</v>
      </c>
      <c r="F364" t="s">
        <v>167</v>
      </c>
      <c r="G364" t="str">
        <f>HYPERLINK("http://www.ncbi.nlm.nih.gov/Taxonomy/Browser/wwwtax.cgi?mode=Info&amp;id=28713&amp;lvl=3&amp;lin=f&amp;keep=1&amp;srchmode=1&amp;unlock","Lanius ludovicianus")</f>
        <v>Lanius ludovicianus</v>
      </c>
      <c r="H364" t="s">
        <v>327</v>
      </c>
      <c r="I364" t="str">
        <f>HYPERLINK("http://www.ncbi.nlm.nih.gov/protein/NWT81898.1","FABPL protein")</f>
        <v>FABPL protein</v>
      </c>
      <c r="J364" t="s">
        <v>1386</v>
      </c>
      <c r="K364" t="s">
        <v>25</v>
      </c>
      <c r="L364">
        <v>50</v>
      </c>
      <c r="M364" t="s">
        <v>1383</v>
      </c>
      <c r="N364" t="s">
        <v>25</v>
      </c>
      <c r="O364" t="s">
        <v>1355</v>
      </c>
      <c r="P364" t="s">
        <v>25</v>
      </c>
      <c r="Q364">
        <v>131.17500000000001</v>
      </c>
      <c r="R364" t="s">
        <v>25</v>
      </c>
      <c r="S364" t="s">
        <v>25</v>
      </c>
    </row>
    <row r="365" spans="1:19" x14ac:dyDescent="0.25">
      <c r="A365">
        <v>6</v>
      </c>
      <c r="B365" t="s">
        <v>167</v>
      </c>
      <c r="C365" t="str">
        <f>HYPERLINK("http://www.ncbi.nlm.nih.gov/protein/NXJ28601.1","NXJ28601.1")</f>
        <v>NXJ28601.1</v>
      </c>
      <c r="D365">
        <v>14261</v>
      </c>
      <c r="E365" t="str">
        <f>HYPERLINK("http://www.ncbi.nlm.nih.gov/Taxonomy/Browser/wwwtax.cgi?mode=Info&amp;id=450177&amp;lvl=3&amp;lin=f&amp;keep=1&amp;srchmode=1&amp;unlock","450177")</f>
        <v>450177</v>
      </c>
      <c r="F365" t="s">
        <v>167</v>
      </c>
      <c r="G365" t="str">
        <f>HYPERLINK("http://www.ncbi.nlm.nih.gov/Taxonomy/Browser/wwwtax.cgi?mode=Info&amp;id=450177&amp;lvl=3&amp;lin=f&amp;keep=1&amp;srchmode=1&amp;unlock","Dicrurus megarhynchus")</f>
        <v>Dicrurus megarhynchus</v>
      </c>
      <c r="H365" t="s">
        <v>206</v>
      </c>
      <c r="I365" t="str">
        <f>HYPERLINK("http://www.ncbi.nlm.nih.gov/protein/NXJ28601.1","FABPL protein")</f>
        <v>FABPL protein</v>
      </c>
      <c r="J365" t="s">
        <v>1386</v>
      </c>
      <c r="K365" t="s">
        <v>25</v>
      </c>
      <c r="L365">
        <v>50</v>
      </c>
      <c r="M365" t="s">
        <v>1379</v>
      </c>
      <c r="N365" t="s">
        <v>25</v>
      </c>
      <c r="O365" t="s">
        <v>1355</v>
      </c>
      <c r="P365" t="s">
        <v>25</v>
      </c>
      <c r="Q365">
        <v>117.148</v>
      </c>
      <c r="R365" t="s">
        <v>25</v>
      </c>
      <c r="S365" t="s">
        <v>25</v>
      </c>
    </row>
    <row r="366" spans="1:19" x14ac:dyDescent="0.25">
      <c r="A366">
        <v>6</v>
      </c>
      <c r="B366" t="s">
        <v>167</v>
      </c>
      <c r="C366" t="str">
        <f>HYPERLINK("http://www.ncbi.nlm.nih.gov/protein/NXE37928.1","NXE37928.1")</f>
        <v>NXE37928.1</v>
      </c>
      <c r="D366">
        <v>13533</v>
      </c>
      <c r="E366" t="str">
        <f>HYPERLINK("http://www.ncbi.nlm.nih.gov/Taxonomy/Browser/wwwtax.cgi?mode=Info&amp;id=449384&amp;lvl=3&amp;lin=f&amp;keep=1&amp;srchmode=1&amp;unlock","449384")</f>
        <v>449384</v>
      </c>
      <c r="F366" t="s">
        <v>167</v>
      </c>
      <c r="G366" t="str">
        <f>HYPERLINK("http://www.ncbi.nlm.nih.gov/Taxonomy/Browser/wwwtax.cgi?mode=Info&amp;id=449384&amp;lvl=3&amp;lin=f&amp;keep=1&amp;srchmode=1&amp;unlock","Ptilorrhoa leucosticta")</f>
        <v>Ptilorrhoa leucosticta</v>
      </c>
      <c r="H366" t="s">
        <v>206</v>
      </c>
      <c r="I366" t="str">
        <f>HYPERLINK("http://www.ncbi.nlm.nih.gov/protein/NXE37928.1","FABPL protein")</f>
        <v>FABPL protein</v>
      </c>
      <c r="J366" t="s">
        <v>1386</v>
      </c>
      <c r="K366" t="s">
        <v>25</v>
      </c>
      <c r="L366">
        <v>50</v>
      </c>
      <c r="M366" t="s">
        <v>1379</v>
      </c>
      <c r="N366" t="s">
        <v>25</v>
      </c>
      <c r="O366" t="s">
        <v>1355</v>
      </c>
      <c r="P366" t="s">
        <v>25</v>
      </c>
      <c r="Q366">
        <v>117.148</v>
      </c>
      <c r="R366" t="s">
        <v>25</v>
      </c>
      <c r="S366" t="s">
        <v>25</v>
      </c>
    </row>
    <row r="367" spans="1:19" x14ac:dyDescent="0.25">
      <c r="A367">
        <v>6</v>
      </c>
      <c r="B367" t="s">
        <v>167</v>
      </c>
      <c r="C367" t="str">
        <f>HYPERLINK("http://www.ncbi.nlm.nih.gov/protein/NWQ68333.1","NWQ68333.1")</f>
        <v>NWQ68333.1</v>
      </c>
      <c r="D367">
        <v>14028</v>
      </c>
      <c r="E367" t="str">
        <f>HYPERLINK("http://www.ncbi.nlm.nih.gov/Taxonomy/Browser/wwwtax.cgi?mode=Info&amp;id=456388&amp;lvl=3&amp;lin=f&amp;keep=1&amp;srchmode=1&amp;unlock","456388")</f>
        <v>456388</v>
      </c>
      <c r="F367" t="s">
        <v>167</v>
      </c>
      <c r="G367" t="str">
        <f>HYPERLINK("http://www.ncbi.nlm.nih.gov/Taxonomy/Browser/wwwtax.cgi?mode=Info&amp;id=456388&amp;lvl=3&amp;lin=f&amp;keep=1&amp;srchmode=1&amp;unlock","Neopipo cinnamomea")</f>
        <v>Neopipo cinnamomea</v>
      </c>
      <c r="H367" t="s">
        <v>206</v>
      </c>
      <c r="I367" t="str">
        <f>HYPERLINK("http://www.ncbi.nlm.nih.gov/protein/NWQ68333.1","FABPL protein")</f>
        <v>FABPL protein</v>
      </c>
      <c r="J367" t="s">
        <v>1386</v>
      </c>
      <c r="K367" t="s">
        <v>25</v>
      </c>
      <c r="L367">
        <v>50</v>
      </c>
      <c r="M367" t="s">
        <v>1379</v>
      </c>
      <c r="N367" t="s">
        <v>25</v>
      </c>
      <c r="O367" t="s">
        <v>1355</v>
      </c>
      <c r="P367" t="s">
        <v>25</v>
      </c>
      <c r="Q367">
        <v>117.148</v>
      </c>
      <c r="R367" t="s">
        <v>25</v>
      </c>
      <c r="S367" t="s">
        <v>25</v>
      </c>
    </row>
    <row r="368" spans="1:19" x14ac:dyDescent="0.25">
      <c r="A368">
        <v>6</v>
      </c>
      <c r="B368" t="s">
        <v>167</v>
      </c>
      <c r="C368" t="str">
        <f>HYPERLINK("http://www.ncbi.nlm.nih.gov/protein/NXU18073.1","NXU18073.1")</f>
        <v>NXU18073.1</v>
      </c>
      <c r="D368">
        <v>13722</v>
      </c>
      <c r="E368" t="str">
        <f>HYPERLINK("http://www.ncbi.nlm.nih.gov/Taxonomy/Browser/wwwtax.cgi?mode=Info&amp;id=254575&amp;lvl=3&amp;lin=f&amp;keep=1&amp;srchmode=1&amp;unlock","254575")</f>
        <v>254575</v>
      </c>
      <c r="F368" t="s">
        <v>167</v>
      </c>
      <c r="G368" t="str">
        <f>HYPERLINK("http://www.ncbi.nlm.nih.gov/Taxonomy/Browser/wwwtax.cgi?mode=Info&amp;id=254575&amp;lvl=3&amp;lin=f&amp;keep=1&amp;srchmode=1&amp;unlock","Pardalotus punctatus")</f>
        <v>Pardalotus punctatus</v>
      </c>
      <c r="H368" t="s">
        <v>331</v>
      </c>
      <c r="I368" t="str">
        <f>HYPERLINK("http://www.ncbi.nlm.nih.gov/protein/NXU18073.1","FABPL protein")</f>
        <v>FABPL protein</v>
      </c>
      <c r="J368" t="s">
        <v>1386</v>
      </c>
      <c r="K368" t="s">
        <v>25</v>
      </c>
      <c r="L368">
        <v>50</v>
      </c>
      <c r="M368" t="s">
        <v>1379</v>
      </c>
      <c r="N368" t="s">
        <v>25</v>
      </c>
      <c r="O368" t="s">
        <v>1355</v>
      </c>
      <c r="P368" t="s">
        <v>25</v>
      </c>
      <c r="Q368">
        <v>117.148</v>
      </c>
      <c r="R368" t="s">
        <v>25</v>
      </c>
      <c r="S368" t="s">
        <v>25</v>
      </c>
    </row>
    <row r="369" spans="1:19" x14ac:dyDescent="0.25">
      <c r="A369">
        <v>6</v>
      </c>
      <c r="B369" t="s">
        <v>167</v>
      </c>
      <c r="C369" t="str">
        <f>HYPERLINK("http://www.ncbi.nlm.nih.gov/protein/XP_040411987.1","XP_040411987.1")</f>
        <v>XP_040411987.1</v>
      </c>
      <c r="D369">
        <v>47842</v>
      </c>
      <c r="E369" t="str">
        <f>HYPERLINK("http://www.ncbi.nlm.nih.gov/Taxonomy/Browser/wwwtax.cgi?mode=Info&amp;id=8869&amp;lvl=3&amp;lin=f&amp;keep=1&amp;srchmode=1&amp;unlock","8869")</f>
        <v>8869</v>
      </c>
      <c r="F369" t="s">
        <v>167</v>
      </c>
      <c r="G369" t="str">
        <f>HYPERLINK("http://www.ncbi.nlm.nih.gov/Taxonomy/Browser/wwwtax.cgi?mode=Info&amp;id=8869&amp;lvl=3&amp;lin=f&amp;keep=1&amp;srchmode=1&amp;unlock","Cygnus olor")</f>
        <v>Cygnus olor</v>
      </c>
      <c r="H369" t="s">
        <v>328</v>
      </c>
      <c r="I369" t="str">
        <f>HYPERLINK("http://www.ncbi.nlm.nih.gov/protein/XP_040411987.1","fatty acid-binding protein, liver")</f>
        <v>fatty acid-binding protein, liver</v>
      </c>
      <c r="J369" t="s">
        <v>1386</v>
      </c>
      <c r="K369" t="s">
        <v>25</v>
      </c>
      <c r="L369">
        <v>50</v>
      </c>
      <c r="M369" t="s">
        <v>1379</v>
      </c>
      <c r="N369" t="s">
        <v>25</v>
      </c>
      <c r="O369" t="s">
        <v>1355</v>
      </c>
      <c r="P369" t="s">
        <v>25</v>
      </c>
      <c r="Q369">
        <v>117.148</v>
      </c>
      <c r="R369" t="s">
        <v>25</v>
      </c>
      <c r="S369" t="s">
        <v>25</v>
      </c>
    </row>
    <row r="370" spans="1:19" x14ac:dyDescent="0.25">
      <c r="A370">
        <v>6</v>
      </c>
      <c r="B370" t="s">
        <v>167</v>
      </c>
      <c r="C370" t="str">
        <f>HYPERLINK("http://www.ncbi.nlm.nih.gov/protein/NXE98410.1","NXE98410.1")</f>
        <v>NXE98410.1</v>
      </c>
      <c r="D370">
        <v>14528</v>
      </c>
      <c r="E370" t="str">
        <f>HYPERLINK("http://www.ncbi.nlm.nih.gov/Taxonomy/Browser/wwwtax.cgi?mode=Info&amp;id=47692&amp;lvl=3&amp;lin=f&amp;keep=1&amp;srchmode=1&amp;unlock","47692")</f>
        <v>47692</v>
      </c>
      <c r="F370" t="s">
        <v>167</v>
      </c>
      <c r="G370" t="str">
        <f>HYPERLINK("http://www.ncbi.nlm.nih.gov/Taxonomy/Browser/wwwtax.cgi?mode=Info&amp;id=47692&amp;lvl=3&amp;lin=f&amp;keep=1&amp;srchmode=1&amp;unlock","Menura novaehollandiae")</f>
        <v>Menura novaehollandiae</v>
      </c>
      <c r="H370" t="s">
        <v>329</v>
      </c>
      <c r="I370" t="str">
        <f>HYPERLINK("http://www.ncbi.nlm.nih.gov/protein/NXE98410.1","FABPL protein")</f>
        <v>FABPL protein</v>
      </c>
      <c r="J370" t="s">
        <v>1386</v>
      </c>
      <c r="K370" t="s">
        <v>25</v>
      </c>
      <c r="L370">
        <v>50</v>
      </c>
      <c r="M370" t="s">
        <v>1379</v>
      </c>
      <c r="N370" t="s">
        <v>25</v>
      </c>
      <c r="O370" t="s">
        <v>1355</v>
      </c>
      <c r="P370" t="s">
        <v>25</v>
      </c>
      <c r="Q370">
        <v>117.148</v>
      </c>
      <c r="R370" t="s">
        <v>25</v>
      </c>
      <c r="S370" t="s">
        <v>25</v>
      </c>
    </row>
    <row r="371" spans="1:19" x14ac:dyDescent="0.25">
      <c r="A371">
        <v>6</v>
      </c>
      <c r="B371" t="s">
        <v>167</v>
      </c>
      <c r="C371" t="str">
        <f>HYPERLINK("http://www.ncbi.nlm.nih.gov/protein/NWU19747.1","NWU19747.1")</f>
        <v>NWU19747.1</v>
      </c>
      <c r="D371">
        <v>14053</v>
      </c>
      <c r="E371" t="str">
        <f>HYPERLINK("http://www.ncbi.nlm.nih.gov/Taxonomy/Browser/wwwtax.cgi?mode=Info&amp;id=1160851&amp;lvl=3&amp;lin=f&amp;keep=1&amp;srchmode=1&amp;unlock","1160851")</f>
        <v>1160851</v>
      </c>
      <c r="F371" t="s">
        <v>167</v>
      </c>
      <c r="G371" t="str">
        <f>HYPERLINK("http://www.ncbi.nlm.nih.gov/Taxonomy/Browser/wwwtax.cgi?mode=Info&amp;id=1160851&amp;lvl=3&amp;lin=f&amp;keep=1&amp;srchmode=1&amp;unlock","Platysteira castanea")</f>
        <v>Platysteira castanea</v>
      </c>
      <c r="H371" t="s">
        <v>206</v>
      </c>
      <c r="I371" t="str">
        <f>HYPERLINK("http://www.ncbi.nlm.nih.gov/protein/NWU19747.1","FABPL protein")</f>
        <v>FABPL protein</v>
      </c>
      <c r="J371" t="s">
        <v>1386</v>
      </c>
      <c r="K371" t="s">
        <v>25</v>
      </c>
      <c r="L371">
        <v>50</v>
      </c>
      <c r="M371" t="s">
        <v>1383</v>
      </c>
      <c r="N371" t="s">
        <v>25</v>
      </c>
      <c r="O371" t="s">
        <v>1355</v>
      </c>
      <c r="P371" t="s">
        <v>25</v>
      </c>
      <c r="Q371">
        <v>131.17500000000001</v>
      </c>
      <c r="R371" t="s">
        <v>25</v>
      </c>
      <c r="S371" t="s">
        <v>25</v>
      </c>
    </row>
    <row r="372" spans="1:19" x14ac:dyDescent="0.25">
      <c r="A372">
        <v>6</v>
      </c>
      <c r="B372" t="s">
        <v>167</v>
      </c>
      <c r="C372" t="str">
        <f>HYPERLINK("http://www.ncbi.nlm.nih.gov/protein/XP_025968447.1","XP_025968447.1")</f>
        <v>XP_025968447.1</v>
      </c>
      <c r="D372">
        <v>45135</v>
      </c>
      <c r="E372" t="str">
        <f>HYPERLINK("http://www.ncbi.nlm.nih.gov/Taxonomy/Browser/wwwtax.cgi?mode=Info&amp;id=8790&amp;lvl=3&amp;lin=f&amp;keep=1&amp;srchmode=1&amp;unlock","8790")</f>
        <v>8790</v>
      </c>
      <c r="F372" t="s">
        <v>167</v>
      </c>
      <c r="G372" t="str">
        <f>HYPERLINK("http://www.ncbi.nlm.nih.gov/Taxonomy/Browser/wwwtax.cgi?mode=Info&amp;id=8790&amp;lvl=3&amp;lin=f&amp;keep=1&amp;srchmode=1&amp;unlock","Dromaius novaehollandiae")</f>
        <v>Dromaius novaehollandiae</v>
      </c>
      <c r="H372" t="s">
        <v>336</v>
      </c>
      <c r="I372" t="str">
        <f>HYPERLINK("http://www.ncbi.nlm.nih.gov/protein/XP_025968447.1","fatty acid-binding protein, liver")</f>
        <v>fatty acid-binding protein, liver</v>
      </c>
      <c r="J372" t="s">
        <v>1386</v>
      </c>
      <c r="K372" t="s">
        <v>25</v>
      </c>
      <c r="L372">
        <v>50</v>
      </c>
      <c r="M372" t="s">
        <v>1379</v>
      </c>
      <c r="N372" t="s">
        <v>25</v>
      </c>
      <c r="O372" t="s">
        <v>1355</v>
      </c>
      <c r="P372" t="s">
        <v>25</v>
      </c>
      <c r="Q372">
        <v>117.148</v>
      </c>
      <c r="R372" t="s">
        <v>25</v>
      </c>
      <c r="S372" t="s">
        <v>25</v>
      </c>
    </row>
    <row r="373" spans="1:19" x14ac:dyDescent="0.25">
      <c r="A373">
        <v>6</v>
      </c>
      <c r="B373" t="s">
        <v>167</v>
      </c>
      <c r="C373" t="str">
        <f>HYPERLINK("http://www.ncbi.nlm.nih.gov/protein/XP_009913497.1","XP_009913497.1")</f>
        <v>XP_009913497.1</v>
      </c>
      <c r="D373">
        <v>45028</v>
      </c>
      <c r="E373" t="str">
        <f>HYPERLINK("http://www.ncbi.nlm.nih.gov/Taxonomy/Browser/wwwtax.cgi?mode=Info&amp;id=8969&amp;lvl=3&amp;lin=f&amp;keep=1&amp;srchmode=1&amp;unlock","8969")</f>
        <v>8969</v>
      </c>
      <c r="F373" t="s">
        <v>167</v>
      </c>
      <c r="G373" t="str">
        <f>HYPERLINK("http://www.ncbi.nlm.nih.gov/Taxonomy/Browser/wwwtax.cgi?mode=Info&amp;id=8969&amp;lvl=3&amp;lin=f&amp;keep=1&amp;srchmode=1&amp;unlock","Haliaeetus albicilla")</f>
        <v>Haliaeetus albicilla</v>
      </c>
      <c r="H373" t="s">
        <v>337</v>
      </c>
      <c r="I373" t="str">
        <f>HYPERLINK("http://www.ncbi.nlm.nih.gov/protein/XP_009913497.1","PREDICTED: fatty acid-binding protein, liver")</f>
        <v>PREDICTED: fatty acid-binding protein, liver</v>
      </c>
      <c r="J373" t="s">
        <v>1386</v>
      </c>
      <c r="K373" t="s">
        <v>25</v>
      </c>
      <c r="L373">
        <v>50</v>
      </c>
      <c r="M373" t="s">
        <v>1383</v>
      </c>
      <c r="N373" t="s">
        <v>25</v>
      </c>
      <c r="O373" t="s">
        <v>1355</v>
      </c>
      <c r="P373" t="s">
        <v>25</v>
      </c>
      <c r="Q373">
        <v>131.17500000000001</v>
      </c>
      <c r="R373" t="s">
        <v>25</v>
      </c>
      <c r="S373" t="s">
        <v>25</v>
      </c>
    </row>
    <row r="374" spans="1:19" x14ac:dyDescent="0.25">
      <c r="A374">
        <v>6</v>
      </c>
      <c r="B374" t="s">
        <v>167</v>
      </c>
      <c r="C374" t="str">
        <f>HYPERLINK("http://www.ncbi.nlm.nih.gov/protein/NXC60423.1","NXC60423.1")</f>
        <v>NXC60423.1</v>
      </c>
      <c r="D374">
        <v>13927</v>
      </c>
      <c r="E374" t="str">
        <f>HYPERLINK("http://www.ncbi.nlm.nih.gov/Taxonomy/Browser/wwwtax.cgi?mode=Info&amp;id=461220&amp;lvl=3&amp;lin=f&amp;keep=1&amp;srchmode=1&amp;unlock","461220")</f>
        <v>461220</v>
      </c>
      <c r="F374" t="s">
        <v>167</v>
      </c>
      <c r="G374" t="str">
        <f>HYPERLINK("http://www.ncbi.nlm.nih.gov/Taxonomy/Browser/wwwtax.cgi?mode=Info&amp;id=461220&amp;lvl=3&amp;lin=f&amp;keep=1&amp;srchmode=1&amp;unlock","Aleadryas rufinucha")</f>
        <v>Aleadryas rufinucha</v>
      </c>
      <c r="H374" t="s">
        <v>332</v>
      </c>
      <c r="I374" t="str">
        <f>HYPERLINK("http://www.ncbi.nlm.nih.gov/protein/NXC60423.1","FABPL protein")</f>
        <v>FABPL protein</v>
      </c>
      <c r="J374" t="s">
        <v>1386</v>
      </c>
      <c r="K374" t="s">
        <v>25</v>
      </c>
      <c r="L374">
        <v>50</v>
      </c>
      <c r="M374" t="s">
        <v>1379</v>
      </c>
      <c r="N374" t="s">
        <v>25</v>
      </c>
      <c r="O374" t="s">
        <v>1355</v>
      </c>
      <c r="P374" t="s">
        <v>25</v>
      </c>
      <c r="Q374">
        <v>117.148</v>
      </c>
      <c r="R374" t="s">
        <v>25</v>
      </c>
      <c r="S374" t="s">
        <v>25</v>
      </c>
    </row>
    <row r="375" spans="1:19" x14ac:dyDescent="0.25">
      <c r="A375">
        <v>6</v>
      </c>
      <c r="B375" t="s">
        <v>167</v>
      </c>
      <c r="C375" t="str">
        <f>HYPERLINK("http://www.ncbi.nlm.nih.gov/protein/XP_010579042.1","XP_010579042.1")</f>
        <v>XP_010579042.1</v>
      </c>
      <c r="D375">
        <v>25384</v>
      </c>
      <c r="E375" t="str">
        <f>HYPERLINK("http://www.ncbi.nlm.nih.gov/Taxonomy/Browser/wwwtax.cgi?mode=Info&amp;id=52644&amp;lvl=3&amp;lin=f&amp;keep=1&amp;srchmode=1&amp;unlock","52644")</f>
        <v>52644</v>
      </c>
      <c r="F375" t="s">
        <v>167</v>
      </c>
      <c r="G375" t="str">
        <f>HYPERLINK("http://www.ncbi.nlm.nih.gov/Taxonomy/Browser/wwwtax.cgi?mode=Info&amp;id=52644&amp;lvl=3&amp;lin=f&amp;keep=1&amp;srchmode=1&amp;unlock","Haliaeetus leucocephalus")</f>
        <v>Haliaeetus leucocephalus</v>
      </c>
      <c r="H375" t="s">
        <v>334</v>
      </c>
      <c r="I375" t="str">
        <f>HYPERLINK("http://www.ncbi.nlm.nih.gov/protein/XP_010579042.1","PREDICTED: fatty acid-binding protein, liver")</f>
        <v>PREDICTED: fatty acid-binding protein, liver</v>
      </c>
      <c r="J375" t="s">
        <v>1386</v>
      </c>
      <c r="K375" t="s">
        <v>25</v>
      </c>
      <c r="L375">
        <v>50</v>
      </c>
      <c r="M375" t="s">
        <v>1383</v>
      </c>
      <c r="N375" t="s">
        <v>25</v>
      </c>
      <c r="O375" t="s">
        <v>1355</v>
      </c>
      <c r="P375" t="s">
        <v>25</v>
      </c>
      <c r="Q375">
        <v>131.17500000000001</v>
      </c>
      <c r="R375" t="s">
        <v>25</v>
      </c>
      <c r="S375" t="s">
        <v>25</v>
      </c>
    </row>
    <row r="376" spans="1:19" x14ac:dyDescent="0.25">
      <c r="A376">
        <v>6</v>
      </c>
      <c r="B376" t="s">
        <v>167</v>
      </c>
      <c r="C376" t="str">
        <f>HYPERLINK("http://www.ncbi.nlm.nih.gov/protein/NXY53734.1","NXY53734.1")</f>
        <v>NXY53734.1</v>
      </c>
      <c r="D376">
        <v>14612</v>
      </c>
      <c r="E376" t="str">
        <f>HYPERLINK("http://www.ncbi.nlm.nih.gov/Taxonomy/Browser/wwwtax.cgi?mode=Info&amp;id=1347786&amp;lvl=3&amp;lin=f&amp;keep=1&amp;srchmode=1&amp;unlock","1347786")</f>
        <v>1347786</v>
      </c>
      <c r="F376" t="s">
        <v>167</v>
      </c>
      <c r="G376" t="str">
        <f>HYPERLINK("http://www.ncbi.nlm.nih.gov/Taxonomy/Browser/wwwtax.cgi?mode=Info&amp;id=1347786&amp;lvl=3&amp;lin=f&amp;keep=1&amp;srchmode=1&amp;unlock","Callaeas wilsoni")</f>
        <v>Callaeas wilsoni</v>
      </c>
      <c r="H376" t="s">
        <v>335</v>
      </c>
      <c r="I376" t="str">
        <f>HYPERLINK("http://www.ncbi.nlm.nih.gov/protein/NXY53734.1","FABPL protein")</f>
        <v>FABPL protein</v>
      </c>
      <c r="J376" t="s">
        <v>1386</v>
      </c>
      <c r="K376" t="s">
        <v>25</v>
      </c>
      <c r="L376">
        <v>50</v>
      </c>
      <c r="M376" t="s">
        <v>1383</v>
      </c>
      <c r="N376" t="s">
        <v>25</v>
      </c>
      <c r="O376" t="s">
        <v>1355</v>
      </c>
      <c r="P376" t="s">
        <v>25</v>
      </c>
      <c r="Q376">
        <v>131.17500000000001</v>
      </c>
      <c r="R376" t="s">
        <v>25</v>
      </c>
      <c r="S376" t="s">
        <v>25</v>
      </c>
    </row>
    <row r="377" spans="1:19" x14ac:dyDescent="0.25">
      <c r="A377">
        <v>6</v>
      </c>
      <c r="B377" t="s">
        <v>167</v>
      </c>
      <c r="C377" t="str">
        <f>HYPERLINK("http://www.ncbi.nlm.nih.gov/protein/XP_014731737.1","XP_014731737.1")</f>
        <v>XP_014731737.1</v>
      </c>
      <c r="D377">
        <v>26793</v>
      </c>
      <c r="E377" t="str">
        <f>HYPERLINK("http://www.ncbi.nlm.nih.gov/Taxonomy/Browser/wwwtax.cgi?mode=Info&amp;id=9172&amp;lvl=3&amp;lin=f&amp;keep=1&amp;srchmode=1&amp;unlock","9172")</f>
        <v>9172</v>
      </c>
      <c r="F377" t="s">
        <v>167</v>
      </c>
      <c r="G377" t="str">
        <f>HYPERLINK("http://www.ncbi.nlm.nih.gov/Taxonomy/Browser/wwwtax.cgi?mode=Info&amp;id=9172&amp;lvl=3&amp;lin=f&amp;keep=1&amp;srchmode=1&amp;unlock","Sturnus vulgaris")</f>
        <v>Sturnus vulgaris</v>
      </c>
      <c r="H377" t="s">
        <v>341</v>
      </c>
      <c r="I377" t="str">
        <f>HYPERLINK("http://www.ncbi.nlm.nih.gov/protein/XP_014731737.1","PREDICTED: fatty acid-binding protein, liver")</f>
        <v>PREDICTED: fatty acid-binding protein, liver</v>
      </c>
      <c r="J377" t="s">
        <v>1386</v>
      </c>
      <c r="K377" t="s">
        <v>25</v>
      </c>
      <c r="L377">
        <v>50</v>
      </c>
      <c r="M377" t="s">
        <v>1383</v>
      </c>
      <c r="N377" t="s">
        <v>25</v>
      </c>
      <c r="O377" t="s">
        <v>1355</v>
      </c>
      <c r="P377" t="s">
        <v>25</v>
      </c>
      <c r="Q377">
        <v>131.17500000000001</v>
      </c>
      <c r="R377" t="s">
        <v>25</v>
      </c>
      <c r="S377" t="s">
        <v>25</v>
      </c>
    </row>
    <row r="378" spans="1:19" x14ac:dyDescent="0.25">
      <c r="A378">
        <v>6</v>
      </c>
      <c r="B378" t="s">
        <v>167</v>
      </c>
      <c r="C378" t="str">
        <f>HYPERLINK("http://www.ncbi.nlm.nih.gov/protein/NWX22516.1","NWX22516.1")</f>
        <v>NWX22516.1</v>
      </c>
      <c r="D378">
        <v>13717</v>
      </c>
      <c r="E378" t="str">
        <f>HYPERLINK("http://www.ncbi.nlm.nih.gov/Taxonomy/Browser/wwwtax.cgi?mode=Info&amp;id=48278&amp;lvl=3&amp;lin=f&amp;keep=1&amp;srchmode=1&amp;unlock","48278")</f>
        <v>48278</v>
      </c>
      <c r="F378" t="s">
        <v>167</v>
      </c>
      <c r="G378" t="str">
        <f>HYPERLINK("http://www.ncbi.nlm.nih.gov/Taxonomy/Browser/wwwtax.cgi?mode=Info&amp;id=48278&amp;lvl=3&amp;lin=f&amp;keep=1&amp;srchmode=1&amp;unlock","Aegotheles bennettii")</f>
        <v>Aegotheles bennettii</v>
      </c>
      <c r="H378" t="s">
        <v>233</v>
      </c>
      <c r="I378" t="str">
        <f>HYPERLINK("http://www.ncbi.nlm.nih.gov/protein/NWX22516.1","FABPL protein")</f>
        <v>FABPL protein</v>
      </c>
      <c r="J378" t="s">
        <v>1386</v>
      </c>
      <c r="K378" t="s">
        <v>25</v>
      </c>
      <c r="L378">
        <v>50</v>
      </c>
      <c r="M378" t="s">
        <v>1383</v>
      </c>
      <c r="N378" t="s">
        <v>25</v>
      </c>
      <c r="O378" t="s">
        <v>1355</v>
      </c>
      <c r="P378" t="s">
        <v>25</v>
      </c>
      <c r="Q378">
        <v>131.17500000000001</v>
      </c>
      <c r="R378" t="s">
        <v>25</v>
      </c>
      <c r="S378" t="s">
        <v>25</v>
      </c>
    </row>
    <row r="379" spans="1:19" x14ac:dyDescent="0.25">
      <c r="A379">
        <v>6</v>
      </c>
      <c r="B379" t="s">
        <v>167</v>
      </c>
      <c r="C379" t="str">
        <f>HYPERLINK("http://www.ncbi.nlm.nih.gov/protein/NXA65400.1","NXA65400.1")</f>
        <v>NXA65400.1</v>
      </c>
      <c r="D379">
        <v>13619</v>
      </c>
      <c r="E379" t="str">
        <f>HYPERLINK("http://www.ncbi.nlm.nih.gov/Taxonomy/Browser/wwwtax.cgi?mode=Info&amp;id=874463&amp;lvl=3&amp;lin=f&amp;keep=1&amp;srchmode=1&amp;unlock","874463")</f>
        <v>874463</v>
      </c>
      <c r="F379" t="s">
        <v>167</v>
      </c>
      <c r="G379" t="str">
        <f>HYPERLINK("http://www.ncbi.nlm.nih.gov/Taxonomy/Browser/wwwtax.cgi?mode=Info&amp;id=874463&amp;lvl=3&amp;lin=f&amp;keep=1&amp;srchmode=1&amp;unlock","Mohoua ochrocephala")</f>
        <v>Mohoua ochrocephala</v>
      </c>
      <c r="H379" t="s">
        <v>206</v>
      </c>
      <c r="I379" t="str">
        <f>HYPERLINK("http://www.ncbi.nlm.nih.gov/protein/NXA65400.1","FABPL protein")</f>
        <v>FABPL protein</v>
      </c>
      <c r="J379" t="s">
        <v>1386</v>
      </c>
      <c r="K379" t="s">
        <v>25</v>
      </c>
      <c r="L379">
        <v>50</v>
      </c>
      <c r="M379" t="s">
        <v>1379</v>
      </c>
      <c r="N379" t="s">
        <v>25</v>
      </c>
      <c r="O379" t="s">
        <v>1355</v>
      </c>
      <c r="P379" t="s">
        <v>25</v>
      </c>
      <c r="Q379">
        <v>117.148</v>
      </c>
      <c r="R379" t="s">
        <v>25</v>
      </c>
      <c r="S379" t="s">
        <v>25</v>
      </c>
    </row>
    <row r="380" spans="1:19" x14ac:dyDescent="0.25">
      <c r="A380">
        <v>6</v>
      </c>
      <c r="B380" t="s">
        <v>167</v>
      </c>
      <c r="C380" t="str">
        <f>HYPERLINK("http://www.ncbi.nlm.nih.gov/protein/NXT02429.1","NXT02429.1")</f>
        <v>NXT02429.1</v>
      </c>
      <c r="D380">
        <v>13322</v>
      </c>
      <c r="E380" t="str">
        <f>HYPERLINK("http://www.ncbi.nlm.nih.gov/Taxonomy/Browser/wwwtax.cgi?mode=Info&amp;id=54508&amp;lvl=3&amp;lin=f&amp;keep=1&amp;srchmode=1&amp;unlock","54508")</f>
        <v>54508</v>
      </c>
      <c r="F380" t="s">
        <v>167</v>
      </c>
      <c r="G380" t="str">
        <f>HYPERLINK("http://www.ncbi.nlm.nih.gov/Taxonomy/Browser/wwwtax.cgi?mode=Info&amp;id=54508&amp;lvl=3&amp;lin=f&amp;keep=1&amp;srchmode=1&amp;unlock","Jacana jacana")</f>
        <v>Jacana jacana</v>
      </c>
      <c r="H380" t="s">
        <v>339</v>
      </c>
      <c r="I380" t="str">
        <f>HYPERLINK("http://www.ncbi.nlm.nih.gov/protein/NXT02429.1","FABPL protein")</f>
        <v>FABPL protein</v>
      </c>
      <c r="J380" t="s">
        <v>1386</v>
      </c>
      <c r="K380" t="s">
        <v>25</v>
      </c>
      <c r="L380">
        <v>50</v>
      </c>
      <c r="M380" t="s">
        <v>1379</v>
      </c>
      <c r="N380" t="s">
        <v>25</v>
      </c>
      <c r="O380" t="s">
        <v>1355</v>
      </c>
      <c r="P380" t="s">
        <v>25</v>
      </c>
      <c r="Q380">
        <v>117.148</v>
      </c>
      <c r="R380" t="s">
        <v>25</v>
      </c>
      <c r="S380" t="s">
        <v>25</v>
      </c>
    </row>
    <row r="381" spans="1:19" x14ac:dyDescent="0.25">
      <c r="A381">
        <v>6</v>
      </c>
      <c r="B381" t="s">
        <v>167</v>
      </c>
      <c r="C381" t="str">
        <f>HYPERLINK("http://www.ncbi.nlm.nih.gov/protein/XP_009871113.1","XP_009871113.1")</f>
        <v>XP_009871113.1</v>
      </c>
      <c r="D381">
        <v>26533</v>
      </c>
      <c r="E381" t="str">
        <f>HYPERLINK("http://www.ncbi.nlm.nih.gov/Taxonomy/Browser/wwwtax.cgi?mode=Info&amp;id=57397&amp;lvl=3&amp;lin=f&amp;keep=1&amp;srchmode=1&amp;unlock","57397")</f>
        <v>57397</v>
      </c>
      <c r="F381" t="s">
        <v>167</v>
      </c>
      <c r="G381" t="str">
        <f>HYPERLINK("http://www.ncbi.nlm.nih.gov/Taxonomy/Browser/wwwtax.cgi?mode=Info&amp;id=57397&amp;lvl=3&amp;lin=f&amp;keep=1&amp;srchmode=1&amp;unlock","Apaloderma vittatum")</f>
        <v>Apaloderma vittatum</v>
      </c>
      <c r="H381" t="s">
        <v>340</v>
      </c>
      <c r="I381" t="str">
        <f>HYPERLINK("http://www.ncbi.nlm.nih.gov/protein/XP_009871113.1","PREDICTED: fatty acid-binding protein, liver")</f>
        <v>PREDICTED: fatty acid-binding protein, liver</v>
      </c>
      <c r="J381" t="s">
        <v>1386</v>
      </c>
      <c r="K381" t="s">
        <v>25</v>
      </c>
      <c r="L381">
        <v>50</v>
      </c>
      <c r="M381" t="s">
        <v>1379</v>
      </c>
      <c r="N381" t="s">
        <v>25</v>
      </c>
      <c r="O381" t="s">
        <v>1355</v>
      </c>
      <c r="P381" t="s">
        <v>25</v>
      </c>
      <c r="Q381">
        <v>117.148</v>
      </c>
      <c r="R381" t="s">
        <v>25</v>
      </c>
      <c r="S381" t="s">
        <v>25</v>
      </c>
    </row>
    <row r="382" spans="1:19" x14ac:dyDescent="0.25">
      <c r="A382">
        <v>6</v>
      </c>
      <c r="B382" t="s">
        <v>167</v>
      </c>
      <c r="C382" t="str">
        <f>HYPERLINK("http://www.ncbi.nlm.nih.gov/protein/NXT95846.1","NXT95846.1")</f>
        <v>NXT95846.1</v>
      </c>
      <c r="D382">
        <v>10510</v>
      </c>
      <c r="E382" t="str">
        <f>HYPERLINK("http://www.ncbi.nlm.nih.gov/Taxonomy/Browser/wwwtax.cgi?mode=Info&amp;id=317792&amp;lvl=3&amp;lin=f&amp;keep=1&amp;srchmode=1&amp;unlock","317792")</f>
        <v>317792</v>
      </c>
      <c r="F382" t="s">
        <v>167</v>
      </c>
      <c r="G382" t="str">
        <f>HYPERLINK("http://www.ncbi.nlm.nih.gov/Taxonomy/Browser/wwwtax.cgi?mode=Info&amp;id=317792&amp;lvl=3&amp;lin=f&amp;keep=1&amp;srchmode=1&amp;unlock","Anhinga rufa")</f>
        <v>Anhinga rufa</v>
      </c>
      <c r="H382" t="s">
        <v>347</v>
      </c>
      <c r="I382" t="str">
        <f>HYPERLINK("http://www.ncbi.nlm.nih.gov/protein/NXT95846.1","FABPL protein")</f>
        <v>FABPL protein</v>
      </c>
      <c r="J382" t="s">
        <v>1386</v>
      </c>
      <c r="K382" t="s">
        <v>25</v>
      </c>
      <c r="L382">
        <v>50</v>
      </c>
      <c r="M382" t="s">
        <v>1379</v>
      </c>
      <c r="N382" t="s">
        <v>25</v>
      </c>
      <c r="O382" t="s">
        <v>1355</v>
      </c>
      <c r="P382" t="s">
        <v>25</v>
      </c>
      <c r="Q382">
        <v>117.148</v>
      </c>
      <c r="R382" t="s">
        <v>25</v>
      </c>
      <c r="S382" t="s">
        <v>25</v>
      </c>
    </row>
    <row r="383" spans="1:19" x14ac:dyDescent="0.25">
      <c r="A383">
        <v>6</v>
      </c>
      <c r="B383" t="s">
        <v>167</v>
      </c>
      <c r="C383" t="str">
        <f>HYPERLINK("http://www.ncbi.nlm.nih.gov/protein/OPJ70771.1","OPJ70771.1")</f>
        <v>OPJ70771.1</v>
      </c>
      <c r="D383">
        <v>24828</v>
      </c>
      <c r="E383" t="str">
        <f>HYPERLINK("http://www.ncbi.nlm.nih.gov/Taxonomy/Browser/wwwtax.cgi?mode=Info&amp;id=372326&amp;lvl=3&amp;lin=f&amp;keep=1&amp;srchmode=1&amp;unlock","372326")</f>
        <v>372326</v>
      </c>
      <c r="F383" t="s">
        <v>167</v>
      </c>
      <c r="G383" t="str">
        <f>HYPERLINK("http://www.ncbi.nlm.nih.gov/Taxonomy/Browser/wwwtax.cgi?mode=Info&amp;id=372326&amp;lvl=3&amp;lin=f&amp;keep=1&amp;srchmode=1&amp;unlock","Patagioenas fasciata monilis")</f>
        <v>Patagioenas fasciata monilis</v>
      </c>
      <c r="H383" t="s">
        <v>348</v>
      </c>
      <c r="I383" t="str">
        <f>HYPERLINK("http://www.ncbi.nlm.nih.gov/protein/OPJ70771.1","fatty acid-binding protein, liver")</f>
        <v>fatty acid-binding protein, liver</v>
      </c>
      <c r="J383" t="s">
        <v>1386</v>
      </c>
      <c r="K383" t="s">
        <v>25</v>
      </c>
      <c r="L383">
        <v>104</v>
      </c>
      <c r="M383" t="s">
        <v>1379</v>
      </c>
      <c r="N383" t="s">
        <v>25</v>
      </c>
      <c r="O383" t="s">
        <v>1355</v>
      </c>
      <c r="P383" t="s">
        <v>25</v>
      </c>
      <c r="Q383">
        <v>117.148</v>
      </c>
      <c r="R383" t="s">
        <v>25</v>
      </c>
      <c r="S383" t="s">
        <v>25</v>
      </c>
    </row>
    <row r="384" spans="1:19" x14ac:dyDescent="0.25">
      <c r="A384">
        <v>6</v>
      </c>
      <c r="B384" t="s">
        <v>167</v>
      </c>
      <c r="C384" t="str">
        <f>HYPERLINK("http://www.ncbi.nlm.nih.gov/protein/NXO48376.1","NXO48376.1")</f>
        <v>NXO48376.1</v>
      </c>
      <c r="D384">
        <v>14352</v>
      </c>
      <c r="E384" t="str">
        <f>HYPERLINK("http://www.ncbi.nlm.nih.gov/Taxonomy/Browser/wwwtax.cgi?mode=Info&amp;id=54356&amp;lvl=3&amp;lin=f&amp;keep=1&amp;srchmode=1&amp;unlock","54356")</f>
        <v>54356</v>
      </c>
      <c r="F384" t="s">
        <v>167</v>
      </c>
      <c r="G384" t="str">
        <f>HYPERLINK("http://www.ncbi.nlm.nih.gov/Taxonomy/Browser/wwwtax.cgi?mode=Info&amp;id=54356&amp;lvl=3&amp;lin=f&amp;keep=1&amp;srchmode=1&amp;unlock","Aramus guarauna")</f>
        <v>Aramus guarauna</v>
      </c>
      <c r="H384" t="s">
        <v>344</v>
      </c>
      <c r="I384" t="str">
        <f>HYPERLINK("http://www.ncbi.nlm.nih.gov/protein/NXO48376.1","FABPL protein")</f>
        <v>FABPL protein</v>
      </c>
      <c r="J384" t="s">
        <v>1386</v>
      </c>
      <c r="K384" t="s">
        <v>25</v>
      </c>
      <c r="L384">
        <v>50</v>
      </c>
      <c r="M384" t="s">
        <v>1379</v>
      </c>
      <c r="N384" t="s">
        <v>25</v>
      </c>
      <c r="O384" t="s">
        <v>1355</v>
      </c>
      <c r="P384" t="s">
        <v>25</v>
      </c>
      <c r="Q384">
        <v>117.148</v>
      </c>
      <c r="R384" t="s">
        <v>25</v>
      </c>
      <c r="S384" t="s">
        <v>25</v>
      </c>
    </row>
    <row r="385" spans="1:19" x14ac:dyDescent="0.25">
      <c r="A385">
        <v>6</v>
      </c>
      <c r="B385" t="s">
        <v>167</v>
      </c>
      <c r="C385" t="str">
        <f>HYPERLINK("http://www.ncbi.nlm.nih.gov/protein/NXI68402.1","NXI68402.1")</f>
        <v>NXI68402.1</v>
      </c>
      <c r="D385">
        <v>14308</v>
      </c>
      <c r="E385" t="str">
        <f>HYPERLINK("http://www.ncbi.nlm.nih.gov/Taxonomy/Browser/wwwtax.cgi?mode=Info&amp;id=8851&amp;lvl=3&amp;lin=f&amp;keep=1&amp;srchmode=1&amp;unlock","8851")</f>
        <v>8851</v>
      </c>
      <c r="F385" t="s">
        <v>167</v>
      </c>
      <c r="G385" t="str">
        <f>HYPERLINK("http://www.ncbi.nlm.nih.gov/Taxonomy/Browser/wwwtax.cgi?mode=Info&amp;id=8851&amp;lvl=3&amp;lin=f&amp;keep=1&amp;srchmode=1&amp;unlock","Anseranas semipalmata")</f>
        <v>Anseranas semipalmata</v>
      </c>
      <c r="H385" t="s">
        <v>345</v>
      </c>
      <c r="I385" t="str">
        <f>HYPERLINK("http://www.ncbi.nlm.nih.gov/protein/NXI68402.1","FABPL protein")</f>
        <v>FABPL protein</v>
      </c>
      <c r="J385" t="s">
        <v>1386</v>
      </c>
      <c r="K385" t="s">
        <v>25</v>
      </c>
      <c r="L385">
        <v>50</v>
      </c>
      <c r="M385" t="s">
        <v>1379</v>
      </c>
      <c r="N385" t="s">
        <v>25</v>
      </c>
      <c r="O385" t="s">
        <v>1355</v>
      </c>
      <c r="P385" t="s">
        <v>25</v>
      </c>
      <c r="Q385">
        <v>117.148</v>
      </c>
      <c r="R385" t="s">
        <v>25</v>
      </c>
      <c r="S385" t="s">
        <v>25</v>
      </c>
    </row>
    <row r="386" spans="1:19" x14ac:dyDescent="0.25">
      <c r="A386">
        <v>6</v>
      </c>
      <c r="B386" t="s">
        <v>167</v>
      </c>
      <c r="C386" t="str">
        <f>HYPERLINK("http://www.ncbi.nlm.nih.gov/protein/NWU06160.1","NWU06160.1")</f>
        <v>NWU06160.1</v>
      </c>
      <c r="D386">
        <v>13939</v>
      </c>
      <c r="E386" t="str">
        <f>HYPERLINK("http://www.ncbi.nlm.nih.gov/Taxonomy/Browser/wwwtax.cgi?mode=Info&amp;id=114276&amp;lvl=3&amp;lin=f&amp;keep=1&amp;srchmode=1&amp;unlock","114276")</f>
        <v>114276</v>
      </c>
      <c r="F386" t="s">
        <v>167</v>
      </c>
      <c r="G386" t="str">
        <f>HYPERLINK("http://www.ncbi.nlm.nih.gov/Taxonomy/Browser/wwwtax.cgi?mode=Info&amp;id=114276&amp;lvl=3&amp;lin=f&amp;keep=1&amp;srchmode=1&amp;unlock","Cephalopterus ornatus")</f>
        <v>Cephalopterus ornatus</v>
      </c>
      <c r="H386" t="s">
        <v>346</v>
      </c>
      <c r="I386" t="str">
        <f>HYPERLINK("http://www.ncbi.nlm.nih.gov/protein/NWU06160.1","FABPL protein")</f>
        <v>FABPL protein</v>
      </c>
      <c r="J386" t="s">
        <v>1386</v>
      </c>
      <c r="K386" t="s">
        <v>25</v>
      </c>
      <c r="L386">
        <v>50</v>
      </c>
      <c r="M386" t="s">
        <v>1379</v>
      </c>
      <c r="N386" t="s">
        <v>25</v>
      </c>
      <c r="O386" t="s">
        <v>1355</v>
      </c>
      <c r="P386" t="s">
        <v>25</v>
      </c>
      <c r="Q386">
        <v>117.148</v>
      </c>
      <c r="R386" t="s">
        <v>25</v>
      </c>
      <c r="S386" t="s">
        <v>25</v>
      </c>
    </row>
    <row r="387" spans="1:19" x14ac:dyDescent="0.25">
      <c r="A387">
        <v>6</v>
      </c>
      <c r="B387" t="s">
        <v>167</v>
      </c>
      <c r="C387" t="str">
        <f>HYPERLINK("http://www.ncbi.nlm.nih.gov/protein/NXX26723.1","NXX26723.1")</f>
        <v>NXX26723.1</v>
      </c>
      <c r="D387">
        <v>13620</v>
      </c>
      <c r="E387" t="str">
        <f>HYPERLINK("http://www.ncbi.nlm.nih.gov/Taxonomy/Browser/wwwtax.cgi?mode=Info&amp;id=237433&amp;lvl=3&amp;lin=f&amp;keep=1&amp;srchmode=1&amp;unlock","237433")</f>
        <v>237433</v>
      </c>
      <c r="F387" t="s">
        <v>167</v>
      </c>
      <c r="G387" t="str">
        <f>HYPERLINK("http://www.ncbi.nlm.nih.gov/Taxonomy/Browser/wwwtax.cgi?mode=Info&amp;id=237433&amp;lvl=3&amp;lin=f&amp;keep=1&amp;srchmode=1&amp;unlock","Nicator chloris")</f>
        <v>Nicator chloris</v>
      </c>
      <c r="H387" t="s">
        <v>352</v>
      </c>
      <c r="I387" t="str">
        <f>HYPERLINK("http://www.ncbi.nlm.nih.gov/protein/NXX26723.1","FABPL protein")</f>
        <v>FABPL protein</v>
      </c>
      <c r="J387" t="s">
        <v>1386</v>
      </c>
      <c r="K387" t="s">
        <v>25</v>
      </c>
      <c r="L387">
        <v>50</v>
      </c>
      <c r="M387" t="s">
        <v>1379</v>
      </c>
      <c r="N387" t="s">
        <v>25</v>
      </c>
      <c r="O387" t="s">
        <v>1355</v>
      </c>
      <c r="P387" t="s">
        <v>25</v>
      </c>
      <c r="Q387">
        <v>117.148</v>
      </c>
      <c r="R387" t="s">
        <v>25</v>
      </c>
      <c r="S387" t="s">
        <v>25</v>
      </c>
    </row>
    <row r="388" spans="1:19" x14ac:dyDescent="0.25">
      <c r="A388">
        <v>6</v>
      </c>
      <c r="B388" t="s">
        <v>167</v>
      </c>
      <c r="C388" t="str">
        <f>HYPERLINK("http://www.ncbi.nlm.nih.gov/protein/XP_009498561.1","XP_009498561.1")</f>
        <v>XP_009498561.1</v>
      </c>
      <c r="D388">
        <v>26157</v>
      </c>
      <c r="E388" t="str">
        <f>HYPERLINK("http://www.ncbi.nlm.nih.gov/Taxonomy/Browser/wwwtax.cgi?mode=Info&amp;id=9209&amp;lvl=3&amp;lin=f&amp;keep=1&amp;srchmode=1&amp;unlock","9209")</f>
        <v>9209</v>
      </c>
      <c r="F388" t="s">
        <v>167</v>
      </c>
      <c r="G388" t="str">
        <f>HYPERLINK("http://www.ncbi.nlm.nih.gov/Taxonomy/Browser/wwwtax.cgi?mode=Info&amp;id=9209&amp;lvl=3&amp;lin=f&amp;keep=1&amp;srchmode=1&amp;unlock","Phalacrocorax carbo")</f>
        <v>Phalacrocorax carbo</v>
      </c>
      <c r="H388" t="s">
        <v>353</v>
      </c>
      <c r="I388" t="str">
        <f>HYPERLINK("http://www.ncbi.nlm.nih.gov/protein/XP_009498561.1","PREDICTED: fatty acid-binding protein, liver")</f>
        <v>PREDICTED: fatty acid-binding protein, liver</v>
      </c>
      <c r="J388" t="s">
        <v>1386</v>
      </c>
      <c r="K388" t="s">
        <v>25</v>
      </c>
      <c r="L388">
        <v>50</v>
      </c>
      <c r="M388" t="s">
        <v>1379</v>
      </c>
      <c r="N388" t="s">
        <v>25</v>
      </c>
      <c r="O388" t="s">
        <v>1355</v>
      </c>
      <c r="P388" t="s">
        <v>25</v>
      </c>
      <c r="Q388">
        <v>117.148</v>
      </c>
      <c r="R388" t="s">
        <v>25</v>
      </c>
      <c r="S388" t="s">
        <v>25</v>
      </c>
    </row>
    <row r="389" spans="1:19" x14ac:dyDescent="0.25">
      <c r="A389">
        <v>6</v>
      </c>
      <c r="B389" t="s">
        <v>167</v>
      </c>
      <c r="C389" t="str">
        <f>HYPERLINK("http://www.ncbi.nlm.nih.gov/protein/NXU37321.1","NXU37321.1")</f>
        <v>NXU37321.1</v>
      </c>
      <c r="D389">
        <v>13604</v>
      </c>
      <c r="E389" t="str">
        <f>HYPERLINK("http://www.ncbi.nlm.nih.gov/Taxonomy/Browser/wwwtax.cgi?mode=Info&amp;id=626378&amp;lvl=3&amp;lin=f&amp;keep=1&amp;srchmode=1&amp;unlock","626378")</f>
        <v>626378</v>
      </c>
      <c r="F389" t="s">
        <v>167</v>
      </c>
      <c r="G389" t="str">
        <f>HYPERLINK("http://www.ncbi.nlm.nih.gov/Taxonomy/Browser/wwwtax.cgi?mode=Info&amp;id=626378&amp;lvl=3&amp;lin=f&amp;keep=1&amp;srchmode=1&amp;unlock","Drymodes brunneopygia")</f>
        <v>Drymodes brunneopygia</v>
      </c>
      <c r="H389" t="s">
        <v>351</v>
      </c>
      <c r="I389" t="str">
        <f>HYPERLINK("http://www.ncbi.nlm.nih.gov/protein/NXU37321.1","FABPL protein")</f>
        <v>FABPL protein</v>
      </c>
      <c r="J389" t="s">
        <v>1386</v>
      </c>
      <c r="K389" t="s">
        <v>25</v>
      </c>
      <c r="L389">
        <v>50</v>
      </c>
      <c r="M389" t="s">
        <v>1379</v>
      </c>
      <c r="N389" t="s">
        <v>25</v>
      </c>
      <c r="O389" t="s">
        <v>1355</v>
      </c>
      <c r="P389" t="s">
        <v>25</v>
      </c>
      <c r="Q389">
        <v>117.148</v>
      </c>
      <c r="R389" t="s">
        <v>25</v>
      </c>
      <c r="S389" t="s">
        <v>25</v>
      </c>
    </row>
    <row r="390" spans="1:19" x14ac:dyDescent="0.25">
      <c r="A390">
        <v>6</v>
      </c>
      <c r="B390" t="s">
        <v>167</v>
      </c>
      <c r="C390" t="str">
        <f>HYPERLINK("http://www.ncbi.nlm.nih.gov/protein/XP_035403353.1","XP_035403353.1")</f>
        <v>XP_035403353.1</v>
      </c>
      <c r="D390">
        <v>36022</v>
      </c>
      <c r="E390" t="str">
        <f>HYPERLINK("http://www.ncbi.nlm.nih.gov/Taxonomy/Browser/wwwtax.cgi?mode=Info&amp;id=8868&amp;lvl=3&amp;lin=f&amp;keep=1&amp;srchmode=1&amp;unlock","8868")</f>
        <v>8868</v>
      </c>
      <c r="F390" t="s">
        <v>167</v>
      </c>
      <c r="G390" t="str">
        <f>HYPERLINK("http://www.ncbi.nlm.nih.gov/Taxonomy/Browser/wwwtax.cgi?mode=Info&amp;id=8868&amp;lvl=3&amp;lin=f&amp;keep=1&amp;srchmode=1&amp;unlock","Cygnus atratus")</f>
        <v>Cygnus atratus</v>
      </c>
      <c r="H390" t="s">
        <v>356</v>
      </c>
      <c r="I390" t="str">
        <f>HYPERLINK("http://www.ncbi.nlm.nih.gov/protein/XP_035403353.1","fatty acid-binding protein, liver")</f>
        <v>fatty acid-binding protein, liver</v>
      </c>
      <c r="J390" t="s">
        <v>1386</v>
      </c>
      <c r="K390" t="s">
        <v>25</v>
      </c>
      <c r="L390">
        <v>50</v>
      </c>
      <c r="M390" t="s">
        <v>1379</v>
      </c>
      <c r="N390" t="s">
        <v>25</v>
      </c>
      <c r="O390" t="s">
        <v>1355</v>
      </c>
      <c r="P390" t="s">
        <v>25</v>
      </c>
      <c r="Q390">
        <v>117.148</v>
      </c>
      <c r="R390" t="s">
        <v>25</v>
      </c>
      <c r="S390" t="s">
        <v>25</v>
      </c>
    </row>
    <row r="391" spans="1:19" x14ac:dyDescent="0.25">
      <c r="A391">
        <v>6</v>
      </c>
      <c r="B391" t="s">
        <v>167</v>
      </c>
      <c r="C391" t="str">
        <f>HYPERLINK("http://www.ncbi.nlm.nih.gov/protein/XP_027547059.1","XP_027547059.1")</f>
        <v>XP_027547059.1</v>
      </c>
      <c r="D391">
        <v>39505</v>
      </c>
      <c r="E391" t="str">
        <f>HYPERLINK("http://www.ncbi.nlm.nih.gov/Taxonomy/Browser/wwwtax.cgi?mode=Info&amp;id=114329&amp;lvl=3&amp;lin=f&amp;keep=1&amp;srchmode=1&amp;unlock","114329")</f>
        <v>114329</v>
      </c>
      <c r="F391" t="s">
        <v>167</v>
      </c>
      <c r="G391" t="str">
        <f>HYPERLINK("http://www.ncbi.nlm.nih.gov/Taxonomy/Browser/wwwtax.cgi?mode=Info&amp;id=114329&amp;lvl=3&amp;lin=f&amp;keep=1&amp;srchmode=1&amp;unlock","Neopelma chrysocephalum")</f>
        <v>Neopelma chrysocephalum</v>
      </c>
      <c r="H391" t="s">
        <v>357</v>
      </c>
      <c r="I391" t="str">
        <f>HYPERLINK("http://www.ncbi.nlm.nih.gov/protein/XP_027547059.1","fatty acid-binding protein, liver")</f>
        <v>fatty acid-binding protein, liver</v>
      </c>
      <c r="J391" t="s">
        <v>1386</v>
      </c>
      <c r="K391" t="s">
        <v>25</v>
      </c>
      <c r="L391">
        <v>50</v>
      </c>
      <c r="M391" t="s">
        <v>1379</v>
      </c>
      <c r="N391" t="s">
        <v>25</v>
      </c>
      <c r="O391" t="s">
        <v>1355</v>
      </c>
      <c r="P391" t="s">
        <v>25</v>
      </c>
      <c r="Q391">
        <v>117.148</v>
      </c>
      <c r="R391" t="s">
        <v>25</v>
      </c>
      <c r="S391" t="s">
        <v>25</v>
      </c>
    </row>
    <row r="392" spans="1:19" x14ac:dyDescent="0.25">
      <c r="A392">
        <v>6</v>
      </c>
      <c r="B392" t="s">
        <v>167</v>
      </c>
      <c r="C392" t="str">
        <f>HYPERLINK("http://www.ncbi.nlm.nih.gov/protein/XP_005023346.1","XP_005023346.1")</f>
        <v>XP_005023346.1</v>
      </c>
      <c r="D392">
        <v>63920</v>
      </c>
      <c r="E392" t="str">
        <f>HYPERLINK("http://www.ncbi.nlm.nih.gov/Taxonomy/Browser/wwwtax.cgi?mode=Info&amp;id=8839&amp;lvl=3&amp;lin=f&amp;keep=1&amp;srchmode=1&amp;unlock","8839")</f>
        <v>8839</v>
      </c>
      <c r="F392" t="s">
        <v>167</v>
      </c>
      <c r="G392" t="str">
        <f>HYPERLINK("http://www.ncbi.nlm.nih.gov/Taxonomy/Browser/wwwtax.cgi?mode=Info&amp;id=8839&amp;lvl=3&amp;lin=f&amp;keep=1&amp;srchmode=1&amp;unlock","Anas platyrhynchos")</f>
        <v>Anas platyrhynchos</v>
      </c>
      <c r="H392" t="s">
        <v>358</v>
      </c>
      <c r="I392" t="str">
        <f>HYPERLINK("http://www.ncbi.nlm.nih.gov/protein/XP_005023346.1","fatty acid-binding protein, liver")</f>
        <v>fatty acid-binding protein, liver</v>
      </c>
      <c r="J392" t="s">
        <v>1386</v>
      </c>
      <c r="K392" t="s">
        <v>25</v>
      </c>
      <c r="L392">
        <v>50</v>
      </c>
      <c r="M392" t="s">
        <v>1379</v>
      </c>
      <c r="N392" t="s">
        <v>25</v>
      </c>
      <c r="O392" t="s">
        <v>1355</v>
      </c>
      <c r="P392" t="s">
        <v>25</v>
      </c>
      <c r="Q392">
        <v>117.148</v>
      </c>
      <c r="R392" t="s">
        <v>25</v>
      </c>
      <c r="S392" t="s">
        <v>25</v>
      </c>
    </row>
    <row r="393" spans="1:19" x14ac:dyDescent="0.25">
      <c r="A393">
        <v>6</v>
      </c>
      <c r="B393" t="s">
        <v>167</v>
      </c>
      <c r="C393" t="str">
        <f>HYPERLINK("http://www.ncbi.nlm.nih.gov/protein/NWS22225.1","NWS22225.1")</f>
        <v>NWS22225.1</v>
      </c>
      <c r="D393">
        <v>13757</v>
      </c>
      <c r="E393" t="str">
        <f>HYPERLINK("http://www.ncbi.nlm.nih.gov/Taxonomy/Browser/wwwtax.cgi?mode=Info&amp;id=369605&amp;lvl=3&amp;lin=f&amp;keep=1&amp;srchmode=1&amp;unlock","369605")</f>
        <v>369605</v>
      </c>
      <c r="F393" t="s">
        <v>167</v>
      </c>
      <c r="G393" t="str">
        <f>HYPERLINK("http://www.ncbi.nlm.nih.gov/Taxonomy/Browser/wwwtax.cgi?mode=Info&amp;id=369605&amp;lvl=3&amp;lin=f&amp;keep=1&amp;srchmode=1&amp;unlock","Pachyramphus minor")</f>
        <v>Pachyramphus minor</v>
      </c>
      <c r="H393" t="s">
        <v>206</v>
      </c>
      <c r="I393" t="str">
        <f>HYPERLINK("http://www.ncbi.nlm.nih.gov/protein/NWS22225.1","FABPL protein")</f>
        <v>FABPL protein</v>
      </c>
      <c r="J393" t="s">
        <v>1386</v>
      </c>
      <c r="K393" t="s">
        <v>25</v>
      </c>
      <c r="L393">
        <v>50</v>
      </c>
      <c r="M393" t="s">
        <v>1379</v>
      </c>
      <c r="N393" t="s">
        <v>25</v>
      </c>
      <c r="O393" t="s">
        <v>1355</v>
      </c>
      <c r="P393" t="s">
        <v>25</v>
      </c>
      <c r="Q393">
        <v>117.148</v>
      </c>
      <c r="R393" t="s">
        <v>25</v>
      </c>
      <c r="S393" t="s">
        <v>25</v>
      </c>
    </row>
    <row r="394" spans="1:19" x14ac:dyDescent="0.25">
      <c r="A394">
        <v>6</v>
      </c>
      <c r="B394" t="s">
        <v>167</v>
      </c>
      <c r="C394" t="str">
        <f>HYPERLINK("http://www.ncbi.nlm.nih.gov/protein/NXB54053.1","NXB54053.1")</f>
        <v>NXB54053.1</v>
      </c>
      <c r="D394">
        <v>13491</v>
      </c>
      <c r="E394" t="str">
        <f>HYPERLINK("http://www.ncbi.nlm.nih.gov/Taxonomy/Browser/wwwtax.cgi?mode=Info&amp;id=127929&amp;lvl=3&amp;lin=f&amp;keep=1&amp;srchmode=1&amp;unlock","127929")</f>
        <v>127929</v>
      </c>
      <c r="F394" t="s">
        <v>167</v>
      </c>
      <c r="G394" t="str">
        <f>HYPERLINK("http://www.ncbi.nlm.nih.gov/Taxonomy/Browser/wwwtax.cgi?mode=Info&amp;id=127929&amp;lvl=3&amp;lin=f&amp;keep=1&amp;srchmode=1&amp;unlock","Leucopsar rothschildi")</f>
        <v>Leucopsar rothschildi</v>
      </c>
      <c r="H394" t="s">
        <v>354</v>
      </c>
      <c r="I394" t="str">
        <f>HYPERLINK("http://www.ncbi.nlm.nih.gov/protein/NXB54053.1","FABPL protein")</f>
        <v>FABPL protein</v>
      </c>
      <c r="J394" t="s">
        <v>1386</v>
      </c>
      <c r="K394" t="s">
        <v>25</v>
      </c>
      <c r="L394">
        <v>50</v>
      </c>
      <c r="M394" t="s">
        <v>1383</v>
      </c>
      <c r="N394" t="s">
        <v>25</v>
      </c>
      <c r="O394" t="s">
        <v>1355</v>
      </c>
      <c r="P394" t="s">
        <v>25</v>
      </c>
      <c r="Q394">
        <v>131.17500000000001</v>
      </c>
      <c r="R394" t="s">
        <v>25</v>
      </c>
      <c r="S394" t="s">
        <v>25</v>
      </c>
    </row>
    <row r="395" spans="1:19" x14ac:dyDescent="0.25">
      <c r="A395">
        <v>6</v>
      </c>
      <c r="B395" t="s">
        <v>167</v>
      </c>
      <c r="C395" t="str">
        <f>HYPERLINK("http://www.ncbi.nlm.nih.gov/protein/NXJ83356.1","NXJ83356.1")</f>
        <v>NXJ83356.1</v>
      </c>
      <c r="D395">
        <v>14194</v>
      </c>
      <c r="E395" t="str">
        <f>HYPERLINK("http://www.ncbi.nlm.nih.gov/Taxonomy/Browser/wwwtax.cgi?mode=Info&amp;id=56311&amp;lvl=3&amp;lin=f&amp;keep=1&amp;srchmode=1&amp;unlock","56311")</f>
        <v>56311</v>
      </c>
      <c r="F395" t="s">
        <v>167</v>
      </c>
      <c r="G395" t="str">
        <f>HYPERLINK("http://www.ncbi.nlm.nih.gov/Taxonomy/Browser/wwwtax.cgi?mode=Info&amp;id=56311&amp;lvl=3&amp;lin=f&amp;keep=1&amp;srchmode=1&amp;unlock","Trogon melanurus")</f>
        <v>Trogon melanurus</v>
      </c>
      <c r="H395" t="s">
        <v>355</v>
      </c>
      <c r="I395" t="str">
        <f>HYPERLINK("http://www.ncbi.nlm.nih.gov/protein/NXJ83356.1","FABPL protein")</f>
        <v>FABPL protein</v>
      </c>
      <c r="J395" t="s">
        <v>1386</v>
      </c>
      <c r="K395" t="s">
        <v>25</v>
      </c>
      <c r="L395">
        <v>50</v>
      </c>
      <c r="M395" t="s">
        <v>1379</v>
      </c>
      <c r="N395" t="s">
        <v>25</v>
      </c>
      <c r="O395" t="s">
        <v>1355</v>
      </c>
      <c r="P395" t="s">
        <v>25</v>
      </c>
      <c r="Q395">
        <v>117.148</v>
      </c>
      <c r="R395" t="s">
        <v>25</v>
      </c>
      <c r="S395" t="s">
        <v>25</v>
      </c>
    </row>
    <row r="396" spans="1:19" x14ac:dyDescent="0.25">
      <c r="A396">
        <v>6</v>
      </c>
      <c r="B396" t="s">
        <v>167</v>
      </c>
      <c r="C396" t="str">
        <f>HYPERLINK("http://www.ncbi.nlm.nih.gov/protein/NXO11184.1","NXO11184.1")</f>
        <v>NXO11184.1</v>
      </c>
      <c r="D396">
        <v>13996</v>
      </c>
      <c r="E396" t="str">
        <f>HYPERLINK("http://www.ncbi.nlm.nih.gov/Taxonomy/Browser/wwwtax.cgi?mode=Info&amp;id=181099&amp;lvl=3&amp;lin=f&amp;keep=1&amp;srchmode=1&amp;unlock","181099")</f>
        <v>181099</v>
      </c>
      <c r="F396" t="s">
        <v>167</v>
      </c>
      <c r="G396" t="str">
        <f>HYPERLINK("http://www.ncbi.nlm.nih.gov/Taxonomy/Browser/wwwtax.cgi?mode=Info&amp;id=181099&amp;lvl=3&amp;lin=f&amp;keep=1&amp;srchmode=1&amp;unlock","Oriolus oriolus")</f>
        <v>Oriolus oriolus</v>
      </c>
      <c r="H396" t="s">
        <v>363</v>
      </c>
      <c r="I396" t="str">
        <f>HYPERLINK("http://www.ncbi.nlm.nih.gov/protein/NXO11184.1","FABPL protein")</f>
        <v>FABPL protein</v>
      </c>
      <c r="J396" t="s">
        <v>1386</v>
      </c>
      <c r="K396" t="s">
        <v>25</v>
      </c>
      <c r="L396">
        <v>50</v>
      </c>
      <c r="M396" t="s">
        <v>1383</v>
      </c>
      <c r="N396" t="s">
        <v>25</v>
      </c>
      <c r="O396" t="s">
        <v>1355</v>
      </c>
      <c r="P396" t="s">
        <v>25</v>
      </c>
      <c r="Q396">
        <v>131.17500000000001</v>
      </c>
      <c r="R396" t="s">
        <v>25</v>
      </c>
      <c r="S396" t="s">
        <v>25</v>
      </c>
    </row>
    <row r="397" spans="1:19" x14ac:dyDescent="0.25">
      <c r="A397">
        <v>6</v>
      </c>
      <c r="B397" t="s">
        <v>167</v>
      </c>
      <c r="C397" t="str">
        <f>HYPERLINK("http://www.ncbi.nlm.nih.gov/protein/NXA06397.1","NXA06397.1")</f>
        <v>NXA06397.1</v>
      </c>
      <c r="D397">
        <v>13903</v>
      </c>
      <c r="E397" t="str">
        <f>HYPERLINK("http://www.ncbi.nlm.nih.gov/Taxonomy/Browser/wwwtax.cgi?mode=Info&amp;id=239371&amp;lvl=3&amp;lin=f&amp;keep=1&amp;srchmode=1&amp;unlock","239371")</f>
        <v>239371</v>
      </c>
      <c r="F397" t="s">
        <v>167</v>
      </c>
      <c r="G397" t="str">
        <f>HYPERLINK("http://www.ncbi.nlm.nih.gov/Taxonomy/Browser/wwwtax.cgi?mode=Info&amp;id=239371&amp;lvl=3&amp;lin=f&amp;keep=1&amp;srchmode=1&amp;unlock","Sapayoa aenigma")</f>
        <v>Sapayoa aenigma</v>
      </c>
      <c r="H397" t="s">
        <v>360</v>
      </c>
      <c r="I397" t="str">
        <f>HYPERLINK("http://www.ncbi.nlm.nih.gov/protein/NXA06397.1","FABPL protein")</f>
        <v>FABPL protein</v>
      </c>
      <c r="J397" t="s">
        <v>1386</v>
      </c>
      <c r="K397" t="s">
        <v>25</v>
      </c>
      <c r="L397">
        <v>50</v>
      </c>
      <c r="M397" t="s">
        <v>1379</v>
      </c>
      <c r="N397" t="s">
        <v>25</v>
      </c>
      <c r="O397" t="s">
        <v>1355</v>
      </c>
      <c r="P397" t="s">
        <v>25</v>
      </c>
      <c r="Q397">
        <v>117.148</v>
      </c>
      <c r="R397" t="s">
        <v>25</v>
      </c>
      <c r="S397" t="s">
        <v>25</v>
      </c>
    </row>
    <row r="398" spans="1:19" x14ac:dyDescent="0.25">
      <c r="A398">
        <v>6</v>
      </c>
      <c r="B398" t="s">
        <v>167</v>
      </c>
      <c r="C398" t="str">
        <f>HYPERLINK("http://www.ncbi.nlm.nih.gov/protein/NWW03945.1","NWW03945.1")</f>
        <v>NWW03945.1</v>
      </c>
      <c r="D398">
        <v>14030</v>
      </c>
      <c r="E398" t="str">
        <f>HYPERLINK("http://www.ncbi.nlm.nih.gov/Taxonomy/Browser/wwwtax.cgi?mode=Info&amp;id=979223&amp;lvl=3&amp;lin=f&amp;keep=1&amp;srchmode=1&amp;unlock","979223")</f>
        <v>979223</v>
      </c>
      <c r="F398" t="s">
        <v>167</v>
      </c>
      <c r="G398" t="str">
        <f>HYPERLINK("http://www.ncbi.nlm.nih.gov/Taxonomy/Browser/wwwtax.cgi?mode=Info&amp;id=979223&amp;lvl=3&amp;lin=f&amp;keep=1&amp;srchmode=1&amp;unlock","Oreocharis arfaki")</f>
        <v>Oreocharis arfaki</v>
      </c>
      <c r="H398" t="s">
        <v>365</v>
      </c>
      <c r="I398" t="str">
        <f>HYPERLINK("http://www.ncbi.nlm.nih.gov/protein/NWW03945.1","FABPL protein")</f>
        <v>FABPL protein</v>
      </c>
      <c r="J398" t="s">
        <v>1386</v>
      </c>
      <c r="K398" t="s">
        <v>25</v>
      </c>
      <c r="L398">
        <v>50</v>
      </c>
      <c r="M398" t="s">
        <v>1383</v>
      </c>
      <c r="N398" t="s">
        <v>25</v>
      </c>
      <c r="O398" t="s">
        <v>1355</v>
      </c>
      <c r="P398" t="s">
        <v>25</v>
      </c>
      <c r="Q398">
        <v>131.17500000000001</v>
      </c>
      <c r="R398" t="s">
        <v>25</v>
      </c>
      <c r="S398" t="s">
        <v>25</v>
      </c>
    </row>
    <row r="399" spans="1:19" x14ac:dyDescent="0.25">
      <c r="A399">
        <v>6</v>
      </c>
      <c r="B399" t="s">
        <v>167</v>
      </c>
      <c r="C399" t="str">
        <f>HYPERLINK("http://www.ncbi.nlm.nih.gov/protein/NXB40573.1","NXB40573.1")</f>
        <v>NXB40573.1</v>
      </c>
      <c r="D399">
        <v>14343</v>
      </c>
      <c r="E399" t="str">
        <f>HYPERLINK("http://www.ncbi.nlm.nih.gov/Taxonomy/Browser/wwwtax.cgi?mode=Info&amp;id=461239&amp;lvl=3&amp;lin=f&amp;keep=1&amp;srchmode=1&amp;unlock","461239")</f>
        <v>461239</v>
      </c>
      <c r="F399" t="s">
        <v>167</v>
      </c>
      <c r="G399" t="str">
        <f>HYPERLINK("http://www.ncbi.nlm.nih.gov/Taxonomy/Browser/wwwtax.cgi?mode=Info&amp;id=461239&amp;lvl=3&amp;lin=f&amp;keep=1&amp;srchmode=1&amp;unlock","Eulacestoma nigropectus")</f>
        <v>Eulacestoma nigropectus</v>
      </c>
      <c r="H399" t="s">
        <v>366</v>
      </c>
      <c r="I399" t="str">
        <f>HYPERLINK("http://www.ncbi.nlm.nih.gov/protein/NXB40573.1","FABPL protein")</f>
        <v>FABPL protein</v>
      </c>
      <c r="J399" t="s">
        <v>1386</v>
      </c>
      <c r="K399" t="s">
        <v>25</v>
      </c>
      <c r="L399">
        <v>50</v>
      </c>
      <c r="M399" t="s">
        <v>1383</v>
      </c>
      <c r="N399" t="s">
        <v>25</v>
      </c>
      <c r="O399" t="s">
        <v>1355</v>
      </c>
      <c r="P399" t="s">
        <v>25</v>
      </c>
      <c r="Q399">
        <v>131.17500000000001</v>
      </c>
      <c r="R399" t="s">
        <v>25</v>
      </c>
      <c r="S399" t="s">
        <v>25</v>
      </c>
    </row>
    <row r="400" spans="1:19" x14ac:dyDescent="0.25">
      <c r="A400">
        <v>6</v>
      </c>
      <c r="B400" t="s">
        <v>167</v>
      </c>
      <c r="C400" t="str">
        <f>HYPERLINK("http://www.ncbi.nlm.nih.gov/protein/NXM02695.1","NXM02695.1")</f>
        <v>NXM02695.1</v>
      </c>
      <c r="D400">
        <v>13608</v>
      </c>
      <c r="E400" t="str">
        <f>HYPERLINK("http://www.ncbi.nlm.nih.gov/Taxonomy/Browser/wwwtax.cgi?mode=Info&amp;id=137541&amp;lvl=3&amp;lin=f&amp;keep=1&amp;srchmode=1&amp;unlock","137541")</f>
        <v>137541</v>
      </c>
      <c r="F400" t="s">
        <v>167</v>
      </c>
      <c r="G400" t="str">
        <f>HYPERLINK("http://www.ncbi.nlm.nih.gov/Taxonomy/Browser/wwwtax.cgi?mode=Info&amp;id=137541&amp;lvl=3&amp;lin=f&amp;keep=1&amp;srchmode=1&amp;unlock","Tyrannus savana")</f>
        <v>Tyrannus savana</v>
      </c>
      <c r="H400" t="s">
        <v>364</v>
      </c>
      <c r="I400" t="str">
        <f>HYPERLINK("http://www.ncbi.nlm.nih.gov/protein/NXM02695.1","FABPL protein")</f>
        <v>FABPL protein</v>
      </c>
      <c r="J400" t="s">
        <v>1386</v>
      </c>
      <c r="K400" t="s">
        <v>25</v>
      </c>
      <c r="L400">
        <v>50</v>
      </c>
      <c r="M400" t="s">
        <v>1379</v>
      </c>
      <c r="N400" t="s">
        <v>25</v>
      </c>
      <c r="O400" t="s">
        <v>1355</v>
      </c>
      <c r="P400" t="s">
        <v>25</v>
      </c>
      <c r="Q400">
        <v>117.148</v>
      </c>
      <c r="R400" t="s">
        <v>25</v>
      </c>
      <c r="S400" t="s">
        <v>25</v>
      </c>
    </row>
    <row r="401" spans="1:19" x14ac:dyDescent="0.25">
      <c r="A401">
        <v>6</v>
      </c>
      <c r="B401" t="s">
        <v>167</v>
      </c>
      <c r="C401" t="str">
        <f>HYPERLINK("http://www.ncbi.nlm.nih.gov/protein/NXA93359.1","NXA93359.1")</f>
        <v>NXA93359.1</v>
      </c>
      <c r="D401">
        <v>13996</v>
      </c>
      <c r="E401" t="str">
        <f>HYPERLINK("http://www.ncbi.nlm.nih.gov/Taxonomy/Browser/wwwtax.cgi?mode=Info&amp;id=254552&amp;lvl=3&amp;lin=f&amp;keep=1&amp;srchmode=1&amp;unlock","254552")</f>
        <v>254552</v>
      </c>
      <c r="F401" t="s">
        <v>167</v>
      </c>
      <c r="G401" t="str">
        <f>HYPERLINK("http://www.ncbi.nlm.nih.gov/Taxonomy/Browser/wwwtax.cgi?mode=Info&amp;id=254552&amp;lvl=3&amp;lin=f&amp;keep=1&amp;srchmode=1&amp;unlock","Melanocharis versteri")</f>
        <v>Melanocharis versteri</v>
      </c>
      <c r="H401" t="s">
        <v>368</v>
      </c>
      <c r="I401" t="str">
        <f>HYPERLINK("http://www.ncbi.nlm.nih.gov/protein/NXA93359.1","FABPL protein")</f>
        <v>FABPL protein</v>
      </c>
      <c r="J401" t="s">
        <v>1386</v>
      </c>
      <c r="K401" t="s">
        <v>25</v>
      </c>
      <c r="L401">
        <v>50</v>
      </c>
      <c r="M401" t="s">
        <v>1383</v>
      </c>
      <c r="N401" t="s">
        <v>25</v>
      </c>
      <c r="O401" t="s">
        <v>1355</v>
      </c>
      <c r="P401" t="s">
        <v>25</v>
      </c>
      <c r="Q401">
        <v>131.17500000000001</v>
      </c>
      <c r="R401" t="s">
        <v>25</v>
      </c>
      <c r="S401" t="s">
        <v>25</v>
      </c>
    </row>
    <row r="402" spans="1:19" x14ac:dyDescent="0.25">
      <c r="A402">
        <v>6</v>
      </c>
      <c r="B402" t="s">
        <v>167</v>
      </c>
      <c r="C402" t="str">
        <f>HYPERLINK("http://www.ncbi.nlm.nih.gov/protein/XP_015718367.1","XP_015718367.1")</f>
        <v>XP_015718367.1</v>
      </c>
      <c r="D402">
        <v>41813</v>
      </c>
      <c r="E402" t="str">
        <f>HYPERLINK("http://www.ncbi.nlm.nih.gov/Taxonomy/Browser/wwwtax.cgi?mode=Info&amp;id=93934&amp;lvl=3&amp;lin=f&amp;keep=1&amp;srchmode=1&amp;unlock","93934")</f>
        <v>93934</v>
      </c>
      <c r="F402" t="s">
        <v>167</v>
      </c>
      <c r="G402" t="str">
        <f>HYPERLINK("http://www.ncbi.nlm.nih.gov/Taxonomy/Browser/wwwtax.cgi?mode=Info&amp;id=93934&amp;lvl=3&amp;lin=f&amp;keep=1&amp;srchmode=1&amp;unlock","Coturnix japonica")</f>
        <v>Coturnix japonica</v>
      </c>
      <c r="H402" t="s">
        <v>367</v>
      </c>
      <c r="I402" t="str">
        <f>HYPERLINK("http://www.ncbi.nlm.nih.gov/protein/XP_015718367.1","fatty acid-binding protein, liver")</f>
        <v>fatty acid-binding protein, liver</v>
      </c>
      <c r="J402" t="s">
        <v>1386</v>
      </c>
      <c r="K402" t="s">
        <v>25</v>
      </c>
      <c r="L402">
        <v>50</v>
      </c>
      <c r="M402" t="s">
        <v>1383</v>
      </c>
      <c r="N402" t="s">
        <v>25</v>
      </c>
      <c r="O402" t="s">
        <v>1355</v>
      </c>
      <c r="P402" t="s">
        <v>25</v>
      </c>
      <c r="Q402">
        <v>131.17500000000001</v>
      </c>
      <c r="R402" t="s">
        <v>25</v>
      </c>
      <c r="S402" t="s">
        <v>25</v>
      </c>
    </row>
    <row r="403" spans="1:19" x14ac:dyDescent="0.25">
      <c r="A403">
        <v>6</v>
      </c>
      <c r="B403" t="s">
        <v>167</v>
      </c>
      <c r="C403" t="str">
        <f>HYPERLINK("http://www.ncbi.nlm.nih.gov/protein/NXC84290.1","NXC84290.1")</f>
        <v>NXC84290.1</v>
      </c>
      <c r="D403">
        <v>13604</v>
      </c>
      <c r="E403" t="str">
        <f>HYPERLINK("http://www.ncbi.nlm.nih.gov/Taxonomy/Browser/wwwtax.cgi?mode=Info&amp;id=614051&amp;lvl=3&amp;lin=f&amp;keep=1&amp;srchmode=1&amp;unlock","614051")</f>
        <v>614051</v>
      </c>
      <c r="F403" t="s">
        <v>167</v>
      </c>
      <c r="G403" t="str">
        <f>HYPERLINK("http://www.ncbi.nlm.nih.gov/Taxonomy/Browser/wwwtax.cgi?mode=Info&amp;id=614051&amp;lvl=3&amp;lin=f&amp;keep=1&amp;srchmode=1&amp;unlock","Cercotrichas coryphoeus")</f>
        <v>Cercotrichas coryphoeus</v>
      </c>
      <c r="H403" t="s">
        <v>373</v>
      </c>
      <c r="I403" t="str">
        <f>HYPERLINK("http://www.ncbi.nlm.nih.gov/protein/NXC84290.1","FABPL protein")</f>
        <v>FABPL protein</v>
      </c>
      <c r="J403" t="s">
        <v>1386</v>
      </c>
      <c r="K403" t="s">
        <v>25</v>
      </c>
      <c r="L403">
        <v>50</v>
      </c>
      <c r="M403" t="s">
        <v>1379</v>
      </c>
      <c r="N403" t="s">
        <v>25</v>
      </c>
      <c r="O403" t="s">
        <v>1355</v>
      </c>
      <c r="P403" t="s">
        <v>25</v>
      </c>
      <c r="Q403">
        <v>117.148</v>
      </c>
      <c r="R403" t="s">
        <v>25</v>
      </c>
      <c r="S403" t="s">
        <v>25</v>
      </c>
    </row>
    <row r="404" spans="1:19" x14ac:dyDescent="0.25">
      <c r="A404">
        <v>6</v>
      </c>
      <c r="B404" t="s">
        <v>167</v>
      </c>
      <c r="C404" t="str">
        <f>HYPERLINK("http://www.ncbi.nlm.nih.gov/protein/NWX35514.1","NWX35514.1")</f>
        <v>NWX35514.1</v>
      </c>
      <c r="D404">
        <v>13735</v>
      </c>
      <c r="E404" t="str">
        <f>HYPERLINK("http://www.ncbi.nlm.nih.gov/Taxonomy/Browser/wwwtax.cgi?mode=Info&amp;id=366454&amp;lvl=3&amp;lin=f&amp;keep=1&amp;srchmode=1&amp;unlock","366454")</f>
        <v>366454</v>
      </c>
      <c r="F404" t="s">
        <v>167</v>
      </c>
      <c r="G404" t="str">
        <f>HYPERLINK("http://www.ncbi.nlm.nih.gov/Taxonomy/Browser/wwwtax.cgi?mode=Info&amp;id=366454&amp;lvl=3&amp;lin=f&amp;keep=1&amp;srchmode=1&amp;unlock","Notiomystis cincta")</f>
        <v>Notiomystis cincta</v>
      </c>
      <c r="H404" t="s">
        <v>369</v>
      </c>
      <c r="I404" t="str">
        <f>HYPERLINK("http://www.ncbi.nlm.nih.gov/protein/NWX35514.1","FABPL protein")</f>
        <v>FABPL protein</v>
      </c>
      <c r="J404" t="s">
        <v>1386</v>
      </c>
      <c r="K404" t="s">
        <v>25</v>
      </c>
      <c r="L404">
        <v>50</v>
      </c>
      <c r="M404" t="s">
        <v>1383</v>
      </c>
      <c r="N404" t="s">
        <v>25</v>
      </c>
      <c r="O404" t="s">
        <v>1355</v>
      </c>
      <c r="P404" t="s">
        <v>25</v>
      </c>
      <c r="Q404">
        <v>131.17500000000001</v>
      </c>
      <c r="R404" t="s">
        <v>25</v>
      </c>
      <c r="S404" t="s">
        <v>25</v>
      </c>
    </row>
    <row r="405" spans="1:19" x14ac:dyDescent="0.25">
      <c r="A405">
        <v>6</v>
      </c>
      <c r="B405" t="s">
        <v>167</v>
      </c>
      <c r="C405" t="str">
        <f>HYPERLINK("http://www.ncbi.nlm.nih.gov/protein/XP_009684378.1","XP_009684378.1")</f>
        <v>XP_009684378.1</v>
      </c>
      <c r="D405">
        <v>39498</v>
      </c>
      <c r="E405" t="str">
        <f>HYPERLINK("http://www.ncbi.nlm.nih.gov/Taxonomy/Browser/wwwtax.cgi?mode=Info&amp;id=441894&amp;lvl=3&amp;lin=f&amp;keep=1&amp;srchmode=1&amp;unlock","441894")</f>
        <v>441894</v>
      </c>
      <c r="F405" t="s">
        <v>167</v>
      </c>
      <c r="G405" t="str">
        <f>HYPERLINK("http://www.ncbi.nlm.nih.gov/Taxonomy/Browser/wwwtax.cgi?mode=Info&amp;id=441894&amp;lvl=3&amp;lin=f&amp;keep=1&amp;srchmode=1&amp;unlock","Struthio camelus australis")</f>
        <v>Struthio camelus australis</v>
      </c>
      <c r="H405" t="s">
        <v>370</v>
      </c>
      <c r="I405" t="str">
        <f>HYPERLINK("http://www.ncbi.nlm.nih.gov/protein/XP_009684378.1","PREDICTED: fatty acid-binding protein, liver")</f>
        <v>PREDICTED: fatty acid-binding protein, liver</v>
      </c>
      <c r="J405" t="s">
        <v>1386</v>
      </c>
      <c r="K405" t="s">
        <v>20</v>
      </c>
      <c r="L405">
        <v>50</v>
      </c>
      <c r="M405" t="s">
        <v>1380</v>
      </c>
      <c r="N405" t="s">
        <v>20</v>
      </c>
      <c r="O405" t="s">
        <v>1394</v>
      </c>
      <c r="P405" t="s">
        <v>20</v>
      </c>
      <c r="Q405">
        <v>165.19200000000001</v>
      </c>
      <c r="R405" t="s">
        <v>20</v>
      </c>
      <c r="S405" t="s">
        <v>20</v>
      </c>
    </row>
    <row r="406" spans="1:19" x14ac:dyDescent="0.25">
      <c r="A406">
        <v>6</v>
      </c>
      <c r="B406" t="s">
        <v>167</v>
      </c>
      <c r="C406" t="str">
        <f>HYPERLINK("http://www.ncbi.nlm.nih.gov/protein/XP_009933046.1","XP_009933046.1")</f>
        <v>XP_009933046.1</v>
      </c>
      <c r="D406">
        <v>27858</v>
      </c>
      <c r="E406" t="str">
        <f>HYPERLINK("http://www.ncbi.nlm.nih.gov/Taxonomy/Browser/wwwtax.cgi?mode=Info&amp;id=30419&amp;lvl=3&amp;lin=f&amp;keep=1&amp;srchmode=1&amp;unlock","30419")</f>
        <v>30419</v>
      </c>
      <c r="F406" t="s">
        <v>167</v>
      </c>
      <c r="G406" t="str">
        <f>HYPERLINK("http://www.ncbi.nlm.nih.gov/Taxonomy/Browser/wwwtax.cgi?mode=Info&amp;id=30419&amp;lvl=3&amp;lin=f&amp;keep=1&amp;srchmode=1&amp;unlock","Opisthocomus hoazin")</f>
        <v>Opisthocomus hoazin</v>
      </c>
      <c r="H406" t="s">
        <v>377</v>
      </c>
      <c r="I406" t="str">
        <f>HYPERLINK("http://www.ncbi.nlm.nih.gov/protein/XP_009933046.1","PREDICTED: fatty acid-binding protein, liver")</f>
        <v>PREDICTED: fatty acid-binding protein, liver</v>
      </c>
      <c r="J406" t="s">
        <v>1386</v>
      </c>
      <c r="K406" t="s">
        <v>25</v>
      </c>
      <c r="L406">
        <v>50</v>
      </c>
      <c r="M406" t="s">
        <v>1383</v>
      </c>
      <c r="N406" t="s">
        <v>25</v>
      </c>
      <c r="O406" t="s">
        <v>1355</v>
      </c>
      <c r="P406" t="s">
        <v>25</v>
      </c>
      <c r="Q406">
        <v>131.17500000000001</v>
      </c>
      <c r="R406" t="s">
        <v>25</v>
      </c>
      <c r="S406" t="s">
        <v>25</v>
      </c>
    </row>
    <row r="407" spans="1:19" x14ac:dyDescent="0.25">
      <c r="A407">
        <v>6</v>
      </c>
      <c r="B407" t="s">
        <v>167</v>
      </c>
      <c r="C407" t="str">
        <f>HYPERLINK("http://www.ncbi.nlm.nih.gov/protein/NXD34916.1","NXD34916.1")</f>
        <v>NXD34916.1</v>
      </c>
      <c r="D407">
        <v>14417</v>
      </c>
      <c r="E407" t="str">
        <f>HYPERLINK("http://www.ncbi.nlm.nih.gov/Taxonomy/Browser/wwwtax.cgi?mode=Info&amp;id=797021&amp;lvl=3&amp;lin=f&amp;keep=1&amp;srchmode=1&amp;unlock","797021")</f>
        <v>797021</v>
      </c>
      <c r="F407" t="s">
        <v>167</v>
      </c>
      <c r="G407" t="str">
        <f>HYPERLINK("http://www.ncbi.nlm.nih.gov/Taxonomy/Browser/wwwtax.cgi?mode=Info&amp;id=797021&amp;lvl=3&amp;lin=f&amp;keep=1&amp;srchmode=1&amp;unlock","Copsychus sechellarum")</f>
        <v>Copsychus sechellarum</v>
      </c>
      <c r="H407" t="s">
        <v>378</v>
      </c>
      <c r="I407" t="str">
        <f>HYPERLINK("http://www.ncbi.nlm.nih.gov/protein/NXD34916.1","FABPL protein")</f>
        <v>FABPL protein</v>
      </c>
      <c r="J407" t="s">
        <v>1386</v>
      </c>
      <c r="K407" t="s">
        <v>25</v>
      </c>
      <c r="L407">
        <v>50</v>
      </c>
      <c r="M407" t="s">
        <v>1379</v>
      </c>
      <c r="N407" t="s">
        <v>25</v>
      </c>
      <c r="O407" t="s">
        <v>1355</v>
      </c>
      <c r="P407" t="s">
        <v>25</v>
      </c>
      <c r="Q407">
        <v>117.148</v>
      </c>
      <c r="R407" t="s">
        <v>25</v>
      </c>
      <c r="S407" t="s">
        <v>25</v>
      </c>
    </row>
    <row r="408" spans="1:19" x14ac:dyDescent="0.25">
      <c r="A408">
        <v>6</v>
      </c>
      <c r="B408" t="s">
        <v>167</v>
      </c>
      <c r="C408" t="str">
        <f>HYPERLINK("http://www.ncbi.nlm.nih.gov/protein/NXO83871.1","NXO83871.1")</f>
        <v>NXO83871.1</v>
      </c>
      <c r="D408">
        <v>13766</v>
      </c>
      <c r="E408" t="str">
        <f>HYPERLINK("http://www.ncbi.nlm.nih.gov/Taxonomy/Browser/wwwtax.cgi?mode=Info&amp;id=50251&amp;lvl=3&amp;lin=f&amp;keep=1&amp;srchmode=1&amp;unlock","50251")</f>
        <v>50251</v>
      </c>
      <c r="F408" t="s">
        <v>167</v>
      </c>
      <c r="G408" t="str">
        <f>HYPERLINK("http://www.ncbi.nlm.nih.gov/Taxonomy/Browser/wwwtax.cgi?mode=Info&amp;id=50251&amp;lvl=3&amp;lin=f&amp;keep=1&amp;srchmode=1&amp;unlock","Sitta europaea")</f>
        <v>Sitta europaea</v>
      </c>
      <c r="H408" t="s">
        <v>379</v>
      </c>
      <c r="I408" t="str">
        <f>HYPERLINK("http://www.ncbi.nlm.nih.gov/protein/NXO83871.1","FABPL protein")</f>
        <v>FABPL protein</v>
      </c>
      <c r="J408" t="s">
        <v>1386</v>
      </c>
      <c r="K408" t="s">
        <v>25</v>
      </c>
      <c r="L408">
        <v>50</v>
      </c>
      <c r="M408" t="s">
        <v>1383</v>
      </c>
      <c r="N408" t="s">
        <v>25</v>
      </c>
      <c r="O408" t="s">
        <v>1355</v>
      </c>
      <c r="P408" t="s">
        <v>25</v>
      </c>
      <c r="Q408">
        <v>131.17500000000001</v>
      </c>
      <c r="R408" t="s">
        <v>25</v>
      </c>
      <c r="S408" t="s">
        <v>25</v>
      </c>
    </row>
    <row r="409" spans="1:19" x14ac:dyDescent="0.25">
      <c r="A409">
        <v>6</v>
      </c>
      <c r="B409" t="s">
        <v>167</v>
      </c>
      <c r="C409" t="str">
        <f>HYPERLINK("http://www.ncbi.nlm.nih.gov/protein/NXR98223.1","NXR98223.1")</f>
        <v>NXR98223.1</v>
      </c>
      <c r="D409">
        <v>9012</v>
      </c>
      <c r="E409" t="str">
        <f>HYPERLINK("http://www.ncbi.nlm.nih.gov/Taxonomy/Browser/wwwtax.cgi?mode=Info&amp;id=98144&amp;lvl=3&amp;lin=f&amp;keep=1&amp;srchmode=1&amp;unlock","98144")</f>
        <v>98144</v>
      </c>
      <c r="F409" t="s">
        <v>167</v>
      </c>
      <c r="G409" t="str">
        <f>HYPERLINK("http://www.ncbi.nlm.nih.gov/Taxonomy/Browser/wwwtax.cgi?mode=Info&amp;id=98144&amp;lvl=3&amp;lin=f&amp;keep=1&amp;srchmode=1&amp;unlock","Oxylabes madagascariensis")</f>
        <v>Oxylabes madagascariensis</v>
      </c>
      <c r="H409" t="s">
        <v>374</v>
      </c>
      <c r="I409" t="str">
        <f>HYPERLINK("http://www.ncbi.nlm.nih.gov/protein/NXR98223.1","FABPL protein")</f>
        <v>FABPL protein</v>
      </c>
      <c r="J409" t="s">
        <v>1386</v>
      </c>
      <c r="K409" t="s">
        <v>25</v>
      </c>
      <c r="L409">
        <v>50</v>
      </c>
      <c r="M409" t="s">
        <v>1379</v>
      </c>
      <c r="N409" t="s">
        <v>25</v>
      </c>
      <c r="O409" t="s">
        <v>1355</v>
      </c>
      <c r="P409" t="s">
        <v>25</v>
      </c>
      <c r="Q409">
        <v>117.148</v>
      </c>
      <c r="R409" t="s">
        <v>25</v>
      </c>
      <c r="S409" t="s">
        <v>25</v>
      </c>
    </row>
    <row r="410" spans="1:19" x14ac:dyDescent="0.25">
      <c r="A410">
        <v>6</v>
      </c>
      <c r="B410" t="s">
        <v>167</v>
      </c>
      <c r="C410" t="str">
        <f>HYPERLINK("http://www.ncbi.nlm.nih.gov/protein/NWW56002.1","NWW56002.1")</f>
        <v>NWW56002.1</v>
      </c>
      <c r="D410">
        <v>14068</v>
      </c>
      <c r="E410" t="str">
        <f>HYPERLINK("http://www.ncbi.nlm.nih.gov/Taxonomy/Browser/wwwtax.cgi?mode=Info&amp;id=461245&amp;lvl=3&amp;lin=f&amp;keep=1&amp;srchmode=1&amp;unlock","461245")</f>
        <v>461245</v>
      </c>
      <c r="F410" t="s">
        <v>167</v>
      </c>
      <c r="G410" t="str">
        <f>HYPERLINK("http://www.ncbi.nlm.nih.gov/Taxonomy/Browser/wwwtax.cgi?mode=Info&amp;id=461245&amp;lvl=3&amp;lin=f&amp;keep=1&amp;srchmode=1&amp;unlock","Ifrita kowaldi")</f>
        <v>Ifrita kowaldi</v>
      </c>
      <c r="H410" t="s">
        <v>375</v>
      </c>
      <c r="I410" t="str">
        <f>HYPERLINK("http://www.ncbi.nlm.nih.gov/protein/NWW56002.1","FABPL protein")</f>
        <v>FABPL protein</v>
      </c>
      <c r="J410" t="s">
        <v>1386</v>
      </c>
      <c r="K410" t="s">
        <v>25</v>
      </c>
      <c r="L410">
        <v>50</v>
      </c>
      <c r="M410" t="s">
        <v>1379</v>
      </c>
      <c r="N410" t="s">
        <v>25</v>
      </c>
      <c r="O410" t="s">
        <v>1355</v>
      </c>
      <c r="P410" t="s">
        <v>25</v>
      </c>
      <c r="Q410">
        <v>117.148</v>
      </c>
      <c r="R410" t="s">
        <v>25</v>
      </c>
      <c r="S410" t="s">
        <v>25</v>
      </c>
    </row>
    <row r="411" spans="1:19" x14ac:dyDescent="0.25">
      <c r="A411">
        <v>6</v>
      </c>
      <c r="B411" t="s">
        <v>167</v>
      </c>
      <c r="C411" t="str">
        <f>HYPERLINK("http://www.ncbi.nlm.nih.gov/protein/NP_989523.1","NP_989523.1")</f>
        <v>NP_989523.1</v>
      </c>
      <c r="D411">
        <v>115665</v>
      </c>
      <c r="E411" t="str">
        <f>HYPERLINK("http://www.ncbi.nlm.nih.gov/Taxonomy/Browser/wwwtax.cgi?mode=Info&amp;id=9031&amp;lvl=3&amp;lin=f&amp;keep=1&amp;srchmode=1&amp;unlock","9031")</f>
        <v>9031</v>
      </c>
      <c r="F411" t="s">
        <v>167</v>
      </c>
      <c r="G411" t="str">
        <f>HYPERLINK("http://www.ncbi.nlm.nih.gov/Taxonomy/Browser/wwwtax.cgi?mode=Info&amp;id=9031&amp;lvl=3&amp;lin=f&amp;keep=1&amp;srchmode=1&amp;unlock","Gallus gallus")</f>
        <v>Gallus gallus</v>
      </c>
      <c r="H411" t="s">
        <v>387</v>
      </c>
      <c r="I411" t="str">
        <f>HYPERLINK("http://www.ncbi.nlm.nih.gov/protein/NP_989523.1","fatty acid-binding protein, liver")</f>
        <v>fatty acid-binding protein, liver</v>
      </c>
      <c r="J411" t="s">
        <v>1386</v>
      </c>
      <c r="K411" t="s">
        <v>25</v>
      </c>
      <c r="L411">
        <v>50</v>
      </c>
      <c r="M411" t="s">
        <v>1383</v>
      </c>
      <c r="N411" t="s">
        <v>25</v>
      </c>
      <c r="O411" t="s">
        <v>1355</v>
      </c>
      <c r="P411" t="s">
        <v>25</v>
      </c>
      <c r="Q411">
        <v>131.17500000000001</v>
      </c>
      <c r="R411" t="s">
        <v>25</v>
      </c>
      <c r="S411" t="s">
        <v>25</v>
      </c>
    </row>
    <row r="412" spans="1:19" x14ac:dyDescent="0.25">
      <c r="A412">
        <v>6</v>
      </c>
      <c r="B412" t="s">
        <v>167</v>
      </c>
      <c r="C412" t="str">
        <f>HYPERLINK("http://www.ncbi.nlm.nih.gov/protein/NXK38239.1","NXK38239.1")</f>
        <v>NXK38239.1</v>
      </c>
      <c r="D412">
        <v>14174</v>
      </c>
      <c r="E412" t="str">
        <f>HYPERLINK("http://www.ncbi.nlm.nih.gov/Taxonomy/Browser/wwwtax.cgi?mode=Info&amp;id=114369&amp;lvl=3&amp;lin=f&amp;keep=1&amp;srchmode=1&amp;unlock","114369")</f>
        <v>114369</v>
      </c>
      <c r="F412" t="s">
        <v>167</v>
      </c>
      <c r="G412" t="str">
        <f>HYPERLINK("http://www.ncbi.nlm.nih.gov/Taxonomy/Browser/wwwtax.cgi?mode=Info&amp;id=114369&amp;lvl=3&amp;lin=f&amp;keep=1&amp;srchmode=1&amp;unlock","Piprites chloris")</f>
        <v>Piprites chloris</v>
      </c>
      <c r="H412" t="s">
        <v>389</v>
      </c>
      <c r="I412" t="str">
        <f>HYPERLINK("http://www.ncbi.nlm.nih.gov/protein/NXK38239.1","FABPL protein")</f>
        <v>FABPL protein</v>
      </c>
      <c r="J412" t="s">
        <v>1386</v>
      </c>
      <c r="K412" t="s">
        <v>25</v>
      </c>
      <c r="L412">
        <v>50</v>
      </c>
      <c r="M412" t="s">
        <v>1379</v>
      </c>
      <c r="N412" t="s">
        <v>25</v>
      </c>
      <c r="O412" t="s">
        <v>1355</v>
      </c>
      <c r="P412" t="s">
        <v>25</v>
      </c>
      <c r="Q412">
        <v>117.148</v>
      </c>
      <c r="R412" t="s">
        <v>25</v>
      </c>
      <c r="S412" t="s">
        <v>25</v>
      </c>
    </row>
    <row r="413" spans="1:19" x14ac:dyDescent="0.25">
      <c r="A413">
        <v>6</v>
      </c>
      <c r="B413" t="s">
        <v>167</v>
      </c>
      <c r="C413" t="str">
        <f>HYPERLINK("http://www.ncbi.nlm.nih.gov/protein/NWS90418.1","NWS90418.1")</f>
        <v>NWS90418.1</v>
      </c>
      <c r="D413">
        <v>14243</v>
      </c>
      <c r="E413" t="str">
        <f>HYPERLINK("http://www.ncbi.nlm.nih.gov/Taxonomy/Browser/wwwtax.cgi?mode=Info&amp;id=99882&amp;lvl=3&amp;lin=f&amp;keep=1&amp;srchmode=1&amp;unlock","99882")</f>
        <v>99882</v>
      </c>
      <c r="F413" t="s">
        <v>167</v>
      </c>
      <c r="G413" t="str">
        <f>HYPERLINK("http://www.ncbi.nlm.nih.gov/Taxonomy/Browser/wwwtax.cgi?mode=Info&amp;id=99882&amp;lvl=3&amp;lin=f&amp;keep=1&amp;srchmode=1&amp;unlock","Toxostoma redivivum")</f>
        <v>Toxostoma redivivum</v>
      </c>
      <c r="H413" t="s">
        <v>206</v>
      </c>
      <c r="I413" t="str">
        <f>HYPERLINK("http://www.ncbi.nlm.nih.gov/protein/NWS90418.1","FABPL protein")</f>
        <v>FABPL protein</v>
      </c>
      <c r="J413" t="s">
        <v>1386</v>
      </c>
      <c r="K413" t="s">
        <v>25</v>
      </c>
      <c r="L413">
        <v>50</v>
      </c>
      <c r="M413" t="s">
        <v>1383</v>
      </c>
      <c r="N413" t="s">
        <v>25</v>
      </c>
      <c r="O413" t="s">
        <v>1355</v>
      </c>
      <c r="P413" t="s">
        <v>25</v>
      </c>
      <c r="Q413">
        <v>131.17500000000001</v>
      </c>
      <c r="R413" t="s">
        <v>25</v>
      </c>
      <c r="S413" t="s">
        <v>25</v>
      </c>
    </row>
    <row r="414" spans="1:19" x14ac:dyDescent="0.25">
      <c r="A414">
        <v>6</v>
      </c>
      <c r="B414" t="s">
        <v>167</v>
      </c>
      <c r="C414" t="str">
        <f>HYPERLINK("http://www.ncbi.nlm.nih.gov/protein/NXQ24791.1","NXQ24791.1")</f>
        <v>NXQ24791.1</v>
      </c>
      <c r="D414">
        <v>14376</v>
      </c>
      <c r="E414" t="str">
        <f>HYPERLINK("http://www.ncbi.nlm.nih.gov/Taxonomy/Browser/wwwtax.cgi?mode=Info&amp;id=670337&amp;lvl=3&amp;lin=f&amp;keep=1&amp;srchmode=1&amp;unlock","670337")</f>
        <v>670337</v>
      </c>
      <c r="F414" t="s">
        <v>167</v>
      </c>
      <c r="G414" t="str">
        <f>HYPERLINK("http://www.ncbi.nlm.nih.gov/Taxonomy/Browser/wwwtax.cgi?mode=Info&amp;id=670337&amp;lvl=3&amp;lin=f&amp;keep=1&amp;srchmode=1&amp;unlock","Alaudala cheleensis")</f>
        <v>Alaudala cheleensis</v>
      </c>
      <c r="H414" t="s">
        <v>383</v>
      </c>
      <c r="I414" t="str">
        <f>HYPERLINK("http://www.ncbi.nlm.nih.gov/protein/NXQ24791.1","FABPL protein")</f>
        <v>FABPL protein</v>
      </c>
      <c r="J414" t="s">
        <v>1386</v>
      </c>
      <c r="K414" t="s">
        <v>25</v>
      </c>
      <c r="L414">
        <v>50</v>
      </c>
      <c r="M414" t="s">
        <v>1379</v>
      </c>
      <c r="N414" t="s">
        <v>25</v>
      </c>
      <c r="O414" t="s">
        <v>1355</v>
      </c>
      <c r="P414" t="s">
        <v>25</v>
      </c>
      <c r="Q414">
        <v>117.148</v>
      </c>
      <c r="R414" t="s">
        <v>25</v>
      </c>
      <c r="S414" t="s">
        <v>25</v>
      </c>
    </row>
    <row r="415" spans="1:19" x14ac:dyDescent="0.25">
      <c r="A415">
        <v>6</v>
      </c>
      <c r="B415" t="s">
        <v>167</v>
      </c>
      <c r="C415" t="str">
        <f>HYPERLINK("http://www.ncbi.nlm.nih.gov/protein/NWU85734.1","NWU85734.1")</f>
        <v>NWU85734.1</v>
      </c>
      <c r="D415">
        <v>14404</v>
      </c>
      <c r="E415" t="str">
        <f>HYPERLINK("http://www.ncbi.nlm.nih.gov/Taxonomy/Browser/wwwtax.cgi?mode=Info&amp;id=360224&amp;lvl=3&amp;lin=f&amp;keep=1&amp;srchmode=1&amp;unlock","360224")</f>
        <v>360224</v>
      </c>
      <c r="F415" t="s">
        <v>167</v>
      </c>
      <c r="G415" t="str">
        <f>HYPERLINK("http://www.ncbi.nlm.nih.gov/Taxonomy/Browser/wwwtax.cgi?mode=Info&amp;id=360224&amp;lvl=3&amp;lin=f&amp;keep=1&amp;srchmode=1&amp;unlock","Onychorhynchus coronatus")</f>
        <v>Onychorhynchus coronatus</v>
      </c>
      <c r="H415" t="s">
        <v>206</v>
      </c>
      <c r="I415" t="str">
        <f>HYPERLINK("http://www.ncbi.nlm.nih.gov/protein/NWU85734.1","FABPL protein")</f>
        <v>FABPL protein</v>
      </c>
      <c r="J415" t="s">
        <v>1386</v>
      </c>
      <c r="K415" t="s">
        <v>25</v>
      </c>
      <c r="L415">
        <v>50</v>
      </c>
      <c r="M415" t="s">
        <v>1379</v>
      </c>
      <c r="N415" t="s">
        <v>25</v>
      </c>
      <c r="O415" t="s">
        <v>1355</v>
      </c>
      <c r="P415" t="s">
        <v>25</v>
      </c>
      <c r="Q415">
        <v>117.148</v>
      </c>
      <c r="R415" t="s">
        <v>25</v>
      </c>
      <c r="S415" t="s">
        <v>25</v>
      </c>
    </row>
    <row r="416" spans="1:19" x14ac:dyDescent="0.25">
      <c r="A416">
        <v>6</v>
      </c>
      <c r="B416" t="s">
        <v>167</v>
      </c>
      <c r="C416" t="str">
        <f>HYPERLINK("http://www.ncbi.nlm.nih.gov/protein/NWI03937.1","NWI03937.1")</f>
        <v>NWI03937.1</v>
      </c>
      <c r="D416">
        <v>11529</v>
      </c>
      <c r="E416" t="str">
        <f>HYPERLINK("http://www.ncbi.nlm.nih.gov/Taxonomy/Browser/wwwtax.cgi?mode=Info&amp;id=237442&amp;lvl=3&amp;lin=f&amp;keep=1&amp;srchmode=1&amp;unlock","237442")</f>
        <v>237442</v>
      </c>
      <c r="F416" t="s">
        <v>167</v>
      </c>
      <c r="G416" t="str">
        <f>HYPERLINK("http://www.ncbi.nlm.nih.gov/Taxonomy/Browser/wwwtax.cgi?mode=Info&amp;id=237442&amp;lvl=3&amp;lin=f&amp;keep=1&amp;srchmode=1&amp;unlock","Tichodroma muraria")</f>
        <v>Tichodroma muraria</v>
      </c>
      <c r="H416" t="s">
        <v>206</v>
      </c>
      <c r="I416" t="str">
        <f>HYPERLINK("http://www.ncbi.nlm.nih.gov/protein/NWI03937.1","FABPL protein")</f>
        <v>FABPL protein</v>
      </c>
      <c r="J416" t="s">
        <v>1386</v>
      </c>
      <c r="K416" t="s">
        <v>25</v>
      </c>
      <c r="L416">
        <v>50</v>
      </c>
      <c r="M416" t="s">
        <v>1383</v>
      </c>
      <c r="N416" t="s">
        <v>25</v>
      </c>
      <c r="O416" t="s">
        <v>1355</v>
      </c>
      <c r="P416" t="s">
        <v>25</v>
      </c>
      <c r="Q416">
        <v>131.17500000000001</v>
      </c>
      <c r="R416" t="s">
        <v>25</v>
      </c>
      <c r="S416" t="s">
        <v>25</v>
      </c>
    </row>
    <row r="417" spans="1:19" x14ac:dyDescent="0.25">
      <c r="A417">
        <v>6</v>
      </c>
      <c r="B417" t="s">
        <v>167</v>
      </c>
      <c r="C417" t="str">
        <f>HYPERLINK("http://www.ncbi.nlm.nih.gov/protein/NXD20723.1","NXD20723.1")</f>
        <v>NXD20723.1</v>
      </c>
      <c r="D417">
        <v>14027</v>
      </c>
      <c r="E417" t="str">
        <f>HYPERLINK("http://www.ncbi.nlm.nih.gov/Taxonomy/Browser/wwwtax.cgi?mode=Info&amp;id=1463973&amp;lvl=3&amp;lin=f&amp;keep=1&amp;srchmode=1&amp;unlock","1463973")</f>
        <v>1463973</v>
      </c>
      <c r="F417" t="s">
        <v>167</v>
      </c>
      <c r="G417" t="str">
        <f>HYPERLINK("http://www.ncbi.nlm.nih.gov/Taxonomy/Browser/wwwtax.cgi?mode=Info&amp;id=1463973&amp;lvl=3&amp;lin=f&amp;keep=1&amp;srchmode=1&amp;unlock","Elachura formosa")</f>
        <v>Elachura formosa</v>
      </c>
      <c r="H417" t="s">
        <v>390</v>
      </c>
      <c r="I417" t="str">
        <f>HYPERLINK("http://www.ncbi.nlm.nih.gov/protein/NXD20723.1","FABPL protein")</f>
        <v>FABPL protein</v>
      </c>
      <c r="J417" t="s">
        <v>1386</v>
      </c>
      <c r="K417" t="s">
        <v>25</v>
      </c>
      <c r="L417">
        <v>50</v>
      </c>
      <c r="M417" t="s">
        <v>1379</v>
      </c>
      <c r="N417" t="s">
        <v>25</v>
      </c>
      <c r="O417" t="s">
        <v>1355</v>
      </c>
      <c r="P417" t="s">
        <v>25</v>
      </c>
      <c r="Q417">
        <v>117.148</v>
      </c>
      <c r="R417" t="s">
        <v>25</v>
      </c>
      <c r="S417" t="s">
        <v>25</v>
      </c>
    </row>
    <row r="418" spans="1:19" x14ac:dyDescent="0.25">
      <c r="A418">
        <v>6</v>
      </c>
      <c r="B418" t="s">
        <v>167</v>
      </c>
      <c r="C418" t="str">
        <f>HYPERLINK("http://www.ncbi.nlm.nih.gov/protein/NXP72820.1","NXP72820.1")</f>
        <v>NXP72820.1</v>
      </c>
      <c r="D418">
        <v>14056</v>
      </c>
      <c r="E418" t="str">
        <f>HYPERLINK("http://www.ncbi.nlm.nih.gov/Taxonomy/Browser/wwwtax.cgi?mode=Info&amp;id=322582&amp;lvl=3&amp;lin=f&amp;keep=1&amp;srchmode=1&amp;unlock","322582")</f>
        <v>322582</v>
      </c>
      <c r="F418" t="s">
        <v>167</v>
      </c>
      <c r="G418" t="str">
        <f>HYPERLINK("http://www.ncbi.nlm.nih.gov/Taxonomy/Browser/wwwtax.cgi?mode=Info&amp;id=322582&amp;lvl=3&amp;lin=f&amp;keep=1&amp;srchmode=1&amp;unlock","Ramphastos sulfuratus")</f>
        <v>Ramphastos sulfuratus</v>
      </c>
      <c r="H418" t="s">
        <v>262</v>
      </c>
      <c r="I418" t="str">
        <f>HYPERLINK("http://www.ncbi.nlm.nih.gov/protein/NXP72820.1","FABPL protein")</f>
        <v>FABPL protein</v>
      </c>
      <c r="J418" t="s">
        <v>1386</v>
      </c>
      <c r="K418" t="s">
        <v>25</v>
      </c>
      <c r="L418">
        <v>50</v>
      </c>
      <c r="M418" t="s">
        <v>1383</v>
      </c>
      <c r="N418" t="s">
        <v>25</v>
      </c>
      <c r="O418" t="s">
        <v>1355</v>
      </c>
      <c r="P418" t="s">
        <v>25</v>
      </c>
      <c r="Q418">
        <v>131.17500000000001</v>
      </c>
      <c r="R418" t="s">
        <v>25</v>
      </c>
      <c r="S418" t="s">
        <v>25</v>
      </c>
    </row>
    <row r="419" spans="1:19" x14ac:dyDescent="0.25">
      <c r="A419">
        <v>6</v>
      </c>
      <c r="B419" t="s">
        <v>167</v>
      </c>
      <c r="C419" t="str">
        <f>HYPERLINK("http://www.ncbi.nlm.nih.gov/protein/NXO73078.1","NXO73078.1")</f>
        <v>NXO73078.1</v>
      </c>
      <c r="D419">
        <v>13570</v>
      </c>
      <c r="E419" t="str">
        <f>HYPERLINK("http://www.ncbi.nlm.nih.gov/Taxonomy/Browser/wwwtax.cgi?mode=Info&amp;id=161653&amp;lvl=3&amp;lin=f&amp;keep=1&amp;srchmode=1&amp;unlock","161653")</f>
        <v>161653</v>
      </c>
      <c r="F419" t="s">
        <v>167</v>
      </c>
      <c r="G419" t="str">
        <f>HYPERLINK("http://www.ncbi.nlm.nih.gov/Taxonomy/Browser/wwwtax.cgi?mode=Info&amp;id=161653&amp;lvl=3&amp;lin=f&amp;keep=1&amp;srchmode=1&amp;unlock","Phainopepla nitens")</f>
        <v>Phainopepla nitens</v>
      </c>
      <c r="H419" t="s">
        <v>206</v>
      </c>
      <c r="I419" t="str">
        <f>HYPERLINK("http://www.ncbi.nlm.nih.gov/protein/NXO73078.1","FABPL protein")</f>
        <v>FABPL protein</v>
      </c>
      <c r="J419" t="s">
        <v>1386</v>
      </c>
      <c r="K419" t="s">
        <v>25</v>
      </c>
      <c r="L419">
        <v>50</v>
      </c>
      <c r="M419" t="s">
        <v>1383</v>
      </c>
      <c r="N419" t="s">
        <v>25</v>
      </c>
      <c r="O419" t="s">
        <v>1355</v>
      </c>
      <c r="P419" t="s">
        <v>25</v>
      </c>
      <c r="Q419">
        <v>131.17500000000001</v>
      </c>
      <c r="R419" t="s">
        <v>25</v>
      </c>
      <c r="S419" t="s">
        <v>25</v>
      </c>
    </row>
    <row r="420" spans="1:19" x14ac:dyDescent="0.25">
      <c r="A420">
        <v>6</v>
      </c>
      <c r="B420" t="s">
        <v>167</v>
      </c>
      <c r="C420" t="str">
        <f>HYPERLINK("http://www.ncbi.nlm.nih.gov/protein/XP_005045637.1","XP_005045637.1")</f>
        <v>XP_005045637.1</v>
      </c>
      <c r="D420">
        <v>26779</v>
      </c>
      <c r="E420" t="str">
        <f>HYPERLINK("http://www.ncbi.nlm.nih.gov/Taxonomy/Browser/wwwtax.cgi?mode=Info&amp;id=59894&amp;lvl=3&amp;lin=f&amp;keep=1&amp;srchmode=1&amp;unlock","59894")</f>
        <v>59894</v>
      </c>
      <c r="F420" t="s">
        <v>167</v>
      </c>
      <c r="G420" t="str">
        <f>HYPERLINK("http://www.ncbi.nlm.nih.gov/Taxonomy/Browser/wwwtax.cgi?mode=Info&amp;id=59894&amp;lvl=3&amp;lin=f&amp;keep=1&amp;srchmode=1&amp;unlock","Ficedula albicollis")</f>
        <v>Ficedula albicollis</v>
      </c>
      <c r="H420" t="s">
        <v>394</v>
      </c>
      <c r="I420" t="str">
        <f>HYPERLINK("http://www.ncbi.nlm.nih.gov/protein/XP_005045637.1","PREDICTED: fatty acid-binding protein, liver")</f>
        <v>PREDICTED: fatty acid-binding protein, liver</v>
      </c>
      <c r="J420" t="s">
        <v>1386</v>
      </c>
      <c r="K420" t="s">
        <v>25</v>
      </c>
      <c r="L420">
        <v>50</v>
      </c>
      <c r="M420" t="s">
        <v>1379</v>
      </c>
      <c r="N420" t="s">
        <v>25</v>
      </c>
      <c r="O420" t="s">
        <v>1355</v>
      </c>
      <c r="P420" t="s">
        <v>25</v>
      </c>
      <c r="Q420">
        <v>117.148</v>
      </c>
      <c r="R420" t="s">
        <v>25</v>
      </c>
      <c r="S420" t="s">
        <v>25</v>
      </c>
    </row>
    <row r="421" spans="1:19" x14ac:dyDescent="0.25">
      <c r="A421">
        <v>6</v>
      </c>
      <c r="B421" t="s">
        <v>167</v>
      </c>
      <c r="C421" t="str">
        <f>HYPERLINK("http://www.ncbi.nlm.nih.gov/protein/NXY13661.1","NXY13661.1")</f>
        <v>NXY13661.1</v>
      </c>
      <c r="D421">
        <v>14622</v>
      </c>
      <c r="E421" t="str">
        <f>HYPERLINK("http://www.ncbi.nlm.nih.gov/Taxonomy/Browser/wwwtax.cgi?mode=Info&amp;id=449594&amp;lvl=3&amp;lin=f&amp;keep=1&amp;srchmode=1&amp;unlock","449594")</f>
        <v>449594</v>
      </c>
      <c r="F421" t="s">
        <v>167</v>
      </c>
      <c r="G421" t="str">
        <f>HYPERLINK("http://www.ncbi.nlm.nih.gov/Taxonomy/Browser/wwwtax.cgi?mode=Info&amp;id=449594&amp;lvl=3&amp;lin=f&amp;keep=1&amp;srchmode=1&amp;unlock","Atrichornis clamosus")</f>
        <v>Atrichornis clamosus</v>
      </c>
      <c r="H421" t="s">
        <v>206</v>
      </c>
      <c r="I421" t="str">
        <f>HYPERLINK("http://www.ncbi.nlm.nih.gov/protein/NXY13661.1","FABPL protein")</f>
        <v>FABPL protein</v>
      </c>
      <c r="J421" t="s">
        <v>1386</v>
      </c>
      <c r="K421" t="s">
        <v>25</v>
      </c>
      <c r="L421">
        <v>50</v>
      </c>
      <c r="M421" t="s">
        <v>1379</v>
      </c>
      <c r="N421" t="s">
        <v>25</v>
      </c>
      <c r="O421" t="s">
        <v>1355</v>
      </c>
      <c r="P421" t="s">
        <v>25</v>
      </c>
      <c r="Q421">
        <v>117.148</v>
      </c>
      <c r="R421" t="s">
        <v>25</v>
      </c>
      <c r="S421" t="s">
        <v>25</v>
      </c>
    </row>
    <row r="422" spans="1:19" x14ac:dyDescent="0.25">
      <c r="A422">
        <v>6</v>
      </c>
      <c r="B422" t="s">
        <v>167</v>
      </c>
      <c r="C422" t="str">
        <f>HYPERLINK("http://www.ncbi.nlm.nih.gov/protein/NWW30732.1","NWW30732.1")</f>
        <v>NWW30732.1</v>
      </c>
      <c r="D422">
        <v>12841</v>
      </c>
      <c r="E422" t="str">
        <f>HYPERLINK("http://www.ncbi.nlm.nih.gov/Taxonomy/Browser/wwwtax.cgi?mode=Info&amp;id=181101&amp;lvl=3&amp;lin=f&amp;keep=1&amp;srchmode=1&amp;unlock","181101")</f>
        <v>181101</v>
      </c>
      <c r="F422" t="s">
        <v>167</v>
      </c>
      <c r="G422" t="str">
        <f>HYPERLINK("http://www.ncbi.nlm.nih.gov/Taxonomy/Browser/wwwtax.cgi?mode=Info&amp;id=181101&amp;lvl=3&amp;lin=f&amp;keep=1&amp;srchmode=1&amp;unlock","Panurus biarmicus")</f>
        <v>Panurus biarmicus</v>
      </c>
      <c r="H422" t="s">
        <v>395</v>
      </c>
      <c r="I422" t="str">
        <f>HYPERLINK("http://www.ncbi.nlm.nih.gov/protein/NWW30732.1","FABPL protein")</f>
        <v>FABPL protein</v>
      </c>
      <c r="J422" t="s">
        <v>1386</v>
      </c>
      <c r="K422" t="s">
        <v>25</v>
      </c>
      <c r="L422">
        <v>50</v>
      </c>
      <c r="M422" t="s">
        <v>1379</v>
      </c>
      <c r="N422" t="s">
        <v>25</v>
      </c>
      <c r="O422" t="s">
        <v>1355</v>
      </c>
      <c r="P422" t="s">
        <v>25</v>
      </c>
      <c r="Q422">
        <v>117.148</v>
      </c>
      <c r="R422" t="s">
        <v>25</v>
      </c>
      <c r="S422" t="s">
        <v>25</v>
      </c>
    </row>
    <row r="423" spans="1:19" x14ac:dyDescent="0.25">
      <c r="A423">
        <v>6</v>
      </c>
      <c r="B423" t="s">
        <v>167</v>
      </c>
      <c r="C423" t="str">
        <f>HYPERLINK("http://www.ncbi.nlm.nih.gov/protein/XP_030348152.1","XP_030348152.1")</f>
        <v>XP_030348152.1</v>
      </c>
      <c r="D423">
        <v>43730</v>
      </c>
      <c r="E423" t="str">
        <f>HYPERLINK("http://www.ncbi.nlm.nih.gov/Taxonomy/Browser/wwwtax.cgi?mode=Info&amp;id=2489341&amp;lvl=3&amp;lin=f&amp;keep=1&amp;srchmode=1&amp;unlock","2489341")</f>
        <v>2489341</v>
      </c>
      <c r="F423" t="s">
        <v>167</v>
      </c>
      <c r="G423" t="str">
        <f>HYPERLINK("http://www.ncbi.nlm.nih.gov/Taxonomy/Browser/wwwtax.cgi?mode=Info&amp;id=2489341&amp;lvl=3&amp;lin=f&amp;keep=1&amp;srchmode=1&amp;unlock","Strigops habroptila")</f>
        <v>Strigops habroptila</v>
      </c>
      <c r="H423" t="s">
        <v>396</v>
      </c>
      <c r="I423" t="str">
        <f>HYPERLINK("http://www.ncbi.nlm.nih.gov/protein/XP_030348152.1","fatty acid-binding protein, liver")</f>
        <v>fatty acid-binding protein, liver</v>
      </c>
      <c r="J423" t="s">
        <v>1386</v>
      </c>
      <c r="K423" t="s">
        <v>25</v>
      </c>
      <c r="L423">
        <v>50</v>
      </c>
      <c r="M423" t="s">
        <v>1383</v>
      </c>
      <c r="N423" t="s">
        <v>25</v>
      </c>
      <c r="O423" t="s">
        <v>1355</v>
      </c>
      <c r="P423" t="s">
        <v>25</v>
      </c>
      <c r="Q423">
        <v>131.17500000000001</v>
      </c>
      <c r="R423" t="s">
        <v>25</v>
      </c>
      <c r="S423" t="s">
        <v>25</v>
      </c>
    </row>
    <row r="424" spans="1:19" x14ac:dyDescent="0.25">
      <c r="A424">
        <v>6</v>
      </c>
      <c r="B424" t="s">
        <v>167</v>
      </c>
      <c r="C424" t="str">
        <f>HYPERLINK("http://www.ncbi.nlm.nih.gov/protein/XP_031444579.1","XP_031444579.1")</f>
        <v>XP_031444579.1</v>
      </c>
      <c r="D424">
        <v>29368</v>
      </c>
      <c r="E424" t="str">
        <f>HYPERLINK("http://www.ncbi.nlm.nih.gov/Taxonomy/Browser/wwwtax.cgi?mode=Info&amp;id=9054&amp;lvl=3&amp;lin=f&amp;keep=1&amp;srchmode=1&amp;unlock","9054")</f>
        <v>9054</v>
      </c>
      <c r="F424" t="s">
        <v>167</v>
      </c>
      <c r="G424" t="str">
        <f>HYPERLINK("http://www.ncbi.nlm.nih.gov/Taxonomy/Browser/wwwtax.cgi?mode=Info&amp;id=9054&amp;lvl=3&amp;lin=f&amp;keep=1&amp;srchmode=1&amp;unlock","Phasianus colchicus")</f>
        <v>Phasianus colchicus</v>
      </c>
      <c r="H424" t="s">
        <v>397</v>
      </c>
      <c r="I424" t="str">
        <f>HYPERLINK("http://www.ncbi.nlm.nih.gov/protein/XP_031444579.1","fatty acid-binding protein, liver")</f>
        <v>fatty acid-binding protein, liver</v>
      </c>
      <c r="J424" t="s">
        <v>1386</v>
      </c>
      <c r="K424" t="s">
        <v>25</v>
      </c>
      <c r="L424">
        <v>50</v>
      </c>
      <c r="M424" t="s">
        <v>1383</v>
      </c>
      <c r="N424" t="s">
        <v>25</v>
      </c>
      <c r="O424" t="s">
        <v>1355</v>
      </c>
      <c r="P424" t="s">
        <v>25</v>
      </c>
      <c r="Q424">
        <v>131.17500000000001</v>
      </c>
      <c r="R424" t="s">
        <v>25</v>
      </c>
      <c r="S424" t="s">
        <v>25</v>
      </c>
    </row>
    <row r="425" spans="1:19" x14ac:dyDescent="0.25">
      <c r="A425">
        <v>6</v>
      </c>
      <c r="B425" t="s">
        <v>167</v>
      </c>
      <c r="C425" t="str">
        <f>HYPERLINK("http://www.ncbi.nlm.nih.gov/protein/NXR24235.1","NXR24235.1")</f>
        <v>NXR24235.1</v>
      </c>
      <c r="D425">
        <v>13525</v>
      </c>
      <c r="E425" t="str">
        <f>HYPERLINK("http://www.ncbi.nlm.nih.gov/Taxonomy/Browser/wwwtax.cgi?mode=Info&amp;id=161649&amp;lvl=3&amp;lin=f&amp;keep=1&amp;srchmode=1&amp;unlock","161649")</f>
        <v>161649</v>
      </c>
      <c r="F425" t="s">
        <v>167</v>
      </c>
      <c r="G425" t="str">
        <f>HYPERLINK("http://www.ncbi.nlm.nih.gov/Taxonomy/Browser/wwwtax.cgi?mode=Info&amp;id=161649&amp;lvl=3&amp;lin=f&amp;keep=1&amp;srchmode=1&amp;unlock","Cinclus mexicanus")</f>
        <v>Cinclus mexicanus</v>
      </c>
      <c r="H425" t="s">
        <v>206</v>
      </c>
      <c r="I425" t="str">
        <f>HYPERLINK("http://www.ncbi.nlm.nih.gov/protein/NXR24235.1","FABPL protein")</f>
        <v>FABPL protein</v>
      </c>
      <c r="J425" t="s">
        <v>1386</v>
      </c>
      <c r="K425" t="s">
        <v>25</v>
      </c>
      <c r="L425">
        <v>50</v>
      </c>
      <c r="M425" t="s">
        <v>1379</v>
      </c>
      <c r="N425" t="s">
        <v>25</v>
      </c>
      <c r="O425" t="s">
        <v>1355</v>
      </c>
      <c r="P425" t="s">
        <v>25</v>
      </c>
      <c r="Q425">
        <v>117.148</v>
      </c>
      <c r="R425" t="s">
        <v>25</v>
      </c>
      <c r="S425" t="s">
        <v>25</v>
      </c>
    </row>
    <row r="426" spans="1:19" x14ac:dyDescent="0.25">
      <c r="A426">
        <v>6</v>
      </c>
      <c r="B426" t="s">
        <v>167</v>
      </c>
      <c r="C426" t="str">
        <f>HYPERLINK("http://www.ncbi.nlm.nih.gov/protein/NWQ49776.1","NWQ49776.1")</f>
        <v>NWQ49776.1</v>
      </c>
      <c r="D426">
        <v>14102</v>
      </c>
      <c r="E426" t="str">
        <f>HYPERLINK("http://www.ncbi.nlm.nih.gov/Taxonomy/Browser/wwwtax.cgi?mode=Info&amp;id=44397&amp;lvl=3&amp;lin=f&amp;keep=1&amp;srchmode=1&amp;unlock","44397")</f>
        <v>44397</v>
      </c>
      <c r="F426" t="s">
        <v>167</v>
      </c>
      <c r="G426" t="str">
        <f>HYPERLINK("http://www.ncbi.nlm.nih.gov/Taxonomy/Browser/wwwtax.cgi?mode=Info&amp;id=44397&amp;lvl=3&amp;lin=f&amp;keep=1&amp;srchmode=1&amp;unlock","Melospiza melodia")</f>
        <v>Melospiza melodia</v>
      </c>
      <c r="H426" t="s">
        <v>380</v>
      </c>
      <c r="I426" t="str">
        <f>HYPERLINK("http://www.ncbi.nlm.nih.gov/protein/NWQ49776.1","FABPL protein")</f>
        <v>FABPL protein</v>
      </c>
      <c r="J426" t="s">
        <v>1386</v>
      </c>
      <c r="K426" t="s">
        <v>25</v>
      </c>
      <c r="L426">
        <v>50</v>
      </c>
      <c r="M426" t="s">
        <v>1379</v>
      </c>
      <c r="N426" t="s">
        <v>25</v>
      </c>
      <c r="O426" t="s">
        <v>1355</v>
      </c>
      <c r="P426" t="s">
        <v>25</v>
      </c>
      <c r="Q426">
        <v>117.148</v>
      </c>
      <c r="R426" t="s">
        <v>25</v>
      </c>
      <c r="S426" t="s">
        <v>25</v>
      </c>
    </row>
    <row r="427" spans="1:19" x14ac:dyDescent="0.25">
      <c r="A427">
        <v>6</v>
      </c>
      <c r="B427" t="s">
        <v>167</v>
      </c>
      <c r="C427" t="str">
        <f>HYPERLINK("http://www.ncbi.nlm.nih.gov/protein/NXS48245.1","NXS48245.1")</f>
        <v>NXS48245.1</v>
      </c>
      <c r="D427">
        <v>12289</v>
      </c>
      <c r="E427" t="str">
        <f>HYPERLINK("http://www.ncbi.nlm.nih.gov/Taxonomy/Browser/wwwtax.cgi?mode=Info&amp;id=33584&amp;lvl=3&amp;lin=f&amp;keep=1&amp;srchmode=1&amp;unlock","33584")</f>
        <v>33584</v>
      </c>
      <c r="F427" t="s">
        <v>167</v>
      </c>
      <c r="G427" t="str">
        <f>HYPERLINK("http://www.ncbi.nlm.nih.gov/Taxonomy/Browser/wwwtax.cgi?mode=Info&amp;id=33584&amp;lvl=3&amp;lin=f&amp;keep=1&amp;srchmode=1&amp;unlock","Balaeniceps rex")</f>
        <v>Balaeniceps rex</v>
      </c>
      <c r="H427" t="s">
        <v>399</v>
      </c>
      <c r="I427" t="str">
        <f>HYPERLINK("http://www.ncbi.nlm.nih.gov/protein/NXS48245.1","FABPL protein")</f>
        <v>FABPL protein</v>
      </c>
      <c r="J427" t="s">
        <v>1386</v>
      </c>
      <c r="K427" t="s">
        <v>25</v>
      </c>
      <c r="L427">
        <v>50</v>
      </c>
      <c r="M427" t="s">
        <v>1383</v>
      </c>
      <c r="N427" t="s">
        <v>25</v>
      </c>
      <c r="O427" t="s">
        <v>1355</v>
      </c>
      <c r="P427" t="s">
        <v>25</v>
      </c>
      <c r="Q427">
        <v>131.17500000000001</v>
      </c>
      <c r="R427" t="s">
        <v>25</v>
      </c>
      <c r="S427" t="s">
        <v>25</v>
      </c>
    </row>
    <row r="428" spans="1:19" x14ac:dyDescent="0.25">
      <c r="A428">
        <v>6</v>
      </c>
      <c r="B428" t="s">
        <v>167</v>
      </c>
      <c r="C428" t="str">
        <f>HYPERLINK("http://www.ncbi.nlm.nih.gov/protein/NXG16533.1","NXG16533.1")</f>
        <v>NXG16533.1</v>
      </c>
      <c r="D428">
        <v>13957</v>
      </c>
      <c r="E428" t="str">
        <f>HYPERLINK("http://www.ncbi.nlm.nih.gov/Taxonomy/Browser/wwwtax.cgi?mode=Info&amp;id=117165&amp;lvl=3&amp;lin=f&amp;keep=1&amp;srchmode=1&amp;unlock","117165")</f>
        <v>117165</v>
      </c>
      <c r="F428" t="s">
        <v>167</v>
      </c>
      <c r="G428" t="str">
        <f>HYPERLINK("http://www.ncbi.nlm.nih.gov/Taxonomy/Browser/wwwtax.cgi?mode=Info&amp;id=117165&amp;lvl=3&amp;lin=f&amp;keep=1&amp;srchmode=1&amp;unlock","Grallaria varia")</f>
        <v>Grallaria varia</v>
      </c>
      <c r="H428" t="s">
        <v>400</v>
      </c>
      <c r="I428" t="str">
        <f>HYPERLINK("http://www.ncbi.nlm.nih.gov/protein/NXG16533.1","FABPL protein")</f>
        <v>FABPL protein</v>
      </c>
      <c r="J428" t="s">
        <v>1386</v>
      </c>
      <c r="K428" t="s">
        <v>25</v>
      </c>
      <c r="L428">
        <v>50</v>
      </c>
      <c r="M428" t="s">
        <v>1379</v>
      </c>
      <c r="N428" t="s">
        <v>25</v>
      </c>
      <c r="O428" t="s">
        <v>1355</v>
      </c>
      <c r="P428" t="s">
        <v>25</v>
      </c>
      <c r="Q428">
        <v>117.148</v>
      </c>
      <c r="R428" t="s">
        <v>25</v>
      </c>
      <c r="S428" t="s">
        <v>25</v>
      </c>
    </row>
    <row r="429" spans="1:19" x14ac:dyDescent="0.25">
      <c r="A429">
        <v>6</v>
      </c>
      <c r="B429" t="s">
        <v>167</v>
      </c>
      <c r="C429" t="str">
        <f>HYPERLINK("http://www.ncbi.nlm.nih.gov/protein/NXO41701.1","NXO41701.1")</f>
        <v>NXO41701.1</v>
      </c>
      <c r="D429">
        <v>13974</v>
      </c>
      <c r="E429" t="str">
        <f>HYPERLINK("http://www.ncbi.nlm.nih.gov/Taxonomy/Browser/wwwtax.cgi?mode=Info&amp;id=187437&amp;lvl=3&amp;lin=f&amp;keep=1&amp;srchmode=1&amp;unlock","187437")</f>
        <v>187437</v>
      </c>
      <c r="F429" t="s">
        <v>167</v>
      </c>
      <c r="G429" t="str">
        <f>HYPERLINK("http://www.ncbi.nlm.nih.gov/Taxonomy/Browser/wwwtax.cgi?mode=Info&amp;id=187437&amp;lvl=3&amp;lin=f&amp;keep=1&amp;srchmode=1&amp;unlock","Locustella ochotensis")</f>
        <v>Locustella ochotensis</v>
      </c>
      <c r="H429" t="s">
        <v>402</v>
      </c>
      <c r="I429" t="str">
        <f>HYPERLINK("http://www.ncbi.nlm.nih.gov/protein/NXO41701.1","FABPL protein")</f>
        <v>FABPL protein</v>
      </c>
      <c r="J429" t="s">
        <v>1386</v>
      </c>
      <c r="K429" t="s">
        <v>25</v>
      </c>
      <c r="L429">
        <v>50</v>
      </c>
      <c r="M429" t="s">
        <v>1379</v>
      </c>
      <c r="N429" t="s">
        <v>25</v>
      </c>
      <c r="O429" t="s">
        <v>1355</v>
      </c>
      <c r="P429" t="s">
        <v>25</v>
      </c>
      <c r="Q429">
        <v>117.148</v>
      </c>
      <c r="R429" t="s">
        <v>25</v>
      </c>
      <c r="S429" t="s">
        <v>25</v>
      </c>
    </row>
    <row r="430" spans="1:19" x14ac:dyDescent="0.25">
      <c r="A430">
        <v>6</v>
      </c>
      <c r="B430" t="s">
        <v>167</v>
      </c>
      <c r="C430" t="str">
        <f>HYPERLINK("http://www.ncbi.nlm.nih.gov/protein/XP_027758296.1","XP_027758296.1")</f>
        <v>XP_027758296.1</v>
      </c>
      <c r="D430">
        <v>34050</v>
      </c>
      <c r="E430" t="str">
        <f>HYPERLINK("http://www.ncbi.nlm.nih.gov/Taxonomy/Browser/wwwtax.cgi?mode=Info&amp;id=164674&amp;lvl=3&amp;lin=f&amp;keep=1&amp;srchmode=1&amp;unlock","164674")</f>
        <v>164674</v>
      </c>
      <c r="F430" t="s">
        <v>167</v>
      </c>
      <c r="G430" t="str">
        <f>HYPERLINK("http://www.ncbi.nlm.nih.gov/Taxonomy/Browser/wwwtax.cgi?mode=Info&amp;id=164674&amp;lvl=3&amp;lin=f&amp;keep=1&amp;srchmode=1&amp;unlock","Empidonax traillii")</f>
        <v>Empidonax traillii</v>
      </c>
      <c r="H430" t="s">
        <v>403</v>
      </c>
      <c r="I430" t="str">
        <f>HYPERLINK("http://www.ncbi.nlm.nih.gov/protein/XP_027758296.1","fatty acid-binding protein, liver")</f>
        <v>fatty acid-binding protein, liver</v>
      </c>
      <c r="J430" t="s">
        <v>1386</v>
      </c>
      <c r="K430" t="s">
        <v>25</v>
      </c>
      <c r="L430">
        <v>50</v>
      </c>
      <c r="M430" t="s">
        <v>1379</v>
      </c>
      <c r="N430" t="s">
        <v>25</v>
      </c>
      <c r="O430" t="s">
        <v>1355</v>
      </c>
      <c r="P430" t="s">
        <v>25</v>
      </c>
      <c r="Q430">
        <v>117.148</v>
      </c>
      <c r="R430" t="s">
        <v>25</v>
      </c>
      <c r="S430" t="s">
        <v>25</v>
      </c>
    </row>
    <row r="431" spans="1:19" x14ac:dyDescent="0.25">
      <c r="A431">
        <v>6</v>
      </c>
      <c r="B431" t="s">
        <v>167</v>
      </c>
      <c r="C431" t="str">
        <f>HYPERLINK("http://www.ncbi.nlm.nih.gov/protein/NXU83905.1","NXU83905.1")</f>
        <v>NXU83905.1</v>
      </c>
      <c r="D431">
        <v>13565</v>
      </c>
      <c r="E431" t="str">
        <f>HYPERLINK("http://www.ncbi.nlm.nih.gov/Taxonomy/Browser/wwwtax.cgi?mode=Info&amp;id=269412&amp;lvl=3&amp;lin=f&amp;keep=1&amp;srchmode=1&amp;unlock","269412")</f>
        <v>269412</v>
      </c>
      <c r="F431" t="s">
        <v>167</v>
      </c>
      <c r="G431" t="str">
        <f>HYPERLINK("http://www.ncbi.nlm.nih.gov/Taxonomy/Browser/wwwtax.cgi?mode=Info&amp;id=269412&amp;lvl=3&amp;lin=f&amp;keep=1&amp;srchmode=1&amp;unlock","Xiphorhynchus elegans")</f>
        <v>Xiphorhynchus elegans</v>
      </c>
      <c r="H431" t="s">
        <v>404</v>
      </c>
      <c r="I431" t="str">
        <f>HYPERLINK("http://www.ncbi.nlm.nih.gov/protein/NXU83905.1","FABPL protein")</f>
        <v>FABPL protein</v>
      </c>
      <c r="J431" t="s">
        <v>1386</v>
      </c>
      <c r="K431" t="s">
        <v>25</v>
      </c>
      <c r="L431">
        <v>50</v>
      </c>
      <c r="M431" t="s">
        <v>1379</v>
      </c>
      <c r="N431" t="s">
        <v>25</v>
      </c>
      <c r="O431" t="s">
        <v>1355</v>
      </c>
      <c r="P431" t="s">
        <v>25</v>
      </c>
      <c r="Q431">
        <v>117.148</v>
      </c>
      <c r="R431" t="s">
        <v>25</v>
      </c>
      <c r="S431" t="s">
        <v>25</v>
      </c>
    </row>
    <row r="432" spans="1:19" x14ac:dyDescent="0.25">
      <c r="A432">
        <v>6</v>
      </c>
      <c r="B432" t="s">
        <v>167</v>
      </c>
      <c r="C432" t="str">
        <f>HYPERLINK("http://www.ncbi.nlm.nih.gov/protein/XP_039579801.1","XP_039579801.1")</f>
        <v>XP_039579801.1</v>
      </c>
      <c r="D432">
        <v>39374</v>
      </c>
      <c r="E432" t="str">
        <f>HYPERLINK("http://www.ncbi.nlm.nih.gov/Taxonomy/Browser/wwwtax.cgi?mode=Info&amp;id=9160&amp;lvl=3&amp;lin=f&amp;keep=1&amp;srchmode=1&amp;unlock","9160")</f>
        <v>9160</v>
      </c>
      <c r="F432" t="s">
        <v>167</v>
      </c>
      <c r="G432" t="str">
        <f>HYPERLINK("http://www.ncbi.nlm.nih.gov/Taxonomy/Browser/wwwtax.cgi?mode=Info&amp;id=9160&amp;lvl=3&amp;lin=f&amp;keep=1&amp;srchmode=1&amp;unlock","Passer montanus")</f>
        <v>Passer montanus</v>
      </c>
      <c r="H432" t="s">
        <v>405</v>
      </c>
      <c r="I432" t="str">
        <f>HYPERLINK("http://www.ncbi.nlm.nih.gov/protein/XP_039579801.1","fatty acid-binding protein, liver")</f>
        <v>fatty acid-binding protein, liver</v>
      </c>
      <c r="J432" t="s">
        <v>1386</v>
      </c>
      <c r="K432" t="s">
        <v>25</v>
      </c>
      <c r="L432">
        <v>50</v>
      </c>
      <c r="M432" t="s">
        <v>1379</v>
      </c>
      <c r="N432" t="s">
        <v>25</v>
      </c>
      <c r="O432" t="s">
        <v>1355</v>
      </c>
      <c r="P432" t="s">
        <v>25</v>
      </c>
      <c r="Q432">
        <v>117.148</v>
      </c>
      <c r="R432" t="s">
        <v>25</v>
      </c>
      <c r="S432" t="s">
        <v>25</v>
      </c>
    </row>
    <row r="433" spans="1:19" x14ac:dyDescent="0.25">
      <c r="A433">
        <v>6</v>
      </c>
      <c r="B433" t="s">
        <v>167</v>
      </c>
      <c r="C433" t="str">
        <f>HYPERLINK("http://www.ncbi.nlm.nih.gov/protein/NXC30698.1","NXC30698.1")</f>
        <v>NXC30698.1</v>
      </c>
      <c r="D433">
        <v>14152</v>
      </c>
      <c r="E433" t="str">
        <f>HYPERLINK("http://www.ncbi.nlm.nih.gov/Taxonomy/Browser/wwwtax.cgi?mode=Info&amp;id=190295&amp;lvl=3&amp;lin=f&amp;keep=1&amp;srchmode=1&amp;unlock","190295")</f>
        <v>190295</v>
      </c>
      <c r="F433" t="s">
        <v>167</v>
      </c>
      <c r="G433" t="str">
        <f>HYPERLINK("http://www.ncbi.nlm.nih.gov/Taxonomy/Browser/wwwtax.cgi?mode=Info&amp;id=190295&amp;lvl=3&amp;lin=f&amp;keep=1&amp;srchmode=1&amp;unlock","Campylorhamphus procurvoides")</f>
        <v>Campylorhamphus procurvoides</v>
      </c>
      <c r="H433" t="s">
        <v>206</v>
      </c>
      <c r="I433" t="str">
        <f>HYPERLINK("http://www.ncbi.nlm.nih.gov/protein/NXC30698.1","FABPL protein")</f>
        <v>FABPL protein</v>
      </c>
      <c r="J433" t="s">
        <v>1386</v>
      </c>
      <c r="K433" t="s">
        <v>25</v>
      </c>
      <c r="L433">
        <v>50</v>
      </c>
      <c r="M433" t="s">
        <v>1379</v>
      </c>
      <c r="N433" t="s">
        <v>25</v>
      </c>
      <c r="O433" t="s">
        <v>1355</v>
      </c>
      <c r="P433" t="s">
        <v>25</v>
      </c>
      <c r="Q433">
        <v>117.148</v>
      </c>
      <c r="R433" t="s">
        <v>25</v>
      </c>
      <c r="S433" t="s">
        <v>25</v>
      </c>
    </row>
    <row r="434" spans="1:19" x14ac:dyDescent="0.25">
      <c r="A434">
        <v>6</v>
      </c>
      <c r="B434" t="s">
        <v>167</v>
      </c>
      <c r="C434" t="str">
        <f>HYPERLINK("http://www.ncbi.nlm.nih.gov/protein/XP_005517984.1","XP_005517984.1")</f>
        <v>XP_005517984.1</v>
      </c>
      <c r="D434">
        <v>27658</v>
      </c>
      <c r="E434" t="str">
        <f>HYPERLINK("http://www.ncbi.nlm.nih.gov/Taxonomy/Browser/wwwtax.cgi?mode=Info&amp;id=181119&amp;lvl=3&amp;lin=f&amp;keep=1&amp;srchmode=1&amp;unlock","181119")</f>
        <v>181119</v>
      </c>
      <c r="F434" t="s">
        <v>167</v>
      </c>
      <c r="G434" t="str">
        <f>HYPERLINK("http://www.ncbi.nlm.nih.gov/Taxonomy/Browser/wwwtax.cgi?mode=Info&amp;id=181119&amp;lvl=3&amp;lin=f&amp;keep=1&amp;srchmode=1&amp;unlock","Pseudopodoces humilis")</f>
        <v>Pseudopodoces humilis</v>
      </c>
      <c r="H434" t="s">
        <v>409</v>
      </c>
      <c r="I434" t="str">
        <f>HYPERLINK("http://www.ncbi.nlm.nih.gov/protein/XP_005517984.1","PREDICTED: fatty acid-binding protein, liver")</f>
        <v>PREDICTED: fatty acid-binding protein, liver</v>
      </c>
      <c r="J434" t="s">
        <v>1386</v>
      </c>
      <c r="K434" t="s">
        <v>25</v>
      </c>
      <c r="L434">
        <v>50</v>
      </c>
      <c r="M434" t="s">
        <v>1379</v>
      </c>
      <c r="N434" t="s">
        <v>25</v>
      </c>
      <c r="O434" t="s">
        <v>1355</v>
      </c>
      <c r="P434" t="s">
        <v>25</v>
      </c>
      <c r="Q434">
        <v>117.148</v>
      </c>
      <c r="R434" t="s">
        <v>25</v>
      </c>
      <c r="S434" t="s">
        <v>25</v>
      </c>
    </row>
    <row r="435" spans="1:19" x14ac:dyDescent="0.25">
      <c r="A435">
        <v>6</v>
      </c>
      <c r="B435" t="s">
        <v>167</v>
      </c>
      <c r="C435" t="str">
        <f>HYPERLINK("http://www.ncbi.nlm.nih.gov/protein/NWY30701.1","NWY30701.1")</f>
        <v>NWY30701.1</v>
      </c>
      <c r="D435">
        <v>12918</v>
      </c>
      <c r="E435" t="str">
        <f>HYPERLINK("http://www.ncbi.nlm.nih.gov/Taxonomy/Browser/wwwtax.cgi?mode=Info&amp;id=371919&amp;lvl=3&amp;lin=f&amp;keep=1&amp;srchmode=1&amp;unlock","371919")</f>
        <v>371919</v>
      </c>
      <c r="F435" t="s">
        <v>167</v>
      </c>
      <c r="G435" t="str">
        <f>HYPERLINK("http://www.ncbi.nlm.nih.gov/Taxonomy/Browser/wwwtax.cgi?mode=Info&amp;id=371919&amp;lvl=3&amp;lin=f&amp;keep=1&amp;srchmode=1&amp;unlock","Pheucticus melanocephalus")</f>
        <v>Pheucticus melanocephalus</v>
      </c>
      <c r="H435" t="s">
        <v>206</v>
      </c>
      <c r="I435" t="str">
        <f>HYPERLINK("http://www.ncbi.nlm.nih.gov/protein/NWY30701.1","FABPL protein")</f>
        <v>FABPL protein</v>
      </c>
      <c r="J435" t="s">
        <v>1386</v>
      </c>
      <c r="K435" t="s">
        <v>25</v>
      </c>
      <c r="L435">
        <v>50</v>
      </c>
      <c r="M435" t="s">
        <v>1379</v>
      </c>
      <c r="N435" t="s">
        <v>25</v>
      </c>
      <c r="O435" t="s">
        <v>1355</v>
      </c>
      <c r="P435" t="s">
        <v>25</v>
      </c>
      <c r="Q435">
        <v>117.148</v>
      </c>
      <c r="R435" t="s">
        <v>25</v>
      </c>
      <c r="S435" t="s">
        <v>25</v>
      </c>
    </row>
    <row r="436" spans="1:19" x14ac:dyDescent="0.25">
      <c r="A436">
        <v>6</v>
      </c>
      <c r="B436" t="s">
        <v>167</v>
      </c>
      <c r="C436" t="str">
        <f>HYPERLINK("http://www.ncbi.nlm.nih.gov/protein/NXB04302.1","NXB04302.1")</f>
        <v>NXB04302.1</v>
      </c>
      <c r="D436">
        <v>14160</v>
      </c>
      <c r="E436" t="str">
        <f>HYPERLINK("http://www.ncbi.nlm.nih.gov/Taxonomy/Browser/wwwtax.cgi?mode=Info&amp;id=254448&amp;lvl=3&amp;lin=f&amp;keep=1&amp;srchmode=1&amp;unlock","254448")</f>
        <v>254448</v>
      </c>
      <c r="F436" t="s">
        <v>167</v>
      </c>
      <c r="G436" t="str">
        <f>HYPERLINK("http://www.ncbi.nlm.nih.gov/Taxonomy/Browser/wwwtax.cgi?mode=Info&amp;id=254448&amp;lvl=3&amp;lin=f&amp;keep=1&amp;srchmode=1&amp;unlock","Cnemophilus loriae")</f>
        <v>Cnemophilus loriae</v>
      </c>
      <c r="H436" t="s">
        <v>410</v>
      </c>
      <c r="I436" t="str">
        <f>HYPERLINK("http://www.ncbi.nlm.nih.gov/protein/NXB04302.1","FABPL protein")</f>
        <v>FABPL protein</v>
      </c>
      <c r="J436" t="s">
        <v>1386</v>
      </c>
      <c r="K436" t="s">
        <v>25</v>
      </c>
      <c r="L436">
        <v>50</v>
      </c>
      <c r="M436" t="s">
        <v>1383</v>
      </c>
      <c r="N436" t="s">
        <v>25</v>
      </c>
      <c r="O436" t="s">
        <v>1355</v>
      </c>
      <c r="P436" t="s">
        <v>25</v>
      </c>
      <c r="Q436">
        <v>131.17500000000001</v>
      </c>
      <c r="R436" t="s">
        <v>25</v>
      </c>
      <c r="S436" t="s">
        <v>25</v>
      </c>
    </row>
    <row r="437" spans="1:19" x14ac:dyDescent="0.25">
      <c r="A437">
        <v>6</v>
      </c>
      <c r="B437" t="s">
        <v>167</v>
      </c>
      <c r="C437" t="str">
        <f>HYPERLINK("http://www.ncbi.nlm.nih.gov/protein/NWQ81120.1","NWQ81120.1")</f>
        <v>NWQ81120.1</v>
      </c>
      <c r="D437">
        <v>12327</v>
      </c>
      <c r="E437" t="str">
        <f>HYPERLINK("http://www.ncbi.nlm.nih.gov/Taxonomy/Browser/wwwtax.cgi?mode=Info&amp;id=115618&amp;lvl=3&amp;lin=f&amp;keep=1&amp;srchmode=1&amp;unlock","115618")</f>
        <v>115618</v>
      </c>
      <c r="F437" t="s">
        <v>167</v>
      </c>
      <c r="G437" t="str">
        <f>HYPERLINK("http://www.ncbi.nlm.nih.gov/Taxonomy/Browser/wwwtax.cgi?mode=Info&amp;id=115618&amp;lvl=3&amp;lin=f&amp;keep=1&amp;srchmode=1&amp;unlock","Columbina picui")</f>
        <v>Columbina picui</v>
      </c>
      <c r="H437" t="s">
        <v>406</v>
      </c>
      <c r="I437" t="str">
        <f>HYPERLINK("http://www.ncbi.nlm.nih.gov/protein/NWQ81120.1","FABPL protein")</f>
        <v>FABPL protein</v>
      </c>
      <c r="J437" t="s">
        <v>1386</v>
      </c>
      <c r="K437" t="s">
        <v>25</v>
      </c>
      <c r="L437">
        <v>50</v>
      </c>
      <c r="M437" t="s">
        <v>1379</v>
      </c>
      <c r="N437" t="s">
        <v>25</v>
      </c>
      <c r="O437" t="s">
        <v>1355</v>
      </c>
      <c r="P437" t="s">
        <v>25</v>
      </c>
      <c r="Q437">
        <v>117.148</v>
      </c>
      <c r="R437" t="s">
        <v>25</v>
      </c>
      <c r="S437" t="s">
        <v>25</v>
      </c>
    </row>
    <row r="438" spans="1:19" x14ac:dyDescent="0.25">
      <c r="A438">
        <v>6</v>
      </c>
      <c r="B438" t="s">
        <v>167</v>
      </c>
      <c r="C438" t="str">
        <f>HYPERLINK("http://www.ncbi.nlm.nih.gov/protein/NXK90406.1","NXK90406.1")</f>
        <v>NXK90406.1</v>
      </c>
      <c r="D438">
        <v>13619</v>
      </c>
      <c r="E438" t="str">
        <f>HYPERLINK("http://www.ncbi.nlm.nih.gov/Taxonomy/Browser/wwwtax.cgi?mode=Info&amp;id=1118560&amp;lvl=3&amp;lin=f&amp;keep=1&amp;srchmode=1&amp;unlock","1118560")</f>
        <v>1118560</v>
      </c>
      <c r="F438" t="s">
        <v>167</v>
      </c>
      <c r="G438" t="str">
        <f>HYPERLINK("http://www.ncbi.nlm.nih.gov/Taxonomy/Browser/wwwtax.cgi?mode=Info&amp;id=1118560&amp;lvl=3&amp;lin=f&amp;keep=1&amp;srchmode=1&amp;unlock","Formicarius rufipectus")</f>
        <v>Formicarius rufipectus</v>
      </c>
      <c r="H438" t="s">
        <v>206</v>
      </c>
      <c r="I438" t="str">
        <f>HYPERLINK("http://www.ncbi.nlm.nih.gov/protein/NXK90406.1","FABPL protein")</f>
        <v>FABPL protein</v>
      </c>
      <c r="J438" t="s">
        <v>1386</v>
      </c>
      <c r="K438" t="s">
        <v>25</v>
      </c>
      <c r="L438">
        <v>50</v>
      </c>
      <c r="M438" t="s">
        <v>1379</v>
      </c>
      <c r="N438" t="s">
        <v>25</v>
      </c>
      <c r="O438" t="s">
        <v>1355</v>
      </c>
      <c r="P438" t="s">
        <v>25</v>
      </c>
      <c r="Q438">
        <v>117.148</v>
      </c>
      <c r="R438" t="s">
        <v>25</v>
      </c>
      <c r="S438" t="s">
        <v>25</v>
      </c>
    </row>
    <row r="439" spans="1:19" x14ac:dyDescent="0.25">
      <c r="A439">
        <v>6</v>
      </c>
      <c r="B439" t="s">
        <v>167</v>
      </c>
      <c r="C439" t="str">
        <f>HYPERLINK("http://www.ncbi.nlm.nih.gov/protein/NXJ07778.1","NXJ07778.1")</f>
        <v>NXJ07778.1</v>
      </c>
      <c r="D439">
        <v>13852</v>
      </c>
      <c r="E439" t="str">
        <f>HYPERLINK("http://www.ncbi.nlm.nih.gov/Taxonomy/Browser/wwwtax.cgi?mode=Info&amp;id=886794&amp;lvl=3&amp;lin=f&amp;keep=1&amp;srchmode=1&amp;unlock","886794")</f>
        <v>886794</v>
      </c>
      <c r="F439" t="s">
        <v>167</v>
      </c>
      <c r="G439" t="str">
        <f>HYPERLINK("http://www.ncbi.nlm.nih.gov/Taxonomy/Browser/wwwtax.cgi?mode=Info&amp;id=886794&amp;lvl=3&amp;lin=f&amp;keep=1&amp;srchmode=1&amp;unlock","Odontophorus gujanensis")</f>
        <v>Odontophorus gujanensis</v>
      </c>
      <c r="H439" t="s">
        <v>407</v>
      </c>
      <c r="I439" t="str">
        <f>HYPERLINK("http://www.ncbi.nlm.nih.gov/protein/NXJ07778.1","FABPL protein")</f>
        <v>FABPL protein</v>
      </c>
      <c r="J439" t="s">
        <v>1386</v>
      </c>
      <c r="K439" t="s">
        <v>25</v>
      </c>
      <c r="L439">
        <v>50</v>
      </c>
      <c r="M439" t="s">
        <v>1379</v>
      </c>
      <c r="N439" t="s">
        <v>25</v>
      </c>
      <c r="O439" t="s">
        <v>1355</v>
      </c>
      <c r="P439" t="s">
        <v>25</v>
      </c>
      <c r="Q439">
        <v>117.148</v>
      </c>
      <c r="R439" t="s">
        <v>25</v>
      </c>
      <c r="S439" t="s">
        <v>25</v>
      </c>
    </row>
    <row r="440" spans="1:19" x14ac:dyDescent="0.25">
      <c r="A440">
        <v>6</v>
      </c>
      <c r="B440" t="s">
        <v>167</v>
      </c>
      <c r="C440" t="str">
        <f>HYPERLINK("http://www.ncbi.nlm.nih.gov/protein/NXM89594.1","NXM89594.1")</f>
        <v>NXM89594.1</v>
      </c>
      <c r="D440">
        <v>13842</v>
      </c>
      <c r="E440" t="str">
        <f>HYPERLINK("http://www.ncbi.nlm.nih.gov/Taxonomy/Browser/wwwtax.cgi?mode=Info&amp;id=279966&amp;lvl=3&amp;lin=f&amp;keep=1&amp;srchmode=1&amp;unlock","279966")</f>
        <v>279966</v>
      </c>
      <c r="F440" t="s">
        <v>167</v>
      </c>
      <c r="G440" t="str">
        <f>HYPERLINK("http://www.ncbi.nlm.nih.gov/Taxonomy/Browser/wwwtax.cgi?mode=Info&amp;id=279966&amp;lvl=3&amp;lin=f&amp;keep=1&amp;srchmode=1&amp;unlock","Oenanthe oenanthe")</f>
        <v>Oenanthe oenanthe</v>
      </c>
      <c r="H440" t="s">
        <v>413</v>
      </c>
      <c r="I440" t="str">
        <f>HYPERLINK("http://www.ncbi.nlm.nih.gov/protein/NXM89594.1","FABPL protein")</f>
        <v>FABPL protein</v>
      </c>
      <c r="J440" t="s">
        <v>1386</v>
      </c>
      <c r="K440" t="s">
        <v>25</v>
      </c>
      <c r="L440">
        <v>50</v>
      </c>
      <c r="M440" t="s">
        <v>1379</v>
      </c>
      <c r="N440" t="s">
        <v>25</v>
      </c>
      <c r="O440" t="s">
        <v>1355</v>
      </c>
      <c r="P440" t="s">
        <v>25</v>
      </c>
      <c r="Q440">
        <v>117.148</v>
      </c>
      <c r="R440" t="s">
        <v>25</v>
      </c>
      <c r="S440" t="s">
        <v>25</v>
      </c>
    </row>
    <row r="441" spans="1:19" x14ac:dyDescent="0.25">
      <c r="A441">
        <v>6</v>
      </c>
      <c r="B441" t="s">
        <v>167</v>
      </c>
      <c r="C441" t="str">
        <f>HYPERLINK("http://www.ncbi.nlm.nih.gov/protein/XP_030803984.1","XP_030803984.1")</f>
        <v>XP_030803984.1</v>
      </c>
      <c r="D441">
        <v>28938</v>
      </c>
      <c r="E441" t="str">
        <f>HYPERLINK("http://www.ncbi.nlm.nih.gov/Taxonomy/Browser/wwwtax.cgi?mode=Info&amp;id=87175&amp;lvl=3&amp;lin=f&amp;keep=1&amp;srchmode=1&amp;unlock","87175")</f>
        <v>87175</v>
      </c>
      <c r="F441" t="s">
        <v>167</v>
      </c>
      <c r="G441" t="str">
        <f>HYPERLINK("http://www.ncbi.nlm.nih.gov/Taxonomy/Browser/wwwtax.cgi?mode=Info&amp;id=87175&amp;lvl=3&amp;lin=f&amp;keep=1&amp;srchmode=1&amp;unlock","Camarhynchus parvulus")</f>
        <v>Camarhynchus parvulus</v>
      </c>
      <c r="H441" t="s">
        <v>414</v>
      </c>
      <c r="I441" t="str">
        <f>HYPERLINK("http://www.ncbi.nlm.nih.gov/protein/XP_030803984.1","fatty acid-binding protein, liver")</f>
        <v>fatty acid-binding protein, liver</v>
      </c>
      <c r="J441" t="s">
        <v>1386</v>
      </c>
      <c r="K441" t="s">
        <v>25</v>
      </c>
      <c r="L441">
        <v>50</v>
      </c>
      <c r="M441" t="s">
        <v>1383</v>
      </c>
      <c r="N441" t="s">
        <v>25</v>
      </c>
      <c r="O441" t="s">
        <v>1355</v>
      </c>
      <c r="P441" t="s">
        <v>25</v>
      </c>
      <c r="Q441">
        <v>131.17500000000001</v>
      </c>
      <c r="R441" t="s">
        <v>25</v>
      </c>
      <c r="S441" t="s">
        <v>25</v>
      </c>
    </row>
    <row r="442" spans="1:19" x14ac:dyDescent="0.25">
      <c r="A442">
        <v>6</v>
      </c>
      <c r="B442" t="s">
        <v>167</v>
      </c>
      <c r="C442" t="str">
        <f>HYPERLINK("http://www.ncbi.nlm.nih.gov/protein/XP_033920831.1","XP_033920831.1")</f>
        <v>XP_033920831.1</v>
      </c>
      <c r="D442">
        <v>29316</v>
      </c>
      <c r="E442" t="str">
        <f>HYPERLINK("http://www.ncbi.nlm.nih.gov/Taxonomy/Browser/wwwtax.cgi?mode=Info&amp;id=13146&amp;lvl=3&amp;lin=f&amp;keep=1&amp;srchmode=1&amp;unlock","13146")</f>
        <v>13146</v>
      </c>
      <c r="F442" t="s">
        <v>167</v>
      </c>
      <c r="G442" t="str">
        <f>HYPERLINK("http://www.ncbi.nlm.nih.gov/Taxonomy/Browser/wwwtax.cgi?mode=Info&amp;id=13146&amp;lvl=3&amp;lin=f&amp;keep=1&amp;srchmode=1&amp;unlock","Melopsittacus undulatus")</f>
        <v>Melopsittacus undulatus</v>
      </c>
      <c r="H442" t="s">
        <v>415</v>
      </c>
      <c r="I442" t="str">
        <f>HYPERLINK("http://www.ncbi.nlm.nih.gov/protein/XP_033920831.1","fatty acid-binding protein, liver")</f>
        <v>fatty acid-binding protein, liver</v>
      </c>
      <c r="J442" t="s">
        <v>1386</v>
      </c>
      <c r="K442" t="s">
        <v>25</v>
      </c>
      <c r="L442">
        <v>50</v>
      </c>
      <c r="M442" t="s">
        <v>1383</v>
      </c>
      <c r="N442" t="s">
        <v>25</v>
      </c>
      <c r="O442" t="s">
        <v>1355</v>
      </c>
      <c r="P442" t="s">
        <v>25</v>
      </c>
      <c r="Q442">
        <v>131.17500000000001</v>
      </c>
      <c r="R442" t="s">
        <v>25</v>
      </c>
      <c r="S442" t="s">
        <v>25</v>
      </c>
    </row>
    <row r="443" spans="1:19" x14ac:dyDescent="0.25">
      <c r="A443">
        <v>6</v>
      </c>
      <c r="B443" t="s">
        <v>167</v>
      </c>
      <c r="C443" t="str">
        <f>HYPERLINK("http://www.ncbi.nlm.nih.gov/protein/XP_005428387.1","XP_005428387.1")</f>
        <v>XP_005428387.1</v>
      </c>
      <c r="D443">
        <v>20687</v>
      </c>
      <c r="E443" t="str">
        <f>HYPERLINK("http://www.ncbi.nlm.nih.gov/Taxonomy/Browser/wwwtax.cgi?mode=Info&amp;id=48883&amp;lvl=3&amp;lin=f&amp;keep=1&amp;srchmode=1&amp;unlock","48883")</f>
        <v>48883</v>
      </c>
      <c r="F443" t="s">
        <v>167</v>
      </c>
      <c r="G443" t="str">
        <f>HYPERLINK("http://www.ncbi.nlm.nih.gov/Taxonomy/Browser/wwwtax.cgi?mode=Info&amp;id=48883&amp;lvl=3&amp;lin=f&amp;keep=1&amp;srchmode=1&amp;unlock","Geospiza fortis")</f>
        <v>Geospiza fortis</v>
      </c>
      <c r="H443" t="s">
        <v>411</v>
      </c>
      <c r="I443" t="str">
        <f>HYPERLINK("http://www.ncbi.nlm.nih.gov/protein/XP_005428387.1","fatty acid-binding protein, liver")</f>
        <v>fatty acid-binding protein, liver</v>
      </c>
      <c r="J443" t="s">
        <v>1386</v>
      </c>
      <c r="K443" t="s">
        <v>25</v>
      </c>
      <c r="L443">
        <v>50</v>
      </c>
      <c r="M443" t="s">
        <v>1383</v>
      </c>
      <c r="N443" t="s">
        <v>25</v>
      </c>
      <c r="O443" t="s">
        <v>1355</v>
      </c>
      <c r="P443" t="s">
        <v>25</v>
      </c>
      <c r="Q443">
        <v>131.17500000000001</v>
      </c>
      <c r="R443" t="s">
        <v>25</v>
      </c>
      <c r="S443" t="s">
        <v>25</v>
      </c>
    </row>
    <row r="444" spans="1:19" x14ac:dyDescent="0.25">
      <c r="A444">
        <v>6</v>
      </c>
      <c r="B444" t="s">
        <v>167</v>
      </c>
      <c r="C444" t="str">
        <f>HYPERLINK("http://www.ncbi.nlm.nih.gov/protein/XP_010215985.1","XP_010215985.1")</f>
        <v>XP_010215985.1</v>
      </c>
      <c r="D444">
        <v>31346</v>
      </c>
      <c r="E444" t="str">
        <f>HYPERLINK("http://www.ncbi.nlm.nih.gov/Taxonomy/Browser/wwwtax.cgi?mode=Info&amp;id=94827&amp;lvl=3&amp;lin=f&amp;keep=1&amp;srchmode=1&amp;unlock","94827")</f>
        <v>94827</v>
      </c>
      <c r="F444" t="s">
        <v>167</v>
      </c>
      <c r="G444" t="str">
        <f>HYPERLINK("http://www.ncbi.nlm.nih.gov/Taxonomy/Browser/wwwtax.cgi?mode=Info&amp;id=94827&amp;lvl=3&amp;lin=f&amp;keep=1&amp;srchmode=1&amp;unlock","Tinamus guttatus")</f>
        <v>Tinamus guttatus</v>
      </c>
      <c r="H444" t="s">
        <v>412</v>
      </c>
      <c r="I444" t="str">
        <f>HYPERLINK("http://www.ncbi.nlm.nih.gov/protein/XP_010215985.1","PREDICTED: fatty acid-binding protein, liver")</f>
        <v>PREDICTED: fatty acid-binding protein, liver</v>
      </c>
      <c r="J444" t="s">
        <v>1386</v>
      </c>
      <c r="K444" t="s">
        <v>25</v>
      </c>
      <c r="L444">
        <v>50</v>
      </c>
      <c r="M444" t="s">
        <v>1383</v>
      </c>
      <c r="N444" t="s">
        <v>25</v>
      </c>
      <c r="O444" t="s">
        <v>1355</v>
      </c>
      <c r="P444" t="s">
        <v>25</v>
      </c>
      <c r="Q444">
        <v>131.17500000000001</v>
      </c>
      <c r="R444" t="s">
        <v>25</v>
      </c>
      <c r="S444" t="s">
        <v>25</v>
      </c>
    </row>
    <row r="445" spans="1:19" x14ac:dyDescent="0.25">
      <c r="A445">
        <v>6</v>
      </c>
      <c r="B445" t="s">
        <v>167</v>
      </c>
      <c r="C445" t="str">
        <f>HYPERLINK("http://www.ncbi.nlm.nih.gov/protein/NXP85344.1","NXP85344.1")</f>
        <v>NXP85344.1</v>
      </c>
      <c r="D445">
        <v>13042</v>
      </c>
      <c r="E445" t="str">
        <f>HYPERLINK("http://www.ncbi.nlm.nih.gov/Taxonomy/Browser/wwwtax.cgi?mode=Info&amp;id=142471&amp;lvl=3&amp;lin=f&amp;keep=1&amp;srchmode=1&amp;unlock","142471")</f>
        <v>142471</v>
      </c>
      <c r="F445" t="s">
        <v>167</v>
      </c>
      <c r="G445" t="str">
        <f>HYPERLINK("http://www.ncbi.nlm.nih.gov/Taxonomy/Browser/wwwtax.cgi?mode=Info&amp;id=142471&amp;lvl=3&amp;lin=f&amp;keep=1&amp;srchmode=1&amp;unlock","Passerina amoena")</f>
        <v>Passerina amoena</v>
      </c>
      <c r="H445" t="s">
        <v>206</v>
      </c>
      <c r="I445" t="str">
        <f>HYPERLINK("http://www.ncbi.nlm.nih.gov/protein/NXP85344.1","FABPL protein")</f>
        <v>FABPL protein</v>
      </c>
      <c r="J445" t="s">
        <v>1386</v>
      </c>
      <c r="K445" t="s">
        <v>25</v>
      </c>
      <c r="L445">
        <v>50</v>
      </c>
      <c r="M445" t="s">
        <v>1379</v>
      </c>
      <c r="N445" t="s">
        <v>25</v>
      </c>
      <c r="O445" t="s">
        <v>1355</v>
      </c>
      <c r="P445" t="s">
        <v>25</v>
      </c>
      <c r="Q445">
        <v>117.148</v>
      </c>
      <c r="R445" t="s">
        <v>25</v>
      </c>
      <c r="S445" t="s">
        <v>25</v>
      </c>
    </row>
    <row r="446" spans="1:19" x14ac:dyDescent="0.25">
      <c r="A446">
        <v>6</v>
      </c>
      <c r="B446" t="s">
        <v>167</v>
      </c>
      <c r="C446" t="str">
        <f>HYPERLINK("http://www.ncbi.nlm.nih.gov/protein/NXP19171.1","NXP19171.1")</f>
        <v>NXP19171.1</v>
      </c>
      <c r="D446">
        <v>13881</v>
      </c>
      <c r="E446" t="str">
        <f>HYPERLINK("http://www.ncbi.nlm.nih.gov/Taxonomy/Browser/wwwtax.cgi?mode=Info&amp;id=312124&amp;lvl=3&amp;lin=f&amp;keep=1&amp;srchmode=1&amp;unlock","312124")</f>
        <v>312124</v>
      </c>
      <c r="F446" t="s">
        <v>167</v>
      </c>
      <c r="G446" t="str">
        <f>HYPERLINK("http://www.ncbi.nlm.nih.gov/Taxonomy/Browser/wwwtax.cgi?mode=Info&amp;id=312124&amp;lvl=3&amp;lin=f&amp;keep=1&amp;srchmode=1&amp;unlock","Scytalopus superciliaris")</f>
        <v>Scytalopus superciliaris</v>
      </c>
      <c r="H446" t="s">
        <v>418</v>
      </c>
      <c r="I446" t="str">
        <f>HYPERLINK("http://www.ncbi.nlm.nih.gov/protein/NXP19171.1","FABPL protein")</f>
        <v>FABPL protein</v>
      </c>
      <c r="J446" t="s">
        <v>1386</v>
      </c>
      <c r="K446" t="s">
        <v>25</v>
      </c>
      <c r="L446">
        <v>50</v>
      </c>
      <c r="M446" t="s">
        <v>1379</v>
      </c>
      <c r="N446" t="s">
        <v>25</v>
      </c>
      <c r="O446" t="s">
        <v>1355</v>
      </c>
      <c r="P446" t="s">
        <v>25</v>
      </c>
      <c r="Q446">
        <v>117.148</v>
      </c>
      <c r="R446" t="s">
        <v>25</v>
      </c>
      <c r="S446" t="s">
        <v>25</v>
      </c>
    </row>
    <row r="447" spans="1:19" x14ac:dyDescent="0.25">
      <c r="A447">
        <v>6</v>
      </c>
      <c r="B447" t="s">
        <v>167</v>
      </c>
      <c r="C447" t="str">
        <f>HYPERLINK("http://www.ncbi.nlm.nih.gov/protein/NWI39303.1","NWI39303.1")</f>
        <v>NWI39303.1</v>
      </c>
      <c r="D447">
        <v>13590</v>
      </c>
      <c r="E447" t="str">
        <f>HYPERLINK("http://www.ncbi.nlm.nih.gov/Taxonomy/Browser/wwwtax.cgi?mode=Info&amp;id=175131&amp;lvl=3&amp;lin=f&amp;keep=1&amp;srchmode=1&amp;unlock","175131")</f>
        <v>175131</v>
      </c>
      <c r="F447" t="s">
        <v>167</v>
      </c>
      <c r="G447" t="str">
        <f>HYPERLINK("http://www.ncbi.nlm.nih.gov/Taxonomy/Browser/wwwtax.cgi?mode=Info&amp;id=175131&amp;lvl=3&amp;lin=f&amp;keep=1&amp;srchmode=1&amp;unlock","Picathartes gymnocephalus")</f>
        <v>Picathartes gymnocephalus</v>
      </c>
      <c r="H447" t="s">
        <v>206</v>
      </c>
      <c r="I447" t="str">
        <f>HYPERLINK("http://www.ncbi.nlm.nih.gov/protein/NWI39303.1","FABPL protein")</f>
        <v>FABPL protein</v>
      </c>
      <c r="J447" t="s">
        <v>1386</v>
      </c>
      <c r="K447" t="s">
        <v>25</v>
      </c>
      <c r="L447">
        <v>50</v>
      </c>
      <c r="M447" t="s">
        <v>1379</v>
      </c>
      <c r="N447" t="s">
        <v>25</v>
      </c>
      <c r="O447" t="s">
        <v>1355</v>
      </c>
      <c r="P447" t="s">
        <v>25</v>
      </c>
      <c r="Q447">
        <v>117.148</v>
      </c>
      <c r="R447" t="s">
        <v>25</v>
      </c>
      <c r="S447" t="s">
        <v>25</v>
      </c>
    </row>
    <row r="448" spans="1:19" x14ac:dyDescent="0.25">
      <c r="A448">
        <v>6</v>
      </c>
      <c r="B448" t="s">
        <v>167</v>
      </c>
      <c r="C448" t="str">
        <f>HYPERLINK("http://www.ncbi.nlm.nih.gov/protein/NXN80824.1","NXN80824.1")</f>
        <v>NXN80824.1</v>
      </c>
      <c r="D448">
        <v>13865</v>
      </c>
      <c r="E448" t="str">
        <f>HYPERLINK("http://www.ncbi.nlm.nih.gov/Taxonomy/Browser/wwwtax.cgi?mode=Info&amp;id=125297&amp;lvl=3&amp;lin=f&amp;keep=1&amp;srchmode=1&amp;unlock","125297")</f>
        <v>125297</v>
      </c>
      <c r="F448" t="s">
        <v>167</v>
      </c>
      <c r="G448" t="str">
        <f>HYPERLINK("http://www.ncbi.nlm.nih.gov/Taxonomy/Browser/wwwtax.cgi?mode=Info&amp;id=125297&amp;lvl=3&amp;lin=f&amp;keep=1&amp;srchmode=1&amp;unlock","Bombycilla garrulus")</f>
        <v>Bombycilla garrulus</v>
      </c>
      <c r="H448" t="s">
        <v>419</v>
      </c>
      <c r="I448" t="str">
        <f>HYPERLINK("http://www.ncbi.nlm.nih.gov/protein/NXN80824.1","FABPL protein")</f>
        <v>FABPL protein</v>
      </c>
      <c r="J448" t="s">
        <v>1386</v>
      </c>
      <c r="K448" t="s">
        <v>25</v>
      </c>
      <c r="L448">
        <v>50</v>
      </c>
      <c r="M448" t="s">
        <v>1383</v>
      </c>
      <c r="N448" t="s">
        <v>25</v>
      </c>
      <c r="O448" t="s">
        <v>1355</v>
      </c>
      <c r="P448" t="s">
        <v>25</v>
      </c>
      <c r="Q448">
        <v>131.17500000000001</v>
      </c>
      <c r="R448" t="s">
        <v>25</v>
      </c>
      <c r="S448" t="s">
        <v>25</v>
      </c>
    </row>
    <row r="449" spans="1:19" x14ac:dyDescent="0.25">
      <c r="A449">
        <v>6</v>
      </c>
      <c r="B449" t="s">
        <v>167</v>
      </c>
      <c r="C449" t="str">
        <f>HYPERLINK("http://www.ncbi.nlm.nih.gov/protein/XP_039921228.1","XP_039921228.1")</f>
        <v>XP_039921228.1</v>
      </c>
      <c r="D449">
        <v>52023</v>
      </c>
      <c r="E449" t="str">
        <f>HYPERLINK("http://www.ncbi.nlm.nih.gov/Taxonomy/Browser/wwwtax.cgi?mode=Info&amp;id=43150&amp;lvl=3&amp;lin=f&amp;keep=1&amp;srchmode=1&amp;unlock","43150")</f>
        <v>43150</v>
      </c>
      <c r="F449" t="s">
        <v>167</v>
      </c>
      <c r="G449" t="str">
        <f>HYPERLINK("http://www.ncbi.nlm.nih.gov/Taxonomy/Browser/wwwtax.cgi?mode=Info&amp;id=43150&amp;lvl=3&amp;lin=f&amp;keep=1&amp;srchmode=1&amp;unlock","Hirundo rustica")</f>
        <v>Hirundo rustica</v>
      </c>
      <c r="H449" t="s">
        <v>421</v>
      </c>
      <c r="I449" t="str">
        <f>HYPERLINK("http://www.ncbi.nlm.nih.gov/protein/XP_039921228.1","fatty acid-binding protein, liver")</f>
        <v>fatty acid-binding protein, liver</v>
      </c>
      <c r="J449" t="s">
        <v>1386</v>
      </c>
      <c r="K449" t="s">
        <v>20</v>
      </c>
      <c r="L449">
        <v>50</v>
      </c>
      <c r="M449" t="s">
        <v>1384</v>
      </c>
      <c r="N449" t="s">
        <v>25</v>
      </c>
      <c r="O449" t="s">
        <v>1395</v>
      </c>
      <c r="P449" t="s">
        <v>25</v>
      </c>
      <c r="Q449">
        <v>149.208</v>
      </c>
      <c r="R449" t="s">
        <v>20</v>
      </c>
      <c r="S449" t="s">
        <v>20</v>
      </c>
    </row>
    <row r="450" spans="1:19" x14ac:dyDescent="0.25">
      <c r="A450">
        <v>6</v>
      </c>
      <c r="B450" t="s">
        <v>167</v>
      </c>
      <c r="C450" t="str">
        <f>HYPERLINK("http://www.ncbi.nlm.nih.gov/protein/NXJ89368.1","NXJ89368.1")</f>
        <v>NXJ89368.1</v>
      </c>
      <c r="D450">
        <v>14263</v>
      </c>
      <c r="E450" t="str">
        <f>HYPERLINK("http://www.ncbi.nlm.nih.gov/Taxonomy/Browser/wwwtax.cgi?mode=Info&amp;id=103956&amp;lvl=3&amp;lin=f&amp;keep=1&amp;srchmode=1&amp;unlock","103956")</f>
        <v>103956</v>
      </c>
      <c r="F450" t="s">
        <v>167</v>
      </c>
      <c r="G450" t="str">
        <f>HYPERLINK("http://www.ncbi.nlm.nih.gov/Taxonomy/Browser/wwwtax.cgi?mode=Info&amp;id=103956&amp;lvl=3&amp;lin=f&amp;keep=1&amp;srchmode=1&amp;unlock","Corythaixoides concolor")</f>
        <v>Corythaixoides concolor</v>
      </c>
      <c r="H450" t="s">
        <v>422</v>
      </c>
      <c r="I450" t="str">
        <f>HYPERLINK("http://www.ncbi.nlm.nih.gov/protein/NXJ89368.1","FABPL protein")</f>
        <v>FABPL protein</v>
      </c>
      <c r="J450" t="s">
        <v>1386</v>
      </c>
      <c r="K450" t="s">
        <v>25</v>
      </c>
      <c r="L450">
        <v>50</v>
      </c>
      <c r="M450" t="s">
        <v>1315</v>
      </c>
      <c r="N450" t="s">
        <v>25</v>
      </c>
      <c r="O450" t="s">
        <v>1354</v>
      </c>
      <c r="P450" t="s">
        <v>25</v>
      </c>
      <c r="Q450">
        <v>119.119</v>
      </c>
      <c r="R450" t="s">
        <v>25</v>
      </c>
      <c r="S450" t="s">
        <v>25</v>
      </c>
    </row>
    <row r="451" spans="1:19" x14ac:dyDescent="0.25">
      <c r="A451">
        <v>6</v>
      </c>
      <c r="B451" t="s">
        <v>167</v>
      </c>
      <c r="C451" t="str">
        <f>HYPERLINK("http://www.ncbi.nlm.nih.gov/protein/NWZ83855.1","NWZ83855.1")</f>
        <v>NWZ83855.1</v>
      </c>
      <c r="D451">
        <v>14278</v>
      </c>
      <c r="E451" t="str">
        <f>HYPERLINK("http://www.ncbi.nlm.nih.gov/Taxonomy/Browser/wwwtax.cgi?mode=Info&amp;id=48891&amp;lvl=3&amp;lin=f&amp;keep=1&amp;srchmode=1&amp;unlock","48891")</f>
        <v>48891</v>
      </c>
      <c r="F451" t="s">
        <v>167</v>
      </c>
      <c r="G451" t="str">
        <f>HYPERLINK("http://www.ncbi.nlm.nih.gov/Taxonomy/Browser/wwwtax.cgi?mode=Info&amp;id=48891&amp;lvl=3&amp;lin=f&amp;keep=1&amp;srchmode=1&amp;unlock","Poecile atricapillus")</f>
        <v>Poecile atricapillus</v>
      </c>
      <c r="H451" t="s">
        <v>423</v>
      </c>
      <c r="I451" t="str">
        <f>HYPERLINK("http://www.ncbi.nlm.nih.gov/protein/NWZ83855.1","FABPL protein")</f>
        <v>FABPL protein</v>
      </c>
      <c r="J451" t="s">
        <v>1386</v>
      </c>
      <c r="K451" t="s">
        <v>25</v>
      </c>
      <c r="L451">
        <v>50</v>
      </c>
      <c r="M451" t="s">
        <v>1379</v>
      </c>
      <c r="N451" t="s">
        <v>25</v>
      </c>
      <c r="O451" t="s">
        <v>1355</v>
      </c>
      <c r="P451" t="s">
        <v>25</v>
      </c>
      <c r="Q451">
        <v>117.148</v>
      </c>
      <c r="R451" t="s">
        <v>25</v>
      </c>
      <c r="S451" t="s">
        <v>25</v>
      </c>
    </row>
    <row r="452" spans="1:19" x14ac:dyDescent="0.25">
      <c r="A452">
        <v>6</v>
      </c>
      <c r="B452" t="s">
        <v>167</v>
      </c>
      <c r="C452" t="str">
        <f>HYPERLINK("http://www.ncbi.nlm.nih.gov/protein/NXK84374.1","NXK84374.1")</f>
        <v>NXK84374.1</v>
      </c>
      <c r="D452">
        <v>14236</v>
      </c>
      <c r="E452" t="str">
        <f>HYPERLINK("http://www.ncbi.nlm.nih.gov/Taxonomy/Browser/wwwtax.cgi?mode=Info&amp;id=175529&amp;lvl=3&amp;lin=f&amp;keep=1&amp;srchmode=1&amp;unlock","175529")</f>
        <v>175529</v>
      </c>
      <c r="F452" t="s">
        <v>167</v>
      </c>
      <c r="G452" t="str">
        <f>HYPERLINK("http://www.ncbi.nlm.nih.gov/Taxonomy/Browser/wwwtax.cgi?mode=Info&amp;id=175529&amp;lvl=3&amp;lin=f&amp;keep=1&amp;srchmode=1&amp;unlock","Amazona guildingii")</f>
        <v>Amazona guildingii</v>
      </c>
      <c r="H452" t="s">
        <v>424</v>
      </c>
      <c r="I452" t="str">
        <f>HYPERLINK("http://www.ncbi.nlm.nih.gov/protein/NXK84374.1","FABPL protein")</f>
        <v>FABPL protein</v>
      </c>
      <c r="J452" t="s">
        <v>1386</v>
      </c>
      <c r="K452" t="s">
        <v>25</v>
      </c>
      <c r="L452">
        <v>50</v>
      </c>
      <c r="M452" t="s">
        <v>1383</v>
      </c>
      <c r="N452" t="s">
        <v>25</v>
      </c>
      <c r="O452" t="s">
        <v>1355</v>
      </c>
      <c r="P452" t="s">
        <v>25</v>
      </c>
      <c r="Q452">
        <v>131.17500000000001</v>
      </c>
      <c r="R452" t="s">
        <v>25</v>
      </c>
      <c r="S452" t="s">
        <v>25</v>
      </c>
    </row>
    <row r="453" spans="1:19" x14ac:dyDescent="0.25">
      <c r="A453">
        <v>6</v>
      </c>
      <c r="B453" t="s">
        <v>167</v>
      </c>
      <c r="C453" t="str">
        <f>HYPERLINK("http://www.ncbi.nlm.nih.gov/protein/NWS28074.1","NWS28074.1")</f>
        <v>NWS28074.1</v>
      </c>
      <c r="D453">
        <v>13635</v>
      </c>
      <c r="E453" t="str">
        <f>HYPERLINK("http://www.ncbi.nlm.nih.gov/Taxonomy/Browser/wwwtax.cgi?mode=Info&amp;id=66707&amp;lvl=3&amp;lin=f&amp;keep=1&amp;srchmode=1&amp;unlock","66707")</f>
        <v>66707</v>
      </c>
      <c r="F453" t="s">
        <v>167</v>
      </c>
      <c r="G453" t="str">
        <f>HYPERLINK("http://www.ncbi.nlm.nih.gov/Taxonomy/Browser/wwwtax.cgi?mode=Info&amp;id=66707&amp;lvl=3&amp;lin=f&amp;keep=1&amp;srchmode=1&amp;unlock","Polioptila caerulea")</f>
        <v>Polioptila caerulea</v>
      </c>
      <c r="H453" t="s">
        <v>206</v>
      </c>
      <c r="I453" t="str">
        <f>HYPERLINK("http://www.ncbi.nlm.nih.gov/protein/NWS28074.1","FABPL protein")</f>
        <v>FABPL protein</v>
      </c>
      <c r="J453" t="s">
        <v>1386</v>
      </c>
      <c r="K453" t="s">
        <v>25</v>
      </c>
      <c r="L453">
        <v>50</v>
      </c>
      <c r="M453" t="s">
        <v>1383</v>
      </c>
      <c r="N453" t="s">
        <v>25</v>
      </c>
      <c r="O453" t="s">
        <v>1355</v>
      </c>
      <c r="P453" t="s">
        <v>25</v>
      </c>
      <c r="Q453">
        <v>131.17500000000001</v>
      </c>
      <c r="R453" t="s">
        <v>25</v>
      </c>
      <c r="S453" t="s">
        <v>25</v>
      </c>
    </row>
    <row r="454" spans="1:19" x14ac:dyDescent="0.25">
      <c r="A454">
        <v>6</v>
      </c>
      <c r="B454" t="s">
        <v>167</v>
      </c>
      <c r="C454" t="str">
        <f>HYPERLINK("http://www.ncbi.nlm.nih.gov/protein/XP_036238470.1","XP_036238470.1")</f>
        <v>XP_036238470.1</v>
      </c>
      <c r="D454">
        <v>44051</v>
      </c>
      <c r="E454" t="str">
        <f>HYPERLINK("http://www.ncbi.nlm.nih.gov/Taxonomy/Browser/wwwtax.cgi?mode=Info&amp;id=84834&amp;lvl=3&amp;lin=f&amp;keep=1&amp;srchmode=1&amp;unlock","84834")</f>
        <v>84834</v>
      </c>
      <c r="F454" t="s">
        <v>167</v>
      </c>
      <c r="G454" t="str">
        <f>HYPERLINK("http://www.ncbi.nlm.nih.gov/Taxonomy/Browser/wwwtax.cgi?mode=Info&amp;id=84834&amp;lvl=3&amp;lin=f&amp;keep=1&amp;srchmode=1&amp;unlock","Molothrus ater")</f>
        <v>Molothrus ater</v>
      </c>
      <c r="H454" t="s">
        <v>430</v>
      </c>
      <c r="I454" t="str">
        <f>HYPERLINK("http://www.ncbi.nlm.nih.gov/protein/XP_036238470.1","fatty acid-binding protein, liver")</f>
        <v>fatty acid-binding protein, liver</v>
      </c>
      <c r="J454" t="s">
        <v>1386</v>
      </c>
      <c r="K454" t="s">
        <v>25</v>
      </c>
      <c r="L454">
        <v>50</v>
      </c>
      <c r="M454" t="s">
        <v>1379</v>
      </c>
      <c r="N454" t="s">
        <v>25</v>
      </c>
      <c r="O454" t="s">
        <v>1355</v>
      </c>
      <c r="P454" t="s">
        <v>25</v>
      </c>
      <c r="Q454">
        <v>117.148</v>
      </c>
      <c r="R454" t="s">
        <v>25</v>
      </c>
      <c r="S454" t="s">
        <v>25</v>
      </c>
    </row>
    <row r="455" spans="1:19" x14ac:dyDescent="0.25">
      <c r="A455">
        <v>6</v>
      </c>
      <c r="B455" t="s">
        <v>167</v>
      </c>
      <c r="C455" t="str">
        <f>HYPERLINK("http://www.ncbi.nlm.nih.gov/protein/NWR36987.1","NWR36987.1")</f>
        <v>NWR36987.1</v>
      </c>
      <c r="D455">
        <v>14362</v>
      </c>
      <c r="E455" t="str">
        <f>HYPERLINK("http://www.ncbi.nlm.nih.gov/Taxonomy/Browser/wwwtax.cgi?mode=Info&amp;id=495162&amp;lvl=3&amp;lin=f&amp;keep=1&amp;srchmode=1&amp;unlock","495162")</f>
        <v>495162</v>
      </c>
      <c r="F455" t="s">
        <v>167</v>
      </c>
      <c r="G455" t="str">
        <f>HYPERLINK("http://www.ncbi.nlm.nih.gov/Taxonomy/Browser/wwwtax.cgi?mode=Info&amp;id=495162&amp;lvl=3&amp;lin=f&amp;keep=1&amp;srchmode=1&amp;unlock","Tachuris rubrigastra")</f>
        <v>Tachuris rubrigastra</v>
      </c>
      <c r="H455" t="s">
        <v>206</v>
      </c>
      <c r="I455" t="str">
        <f>HYPERLINK("http://www.ncbi.nlm.nih.gov/protein/NWR36987.1","FABPL protein")</f>
        <v>FABPL protein</v>
      </c>
      <c r="J455" t="s">
        <v>1386</v>
      </c>
      <c r="K455" t="s">
        <v>25</v>
      </c>
      <c r="L455">
        <v>50</v>
      </c>
      <c r="M455" t="s">
        <v>1379</v>
      </c>
      <c r="N455" t="s">
        <v>25</v>
      </c>
      <c r="O455" t="s">
        <v>1355</v>
      </c>
      <c r="P455" t="s">
        <v>25</v>
      </c>
      <c r="Q455">
        <v>117.148</v>
      </c>
      <c r="R455" t="s">
        <v>25</v>
      </c>
      <c r="S455" t="s">
        <v>25</v>
      </c>
    </row>
    <row r="456" spans="1:19" x14ac:dyDescent="0.25">
      <c r="A456">
        <v>6</v>
      </c>
      <c r="B456" t="s">
        <v>167</v>
      </c>
      <c r="C456" t="str">
        <f>HYPERLINK("http://www.ncbi.nlm.nih.gov/protein/NWX65269.1","NWX65269.1")</f>
        <v>NWX65269.1</v>
      </c>
      <c r="D456">
        <v>14100</v>
      </c>
      <c r="E456" t="str">
        <f>HYPERLINK("http://www.ncbi.nlm.nih.gov/Taxonomy/Browser/wwwtax.cgi?mode=Info&amp;id=254652&amp;lvl=3&amp;lin=f&amp;keep=1&amp;srchmode=1&amp;unlock","254652")</f>
        <v>254652</v>
      </c>
      <c r="F456" t="s">
        <v>167</v>
      </c>
      <c r="G456" t="str">
        <f>HYPERLINK("http://www.ncbi.nlm.nih.gov/Taxonomy/Browser/wwwtax.cgi?mode=Info&amp;id=254652&amp;lvl=3&amp;lin=f&amp;keep=1&amp;srchmode=1&amp;unlock","Promerops cafer")</f>
        <v>Promerops cafer</v>
      </c>
      <c r="H456" t="s">
        <v>431</v>
      </c>
      <c r="I456" t="str">
        <f>HYPERLINK("http://www.ncbi.nlm.nih.gov/protein/NWX65269.1","FABPL protein")</f>
        <v>FABPL protein</v>
      </c>
      <c r="J456" t="s">
        <v>1386</v>
      </c>
      <c r="K456" t="s">
        <v>25</v>
      </c>
      <c r="L456">
        <v>50</v>
      </c>
      <c r="M456" t="s">
        <v>1383</v>
      </c>
      <c r="N456" t="s">
        <v>25</v>
      </c>
      <c r="O456" t="s">
        <v>1355</v>
      </c>
      <c r="P456" t="s">
        <v>25</v>
      </c>
      <c r="Q456">
        <v>131.17500000000001</v>
      </c>
      <c r="R456" t="s">
        <v>25</v>
      </c>
      <c r="S456" t="s">
        <v>25</v>
      </c>
    </row>
    <row r="457" spans="1:19" x14ac:dyDescent="0.25">
      <c r="A457">
        <v>6</v>
      </c>
      <c r="B457" t="s">
        <v>167</v>
      </c>
      <c r="C457" t="str">
        <f>HYPERLINK("http://www.ncbi.nlm.nih.gov/protein/NWZ88992.1","NWZ88992.1")</f>
        <v>NWZ88992.1</v>
      </c>
      <c r="D457">
        <v>14106</v>
      </c>
      <c r="E457" t="str">
        <f>HYPERLINK("http://www.ncbi.nlm.nih.gov/Taxonomy/Browser/wwwtax.cgi?mode=Info&amp;id=381881&amp;lvl=3&amp;lin=f&amp;keep=1&amp;srchmode=1&amp;unlock","381881")</f>
        <v>381881</v>
      </c>
      <c r="F457" t="s">
        <v>167</v>
      </c>
      <c r="G457" t="str">
        <f>HYPERLINK("http://www.ncbi.nlm.nih.gov/Taxonomy/Browser/wwwtax.cgi?mode=Info&amp;id=381881&amp;lvl=3&amp;lin=f&amp;keep=1&amp;srchmode=1&amp;unlock","Nesospiza acunhae")</f>
        <v>Nesospiza acunhae</v>
      </c>
      <c r="H457" t="s">
        <v>414</v>
      </c>
      <c r="I457" t="str">
        <f>HYPERLINK("http://www.ncbi.nlm.nih.gov/protein/NWZ88992.1","FABPL protein")</f>
        <v>FABPL protein</v>
      </c>
      <c r="J457" t="s">
        <v>1386</v>
      </c>
      <c r="K457" t="s">
        <v>25</v>
      </c>
      <c r="L457">
        <v>50</v>
      </c>
      <c r="M457" t="s">
        <v>1379</v>
      </c>
      <c r="N457" t="s">
        <v>25</v>
      </c>
      <c r="O457" t="s">
        <v>1355</v>
      </c>
      <c r="P457" t="s">
        <v>25</v>
      </c>
      <c r="Q457">
        <v>117.148</v>
      </c>
      <c r="R457" t="s">
        <v>25</v>
      </c>
      <c r="S457" t="s">
        <v>25</v>
      </c>
    </row>
    <row r="458" spans="1:19" x14ac:dyDescent="0.25">
      <c r="A458">
        <v>6</v>
      </c>
      <c r="B458" t="s">
        <v>167</v>
      </c>
      <c r="C458" t="str">
        <f>HYPERLINK("http://www.ncbi.nlm.nih.gov/protein/NWT23251.1","NWT23251.1")</f>
        <v>NWT23251.1</v>
      </c>
      <c r="D458">
        <v>14099</v>
      </c>
      <c r="E458" t="str">
        <f>HYPERLINK("http://www.ncbi.nlm.nih.gov/Taxonomy/Browser/wwwtax.cgi?mode=Info&amp;id=98964&amp;lvl=3&amp;lin=f&amp;keep=1&amp;srchmode=1&amp;unlock","98964")</f>
        <v>98964</v>
      </c>
      <c r="F458" t="s">
        <v>167</v>
      </c>
      <c r="G458" t="str">
        <f>HYPERLINK("http://www.ncbi.nlm.nih.gov/Taxonomy/Browser/wwwtax.cgi?mode=Info&amp;id=98964&amp;lvl=3&amp;lin=f&amp;keep=1&amp;srchmode=1&amp;unlock","Cardinalis cardinalis")</f>
        <v>Cardinalis cardinalis</v>
      </c>
      <c r="H458" t="s">
        <v>425</v>
      </c>
      <c r="I458" t="str">
        <f>HYPERLINK("http://www.ncbi.nlm.nih.gov/protein/NWT23251.1","FABPL protein")</f>
        <v>FABPL protein</v>
      </c>
      <c r="J458" t="s">
        <v>1386</v>
      </c>
      <c r="K458" t="s">
        <v>25</v>
      </c>
      <c r="L458">
        <v>50</v>
      </c>
      <c r="M458" t="s">
        <v>1379</v>
      </c>
      <c r="N458" t="s">
        <v>25</v>
      </c>
      <c r="O458" t="s">
        <v>1355</v>
      </c>
      <c r="P458" t="s">
        <v>25</v>
      </c>
      <c r="Q458">
        <v>117.148</v>
      </c>
      <c r="R458" t="s">
        <v>25</v>
      </c>
      <c r="S458" t="s">
        <v>25</v>
      </c>
    </row>
    <row r="459" spans="1:19" x14ac:dyDescent="0.25">
      <c r="A459">
        <v>6</v>
      </c>
      <c r="B459" t="s">
        <v>167</v>
      </c>
      <c r="C459" t="str">
        <f>HYPERLINK("http://www.ncbi.nlm.nih.gov/protein/NWZ09512.1","NWZ09512.1")</f>
        <v>NWZ09512.1</v>
      </c>
      <c r="D459">
        <v>14309</v>
      </c>
      <c r="E459" t="str">
        <f>HYPERLINK("http://www.ncbi.nlm.nih.gov/Taxonomy/Browser/wwwtax.cgi?mode=Info&amp;id=39638&amp;lvl=3&amp;lin=f&amp;keep=1&amp;srchmode=1&amp;unlock","39638")</f>
        <v>39638</v>
      </c>
      <c r="F459" t="s">
        <v>167</v>
      </c>
      <c r="G459" t="str">
        <f>HYPERLINK("http://www.ncbi.nlm.nih.gov/Taxonomy/Browser/wwwtax.cgi?mode=Info&amp;id=39638&amp;lvl=3&amp;lin=f&amp;keep=1&amp;srchmode=1&amp;unlock","Agelaius phoeniceus")</f>
        <v>Agelaius phoeniceus</v>
      </c>
      <c r="H459" t="s">
        <v>426</v>
      </c>
      <c r="I459" t="str">
        <f>HYPERLINK("http://www.ncbi.nlm.nih.gov/protein/NWZ09512.1","FABPL protein")</f>
        <v>FABPL protein</v>
      </c>
      <c r="J459" t="s">
        <v>1386</v>
      </c>
      <c r="K459" t="s">
        <v>25</v>
      </c>
      <c r="L459">
        <v>50</v>
      </c>
      <c r="M459" t="s">
        <v>1379</v>
      </c>
      <c r="N459" t="s">
        <v>25</v>
      </c>
      <c r="O459" t="s">
        <v>1355</v>
      </c>
      <c r="P459" t="s">
        <v>25</v>
      </c>
      <c r="Q459">
        <v>117.148</v>
      </c>
      <c r="R459" t="s">
        <v>25</v>
      </c>
      <c r="S459" t="s">
        <v>25</v>
      </c>
    </row>
    <row r="460" spans="1:19" x14ac:dyDescent="0.25">
      <c r="A460">
        <v>6</v>
      </c>
      <c r="B460" t="s">
        <v>167</v>
      </c>
      <c r="C460" t="str">
        <f>HYPERLINK("http://www.ncbi.nlm.nih.gov/protein/NXT96824.1","NXT96824.1")</f>
        <v>NXT96824.1</v>
      </c>
      <c r="D460">
        <v>11123</v>
      </c>
      <c r="E460" t="str">
        <f>HYPERLINK("http://www.ncbi.nlm.nih.gov/Taxonomy/Browser/wwwtax.cgi?mode=Info&amp;id=245048&amp;lvl=3&amp;lin=f&amp;keep=1&amp;srchmode=1&amp;unlock","245048")</f>
        <v>245048</v>
      </c>
      <c r="F460" t="s">
        <v>167</v>
      </c>
      <c r="G460" t="str">
        <f>HYPERLINK("http://www.ncbi.nlm.nih.gov/Taxonomy/Browser/wwwtax.cgi?mode=Info&amp;id=245048&amp;lvl=3&amp;lin=f&amp;keep=1&amp;srchmode=1&amp;unlock","Buphagus erythrorhynchus")</f>
        <v>Buphagus erythrorhynchus</v>
      </c>
      <c r="H460" t="s">
        <v>427</v>
      </c>
      <c r="I460" t="str">
        <f>HYPERLINK("http://www.ncbi.nlm.nih.gov/protein/NXT96824.1","FABPL protein")</f>
        <v>FABPL protein</v>
      </c>
      <c r="J460" t="s">
        <v>1386</v>
      </c>
      <c r="K460" t="s">
        <v>25</v>
      </c>
      <c r="L460">
        <v>50</v>
      </c>
      <c r="M460" t="s">
        <v>1383</v>
      </c>
      <c r="N460" t="s">
        <v>25</v>
      </c>
      <c r="O460" t="s">
        <v>1355</v>
      </c>
      <c r="P460" t="s">
        <v>25</v>
      </c>
      <c r="Q460">
        <v>131.17500000000001</v>
      </c>
      <c r="R460" t="s">
        <v>25</v>
      </c>
      <c r="S460" t="s">
        <v>25</v>
      </c>
    </row>
    <row r="461" spans="1:19" x14ac:dyDescent="0.25">
      <c r="A461">
        <v>6</v>
      </c>
      <c r="B461" t="s">
        <v>167</v>
      </c>
      <c r="C461" t="str">
        <f>HYPERLINK("http://www.ncbi.nlm.nih.gov/protein/NXQ69441.1","NXQ69441.1")</f>
        <v>NXQ69441.1</v>
      </c>
      <c r="D461">
        <v>13681</v>
      </c>
      <c r="E461" t="str">
        <f>HYPERLINK("http://www.ncbi.nlm.nih.gov/Taxonomy/Browser/wwwtax.cgi?mode=Info&amp;id=64278&amp;lvl=3&amp;lin=f&amp;keep=1&amp;srchmode=1&amp;unlock","64278")</f>
        <v>64278</v>
      </c>
      <c r="F461" t="s">
        <v>167</v>
      </c>
      <c r="G461" t="str">
        <f>HYPERLINK("http://www.ncbi.nlm.nih.gov/Taxonomy/Browser/wwwtax.cgi?mode=Info&amp;id=64278&amp;lvl=3&amp;lin=f&amp;keep=1&amp;srchmode=1&amp;unlock","Quiscalus mexicanus")</f>
        <v>Quiscalus mexicanus</v>
      </c>
      <c r="H461" t="s">
        <v>428</v>
      </c>
      <c r="I461" t="str">
        <f>HYPERLINK("http://www.ncbi.nlm.nih.gov/protein/NXQ69441.1","FABPL protein")</f>
        <v>FABPL protein</v>
      </c>
      <c r="J461" t="s">
        <v>1386</v>
      </c>
      <c r="K461" t="s">
        <v>25</v>
      </c>
      <c r="L461">
        <v>50</v>
      </c>
      <c r="M461" t="s">
        <v>1379</v>
      </c>
      <c r="N461" t="s">
        <v>25</v>
      </c>
      <c r="O461" t="s">
        <v>1355</v>
      </c>
      <c r="P461" t="s">
        <v>25</v>
      </c>
      <c r="Q461">
        <v>117.148</v>
      </c>
      <c r="R461" t="s">
        <v>25</v>
      </c>
      <c r="S461" t="s">
        <v>25</v>
      </c>
    </row>
    <row r="462" spans="1:19" x14ac:dyDescent="0.25">
      <c r="A462">
        <v>6</v>
      </c>
      <c r="B462" t="s">
        <v>167</v>
      </c>
      <c r="C462" t="str">
        <f>HYPERLINK("http://www.ncbi.nlm.nih.gov/protein/NWR22390.1","NWR22390.1")</f>
        <v>NWR22390.1</v>
      </c>
      <c r="D462">
        <v>13259</v>
      </c>
      <c r="E462" t="str">
        <f>HYPERLINK("http://www.ncbi.nlm.nih.gov/Taxonomy/Browser/wwwtax.cgi?mode=Info&amp;id=337179&amp;lvl=3&amp;lin=f&amp;keep=1&amp;srchmode=1&amp;unlock","337179")</f>
        <v>337179</v>
      </c>
      <c r="F462" t="s">
        <v>167</v>
      </c>
      <c r="G462" t="str">
        <f>HYPERLINK("http://www.ncbi.nlm.nih.gov/Taxonomy/Browser/wwwtax.cgi?mode=Info&amp;id=337179&amp;lvl=3&amp;lin=f&amp;keep=1&amp;srchmode=1&amp;unlock","Emberiza fucata")</f>
        <v>Emberiza fucata</v>
      </c>
      <c r="H462" t="s">
        <v>429</v>
      </c>
      <c r="I462" t="str">
        <f>HYPERLINK("http://www.ncbi.nlm.nih.gov/protein/NWR22390.1","FABPL protein")</f>
        <v>FABPL protein</v>
      </c>
      <c r="J462" t="s">
        <v>1386</v>
      </c>
      <c r="K462" t="s">
        <v>25</v>
      </c>
      <c r="L462">
        <v>50</v>
      </c>
      <c r="M462" t="s">
        <v>1379</v>
      </c>
      <c r="N462" t="s">
        <v>25</v>
      </c>
      <c r="O462" t="s">
        <v>1355</v>
      </c>
      <c r="P462" t="s">
        <v>25</v>
      </c>
      <c r="Q462">
        <v>117.148</v>
      </c>
      <c r="R462" t="s">
        <v>25</v>
      </c>
      <c r="S462" t="s">
        <v>25</v>
      </c>
    </row>
    <row r="463" spans="1:19" x14ac:dyDescent="0.25">
      <c r="A463">
        <v>6</v>
      </c>
      <c r="B463" t="s">
        <v>167</v>
      </c>
      <c r="C463" t="str">
        <f>HYPERLINK("http://www.ncbi.nlm.nih.gov/protein/XP_005446431.1","XP_005446431.1")</f>
        <v>XP_005446431.1</v>
      </c>
      <c r="D463">
        <v>30432</v>
      </c>
      <c r="E463" t="str">
        <f>HYPERLINK("http://www.ncbi.nlm.nih.gov/Taxonomy/Browser/wwwtax.cgi?mode=Info&amp;id=345164&amp;lvl=3&amp;lin=f&amp;keep=1&amp;srchmode=1&amp;unlock","345164")</f>
        <v>345164</v>
      </c>
      <c r="F463" t="s">
        <v>167</v>
      </c>
      <c r="G463" t="str">
        <f>HYPERLINK("http://www.ncbi.nlm.nih.gov/Taxonomy/Browser/wwwtax.cgi?mode=Info&amp;id=345164&amp;lvl=3&amp;lin=f&amp;keep=1&amp;srchmode=1&amp;unlock","Falco cherrug")</f>
        <v>Falco cherrug</v>
      </c>
      <c r="H463" t="s">
        <v>432</v>
      </c>
      <c r="I463" t="str">
        <f>HYPERLINK("http://www.ncbi.nlm.nih.gov/protein/XP_005446431.1","fatty acid-binding protein, liver")</f>
        <v>fatty acid-binding protein, liver</v>
      </c>
      <c r="J463" t="s">
        <v>1386</v>
      </c>
      <c r="K463" t="s">
        <v>25</v>
      </c>
      <c r="L463">
        <v>50</v>
      </c>
      <c r="M463" t="s">
        <v>1383</v>
      </c>
      <c r="N463" t="s">
        <v>25</v>
      </c>
      <c r="O463" t="s">
        <v>1355</v>
      </c>
      <c r="P463" t="s">
        <v>25</v>
      </c>
      <c r="Q463">
        <v>131.17500000000001</v>
      </c>
      <c r="R463" t="s">
        <v>25</v>
      </c>
      <c r="S463" t="s">
        <v>25</v>
      </c>
    </row>
    <row r="464" spans="1:19" x14ac:dyDescent="0.25">
      <c r="A464">
        <v>6</v>
      </c>
      <c r="B464" t="s">
        <v>167</v>
      </c>
      <c r="C464" t="str">
        <f>HYPERLINK("http://www.ncbi.nlm.nih.gov/protein/XP_040447347.1","XP_040447347.1")</f>
        <v>XP_040447347.1</v>
      </c>
      <c r="D464">
        <v>41476</v>
      </c>
      <c r="E464" t="str">
        <f>HYPERLINK("http://www.ncbi.nlm.nih.gov/Taxonomy/Browser/wwwtax.cgi?mode=Info&amp;id=148594&amp;lvl=3&amp;lin=f&amp;keep=1&amp;srchmode=1&amp;unlock","148594")</f>
        <v>148594</v>
      </c>
      <c r="F464" t="s">
        <v>167</v>
      </c>
      <c r="G464" t="str">
        <f>HYPERLINK("http://www.ncbi.nlm.nih.gov/Taxonomy/Browser/wwwtax.cgi?mode=Info&amp;id=148594&amp;lvl=3&amp;lin=f&amp;keep=1&amp;srchmode=1&amp;unlock","Falco naumanni")</f>
        <v>Falco naumanni</v>
      </c>
      <c r="H464" t="s">
        <v>433</v>
      </c>
      <c r="I464" t="str">
        <f>HYPERLINK("http://www.ncbi.nlm.nih.gov/protein/XP_040447347.1","fatty acid-binding protein, liver")</f>
        <v>fatty acid-binding protein, liver</v>
      </c>
      <c r="J464" t="s">
        <v>1386</v>
      </c>
      <c r="K464" t="s">
        <v>25</v>
      </c>
      <c r="L464">
        <v>50</v>
      </c>
      <c r="M464" t="s">
        <v>1383</v>
      </c>
      <c r="N464" t="s">
        <v>25</v>
      </c>
      <c r="O464" t="s">
        <v>1355</v>
      </c>
      <c r="P464" t="s">
        <v>25</v>
      </c>
      <c r="Q464">
        <v>131.17500000000001</v>
      </c>
      <c r="R464" t="s">
        <v>25</v>
      </c>
      <c r="S464" t="s">
        <v>25</v>
      </c>
    </row>
    <row r="465" spans="1:19" x14ac:dyDescent="0.25">
      <c r="A465">
        <v>6</v>
      </c>
      <c r="B465" t="s">
        <v>167</v>
      </c>
      <c r="C465" t="str">
        <f>HYPERLINK("http://www.ncbi.nlm.nih.gov/protein/NXE68482.1","NXE68482.1")</f>
        <v>NXE68482.1</v>
      </c>
      <c r="D465">
        <v>13710</v>
      </c>
      <c r="E465" t="str">
        <f>HYPERLINK("http://www.ncbi.nlm.nih.gov/Taxonomy/Browser/wwwtax.cgi?mode=Info&amp;id=198940&amp;lvl=3&amp;lin=f&amp;keep=1&amp;srchmode=1&amp;unlock","198940")</f>
        <v>198940</v>
      </c>
      <c r="F465" t="s">
        <v>167</v>
      </c>
      <c r="G465" t="str">
        <f>HYPERLINK("http://www.ncbi.nlm.nih.gov/Taxonomy/Browser/wwwtax.cgi?mode=Info&amp;id=198940&amp;lvl=3&amp;lin=f&amp;keep=1&amp;srchmode=1&amp;unlock","Calcarius ornatus")</f>
        <v>Calcarius ornatus</v>
      </c>
      <c r="H465" t="s">
        <v>206</v>
      </c>
      <c r="I465" t="str">
        <f>HYPERLINK("http://www.ncbi.nlm.nih.gov/protein/NXE68482.1","FABPL protein")</f>
        <v>FABPL protein</v>
      </c>
      <c r="J465" t="s">
        <v>1386</v>
      </c>
      <c r="K465" t="s">
        <v>25</v>
      </c>
      <c r="L465">
        <v>50</v>
      </c>
      <c r="M465" t="s">
        <v>1383</v>
      </c>
      <c r="N465" t="s">
        <v>25</v>
      </c>
      <c r="O465" t="s">
        <v>1355</v>
      </c>
      <c r="P465" t="s">
        <v>25</v>
      </c>
      <c r="Q465">
        <v>131.17500000000001</v>
      </c>
      <c r="R465" t="s">
        <v>25</v>
      </c>
      <c r="S465" t="s">
        <v>25</v>
      </c>
    </row>
    <row r="466" spans="1:19" x14ac:dyDescent="0.25">
      <c r="A466">
        <v>6</v>
      </c>
      <c r="B466" t="s">
        <v>167</v>
      </c>
      <c r="C466" t="str">
        <f>HYPERLINK("http://www.ncbi.nlm.nih.gov/protein/NXK61331.1","NXK61331.1")</f>
        <v>NXK61331.1</v>
      </c>
      <c r="D466">
        <v>13823</v>
      </c>
      <c r="E466" t="str">
        <f>HYPERLINK("http://www.ncbi.nlm.nih.gov/Taxonomy/Browser/wwwtax.cgi?mode=Info&amp;id=208069&amp;lvl=3&amp;lin=f&amp;keep=1&amp;srchmode=1&amp;unlock","208069")</f>
        <v>208069</v>
      </c>
      <c r="F466" t="s">
        <v>167</v>
      </c>
      <c r="G466" t="str">
        <f>HYPERLINK("http://www.ncbi.nlm.nih.gov/Taxonomy/Browser/wwwtax.cgi?mode=Info&amp;id=208069&amp;lvl=3&amp;lin=f&amp;keep=1&amp;srchmode=1&amp;unlock","Sylvietta virens")</f>
        <v>Sylvietta virens</v>
      </c>
      <c r="H466" t="s">
        <v>434</v>
      </c>
      <c r="I466" t="str">
        <f>HYPERLINK("http://www.ncbi.nlm.nih.gov/protein/NXK61331.1","FABPL protein")</f>
        <v>FABPL protein</v>
      </c>
      <c r="J466" t="s">
        <v>1386</v>
      </c>
      <c r="K466" t="s">
        <v>25</v>
      </c>
      <c r="L466">
        <v>50</v>
      </c>
      <c r="M466" t="s">
        <v>1383</v>
      </c>
      <c r="N466" t="s">
        <v>25</v>
      </c>
      <c r="O466" t="s">
        <v>1355</v>
      </c>
      <c r="P466" t="s">
        <v>25</v>
      </c>
      <c r="Q466">
        <v>131.17500000000001</v>
      </c>
      <c r="R466" t="s">
        <v>25</v>
      </c>
      <c r="S466" t="s">
        <v>25</v>
      </c>
    </row>
    <row r="467" spans="1:19" x14ac:dyDescent="0.25">
      <c r="A467">
        <v>6</v>
      </c>
      <c r="B467" t="s">
        <v>167</v>
      </c>
      <c r="C467" t="str">
        <f>HYPERLINK("http://www.ncbi.nlm.nih.gov/protein/XP_005229910.1","XP_005229910.1")</f>
        <v>XP_005229910.1</v>
      </c>
      <c r="D467">
        <v>31321</v>
      </c>
      <c r="E467" t="str">
        <f>HYPERLINK("http://www.ncbi.nlm.nih.gov/Taxonomy/Browser/wwwtax.cgi?mode=Info&amp;id=8954&amp;lvl=3&amp;lin=f&amp;keep=1&amp;srchmode=1&amp;unlock","8954")</f>
        <v>8954</v>
      </c>
      <c r="F467" t="s">
        <v>167</v>
      </c>
      <c r="G467" t="str">
        <f>HYPERLINK("http://www.ncbi.nlm.nih.gov/Taxonomy/Browser/wwwtax.cgi?mode=Info&amp;id=8954&amp;lvl=3&amp;lin=f&amp;keep=1&amp;srchmode=1&amp;unlock","Falco peregrinus")</f>
        <v>Falco peregrinus</v>
      </c>
      <c r="H467" t="s">
        <v>435</v>
      </c>
      <c r="I467" t="str">
        <f>HYPERLINK("http://www.ncbi.nlm.nih.gov/protein/XP_005229910.1","fatty acid-binding protein, liver")</f>
        <v>fatty acid-binding protein, liver</v>
      </c>
      <c r="J467" t="s">
        <v>1386</v>
      </c>
      <c r="K467" t="s">
        <v>25</v>
      </c>
      <c r="L467">
        <v>50</v>
      </c>
      <c r="M467" t="s">
        <v>1383</v>
      </c>
      <c r="N467" t="s">
        <v>25</v>
      </c>
      <c r="O467" t="s">
        <v>1355</v>
      </c>
      <c r="P467" t="s">
        <v>25</v>
      </c>
      <c r="Q467">
        <v>131.17500000000001</v>
      </c>
      <c r="R467" t="s">
        <v>25</v>
      </c>
      <c r="S467" t="s">
        <v>25</v>
      </c>
    </row>
    <row r="468" spans="1:19" x14ac:dyDescent="0.25">
      <c r="A468">
        <v>6</v>
      </c>
      <c r="B468" t="s">
        <v>167</v>
      </c>
      <c r="C468" t="str">
        <f>HYPERLINK("http://www.ncbi.nlm.nih.gov/protein/NXF77255.1","NXF77255.1")</f>
        <v>NXF77255.1</v>
      </c>
      <c r="D468">
        <v>14134</v>
      </c>
      <c r="E468" t="str">
        <f>HYPERLINK("http://www.ncbi.nlm.nih.gov/Taxonomy/Browser/wwwtax.cgi?mode=Info&amp;id=265632&amp;lvl=3&amp;lin=f&amp;keep=1&amp;srchmode=1&amp;unlock","265632")</f>
        <v>265632</v>
      </c>
      <c r="F468" t="s">
        <v>167</v>
      </c>
      <c r="G468" t="str">
        <f>HYPERLINK("http://www.ncbi.nlm.nih.gov/Taxonomy/Browser/wwwtax.cgi?mode=Info&amp;id=265632&amp;lvl=3&amp;lin=f&amp;keep=1&amp;srchmode=1&amp;unlock","Sclerurus mexicanus")</f>
        <v>Sclerurus mexicanus</v>
      </c>
      <c r="H468" t="s">
        <v>436</v>
      </c>
      <c r="I468" t="str">
        <f>HYPERLINK("http://www.ncbi.nlm.nih.gov/protein/NXF77255.1","FABPL protein")</f>
        <v>FABPL protein</v>
      </c>
      <c r="J468" t="s">
        <v>1386</v>
      </c>
      <c r="K468" t="s">
        <v>25</v>
      </c>
      <c r="L468">
        <v>50</v>
      </c>
      <c r="M468" t="s">
        <v>1379</v>
      </c>
      <c r="N468" t="s">
        <v>25</v>
      </c>
      <c r="O468" t="s">
        <v>1355</v>
      </c>
      <c r="P468" t="s">
        <v>25</v>
      </c>
      <c r="Q468">
        <v>117.148</v>
      </c>
      <c r="R468" t="s">
        <v>25</v>
      </c>
      <c r="S468" t="s">
        <v>25</v>
      </c>
    </row>
    <row r="469" spans="1:19" x14ac:dyDescent="0.25">
      <c r="A469">
        <v>6</v>
      </c>
      <c r="B469" t="s">
        <v>167</v>
      </c>
      <c r="C469" t="str">
        <f>HYPERLINK("http://www.ncbi.nlm.nih.gov/protein/XP_037243286.1","XP_037243286.1")</f>
        <v>XP_037243286.1</v>
      </c>
      <c r="D469">
        <v>41450</v>
      </c>
      <c r="E469" t="str">
        <f>HYPERLINK("http://www.ncbi.nlm.nih.gov/Taxonomy/Browser/wwwtax.cgi?mode=Info&amp;id=120794&amp;lvl=3&amp;lin=f&amp;keep=1&amp;srchmode=1&amp;unlock","120794")</f>
        <v>120794</v>
      </c>
      <c r="F469" t="s">
        <v>167</v>
      </c>
      <c r="G469" t="str">
        <f>HYPERLINK("http://www.ncbi.nlm.nih.gov/Taxonomy/Browser/wwwtax.cgi?mode=Info&amp;id=120794&amp;lvl=3&amp;lin=f&amp;keep=1&amp;srchmode=1&amp;unlock","Falco rusticolus")</f>
        <v>Falco rusticolus</v>
      </c>
      <c r="H469" t="s">
        <v>437</v>
      </c>
      <c r="I469" t="str">
        <f>HYPERLINK("http://www.ncbi.nlm.nih.gov/protein/XP_037243286.1","fatty acid-binding protein, liver")</f>
        <v>fatty acid-binding protein, liver</v>
      </c>
      <c r="J469" t="s">
        <v>1386</v>
      </c>
      <c r="K469" t="s">
        <v>25</v>
      </c>
      <c r="L469">
        <v>50</v>
      </c>
      <c r="M469" t="s">
        <v>1383</v>
      </c>
      <c r="N469" t="s">
        <v>25</v>
      </c>
      <c r="O469" t="s">
        <v>1355</v>
      </c>
      <c r="P469" t="s">
        <v>25</v>
      </c>
      <c r="Q469">
        <v>131.17500000000001</v>
      </c>
      <c r="R469" t="s">
        <v>25</v>
      </c>
      <c r="S469" t="s">
        <v>25</v>
      </c>
    </row>
    <row r="470" spans="1:19" x14ac:dyDescent="0.25">
      <c r="A470">
        <v>6</v>
      </c>
      <c r="B470" t="s">
        <v>167</v>
      </c>
      <c r="C470" t="str">
        <f>HYPERLINK("http://www.ncbi.nlm.nih.gov/protein/NWT93831.1","NWT93831.1")</f>
        <v>NWT93831.1</v>
      </c>
      <c r="D470">
        <v>13723</v>
      </c>
      <c r="E470" t="str">
        <f>HYPERLINK("http://www.ncbi.nlm.nih.gov/Taxonomy/Browser/wwwtax.cgi?mode=Info&amp;id=571890&amp;lvl=3&amp;lin=f&amp;keep=1&amp;srchmode=1&amp;unlock","571890")</f>
        <v>571890</v>
      </c>
      <c r="F470" t="s">
        <v>167</v>
      </c>
      <c r="G470" t="str">
        <f>HYPERLINK("http://www.ncbi.nlm.nih.gov/Taxonomy/Browser/wwwtax.cgi?mode=Info&amp;id=571890&amp;lvl=3&amp;lin=f&amp;keep=1&amp;srchmode=1&amp;unlock","Urocynchramus pylzowi")</f>
        <v>Urocynchramus pylzowi</v>
      </c>
      <c r="H470" t="s">
        <v>206</v>
      </c>
      <c r="I470" t="str">
        <f>HYPERLINK("http://www.ncbi.nlm.nih.gov/protein/NWT93831.1","FABPL protein")</f>
        <v>FABPL protein</v>
      </c>
      <c r="J470" t="s">
        <v>1386</v>
      </c>
      <c r="K470" t="s">
        <v>25</v>
      </c>
      <c r="L470">
        <v>50</v>
      </c>
      <c r="M470" t="s">
        <v>1383</v>
      </c>
      <c r="N470" t="s">
        <v>25</v>
      </c>
      <c r="O470" t="s">
        <v>1355</v>
      </c>
      <c r="P470" t="s">
        <v>25</v>
      </c>
      <c r="Q470">
        <v>131.17500000000001</v>
      </c>
      <c r="R470" t="s">
        <v>25</v>
      </c>
      <c r="S470" t="s">
        <v>25</v>
      </c>
    </row>
    <row r="471" spans="1:19" x14ac:dyDescent="0.25">
      <c r="A471">
        <v>6</v>
      </c>
      <c r="B471" t="s">
        <v>167</v>
      </c>
      <c r="C471" t="str">
        <f>HYPERLINK("http://www.ncbi.nlm.nih.gov/protein/NXT62212.1","NXT62212.1")</f>
        <v>NXT62212.1</v>
      </c>
      <c r="D471">
        <v>13266</v>
      </c>
      <c r="E471" t="str">
        <f>HYPERLINK("http://www.ncbi.nlm.nih.gov/Taxonomy/Browser/wwwtax.cgi?mode=Info&amp;id=221966&amp;lvl=3&amp;lin=f&amp;keep=1&amp;srchmode=1&amp;unlock","221966")</f>
        <v>221966</v>
      </c>
      <c r="F471" t="s">
        <v>167</v>
      </c>
      <c r="G471" t="str">
        <f>HYPERLINK("http://www.ncbi.nlm.nih.gov/Taxonomy/Browser/wwwtax.cgi?mode=Info&amp;id=221966&amp;lvl=3&amp;lin=f&amp;keep=1&amp;srchmode=1&amp;unlock","Chaetops frenatus")</f>
        <v>Chaetops frenatus</v>
      </c>
      <c r="H471" t="s">
        <v>438</v>
      </c>
      <c r="I471" t="str">
        <f>HYPERLINK("http://www.ncbi.nlm.nih.gov/protein/NXT62212.1","FABPL protein")</f>
        <v>FABPL protein</v>
      </c>
      <c r="J471" t="s">
        <v>1386</v>
      </c>
      <c r="K471" t="s">
        <v>25</v>
      </c>
      <c r="L471">
        <v>50</v>
      </c>
      <c r="M471" t="s">
        <v>1379</v>
      </c>
      <c r="N471" t="s">
        <v>25</v>
      </c>
      <c r="O471" t="s">
        <v>1355</v>
      </c>
      <c r="P471" t="s">
        <v>25</v>
      </c>
      <c r="Q471">
        <v>117.148</v>
      </c>
      <c r="R471" t="s">
        <v>25</v>
      </c>
      <c r="S471" t="s">
        <v>25</v>
      </c>
    </row>
    <row r="472" spans="1:19" x14ac:dyDescent="0.25">
      <c r="A472">
        <v>6</v>
      </c>
      <c r="B472" t="s">
        <v>167</v>
      </c>
      <c r="C472" t="str">
        <f>HYPERLINK("http://www.ncbi.nlm.nih.gov/protein/NWR85746.1","NWR85746.1")</f>
        <v>NWR85746.1</v>
      </c>
      <c r="D472">
        <v>13898</v>
      </c>
      <c r="E472" t="str">
        <f>HYPERLINK("http://www.ncbi.nlm.nih.gov/Taxonomy/Browser/wwwtax.cgi?mode=Info&amp;id=463165&amp;lvl=3&amp;lin=f&amp;keep=1&amp;srchmode=1&amp;unlock","463165")</f>
        <v>463165</v>
      </c>
      <c r="F472" t="s">
        <v>167</v>
      </c>
      <c r="G472" t="str">
        <f>HYPERLINK("http://www.ncbi.nlm.nih.gov/Taxonomy/Browser/wwwtax.cgi?mode=Info&amp;id=463165&amp;lvl=3&amp;lin=f&amp;keep=1&amp;srchmode=1&amp;unlock","Furnarius figulus")</f>
        <v>Furnarius figulus</v>
      </c>
      <c r="H472" t="s">
        <v>206</v>
      </c>
      <c r="I472" t="str">
        <f>HYPERLINK("http://www.ncbi.nlm.nih.gov/protein/NWR85746.1","FABPL protein")</f>
        <v>FABPL protein</v>
      </c>
      <c r="J472" t="s">
        <v>1386</v>
      </c>
      <c r="K472" t="s">
        <v>25</v>
      </c>
      <c r="L472">
        <v>50</v>
      </c>
      <c r="M472" t="s">
        <v>1379</v>
      </c>
      <c r="N472" t="s">
        <v>25</v>
      </c>
      <c r="O472" t="s">
        <v>1355</v>
      </c>
      <c r="P472" t="s">
        <v>25</v>
      </c>
      <c r="Q472">
        <v>117.148</v>
      </c>
      <c r="R472" t="s">
        <v>25</v>
      </c>
      <c r="S472" t="s">
        <v>25</v>
      </c>
    </row>
    <row r="473" spans="1:19" x14ac:dyDescent="0.25">
      <c r="A473">
        <v>6</v>
      </c>
      <c r="B473" t="s">
        <v>167</v>
      </c>
      <c r="C473" t="str">
        <f>HYPERLINK("http://www.ncbi.nlm.nih.gov/protein/NXR47844.1","NXR47844.1")</f>
        <v>NXR47844.1</v>
      </c>
      <c r="D473">
        <v>13717</v>
      </c>
      <c r="E473" t="str">
        <f>HYPERLINK("http://www.ncbi.nlm.nih.gov/Taxonomy/Browser/wwwtax.cgi?mode=Info&amp;id=68497&amp;lvl=3&amp;lin=f&amp;keep=1&amp;srchmode=1&amp;unlock","68497")</f>
        <v>68497</v>
      </c>
      <c r="F473" t="s">
        <v>167</v>
      </c>
      <c r="G473" t="str">
        <f>HYPERLINK("http://www.ncbi.nlm.nih.gov/Taxonomy/Browser/wwwtax.cgi?mode=Info&amp;id=68497&amp;lvl=3&amp;lin=f&amp;keep=1&amp;srchmode=1&amp;unlock","Hippolais icterina")</f>
        <v>Hippolais icterina</v>
      </c>
      <c r="H473" t="s">
        <v>440</v>
      </c>
      <c r="I473" t="str">
        <f>HYPERLINK("http://www.ncbi.nlm.nih.gov/protein/NXR47844.1","FABPL protein")</f>
        <v>FABPL protein</v>
      </c>
      <c r="J473" t="s">
        <v>1386</v>
      </c>
      <c r="K473" t="s">
        <v>25</v>
      </c>
      <c r="L473">
        <v>50</v>
      </c>
      <c r="M473" t="s">
        <v>1379</v>
      </c>
      <c r="N473" t="s">
        <v>25</v>
      </c>
      <c r="O473" t="s">
        <v>1355</v>
      </c>
      <c r="P473" t="s">
        <v>25</v>
      </c>
      <c r="Q473">
        <v>117.148</v>
      </c>
      <c r="R473" t="s">
        <v>25</v>
      </c>
      <c r="S473" t="s">
        <v>25</v>
      </c>
    </row>
    <row r="474" spans="1:19" x14ac:dyDescent="0.25">
      <c r="A474">
        <v>6</v>
      </c>
      <c r="B474" t="s">
        <v>167</v>
      </c>
      <c r="C474" t="str">
        <f>HYPERLINK("http://www.ncbi.nlm.nih.gov/protein/NWI58476.1","NWI58476.1")</f>
        <v>NWI58476.1</v>
      </c>
      <c r="D474">
        <v>13255</v>
      </c>
      <c r="E474" t="str">
        <f>HYPERLINK("http://www.ncbi.nlm.nih.gov/Taxonomy/Browser/wwwtax.cgi?mode=Info&amp;id=135972&amp;lvl=3&amp;lin=f&amp;keep=1&amp;srchmode=1&amp;unlock","135972")</f>
        <v>135972</v>
      </c>
      <c r="F474" t="s">
        <v>167</v>
      </c>
      <c r="G474" t="str">
        <f>HYPERLINK("http://www.ncbi.nlm.nih.gov/Taxonomy/Browser/wwwtax.cgi?mode=Info&amp;id=135972&amp;lvl=3&amp;lin=f&amp;keep=1&amp;srchmode=1&amp;unlock","Calyptomena viridis")</f>
        <v>Calyptomena viridis</v>
      </c>
      <c r="H474" t="s">
        <v>441</v>
      </c>
      <c r="I474" t="str">
        <f>HYPERLINK("http://www.ncbi.nlm.nih.gov/protein/NWI58476.1","FABPL protein")</f>
        <v>FABPL protein</v>
      </c>
      <c r="J474" t="s">
        <v>1386</v>
      </c>
      <c r="K474" t="s">
        <v>25</v>
      </c>
      <c r="L474">
        <v>50</v>
      </c>
      <c r="M474" t="s">
        <v>1383</v>
      </c>
      <c r="N474" t="s">
        <v>25</v>
      </c>
      <c r="O474" t="s">
        <v>1355</v>
      </c>
      <c r="P474" t="s">
        <v>25</v>
      </c>
      <c r="Q474">
        <v>131.17500000000001</v>
      </c>
      <c r="R474" t="s">
        <v>25</v>
      </c>
      <c r="S474" t="s">
        <v>25</v>
      </c>
    </row>
    <row r="475" spans="1:19" x14ac:dyDescent="0.25">
      <c r="A475">
        <v>6</v>
      </c>
      <c r="B475" t="s">
        <v>167</v>
      </c>
      <c r="C475" t="str">
        <f>HYPERLINK("http://www.ncbi.nlm.nih.gov/protein/NWY74904.1","NWY74904.1")</f>
        <v>NWY74904.1</v>
      </c>
      <c r="D475">
        <v>13909</v>
      </c>
      <c r="E475" t="str">
        <f>HYPERLINK("http://www.ncbi.nlm.nih.gov/Taxonomy/Browser/wwwtax.cgi?mode=Info&amp;id=37610&amp;lvl=3&amp;lin=f&amp;keep=1&amp;srchmode=1&amp;unlock","37610")</f>
        <v>37610</v>
      </c>
      <c r="F475" t="s">
        <v>167</v>
      </c>
      <c r="G475" t="str">
        <f>HYPERLINK("http://www.ncbi.nlm.nih.gov/Taxonomy/Browser/wwwtax.cgi?mode=Info&amp;id=37610&amp;lvl=3&amp;lin=f&amp;keep=1&amp;srchmode=1&amp;unlock","Erithacus rubecula")</f>
        <v>Erithacus rubecula</v>
      </c>
      <c r="H475" t="s">
        <v>442</v>
      </c>
      <c r="I475" t="str">
        <f>HYPERLINK("http://www.ncbi.nlm.nih.gov/protein/NWY74904.1","FABPL protein")</f>
        <v>FABPL protein</v>
      </c>
      <c r="J475" t="s">
        <v>1386</v>
      </c>
      <c r="K475" t="s">
        <v>25</v>
      </c>
      <c r="L475">
        <v>50</v>
      </c>
      <c r="M475" t="s">
        <v>1379</v>
      </c>
      <c r="N475" t="s">
        <v>25</v>
      </c>
      <c r="O475" t="s">
        <v>1355</v>
      </c>
      <c r="P475" t="s">
        <v>25</v>
      </c>
      <c r="Q475">
        <v>117.148</v>
      </c>
      <c r="R475" t="s">
        <v>25</v>
      </c>
      <c r="S475" t="s">
        <v>25</v>
      </c>
    </row>
    <row r="476" spans="1:19" x14ac:dyDescent="0.25">
      <c r="A476">
        <v>6</v>
      </c>
      <c r="B476" t="s">
        <v>167</v>
      </c>
      <c r="C476" t="str">
        <f>HYPERLINK("http://www.ncbi.nlm.nih.gov/protein/NWZ61713.1","NWZ61713.1")</f>
        <v>NWZ61713.1</v>
      </c>
      <c r="D476">
        <v>14269</v>
      </c>
      <c r="E476" t="str">
        <f>HYPERLINK("http://www.ncbi.nlm.nih.gov/Taxonomy/Browser/wwwtax.cgi?mode=Info&amp;id=39621&amp;lvl=3&amp;lin=f&amp;keep=1&amp;srchmode=1&amp;unlock","39621")</f>
        <v>39621</v>
      </c>
      <c r="F476" t="s">
        <v>167</v>
      </c>
      <c r="G476" t="str">
        <f>HYPERLINK("http://www.ncbi.nlm.nih.gov/Taxonomy/Browser/wwwtax.cgi?mode=Info&amp;id=39621&amp;lvl=3&amp;lin=f&amp;keep=1&amp;srchmode=1&amp;unlock","Acrocephalus arundinaceus")</f>
        <v>Acrocephalus arundinaceus</v>
      </c>
      <c r="H476" t="s">
        <v>439</v>
      </c>
      <c r="I476" t="str">
        <f>HYPERLINK("http://www.ncbi.nlm.nih.gov/protein/NWZ61713.1","FABPL protein")</f>
        <v>FABPL protein</v>
      </c>
      <c r="J476" t="s">
        <v>1386</v>
      </c>
      <c r="K476" t="s">
        <v>25</v>
      </c>
      <c r="L476">
        <v>50</v>
      </c>
      <c r="M476" t="s">
        <v>1379</v>
      </c>
      <c r="N476" t="s">
        <v>25</v>
      </c>
      <c r="O476" t="s">
        <v>1355</v>
      </c>
      <c r="P476" t="s">
        <v>25</v>
      </c>
      <c r="Q476">
        <v>117.148</v>
      </c>
      <c r="R476" t="s">
        <v>25</v>
      </c>
      <c r="S476" t="s">
        <v>25</v>
      </c>
    </row>
    <row r="477" spans="1:19" x14ac:dyDescent="0.25">
      <c r="A477">
        <v>6</v>
      </c>
      <c r="B477" t="s">
        <v>167</v>
      </c>
      <c r="C477" t="str">
        <f>HYPERLINK("http://www.ncbi.nlm.nih.gov/protein/XP_021391415.1","XP_021391415.1")</f>
        <v>XP_021391415.1</v>
      </c>
      <c r="D477">
        <v>43851</v>
      </c>
      <c r="E477" t="str">
        <f>HYPERLINK("http://www.ncbi.nlm.nih.gov/Taxonomy/Browser/wwwtax.cgi?mode=Info&amp;id=299123&amp;lvl=3&amp;lin=f&amp;keep=1&amp;srchmode=1&amp;unlock","299123")</f>
        <v>299123</v>
      </c>
      <c r="F477" t="s">
        <v>167</v>
      </c>
      <c r="G477" t="str">
        <f>HYPERLINK("http://www.ncbi.nlm.nih.gov/Taxonomy/Browser/wwwtax.cgi?mode=Info&amp;id=299123&amp;lvl=3&amp;lin=f&amp;keep=1&amp;srchmode=1&amp;unlock","Lonchura striata domestica")</f>
        <v>Lonchura striata domestica</v>
      </c>
      <c r="H477" t="s">
        <v>447</v>
      </c>
      <c r="I477" t="str">
        <f>HYPERLINK("http://www.ncbi.nlm.nih.gov/protein/XP_021391415.1","fatty acid-binding protein, liver")</f>
        <v>fatty acid-binding protein, liver</v>
      </c>
      <c r="J477" t="s">
        <v>1386</v>
      </c>
      <c r="K477" t="s">
        <v>25</v>
      </c>
      <c r="L477">
        <v>50</v>
      </c>
      <c r="M477" t="s">
        <v>1383</v>
      </c>
      <c r="N477" t="s">
        <v>25</v>
      </c>
      <c r="O477" t="s">
        <v>1355</v>
      </c>
      <c r="P477" t="s">
        <v>25</v>
      </c>
      <c r="Q477">
        <v>131.17500000000001</v>
      </c>
      <c r="R477" t="s">
        <v>25</v>
      </c>
      <c r="S477" t="s">
        <v>25</v>
      </c>
    </row>
    <row r="478" spans="1:19" x14ac:dyDescent="0.25">
      <c r="A478">
        <v>6</v>
      </c>
      <c r="B478" t="s">
        <v>167</v>
      </c>
      <c r="C478" t="str">
        <f>HYPERLINK("http://www.ncbi.nlm.nih.gov/protein/XP_015481243.1","XP_015481243.1")</f>
        <v>XP_015481243.1</v>
      </c>
      <c r="D478">
        <v>39858</v>
      </c>
      <c r="E478" t="str">
        <f>HYPERLINK("http://www.ncbi.nlm.nih.gov/Taxonomy/Browser/wwwtax.cgi?mode=Info&amp;id=9157&amp;lvl=3&amp;lin=f&amp;keep=1&amp;srchmode=1&amp;unlock","9157")</f>
        <v>9157</v>
      </c>
      <c r="F478" t="s">
        <v>167</v>
      </c>
      <c r="G478" t="str">
        <f>HYPERLINK("http://www.ncbi.nlm.nih.gov/Taxonomy/Browser/wwwtax.cgi?mode=Info&amp;id=9157&amp;lvl=3&amp;lin=f&amp;keep=1&amp;srchmode=1&amp;unlock","Parus major")</f>
        <v>Parus major</v>
      </c>
      <c r="H478" t="s">
        <v>448</v>
      </c>
      <c r="I478" t="str">
        <f>HYPERLINK("http://www.ncbi.nlm.nih.gov/protein/XP_015481243.1","fatty acid-binding protein, liver")</f>
        <v>fatty acid-binding protein, liver</v>
      </c>
      <c r="J478" t="s">
        <v>1386</v>
      </c>
      <c r="K478" t="s">
        <v>25</v>
      </c>
      <c r="L478">
        <v>50</v>
      </c>
      <c r="M478" t="s">
        <v>1379</v>
      </c>
      <c r="N478" t="s">
        <v>25</v>
      </c>
      <c r="O478" t="s">
        <v>1355</v>
      </c>
      <c r="P478" t="s">
        <v>25</v>
      </c>
      <c r="Q478">
        <v>117.148</v>
      </c>
      <c r="R478" t="s">
        <v>25</v>
      </c>
      <c r="S478" t="s">
        <v>25</v>
      </c>
    </row>
    <row r="479" spans="1:19" x14ac:dyDescent="0.25">
      <c r="A479">
        <v>6</v>
      </c>
      <c r="B479" t="s">
        <v>167</v>
      </c>
      <c r="C479" t="str">
        <f>HYPERLINK("http://www.ncbi.nlm.nih.gov/protein/NXB74913.1","NXB74913.1")</f>
        <v>NXB74913.1</v>
      </c>
      <c r="D479">
        <v>13760</v>
      </c>
      <c r="E479" t="str">
        <f>HYPERLINK("http://www.ncbi.nlm.nih.gov/Taxonomy/Browser/wwwtax.cgi?mode=Info&amp;id=237420&amp;lvl=3&amp;lin=f&amp;keep=1&amp;srchmode=1&amp;unlock","237420")</f>
        <v>237420</v>
      </c>
      <c r="F479" t="s">
        <v>167</v>
      </c>
      <c r="G479" t="str">
        <f>HYPERLINK("http://www.ncbi.nlm.nih.gov/Taxonomy/Browser/wwwtax.cgi?mode=Info&amp;id=237420&amp;lvl=3&amp;lin=f&amp;keep=1&amp;srchmode=1&amp;unlock","Donacobius atricapilla")</f>
        <v>Donacobius atricapilla</v>
      </c>
      <c r="H479" t="s">
        <v>206</v>
      </c>
      <c r="I479" t="str">
        <f>HYPERLINK("http://www.ncbi.nlm.nih.gov/protein/NXB74913.1","FABPL protein")</f>
        <v>FABPL protein</v>
      </c>
      <c r="J479" t="s">
        <v>1386</v>
      </c>
      <c r="K479" t="s">
        <v>25</v>
      </c>
      <c r="L479">
        <v>50</v>
      </c>
      <c r="M479" t="s">
        <v>1383</v>
      </c>
      <c r="N479" t="s">
        <v>25</v>
      </c>
      <c r="O479" t="s">
        <v>1355</v>
      </c>
      <c r="P479" t="s">
        <v>25</v>
      </c>
      <c r="Q479">
        <v>131.17500000000001</v>
      </c>
      <c r="R479" t="s">
        <v>25</v>
      </c>
      <c r="S479" t="s">
        <v>25</v>
      </c>
    </row>
    <row r="480" spans="1:19" x14ac:dyDescent="0.25">
      <c r="A480">
        <v>6</v>
      </c>
      <c r="B480" t="s">
        <v>167</v>
      </c>
      <c r="C480" t="str">
        <f>HYPERLINK("http://www.ncbi.nlm.nih.gov/protein/NXM66314.1","NXM66314.1")</f>
        <v>NXM66314.1</v>
      </c>
      <c r="D480">
        <v>14138</v>
      </c>
      <c r="E480" t="str">
        <f>HYPERLINK("http://www.ncbi.nlm.nih.gov/Taxonomy/Browser/wwwtax.cgi?mode=Info&amp;id=239386&amp;lvl=3&amp;lin=f&amp;keep=1&amp;srchmode=1&amp;unlock","239386")</f>
        <v>239386</v>
      </c>
      <c r="F480" t="s">
        <v>167</v>
      </c>
      <c r="G480" t="str">
        <f>HYPERLINK("http://www.ncbi.nlm.nih.gov/Taxonomy/Browser/wwwtax.cgi?mode=Info&amp;id=239386&amp;lvl=3&amp;lin=f&amp;keep=1&amp;srchmode=1&amp;unlock","Serilophus lunatus")</f>
        <v>Serilophus lunatus</v>
      </c>
      <c r="H480" t="s">
        <v>443</v>
      </c>
      <c r="I480" t="str">
        <f>HYPERLINK("http://www.ncbi.nlm.nih.gov/protein/NXM66314.1","FABPL protein")</f>
        <v>FABPL protein</v>
      </c>
      <c r="J480" t="s">
        <v>1386</v>
      </c>
      <c r="K480" t="s">
        <v>25</v>
      </c>
      <c r="L480">
        <v>50</v>
      </c>
      <c r="M480" t="s">
        <v>1379</v>
      </c>
      <c r="N480" t="s">
        <v>25</v>
      </c>
      <c r="O480" t="s">
        <v>1355</v>
      </c>
      <c r="P480" t="s">
        <v>25</v>
      </c>
      <c r="Q480">
        <v>117.148</v>
      </c>
      <c r="R480" t="s">
        <v>25</v>
      </c>
      <c r="S480" t="s">
        <v>25</v>
      </c>
    </row>
    <row r="481" spans="1:19" x14ac:dyDescent="0.25">
      <c r="A481">
        <v>6</v>
      </c>
      <c r="B481" t="s">
        <v>167</v>
      </c>
      <c r="C481" t="str">
        <f>HYPERLINK("http://www.ncbi.nlm.nih.gov/protein/NWY89422.1","NWY89422.1")</f>
        <v>NWY89422.1</v>
      </c>
      <c r="D481">
        <v>12391</v>
      </c>
      <c r="E481" t="str">
        <f>HYPERLINK("http://www.ncbi.nlm.nih.gov/Taxonomy/Browser/wwwtax.cgi?mode=Info&amp;id=468512&amp;lvl=3&amp;lin=f&amp;keep=1&amp;srchmode=1&amp;unlock","468512")</f>
        <v>468512</v>
      </c>
      <c r="F481" t="s">
        <v>167</v>
      </c>
      <c r="G481" t="str">
        <f>HYPERLINK("http://www.ncbi.nlm.nih.gov/Taxonomy/Browser/wwwtax.cgi?mode=Info&amp;id=468512&amp;lvl=3&amp;lin=f&amp;keep=1&amp;srchmode=1&amp;unlock","Rhegmatorhina hoffmannsi")</f>
        <v>Rhegmatorhina hoffmannsi</v>
      </c>
      <c r="H481" t="s">
        <v>444</v>
      </c>
      <c r="I481" t="str">
        <f>HYPERLINK("http://www.ncbi.nlm.nih.gov/protein/NWY89422.1","FABPL protein")</f>
        <v>FABPL protein</v>
      </c>
      <c r="J481" t="s">
        <v>1386</v>
      </c>
      <c r="K481" t="s">
        <v>25</v>
      </c>
      <c r="L481">
        <v>50</v>
      </c>
      <c r="M481" t="s">
        <v>1379</v>
      </c>
      <c r="N481" t="s">
        <v>25</v>
      </c>
      <c r="O481" t="s">
        <v>1355</v>
      </c>
      <c r="P481" t="s">
        <v>25</v>
      </c>
      <c r="Q481">
        <v>117.148</v>
      </c>
      <c r="R481" t="s">
        <v>25</v>
      </c>
      <c r="S481" t="s">
        <v>25</v>
      </c>
    </row>
    <row r="482" spans="1:19" x14ac:dyDescent="0.25">
      <c r="A482">
        <v>6</v>
      </c>
      <c r="B482" t="s">
        <v>167</v>
      </c>
      <c r="C482" t="str">
        <f>HYPERLINK("http://www.ncbi.nlm.nih.gov/protein/KQK83089.1","KQK83089.1")</f>
        <v>KQK83089.1</v>
      </c>
      <c r="D482">
        <v>16224</v>
      </c>
      <c r="E482" t="str">
        <f>HYPERLINK("http://www.ncbi.nlm.nih.gov/Taxonomy/Browser/wwwtax.cgi?mode=Info&amp;id=12930&amp;lvl=3&amp;lin=f&amp;keep=1&amp;srchmode=1&amp;unlock","12930")</f>
        <v>12930</v>
      </c>
      <c r="F482" t="s">
        <v>167</v>
      </c>
      <c r="G482" t="str">
        <f>HYPERLINK("http://www.ncbi.nlm.nih.gov/Taxonomy/Browser/wwwtax.cgi?mode=Info&amp;id=12930&amp;lvl=3&amp;lin=f&amp;keep=1&amp;srchmode=1&amp;unlock","Amazona aestiva")</f>
        <v>Amazona aestiva</v>
      </c>
      <c r="H482" t="s">
        <v>445</v>
      </c>
      <c r="I482" t="str">
        <f>HYPERLINK("http://www.ncbi.nlm.nih.gov/protein/KQK83089.1","fatty acid-binding protein, liver")</f>
        <v>fatty acid-binding protein, liver</v>
      </c>
      <c r="J482" t="s">
        <v>1386</v>
      </c>
      <c r="K482" t="s">
        <v>25</v>
      </c>
      <c r="L482">
        <v>87</v>
      </c>
      <c r="M482" t="s">
        <v>1383</v>
      </c>
      <c r="N482" t="s">
        <v>25</v>
      </c>
      <c r="O482" t="s">
        <v>1355</v>
      </c>
      <c r="P482" t="s">
        <v>25</v>
      </c>
      <c r="Q482">
        <v>131.17500000000001</v>
      </c>
      <c r="R482" t="s">
        <v>25</v>
      </c>
      <c r="S482" t="s">
        <v>25</v>
      </c>
    </row>
    <row r="483" spans="1:19" x14ac:dyDescent="0.25">
      <c r="A483">
        <v>6</v>
      </c>
      <c r="B483" t="s">
        <v>167</v>
      </c>
      <c r="C483" t="str">
        <f>HYPERLINK("http://www.ncbi.nlm.nih.gov/protein/NP_001258453.2","NP_001258453.2")</f>
        <v>NP_001258453.2</v>
      </c>
      <c r="D483">
        <v>45119</v>
      </c>
      <c r="E483" t="str">
        <f>HYPERLINK("http://www.ncbi.nlm.nih.gov/Taxonomy/Browser/wwwtax.cgi?mode=Info&amp;id=59729&amp;lvl=3&amp;lin=f&amp;keep=1&amp;srchmode=1&amp;unlock","59729")</f>
        <v>59729</v>
      </c>
      <c r="F483" t="s">
        <v>167</v>
      </c>
      <c r="G483" t="str">
        <f>HYPERLINK("http://www.ncbi.nlm.nih.gov/Taxonomy/Browser/wwwtax.cgi?mode=Info&amp;id=59729&amp;lvl=3&amp;lin=f&amp;keep=1&amp;srchmode=1&amp;unlock","Taeniopygia guttata")</f>
        <v>Taeniopygia guttata</v>
      </c>
      <c r="H483" t="s">
        <v>446</v>
      </c>
      <c r="I483" t="str">
        <f>HYPERLINK("http://www.ncbi.nlm.nih.gov/protein/NP_001258453.2","fatty acid-binding protein, liver")</f>
        <v>fatty acid-binding protein, liver</v>
      </c>
      <c r="J483" t="s">
        <v>1386</v>
      </c>
      <c r="K483" t="s">
        <v>25</v>
      </c>
      <c r="L483">
        <v>50</v>
      </c>
      <c r="M483" t="s">
        <v>1383</v>
      </c>
      <c r="N483" t="s">
        <v>25</v>
      </c>
      <c r="O483" t="s">
        <v>1355</v>
      </c>
      <c r="P483" t="s">
        <v>25</v>
      </c>
      <c r="Q483">
        <v>131.17500000000001</v>
      </c>
      <c r="R483" t="s">
        <v>25</v>
      </c>
      <c r="S483" t="s">
        <v>25</v>
      </c>
    </row>
    <row r="484" spans="1:19" x14ac:dyDescent="0.25">
      <c r="A484">
        <v>6</v>
      </c>
      <c r="B484" t="s">
        <v>167</v>
      </c>
      <c r="C484" t="str">
        <f>HYPERLINK("http://www.ncbi.nlm.nih.gov/protein/NWS07738.1","NWS07738.1")</f>
        <v>NWS07738.1</v>
      </c>
      <c r="D484">
        <v>13661</v>
      </c>
      <c r="E484" t="str">
        <f>HYPERLINK("http://www.ncbi.nlm.nih.gov/Taxonomy/Browser/wwwtax.cgi?mode=Info&amp;id=45807&amp;lvl=3&amp;lin=f&amp;keep=1&amp;srchmode=1&amp;unlock","45807")</f>
        <v>45807</v>
      </c>
      <c r="F484" t="s">
        <v>167</v>
      </c>
      <c r="G484" t="str">
        <f>HYPERLINK("http://www.ncbi.nlm.nih.gov/Taxonomy/Browser/wwwtax.cgi?mode=Info&amp;id=45807&amp;lvl=3&amp;lin=f&amp;keep=1&amp;srchmode=1&amp;unlock","Motacilla alba")</f>
        <v>Motacilla alba</v>
      </c>
      <c r="H484" t="s">
        <v>450</v>
      </c>
      <c r="I484" t="str">
        <f>HYPERLINK("http://www.ncbi.nlm.nih.gov/protein/NWS07738.1","FABPL protein")</f>
        <v>FABPL protein</v>
      </c>
      <c r="J484" t="s">
        <v>1386</v>
      </c>
      <c r="K484" t="s">
        <v>25</v>
      </c>
      <c r="L484">
        <v>50</v>
      </c>
      <c r="M484" t="s">
        <v>1379</v>
      </c>
      <c r="N484" t="s">
        <v>25</v>
      </c>
      <c r="O484" t="s">
        <v>1355</v>
      </c>
      <c r="P484" t="s">
        <v>25</v>
      </c>
      <c r="Q484">
        <v>117.148</v>
      </c>
      <c r="R484" t="s">
        <v>25</v>
      </c>
      <c r="S484" t="s">
        <v>25</v>
      </c>
    </row>
    <row r="485" spans="1:19" x14ac:dyDescent="0.25">
      <c r="A485">
        <v>6</v>
      </c>
      <c r="B485" t="s">
        <v>167</v>
      </c>
      <c r="C485" t="str">
        <f>HYPERLINK("http://www.ncbi.nlm.nih.gov/protein/NXI14671.1","NXI14671.1")</f>
        <v>NXI14671.1</v>
      </c>
      <c r="D485">
        <v>14281</v>
      </c>
      <c r="E485" t="str">
        <f>HYPERLINK("http://www.ncbi.nlm.nih.gov/Taxonomy/Browser/wwwtax.cgi?mode=Info&amp;id=175120&amp;lvl=3&amp;lin=f&amp;keep=1&amp;srchmode=1&amp;unlock","175120")</f>
        <v>175120</v>
      </c>
      <c r="F485" t="s">
        <v>167</v>
      </c>
      <c r="G485" t="str">
        <f>HYPERLINK("http://www.ncbi.nlm.nih.gov/Taxonomy/Browser/wwwtax.cgi?mode=Info&amp;id=175120&amp;lvl=3&amp;lin=f&amp;keep=1&amp;srchmode=1&amp;unlock","Irena cyanogastra")</f>
        <v>Irena cyanogastra</v>
      </c>
      <c r="H485" t="s">
        <v>451</v>
      </c>
      <c r="I485" t="str">
        <f>HYPERLINK("http://www.ncbi.nlm.nih.gov/protein/NXI14671.1","FABPL protein")</f>
        <v>FABPL protein</v>
      </c>
      <c r="J485" t="s">
        <v>1386</v>
      </c>
      <c r="K485" t="s">
        <v>25</v>
      </c>
      <c r="L485">
        <v>50</v>
      </c>
      <c r="M485" t="s">
        <v>1383</v>
      </c>
      <c r="N485" t="s">
        <v>25</v>
      </c>
      <c r="O485" t="s">
        <v>1355</v>
      </c>
      <c r="P485" t="s">
        <v>25</v>
      </c>
      <c r="Q485">
        <v>131.17500000000001</v>
      </c>
      <c r="R485" t="s">
        <v>25</v>
      </c>
      <c r="S485" t="s">
        <v>25</v>
      </c>
    </row>
    <row r="486" spans="1:19" x14ac:dyDescent="0.25">
      <c r="A486">
        <v>6</v>
      </c>
      <c r="B486" t="s">
        <v>167</v>
      </c>
      <c r="C486" t="str">
        <f>HYPERLINK("http://www.ncbi.nlm.nih.gov/protein/NWI96963.1","NWI96963.1")</f>
        <v>NWI96963.1</v>
      </c>
      <c r="D486">
        <v>13920</v>
      </c>
      <c r="E486" t="str">
        <f>HYPERLINK("http://www.ncbi.nlm.nih.gov/Taxonomy/Browser/wwwtax.cgi?mode=Info&amp;id=9163&amp;lvl=3&amp;lin=f&amp;keep=1&amp;srchmode=1&amp;unlock","9163")</f>
        <v>9163</v>
      </c>
      <c r="F486" t="s">
        <v>167</v>
      </c>
      <c r="G486" t="str">
        <f>HYPERLINK("http://www.ncbi.nlm.nih.gov/Taxonomy/Browser/wwwtax.cgi?mode=Info&amp;id=9163&amp;lvl=3&amp;lin=f&amp;keep=1&amp;srchmode=1&amp;unlock","Pitta sordida")</f>
        <v>Pitta sordida</v>
      </c>
      <c r="H486" t="s">
        <v>452</v>
      </c>
      <c r="I486" t="str">
        <f>HYPERLINK("http://www.ncbi.nlm.nih.gov/protein/NWI96963.1","FABPL protein")</f>
        <v>FABPL protein</v>
      </c>
      <c r="J486" t="s">
        <v>1386</v>
      </c>
      <c r="K486" t="s">
        <v>25</v>
      </c>
      <c r="L486">
        <v>50</v>
      </c>
      <c r="M486" t="s">
        <v>1379</v>
      </c>
      <c r="N486" t="s">
        <v>25</v>
      </c>
      <c r="O486" t="s">
        <v>1355</v>
      </c>
      <c r="P486" t="s">
        <v>25</v>
      </c>
      <c r="Q486">
        <v>117.148</v>
      </c>
      <c r="R486" t="s">
        <v>25</v>
      </c>
      <c r="S486" t="s">
        <v>25</v>
      </c>
    </row>
    <row r="487" spans="1:19" x14ac:dyDescent="0.25">
      <c r="A487">
        <v>6</v>
      </c>
      <c r="B487" t="s">
        <v>167</v>
      </c>
      <c r="C487" t="str">
        <f>HYPERLINK("http://www.ncbi.nlm.nih.gov/protein/XP_037992041.1","XP_037992041.1")</f>
        <v>XP_037992041.1</v>
      </c>
      <c r="D487">
        <v>42237</v>
      </c>
      <c r="E487" t="str">
        <f>HYPERLINK("http://www.ncbi.nlm.nih.gov/Taxonomy/Browser/wwwtax.cgi?mode=Info&amp;id=1094192&amp;lvl=3&amp;lin=f&amp;keep=1&amp;srchmode=1&amp;unlock","1094192")</f>
        <v>1094192</v>
      </c>
      <c r="F487" t="s">
        <v>167</v>
      </c>
      <c r="G487" t="str">
        <f>HYPERLINK("http://www.ncbi.nlm.nih.gov/Taxonomy/Browser/wwwtax.cgi?mode=Info&amp;id=1094192&amp;lvl=3&amp;lin=f&amp;keep=1&amp;srchmode=1&amp;unlock","Motacilla alba alba")</f>
        <v>Motacilla alba alba</v>
      </c>
      <c r="H487" t="s">
        <v>450</v>
      </c>
      <c r="I487" t="str">
        <f>HYPERLINK("http://www.ncbi.nlm.nih.gov/protein/XP_037992041.1","fatty acid-binding protein, liver")</f>
        <v>fatty acid-binding protein, liver</v>
      </c>
      <c r="J487" t="s">
        <v>1386</v>
      </c>
      <c r="K487" t="s">
        <v>25</v>
      </c>
      <c r="L487">
        <v>50</v>
      </c>
      <c r="M487" t="s">
        <v>1379</v>
      </c>
      <c r="N487" t="s">
        <v>25</v>
      </c>
      <c r="O487" t="s">
        <v>1355</v>
      </c>
      <c r="P487" t="s">
        <v>25</v>
      </c>
      <c r="Q487">
        <v>117.148</v>
      </c>
      <c r="R487" t="s">
        <v>25</v>
      </c>
      <c r="S487" t="s">
        <v>25</v>
      </c>
    </row>
    <row r="488" spans="1:19" x14ac:dyDescent="0.25">
      <c r="A488">
        <v>6</v>
      </c>
      <c r="B488" t="s">
        <v>167</v>
      </c>
      <c r="C488" t="str">
        <f>HYPERLINK("http://www.ncbi.nlm.nih.gov/protein/NXF20663.1","NXF20663.1")</f>
        <v>NXF20663.1</v>
      </c>
      <c r="D488">
        <v>14142</v>
      </c>
      <c r="E488" t="str">
        <f>HYPERLINK("http://www.ncbi.nlm.nih.gov/Taxonomy/Browser/wwwtax.cgi?mode=Info&amp;id=58203&amp;lvl=3&amp;lin=f&amp;keep=1&amp;srchmode=1&amp;unlock","58203")</f>
        <v>58203</v>
      </c>
      <c r="F488" t="s">
        <v>167</v>
      </c>
      <c r="G488" t="str">
        <f>HYPERLINK("http://www.ncbi.nlm.nih.gov/Taxonomy/Browser/wwwtax.cgi?mode=Info&amp;id=58203&amp;lvl=3&amp;lin=f&amp;keep=1&amp;srchmode=1&amp;unlock","Rhodinocichla rosea")</f>
        <v>Rhodinocichla rosea</v>
      </c>
      <c r="H488" t="s">
        <v>414</v>
      </c>
      <c r="I488" t="str">
        <f>HYPERLINK("http://www.ncbi.nlm.nih.gov/protein/NXF20663.1","FABPL protein")</f>
        <v>FABPL protein</v>
      </c>
      <c r="J488" t="s">
        <v>1386</v>
      </c>
      <c r="K488" t="s">
        <v>25</v>
      </c>
      <c r="L488">
        <v>50</v>
      </c>
      <c r="M488" t="s">
        <v>1379</v>
      </c>
      <c r="N488" t="s">
        <v>25</v>
      </c>
      <c r="O488" t="s">
        <v>1355</v>
      </c>
      <c r="P488" t="s">
        <v>25</v>
      </c>
      <c r="Q488">
        <v>117.148</v>
      </c>
      <c r="R488" t="s">
        <v>25</v>
      </c>
      <c r="S488" t="s">
        <v>25</v>
      </c>
    </row>
    <row r="489" spans="1:19" x14ac:dyDescent="0.25">
      <c r="A489">
        <v>6</v>
      </c>
      <c r="B489" t="s">
        <v>167</v>
      </c>
      <c r="C489" t="str">
        <f>HYPERLINK("http://www.ncbi.nlm.nih.gov/protein/NWH36506.1","NWH36506.1")</f>
        <v>NWH36506.1</v>
      </c>
      <c r="D489">
        <v>13554</v>
      </c>
      <c r="E489" t="str">
        <f>HYPERLINK("http://www.ncbi.nlm.nih.gov/Taxonomy/Browser/wwwtax.cgi?mode=Info&amp;id=667144&amp;lvl=3&amp;lin=f&amp;keep=1&amp;srchmode=1&amp;unlock","667144")</f>
        <v>667144</v>
      </c>
      <c r="F489" t="s">
        <v>167</v>
      </c>
      <c r="G489" t="str">
        <f>HYPERLINK("http://www.ncbi.nlm.nih.gov/Taxonomy/Browser/wwwtax.cgi?mode=Info&amp;id=667144&amp;lvl=3&amp;lin=f&amp;keep=1&amp;srchmode=1&amp;unlock","Chloropsis hardwickii")</f>
        <v>Chloropsis hardwickii</v>
      </c>
      <c r="H489" t="s">
        <v>206</v>
      </c>
      <c r="I489" t="str">
        <f>HYPERLINK("http://www.ncbi.nlm.nih.gov/protein/NWH36506.1","FABPL protein")</f>
        <v>FABPL protein</v>
      </c>
      <c r="J489" t="s">
        <v>1386</v>
      </c>
      <c r="K489" t="s">
        <v>25</v>
      </c>
      <c r="L489">
        <v>50</v>
      </c>
      <c r="M489" t="s">
        <v>1379</v>
      </c>
      <c r="N489" t="s">
        <v>25</v>
      </c>
      <c r="O489" t="s">
        <v>1355</v>
      </c>
      <c r="P489" t="s">
        <v>25</v>
      </c>
      <c r="Q489">
        <v>117.148</v>
      </c>
      <c r="R489" t="s">
        <v>25</v>
      </c>
      <c r="S489" t="s">
        <v>25</v>
      </c>
    </row>
    <row r="490" spans="1:19" x14ac:dyDescent="0.25">
      <c r="A490">
        <v>6</v>
      </c>
      <c r="B490" t="s">
        <v>167</v>
      </c>
      <c r="C490" t="str">
        <f>HYPERLINK("http://www.ncbi.nlm.nih.gov/protein/NXU98636.1","NXU98636.1")</f>
        <v>NXU98636.1</v>
      </c>
      <c r="D490">
        <v>14925</v>
      </c>
      <c r="E490" t="str">
        <f>HYPERLINK("http://www.ncbi.nlm.nih.gov/Taxonomy/Browser/wwwtax.cgi?mode=Info&amp;id=68486&amp;lvl=3&amp;lin=f&amp;keep=1&amp;srchmode=1&amp;unlock","68486")</f>
        <v>68486</v>
      </c>
      <c r="F490" t="s">
        <v>167</v>
      </c>
      <c r="G490" t="str">
        <f>HYPERLINK("http://www.ncbi.nlm.nih.gov/Taxonomy/Browser/wwwtax.cgi?mode=Info&amp;id=68486&amp;lvl=3&amp;lin=f&amp;keep=1&amp;srchmode=1&amp;unlock","Cettia cetti")</f>
        <v>Cettia cetti</v>
      </c>
      <c r="H490" t="s">
        <v>395</v>
      </c>
      <c r="I490" t="str">
        <f>HYPERLINK("http://www.ncbi.nlm.nih.gov/protein/NXU98636.1","FABPL protein")</f>
        <v>FABPL protein</v>
      </c>
      <c r="J490" t="s">
        <v>1386</v>
      </c>
      <c r="K490" t="s">
        <v>25</v>
      </c>
      <c r="L490">
        <v>50</v>
      </c>
      <c r="M490" t="s">
        <v>1379</v>
      </c>
      <c r="N490" t="s">
        <v>25</v>
      </c>
      <c r="O490" t="s">
        <v>1355</v>
      </c>
      <c r="P490" t="s">
        <v>25</v>
      </c>
      <c r="Q490">
        <v>117.148</v>
      </c>
      <c r="R490" t="s">
        <v>25</v>
      </c>
      <c r="S490" t="s">
        <v>25</v>
      </c>
    </row>
    <row r="491" spans="1:19" x14ac:dyDescent="0.25">
      <c r="A491">
        <v>6</v>
      </c>
      <c r="B491" t="s">
        <v>167</v>
      </c>
      <c r="C491" t="str">
        <f>HYPERLINK("http://www.ncbi.nlm.nih.gov/protein/XP_023781477.1","XP_023781477.1")</f>
        <v>XP_023781477.1</v>
      </c>
      <c r="D491">
        <v>31627</v>
      </c>
      <c r="E491" t="str">
        <f>HYPERLINK("http://www.ncbi.nlm.nih.gov/Taxonomy/Browser/wwwtax.cgi?mode=Info&amp;id=156563&amp;lvl=3&amp;lin=f&amp;keep=1&amp;srchmode=1&amp;unlock","156563")</f>
        <v>156563</v>
      </c>
      <c r="F491" t="s">
        <v>167</v>
      </c>
      <c r="G491" t="str">
        <f>HYPERLINK("http://www.ncbi.nlm.nih.gov/Taxonomy/Browser/wwwtax.cgi?mode=Info&amp;id=156563&amp;lvl=3&amp;lin=f&amp;keep=1&amp;srchmode=1&amp;unlock","Cyanistes caeruleus")</f>
        <v>Cyanistes caeruleus</v>
      </c>
      <c r="H491" t="s">
        <v>455</v>
      </c>
      <c r="I491" t="str">
        <f>HYPERLINK("http://www.ncbi.nlm.nih.gov/protein/XP_023781477.1","fatty acid-binding protein, liver")</f>
        <v>fatty acid-binding protein, liver</v>
      </c>
      <c r="J491" t="s">
        <v>1386</v>
      </c>
      <c r="K491" t="s">
        <v>25</v>
      </c>
      <c r="L491">
        <v>50</v>
      </c>
      <c r="M491" t="s">
        <v>1379</v>
      </c>
      <c r="N491" t="s">
        <v>25</v>
      </c>
      <c r="O491" t="s">
        <v>1355</v>
      </c>
      <c r="P491" t="s">
        <v>25</v>
      </c>
      <c r="Q491">
        <v>117.148</v>
      </c>
      <c r="R491" t="s">
        <v>25</v>
      </c>
      <c r="S491" t="s">
        <v>25</v>
      </c>
    </row>
    <row r="492" spans="1:19" x14ac:dyDescent="0.25">
      <c r="A492">
        <v>6</v>
      </c>
      <c r="B492" t="s">
        <v>167</v>
      </c>
      <c r="C492" t="str">
        <f>HYPERLINK("http://www.ncbi.nlm.nih.gov/protein/NXH02214.1","NXH02214.1")</f>
        <v>NXH02214.1</v>
      </c>
      <c r="D492">
        <v>14012</v>
      </c>
      <c r="E492" t="str">
        <f>HYPERLINK("http://www.ncbi.nlm.nih.gov/Taxonomy/Browser/wwwtax.cgi?mode=Info&amp;id=96539&amp;lvl=3&amp;lin=f&amp;keep=1&amp;srchmode=1&amp;unlock","96539")</f>
        <v>96539</v>
      </c>
      <c r="F492" t="s">
        <v>167</v>
      </c>
      <c r="G492" t="str">
        <f>HYPERLINK("http://www.ncbi.nlm.nih.gov/Taxonomy/Browser/wwwtax.cgi?mode=Info&amp;id=96539&amp;lvl=3&amp;lin=f&amp;keep=1&amp;srchmode=1&amp;unlock","Loxia leucoptera")</f>
        <v>Loxia leucoptera</v>
      </c>
      <c r="H492" t="s">
        <v>456</v>
      </c>
      <c r="I492" t="str">
        <f>HYPERLINK("http://www.ncbi.nlm.nih.gov/protein/NXH02214.1","FABPL protein")</f>
        <v>FABPL protein</v>
      </c>
      <c r="J492" t="s">
        <v>1386</v>
      </c>
      <c r="K492" t="s">
        <v>25</v>
      </c>
      <c r="L492">
        <v>50</v>
      </c>
      <c r="M492" t="s">
        <v>1383</v>
      </c>
      <c r="N492" t="s">
        <v>25</v>
      </c>
      <c r="O492" t="s">
        <v>1355</v>
      </c>
      <c r="P492" t="s">
        <v>25</v>
      </c>
      <c r="Q492">
        <v>131.17500000000001</v>
      </c>
      <c r="R492" t="s">
        <v>25</v>
      </c>
      <c r="S492" t="s">
        <v>25</v>
      </c>
    </row>
    <row r="493" spans="1:19" x14ac:dyDescent="0.25">
      <c r="A493">
        <v>6</v>
      </c>
      <c r="B493" t="s">
        <v>167</v>
      </c>
      <c r="C493" t="str">
        <f>HYPERLINK("http://www.ncbi.nlm.nih.gov/protein/NXM10673.1","NXM10673.1")</f>
        <v>NXM10673.1</v>
      </c>
      <c r="D493">
        <v>13548</v>
      </c>
      <c r="E493" t="str">
        <f>HYPERLINK("http://www.ncbi.nlm.nih.gov/Taxonomy/Browser/wwwtax.cgi?mode=Info&amp;id=441696&amp;lvl=3&amp;lin=f&amp;keep=1&amp;srchmode=1&amp;unlock","441696")</f>
        <v>441696</v>
      </c>
      <c r="F493" t="s">
        <v>167</v>
      </c>
      <c r="G493" t="str">
        <f>HYPERLINK("http://www.ncbi.nlm.nih.gov/Taxonomy/Browser/wwwtax.cgi?mode=Info&amp;id=441696&amp;lvl=3&amp;lin=f&amp;keep=1&amp;srchmode=1&amp;unlock","Ploceus nigricollis")</f>
        <v>Ploceus nigricollis</v>
      </c>
      <c r="H493" t="s">
        <v>206</v>
      </c>
      <c r="I493" t="str">
        <f>HYPERLINK("http://www.ncbi.nlm.nih.gov/protein/NXM10673.1","FABPL protein")</f>
        <v>FABPL protein</v>
      </c>
      <c r="J493" t="s">
        <v>1386</v>
      </c>
      <c r="K493" t="s">
        <v>25</v>
      </c>
      <c r="L493">
        <v>50</v>
      </c>
      <c r="M493" t="s">
        <v>1383</v>
      </c>
      <c r="N493" t="s">
        <v>25</v>
      </c>
      <c r="O493" t="s">
        <v>1355</v>
      </c>
      <c r="P493" t="s">
        <v>25</v>
      </c>
      <c r="Q493">
        <v>131.17500000000001</v>
      </c>
      <c r="R493" t="s">
        <v>25</v>
      </c>
      <c r="S493" t="s">
        <v>25</v>
      </c>
    </row>
    <row r="494" spans="1:19" x14ac:dyDescent="0.25">
      <c r="A494">
        <v>6</v>
      </c>
      <c r="B494" t="s">
        <v>167</v>
      </c>
      <c r="C494" t="str">
        <f>HYPERLINK("http://www.ncbi.nlm.nih.gov/protein/NWY90578.1","NWY90578.1")</f>
        <v>NWY90578.1</v>
      </c>
      <c r="D494">
        <v>14648</v>
      </c>
      <c r="E494" t="str">
        <f>HYPERLINK("http://www.ncbi.nlm.nih.gov/Taxonomy/Browser/wwwtax.cgi?mode=Info&amp;id=64802&amp;lvl=3&amp;lin=f&amp;keep=1&amp;srchmode=1&amp;unlock","64802")</f>
        <v>64802</v>
      </c>
      <c r="F494" t="s">
        <v>167</v>
      </c>
      <c r="G494" t="str">
        <f>HYPERLINK("http://www.ncbi.nlm.nih.gov/Taxonomy/Browser/wwwtax.cgi?mode=Info&amp;id=64802&amp;lvl=3&amp;lin=f&amp;keep=1&amp;srchmode=1&amp;unlock","Loxia curvirostra")</f>
        <v>Loxia curvirostra</v>
      </c>
      <c r="H494" t="s">
        <v>457</v>
      </c>
      <c r="I494" t="str">
        <f>HYPERLINK("http://www.ncbi.nlm.nih.gov/protein/NWY90578.1","FABPL protein")</f>
        <v>FABPL protein</v>
      </c>
      <c r="J494" t="s">
        <v>1386</v>
      </c>
      <c r="K494" t="s">
        <v>25</v>
      </c>
      <c r="L494">
        <v>50</v>
      </c>
      <c r="M494" t="s">
        <v>1383</v>
      </c>
      <c r="N494" t="s">
        <v>25</v>
      </c>
      <c r="O494" t="s">
        <v>1355</v>
      </c>
      <c r="P494" t="s">
        <v>25</v>
      </c>
      <c r="Q494">
        <v>131.17500000000001</v>
      </c>
      <c r="R494" t="s">
        <v>25</v>
      </c>
      <c r="S494" t="s">
        <v>25</v>
      </c>
    </row>
    <row r="495" spans="1:19" x14ac:dyDescent="0.25">
      <c r="A495">
        <v>6</v>
      </c>
      <c r="B495" t="s">
        <v>167</v>
      </c>
      <c r="C495" t="str">
        <f>HYPERLINK("http://www.ncbi.nlm.nih.gov/protein/XP_021252775.1","XP_021252775.1")</f>
        <v>XP_021252775.1</v>
      </c>
      <c r="D495">
        <v>43424</v>
      </c>
      <c r="E495" t="str">
        <f>HYPERLINK("http://www.ncbi.nlm.nih.gov/Taxonomy/Browser/wwwtax.cgi?mode=Info&amp;id=8996&amp;lvl=3&amp;lin=f&amp;keep=1&amp;srchmode=1&amp;unlock","8996")</f>
        <v>8996</v>
      </c>
      <c r="F495" t="s">
        <v>167</v>
      </c>
      <c r="G495" t="str">
        <f>HYPERLINK("http://www.ncbi.nlm.nih.gov/Taxonomy/Browser/wwwtax.cgi?mode=Info&amp;id=8996&amp;lvl=3&amp;lin=f&amp;keep=1&amp;srchmode=1&amp;unlock","Numida meleagris")</f>
        <v>Numida meleagris</v>
      </c>
      <c r="H495" t="s">
        <v>454</v>
      </c>
      <c r="I495" t="str">
        <f>HYPERLINK("http://www.ncbi.nlm.nih.gov/protein/XP_021252775.1","fatty acid-binding protein, liver")</f>
        <v>fatty acid-binding protein, liver</v>
      </c>
      <c r="J495" t="s">
        <v>1386</v>
      </c>
      <c r="K495" t="s">
        <v>25</v>
      </c>
      <c r="L495">
        <v>50</v>
      </c>
      <c r="M495" t="s">
        <v>1383</v>
      </c>
      <c r="N495" t="s">
        <v>25</v>
      </c>
      <c r="O495" t="s">
        <v>1355</v>
      </c>
      <c r="P495" t="s">
        <v>25</v>
      </c>
      <c r="Q495">
        <v>131.17500000000001</v>
      </c>
      <c r="R495" t="s">
        <v>25</v>
      </c>
      <c r="S495" t="s">
        <v>25</v>
      </c>
    </row>
    <row r="496" spans="1:19" x14ac:dyDescent="0.25">
      <c r="A496">
        <v>6</v>
      </c>
      <c r="B496" t="s">
        <v>167</v>
      </c>
      <c r="C496" t="str">
        <f>HYPERLINK("http://www.ncbi.nlm.nih.gov/protein/NXO22126.1","NXO22126.1")</f>
        <v>NXO22126.1</v>
      </c>
      <c r="D496">
        <v>13483</v>
      </c>
      <c r="E496" t="str">
        <f>HYPERLINK("http://www.ncbi.nlm.nih.gov/Taxonomy/Browser/wwwtax.cgi?mode=Info&amp;id=52622&amp;lvl=3&amp;lin=f&amp;keep=1&amp;srchmode=1&amp;unlock","52622")</f>
        <v>52622</v>
      </c>
      <c r="F496" t="s">
        <v>167</v>
      </c>
      <c r="G496" t="str">
        <f>HYPERLINK("http://www.ncbi.nlm.nih.gov/Taxonomy/Browser/wwwtax.cgi?mode=Info&amp;id=52622&amp;lvl=3&amp;lin=f&amp;keep=1&amp;srchmode=1&amp;unlock","Cisticola juncidis")</f>
        <v>Cisticola juncidis</v>
      </c>
      <c r="H496" t="s">
        <v>206</v>
      </c>
      <c r="I496" t="str">
        <f>HYPERLINK("http://www.ncbi.nlm.nih.gov/protein/NXO22126.1","FABPL protein")</f>
        <v>FABPL protein</v>
      </c>
      <c r="J496" t="s">
        <v>1386</v>
      </c>
      <c r="K496" t="s">
        <v>25</v>
      </c>
      <c r="L496">
        <v>50</v>
      </c>
      <c r="M496" t="s">
        <v>1383</v>
      </c>
      <c r="N496" t="s">
        <v>25</v>
      </c>
      <c r="O496" t="s">
        <v>1355</v>
      </c>
      <c r="P496" t="s">
        <v>25</v>
      </c>
      <c r="Q496">
        <v>131.17500000000001</v>
      </c>
      <c r="R496" t="s">
        <v>25</v>
      </c>
      <c r="S496" t="s">
        <v>25</v>
      </c>
    </row>
    <row r="497" spans="1:19" x14ac:dyDescent="0.25">
      <c r="A497">
        <v>6</v>
      </c>
      <c r="B497" t="s">
        <v>167</v>
      </c>
      <c r="C497" t="str">
        <f>HYPERLINK("http://www.ncbi.nlm.nih.gov/protein/NXL76627.1","NXL76627.1")</f>
        <v>NXL76627.1</v>
      </c>
      <c r="D497">
        <v>13740</v>
      </c>
      <c r="E497" t="str">
        <f>HYPERLINK("http://www.ncbi.nlm.nih.gov/Taxonomy/Browser/wwwtax.cgi?mode=Info&amp;id=2585812&amp;lvl=3&amp;lin=f&amp;keep=1&amp;srchmode=1&amp;unlock","2585812")</f>
        <v>2585812</v>
      </c>
      <c r="F497" t="s">
        <v>167</v>
      </c>
      <c r="G497" t="str">
        <f>HYPERLINK("http://www.ncbi.nlm.nih.gov/Taxonomy/Browser/wwwtax.cgi?mode=Info&amp;id=2585812&amp;lvl=3&amp;lin=f&amp;keep=1&amp;srchmode=1&amp;unlock","Leptocoma aspasia")</f>
        <v>Leptocoma aspasia</v>
      </c>
      <c r="H497" t="s">
        <v>206</v>
      </c>
      <c r="I497" t="str">
        <f>HYPERLINK("http://www.ncbi.nlm.nih.gov/protein/NXL76627.1","FABPL protein")</f>
        <v>FABPL protein</v>
      </c>
      <c r="J497" t="s">
        <v>1386</v>
      </c>
      <c r="K497" t="s">
        <v>25</v>
      </c>
      <c r="L497">
        <v>50</v>
      </c>
      <c r="M497" t="s">
        <v>1315</v>
      </c>
      <c r="N497" t="s">
        <v>25</v>
      </c>
      <c r="O497" t="s">
        <v>1354</v>
      </c>
      <c r="P497" t="s">
        <v>25</v>
      </c>
      <c r="Q497">
        <v>119.119</v>
      </c>
      <c r="R497" t="s">
        <v>25</v>
      </c>
      <c r="S497" t="s">
        <v>25</v>
      </c>
    </row>
    <row r="498" spans="1:19" x14ac:dyDescent="0.25">
      <c r="A498">
        <v>6</v>
      </c>
      <c r="B498" t="s">
        <v>167</v>
      </c>
      <c r="C498" t="str">
        <f>HYPERLINK("http://www.ncbi.nlm.nih.gov/protein/NXH52808.1","NXH52808.1")</f>
        <v>NXH52808.1</v>
      </c>
      <c r="D498">
        <v>14389</v>
      </c>
      <c r="E498" t="str">
        <f>HYPERLINK("http://www.ncbi.nlm.nih.gov/Taxonomy/Browser/wwwtax.cgi?mode=Info&amp;id=237438&amp;lvl=3&amp;lin=f&amp;keep=1&amp;srchmode=1&amp;unlock","237438")</f>
        <v>237438</v>
      </c>
      <c r="F498" t="s">
        <v>167</v>
      </c>
      <c r="G498" t="str">
        <f>HYPERLINK("http://www.ncbi.nlm.nih.gov/Taxonomy/Browser/wwwtax.cgi?mode=Info&amp;id=237438&amp;lvl=3&amp;lin=f&amp;keep=1&amp;srchmode=1&amp;unlock","Rhabdornis inornatus")</f>
        <v>Rhabdornis inornatus</v>
      </c>
      <c r="H498" t="s">
        <v>206</v>
      </c>
      <c r="I498" t="str">
        <f>HYPERLINK("http://www.ncbi.nlm.nih.gov/protein/NXH52808.1","FABPL protein")</f>
        <v>FABPL protein</v>
      </c>
      <c r="J498" t="s">
        <v>1386</v>
      </c>
      <c r="K498" t="s">
        <v>25</v>
      </c>
      <c r="L498">
        <v>50</v>
      </c>
      <c r="M498" t="s">
        <v>1379</v>
      </c>
      <c r="N498" t="s">
        <v>25</v>
      </c>
      <c r="O498" t="s">
        <v>1355</v>
      </c>
      <c r="P498" t="s">
        <v>25</v>
      </c>
      <c r="Q498">
        <v>117.148</v>
      </c>
      <c r="R498" t="s">
        <v>25</v>
      </c>
      <c r="S498" t="s">
        <v>25</v>
      </c>
    </row>
    <row r="499" spans="1:19" x14ac:dyDescent="0.25">
      <c r="A499">
        <v>6</v>
      </c>
      <c r="B499" t="s">
        <v>167</v>
      </c>
      <c r="C499" t="str">
        <f>HYPERLINK("http://www.ncbi.nlm.nih.gov/protein/NXR85476.1","NXR85476.1")</f>
        <v>NXR85476.1</v>
      </c>
      <c r="D499">
        <v>12418</v>
      </c>
      <c r="E499" t="str">
        <f>HYPERLINK("http://www.ncbi.nlm.nih.gov/Taxonomy/Browser/wwwtax.cgi?mode=Info&amp;id=589841&amp;lvl=3&amp;lin=f&amp;keep=1&amp;srchmode=1&amp;unlock","589841")</f>
        <v>589841</v>
      </c>
      <c r="F499" t="s">
        <v>167</v>
      </c>
      <c r="G499" t="str">
        <f>HYPERLINK("http://www.ncbi.nlm.nih.gov/Taxonomy/Browser/wwwtax.cgi?mode=Info&amp;id=589841&amp;lvl=3&amp;lin=f&amp;keep=1&amp;srchmode=1&amp;unlock","Hypocryptadius cinnamomeus")</f>
        <v>Hypocryptadius cinnamomeus</v>
      </c>
      <c r="H499" t="s">
        <v>449</v>
      </c>
      <c r="I499" t="str">
        <f>HYPERLINK("http://www.ncbi.nlm.nih.gov/protein/NXR85476.1","FABPL protein")</f>
        <v>FABPL protein</v>
      </c>
      <c r="J499" t="s">
        <v>1386</v>
      </c>
      <c r="K499" t="s">
        <v>25</v>
      </c>
      <c r="L499">
        <v>50</v>
      </c>
      <c r="M499" t="s">
        <v>1379</v>
      </c>
      <c r="N499" t="s">
        <v>25</v>
      </c>
      <c r="O499" t="s">
        <v>1355</v>
      </c>
      <c r="P499" t="s">
        <v>25</v>
      </c>
      <c r="Q499">
        <v>117.148</v>
      </c>
      <c r="R499" t="s">
        <v>25</v>
      </c>
      <c r="S499" t="s">
        <v>25</v>
      </c>
    </row>
    <row r="500" spans="1:19" x14ac:dyDescent="0.25">
      <c r="A500">
        <v>6</v>
      </c>
      <c r="B500" t="s">
        <v>167</v>
      </c>
      <c r="C500" t="str">
        <f>HYPERLINK("http://www.ncbi.nlm.nih.gov/protein/XP_017690742.1","XP_017690742.1")</f>
        <v>XP_017690742.1</v>
      </c>
      <c r="D500">
        <v>36957</v>
      </c>
      <c r="E500" t="str">
        <f>HYPERLINK("http://www.ncbi.nlm.nih.gov/Taxonomy/Browser/wwwtax.cgi?mode=Info&amp;id=321398&amp;lvl=3&amp;lin=f&amp;keep=1&amp;srchmode=1&amp;unlock","321398")</f>
        <v>321398</v>
      </c>
      <c r="F500" t="s">
        <v>167</v>
      </c>
      <c r="G500" t="str">
        <f>HYPERLINK("http://www.ncbi.nlm.nih.gov/Taxonomy/Browser/wwwtax.cgi?mode=Info&amp;id=321398&amp;lvl=3&amp;lin=f&amp;keep=1&amp;srchmode=1&amp;unlock","Lepidothrix coronata")</f>
        <v>Lepidothrix coronata</v>
      </c>
      <c r="H500" t="s">
        <v>462</v>
      </c>
      <c r="I500" t="str">
        <f>HYPERLINK("http://www.ncbi.nlm.nih.gov/protein/XP_017690742.1","PREDICTED: fatty acid-binding protein, liver")</f>
        <v>PREDICTED: fatty acid-binding protein, liver</v>
      </c>
      <c r="J500" t="s">
        <v>1386</v>
      </c>
      <c r="K500" t="s">
        <v>25</v>
      </c>
      <c r="L500">
        <v>50</v>
      </c>
      <c r="M500" t="s">
        <v>1383</v>
      </c>
      <c r="N500" t="s">
        <v>25</v>
      </c>
      <c r="O500" t="s">
        <v>1355</v>
      </c>
      <c r="P500" t="s">
        <v>25</v>
      </c>
      <c r="Q500">
        <v>131.17500000000001</v>
      </c>
      <c r="R500" t="s">
        <v>25</v>
      </c>
      <c r="S500" t="s">
        <v>25</v>
      </c>
    </row>
    <row r="501" spans="1:19" x14ac:dyDescent="0.25">
      <c r="A501">
        <v>6</v>
      </c>
      <c r="B501" t="s">
        <v>167</v>
      </c>
      <c r="C501" t="str">
        <f>HYPERLINK("http://www.ncbi.nlm.nih.gov/protein/NXL17438.1","NXL17438.1")</f>
        <v>NXL17438.1</v>
      </c>
      <c r="D501">
        <v>13919</v>
      </c>
      <c r="E501" t="str">
        <f>HYPERLINK("http://www.ncbi.nlm.nih.gov/Taxonomy/Browser/wwwtax.cgi?mode=Info&amp;id=298831&amp;lvl=3&amp;lin=f&amp;keep=1&amp;srchmode=1&amp;unlock","298831")</f>
        <v>298831</v>
      </c>
      <c r="F501" t="s">
        <v>167</v>
      </c>
      <c r="G501" t="str">
        <f>HYPERLINK("http://www.ncbi.nlm.nih.gov/Taxonomy/Browser/wwwtax.cgi?mode=Info&amp;id=298831&amp;lvl=3&amp;lin=f&amp;keep=1&amp;srchmode=1&amp;unlock","Setophaga kirtlandii")</f>
        <v>Setophaga kirtlandii</v>
      </c>
      <c r="H501" t="s">
        <v>463</v>
      </c>
      <c r="I501" t="str">
        <f>HYPERLINK("http://www.ncbi.nlm.nih.gov/protein/NXL17438.1","FABPL protein")</f>
        <v>FABPL protein</v>
      </c>
      <c r="J501" t="s">
        <v>1386</v>
      </c>
      <c r="K501" t="s">
        <v>25</v>
      </c>
      <c r="L501">
        <v>50</v>
      </c>
      <c r="M501" t="s">
        <v>1383</v>
      </c>
      <c r="N501" t="s">
        <v>25</v>
      </c>
      <c r="O501" t="s">
        <v>1355</v>
      </c>
      <c r="P501" t="s">
        <v>25</v>
      </c>
      <c r="Q501">
        <v>131.17500000000001</v>
      </c>
      <c r="R501" t="s">
        <v>25</v>
      </c>
      <c r="S501" t="s">
        <v>25</v>
      </c>
    </row>
    <row r="502" spans="1:19" x14ac:dyDescent="0.25">
      <c r="A502">
        <v>6</v>
      </c>
      <c r="B502" t="s">
        <v>167</v>
      </c>
      <c r="C502" t="str">
        <f>HYPERLINK("http://www.ncbi.nlm.nih.gov/protein/NWY37338.1","NWY37338.1")</f>
        <v>NWY37338.1</v>
      </c>
      <c r="D502">
        <v>13444</v>
      </c>
      <c r="E502" t="str">
        <f>HYPERLINK("http://www.ncbi.nlm.nih.gov/Taxonomy/Browser/wwwtax.cgi?mode=Info&amp;id=48155&amp;lvl=3&amp;lin=f&amp;keep=1&amp;srchmode=1&amp;unlock","48155")</f>
        <v>48155</v>
      </c>
      <c r="F502" t="s">
        <v>167</v>
      </c>
      <c r="G502" t="str">
        <f>HYPERLINK("http://www.ncbi.nlm.nih.gov/Taxonomy/Browser/wwwtax.cgi?mode=Info&amp;id=48155&amp;lvl=3&amp;lin=f&amp;keep=1&amp;srchmode=1&amp;unlock","Sylvia atricapilla")</f>
        <v>Sylvia atricapilla</v>
      </c>
      <c r="H502" t="s">
        <v>459</v>
      </c>
      <c r="I502" t="str">
        <f>HYPERLINK("http://www.ncbi.nlm.nih.gov/protein/NWY37338.1","FABPL protein")</f>
        <v>FABPL protein</v>
      </c>
      <c r="J502" t="s">
        <v>1386</v>
      </c>
      <c r="K502" t="s">
        <v>25</v>
      </c>
      <c r="L502">
        <v>50</v>
      </c>
      <c r="M502" t="s">
        <v>1383</v>
      </c>
      <c r="N502" t="s">
        <v>25</v>
      </c>
      <c r="O502" t="s">
        <v>1355</v>
      </c>
      <c r="P502" t="s">
        <v>25</v>
      </c>
      <c r="Q502">
        <v>131.17500000000001</v>
      </c>
      <c r="R502" t="s">
        <v>25</v>
      </c>
      <c r="S502" t="s">
        <v>25</v>
      </c>
    </row>
    <row r="503" spans="1:19" x14ac:dyDescent="0.25">
      <c r="A503">
        <v>6</v>
      </c>
      <c r="B503" t="s">
        <v>167</v>
      </c>
      <c r="C503" t="str">
        <f>HYPERLINK("http://www.ncbi.nlm.nih.gov/protein/NXC99862.1","NXC99862.1")</f>
        <v>NXC99862.1</v>
      </c>
      <c r="D503">
        <v>13258</v>
      </c>
      <c r="E503" t="str">
        <f>HYPERLINK("http://www.ncbi.nlm.nih.gov/Taxonomy/Browser/wwwtax.cgi?mode=Info&amp;id=73333&amp;lvl=3&amp;lin=f&amp;keep=1&amp;srchmode=1&amp;unlock","73333")</f>
        <v>73333</v>
      </c>
      <c r="F503" t="s">
        <v>167</v>
      </c>
      <c r="G503" t="str">
        <f>HYPERLINK("http://www.ncbi.nlm.nih.gov/Taxonomy/Browser/wwwtax.cgi?mode=Info&amp;id=73333&amp;lvl=3&amp;lin=f&amp;keep=1&amp;srchmode=1&amp;unlock","Certhia familiaris")</f>
        <v>Certhia familiaris</v>
      </c>
      <c r="H503" t="s">
        <v>460</v>
      </c>
      <c r="I503" t="str">
        <f>HYPERLINK("http://www.ncbi.nlm.nih.gov/protein/NXC99862.1","FABPL protein")</f>
        <v>FABPL protein</v>
      </c>
      <c r="J503" t="s">
        <v>1386</v>
      </c>
      <c r="K503" t="s">
        <v>25</v>
      </c>
      <c r="L503">
        <v>50</v>
      </c>
      <c r="M503" t="s">
        <v>1379</v>
      </c>
      <c r="N503" t="s">
        <v>25</v>
      </c>
      <c r="O503" t="s">
        <v>1355</v>
      </c>
      <c r="P503" t="s">
        <v>25</v>
      </c>
      <c r="Q503">
        <v>117.148</v>
      </c>
      <c r="R503" t="s">
        <v>25</v>
      </c>
      <c r="S503" t="s">
        <v>25</v>
      </c>
    </row>
    <row r="504" spans="1:19" x14ac:dyDescent="0.25">
      <c r="A504">
        <v>6</v>
      </c>
      <c r="B504" t="s">
        <v>167</v>
      </c>
      <c r="C504" t="str">
        <f>HYPERLINK("http://www.ncbi.nlm.nih.gov/protein/XP_005490901.1","XP_005490901.1")</f>
        <v>XP_005490901.1</v>
      </c>
      <c r="D504">
        <v>26699</v>
      </c>
      <c r="E504" t="str">
        <f>HYPERLINK("http://www.ncbi.nlm.nih.gov/Taxonomy/Browser/wwwtax.cgi?mode=Info&amp;id=44394&amp;lvl=3&amp;lin=f&amp;keep=1&amp;srchmode=1&amp;unlock","44394")</f>
        <v>44394</v>
      </c>
      <c r="F504" t="s">
        <v>167</v>
      </c>
      <c r="G504" t="str">
        <f>HYPERLINK("http://www.ncbi.nlm.nih.gov/Taxonomy/Browser/wwwtax.cgi?mode=Info&amp;id=44394&amp;lvl=3&amp;lin=f&amp;keep=1&amp;srchmode=1&amp;unlock","Zonotrichia albicollis")</f>
        <v>Zonotrichia albicollis</v>
      </c>
      <c r="H504" t="s">
        <v>465</v>
      </c>
      <c r="I504" t="str">
        <f>HYPERLINK("http://www.ncbi.nlm.nih.gov/protein/XP_005490901.1","fatty acid-binding protein, liver")</f>
        <v>fatty acid-binding protein, liver</v>
      </c>
      <c r="J504" t="s">
        <v>1386</v>
      </c>
      <c r="K504" t="s">
        <v>25</v>
      </c>
      <c r="L504">
        <v>50</v>
      </c>
      <c r="M504" t="s">
        <v>1379</v>
      </c>
      <c r="N504" t="s">
        <v>25</v>
      </c>
      <c r="O504" t="s">
        <v>1355</v>
      </c>
      <c r="P504" t="s">
        <v>25</v>
      </c>
      <c r="Q504">
        <v>117.148</v>
      </c>
      <c r="R504" t="s">
        <v>25</v>
      </c>
      <c r="S504" t="s">
        <v>25</v>
      </c>
    </row>
    <row r="505" spans="1:19" x14ac:dyDescent="0.25">
      <c r="A505">
        <v>6</v>
      </c>
      <c r="B505" t="s">
        <v>167</v>
      </c>
      <c r="C505" t="str">
        <f>HYPERLINK("http://www.ncbi.nlm.nih.gov/protein/NXB95450.1","NXB95450.1")</f>
        <v>NXB95450.1</v>
      </c>
      <c r="D505">
        <v>14691</v>
      </c>
      <c r="E505" t="str">
        <f>HYPERLINK("http://www.ncbi.nlm.nih.gov/Taxonomy/Browser/wwwtax.cgi?mode=Info&amp;id=81927&amp;lvl=3&amp;lin=f&amp;keep=1&amp;srchmode=1&amp;unlock","81927")</f>
        <v>81927</v>
      </c>
      <c r="F505" t="s">
        <v>167</v>
      </c>
      <c r="G505" t="str">
        <f>HYPERLINK("http://www.ncbi.nlm.nih.gov/Taxonomy/Browser/wwwtax.cgi?mode=Info&amp;id=81927&amp;lvl=3&amp;lin=f&amp;keep=1&amp;srchmode=1&amp;unlock","Vidua chalybeata")</f>
        <v>Vidua chalybeata</v>
      </c>
      <c r="H505" t="s">
        <v>206</v>
      </c>
      <c r="I505" t="str">
        <f>HYPERLINK("http://www.ncbi.nlm.nih.gov/protein/NXB95450.1","FABPL protein")</f>
        <v>FABPL protein</v>
      </c>
      <c r="J505" t="s">
        <v>1386</v>
      </c>
      <c r="K505" t="s">
        <v>25</v>
      </c>
      <c r="L505">
        <v>50</v>
      </c>
      <c r="M505" t="s">
        <v>1383</v>
      </c>
      <c r="N505" t="s">
        <v>25</v>
      </c>
      <c r="O505" t="s">
        <v>1355</v>
      </c>
      <c r="P505" t="s">
        <v>25</v>
      </c>
      <c r="Q505">
        <v>131.17500000000001</v>
      </c>
      <c r="R505" t="s">
        <v>25</v>
      </c>
      <c r="S505" t="s">
        <v>25</v>
      </c>
    </row>
    <row r="506" spans="1:19" x14ac:dyDescent="0.25">
      <c r="A506">
        <v>6</v>
      </c>
      <c r="B506" t="s">
        <v>167</v>
      </c>
      <c r="C506" t="str">
        <f>HYPERLINK("http://www.ncbi.nlm.nih.gov/protein/NXR71563.1","NXR71563.1")</f>
        <v>NXR71563.1</v>
      </c>
      <c r="D506">
        <v>13978</v>
      </c>
      <c r="E506" t="str">
        <f>HYPERLINK("http://www.ncbi.nlm.nih.gov/Taxonomy/Browser/wwwtax.cgi?mode=Info&amp;id=182897&amp;lvl=3&amp;lin=f&amp;keep=1&amp;srchmode=1&amp;unlock","182897")</f>
        <v>182897</v>
      </c>
      <c r="F506" t="s">
        <v>167</v>
      </c>
      <c r="G506" t="str">
        <f>HYPERLINK("http://www.ncbi.nlm.nih.gov/Taxonomy/Browser/wwwtax.cgi?mode=Info&amp;id=182897&amp;lvl=3&amp;lin=f&amp;keep=1&amp;srchmode=1&amp;unlock","Pycnonotus jocosus")</f>
        <v>Pycnonotus jocosus</v>
      </c>
      <c r="H506" t="s">
        <v>464</v>
      </c>
      <c r="I506" t="str">
        <f>HYPERLINK("http://www.ncbi.nlm.nih.gov/protein/NXR71563.1","FABPL protein")</f>
        <v>FABPL protein</v>
      </c>
      <c r="J506" t="s">
        <v>1386</v>
      </c>
      <c r="K506" t="s">
        <v>25</v>
      </c>
      <c r="L506">
        <v>50</v>
      </c>
      <c r="M506" t="s">
        <v>1383</v>
      </c>
      <c r="N506" t="s">
        <v>25</v>
      </c>
      <c r="O506" t="s">
        <v>1355</v>
      </c>
      <c r="P506" t="s">
        <v>25</v>
      </c>
      <c r="Q506">
        <v>131.17500000000001</v>
      </c>
      <c r="R506" t="s">
        <v>25</v>
      </c>
      <c r="S506" t="s">
        <v>25</v>
      </c>
    </row>
    <row r="507" spans="1:19" x14ac:dyDescent="0.25">
      <c r="A507">
        <v>6</v>
      </c>
      <c r="B507" t="s">
        <v>167</v>
      </c>
      <c r="C507" t="str">
        <f>HYPERLINK("http://www.ncbi.nlm.nih.gov/protein/NXQ07871.1","NXQ07871.1")</f>
        <v>NXQ07871.1</v>
      </c>
      <c r="D507">
        <v>13115</v>
      </c>
      <c r="E507" t="str">
        <f>HYPERLINK("http://www.ncbi.nlm.nih.gov/Taxonomy/Browser/wwwtax.cgi?mode=Info&amp;id=187451&amp;lvl=3&amp;lin=f&amp;keep=1&amp;srchmode=1&amp;unlock","187451")</f>
        <v>187451</v>
      </c>
      <c r="F507" t="s">
        <v>167</v>
      </c>
      <c r="G507" t="str">
        <f>HYPERLINK("http://www.ncbi.nlm.nih.gov/Taxonomy/Browser/wwwtax.cgi?mode=Info&amp;id=187451&amp;lvl=3&amp;lin=f&amp;keep=1&amp;srchmode=1&amp;unlock","Vidua macroura")</f>
        <v>Vidua macroura</v>
      </c>
      <c r="H507" t="s">
        <v>206</v>
      </c>
      <c r="I507" t="str">
        <f>HYPERLINK("http://www.ncbi.nlm.nih.gov/protein/NXQ07871.1","FABPL protein")</f>
        <v>FABPL protein</v>
      </c>
      <c r="J507" t="s">
        <v>1386</v>
      </c>
      <c r="K507" t="s">
        <v>25</v>
      </c>
      <c r="L507">
        <v>50</v>
      </c>
      <c r="M507" t="s">
        <v>1383</v>
      </c>
      <c r="N507" t="s">
        <v>25</v>
      </c>
      <c r="O507" t="s">
        <v>1355</v>
      </c>
      <c r="P507" t="s">
        <v>25</v>
      </c>
      <c r="Q507">
        <v>131.17500000000001</v>
      </c>
      <c r="R507" t="s">
        <v>25</v>
      </c>
      <c r="S507" t="s">
        <v>25</v>
      </c>
    </row>
    <row r="508" spans="1:19" x14ac:dyDescent="0.25">
      <c r="A508">
        <v>6</v>
      </c>
      <c r="B508" t="s">
        <v>167</v>
      </c>
      <c r="C508" t="str">
        <f>HYPERLINK("http://www.ncbi.nlm.nih.gov/protein/NXR63866.1","NXR63866.1")</f>
        <v>NXR63866.1</v>
      </c>
      <c r="D508">
        <v>13653</v>
      </c>
      <c r="E508" t="str">
        <f>HYPERLINK("http://www.ncbi.nlm.nih.gov/Taxonomy/Browser/wwwtax.cgi?mode=Info&amp;id=2585818&amp;lvl=3&amp;lin=f&amp;keep=1&amp;srchmode=1&amp;unlock","2585818")</f>
        <v>2585818</v>
      </c>
      <c r="F508" t="s">
        <v>167</v>
      </c>
      <c r="G508" t="str">
        <f>HYPERLINK("http://www.ncbi.nlm.nih.gov/Taxonomy/Browser/wwwtax.cgi?mode=Info&amp;id=2585818&amp;lvl=3&amp;lin=f&amp;keep=1&amp;srchmode=1&amp;unlock","Rhadina sibilatrix")</f>
        <v>Rhadina sibilatrix</v>
      </c>
      <c r="H508" t="s">
        <v>206</v>
      </c>
      <c r="I508" t="str">
        <f>HYPERLINK("http://www.ncbi.nlm.nih.gov/protein/NXR63866.1","FABPL protein")</f>
        <v>FABPL protein</v>
      </c>
      <c r="J508" t="s">
        <v>1386</v>
      </c>
      <c r="K508" t="s">
        <v>25</v>
      </c>
      <c r="L508">
        <v>50</v>
      </c>
      <c r="M508" t="s">
        <v>1379</v>
      </c>
      <c r="N508" t="s">
        <v>25</v>
      </c>
      <c r="O508" t="s">
        <v>1355</v>
      </c>
      <c r="P508" t="s">
        <v>25</v>
      </c>
      <c r="Q508">
        <v>117.148</v>
      </c>
      <c r="R508" t="s">
        <v>25</v>
      </c>
      <c r="S508" t="s">
        <v>25</v>
      </c>
    </row>
    <row r="509" spans="1:19" x14ac:dyDescent="0.25">
      <c r="A509">
        <v>6</v>
      </c>
      <c r="B509" t="s">
        <v>167</v>
      </c>
      <c r="C509" t="str">
        <f>HYPERLINK("http://www.ncbi.nlm.nih.gov/protein/NXM26489.1","NXM26489.1")</f>
        <v>NXM26489.1</v>
      </c>
      <c r="D509">
        <v>14068</v>
      </c>
      <c r="E509" t="str">
        <f>HYPERLINK("http://www.ncbi.nlm.nih.gov/Taxonomy/Browser/wwwtax.cgi?mode=Info&amp;id=114331&amp;lvl=3&amp;lin=f&amp;keep=1&amp;srchmode=1&amp;unlock","114331")</f>
        <v>114331</v>
      </c>
      <c r="F509" t="s">
        <v>167</v>
      </c>
      <c r="G509" t="str">
        <f>HYPERLINK("http://www.ncbi.nlm.nih.gov/Taxonomy/Browser/wwwtax.cgi?mode=Info&amp;id=114331&amp;lvl=3&amp;lin=f&amp;keep=1&amp;srchmode=1&amp;unlock","Oxyruncus cristatus")</f>
        <v>Oxyruncus cristatus</v>
      </c>
      <c r="H509" t="s">
        <v>466</v>
      </c>
      <c r="I509" t="str">
        <f>HYPERLINK("http://www.ncbi.nlm.nih.gov/protein/NXM26489.1","FABPL protein")</f>
        <v>FABPL protein</v>
      </c>
      <c r="J509" t="s">
        <v>1386</v>
      </c>
      <c r="K509" t="s">
        <v>25</v>
      </c>
      <c r="L509">
        <v>50</v>
      </c>
      <c r="M509" t="s">
        <v>1379</v>
      </c>
      <c r="N509" t="s">
        <v>25</v>
      </c>
      <c r="O509" t="s">
        <v>1355</v>
      </c>
      <c r="P509" t="s">
        <v>25</v>
      </c>
      <c r="Q509">
        <v>117.148</v>
      </c>
      <c r="R509" t="s">
        <v>25</v>
      </c>
      <c r="S509" t="s">
        <v>25</v>
      </c>
    </row>
    <row r="510" spans="1:19" x14ac:dyDescent="0.25">
      <c r="A510">
        <v>6</v>
      </c>
      <c r="B510" t="s">
        <v>167</v>
      </c>
      <c r="C510" t="str">
        <f>HYPERLINK("http://www.ncbi.nlm.nih.gov/protein/NXT11343.1","NXT11343.1")</f>
        <v>NXT11343.1</v>
      </c>
      <c r="D510">
        <v>13423</v>
      </c>
      <c r="E510" t="str">
        <f>HYPERLINK("http://www.ncbi.nlm.nih.gov/Taxonomy/Browser/wwwtax.cgi?mode=Info&amp;id=670355&amp;lvl=3&amp;lin=f&amp;keep=1&amp;srchmode=1&amp;unlock","670355")</f>
        <v>670355</v>
      </c>
      <c r="F510" t="s">
        <v>167</v>
      </c>
      <c r="G510" t="str">
        <f>HYPERLINK("http://www.ncbi.nlm.nih.gov/Taxonomy/Browser/wwwtax.cgi?mode=Info&amp;id=670355&amp;lvl=3&amp;lin=f&amp;keep=1&amp;srchmode=1&amp;unlock","Prunella fulvescens")</f>
        <v>Prunella fulvescens</v>
      </c>
      <c r="H510" t="s">
        <v>469</v>
      </c>
      <c r="I510" t="str">
        <f>HYPERLINK("http://www.ncbi.nlm.nih.gov/protein/NXT11343.1","FABPL protein")</f>
        <v>FABPL protein</v>
      </c>
      <c r="J510" t="s">
        <v>1386</v>
      </c>
      <c r="K510" t="s">
        <v>25</v>
      </c>
      <c r="L510">
        <v>50</v>
      </c>
      <c r="M510" t="s">
        <v>1379</v>
      </c>
      <c r="N510" t="s">
        <v>25</v>
      </c>
      <c r="O510" t="s">
        <v>1355</v>
      </c>
      <c r="P510" t="s">
        <v>25</v>
      </c>
      <c r="Q510">
        <v>117.148</v>
      </c>
      <c r="R510" t="s">
        <v>25</v>
      </c>
      <c r="S510" t="s">
        <v>25</v>
      </c>
    </row>
    <row r="511" spans="1:19" x14ac:dyDescent="0.25">
      <c r="A511">
        <v>6</v>
      </c>
      <c r="B511" t="s">
        <v>167</v>
      </c>
      <c r="C511" t="str">
        <f>HYPERLINK("http://www.ncbi.nlm.nih.gov/protein/NWT54155.1","NWT54155.1")</f>
        <v>NWT54155.1</v>
      </c>
      <c r="D511">
        <v>14073</v>
      </c>
      <c r="E511" t="str">
        <f>HYPERLINK("http://www.ncbi.nlm.nih.gov/Taxonomy/Browser/wwwtax.cgi?mode=Info&amp;id=107208&amp;lvl=3&amp;lin=f&amp;keep=1&amp;srchmode=1&amp;unlock","107208")</f>
        <v>107208</v>
      </c>
      <c r="F511" t="s">
        <v>167</v>
      </c>
      <c r="G511" t="str">
        <f>HYPERLINK("http://www.ncbi.nlm.nih.gov/Taxonomy/Browser/wwwtax.cgi?mode=Info&amp;id=107208&amp;lvl=3&amp;lin=f&amp;keep=1&amp;srchmode=1&amp;unlock","Erythrocercus mccallii")</f>
        <v>Erythrocercus mccallii</v>
      </c>
      <c r="H511" t="s">
        <v>206</v>
      </c>
      <c r="I511" t="str">
        <f>HYPERLINK("http://www.ncbi.nlm.nih.gov/protein/NWT54155.1","FABPL protein")</f>
        <v>FABPL protein</v>
      </c>
      <c r="J511" t="s">
        <v>1386</v>
      </c>
      <c r="K511" t="s">
        <v>25</v>
      </c>
      <c r="L511">
        <v>50</v>
      </c>
      <c r="M511" t="s">
        <v>1383</v>
      </c>
      <c r="N511" t="s">
        <v>25</v>
      </c>
      <c r="O511" t="s">
        <v>1355</v>
      </c>
      <c r="P511" t="s">
        <v>25</v>
      </c>
      <c r="Q511">
        <v>131.17500000000001</v>
      </c>
      <c r="R511" t="s">
        <v>25</v>
      </c>
      <c r="S511" t="s">
        <v>25</v>
      </c>
    </row>
    <row r="512" spans="1:19" x14ac:dyDescent="0.25">
      <c r="A512">
        <v>6</v>
      </c>
      <c r="B512" t="s">
        <v>167</v>
      </c>
      <c r="C512" t="str">
        <f>HYPERLINK("http://www.ncbi.nlm.nih.gov/protein/NWZ42434.1","NWZ42434.1")</f>
        <v>NWZ42434.1</v>
      </c>
      <c r="D512">
        <v>12884</v>
      </c>
      <c r="E512" t="str">
        <f>HYPERLINK("http://www.ncbi.nlm.nih.gov/Taxonomy/Browser/wwwtax.cgi?mode=Info&amp;id=182895&amp;lvl=3&amp;lin=f&amp;keep=1&amp;srchmode=1&amp;unlock","182895")</f>
        <v>182895</v>
      </c>
      <c r="F512" t="s">
        <v>167</v>
      </c>
      <c r="G512" t="str">
        <f>HYPERLINK("http://www.ncbi.nlm.nih.gov/Taxonomy/Browser/wwwtax.cgi?mode=Info&amp;id=182895&amp;lvl=3&amp;lin=f&amp;keep=1&amp;srchmode=1&amp;unlock","Brachypodius atriceps")</f>
        <v>Brachypodius atriceps</v>
      </c>
      <c r="H512" t="s">
        <v>470</v>
      </c>
      <c r="I512" t="str">
        <f>HYPERLINK("http://www.ncbi.nlm.nih.gov/protein/NWZ42434.1","FABPL protein")</f>
        <v>FABPL protein</v>
      </c>
      <c r="J512" t="s">
        <v>1386</v>
      </c>
      <c r="K512" t="s">
        <v>25</v>
      </c>
      <c r="L512">
        <v>50</v>
      </c>
      <c r="M512" t="s">
        <v>1383</v>
      </c>
      <c r="N512" t="s">
        <v>25</v>
      </c>
      <c r="O512" t="s">
        <v>1355</v>
      </c>
      <c r="P512" t="s">
        <v>25</v>
      </c>
      <c r="Q512">
        <v>131.17500000000001</v>
      </c>
      <c r="R512" t="s">
        <v>25</v>
      </c>
      <c r="S512" t="s">
        <v>25</v>
      </c>
    </row>
    <row r="513" spans="1:19" x14ac:dyDescent="0.25">
      <c r="A513">
        <v>6</v>
      </c>
      <c r="B513" t="s">
        <v>167</v>
      </c>
      <c r="C513" t="str">
        <f>HYPERLINK("http://www.ncbi.nlm.nih.gov/protein/NWT74060.1","NWT74060.1")</f>
        <v>NWT74060.1</v>
      </c>
      <c r="D513">
        <v>13939</v>
      </c>
      <c r="E513" t="str">
        <f>HYPERLINK("http://www.ncbi.nlm.nih.gov/Taxonomy/Browser/wwwtax.cgi?mode=Info&amp;id=670356&amp;lvl=3&amp;lin=f&amp;keep=1&amp;srchmode=1&amp;unlock","670356")</f>
        <v>670356</v>
      </c>
      <c r="F513" t="s">
        <v>167</v>
      </c>
      <c r="G513" t="str">
        <f>HYPERLINK("http://www.ncbi.nlm.nih.gov/Taxonomy/Browser/wwwtax.cgi?mode=Info&amp;id=670356&amp;lvl=3&amp;lin=f&amp;keep=1&amp;srchmode=1&amp;unlock","Prunella himalayana")</f>
        <v>Prunella himalayana</v>
      </c>
      <c r="H513" t="s">
        <v>467</v>
      </c>
      <c r="I513" t="str">
        <f>HYPERLINK("http://www.ncbi.nlm.nih.gov/protein/NWT74060.1","FABPL protein")</f>
        <v>FABPL protein</v>
      </c>
      <c r="J513" t="s">
        <v>1386</v>
      </c>
      <c r="K513" t="s">
        <v>25</v>
      </c>
      <c r="L513">
        <v>50</v>
      </c>
      <c r="M513" t="s">
        <v>1379</v>
      </c>
      <c r="N513" t="s">
        <v>25</v>
      </c>
      <c r="O513" t="s">
        <v>1355</v>
      </c>
      <c r="P513" t="s">
        <v>25</v>
      </c>
      <c r="Q513">
        <v>117.148</v>
      </c>
      <c r="R513" t="s">
        <v>25</v>
      </c>
      <c r="S513" t="s">
        <v>25</v>
      </c>
    </row>
    <row r="514" spans="1:19" x14ac:dyDescent="0.25">
      <c r="A514">
        <v>6</v>
      </c>
      <c r="B514" t="s">
        <v>167</v>
      </c>
      <c r="C514" t="str">
        <f>HYPERLINK("http://www.ncbi.nlm.nih.gov/protein/NXU64553.1","NXU64553.1")</f>
        <v>NXU64553.1</v>
      </c>
      <c r="D514">
        <v>9908</v>
      </c>
      <c r="E514" t="str">
        <f>HYPERLINK("http://www.ncbi.nlm.nih.gov/Taxonomy/Browser/wwwtax.cgi?mode=Info&amp;id=2585811&amp;lvl=3&amp;lin=f&amp;keep=1&amp;srchmode=1&amp;unlock","2585811")</f>
        <v>2585811</v>
      </c>
      <c r="F514" t="s">
        <v>167</v>
      </c>
      <c r="G514" t="str">
        <f>HYPERLINK("http://www.ncbi.nlm.nih.gov/Taxonomy/Browser/wwwtax.cgi?mode=Info&amp;id=2585811&amp;lvl=3&amp;lin=f&amp;keep=1&amp;srchmode=1&amp;unlock","Horornis vulcanius")</f>
        <v>Horornis vulcanius</v>
      </c>
      <c r="H514" t="s">
        <v>206</v>
      </c>
      <c r="I514" t="str">
        <f>HYPERLINK("http://www.ncbi.nlm.nih.gov/protein/NXU64553.1","FABPL protein")</f>
        <v>FABPL protein</v>
      </c>
      <c r="J514" t="s">
        <v>1386</v>
      </c>
      <c r="K514" t="s">
        <v>25</v>
      </c>
      <c r="L514">
        <v>50</v>
      </c>
      <c r="M514" t="s">
        <v>1379</v>
      </c>
      <c r="N514" t="s">
        <v>25</v>
      </c>
      <c r="O514" t="s">
        <v>1355</v>
      </c>
      <c r="P514" t="s">
        <v>25</v>
      </c>
      <c r="Q514">
        <v>117.148</v>
      </c>
      <c r="R514" t="s">
        <v>25</v>
      </c>
      <c r="S514" t="s">
        <v>25</v>
      </c>
    </row>
    <row r="515" spans="1:19" x14ac:dyDescent="0.25">
      <c r="A515">
        <v>6</v>
      </c>
      <c r="B515" t="s">
        <v>167</v>
      </c>
      <c r="C515" t="str">
        <f>HYPERLINK("http://www.ncbi.nlm.nih.gov/protein/NXP01548.1","NXP01548.1")</f>
        <v>NXP01548.1</v>
      </c>
      <c r="D515">
        <v>13923</v>
      </c>
      <c r="E515" t="str">
        <f>HYPERLINK("http://www.ncbi.nlm.nih.gov/Taxonomy/Browser/wwwtax.cgi?mode=Info&amp;id=73330&amp;lvl=3&amp;lin=f&amp;keep=1&amp;srchmode=1&amp;unlock","73330")</f>
        <v>73330</v>
      </c>
      <c r="F515" t="s">
        <v>167</v>
      </c>
      <c r="G515" t="str">
        <f>HYPERLINK("http://www.ncbi.nlm.nih.gov/Taxonomy/Browser/wwwtax.cgi?mode=Info&amp;id=73330&amp;lvl=3&amp;lin=f&amp;keep=1&amp;srchmode=1&amp;unlock","Certhia brachydactyla")</f>
        <v>Certhia brachydactyla</v>
      </c>
      <c r="H515" t="s">
        <v>471</v>
      </c>
      <c r="I515" t="str">
        <f>HYPERLINK("http://www.ncbi.nlm.nih.gov/protein/NXP01548.1","FABPL protein")</f>
        <v>FABPL protein</v>
      </c>
      <c r="J515" t="s">
        <v>1386</v>
      </c>
      <c r="K515" t="s">
        <v>25</v>
      </c>
      <c r="L515">
        <v>50</v>
      </c>
      <c r="M515" t="s">
        <v>1379</v>
      </c>
      <c r="N515" t="s">
        <v>25</v>
      </c>
      <c r="O515" t="s">
        <v>1355</v>
      </c>
      <c r="P515" t="s">
        <v>25</v>
      </c>
      <c r="Q515">
        <v>117.148</v>
      </c>
      <c r="R515" t="s">
        <v>25</v>
      </c>
      <c r="S515" t="s">
        <v>25</v>
      </c>
    </row>
    <row r="516" spans="1:19" x14ac:dyDescent="0.25">
      <c r="A516">
        <v>6</v>
      </c>
      <c r="B516" t="s">
        <v>167</v>
      </c>
      <c r="C516" t="str">
        <f>HYPERLINK("http://www.ncbi.nlm.nih.gov/protein/NWH84766.1","NWH84766.1")</f>
        <v>NWH84766.1</v>
      </c>
      <c r="D516">
        <v>13453</v>
      </c>
      <c r="E516" t="str">
        <f>HYPERLINK("http://www.ncbi.nlm.nih.gov/Taxonomy/Browser/wwwtax.cgi?mode=Info&amp;id=73327&amp;lvl=3&amp;lin=f&amp;keep=1&amp;srchmode=1&amp;unlock","73327")</f>
        <v>73327</v>
      </c>
      <c r="F516" t="s">
        <v>167</v>
      </c>
      <c r="G516" t="str">
        <f>HYPERLINK("http://www.ncbi.nlm.nih.gov/Taxonomy/Browser/wwwtax.cgi?mode=Info&amp;id=73327&amp;lvl=3&amp;lin=f&amp;keep=1&amp;srchmode=1&amp;unlock","Aegithalos caudatus")</f>
        <v>Aegithalos caudatus</v>
      </c>
      <c r="H516" t="s">
        <v>476</v>
      </c>
      <c r="I516" t="str">
        <f>HYPERLINK("http://www.ncbi.nlm.nih.gov/protein/NWH84766.1","FABPL protein")</f>
        <v>FABPL protein</v>
      </c>
      <c r="J516" t="s">
        <v>1386</v>
      </c>
      <c r="K516" t="s">
        <v>25</v>
      </c>
      <c r="L516">
        <v>50</v>
      </c>
      <c r="M516" t="s">
        <v>1383</v>
      </c>
      <c r="N516" t="s">
        <v>25</v>
      </c>
      <c r="O516" t="s">
        <v>1355</v>
      </c>
      <c r="P516" t="s">
        <v>25</v>
      </c>
      <c r="Q516">
        <v>131.17500000000001</v>
      </c>
      <c r="R516" t="s">
        <v>25</v>
      </c>
      <c r="S516" t="s">
        <v>25</v>
      </c>
    </row>
    <row r="517" spans="1:19" x14ac:dyDescent="0.25">
      <c r="A517">
        <v>6</v>
      </c>
      <c r="B517" t="s">
        <v>167</v>
      </c>
      <c r="C517" t="str">
        <f>HYPERLINK("http://www.ncbi.nlm.nih.gov/protein/XP_009096822.1","XP_009096822.1")</f>
        <v>XP_009096822.1</v>
      </c>
      <c r="D517">
        <v>30512</v>
      </c>
      <c r="E517" t="str">
        <f>HYPERLINK("http://www.ncbi.nlm.nih.gov/Taxonomy/Browser/wwwtax.cgi?mode=Info&amp;id=9135&amp;lvl=3&amp;lin=f&amp;keep=1&amp;srchmode=1&amp;unlock","9135")</f>
        <v>9135</v>
      </c>
      <c r="F517" t="s">
        <v>167</v>
      </c>
      <c r="G517" t="str">
        <f>HYPERLINK("http://www.ncbi.nlm.nih.gov/Taxonomy/Browser/wwwtax.cgi?mode=Info&amp;id=9135&amp;lvl=3&amp;lin=f&amp;keep=1&amp;srchmode=1&amp;unlock","Serinus canaria")</f>
        <v>Serinus canaria</v>
      </c>
      <c r="H517" t="s">
        <v>477</v>
      </c>
      <c r="I517" t="str">
        <f>HYPERLINK("http://www.ncbi.nlm.nih.gov/protein/XP_009096822.1","fatty acid-binding protein, liver")</f>
        <v>fatty acid-binding protein, liver</v>
      </c>
      <c r="J517" t="s">
        <v>1386</v>
      </c>
      <c r="K517" t="s">
        <v>25</v>
      </c>
      <c r="L517">
        <v>50</v>
      </c>
      <c r="M517" t="s">
        <v>1383</v>
      </c>
      <c r="N517" t="s">
        <v>25</v>
      </c>
      <c r="O517" t="s">
        <v>1355</v>
      </c>
      <c r="P517" t="s">
        <v>25</v>
      </c>
      <c r="Q517">
        <v>131.17500000000001</v>
      </c>
      <c r="R517" t="s">
        <v>25</v>
      </c>
      <c r="S517" t="s">
        <v>25</v>
      </c>
    </row>
    <row r="518" spans="1:19" x14ac:dyDescent="0.25">
      <c r="A518">
        <v>6</v>
      </c>
      <c r="B518" t="s">
        <v>167</v>
      </c>
      <c r="C518" t="str">
        <f>HYPERLINK("http://www.ncbi.nlm.nih.gov/protein/XP_027578629.2","XP_027578629.2")</f>
        <v>XP_027578629.2</v>
      </c>
      <c r="D518">
        <v>35867</v>
      </c>
      <c r="E518" t="str">
        <f>HYPERLINK("http://www.ncbi.nlm.nih.gov/Taxonomy/Browser/wwwtax.cgi?mode=Info&amp;id=649802&amp;lvl=3&amp;lin=f&amp;keep=1&amp;srchmode=1&amp;unlock","649802")</f>
        <v>649802</v>
      </c>
      <c r="F518" t="s">
        <v>167</v>
      </c>
      <c r="G518" t="str">
        <f>HYPERLINK("http://www.ncbi.nlm.nih.gov/Taxonomy/Browser/wwwtax.cgi?mode=Info&amp;id=649802&amp;lvl=3&amp;lin=f&amp;keep=1&amp;srchmode=1&amp;unlock","Pipra filicauda")</f>
        <v>Pipra filicauda</v>
      </c>
      <c r="H518" t="s">
        <v>478</v>
      </c>
      <c r="I518" t="str">
        <f>HYPERLINK("http://www.ncbi.nlm.nih.gov/protein/XP_027578629.2","fatty acid-binding protein, liver")</f>
        <v>fatty acid-binding protein, liver</v>
      </c>
      <c r="J518" t="s">
        <v>1386</v>
      </c>
      <c r="K518" t="s">
        <v>25</v>
      </c>
      <c r="L518">
        <v>93</v>
      </c>
      <c r="M518" t="s">
        <v>1383</v>
      </c>
      <c r="N518" t="s">
        <v>25</v>
      </c>
      <c r="O518" t="s">
        <v>1355</v>
      </c>
      <c r="P518" t="s">
        <v>25</v>
      </c>
      <c r="Q518">
        <v>131.17500000000001</v>
      </c>
      <c r="R518" t="s">
        <v>25</v>
      </c>
      <c r="S518" t="s">
        <v>25</v>
      </c>
    </row>
    <row r="519" spans="1:19" x14ac:dyDescent="0.25">
      <c r="A519">
        <v>6</v>
      </c>
      <c r="B519" t="s">
        <v>167</v>
      </c>
      <c r="C519" t="str">
        <f>HYPERLINK("http://www.ncbi.nlm.nih.gov/protein/NXP63778.1","NXP63778.1")</f>
        <v>NXP63778.1</v>
      </c>
      <c r="D519">
        <v>12587</v>
      </c>
      <c r="E519" t="str">
        <f>HYPERLINK("http://www.ncbi.nlm.nih.gov/Taxonomy/Browser/wwwtax.cgi?mode=Info&amp;id=1218682&amp;lvl=3&amp;lin=f&amp;keep=1&amp;srchmode=1&amp;unlock","1218682")</f>
        <v>1218682</v>
      </c>
      <c r="F519" t="s">
        <v>167</v>
      </c>
      <c r="G519" t="str">
        <f>HYPERLINK("http://www.ncbi.nlm.nih.gov/Taxonomy/Browser/wwwtax.cgi?mode=Info&amp;id=1218682&amp;lvl=3&amp;lin=f&amp;keep=1&amp;srchmode=1&amp;unlock","Chloropsis cyanopogon")</f>
        <v>Chloropsis cyanopogon</v>
      </c>
      <c r="H519" t="s">
        <v>206</v>
      </c>
      <c r="I519" t="str">
        <f>HYPERLINK("http://www.ncbi.nlm.nih.gov/protein/NXP63778.1","FABPL protein")</f>
        <v>FABPL protein</v>
      </c>
      <c r="J519" t="s">
        <v>1386</v>
      </c>
      <c r="K519" t="s">
        <v>25</v>
      </c>
      <c r="L519">
        <v>50</v>
      </c>
      <c r="M519" t="s">
        <v>1379</v>
      </c>
      <c r="N519" t="s">
        <v>25</v>
      </c>
      <c r="O519" t="s">
        <v>1355</v>
      </c>
      <c r="P519" t="s">
        <v>25</v>
      </c>
      <c r="Q519">
        <v>117.148</v>
      </c>
      <c r="R519" t="s">
        <v>25</v>
      </c>
      <c r="S519" t="s">
        <v>25</v>
      </c>
    </row>
    <row r="520" spans="1:19" x14ac:dyDescent="0.25">
      <c r="A520">
        <v>6</v>
      </c>
      <c r="B520" t="s">
        <v>167</v>
      </c>
      <c r="C520" t="str">
        <f>HYPERLINK("http://www.ncbi.nlm.nih.gov/protein/XP_032542165.1","XP_032542165.1")</f>
        <v>XP_032542165.1</v>
      </c>
      <c r="D520">
        <v>39420</v>
      </c>
      <c r="E520" t="str">
        <f>HYPERLINK("http://www.ncbi.nlm.nih.gov/Taxonomy/Browser/wwwtax.cgi?mode=Info&amp;id=296741&amp;lvl=3&amp;lin=f&amp;keep=1&amp;srchmode=1&amp;unlock","296741")</f>
        <v>296741</v>
      </c>
      <c r="F520" t="s">
        <v>167</v>
      </c>
      <c r="G520" t="str">
        <f>HYPERLINK("http://www.ncbi.nlm.nih.gov/Taxonomy/Browser/wwwtax.cgi?mode=Info&amp;id=296741&amp;lvl=3&amp;lin=f&amp;keep=1&amp;srchmode=1&amp;unlock","Chiroxiphia lanceolata")</f>
        <v>Chiroxiphia lanceolata</v>
      </c>
      <c r="H520" t="s">
        <v>484</v>
      </c>
      <c r="I520" t="str">
        <f>HYPERLINK("http://www.ncbi.nlm.nih.gov/protein/XP_032542165.1","fatty acid-binding protein, liver")</f>
        <v>fatty acid-binding protein, liver</v>
      </c>
      <c r="J520" t="s">
        <v>1386</v>
      </c>
      <c r="K520" t="s">
        <v>25</v>
      </c>
      <c r="L520">
        <v>50</v>
      </c>
      <c r="M520" t="s">
        <v>1379</v>
      </c>
      <c r="N520" t="s">
        <v>25</v>
      </c>
      <c r="O520" t="s">
        <v>1355</v>
      </c>
      <c r="P520" t="s">
        <v>25</v>
      </c>
      <c r="Q520">
        <v>117.148</v>
      </c>
      <c r="R520" t="s">
        <v>25</v>
      </c>
      <c r="S520" t="s">
        <v>25</v>
      </c>
    </row>
    <row r="521" spans="1:19" x14ac:dyDescent="0.25">
      <c r="A521">
        <v>6</v>
      </c>
      <c r="B521" t="s">
        <v>167</v>
      </c>
      <c r="C521" t="str">
        <f>HYPERLINK("http://www.ncbi.nlm.nih.gov/protein/NXG12623.1","NXG12623.1")</f>
        <v>NXG12623.1</v>
      </c>
      <c r="D521">
        <v>14155</v>
      </c>
      <c r="E521" t="str">
        <f>HYPERLINK("http://www.ncbi.nlm.nih.gov/Taxonomy/Browser/wwwtax.cgi?mode=Info&amp;id=419690&amp;lvl=3&amp;lin=f&amp;keep=1&amp;srchmode=1&amp;unlock","419690")</f>
        <v>419690</v>
      </c>
      <c r="F521" t="s">
        <v>167</v>
      </c>
      <c r="G521" t="str">
        <f>HYPERLINK("http://www.ncbi.nlm.nih.gov/Taxonomy/Browser/wwwtax.cgi?mode=Info&amp;id=419690&amp;lvl=3&amp;lin=f&amp;keep=1&amp;srchmode=1&amp;unlock","Sakesphorus luctuosus")</f>
        <v>Sakesphorus luctuosus</v>
      </c>
      <c r="H521" t="s">
        <v>206</v>
      </c>
      <c r="I521" t="str">
        <f>HYPERLINK("http://www.ncbi.nlm.nih.gov/protein/NXG12623.1","FABPL protein")</f>
        <v>FABPL protein</v>
      </c>
      <c r="J521" t="s">
        <v>1386</v>
      </c>
      <c r="K521" t="s">
        <v>25</v>
      </c>
      <c r="L521">
        <v>50</v>
      </c>
      <c r="M521" t="s">
        <v>1379</v>
      </c>
      <c r="N521" t="s">
        <v>25</v>
      </c>
      <c r="O521" t="s">
        <v>1355</v>
      </c>
      <c r="P521" t="s">
        <v>25</v>
      </c>
      <c r="Q521">
        <v>117.148</v>
      </c>
      <c r="R521" t="s">
        <v>25</v>
      </c>
      <c r="S521" t="s">
        <v>25</v>
      </c>
    </row>
    <row r="522" spans="1:19" x14ac:dyDescent="0.25">
      <c r="A522">
        <v>6</v>
      </c>
      <c r="B522" t="s">
        <v>167</v>
      </c>
      <c r="C522" t="str">
        <f>HYPERLINK("http://www.ncbi.nlm.nih.gov/protein/XP_008929224.3","XP_008929224.3")</f>
        <v>XP_008929224.3</v>
      </c>
      <c r="D522">
        <v>37258</v>
      </c>
      <c r="E522" t="str">
        <f>HYPERLINK("http://www.ncbi.nlm.nih.gov/Taxonomy/Browser/wwwtax.cgi?mode=Info&amp;id=328815&amp;lvl=3&amp;lin=f&amp;keep=1&amp;srchmode=1&amp;unlock","328815")</f>
        <v>328815</v>
      </c>
      <c r="F522" t="s">
        <v>167</v>
      </c>
      <c r="G522" t="str">
        <f>HYPERLINK("http://www.ncbi.nlm.nih.gov/Taxonomy/Browser/wwwtax.cgi?mode=Info&amp;id=328815&amp;lvl=3&amp;lin=f&amp;keep=1&amp;srchmode=1&amp;unlock","Manacus vitellinus")</f>
        <v>Manacus vitellinus</v>
      </c>
      <c r="H522" t="s">
        <v>488</v>
      </c>
      <c r="I522" t="str">
        <f>HYPERLINK("http://www.ncbi.nlm.nih.gov/protein/XP_008929224.3","fatty acid-binding protein, liver")</f>
        <v>fatty acid-binding protein, liver</v>
      </c>
      <c r="J522" t="s">
        <v>1386</v>
      </c>
      <c r="K522" t="s">
        <v>25</v>
      </c>
      <c r="L522">
        <v>50</v>
      </c>
      <c r="M522" t="s">
        <v>1383</v>
      </c>
      <c r="N522" t="s">
        <v>25</v>
      </c>
      <c r="O522" t="s">
        <v>1355</v>
      </c>
      <c r="P522" t="s">
        <v>25</v>
      </c>
      <c r="Q522">
        <v>131.17500000000001</v>
      </c>
      <c r="R522" t="s">
        <v>25</v>
      </c>
      <c r="S522" t="s">
        <v>25</v>
      </c>
    </row>
    <row r="523" spans="1:19" x14ac:dyDescent="0.25">
      <c r="A523">
        <v>6</v>
      </c>
      <c r="B523" t="s">
        <v>167</v>
      </c>
      <c r="C523" t="str">
        <f>HYPERLINK("http://www.ncbi.nlm.nih.gov/protein/NXA31413.1","NXA31413.1")</f>
        <v>NXA31413.1</v>
      </c>
      <c r="D523">
        <v>13771</v>
      </c>
      <c r="E523" t="str">
        <f>HYPERLINK("http://www.ncbi.nlm.nih.gov/Taxonomy/Browser/wwwtax.cgi?mode=Info&amp;id=8805&amp;lvl=3&amp;lin=f&amp;keep=1&amp;srchmode=1&amp;unlock","8805")</f>
        <v>8805</v>
      </c>
      <c r="F523" t="s">
        <v>167</v>
      </c>
      <c r="G523" t="str">
        <f>HYPERLINK("http://www.ncbi.nlm.nih.gov/Taxonomy/Browser/wwwtax.cgi?mode=Info&amp;id=8805&amp;lvl=3&amp;lin=f&amp;keep=1&amp;srchmode=1&amp;unlock","Eudromia elegans")</f>
        <v>Eudromia elegans</v>
      </c>
      <c r="H523" t="s">
        <v>485</v>
      </c>
      <c r="I523" t="str">
        <f>HYPERLINK("http://www.ncbi.nlm.nih.gov/protein/NXA31413.1","FABPL protein")</f>
        <v>FABPL protein</v>
      </c>
      <c r="J523" t="s">
        <v>1386</v>
      </c>
      <c r="K523" t="s">
        <v>25</v>
      </c>
      <c r="L523">
        <v>50</v>
      </c>
      <c r="M523" t="s">
        <v>1383</v>
      </c>
      <c r="N523" t="s">
        <v>25</v>
      </c>
      <c r="O523" t="s">
        <v>1355</v>
      </c>
      <c r="P523" t="s">
        <v>25</v>
      </c>
      <c r="Q523">
        <v>131.17500000000001</v>
      </c>
      <c r="R523" t="s">
        <v>25</v>
      </c>
      <c r="S523" t="s">
        <v>25</v>
      </c>
    </row>
    <row r="524" spans="1:19" x14ac:dyDescent="0.25">
      <c r="A524">
        <v>6</v>
      </c>
      <c r="B524" t="s">
        <v>167</v>
      </c>
      <c r="C524" t="str">
        <f>HYPERLINK("http://www.ncbi.nlm.nih.gov/protein/NWU41497.1","NWU41497.1")</f>
        <v>NWU41497.1</v>
      </c>
      <c r="D524">
        <v>13565</v>
      </c>
      <c r="E524" t="str">
        <f>HYPERLINK("http://www.ncbi.nlm.nih.gov/Taxonomy/Browser/wwwtax.cgi?mode=Info&amp;id=208073&amp;lvl=3&amp;lin=f&amp;keep=1&amp;srchmode=1&amp;unlock","208073")</f>
        <v>208073</v>
      </c>
      <c r="F524" t="s">
        <v>167</v>
      </c>
      <c r="G524" t="str">
        <f>HYPERLINK("http://www.ncbi.nlm.nih.gov/Taxonomy/Browser/wwwtax.cgi?mode=Info&amp;id=208073&amp;lvl=3&amp;lin=f&amp;keep=1&amp;srchmode=1&amp;unlock","Hylia prasina")</f>
        <v>Hylia prasina</v>
      </c>
      <c r="H524" t="s">
        <v>486</v>
      </c>
      <c r="I524" t="str">
        <f>HYPERLINK("http://www.ncbi.nlm.nih.gov/protein/NWU41497.1","FABPL protein")</f>
        <v>FABPL protein</v>
      </c>
      <c r="J524" t="s">
        <v>1386</v>
      </c>
      <c r="K524" t="s">
        <v>25</v>
      </c>
      <c r="L524">
        <v>50</v>
      </c>
      <c r="M524" t="s">
        <v>1382</v>
      </c>
      <c r="N524" t="s">
        <v>25</v>
      </c>
      <c r="O524" t="s">
        <v>1355</v>
      </c>
      <c r="P524" t="s">
        <v>25</v>
      </c>
      <c r="Q524">
        <v>131.17500000000001</v>
      </c>
      <c r="R524" t="s">
        <v>25</v>
      </c>
      <c r="S524" t="s">
        <v>25</v>
      </c>
    </row>
    <row r="525" spans="1:19" x14ac:dyDescent="0.25">
      <c r="A525">
        <v>6</v>
      </c>
      <c r="B525" t="s">
        <v>167</v>
      </c>
      <c r="C525" t="str">
        <f>HYPERLINK("http://www.ncbi.nlm.nih.gov/protein/NXA75040.1","NXA75040.1")</f>
        <v>NXA75040.1</v>
      </c>
      <c r="D525">
        <v>13718</v>
      </c>
      <c r="E525" t="str">
        <f>HYPERLINK("http://www.ncbi.nlm.nih.gov/Taxonomy/Browser/wwwtax.cgi?mode=Info&amp;id=74200&amp;lvl=3&amp;lin=f&amp;keep=1&amp;srchmode=1&amp;unlock","74200")</f>
        <v>74200</v>
      </c>
      <c r="F525" t="s">
        <v>167</v>
      </c>
      <c r="G525" t="str">
        <f>HYPERLINK("http://www.ncbi.nlm.nih.gov/Taxonomy/Browser/wwwtax.cgi?mode=Info&amp;id=74200&amp;lvl=3&amp;lin=f&amp;keep=1&amp;srchmode=1&amp;unlock","Thryothorus ludovicianus")</f>
        <v>Thryothorus ludovicianus</v>
      </c>
      <c r="H525" t="s">
        <v>487</v>
      </c>
      <c r="I525" t="str">
        <f>HYPERLINK("http://www.ncbi.nlm.nih.gov/protein/NXA75040.1","FABPL protein")</f>
        <v>FABPL protein</v>
      </c>
      <c r="J525" t="s">
        <v>1386</v>
      </c>
      <c r="K525" t="s">
        <v>25</v>
      </c>
      <c r="L525">
        <v>50</v>
      </c>
      <c r="M525" t="s">
        <v>1379</v>
      </c>
      <c r="N525" t="s">
        <v>25</v>
      </c>
      <c r="O525" t="s">
        <v>1355</v>
      </c>
      <c r="P525" t="s">
        <v>25</v>
      </c>
      <c r="Q525">
        <v>117.148</v>
      </c>
      <c r="R525" t="s">
        <v>25</v>
      </c>
      <c r="S525" t="s">
        <v>25</v>
      </c>
    </row>
    <row r="526" spans="1:19" x14ac:dyDescent="0.25">
      <c r="A526">
        <v>6</v>
      </c>
      <c r="B526" t="s">
        <v>167</v>
      </c>
      <c r="C526" t="str">
        <f>HYPERLINK("http://www.ncbi.nlm.nih.gov/protein/XP_027522972.1","XP_027522972.1")</f>
        <v>XP_027522972.1</v>
      </c>
      <c r="D526">
        <v>39234</v>
      </c>
      <c r="E526" t="str">
        <f>HYPERLINK("http://www.ncbi.nlm.nih.gov/Taxonomy/Browser/wwwtax.cgi?mode=Info&amp;id=415028&amp;lvl=3&amp;lin=f&amp;keep=1&amp;srchmode=1&amp;unlock","415028")</f>
        <v>415028</v>
      </c>
      <c r="F526" t="s">
        <v>167</v>
      </c>
      <c r="G526" t="str">
        <f>HYPERLINK("http://www.ncbi.nlm.nih.gov/Taxonomy/Browser/wwwtax.cgi?mode=Info&amp;id=415028&amp;lvl=3&amp;lin=f&amp;keep=1&amp;srchmode=1&amp;unlock","Corapipo altera")</f>
        <v>Corapipo altera</v>
      </c>
      <c r="H526" t="s">
        <v>493</v>
      </c>
      <c r="I526" t="str">
        <f>HYPERLINK("http://www.ncbi.nlm.nih.gov/protein/XP_027522972.1","fatty acid-binding protein, liver")</f>
        <v>fatty acid-binding protein, liver</v>
      </c>
      <c r="J526" t="s">
        <v>1386</v>
      </c>
      <c r="K526" t="s">
        <v>25</v>
      </c>
      <c r="L526">
        <v>50</v>
      </c>
      <c r="M526" t="s">
        <v>1379</v>
      </c>
      <c r="N526" t="s">
        <v>25</v>
      </c>
      <c r="O526" t="s">
        <v>1355</v>
      </c>
      <c r="P526" t="s">
        <v>25</v>
      </c>
      <c r="Q526">
        <v>117.148</v>
      </c>
      <c r="R526" t="s">
        <v>25</v>
      </c>
      <c r="S526" t="s">
        <v>25</v>
      </c>
    </row>
    <row r="527" spans="1:19" x14ac:dyDescent="0.25">
      <c r="A527">
        <v>6</v>
      </c>
      <c r="B527" t="s">
        <v>167</v>
      </c>
      <c r="C527" t="str">
        <f>HYPERLINK("http://www.ncbi.nlm.nih.gov/protein/NWW73441.1","NWW73441.1")</f>
        <v>NWW73441.1</v>
      </c>
      <c r="D527">
        <v>14135</v>
      </c>
      <c r="E527" t="str">
        <f>HYPERLINK("http://www.ncbi.nlm.nih.gov/Taxonomy/Browser/wwwtax.cgi?mode=Info&amp;id=47695&amp;lvl=3&amp;lin=f&amp;keep=1&amp;srchmode=1&amp;unlock","47695")</f>
        <v>47695</v>
      </c>
      <c r="F527" t="s">
        <v>167</v>
      </c>
      <c r="G527" t="str">
        <f>HYPERLINK("http://www.ncbi.nlm.nih.gov/Taxonomy/Browser/wwwtax.cgi?mode=Info&amp;id=47695&amp;lvl=3&amp;lin=f&amp;keep=1&amp;srchmode=1&amp;unlock","Climacteris rufus")</f>
        <v>Climacteris rufus</v>
      </c>
      <c r="H527" t="s">
        <v>495</v>
      </c>
      <c r="I527" t="str">
        <f>HYPERLINK("http://www.ncbi.nlm.nih.gov/protein/NWW73441.1","FABPL protein")</f>
        <v>FABPL protein</v>
      </c>
      <c r="J527" t="s">
        <v>1386</v>
      </c>
      <c r="K527" t="s">
        <v>25</v>
      </c>
      <c r="L527">
        <v>50</v>
      </c>
      <c r="M527" t="s">
        <v>1383</v>
      </c>
      <c r="N527" t="s">
        <v>25</v>
      </c>
      <c r="O527" t="s">
        <v>1355</v>
      </c>
      <c r="P527" t="s">
        <v>25</v>
      </c>
      <c r="Q527">
        <v>131.17500000000001</v>
      </c>
      <c r="R527" t="s">
        <v>25</v>
      </c>
      <c r="S527" t="s">
        <v>25</v>
      </c>
    </row>
    <row r="528" spans="1:19" x14ac:dyDescent="0.25">
      <c r="A528">
        <v>6</v>
      </c>
      <c r="B528" t="s">
        <v>167</v>
      </c>
      <c r="C528" t="str">
        <f>HYPERLINK("http://www.ncbi.nlm.nih.gov/protein/NXQ16868.1","NXQ16868.1")</f>
        <v>NXQ16868.1</v>
      </c>
      <c r="D528">
        <v>13701</v>
      </c>
      <c r="E528" t="str">
        <f>HYPERLINK("http://www.ncbi.nlm.nih.gov/Taxonomy/Browser/wwwtax.cgi?mode=Info&amp;id=135441&amp;lvl=3&amp;lin=f&amp;keep=1&amp;srchmode=1&amp;unlock","135441")</f>
        <v>135441</v>
      </c>
      <c r="F528" t="s">
        <v>167</v>
      </c>
      <c r="G528" t="str">
        <f>HYPERLINK("http://www.ncbi.nlm.nih.gov/Taxonomy/Browser/wwwtax.cgi?mode=Info&amp;id=135441&amp;lvl=3&amp;lin=f&amp;keep=1&amp;srchmode=1&amp;unlock","Peucedramus taeniatus")</f>
        <v>Peucedramus taeniatus</v>
      </c>
      <c r="H528" t="s">
        <v>496</v>
      </c>
      <c r="I528" t="str">
        <f>HYPERLINK("http://www.ncbi.nlm.nih.gov/protein/NXQ16868.1","FABPL protein")</f>
        <v>FABPL protein</v>
      </c>
      <c r="J528" t="s">
        <v>1386</v>
      </c>
      <c r="K528" t="s">
        <v>25</v>
      </c>
      <c r="L528">
        <v>50</v>
      </c>
      <c r="M528" t="s">
        <v>1379</v>
      </c>
      <c r="N528" t="s">
        <v>25</v>
      </c>
      <c r="O528" t="s">
        <v>1355</v>
      </c>
      <c r="P528" t="s">
        <v>25</v>
      </c>
      <c r="Q528">
        <v>117.148</v>
      </c>
      <c r="R528" t="s">
        <v>25</v>
      </c>
      <c r="S528" t="s">
        <v>25</v>
      </c>
    </row>
    <row r="529" spans="1:19" x14ac:dyDescent="0.25">
      <c r="A529">
        <v>6</v>
      </c>
      <c r="B529" t="s">
        <v>167</v>
      </c>
      <c r="C529" t="str">
        <f>HYPERLINK("http://www.ncbi.nlm.nih.gov/protein/NWS47962.1","NWS47962.1")</f>
        <v>NWS47962.1</v>
      </c>
      <c r="D529">
        <v>14029</v>
      </c>
      <c r="E529" t="str">
        <f>HYPERLINK("http://www.ncbi.nlm.nih.gov/Taxonomy/Browser/wwwtax.cgi?mode=Info&amp;id=141839&amp;lvl=3&amp;lin=f&amp;keep=1&amp;srchmode=1&amp;unlock","141839")</f>
        <v>141839</v>
      </c>
      <c r="F529" t="s">
        <v>167</v>
      </c>
      <c r="G529" t="str">
        <f>HYPERLINK("http://www.ncbi.nlm.nih.gov/Taxonomy/Browser/wwwtax.cgi?mode=Info&amp;id=141839&amp;lvl=3&amp;lin=f&amp;keep=1&amp;srchmode=1&amp;unlock","Probosciger aterrimus")</f>
        <v>Probosciger aterrimus</v>
      </c>
      <c r="H529" t="s">
        <v>497</v>
      </c>
      <c r="I529" t="str">
        <f>HYPERLINK("http://www.ncbi.nlm.nih.gov/protein/NWS47962.1","FABPL protein")</f>
        <v>FABPL protein</v>
      </c>
      <c r="J529" t="s">
        <v>1386</v>
      </c>
      <c r="K529" t="s">
        <v>25</v>
      </c>
      <c r="L529">
        <v>50</v>
      </c>
      <c r="M529" t="s">
        <v>1383</v>
      </c>
      <c r="N529" t="s">
        <v>25</v>
      </c>
      <c r="O529" t="s">
        <v>1355</v>
      </c>
      <c r="P529" t="s">
        <v>25</v>
      </c>
      <c r="Q529">
        <v>131.17500000000001</v>
      </c>
      <c r="R529" t="s">
        <v>25</v>
      </c>
      <c r="S529" t="s">
        <v>25</v>
      </c>
    </row>
    <row r="530" spans="1:19" x14ac:dyDescent="0.25">
      <c r="A530">
        <v>6</v>
      </c>
      <c r="B530" t="s">
        <v>167</v>
      </c>
      <c r="C530" t="str">
        <f>HYPERLINK("http://www.ncbi.nlm.nih.gov/protein/NXB19095.1","NXB19095.1")</f>
        <v>NXB19095.1</v>
      </c>
      <c r="D530">
        <v>14272</v>
      </c>
      <c r="E530" t="str">
        <f>HYPERLINK("http://www.ncbi.nlm.nih.gov/Taxonomy/Browser/wwwtax.cgi?mode=Info&amp;id=156170&amp;lvl=3&amp;lin=f&amp;keep=1&amp;srchmode=1&amp;unlock","156170")</f>
        <v>156170</v>
      </c>
      <c r="F530" t="s">
        <v>167</v>
      </c>
      <c r="G530" t="str">
        <f>HYPERLINK("http://www.ncbi.nlm.nih.gov/Taxonomy/Browser/wwwtax.cgi?mode=Info&amp;id=156170&amp;lvl=3&amp;lin=f&amp;keep=1&amp;srchmode=1&amp;unlock","Rhagologus leucostigma")</f>
        <v>Rhagologus leucostigma</v>
      </c>
      <c r="H530" t="s">
        <v>502</v>
      </c>
      <c r="I530" t="str">
        <f>HYPERLINK("http://www.ncbi.nlm.nih.gov/protein/NXB19095.1","FABPL protein")</f>
        <v>FABPL protein</v>
      </c>
      <c r="J530" t="s">
        <v>1386</v>
      </c>
      <c r="K530" t="s">
        <v>25</v>
      </c>
      <c r="L530">
        <v>50</v>
      </c>
      <c r="M530" t="s">
        <v>1379</v>
      </c>
      <c r="N530" t="s">
        <v>25</v>
      </c>
      <c r="O530" t="s">
        <v>1355</v>
      </c>
      <c r="P530" t="s">
        <v>25</v>
      </c>
      <c r="Q530">
        <v>117.148</v>
      </c>
      <c r="R530" t="s">
        <v>25</v>
      </c>
      <c r="S530" t="s">
        <v>25</v>
      </c>
    </row>
    <row r="531" spans="1:19" x14ac:dyDescent="0.25">
      <c r="A531">
        <v>6</v>
      </c>
      <c r="B531" t="s">
        <v>167</v>
      </c>
      <c r="C531" t="str">
        <f>HYPERLINK("http://www.ncbi.nlm.nih.gov/protein/NWR05044.1","NWR05044.1")</f>
        <v>NWR05044.1</v>
      </c>
      <c r="D531">
        <v>14772</v>
      </c>
      <c r="E531" t="str">
        <f>HYPERLINK("http://www.ncbi.nlm.nih.gov/Taxonomy/Browser/wwwtax.cgi?mode=Info&amp;id=337173&amp;lvl=3&amp;lin=f&amp;keep=1&amp;srchmode=1&amp;unlock","337173")</f>
        <v>337173</v>
      </c>
      <c r="F531" t="s">
        <v>167</v>
      </c>
      <c r="G531" t="str">
        <f>HYPERLINK("http://www.ncbi.nlm.nih.gov/Taxonomy/Browser/wwwtax.cgi?mode=Info&amp;id=337173&amp;lvl=3&amp;lin=f&amp;keep=1&amp;srchmode=1&amp;unlock","Sinosuthora webbiana")</f>
        <v>Sinosuthora webbiana</v>
      </c>
      <c r="H531" t="s">
        <v>503</v>
      </c>
      <c r="I531" t="str">
        <f>HYPERLINK("http://www.ncbi.nlm.nih.gov/protein/NWR05044.1","FABPL protein")</f>
        <v>FABPL protein</v>
      </c>
      <c r="J531" t="s">
        <v>1386</v>
      </c>
      <c r="K531" t="s">
        <v>25</v>
      </c>
      <c r="L531">
        <v>50</v>
      </c>
      <c r="M531" t="s">
        <v>1315</v>
      </c>
      <c r="N531" t="s">
        <v>25</v>
      </c>
      <c r="O531" t="s">
        <v>1354</v>
      </c>
      <c r="P531" t="s">
        <v>25</v>
      </c>
      <c r="Q531">
        <v>119.119</v>
      </c>
      <c r="R531" t="s">
        <v>25</v>
      </c>
      <c r="S531" t="s">
        <v>25</v>
      </c>
    </row>
    <row r="532" spans="1:19" x14ac:dyDescent="0.25">
      <c r="A532">
        <v>6</v>
      </c>
      <c r="B532" t="s">
        <v>167</v>
      </c>
      <c r="C532" t="str">
        <f>HYPERLINK("http://www.ncbi.nlm.nih.gov/protein/XP_010077592.1","XP_010077592.1")</f>
        <v>XP_010077592.1</v>
      </c>
      <c r="D532">
        <v>27073</v>
      </c>
      <c r="E532" t="str">
        <f>HYPERLINK("http://www.ncbi.nlm.nih.gov/Taxonomy/Browser/wwwtax.cgi?mode=Info&amp;id=240206&amp;lvl=3&amp;lin=f&amp;keep=1&amp;srchmode=1&amp;unlock","240206")</f>
        <v>240206</v>
      </c>
      <c r="F532" t="s">
        <v>167</v>
      </c>
      <c r="G532" t="str">
        <f>HYPERLINK("http://www.ncbi.nlm.nih.gov/Taxonomy/Browser/wwwtax.cgi?mode=Info&amp;id=240206&amp;lvl=3&amp;lin=f&amp;keep=1&amp;srchmode=1&amp;unlock","Pterocles gutturalis")</f>
        <v>Pterocles gutturalis</v>
      </c>
      <c r="H532" t="s">
        <v>504</v>
      </c>
      <c r="I532" t="str">
        <f>HYPERLINK("http://www.ncbi.nlm.nih.gov/protein/XP_010077592.1","PREDICTED: fatty acid-binding protein, liver")</f>
        <v>PREDICTED: fatty acid-binding protein, liver</v>
      </c>
      <c r="J532" t="s">
        <v>1386</v>
      </c>
      <c r="K532" t="s">
        <v>25</v>
      </c>
      <c r="L532">
        <v>50</v>
      </c>
      <c r="M532" t="s">
        <v>1379</v>
      </c>
      <c r="N532" t="s">
        <v>25</v>
      </c>
      <c r="O532" t="s">
        <v>1355</v>
      </c>
      <c r="P532" t="s">
        <v>25</v>
      </c>
      <c r="Q532">
        <v>117.148</v>
      </c>
      <c r="R532" t="s">
        <v>25</v>
      </c>
      <c r="S532" t="s">
        <v>25</v>
      </c>
    </row>
    <row r="533" spans="1:19" x14ac:dyDescent="0.25">
      <c r="A533">
        <v>6</v>
      </c>
      <c r="B533" t="s">
        <v>167</v>
      </c>
      <c r="C533" t="str">
        <f>HYPERLINK("http://www.ncbi.nlm.nih.gov/protein/NWV86238.1","NWV86238.1")</f>
        <v>NWV86238.1</v>
      </c>
      <c r="D533">
        <v>14411</v>
      </c>
      <c r="E533" t="str">
        <f>HYPERLINK("http://www.ncbi.nlm.nih.gov/Taxonomy/Browser/wwwtax.cgi?mode=Info&amp;id=243059&amp;lvl=3&amp;lin=f&amp;keep=1&amp;srchmode=1&amp;unlock","243059")</f>
        <v>243059</v>
      </c>
      <c r="F533" t="s">
        <v>167</v>
      </c>
      <c r="G533" t="str">
        <f>HYPERLINK("http://www.ncbi.nlm.nih.gov/Taxonomy/Browser/wwwtax.cgi?mode=Info&amp;id=243059&amp;lvl=3&amp;lin=f&amp;keep=1&amp;srchmode=1&amp;unlock","Dasyornis broadbenti")</f>
        <v>Dasyornis broadbenti</v>
      </c>
      <c r="H533" t="s">
        <v>505</v>
      </c>
      <c r="I533" t="str">
        <f>HYPERLINK("http://www.ncbi.nlm.nih.gov/protein/NWV86238.1","FABPL protein")</f>
        <v>FABPL protein</v>
      </c>
      <c r="J533" t="s">
        <v>1386</v>
      </c>
      <c r="K533" t="s">
        <v>25</v>
      </c>
      <c r="L533">
        <v>50</v>
      </c>
      <c r="M533" t="s">
        <v>1383</v>
      </c>
      <c r="N533" t="s">
        <v>25</v>
      </c>
      <c r="O533" t="s">
        <v>1355</v>
      </c>
      <c r="P533" t="s">
        <v>25</v>
      </c>
      <c r="Q533">
        <v>131.17500000000001</v>
      </c>
      <c r="R533" t="s">
        <v>25</v>
      </c>
      <c r="S533" t="s">
        <v>25</v>
      </c>
    </row>
    <row r="534" spans="1:19" x14ac:dyDescent="0.25">
      <c r="A534">
        <v>6</v>
      </c>
      <c r="B534" t="s">
        <v>167</v>
      </c>
      <c r="C534" t="str">
        <f>HYPERLINK("http://www.ncbi.nlm.nih.gov/protein/NXE07216.1","NXE07216.1")</f>
        <v>NXE07216.1</v>
      </c>
      <c r="D534">
        <v>13942</v>
      </c>
      <c r="E534" t="str">
        <f>HYPERLINK("http://www.ncbi.nlm.nih.gov/Taxonomy/Browser/wwwtax.cgi?mode=Info&amp;id=172689&amp;lvl=3&amp;lin=f&amp;keep=1&amp;srchmode=1&amp;unlock","172689")</f>
        <v>172689</v>
      </c>
      <c r="F534" t="s">
        <v>167</v>
      </c>
      <c r="G534" t="str">
        <f>HYPERLINK("http://www.ncbi.nlm.nih.gov/Taxonomy/Browser/wwwtax.cgi?mode=Info&amp;id=172689&amp;lvl=3&amp;lin=f&amp;keep=1&amp;srchmode=1&amp;unlock","Lophotis ruficrista")</f>
        <v>Lophotis ruficrista</v>
      </c>
      <c r="H534" t="s">
        <v>182</v>
      </c>
      <c r="I534" t="str">
        <f>HYPERLINK("http://www.ncbi.nlm.nih.gov/protein/NXE07216.1","FABPL protein")</f>
        <v>FABPL protein</v>
      </c>
      <c r="J534" t="s">
        <v>1386</v>
      </c>
      <c r="K534" t="s">
        <v>25</v>
      </c>
      <c r="L534">
        <v>50</v>
      </c>
      <c r="M534" t="s">
        <v>1383</v>
      </c>
      <c r="N534" t="s">
        <v>25</v>
      </c>
      <c r="O534" t="s">
        <v>1355</v>
      </c>
      <c r="P534" t="s">
        <v>25</v>
      </c>
      <c r="Q534">
        <v>131.17500000000001</v>
      </c>
      <c r="R534" t="s">
        <v>25</v>
      </c>
      <c r="S534" t="s">
        <v>25</v>
      </c>
    </row>
    <row r="535" spans="1:19" x14ac:dyDescent="0.25">
      <c r="A535">
        <v>6</v>
      </c>
      <c r="B535" t="s">
        <v>167</v>
      </c>
      <c r="C535" t="str">
        <f>HYPERLINK("http://www.ncbi.nlm.nih.gov/protein/NXT29598.1","NXT29598.1")</f>
        <v>NXT29598.1</v>
      </c>
      <c r="D535">
        <v>13562</v>
      </c>
      <c r="E535" t="str">
        <f>HYPERLINK("http://www.ncbi.nlm.nih.gov/Taxonomy/Browser/wwwtax.cgi?mode=Info&amp;id=302527&amp;lvl=3&amp;lin=f&amp;keep=1&amp;srchmode=1&amp;unlock","302527")</f>
        <v>302527</v>
      </c>
      <c r="F535" t="s">
        <v>167</v>
      </c>
      <c r="G535" t="str">
        <f>HYPERLINK("http://www.ncbi.nlm.nih.gov/Taxonomy/Browser/wwwtax.cgi?mode=Info&amp;id=302527&amp;lvl=3&amp;lin=f&amp;keep=1&amp;srchmode=1&amp;unlock","Syrrhaptes paradoxus")</f>
        <v>Syrrhaptes paradoxus</v>
      </c>
      <c r="H535" t="s">
        <v>509</v>
      </c>
      <c r="I535" t="str">
        <f>HYPERLINK("http://www.ncbi.nlm.nih.gov/protein/NXT29598.1","FABPL protein")</f>
        <v>FABPL protein</v>
      </c>
      <c r="J535" t="s">
        <v>1386</v>
      </c>
      <c r="K535" t="s">
        <v>25</v>
      </c>
      <c r="L535">
        <v>50</v>
      </c>
      <c r="M535" t="s">
        <v>1379</v>
      </c>
      <c r="N535" t="s">
        <v>25</v>
      </c>
      <c r="O535" t="s">
        <v>1355</v>
      </c>
      <c r="P535" t="s">
        <v>25</v>
      </c>
      <c r="Q535">
        <v>117.148</v>
      </c>
      <c r="R535" t="s">
        <v>25</v>
      </c>
      <c r="S535" t="s">
        <v>25</v>
      </c>
    </row>
    <row r="536" spans="1:19" x14ac:dyDescent="0.25">
      <c r="A536">
        <v>6</v>
      </c>
      <c r="B536" t="s">
        <v>167</v>
      </c>
      <c r="C536" t="str">
        <f>HYPERLINK("http://www.ncbi.nlm.nih.gov/protein/NWX87093.1","NWX87093.1")</f>
        <v>NWX87093.1</v>
      </c>
      <c r="D536">
        <v>13431</v>
      </c>
      <c r="E536" t="str">
        <f>HYPERLINK("http://www.ncbi.nlm.nih.gov/Taxonomy/Browser/wwwtax.cgi?mode=Info&amp;id=2585814&amp;lvl=3&amp;lin=f&amp;keep=1&amp;srchmode=1&amp;unlock","2585814")</f>
        <v>2585814</v>
      </c>
      <c r="F536" t="s">
        <v>167</v>
      </c>
      <c r="G536" t="str">
        <f>HYPERLINK("http://www.ncbi.nlm.nih.gov/Taxonomy/Browser/wwwtax.cgi?mode=Info&amp;id=2585814&amp;lvl=3&amp;lin=f&amp;keep=1&amp;srchmode=1&amp;unlock","Nothoprocta pentlandii")</f>
        <v>Nothoprocta pentlandii</v>
      </c>
      <c r="H536" t="s">
        <v>196</v>
      </c>
      <c r="I536" t="str">
        <f>HYPERLINK("http://www.ncbi.nlm.nih.gov/protein/NWX87093.1","FABPL protein")</f>
        <v>FABPL protein</v>
      </c>
      <c r="J536" t="s">
        <v>1386</v>
      </c>
      <c r="K536" t="s">
        <v>20</v>
      </c>
      <c r="L536">
        <v>50</v>
      </c>
      <c r="M536" t="s">
        <v>1380</v>
      </c>
      <c r="N536" t="s">
        <v>20</v>
      </c>
      <c r="O536" t="s">
        <v>1394</v>
      </c>
      <c r="P536" t="s">
        <v>20</v>
      </c>
      <c r="Q536">
        <v>165.19200000000001</v>
      </c>
      <c r="R536" t="s">
        <v>20</v>
      </c>
      <c r="S536" t="s">
        <v>20</v>
      </c>
    </row>
    <row r="537" spans="1:19" x14ac:dyDescent="0.25">
      <c r="A537">
        <v>6</v>
      </c>
      <c r="B537" t="s">
        <v>167</v>
      </c>
      <c r="C537" t="str">
        <f>HYPERLINK("http://www.ncbi.nlm.nih.gov/protein/NXH50913.1","NXH50913.1")</f>
        <v>NXH50913.1</v>
      </c>
      <c r="D537">
        <v>13663</v>
      </c>
      <c r="E537" t="str">
        <f>HYPERLINK("http://www.ncbi.nlm.nih.gov/Taxonomy/Browser/wwwtax.cgi?mode=Info&amp;id=667154&amp;lvl=3&amp;lin=f&amp;keep=1&amp;srchmode=1&amp;unlock","667154")</f>
        <v>667154</v>
      </c>
      <c r="F537" t="s">
        <v>167</v>
      </c>
      <c r="G537" t="str">
        <f>HYPERLINK("http://www.ncbi.nlm.nih.gov/Taxonomy/Browser/wwwtax.cgi?mode=Info&amp;id=667154&amp;lvl=3&amp;lin=f&amp;keep=1&amp;srchmode=1&amp;unlock","Dicaeum eximium")</f>
        <v>Dicaeum eximium</v>
      </c>
      <c r="H537" t="s">
        <v>206</v>
      </c>
      <c r="I537" t="str">
        <f>HYPERLINK("http://www.ncbi.nlm.nih.gov/protein/NXH50913.1","FABPL protein")</f>
        <v>FABPL protein</v>
      </c>
      <c r="J537" t="s">
        <v>1386</v>
      </c>
      <c r="K537" t="s">
        <v>25</v>
      </c>
      <c r="L537">
        <v>50</v>
      </c>
      <c r="M537" t="s">
        <v>1379</v>
      </c>
      <c r="N537" t="s">
        <v>25</v>
      </c>
      <c r="O537" t="s">
        <v>1355</v>
      </c>
      <c r="P537" t="s">
        <v>25</v>
      </c>
      <c r="Q537">
        <v>117.148</v>
      </c>
      <c r="R537" t="s">
        <v>25</v>
      </c>
      <c r="S537" t="s">
        <v>25</v>
      </c>
    </row>
    <row r="538" spans="1:19" x14ac:dyDescent="0.25">
      <c r="A538">
        <v>6</v>
      </c>
      <c r="B538" t="s">
        <v>167</v>
      </c>
      <c r="C538" t="str">
        <f>HYPERLINK("http://www.ncbi.nlm.nih.gov/protein/NWX96389.1","NWX96389.1")</f>
        <v>NWX96389.1</v>
      </c>
      <c r="D538">
        <v>13754</v>
      </c>
      <c r="E538" t="str">
        <f>HYPERLINK("http://www.ncbi.nlm.nih.gov/Taxonomy/Browser/wwwtax.cgi?mode=Info&amp;id=83376&amp;lvl=3&amp;lin=f&amp;keep=1&amp;srchmode=1&amp;unlock","83376")</f>
        <v>83376</v>
      </c>
      <c r="F538" t="s">
        <v>167</v>
      </c>
      <c r="G538" t="str">
        <f>HYPERLINK("http://www.ncbi.nlm.nih.gov/Taxonomy/Browser/wwwtax.cgi?mode=Info&amp;id=83376&amp;lvl=3&amp;lin=f&amp;keep=1&amp;srchmode=1&amp;unlock","Nothoprocta ornata")</f>
        <v>Nothoprocta ornata</v>
      </c>
      <c r="H538" t="s">
        <v>196</v>
      </c>
      <c r="I538" t="str">
        <f>HYPERLINK("http://www.ncbi.nlm.nih.gov/protein/NWX96389.1","FABPL protein")</f>
        <v>FABPL protein</v>
      </c>
      <c r="J538" t="s">
        <v>1386</v>
      </c>
      <c r="K538" t="s">
        <v>20</v>
      </c>
      <c r="L538">
        <v>50</v>
      </c>
      <c r="M538" t="s">
        <v>1380</v>
      </c>
      <c r="N538" t="s">
        <v>20</v>
      </c>
      <c r="O538" t="s">
        <v>1394</v>
      </c>
      <c r="P538" t="s">
        <v>20</v>
      </c>
      <c r="Q538">
        <v>165.19200000000001</v>
      </c>
      <c r="R538" t="s">
        <v>20</v>
      </c>
      <c r="S538" t="s">
        <v>20</v>
      </c>
    </row>
    <row r="539" spans="1:19" x14ac:dyDescent="0.25">
      <c r="A539">
        <v>6</v>
      </c>
      <c r="B539" t="s">
        <v>167</v>
      </c>
      <c r="C539" t="str">
        <f>HYPERLINK("http://www.ncbi.nlm.nih.gov/protein/NXJ35422.1","NXJ35422.1")</f>
        <v>NXJ35422.1</v>
      </c>
      <c r="D539">
        <v>13317</v>
      </c>
      <c r="E539" t="str">
        <f>HYPERLINK("http://www.ncbi.nlm.nih.gov/Taxonomy/Browser/wwwtax.cgi?mode=Info&amp;id=52777&amp;lvl=3&amp;lin=f&amp;keep=1&amp;srchmode=1&amp;unlock","52777")</f>
        <v>52777</v>
      </c>
      <c r="F539" t="s">
        <v>167</v>
      </c>
      <c r="G539" t="str">
        <f>HYPERLINK("http://www.ncbi.nlm.nih.gov/Taxonomy/Browser/wwwtax.cgi?mode=Info&amp;id=52777&amp;lvl=3&amp;lin=f&amp;keep=1&amp;srchmode=1&amp;unlock","Ciconia maguari")</f>
        <v>Ciconia maguari</v>
      </c>
      <c r="H539" t="s">
        <v>514</v>
      </c>
      <c r="I539" t="str">
        <f>HYPERLINK("http://www.ncbi.nlm.nih.gov/protein/NXJ35422.1","FABPL protein")</f>
        <v>FABPL protein</v>
      </c>
      <c r="J539" t="s">
        <v>1386</v>
      </c>
      <c r="K539" t="s">
        <v>25</v>
      </c>
      <c r="L539">
        <v>50</v>
      </c>
      <c r="M539" t="s">
        <v>1379</v>
      </c>
      <c r="N539" t="s">
        <v>25</v>
      </c>
      <c r="O539" t="s">
        <v>1355</v>
      </c>
      <c r="P539" t="s">
        <v>25</v>
      </c>
      <c r="Q539">
        <v>117.148</v>
      </c>
      <c r="R539" t="s">
        <v>25</v>
      </c>
      <c r="S539" t="s">
        <v>25</v>
      </c>
    </row>
    <row r="540" spans="1:19" x14ac:dyDescent="0.25">
      <c r="A540">
        <v>6</v>
      </c>
      <c r="B540" t="s">
        <v>167</v>
      </c>
      <c r="C540" t="str">
        <f>HYPERLINK("http://www.ncbi.nlm.nih.gov/protein/NXS09246.1","NXS09246.1")</f>
        <v>NXS09246.1</v>
      </c>
      <c r="D540">
        <v>8871</v>
      </c>
      <c r="E540" t="str">
        <f>HYPERLINK("http://www.ncbi.nlm.nih.gov/Taxonomy/Browser/wwwtax.cgi?mode=Info&amp;id=254563&amp;lvl=3&amp;lin=f&amp;keep=1&amp;srchmode=1&amp;unlock","254563")</f>
        <v>254563</v>
      </c>
      <c r="F540" t="s">
        <v>167</v>
      </c>
      <c r="G540" t="str">
        <f>HYPERLINK("http://www.ncbi.nlm.nih.gov/Taxonomy/Browser/wwwtax.cgi?mode=Info&amp;id=254563&amp;lvl=3&amp;lin=f&amp;keep=1&amp;srchmode=1&amp;unlock","Neodrepanis coruscans")</f>
        <v>Neodrepanis coruscans</v>
      </c>
      <c r="H540" t="s">
        <v>526</v>
      </c>
      <c r="I540" t="str">
        <f>HYPERLINK("http://www.ncbi.nlm.nih.gov/protein/NXS09246.1","FABPL protein")</f>
        <v>FABPL protein</v>
      </c>
      <c r="J540" t="s">
        <v>1386</v>
      </c>
      <c r="K540" t="s">
        <v>25</v>
      </c>
      <c r="L540">
        <v>50</v>
      </c>
      <c r="M540" t="s">
        <v>1379</v>
      </c>
      <c r="N540" t="s">
        <v>25</v>
      </c>
      <c r="O540" t="s">
        <v>1355</v>
      </c>
      <c r="P540" t="s">
        <v>25</v>
      </c>
      <c r="Q540">
        <v>117.148</v>
      </c>
      <c r="R540" t="s">
        <v>25</v>
      </c>
      <c r="S540" t="s">
        <v>25</v>
      </c>
    </row>
    <row r="541" spans="1:19" x14ac:dyDescent="0.25">
      <c r="A541">
        <v>6</v>
      </c>
      <c r="B541" t="s">
        <v>167</v>
      </c>
      <c r="C541" t="str">
        <f>HYPERLINK("http://www.ncbi.nlm.nih.gov/protein/NWV31892.1","NWV31892.1")</f>
        <v>NWV31892.1</v>
      </c>
      <c r="D541">
        <v>14091</v>
      </c>
      <c r="E541" t="str">
        <f>HYPERLINK("http://www.ncbi.nlm.nih.gov/Taxonomy/Browser/wwwtax.cgi?mode=Info&amp;id=266360&amp;lvl=3&amp;lin=f&amp;keep=1&amp;srchmode=1&amp;unlock","266360")</f>
        <v>266360</v>
      </c>
      <c r="F541" t="s">
        <v>167</v>
      </c>
      <c r="G541" t="str">
        <f>HYPERLINK("http://www.ncbi.nlm.nih.gov/Taxonomy/Browser/wwwtax.cgi?mode=Info&amp;id=266360&amp;lvl=3&amp;lin=f&amp;keep=1&amp;srchmode=1&amp;unlock","Grantiella picta")</f>
        <v>Grantiella picta</v>
      </c>
      <c r="H541" t="s">
        <v>369</v>
      </c>
      <c r="I541" t="str">
        <f>HYPERLINK("http://www.ncbi.nlm.nih.gov/protein/NWV31892.1","FABP1 protein")</f>
        <v>FABP1 protein</v>
      </c>
      <c r="J541" t="s">
        <v>1386</v>
      </c>
      <c r="K541" t="s">
        <v>25</v>
      </c>
      <c r="L541">
        <v>50</v>
      </c>
      <c r="M541" t="s">
        <v>1383</v>
      </c>
      <c r="N541" t="s">
        <v>25</v>
      </c>
      <c r="O541" t="s">
        <v>1355</v>
      </c>
      <c r="P541" t="s">
        <v>25</v>
      </c>
      <c r="Q541">
        <v>131.17500000000001</v>
      </c>
      <c r="R541" t="s">
        <v>25</v>
      </c>
      <c r="S541" t="s">
        <v>25</v>
      </c>
    </row>
    <row r="542" spans="1:19" x14ac:dyDescent="0.25">
      <c r="A542">
        <v>6</v>
      </c>
      <c r="B542" t="s">
        <v>167</v>
      </c>
      <c r="C542" t="str">
        <f>HYPERLINK("http://www.ncbi.nlm.nih.gov/protein/XP_028434716.1","XP_028434716.1")</f>
        <v>XP_028434716.1</v>
      </c>
      <c r="D542">
        <v>65039</v>
      </c>
      <c r="E542" t="str">
        <f>HYPERLINK("http://www.ncbi.nlm.nih.gov/Taxonomy/Browser/wwwtax.cgi?mode=Info&amp;id=8167&amp;lvl=3&amp;lin=f&amp;keep=1&amp;srchmode=1&amp;unlock","8167")</f>
        <v>8167</v>
      </c>
      <c r="F542" t="s">
        <v>384</v>
      </c>
      <c r="G542" t="str">
        <f>HYPERLINK("http://www.ncbi.nlm.nih.gov/Taxonomy/Browser/wwwtax.cgi?mode=Info&amp;id=8167&amp;lvl=3&amp;lin=f&amp;keep=1&amp;srchmode=1&amp;unlock","Perca flavescens")</f>
        <v>Perca flavescens</v>
      </c>
      <c r="H542" t="s">
        <v>545</v>
      </c>
      <c r="I542" t="str">
        <f>HYPERLINK("http://www.ncbi.nlm.nih.gov/protein/XP_028434716.1","fatty acid-binding protein, liver-type-like")</f>
        <v>fatty acid-binding protein, liver-type-like</v>
      </c>
      <c r="J542" t="s">
        <v>1386</v>
      </c>
      <c r="K542" t="s">
        <v>25</v>
      </c>
      <c r="L542">
        <v>50</v>
      </c>
      <c r="M542" t="s">
        <v>1379</v>
      </c>
      <c r="N542" t="s">
        <v>25</v>
      </c>
      <c r="O542" t="s">
        <v>1355</v>
      </c>
      <c r="P542" t="s">
        <v>25</v>
      </c>
      <c r="Q542">
        <v>117.148</v>
      </c>
      <c r="R542" t="s">
        <v>25</v>
      </c>
      <c r="S542" t="s">
        <v>25</v>
      </c>
    </row>
    <row r="543" spans="1:19" x14ac:dyDescent="0.25">
      <c r="A543">
        <v>6</v>
      </c>
      <c r="B543" t="s">
        <v>167</v>
      </c>
      <c r="C543" t="str">
        <f>HYPERLINK("http://www.ncbi.nlm.nih.gov/protein/NWV65356.1","NWV65356.1")</f>
        <v>NWV65356.1</v>
      </c>
      <c r="D543">
        <v>14078</v>
      </c>
      <c r="E543" t="str">
        <f>HYPERLINK("http://www.ncbi.nlm.nih.gov/Taxonomy/Browser/wwwtax.cgi?mode=Info&amp;id=720584&amp;lvl=3&amp;lin=f&amp;keep=1&amp;srchmode=1&amp;unlock","720584")</f>
        <v>720584</v>
      </c>
      <c r="F543" t="s">
        <v>167</v>
      </c>
      <c r="G543" t="str">
        <f>HYPERLINK("http://www.ncbi.nlm.nih.gov/Taxonomy/Browser/wwwtax.cgi?mode=Info&amp;id=720584&amp;lvl=3&amp;lin=f&amp;keep=1&amp;srchmode=1&amp;unlock","Malurus elegans")</f>
        <v>Malurus elegans</v>
      </c>
      <c r="H543" t="s">
        <v>548</v>
      </c>
      <c r="I543" t="str">
        <f>HYPERLINK("http://www.ncbi.nlm.nih.gov/protein/NWV65356.1","FABP1 protein")</f>
        <v>FABP1 protein</v>
      </c>
      <c r="J543" t="s">
        <v>1386</v>
      </c>
      <c r="K543" t="s">
        <v>25</v>
      </c>
      <c r="L543">
        <v>50</v>
      </c>
      <c r="M543" t="s">
        <v>1379</v>
      </c>
      <c r="N543" t="s">
        <v>25</v>
      </c>
      <c r="O543" t="s">
        <v>1355</v>
      </c>
      <c r="P543" t="s">
        <v>25</v>
      </c>
      <c r="Q543">
        <v>117.148</v>
      </c>
      <c r="R543" t="s">
        <v>25</v>
      </c>
      <c r="S543" t="s">
        <v>25</v>
      </c>
    </row>
    <row r="544" spans="1:19" x14ac:dyDescent="0.25">
      <c r="A544">
        <v>6</v>
      </c>
      <c r="B544" t="s">
        <v>167</v>
      </c>
      <c r="C544" t="str">
        <f>HYPERLINK("http://www.ncbi.nlm.nih.gov/protein/NWH58491.1","NWH58491.1")</f>
        <v>NWH58491.1</v>
      </c>
      <c r="D544">
        <v>13556</v>
      </c>
      <c r="E544" t="str">
        <f>HYPERLINK("http://www.ncbi.nlm.nih.gov/Taxonomy/Browser/wwwtax.cgi?mode=Info&amp;id=8947&amp;lvl=3&amp;lin=f&amp;keep=1&amp;srchmode=1&amp;unlock","8947")</f>
        <v>8947</v>
      </c>
      <c r="F544" t="s">
        <v>167</v>
      </c>
      <c r="G544" t="str">
        <f>HYPERLINK("http://www.ncbi.nlm.nih.gov/Taxonomy/Browser/wwwtax.cgi?mode=Info&amp;id=8947&amp;lvl=3&amp;lin=f&amp;keep=1&amp;srchmode=1&amp;unlock","Geococcyx californianus")</f>
        <v>Geococcyx californianus</v>
      </c>
      <c r="H544" t="s">
        <v>552</v>
      </c>
      <c r="I544" t="str">
        <f>HYPERLINK("http://www.ncbi.nlm.nih.gov/protein/NWH58491.1","FABP1 protein")</f>
        <v>FABP1 protein</v>
      </c>
      <c r="J544" t="s">
        <v>1386</v>
      </c>
      <c r="K544" t="s">
        <v>25</v>
      </c>
      <c r="L544">
        <v>50</v>
      </c>
      <c r="M544" t="s">
        <v>1379</v>
      </c>
      <c r="N544" t="s">
        <v>25</v>
      </c>
      <c r="O544" t="s">
        <v>1355</v>
      </c>
      <c r="P544" t="s">
        <v>25</v>
      </c>
      <c r="Q544">
        <v>117.148</v>
      </c>
      <c r="R544" t="s">
        <v>25</v>
      </c>
      <c r="S544" t="s">
        <v>25</v>
      </c>
    </row>
    <row r="545" spans="1:19" x14ac:dyDescent="0.25">
      <c r="A545">
        <v>6</v>
      </c>
      <c r="B545" t="s">
        <v>167</v>
      </c>
      <c r="C545" t="str">
        <f>HYPERLINK("http://www.ncbi.nlm.nih.gov/protein/NWS67372.1","NWS67372.1")</f>
        <v>NWS67372.1</v>
      </c>
      <c r="D545">
        <v>13919</v>
      </c>
      <c r="E545" t="str">
        <f>HYPERLINK("http://www.ncbi.nlm.nih.gov/Taxonomy/Browser/wwwtax.cgi?mode=Info&amp;id=33598&amp;lvl=3&amp;lin=f&amp;keep=1&amp;srchmode=1&amp;unlock","33598")</f>
        <v>33598</v>
      </c>
      <c r="F545" t="s">
        <v>167</v>
      </c>
      <c r="G545" t="str">
        <f>HYPERLINK("http://www.ncbi.nlm.nih.gov/Taxonomy/Browser/wwwtax.cgi?mode=Info&amp;id=33598&amp;lvl=3&amp;lin=f&amp;keep=1&amp;srchmode=1&amp;unlock","Crotophaga sulcirostris")</f>
        <v>Crotophaga sulcirostris</v>
      </c>
      <c r="H545" t="s">
        <v>559</v>
      </c>
      <c r="I545" t="str">
        <f>HYPERLINK("http://www.ncbi.nlm.nih.gov/protein/NWS67372.1","FABP1 protein")</f>
        <v>FABP1 protein</v>
      </c>
      <c r="J545" t="s">
        <v>1386</v>
      </c>
      <c r="K545" t="s">
        <v>25</v>
      </c>
      <c r="L545">
        <v>50</v>
      </c>
      <c r="M545" t="s">
        <v>1379</v>
      </c>
      <c r="N545" t="s">
        <v>25</v>
      </c>
      <c r="O545" t="s">
        <v>1355</v>
      </c>
      <c r="P545" t="s">
        <v>25</v>
      </c>
      <c r="Q545">
        <v>117.148</v>
      </c>
      <c r="R545" t="s">
        <v>25</v>
      </c>
      <c r="S545" t="s">
        <v>25</v>
      </c>
    </row>
    <row r="546" spans="1:19" x14ac:dyDescent="0.25">
      <c r="A546">
        <v>6</v>
      </c>
      <c r="B546" t="s">
        <v>167</v>
      </c>
      <c r="C546" t="str">
        <f>HYPERLINK("http://www.ncbi.nlm.nih.gov/protein/NXE45026.1","NXE45026.1")</f>
        <v>NXE45026.1</v>
      </c>
      <c r="D546">
        <v>13811</v>
      </c>
      <c r="E546" t="str">
        <f>HYPERLINK("http://www.ncbi.nlm.nih.gov/Taxonomy/Browser/wwwtax.cgi?mode=Info&amp;id=8787&amp;lvl=3&amp;lin=f&amp;keep=1&amp;srchmode=1&amp;unlock","8787")</f>
        <v>8787</v>
      </c>
      <c r="F546" t="s">
        <v>167</v>
      </c>
      <c r="G546" t="str">
        <f>HYPERLINK("http://www.ncbi.nlm.nih.gov/Taxonomy/Browser/wwwtax.cgi?mode=Info&amp;id=8787&amp;lvl=3&amp;lin=f&amp;keep=1&amp;srchmode=1&amp;unlock","Casuarius casuarius")</f>
        <v>Casuarius casuarius</v>
      </c>
      <c r="H546" t="s">
        <v>574</v>
      </c>
      <c r="I546" t="str">
        <f>HYPERLINK("http://www.ncbi.nlm.nih.gov/protein/NXE45026.1","FABP1 protein")</f>
        <v>FABP1 protein</v>
      </c>
      <c r="J546" t="s">
        <v>1386</v>
      </c>
      <c r="K546" t="s">
        <v>25</v>
      </c>
      <c r="L546">
        <v>50</v>
      </c>
      <c r="M546" t="s">
        <v>1383</v>
      </c>
      <c r="N546" t="s">
        <v>25</v>
      </c>
      <c r="O546" t="s">
        <v>1355</v>
      </c>
      <c r="P546" t="s">
        <v>25</v>
      </c>
      <c r="Q546">
        <v>131.17500000000001</v>
      </c>
      <c r="R546" t="s">
        <v>25</v>
      </c>
      <c r="S546" t="s">
        <v>25</v>
      </c>
    </row>
    <row r="547" spans="1:19" x14ac:dyDescent="0.25">
      <c r="A547">
        <v>6</v>
      </c>
      <c r="B547" t="s">
        <v>167</v>
      </c>
      <c r="C547" t="str">
        <f>HYPERLINK("http://www.ncbi.nlm.nih.gov/protein/NWH27385.1","NWH27385.1")</f>
        <v>NWH27385.1</v>
      </c>
      <c r="D547">
        <v>13830</v>
      </c>
      <c r="E547" t="str">
        <f>HYPERLINK("http://www.ncbi.nlm.nih.gov/Taxonomy/Browser/wwwtax.cgi?mode=Info&amp;id=9117&amp;lvl=3&amp;lin=f&amp;keep=1&amp;srchmode=1&amp;unlock","9117")</f>
        <v>9117</v>
      </c>
      <c r="F547" t="s">
        <v>167</v>
      </c>
      <c r="G547" t="str">
        <f>HYPERLINK("http://www.ncbi.nlm.nih.gov/Taxonomy/Browser/wwwtax.cgi?mode=Info&amp;id=9117&amp;lvl=3&amp;lin=f&amp;keep=1&amp;srchmode=1&amp;unlock","Grus americana")</f>
        <v>Grus americana</v>
      </c>
      <c r="H547" t="s">
        <v>581</v>
      </c>
      <c r="I547" t="str">
        <f>HYPERLINK("http://www.ncbi.nlm.nih.gov/protein/NWH27385.1","FABPL protein")</f>
        <v>FABPL protein</v>
      </c>
      <c r="J547" t="s">
        <v>1386</v>
      </c>
      <c r="K547" t="s">
        <v>25</v>
      </c>
      <c r="L547">
        <v>50</v>
      </c>
      <c r="M547" t="s">
        <v>1379</v>
      </c>
      <c r="N547" t="s">
        <v>25</v>
      </c>
      <c r="O547" t="s">
        <v>1355</v>
      </c>
      <c r="P547" t="s">
        <v>25</v>
      </c>
      <c r="Q547">
        <v>117.148</v>
      </c>
      <c r="R547" t="s">
        <v>25</v>
      </c>
      <c r="S547" t="s">
        <v>25</v>
      </c>
    </row>
    <row r="548" spans="1:19" x14ac:dyDescent="0.25">
      <c r="A548">
        <v>6</v>
      </c>
      <c r="B548" t="s">
        <v>167</v>
      </c>
      <c r="C548" t="str">
        <f>HYPERLINK("http://www.ncbi.nlm.nih.gov/protein/NXD62146.1","NXD62146.1")</f>
        <v>NXD62146.1</v>
      </c>
      <c r="D548">
        <v>13476</v>
      </c>
      <c r="E548" t="str">
        <f>HYPERLINK("http://www.ncbi.nlm.nih.gov/Taxonomy/Browser/wwwtax.cgi?mode=Info&amp;id=176039&amp;lvl=3&amp;lin=f&amp;keep=1&amp;srchmode=1&amp;unlock","176039")</f>
        <v>176039</v>
      </c>
      <c r="F548" t="s">
        <v>167</v>
      </c>
      <c r="G548" t="str">
        <f>HYPERLINK("http://www.ncbi.nlm.nih.gov/Taxonomy/Browser/wwwtax.cgi?mode=Info&amp;id=176039&amp;lvl=3&amp;lin=f&amp;keep=1&amp;srchmode=1&amp;unlock","Eolophus roseicapilla")</f>
        <v>Eolophus roseicapilla</v>
      </c>
      <c r="H548" t="s">
        <v>585</v>
      </c>
      <c r="I548" t="str">
        <f>HYPERLINK("http://www.ncbi.nlm.nih.gov/protein/NXD62146.1","FABPL protein")</f>
        <v>FABPL protein</v>
      </c>
      <c r="J548" t="s">
        <v>1386</v>
      </c>
      <c r="K548" t="s">
        <v>25</v>
      </c>
      <c r="L548">
        <v>50</v>
      </c>
      <c r="M548" t="s">
        <v>1383</v>
      </c>
      <c r="N548" t="s">
        <v>25</v>
      </c>
      <c r="O548" t="s">
        <v>1355</v>
      </c>
      <c r="P548" t="s">
        <v>25</v>
      </c>
      <c r="Q548">
        <v>131.17500000000001</v>
      </c>
      <c r="R548" t="s">
        <v>25</v>
      </c>
      <c r="S548" t="s">
        <v>25</v>
      </c>
    </row>
    <row r="549" spans="1:19" x14ac:dyDescent="0.25">
      <c r="A549">
        <v>6</v>
      </c>
      <c r="B549" t="s">
        <v>167</v>
      </c>
      <c r="C549" t="str">
        <f>HYPERLINK("http://www.ncbi.nlm.nih.gov/protein/XP_010708891.1","XP_010708891.1")</f>
        <v>XP_010708891.1</v>
      </c>
      <c r="D549">
        <v>30542</v>
      </c>
      <c r="E549" t="str">
        <f>HYPERLINK("http://www.ncbi.nlm.nih.gov/Taxonomy/Browser/wwwtax.cgi?mode=Info&amp;id=9103&amp;lvl=3&amp;lin=f&amp;keep=1&amp;srchmode=1&amp;unlock","9103")</f>
        <v>9103</v>
      </c>
      <c r="F549" t="s">
        <v>167</v>
      </c>
      <c r="G549" t="str">
        <f>HYPERLINK("http://www.ncbi.nlm.nih.gov/Taxonomy/Browser/wwwtax.cgi?mode=Info&amp;id=9103&amp;lvl=3&amp;lin=f&amp;keep=1&amp;srchmode=1&amp;unlock","Meleagris gallopavo")</f>
        <v>Meleagris gallopavo</v>
      </c>
      <c r="H549" t="s">
        <v>590</v>
      </c>
      <c r="I549" t="str">
        <f>HYPERLINK("http://www.ncbi.nlm.nih.gov/protein/XP_010708891.1","fatty acid-binding protein, liver")</f>
        <v>fatty acid-binding protein, liver</v>
      </c>
      <c r="J549" t="s">
        <v>1386</v>
      </c>
      <c r="K549" t="s">
        <v>25</v>
      </c>
      <c r="L549">
        <v>50</v>
      </c>
      <c r="M549" t="s">
        <v>1383</v>
      </c>
      <c r="N549" t="s">
        <v>25</v>
      </c>
      <c r="O549" t="s">
        <v>1355</v>
      </c>
      <c r="P549" t="s">
        <v>25</v>
      </c>
      <c r="Q549">
        <v>131.17500000000001</v>
      </c>
      <c r="R549" t="s">
        <v>25</v>
      </c>
      <c r="S549" t="s">
        <v>25</v>
      </c>
    </row>
    <row r="550" spans="1:19" x14ac:dyDescent="0.25">
      <c r="A550">
        <v>6</v>
      </c>
      <c r="B550" t="s">
        <v>167</v>
      </c>
      <c r="C550" t="str">
        <f>HYPERLINK("http://www.ncbi.nlm.nih.gov/protein/NWJ01252.1","NWJ01252.1")</f>
        <v>NWJ01252.1</v>
      </c>
      <c r="D550">
        <v>14086</v>
      </c>
      <c r="E550" t="str">
        <f>HYPERLINK("http://www.ncbi.nlm.nih.gov/Taxonomy/Browser/wwwtax.cgi?mode=Info&amp;id=48396&amp;lvl=3&amp;lin=f&amp;keep=1&amp;srchmode=1&amp;unlock","48396")</f>
        <v>48396</v>
      </c>
      <c r="F550" t="s">
        <v>167</v>
      </c>
      <c r="G550" t="str">
        <f>HYPERLINK("http://www.ncbi.nlm.nih.gov/Taxonomy/Browser/wwwtax.cgi?mode=Info&amp;id=48396&amp;lvl=3&amp;lin=f&amp;keep=1&amp;srchmode=1&amp;unlock","Crypturellus undulatus")</f>
        <v>Crypturellus undulatus</v>
      </c>
      <c r="H550" t="s">
        <v>196</v>
      </c>
      <c r="I550" t="str">
        <f>HYPERLINK("http://www.ncbi.nlm.nih.gov/protein/NWJ01252.1","FABPL protein")</f>
        <v>FABPL protein</v>
      </c>
      <c r="J550" t="s">
        <v>1386</v>
      </c>
      <c r="K550" t="s">
        <v>25</v>
      </c>
      <c r="L550">
        <v>50</v>
      </c>
      <c r="M550" t="s">
        <v>1383</v>
      </c>
      <c r="N550" t="s">
        <v>25</v>
      </c>
      <c r="O550" t="s">
        <v>1355</v>
      </c>
      <c r="P550" t="s">
        <v>25</v>
      </c>
      <c r="Q550">
        <v>131.17500000000001</v>
      </c>
      <c r="R550" t="s">
        <v>25</v>
      </c>
      <c r="S550" t="s">
        <v>25</v>
      </c>
    </row>
    <row r="551" spans="1:19" x14ac:dyDescent="0.25">
      <c r="A551">
        <v>6</v>
      </c>
      <c r="B551" t="s">
        <v>167</v>
      </c>
      <c r="C551" t="str">
        <f>HYPERLINK("http://www.ncbi.nlm.nih.gov/protein/NXL42791.1","NXL42791.1")</f>
        <v>NXL42791.1</v>
      </c>
      <c r="D551">
        <v>14232</v>
      </c>
      <c r="E551" t="str">
        <f>HYPERLINK("http://www.ncbi.nlm.nih.gov/Taxonomy/Browser/wwwtax.cgi?mode=Info&amp;id=9252&amp;lvl=3&amp;lin=f&amp;keep=1&amp;srchmode=1&amp;unlock","9252")</f>
        <v>9252</v>
      </c>
      <c r="F551" t="s">
        <v>167</v>
      </c>
      <c r="G551" t="str">
        <f>HYPERLINK("http://www.ncbi.nlm.nih.gov/Taxonomy/Browser/wwwtax.cgi?mode=Info&amp;id=9252&amp;lvl=3&amp;lin=f&amp;keep=1&amp;srchmode=1&amp;unlock","Podilymbus podiceps")</f>
        <v>Podilymbus podiceps</v>
      </c>
      <c r="H551" t="s">
        <v>604</v>
      </c>
      <c r="I551" t="str">
        <f>HYPERLINK("http://www.ncbi.nlm.nih.gov/protein/NXL42791.1","FABPL protein")</f>
        <v>FABPL protein</v>
      </c>
      <c r="J551" t="s">
        <v>1386</v>
      </c>
      <c r="K551" t="s">
        <v>25</v>
      </c>
      <c r="L551">
        <v>50</v>
      </c>
      <c r="M551" t="s">
        <v>1383</v>
      </c>
      <c r="N551" t="s">
        <v>25</v>
      </c>
      <c r="O551" t="s">
        <v>1355</v>
      </c>
      <c r="P551" t="s">
        <v>25</v>
      </c>
      <c r="Q551">
        <v>131.17500000000001</v>
      </c>
      <c r="R551" t="s">
        <v>25</v>
      </c>
      <c r="S551" t="s">
        <v>25</v>
      </c>
    </row>
    <row r="552" spans="1:19" x14ac:dyDescent="0.25">
      <c r="A552">
        <v>6</v>
      </c>
      <c r="B552" t="s">
        <v>167</v>
      </c>
      <c r="C552" t="str">
        <f>HYPERLINK("http://www.ncbi.nlm.nih.gov/protein/NWI20487.1","NWI20487.1")</f>
        <v>NWI20487.1</v>
      </c>
      <c r="D552">
        <v>14222</v>
      </c>
      <c r="E552" t="str">
        <f>HYPERLINK("http://www.ncbi.nlm.nih.gov/Taxonomy/Browser/wwwtax.cgi?mode=Info&amp;id=458187&amp;lvl=3&amp;lin=f&amp;keep=1&amp;srchmode=1&amp;unlock","458187")</f>
        <v>458187</v>
      </c>
      <c r="F552" t="s">
        <v>167</v>
      </c>
      <c r="G552" t="str">
        <f>HYPERLINK("http://www.ncbi.nlm.nih.gov/Taxonomy/Browser/wwwtax.cgi?mode=Info&amp;id=458187&amp;lvl=3&amp;lin=f&amp;keep=1&amp;srchmode=1&amp;unlock","Crypturellus soui")</f>
        <v>Crypturellus soui</v>
      </c>
      <c r="H552" t="s">
        <v>196</v>
      </c>
      <c r="I552" t="str">
        <f>HYPERLINK("http://www.ncbi.nlm.nih.gov/protein/NWI20487.1","FABPL protein")</f>
        <v>FABPL protein</v>
      </c>
      <c r="J552" t="s">
        <v>1386</v>
      </c>
      <c r="K552" t="s">
        <v>25</v>
      </c>
      <c r="L552">
        <v>50</v>
      </c>
      <c r="M552" t="s">
        <v>1382</v>
      </c>
      <c r="N552" t="s">
        <v>25</v>
      </c>
      <c r="O552" t="s">
        <v>1355</v>
      </c>
      <c r="P552" t="s">
        <v>25</v>
      </c>
      <c r="Q552">
        <v>131.17500000000001</v>
      </c>
      <c r="R552" t="s">
        <v>25</v>
      </c>
      <c r="S552" t="s">
        <v>25</v>
      </c>
    </row>
    <row r="553" spans="1:19" x14ac:dyDescent="0.25">
      <c r="A553">
        <v>6</v>
      </c>
      <c r="B553" t="s">
        <v>167</v>
      </c>
      <c r="C553" t="str">
        <f>HYPERLINK("http://www.ncbi.nlm.nih.gov/protein/NXL61776.1","NXL61776.1")</f>
        <v>NXL61776.1</v>
      </c>
      <c r="D553">
        <v>14052</v>
      </c>
      <c r="E553" t="str">
        <f>HYPERLINK("http://www.ncbi.nlm.nih.gov/Taxonomy/Browser/wwwtax.cgi?mode=Info&amp;id=118183&amp;lvl=3&amp;lin=f&amp;keep=1&amp;srchmode=1&amp;unlock","118183")</f>
        <v>118183</v>
      </c>
      <c r="F553" t="s">
        <v>167</v>
      </c>
      <c r="G553" t="str">
        <f>HYPERLINK("http://www.ncbi.nlm.nih.gov/Taxonomy/Browser/wwwtax.cgi?mode=Info&amp;id=118183&amp;lvl=3&amp;lin=f&amp;keep=1&amp;srchmode=1&amp;unlock","Chordeiles acutipennis")</f>
        <v>Chordeiles acutipennis</v>
      </c>
      <c r="H553" t="s">
        <v>610</v>
      </c>
      <c r="I553" t="str">
        <f>HYPERLINK("http://www.ncbi.nlm.nih.gov/protein/NXL61776.1","FABPL protein")</f>
        <v>FABPL protein</v>
      </c>
      <c r="J553" t="s">
        <v>1386</v>
      </c>
      <c r="K553" t="s">
        <v>25</v>
      </c>
      <c r="L553">
        <v>50</v>
      </c>
      <c r="M553" t="s">
        <v>1379</v>
      </c>
      <c r="N553" t="s">
        <v>25</v>
      </c>
      <c r="O553" t="s">
        <v>1355</v>
      </c>
      <c r="P553" t="s">
        <v>25</v>
      </c>
      <c r="Q553">
        <v>117.148</v>
      </c>
      <c r="R553" t="s">
        <v>25</v>
      </c>
      <c r="S553" t="s">
        <v>25</v>
      </c>
    </row>
    <row r="554" spans="1:19" x14ac:dyDescent="0.25">
      <c r="A554">
        <v>6</v>
      </c>
      <c r="B554" t="s">
        <v>167</v>
      </c>
      <c r="C554" t="str">
        <f>HYPERLINK("http://www.ncbi.nlm.nih.gov/protein/NWU61037.1","NWU61037.1")</f>
        <v>NWU61037.1</v>
      </c>
      <c r="D554">
        <v>13883</v>
      </c>
      <c r="E554" t="str">
        <f>HYPERLINK("http://www.ncbi.nlm.nih.gov/Taxonomy/Browser/wwwtax.cgi?mode=Info&amp;id=2585816&amp;lvl=3&amp;lin=f&amp;keep=1&amp;srchmode=1&amp;unlock","2585816")</f>
        <v>2585816</v>
      </c>
      <c r="F554" t="s">
        <v>167</v>
      </c>
      <c r="G554" t="str">
        <f>HYPERLINK("http://www.ncbi.nlm.nih.gov/Taxonomy/Browser/wwwtax.cgi?mode=Info&amp;id=2585816&amp;lvl=3&amp;lin=f&amp;keep=1&amp;srchmode=1&amp;unlock","Pterocles burchelli")</f>
        <v>Pterocles burchelli</v>
      </c>
      <c r="H554" t="s">
        <v>217</v>
      </c>
      <c r="I554" t="str">
        <f>HYPERLINK("http://www.ncbi.nlm.nih.gov/protein/NWU61037.1","FABPL protein")</f>
        <v>FABPL protein</v>
      </c>
      <c r="J554" t="s">
        <v>1386</v>
      </c>
      <c r="K554" t="s">
        <v>25</v>
      </c>
      <c r="L554">
        <v>50</v>
      </c>
      <c r="M554" t="s">
        <v>1379</v>
      </c>
      <c r="N554" t="s">
        <v>25</v>
      </c>
      <c r="O554" t="s">
        <v>1355</v>
      </c>
      <c r="P554" t="s">
        <v>25</v>
      </c>
      <c r="Q554">
        <v>117.148</v>
      </c>
      <c r="R554" t="s">
        <v>25</v>
      </c>
      <c r="S554" t="s">
        <v>25</v>
      </c>
    </row>
    <row r="555" spans="1:19" x14ac:dyDescent="0.25">
      <c r="A555">
        <v>6</v>
      </c>
      <c r="B555" t="s">
        <v>167</v>
      </c>
      <c r="C555" t="str">
        <f>HYPERLINK("http://www.ncbi.nlm.nih.gov/protein/AGU27162.1","AGU27162.1")</f>
        <v>AGU27162.1</v>
      </c>
      <c r="D555">
        <v>30</v>
      </c>
      <c r="E555" t="str">
        <f>HYPERLINK("http://www.ncbi.nlm.nih.gov/Taxonomy/Browser/wwwtax.cgi?mode=Info&amp;id=8847&amp;lvl=3&amp;lin=f&amp;keep=1&amp;srchmode=1&amp;unlock","8847")</f>
        <v>8847</v>
      </c>
      <c r="F555" t="s">
        <v>167</v>
      </c>
      <c r="G555" t="str">
        <f>HYPERLINK("http://www.ncbi.nlm.nih.gov/Taxonomy/Browser/wwwtax.cgi?mode=Info&amp;id=8847&amp;lvl=3&amp;lin=f&amp;keep=1&amp;srchmode=1&amp;unlock","Anser sp.")</f>
        <v>Anser sp.</v>
      </c>
      <c r="H555" t="s">
        <v>689</v>
      </c>
      <c r="I555" t="str">
        <f>HYPERLINK("http://www.ncbi.nlm.nih.gov/protein/AGU27162.1","liver basic fatty acid binding protein")</f>
        <v>liver basic fatty acid binding protein</v>
      </c>
      <c r="J555" t="s">
        <v>1386</v>
      </c>
      <c r="K555" t="s">
        <v>25</v>
      </c>
      <c r="L555">
        <v>50</v>
      </c>
      <c r="M555" t="s">
        <v>1379</v>
      </c>
      <c r="N555" t="s">
        <v>25</v>
      </c>
      <c r="O555" t="s">
        <v>1355</v>
      </c>
      <c r="P555" t="s">
        <v>25</v>
      </c>
      <c r="Q555">
        <v>117.148</v>
      </c>
      <c r="R555" t="s">
        <v>25</v>
      </c>
      <c r="S555" t="s">
        <v>25</v>
      </c>
    </row>
    <row r="556" spans="1:19" x14ac:dyDescent="0.25">
      <c r="A556">
        <v>6</v>
      </c>
      <c r="B556" t="s">
        <v>236</v>
      </c>
      <c r="C556" t="str">
        <f>HYPERLINK("http://www.ncbi.nlm.nih.gov/protein/XP_007432447.1","XP_007432447.1")</f>
        <v>XP_007432447.1</v>
      </c>
      <c r="D556">
        <v>32860</v>
      </c>
      <c r="E556" t="str">
        <f>HYPERLINK("http://www.ncbi.nlm.nih.gov/Taxonomy/Browser/wwwtax.cgi?mode=Info&amp;id=176946&amp;lvl=3&amp;lin=f&amp;keep=1&amp;srchmode=1&amp;unlock","176946")</f>
        <v>176946</v>
      </c>
      <c r="F556" t="s">
        <v>236</v>
      </c>
      <c r="G556" t="str">
        <f>HYPERLINK("http://www.ncbi.nlm.nih.gov/Taxonomy/Browser/wwwtax.cgi?mode=Info&amp;id=176946&amp;lvl=3&amp;lin=f&amp;keep=1&amp;srchmode=1&amp;unlock","Python bivittatus")</f>
        <v>Python bivittatus</v>
      </c>
      <c r="H556" t="s">
        <v>237</v>
      </c>
      <c r="I556" t="str">
        <f>HYPERLINK("http://www.ncbi.nlm.nih.gov/protein/XP_007432447.1","fatty acid-binding protein, liver")</f>
        <v>fatty acid-binding protein, liver</v>
      </c>
      <c r="J556" t="s">
        <v>1387</v>
      </c>
      <c r="K556" t="s">
        <v>25</v>
      </c>
      <c r="L556">
        <v>50</v>
      </c>
      <c r="M556" t="s">
        <v>1379</v>
      </c>
      <c r="N556" t="s">
        <v>25</v>
      </c>
      <c r="O556" t="s">
        <v>1355</v>
      </c>
      <c r="P556" t="s">
        <v>25</v>
      </c>
      <c r="Q556">
        <v>117.148</v>
      </c>
      <c r="R556" t="s">
        <v>25</v>
      </c>
      <c r="S556" t="s">
        <v>25</v>
      </c>
    </row>
    <row r="557" spans="1:19" x14ac:dyDescent="0.25">
      <c r="A557">
        <v>6</v>
      </c>
      <c r="B557" t="s">
        <v>236</v>
      </c>
      <c r="C557" t="str">
        <f>HYPERLINK("http://www.ncbi.nlm.nih.gov/protein/KAF7239039.1","KAF7239039.1")</f>
        <v>KAF7239039.1</v>
      </c>
      <c r="D557">
        <v>18342</v>
      </c>
      <c r="E557" t="str">
        <f>HYPERLINK("http://www.ncbi.nlm.nih.gov/Taxonomy/Browser/wwwtax.cgi?mode=Info&amp;id=61221&amp;lvl=3&amp;lin=f&amp;keep=1&amp;srchmode=1&amp;unlock","61221")</f>
        <v>61221</v>
      </c>
      <c r="F557" t="s">
        <v>236</v>
      </c>
      <c r="G557" t="str">
        <f>HYPERLINK("http://www.ncbi.nlm.nih.gov/Taxonomy/Browser/wwwtax.cgi?mode=Info&amp;id=61221&amp;lvl=3&amp;lin=f&amp;keep=1&amp;srchmode=1&amp;unlock","Varanus komodoensis")</f>
        <v>Varanus komodoensis</v>
      </c>
      <c r="H557" t="s">
        <v>333</v>
      </c>
      <c r="I557" t="str">
        <f>HYPERLINK("http://www.ncbi.nlm.nih.gov/protein/KAF7239039.1","Fatty acid-binding protein, liver")</f>
        <v>Fatty acid-binding protein, liver</v>
      </c>
      <c r="J557" t="s">
        <v>1387</v>
      </c>
      <c r="K557" t="s">
        <v>25</v>
      </c>
      <c r="L557">
        <v>186</v>
      </c>
      <c r="M557" t="s">
        <v>1379</v>
      </c>
      <c r="N557" t="s">
        <v>25</v>
      </c>
      <c r="O557" t="s">
        <v>1355</v>
      </c>
      <c r="P557" t="s">
        <v>25</v>
      </c>
      <c r="Q557">
        <v>117.148</v>
      </c>
      <c r="R557" t="s">
        <v>25</v>
      </c>
      <c r="S557" t="s">
        <v>25</v>
      </c>
    </row>
    <row r="558" spans="1:19" x14ac:dyDescent="0.25">
      <c r="A558">
        <v>6</v>
      </c>
      <c r="B558" t="s">
        <v>236</v>
      </c>
      <c r="C558" t="str">
        <f>HYPERLINK("http://www.ncbi.nlm.nih.gov/protein/XP_033025570.1","XP_033025570.1")</f>
        <v>XP_033025570.1</v>
      </c>
      <c r="D558">
        <v>39496</v>
      </c>
      <c r="E558" t="str">
        <f>HYPERLINK("http://www.ncbi.nlm.nih.gov/Taxonomy/Browser/wwwtax.cgi?mode=Info&amp;id=80427&amp;lvl=3&amp;lin=f&amp;keep=1&amp;srchmode=1&amp;unlock","80427")</f>
        <v>80427</v>
      </c>
      <c r="F558" t="s">
        <v>236</v>
      </c>
      <c r="G558" t="str">
        <f>HYPERLINK("http://www.ncbi.nlm.nih.gov/Taxonomy/Browser/wwwtax.cgi?mode=Info&amp;id=80427&amp;lvl=3&amp;lin=f&amp;keep=1&amp;srchmode=1&amp;unlock","Lacerta agilis")</f>
        <v>Lacerta agilis</v>
      </c>
      <c r="H558" t="s">
        <v>392</v>
      </c>
      <c r="I558" t="str">
        <f>HYPERLINK("http://www.ncbi.nlm.nih.gov/protein/XP_033025570.1","fatty acid-binding protein, liver")</f>
        <v>fatty acid-binding protein, liver</v>
      </c>
      <c r="J558" t="s">
        <v>1387</v>
      </c>
      <c r="K558" t="s">
        <v>25</v>
      </c>
      <c r="L558">
        <v>50</v>
      </c>
      <c r="M558" t="s">
        <v>1379</v>
      </c>
      <c r="N558" t="s">
        <v>25</v>
      </c>
      <c r="O558" t="s">
        <v>1355</v>
      </c>
      <c r="P558" t="s">
        <v>25</v>
      </c>
      <c r="Q558">
        <v>117.148</v>
      </c>
      <c r="R558" t="s">
        <v>25</v>
      </c>
      <c r="S558" t="s">
        <v>25</v>
      </c>
    </row>
    <row r="559" spans="1:19" x14ac:dyDescent="0.25">
      <c r="A559">
        <v>6</v>
      </c>
      <c r="B559" t="s">
        <v>236</v>
      </c>
      <c r="C559" t="str">
        <f>HYPERLINK("http://www.ncbi.nlm.nih.gov/protein/XP_034991597.1","XP_034991597.1")</f>
        <v>XP_034991597.1</v>
      </c>
      <c r="D559">
        <v>44583</v>
      </c>
      <c r="E559" t="str">
        <f>HYPERLINK("http://www.ncbi.nlm.nih.gov/Taxonomy/Browser/wwwtax.cgi?mode=Info&amp;id=8524&amp;lvl=3&amp;lin=f&amp;keep=1&amp;srchmode=1&amp;unlock","8524")</f>
        <v>8524</v>
      </c>
      <c r="F559" t="s">
        <v>236</v>
      </c>
      <c r="G559" t="str">
        <f>HYPERLINK("http://www.ncbi.nlm.nih.gov/Taxonomy/Browser/wwwtax.cgi?mode=Info&amp;id=8524&amp;lvl=3&amp;lin=f&amp;keep=1&amp;srchmode=1&amp;unlock","Zootoca vivipara")</f>
        <v>Zootoca vivipara</v>
      </c>
      <c r="H559" t="s">
        <v>401</v>
      </c>
      <c r="I559" t="str">
        <f>HYPERLINK("http://www.ncbi.nlm.nih.gov/protein/XP_034991597.1","fatty acid-binding protein, liver")</f>
        <v>fatty acid-binding protein, liver</v>
      </c>
      <c r="J559" t="s">
        <v>1387</v>
      </c>
      <c r="K559" t="s">
        <v>25</v>
      </c>
      <c r="L559">
        <v>50</v>
      </c>
      <c r="M559" t="s">
        <v>1379</v>
      </c>
      <c r="N559" t="s">
        <v>25</v>
      </c>
      <c r="O559" t="s">
        <v>1355</v>
      </c>
      <c r="P559" t="s">
        <v>25</v>
      </c>
      <c r="Q559">
        <v>117.148</v>
      </c>
      <c r="R559" t="s">
        <v>25</v>
      </c>
      <c r="S559" t="s">
        <v>25</v>
      </c>
    </row>
    <row r="560" spans="1:19" x14ac:dyDescent="0.25">
      <c r="A560">
        <v>6</v>
      </c>
      <c r="B560" t="s">
        <v>236</v>
      </c>
      <c r="C560" t="str">
        <f>HYPERLINK("http://www.ncbi.nlm.nih.gov/protein/XP_028559825.1","XP_028559825.1")</f>
        <v>XP_028559825.1</v>
      </c>
      <c r="D560">
        <v>51243</v>
      </c>
      <c r="E560" t="str">
        <f>HYPERLINK("http://www.ncbi.nlm.nih.gov/Taxonomy/Browser/wwwtax.cgi?mode=Info&amp;id=64176&amp;lvl=3&amp;lin=f&amp;keep=1&amp;srchmode=1&amp;unlock","64176")</f>
        <v>64176</v>
      </c>
      <c r="F560" t="s">
        <v>236</v>
      </c>
      <c r="G560" t="str">
        <f>HYPERLINK("http://www.ncbi.nlm.nih.gov/Taxonomy/Browser/wwwtax.cgi?mode=Info&amp;id=64176&amp;lvl=3&amp;lin=f&amp;keep=1&amp;srchmode=1&amp;unlock","Podarcis muralis")</f>
        <v>Podarcis muralis</v>
      </c>
      <c r="H560" t="s">
        <v>420</v>
      </c>
      <c r="I560" t="str">
        <f>HYPERLINK("http://www.ncbi.nlm.nih.gov/protein/XP_028559825.1","fatty acid-binding protein, liver")</f>
        <v>fatty acid-binding protein, liver</v>
      </c>
      <c r="J560" t="s">
        <v>1387</v>
      </c>
      <c r="K560" t="s">
        <v>25</v>
      </c>
      <c r="L560">
        <v>50</v>
      </c>
      <c r="M560" t="s">
        <v>1379</v>
      </c>
      <c r="N560" t="s">
        <v>25</v>
      </c>
      <c r="O560" t="s">
        <v>1355</v>
      </c>
      <c r="P560" t="s">
        <v>25</v>
      </c>
      <c r="Q560">
        <v>117.148</v>
      </c>
      <c r="R560" t="s">
        <v>25</v>
      </c>
      <c r="S560" t="s">
        <v>25</v>
      </c>
    </row>
    <row r="561" spans="1:19" x14ac:dyDescent="0.25">
      <c r="A561">
        <v>6</v>
      </c>
      <c r="B561" t="s">
        <v>236</v>
      </c>
      <c r="C561" t="str">
        <f>HYPERLINK("http://www.ncbi.nlm.nih.gov/protein/XP_003222417.1","XP_003222417.1")</f>
        <v>XP_003222417.1</v>
      </c>
      <c r="D561">
        <v>35704</v>
      </c>
      <c r="E561" t="str">
        <f>HYPERLINK("http://www.ncbi.nlm.nih.gov/Taxonomy/Browser/wwwtax.cgi?mode=Info&amp;id=28377&amp;lvl=3&amp;lin=f&amp;keep=1&amp;srchmode=1&amp;unlock","28377")</f>
        <v>28377</v>
      </c>
      <c r="F561" t="s">
        <v>236</v>
      </c>
      <c r="G561" t="str">
        <f>HYPERLINK("http://www.ncbi.nlm.nih.gov/Taxonomy/Browser/wwwtax.cgi?mode=Info&amp;id=28377&amp;lvl=3&amp;lin=f&amp;keep=1&amp;srchmode=1&amp;unlock","Anolis carolinensis")</f>
        <v>Anolis carolinensis</v>
      </c>
      <c r="H561" t="s">
        <v>474</v>
      </c>
      <c r="I561" t="str">
        <f>HYPERLINK("http://www.ncbi.nlm.nih.gov/protein/XP_003222417.1","PREDICTED: fatty acid-binding protein, liver")</f>
        <v>PREDICTED: fatty acid-binding protein, liver</v>
      </c>
      <c r="J561" t="s">
        <v>1387</v>
      </c>
      <c r="K561" t="s">
        <v>25</v>
      </c>
      <c r="L561">
        <v>50</v>
      </c>
      <c r="M561" t="s">
        <v>1379</v>
      </c>
      <c r="N561" t="s">
        <v>25</v>
      </c>
      <c r="O561" t="s">
        <v>1355</v>
      </c>
      <c r="P561" t="s">
        <v>25</v>
      </c>
      <c r="Q561">
        <v>117.148</v>
      </c>
      <c r="R561" t="s">
        <v>25</v>
      </c>
      <c r="S561" t="s">
        <v>25</v>
      </c>
    </row>
    <row r="562" spans="1:19" x14ac:dyDescent="0.25">
      <c r="A562">
        <v>6</v>
      </c>
      <c r="B562" t="s">
        <v>236</v>
      </c>
      <c r="C562" t="str">
        <f>HYPERLINK("http://www.ncbi.nlm.nih.gov/protein/XP_020662870.1","XP_020662870.1")</f>
        <v>XP_020662870.1</v>
      </c>
      <c r="D562">
        <v>38807</v>
      </c>
      <c r="E562" t="str">
        <f>HYPERLINK("http://www.ncbi.nlm.nih.gov/Taxonomy/Browser/wwwtax.cgi?mode=Info&amp;id=103695&amp;lvl=3&amp;lin=f&amp;keep=1&amp;srchmode=1&amp;unlock","103695")</f>
        <v>103695</v>
      </c>
      <c r="F562" t="s">
        <v>236</v>
      </c>
      <c r="G562" t="str">
        <f>HYPERLINK("http://www.ncbi.nlm.nih.gov/Taxonomy/Browser/wwwtax.cgi?mode=Info&amp;id=103695&amp;lvl=3&amp;lin=f&amp;keep=1&amp;srchmode=1&amp;unlock","Pogona vitticeps")</f>
        <v>Pogona vitticeps</v>
      </c>
      <c r="H562" t="s">
        <v>618</v>
      </c>
      <c r="I562" t="str">
        <f>HYPERLINK("http://www.ncbi.nlm.nih.gov/protein/XP_020662870.1","fatty acid-binding protein, liver")</f>
        <v>fatty acid-binding protein, liver</v>
      </c>
      <c r="J562" t="s">
        <v>1387</v>
      </c>
      <c r="K562" t="s">
        <v>25</v>
      </c>
      <c r="L562">
        <v>50</v>
      </c>
      <c r="M562" t="s">
        <v>1379</v>
      </c>
      <c r="N562" t="s">
        <v>25</v>
      </c>
      <c r="O562" t="s">
        <v>1355</v>
      </c>
      <c r="P562" t="s">
        <v>25</v>
      </c>
      <c r="Q562">
        <v>117.148</v>
      </c>
      <c r="R562" t="s">
        <v>25</v>
      </c>
      <c r="S562" t="s">
        <v>25</v>
      </c>
    </row>
    <row r="563" spans="1:19" x14ac:dyDescent="0.25">
      <c r="A563">
        <v>6</v>
      </c>
      <c r="B563" t="s">
        <v>236</v>
      </c>
      <c r="C563" t="str">
        <f>HYPERLINK("http://www.ncbi.nlm.nih.gov/protein/Q90239.3","Q90239.3")</f>
        <v>Q90239.3</v>
      </c>
      <c r="D563">
        <v>393</v>
      </c>
      <c r="E563" t="str">
        <f>HYPERLINK("http://www.ncbi.nlm.nih.gov/Taxonomy/Browser/wwwtax.cgi?mode=Info&amp;id=40675&amp;lvl=3&amp;lin=f&amp;keep=1&amp;srchmode=1&amp;unlock","40675")</f>
        <v>40675</v>
      </c>
      <c r="F563" t="s">
        <v>236</v>
      </c>
      <c r="G563" t="str">
        <f>HYPERLINK("http://www.ncbi.nlm.nih.gov/Taxonomy/Browser/wwwtax.cgi?mode=Info&amp;id=40675&amp;lvl=3&amp;lin=f&amp;keep=1&amp;srchmode=1&amp;unlock","Anolis pulchellus")</f>
        <v>Anolis pulchellus</v>
      </c>
      <c r="H563" t="s">
        <v>677</v>
      </c>
      <c r="I563" t="str">
        <f>HYPERLINK("http://www.ncbi.nlm.nih.gov/protein/Q90239.3","RecName: Full=Fatty acid-binding protein, liver; AltName: Full=Liver basic FABP; Short=LB-FABP; AltName: Full=Liver-type fatty acid-binding protein; Short=L-FABP")</f>
        <v>RecName: Full=Fatty acid-binding protein, liver; AltName: Full=Liver basic FABP; Short=LB-FABP; AltName: Full=Liver-type fatty acid-binding protein; Short=L-FABP</v>
      </c>
      <c r="J563" t="s">
        <v>1387</v>
      </c>
      <c r="K563" t="s">
        <v>25</v>
      </c>
      <c r="L563">
        <v>50</v>
      </c>
      <c r="M563" t="s">
        <v>1379</v>
      </c>
      <c r="N563" t="s">
        <v>25</v>
      </c>
      <c r="O563" t="s">
        <v>1355</v>
      </c>
      <c r="P563" t="s">
        <v>25</v>
      </c>
      <c r="Q563">
        <v>117.148</v>
      </c>
      <c r="R563" t="s">
        <v>25</v>
      </c>
      <c r="S563" t="s">
        <v>25</v>
      </c>
    </row>
    <row r="564" spans="1:19" x14ac:dyDescent="0.25">
      <c r="A564">
        <v>6</v>
      </c>
      <c r="B564" t="s">
        <v>321</v>
      </c>
      <c r="C564" t="str">
        <f>HYPERLINK("http://www.ncbi.nlm.nih.gov/protein/XP_026503896.1","XP_026503896.1")</f>
        <v>XP_026503896.1</v>
      </c>
      <c r="D564">
        <v>34224</v>
      </c>
      <c r="E564" t="str">
        <f>HYPERLINK("http://www.ncbi.nlm.nih.gov/Taxonomy/Browser/wwwtax.cgi?mode=Info&amp;id=2587831&amp;lvl=3&amp;lin=f&amp;keep=1&amp;srchmode=1&amp;unlock","2587831")</f>
        <v>2587831</v>
      </c>
      <c r="F564" t="s">
        <v>321</v>
      </c>
      <c r="G564" t="str">
        <f>HYPERLINK("http://www.ncbi.nlm.nih.gov/Taxonomy/Browser/wwwtax.cgi?mode=Info&amp;id=2587831&amp;lvl=3&amp;lin=f&amp;keep=1&amp;srchmode=1&amp;unlock","Terrapene carolina triunguis")</f>
        <v>Terrapene carolina triunguis</v>
      </c>
      <c r="H564" t="s">
        <v>322</v>
      </c>
      <c r="I564" t="str">
        <f>HYPERLINK("http://www.ncbi.nlm.nih.gov/protein/XP_026503896.1","fatty acid-binding protein, liver")</f>
        <v>fatty acid-binding protein, liver</v>
      </c>
      <c r="J564" t="s">
        <v>1388</v>
      </c>
      <c r="K564" t="s">
        <v>25</v>
      </c>
      <c r="L564">
        <v>50</v>
      </c>
      <c r="M564" t="s">
        <v>1379</v>
      </c>
      <c r="N564" t="s">
        <v>25</v>
      </c>
      <c r="O564" t="s">
        <v>1355</v>
      </c>
      <c r="P564" t="s">
        <v>25</v>
      </c>
      <c r="Q564">
        <v>117.148</v>
      </c>
      <c r="R564" t="s">
        <v>25</v>
      </c>
      <c r="S564" t="s">
        <v>25</v>
      </c>
    </row>
    <row r="565" spans="1:19" x14ac:dyDescent="0.25">
      <c r="A565">
        <v>6</v>
      </c>
      <c r="B565" t="s">
        <v>321</v>
      </c>
      <c r="C565" t="str">
        <f>HYPERLINK("http://www.ncbi.nlm.nih.gov/protein/XP_032632769.1","XP_032632769.1")</f>
        <v>XP_032632769.1</v>
      </c>
      <c r="D565">
        <v>44406</v>
      </c>
      <c r="E565" t="str">
        <f>HYPERLINK("http://www.ncbi.nlm.nih.gov/Taxonomy/Browser/wwwtax.cgi?mode=Info&amp;id=106734&amp;lvl=3&amp;lin=f&amp;keep=1&amp;srchmode=1&amp;unlock","106734")</f>
        <v>106734</v>
      </c>
      <c r="F565" t="s">
        <v>321</v>
      </c>
      <c r="G565" t="str">
        <f>HYPERLINK("http://www.ncbi.nlm.nih.gov/Taxonomy/Browser/wwwtax.cgi?mode=Info&amp;id=106734&amp;lvl=3&amp;lin=f&amp;keep=1&amp;srchmode=1&amp;unlock","Chelonoidis abingdonii")</f>
        <v>Chelonoidis abingdonii</v>
      </c>
      <c r="H565" t="s">
        <v>330</v>
      </c>
      <c r="I565" t="str">
        <f>HYPERLINK("http://www.ncbi.nlm.nih.gov/protein/XP_032632769.1","fatty acid-binding protein, liver")</f>
        <v>fatty acid-binding protein, liver</v>
      </c>
      <c r="J565" t="s">
        <v>1388</v>
      </c>
      <c r="K565" t="s">
        <v>25</v>
      </c>
      <c r="L565">
        <v>50</v>
      </c>
      <c r="M565" t="s">
        <v>1379</v>
      </c>
      <c r="N565" t="s">
        <v>25</v>
      </c>
      <c r="O565" t="s">
        <v>1355</v>
      </c>
      <c r="P565" t="s">
        <v>25</v>
      </c>
      <c r="Q565">
        <v>117.148</v>
      </c>
      <c r="R565" t="s">
        <v>25</v>
      </c>
      <c r="S565" t="s">
        <v>25</v>
      </c>
    </row>
    <row r="566" spans="1:19" x14ac:dyDescent="0.25">
      <c r="A566">
        <v>6</v>
      </c>
      <c r="B566" t="s">
        <v>321</v>
      </c>
      <c r="C566" t="str">
        <f>HYPERLINK("http://www.ncbi.nlm.nih.gov/protein/XP_023962249.1","XP_023962249.1")</f>
        <v>XP_023962249.1</v>
      </c>
      <c r="D566">
        <v>46669</v>
      </c>
      <c r="E566" t="str">
        <f>HYPERLINK("http://www.ncbi.nlm.nih.gov/Taxonomy/Browser/wwwtax.cgi?mode=Info&amp;id=8478&amp;lvl=3&amp;lin=f&amp;keep=1&amp;srchmode=1&amp;unlock","8478")</f>
        <v>8478</v>
      </c>
      <c r="F566" t="s">
        <v>321</v>
      </c>
      <c r="G566" t="str">
        <f>HYPERLINK("http://www.ncbi.nlm.nih.gov/Taxonomy/Browser/wwwtax.cgi?mode=Info&amp;id=8478&amp;lvl=3&amp;lin=f&amp;keep=1&amp;srchmode=1&amp;unlock","Chrysemys picta bellii")</f>
        <v>Chrysemys picta bellii</v>
      </c>
      <c r="H566" t="s">
        <v>342</v>
      </c>
      <c r="I566" t="str">
        <f>HYPERLINK("http://www.ncbi.nlm.nih.gov/protein/XP_023962249.1","fatty acid-binding protein, liver")</f>
        <v>fatty acid-binding protein, liver</v>
      </c>
      <c r="J566" t="s">
        <v>1388</v>
      </c>
      <c r="K566" t="s">
        <v>25</v>
      </c>
      <c r="L566">
        <v>50</v>
      </c>
      <c r="M566" t="s">
        <v>1379</v>
      </c>
      <c r="N566" t="s">
        <v>25</v>
      </c>
      <c r="O566" t="s">
        <v>1355</v>
      </c>
      <c r="P566" t="s">
        <v>25</v>
      </c>
      <c r="Q566">
        <v>117.148</v>
      </c>
      <c r="R566" t="s">
        <v>25</v>
      </c>
      <c r="S566" t="s">
        <v>25</v>
      </c>
    </row>
    <row r="567" spans="1:19" x14ac:dyDescent="0.25">
      <c r="A567">
        <v>6</v>
      </c>
      <c r="B567" t="s">
        <v>321</v>
      </c>
      <c r="C567" t="str">
        <f>HYPERLINK("http://www.ncbi.nlm.nih.gov/protein/XP_034627747.1","XP_034627747.1")</f>
        <v>XP_034627747.1</v>
      </c>
      <c r="D567">
        <v>42365</v>
      </c>
      <c r="E567" t="str">
        <f>HYPERLINK("http://www.ncbi.nlm.nih.gov/Taxonomy/Browser/wwwtax.cgi?mode=Info&amp;id=31138&amp;lvl=3&amp;lin=f&amp;keep=1&amp;srchmode=1&amp;unlock","31138")</f>
        <v>31138</v>
      </c>
      <c r="F567" t="s">
        <v>321</v>
      </c>
      <c r="G567" t="str">
        <f>HYPERLINK("http://www.ncbi.nlm.nih.gov/Taxonomy/Browser/wwwtax.cgi?mode=Info&amp;id=31138&amp;lvl=3&amp;lin=f&amp;keep=1&amp;srchmode=1&amp;unlock","Trachemys scripta elegans")</f>
        <v>Trachemys scripta elegans</v>
      </c>
      <c r="H567" t="s">
        <v>343</v>
      </c>
      <c r="I567" t="str">
        <f>HYPERLINK("http://www.ncbi.nlm.nih.gov/protein/XP_034627747.1","fatty acid-binding protein, liver")</f>
        <v>fatty acid-binding protein, liver</v>
      </c>
      <c r="J567" t="s">
        <v>1388</v>
      </c>
      <c r="K567" t="s">
        <v>25</v>
      </c>
      <c r="L567">
        <v>50</v>
      </c>
      <c r="M567" t="s">
        <v>1379</v>
      </c>
      <c r="N567" t="s">
        <v>25</v>
      </c>
      <c r="O567" t="s">
        <v>1355</v>
      </c>
      <c r="P567" t="s">
        <v>25</v>
      </c>
      <c r="Q567">
        <v>117.148</v>
      </c>
      <c r="R567" t="s">
        <v>25</v>
      </c>
      <c r="S567" t="s">
        <v>25</v>
      </c>
    </row>
    <row r="568" spans="1:19" x14ac:dyDescent="0.25">
      <c r="A568">
        <v>6</v>
      </c>
      <c r="B568" t="s">
        <v>321</v>
      </c>
      <c r="C568" t="str">
        <f>HYPERLINK("http://www.ncbi.nlm.nih.gov/protein/XP_007063779.1","XP_007063779.1")</f>
        <v>XP_007063779.1</v>
      </c>
      <c r="D568">
        <v>69371</v>
      </c>
      <c r="E568" t="str">
        <f>HYPERLINK("http://www.ncbi.nlm.nih.gov/Taxonomy/Browser/wwwtax.cgi?mode=Info&amp;id=8469&amp;lvl=3&amp;lin=f&amp;keep=1&amp;srchmode=1&amp;unlock","8469")</f>
        <v>8469</v>
      </c>
      <c r="F568" t="s">
        <v>321</v>
      </c>
      <c r="G568" t="str">
        <f>HYPERLINK("http://www.ncbi.nlm.nih.gov/Taxonomy/Browser/wwwtax.cgi?mode=Info&amp;id=8469&amp;lvl=3&amp;lin=f&amp;keep=1&amp;srchmode=1&amp;unlock","Chelonia mydas")</f>
        <v>Chelonia mydas</v>
      </c>
      <c r="H568" t="s">
        <v>349</v>
      </c>
      <c r="I568" t="str">
        <f>HYPERLINK("http://www.ncbi.nlm.nih.gov/protein/XP_007063779.1","fatty acid-binding protein, liver")</f>
        <v>fatty acid-binding protein, liver</v>
      </c>
      <c r="J568" t="s">
        <v>1388</v>
      </c>
      <c r="K568" t="s">
        <v>25</v>
      </c>
      <c r="L568">
        <v>50</v>
      </c>
      <c r="M568" t="s">
        <v>1379</v>
      </c>
      <c r="N568" t="s">
        <v>25</v>
      </c>
      <c r="O568" t="s">
        <v>1355</v>
      </c>
      <c r="P568" t="s">
        <v>25</v>
      </c>
      <c r="Q568">
        <v>117.148</v>
      </c>
      <c r="R568" t="s">
        <v>25</v>
      </c>
      <c r="S568" t="s">
        <v>25</v>
      </c>
    </row>
    <row r="569" spans="1:19" x14ac:dyDescent="0.25">
      <c r="A569">
        <v>6</v>
      </c>
      <c r="B569" t="s">
        <v>321</v>
      </c>
      <c r="C569" t="str">
        <f>HYPERLINK("http://www.ncbi.nlm.nih.gov/protein/XP_038256146.1","XP_038256146.1")</f>
        <v>XP_038256146.1</v>
      </c>
      <c r="D569">
        <v>55267</v>
      </c>
      <c r="E569" t="str">
        <f>HYPERLINK("http://www.ncbi.nlm.nih.gov/Taxonomy/Browser/wwwtax.cgi?mode=Info&amp;id=27794&amp;lvl=3&amp;lin=f&amp;keep=1&amp;srchmode=1&amp;unlock","27794")</f>
        <v>27794</v>
      </c>
      <c r="F569" t="s">
        <v>321</v>
      </c>
      <c r="G569" t="str">
        <f>HYPERLINK("http://www.ncbi.nlm.nih.gov/Taxonomy/Browser/wwwtax.cgi?mode=Info&amp;id=27794&amp;lvl=3&amp;lin=f&amp;keep=1&amp;srchmode=1&amp;unlock","Dermochelys coriacea")</f>
        <v>Dermochelys coriacea</v>
      </c>
      <c r="H569" t="s">
        <v>361</v>
      </c>
      <c r="I569" t="str">
        <f>HYPERLINK("http://www.ncbi.nlm.nih.gov/protein/XP_038256146.1","fatty acid-binding protein, liver")</f>
        <v>fatty acid-binding protein, liver</v>
      </c>
      <c r="J569" t="s">
        <v>1388</v>
      </c>
      <c r="K569" t="s">
        <v>25</v>
      </c>
      <c r="L569">
        <v>50</v>
      </c>
      <c r="M569" t="s">
        <v>1379</v>
      </c>
      <c r="N569" t="s">
        <v>25</v>
      </c>
      <c r="O569" t="s">
        <v>1355</v>
      </c>
      <c r="P569" t="s">
        <v>25</v>
      </c>
      <c r="Q569">
        <v>117.148</v>
      </c>
      <c r="R569" t="s">
        <v>25</v>
      </c>
      <c r="S569" t="s">
        <v>25</v>
      </c>
    </row>
    <row r="570" spans="1:19" x14ac:dyDescent="0.25">
      <c r="A570">
        <v>6</v>
      </c>
      <c r="B570" t="s">
        <v>321</v>
      </c>
      <c r="C570" t="str">
        <f>HYPERLINK("http://www.ncbi.nlm.nih.gov/protein/XP_039397690.1","XP_039397690.1")</f>
        <v>XP_039397690.1</v>
      </c>
      <c r="D570">
        <v>67728</v>
      </c>
      <c r="E570" t="str">
        <f>HYPERLINK("http://www.ncbi.nlm.nih.gov/Taxonomy/Browser/wwwtax.cgi?mode=Info&amp;id=260615&amp;lvl=3&amp;lin=f&amp;keep=1&amp;srchmode=1&amp;unlock","260615")</f>
        <v>260615</v>
      </c>
      <c r="F570" t="s">
        <v>321</v>
      </c>
      <c r="G570" t="str">
        <f>HYPERLINK("http://www.ncbi.nlm.nih.gov/Taxonomy/Browser/wwwtax.cgi?mode=Info&amp;id=260615&amp;lvl=3&amp;lin=f&amp;keep=1&amp;srchmode=1&amp;unlock","Mauremys reevesii")</f>
        <v>Mauremys reevesii</v>
      </c>
      <c r="H570" t="s">
        <v>362</v>
      </c>
      <c r="I570" t="str">
        <f>HYPERLINK("http://www.ncbi.nlm.nih.gov/protein/XP_039397690.1","fatty acid-binding protein, liver")</f>
        <v>fatty acid-binding protein, liver</v>
      </c>
      <c r="J570" t="s">
        <v>1388</v>
      </c>
      <c r="K570" t="s">
        <v>25</v>
      </c>
      <c r="L570">
        <v>50</v>
      </c>
      <c r="M570" t="s">
        <v>1379</v>
      </c>
      <c r="N570" t="s">
        <v>25</v>
      </c>
      <c r="O570" t="s">
        <v>1355</v>
      </c>
      <c r="P570" t="s">
        <v>25</v>
      </c>
      <c r="Q570">
        <v>117.148</v>
      </c>
      <c r="R570" t="s">
        <v>25</v>
      </c>
      <c r="S570" t="s">
        <v>25</v>
      </c>
    </row>
    <row r="571" spans="1:19" x14ac:dyDescent="0.25">
      <c r="A571">
        <v>6</v>
      </c>
      <c r="B571" t="s">
        <v>321</v>
      </c>
      <c r="C571" t="str">
        <f>HYPERLINK("http://www.ncbi.nlm.nih.gov/protein/XP_006111673.1","XP_006111673.1")</f>
        <v>XP_006111673.1</v>
      </c>
      <c r="D571">
        <v>39171</v>
      </c>
      <c r="E571" t="str">
        <f>HYPERLINK("http://www.ncbi.nlm.nih.gov/Taxonomy/Browser/wwwtax.cgi?mode=Info&amp;id=13735&amp;lvl=3&amp;lin=f&amp;keep=1&amp;srchmode=1&amp;unlock","13735")</f>
        <v>13735</v>
      </c>
      <c r="F571" t="s">
        <v>321</v>
      </c>
      <c r="G571" t="str">
        <f>HYPERLINK("http://www.ncbi.nlm.nih.gov/Taxonomy/Browser/wwwtax.cgi?mode=Info&amp;id=13735&amp;lvl=3&amp;lin=f&amp;keep=1&amp;srchmode=1&amp;unlock","Pelodiscus sinensis")</f>
        <v>Pelodiscus sinensis</v>
      </c>
      <c r="H571" t="s">
        <v>386</v>
      </c>
      <c r="I571" t="str">
        <f>HYPERLINK("http://www.ncbi.nlm.nih.gov/protein/XP_006111673.1","fatty acid-binding protein, liver")</f>
        <v>fatty acid-binding protein, liver</v>
      </c>
      <c r="J571" t="s">
        <v>1388</v>
      </c>
      <c r="K571" t="s">
        <v>25</v>
      </c>
      <c r="L571">
        <v>50</v>
      </c>
      <c r="M571" t="s">
        <v>1379</v>
      </c>
      <c r="N571" t="s">
        <v>25</v>
      </c>
      <c r="O571" t="s">
        <v>1355</v>
      </c>
      <c r="P571" t="s">
        <v>25</v>
      </c>
      <c r="Q571">
        <v>117.148</v>
      </c>
      <c r="R571" t="s">
        <v>25</v>
      </c>
      <c r="S571" t="s">
        <v>25</v>
      </c>
    </row>
    <row r="572" spans="1:19" x14ac:dyDescent="0.25">
      <c r="A572">
        <v>6</v>
      </c>
      <c r="B572" t="s">
        <v>321</v>
      </c>
      <c r="C572" t="str">
        <f>HYPERLINK("http://www.ncbi.nlm.nih.gov/protein/XP_030420325.1","XP_030420325.1")</f>
        <v>XP_030420325.1</v>
      </c>
      <c r="D572">
        <v>50866</v>
      </c>
      <c r="E572" t="str">
        <f>HYPERLINK("http://www.ncbi.nlm.nih.gov/Taxonomy/Browser/wwwtax.cgi?mode=Info&amp;id=1825980&amp;lvl=3&amp;lin=f&amp;keep=1&amp;srchmode=1&amp;unlock","1825980")</f>
        <v>1825980</v>
      </c>
      <c r="F572" t="s">
        <v>321</v>
      </c>
      <c r="G572" t="str">
        <f>HYPERLINK("http://www.ncbi.nlm.nih.gov/Taxonomy/Browser/wwwtax.cgi?mode=Info&amp;id=1825980&amp;lvl=3&amp;lin=f&amp;keep=1&amp;srchmode=1&amp;unlock","Gopherus evgoodei")</f>
        <v>Gopherus evgoodei</v>
      </c>
      <c r="H572" t="s">
        <v>398</v>
      </c>
      <c r="I572" t="str">
        <f>HYPERLINK("http://www.ncbi.nlm.nih.gov/protein/XP_030420325.1","fatty acid-binding protein, liver")</f>
        <v>fatty acid-binding protein, liver</v>
      </c>
      <c r="J572" t="s">
        <v>1388</v>
      </c>
      <c r="K572" t="s">
        <v>25</v>
      </c>
      <c r="L572">
        <v>50</v>
      </c>
      <c r="M572" t="s">
        <v>1379</v>
      </c>
      <c r="N572" t="s">
        <v>25</v>
      </c>
      <c r="O572" t="s">
        <v>1355</v>
      </c>
      <c r="P572" t="s">
        <v>25</v>
      </c>
      <c r="Q572">
        <v>117.148</v>
      </c>
      <c r="R572" t="s">
        <v>25</v>
      </c>
      <c r="S572" t="s">
        <v>25</v>
      </c>
    </row>
    <row r="573" spans="1:19" x14ac:dyDescent="0.25">
      <c r="A573">
        <v>6</v>
      </c>
      <c r="B573" t="s">
        <v>371</v>
      </c>
      <c r="C573" t="str">
        <f>HYPERLINK("http://www.ncbi.nlm.nih.gov/protein/XP_006262747.2","XP_006262747.2")</f>
        <v>XP_006262747.2</v>
      </c>
      <c r="D573">
        <v>74714</v>
      </c>
      <c r="E573" t="str">
        <f>HYPERLINK("http://www.ncbi.nlm.nih.gov/Taxonomy/Browser/wwwtax.cgi?mode=Info&amp;id=8496&amp;lvl=3&amp;lin=f&amp;keep=1&amp;srchmode=1&amp;unlock","8496")</f>
        <v>8496</v>
      </c>
      <c r="F573" t="s">
        <v>371</v>
      </c>
      <c r="G573" t="str">
        <f>HYPERLINK("http://www.ncbi.nlm.nih.gov/Taxonomy/Browser/wwwtax.cgi?mode=Info&amp;id=8496&amp;lvl=3&amp;lin=f&amp;keep=1&amp;srchmode=1&amp;unlock","Alligator mississippiensis")</f>
        <v>Alligator mississippiensis</v>
      </c>
      <c r="H573" t="s">
        <v>372</v>
      </c>
      <c r="I573" t="str">
        <f>HYPERLINK("http://www.ncbi.nlm.nih.gov/protein/XP_006262747.2","PREDICTED: fatty acid-binding protein, liver")</f>
        <v>PREDICTED: fatty acid-binding protein, liver</v>
      </c>
      <c r="J573" t="s">
        <v>1389</v>
      </c>
      <c r="K573" t="s">
        <v>20</v>
      </c>
      <c r="L573">
        <v>50</v>
      </c>
      <c r="M573" t="s">
        <v>1380</v>
      </c>
      <c r="N573" t="s">
        <v>20</v>
      </c>
      <c r="O573" t="s">
        <v>1394</v>
      </c>
      <c r="P573" t="s">
        <v>20</v>
      </c>
      <c r="Q573">
        <v>165.19200000000001</v>
      </c>
      <c r="R573" t="s">
        <v>20</v>
      </c>
      <c r="S573" t="s">
        <v>20</v>
      </c>
    </row>
    <row r="574" spans="1:19" x14ac:dyDescent="0.25">
      <c r="A574">
        <v>6</v>
      </c>
      <c r="B574" t="s">
        <v>371</v>
      </c>
      <c r="C574" t="str">
        <f>HYPERLINK("http://www.ncbi.nlm.nih.gov/protein/XP_006028696.1","XP_006028696.1")</f>
        <v>XP_006028696.1</v>
      </c>
      <c r="D574">
        <v>43398</v>
      </c>
      <c r="E574" t="str">
        <f>HYPERLINK("http://www.ncbi.nlm.nih.gov/Taxonomy/Browser/wwwtax.cgi?mode=Info&amp;id=38654&amp;lvl=3&amp;lin=f&amp;keep=1&amp;srchmode=1&amp;unlock","38654")</f>
        <v>38654</v>
      </c>
      <c r="F574" t="s">
        <v>371</v>
      </c>
      <c r="G574" t="str">
        <f>HYPERLINK("http://www.ncbi.nlm.nih.gov/Taxonomy/Browser/wwwtax.cgi?mode=Info&amp;id=38654&amp;lvl=3&amp;lin=f&amp;keep=1&amp;srchmode=1&amp;unlock","Alligator sinensis")</f>
        <v>Alligator sinensis</v>
      </c>
      <c r="H574" t="s">
        <v>376</v>
      </c>
      <c r="I574" t="str">
        <f>HYPERLINK("http://www.ncbi.nlm.nih.gov/protein/XP_006028696.1","fatty acid-binding protein, liver")</f>
        <v>fatty acid-binding protein, liver</v>
      </c>
      <c r="J574" t="s">
        <v>1389</v>
      </c>
      <c r="K574" t="s">
        <v>20</v>
      </c>
      <c r="L574">
        <v>50</v>
      </c>
      <c r="M574" t="s">
        <v>1380</v>
      </c>
      <c r="N574" t="s">
        <v>20</v>
      </c>
      <c r="O574" t="s">
        <v>1394</v>
      </c>
      <c r="P574" t="s">
        <v>20</v>
      </c>
      <c r="Q574">
        <v>165.19200000000001</v>
      </c>
      <c r="R574" t="s">
        <v>20</v>
      </c>
      <c r="S574" t="s">
        <v>20</v>
      </c>
    </row>
    <row r="575" spans="1:19" x14ac:dyDescent="0.25">
      <c r="A575">
        <v>6</v>
      </c>
      <c r="B575" t="s">
        <v>371</v>
      </c>
      <c r="C575" t="str">
        <f>HYPERLINK("http://www.ncbi.nlm.nih.gov/protein/XP_019409026.1","XP_019409026.1")</f>
        <v>XP_019409026.1</v>
      </c>
      <c r="D575">
        <v>29001</v>
      </c>
      <c r="E575" t="str">
        <f>HYPERLINK("http://www.ncbi.nlm.nih.gov/Taxonomy/Browser/wwwtax.cgi?mode=Info&amp;id=8502&amp;lvl=3&amp;lin=f&amp;keep=1&amp;srchmode=1&amp;unlock","8502")</f>
        <v>8502</v>
      </c>
      <c r="F575" t="s">
        <v>371</v>
      </c>
      <c r="G575" t="str">
        <f>HYPERLINK("http://www.ncbi.nlm.nih.gov/Taxonomy/Browser/wwwtax.cgi?mode=Info&amp;id=8502&amp;lvl=3&amp;lin=f&amp;keep=1&amp;srchmode=1&amp;unlock","Crocodylus porosus")</f>
        <v>Crocodylus porosus</v>
      </c>
      <c r="H575" t="s">
        <v>408</v>
      </c>
      <c r="I575" t="str">
        <f>HYPERLINK("http://www.ncbi.nlm.nih.gov/protein/XP_019409026.1","PREDICTED: fatty acid-binding protein, liver")</f>
        <v>PREDICTED: fatty acid-binding protein, liver</v>
      </c>
      <c r="J575" t="s">
        <v>1389</v>
      </c>
      <c r="K575" t="s">
        <v>20</v>
      </c>
      <c r="L575">
        <v>50</v>
      </c>
      <c r="M575" t="s">
        <v>1380</v>
      </c>
      <c r="N575" t="s">
        <v>20</v>
      </c>
      <c r="O575" t="s">
        <v>1394</v>
      </c>
      <c r="P575" t="s">
        <v>20</v>
      </c>
      <c r="Q575">
        <v>165.19200000000001</v>
      </c>
      <c r="R575" t="s">
        <v>20</v>
      </c>
      <c r="S575" t="s">
        <v>20</v>
      </c>
    </row>
    <row r="576" spans="1:19" x14ac:dyDescent="0.25">
      <c r="A576">
        <v>6</v>
      </c>
      <c r="B576" t="s">
        <v>371</v>
      </c>
      <c r="C576" t="str">
        <f>HYPERLINK("http://www.ncbi.nlm.nih.gov/protein/XP_019382191.1","XP_019382191.1")</f>
        <v>XP_019382191.1</v>
      </c>
      <c r="D576">
        <v>27413</v>
      </c>
      <c r="E576" t="str">
        <f>HYPERLINK("http://www.ncbi.nlm.nih.gov/Taxonomy/Browser/wwwtax.cgi?mode=Info&amp;id=94835&amp;lvl=3&amp;lin=f&amp;keep=1&amp;srchmode=1&amp;unlock","94835")</f>
        <v>94835</v>
      </c>
      <c r="F576" t="s">
        <v>371</v>
      </c>
      <c r="G576" t="str">
        <f>HYPERLINK("http://www.ncbi.nlm.nih.gov/Taxonomy/Browser/wwwtax.cgi?mode=Info&amp;id=94835&amp;lvl=3&amp;lin=f&amp;keep=1&amp;srchmode=1&amp;unlock","Gavialis gangeticus")</f>
        <v>Gavialis gangeticus</v>
      </c>
      <c r="H576" t="s">
        <v>453</v>
      </c>
      <c r="I576" t="str">
        <f>HYPERLINK("http://www.ncbi.nlm.nih.gov/protein/XP_019382191.1","PREDICTED: fatty acid-binding protein, liver")</f>
        <v>PREDICTED: fatty acid-binding protein, liver</v>
      </c>
      <c r="J576" t="s">
        <v>1389</v>
      </c>
      <c r="K576" t="s">
        <v>20</v>
      </c>
      <c r="L576">
        <v>50</v>
      </c>
      <c r="M576" t="s">
        <v>1380</v>
      </c>
      <c r="N576" t="s">
        <v>20</v>
      </c>
      <c r="O576" t="s">
        <v>1394</v>
      </c>
      <c r="P576" t="s">
        <v>20</v>
      </c>
      <c r="Q576">
        <v>165.19200000000001</v>
      </c>
      <c r="R576" t="s">
        <v>20</v>
      </c>
      <c r="S576" t="s">
        <v>20</v>
      </c>
    </row>
    <row r="577" spans="1:19" x14ac:dyDescent="0.25">
      <c r="A577">
        <v>6</v>
      </c>
      <c r="B577" t="s">
        <v>384</v>
      </c>
      <c r="C577" t="str">
        <f>HYPERLINK("http://www.ncbi.nlm.nih.gov/protein/XP_012669790.2","XP_012669790.2")</f>
        <v>XP_012669790.2</v>
      </c>
      <c r="D577">
        <v>43045</v>
      </c>
      <c r="E577" t="str">
        <f>HYPERLINK("http://www.ncbi.nlm.nih.gov/Taxonomy/Browser/wwwtax.cgi?mode=Info&amp;id=7950&amp;lvl=3&amp;lin=f&amp;keep=1&amp;srchmode=1&amp;unlock","7950")</f>
        <v>7950</v>
      </c>
      <c r="F577" t="s">
        <v>384</v>
      </c>
      <c r="G577" t="str">
        <f>HYPERLINK("http://www.ncbi.nlm.nih.gov/Taxonomy/Browser/wwwtax.cgi?mode=Info&amp;id=7950&amp;lvl=3&amp;lin=f&amp;keep=1&amp;srchmode=1&amp;unlock","Clupea harengus")</f>
        <v>Clupea harengus</v>
      </c>
      <c r="H577" t="s">
        <v>385</v>
      </c>
      <c r="I577" t="str">
        <f>HYPERLINK("http://www.ncbi.nlm.nih.gov/protein/XP_012669790.2","fatty acid-binding protein, liver")</f>
        <v>fatty acid-binding protein, liver</v>
      </c>
      <c r="J577" t="s">
        <v>1390</v>
      </c>
      <c r="K577" t="s">
        <v>25</v>
      </c>
      <c r="L577">
        <v>50</v>
      </c>
      <c r="M577" t="s">
        <v>1379</v>
      </c>
      <c r="N577" t="s">
        <v>25</v>
      </c>
      <c r="O577" t="s">
        <v>1355</v>
      </c>
      <c r="P577" t="s">
        <v>25</v>
      </c>
      <c r="Q577">
        <v>117.148</v>
      </c>
      <c r="R577" t="s">
        <v>25</v>
      </c>
      <c r="S577" t="s">
        <v>25</v>
      </c>
    </row>
    <row r="578" spans="1:19" x14ac:dyDescent="0.25">
      <c r="A578">
        <v>6</v>
      </c>
      <c r="B578" t="s">
        <v>384</v>
      </c>
      <c r="C578" t="str">
        <f>HYPERLINK("http://www.ncbi.nlm.nih.gov/protein/XP_038821244.1","XP_038821244.1")</f>
        <v>XP_038821244.1</v>
      </c>
      <c r="D578">
        <v>58413</v>
      </c>
      <c r="E578" t="str">
        <f>HYPERLINK("http://www.ncbi.nlm.nih.gov/Taxonomy/Browser/wwwtax.cgi?mode=Info&amp;id=8040&amp;lvl=3&amp;lin=f&amp;keep=1&amp;srchmode=1&amp;unlock","8040")</f>
        <v>8040</v>
      </c>
      <c r="F578" t="s">
        <v>384</v>
      </c>
      <c r="G578" t="str">
        <f>HYPERLINK("http://www.ncbi.nlm.nih.gov/Taxonomy/Browser/wwwtax.cgi?mode=Info&amp;id=8040&amp;lvl=3&amp;lin=f&amp;keep=1&amp;srchmode=1&amp;unlock","Salvelinus namaycush")</f>
        <v>Salvelinus namaycush</v>
      </c>
      <c r="H578" t="s">
        <v>480</v>
      </c>
      <c r="I578" t="str">
        <f>HYPERLINK("http://www.ncbi.nlm.nih.gov/protein/XP_038821244.1","fatty acid-binding protein, liver-type-like")</f>
        <v>fatty acid-binding protein, liver-type-like</v>
      </c>
      <c r="J578" t="s">
        <v>1390</v>
      </c>
      <c r="K578" t="s">
        <v>25</v>
      </c>
      <c r="L578">
        <v>50</v>
      </c>
      <c r="M578" t="s">
        <v>1379</v>
      </c>
      <c r="N578" t="s">
        <v>25</v>
      </c>
      <c r="O578" t="s">
        <v>1355</v>
      </c>
      <c r="P578" t="s">
        <v>25</v>
      </c>
      <c r="Q578">
        <v>117.148</v>
      </c>
      <c r="R578" t="s">
        <v>25</v>
      </c>
      <c r="S578" t="s">
        <v>25</v>
      </c>
    </row>
    <row r="579" spans="1:19" x14ac:dyDescent="0.25">
      <c r="A579">
        <v>6</v>
      </c>
      <c r="B579" t="s">
        <v>384</v>
      </c>
      <c r="C579" t="str">
        <f>HYPERLINK("http://www.ncbi.nlm.nih.gov/protein/XP_034398181.1","XP_034398181.1")</f>
        <v>XP_034398181.1</v>
      </c>
      <c r="D579">
        <v>38712</v>
      </c>
      <c r="E579" t="str">
        <f>HYPERLINK("http://www.ncbi.nlm.nih.gov/Taxonomy/Browser/wwwtax.cgi?mode=Info&amp;id=8103&amp;lvl=3&amp;lin=f&amp;keep=1&amp;srchmode=1&amp;unlock","8103")</f>
        <v>8103</v>
      </c>
      <c r="F579" t="s">
        <v>384</v>
      </c>
      <c r="G579" t="str">
        <f>HYPERLINK("http://www.ncbi.nlm.nih.gov/Taxonomy/Browser/wwwtax.cgi?mode=Info&amp;id=8103&amp;lvl=3&amp;lin=f&amp;keep=1&amp;srchmode=1&amp;unlock","Cyclopterus lumpus")</f>
        <v>Cyclopterus lumpus</v>
      </c>
      <c r="H579" t="s">
        <v>481</v>
      </c>
      <c r="I579" t="str">
        <f>HYPERLINK("http://www.ncbi.nlm.nih.gov/protein/XP_034398181.1","fatty acid-binding protein, liver-type-like")</f>
        <v>fatty acid-binding protein, liver-type-like</v>
      </c>
      <c r="J579" t="s">
        <v>1390</v>
      </c>
      <c r="K579" t="s">
        <v>25</v>
      </c>
      <c r="L579">
        <v>54</v>
      </c>
      <c r="M579" t="s">
        <v>1379</v>
      </c>
      <c r="N579" t="s">
        <v>25</v>
      </c>
      <c r="O579" t="s">
        <v>1355</v>
      </c>
      <c r="P579" t="s">
        <v>25</v>
      </c>
      <c r="Q579">
        <v>117.148</v>
      </c>
      <c r="R579" t="s">
        <v>25</v>
      </c>
      <c r="S579" t="s">
        <v>25</v>
      </c>
    </row>
    <row r="580" spans="1:19" x14ac:dyDescent="0.25">
      <c r="A580">
        <v>6</v>
      </c>
      <c r="B580" t="s">
        <v>384</v>
      </c>
      <c r="C580" t="str">
        <f>HYPERLINK("http://www.ncbi.nlm.nih.gov/protein/XP_021446645.2","XP_021446645.2")</f>
        <v>XP_021446645.2</v>
      </c>
      <c r="D580">
        <v>150751</v>
      </c>
      <c r="E580" t="str">
        <f>HYPERLINK("http://www.ncbi.nlm.nih.gov/Taxonomy/Browser/wwwtax.cgi?mode=Info&amp;id=8022&amp;lvl=3&amp;lin=f&amp;keep=1&amp;srchmode=1&amp;unlock","8022")</f>
        <v>8022</v>
      </c>
      <c r="F580" t="s">
        <v>384</v>
      </c>
      <c r="G580" t="str">
        <f>HYPERLINK("http://www.ncbi.nlm.nih.gov/Taxonomy/Browser/wwwtax.cgi?mode=Info&amp;id=8022&amp;lvl=3&amp;lin=f&amp;keep=1&amp;srchmode=1&amp;unlock","Oncorhynchus mykiss")</f>
        <v>Oncorhynchus mykiss</v>
      </c>
      <c r="H580" t="s">
        <v>482</v>
      </c>
      <c r="I580" t="str">
        <f>HYPERLINK("http://www.ncbi.nlm.nih.gov/protein/XP_021446645.2","fatty acid-binding protein, liver-type")</f>
        <v>fatty acid-binding protein, liver-type</v>
      </c>
      <c r="J580" t="s">
        <v>1390</v>
      </c>
      <c r="K580" t="s">
        <v>25</v>
      </c>
      <c r="L580">
        <v>50</v>
      </c>
      <c r="M580" t="s">
        <v>1379</v>
      </c>
      <c r="N580" t="s">
        <v>25</v>
      </c>
      <c r="O580" t="s">
        <v>1355</v>
      </c>
      <c r="P580" t="s">
        <v>25</v>
      </c>
      <c r="Q580">
        <v>117.148</v>
      </c>
      <c r="R580" t="s">
        <v>25</v>
      </c>
      <c r="S580" t="s">
        <v>25</v>
      </c>
    </row>
    <row r="581" spans="1:19" x14ac:dyDescent="0.25">
      <c r="A581">
        <v>6</v>
      </c>
      <c r="B581" t="s">
        <v>384</v>
      </c>
      <c r="C581" t="str">
        <f>HYPERLINK("http://www.ncbi.nlm.nih.gov/protein/XP_023843509.1","XP_023843509.1")</f>
        <v>XP_023843509.1</v>
      </c>
      <c r="D581">
        <v>60779</v>
      </c>
      <c r="E581" t="str">
        <f>HYPERLINK("http://www.ncbi.nlm.nih.gov/Taxonomy/Browser/wwwtax.cgi?mode=Info&amp;id=8036&amp;lvl=3&amp;lin=f&amp;keep=1&amp;srchmode=1&amp;unlock","8036")</f>
        <v>8036</v>
      </c>
      <c r="F581" t="s">
        <v>384</v>
      </c>
      <c r="G581" t="str">
        <f>HYPERLINK("http://www.ncbi.nlm.nih.gov/Taxonomy/Browser/wwwtax.cgi?mode=Info&amp;id=8036&amp;lvl=3&amp;lin=f&amp;keep=1&amp;srchmode=1&amp;unlock","Salvelinus alpinus")</f>
        <v>Salvelinus alpinus</v>
      </c>
      <c r="H581" t="s">
        <v>483</v>
      </c>
      <c r="I581" t="str">
        <f>HYPERLINK("http://www.ncbi.nlm.nih.gov/protein/XP_023843509.1","fatty acid-binding protein, liver")</f>
        <v>fatty acid-binding protein, liver</v>
      </c>
      <c r="J581" t="s">
        <v>1390</v>
      </c>
      <c r="K581" t="s">
        <v>25</v>
      </c>
      <c r="L581">
        <v>50</v>
      </c>
      <c r="M581" t="s">
        <v>1379</v>
      </c>
      <c r="N581" t="s">
        <v>25</v>
      </c>
      <c r="O581" t="s">
        <v>1355</v>
      </c>
      <c r="P581" t="s">
        <v>25</v>
      </c>
      <c r="Q581">
        <v>117.148</v>
      </c>
      <c r="R581" t="s">
        <v>25</v>
      </c>
      <c r="S581" t="s">
        <v>25</v>
      </c>
    </row>
    <row r="582" spans="1:19" x14ac:dyDescent="0.25">
      <c r="A582">
        <v>6</v>
      </c>
      <c r="B582" t="s">
        <v>384</v>
      </c>
      <c r="C582" t="str">
        <f>HYPERLINK("http://www.ncbi.nlm.nih.gov/protein/XP_029476361.1","XP_029476361.1")</f>
        <v>XP_029476361.1</v>
      </c>
      <c r="D582">
        <v>69382</v>
      </c>
      <c r="E582" t="str">
        <f>HYPERLINK("http://www.ncbi.nlm.nih.gov/Taxonomy/Browser/wwwtax.cgi?mode=Info&amp;id=8023&amp;lvl=3&amp;lin=f&amp;keep=1&amp;srchmode=1&amp;unlock","8023")</f>
        <v>8023</v>
      </c>
      <c r="F582" t="s">
        <v>384</v>
      </c>
      <c r="G582" t="str">
        <f>HYPERLINK("http://www.ncbi.nlm.nih.gov/Taxonomy/Browser/wwwtax.cgi?mode=Info&amp;id=8023&amp;lvl=3&amp;lin=f&amp;keep=1&amp;srchmode=1&amp;unlock","Oncorhynchus nerka")</f>
        <v>Oncorhynchus nerka</v>
      </c>
      <c r="H582" t="s">
        <v>479</v>
      </c>
      <c r="I582" t="str">
        <f>HYPERLINK("http://www.ncbi.nlm.nih.gov/protein/XP_029476361.1","fatty acid-binding protein, liver")</f>
        <v>fatty acid-binding protein, liver</v>
      </c>
      <c r="J582" t="s">
        <v>1390</v>
      </c>
      <c r="K582" t="s">
        <v>25</v>
      </c>
      <c r="L582">
        <v>50</v>
      </c>
      <c r="M582" t="s">
        <v>1379</v>
      </c>
      <c r="N582" t="s">
        <v>25</v>
      </c>
      <c r="O582" t="s">
        <v>1355</v>
      </c>
      <c r="P582" t="s">
        <v>25</v>
      </c>
      <c r="Q582">
        <v>117.148</v>
      </c>
      <c r="R582" t="s">
        <v>25</v>
      </c>
      <c r="S582" t="s">
        <v>25</v>
      </c>
    </row>
    <row r="583" spans="1:19" x14ac:dyDescent="0.25">
      <c r="A583">
        <v>6</v>
      </c>
      <c r="B583" t="s">
        <v>384</v>
      </c>
      <c r="C583" t="str">
        <f>HYPERLINK("http://www.ncbi.nlm.nih.gov/protein/XP_013984144.1","XP_013984144.1")</f>
        <v>XP_013984144.1</v>
      </c>
      <c r="D583">
        <v>111579</v>
      </c>
      <c r="E583" t="str">
        <f>HYPERLINK("http://www.ncbi.nlm.nih.gov/Taxonomy/Browser/wwwtax.cgi?mode=Info&amp;id=8030&amp;lvl=3&amp;lin=f&amp;keep=1&amp;srchmode=1&amp;unlock","8030")</f>
        <v>8030</v>
      </c>
      <c r="F583" t="s">
        <v>384</v>
      </c>
      <c r="G583" t="str">
        <f>HYPERLINK("http://www.ncbi.nlm.nih.gov/Taxonomy/Browser/wwwtax.cgi?mode=Info&amp;id=8030&amp;lvl=3&amp;lin=f&amp;keep=1&amp;srchmode=1&amp;unlock","Salmo salar")</f>
        <v>Salmo salar</v>
      </c>
      <c r="H583" t="s">
        <v>490</v>
      </c>
      <c r="I583" t="str">
        <f>HYPERLINK("http://www.ncbi.nlm.nih.gov/protein/XP_013984144.1","PREDICTED: fatty acid-binding protein, liver")</f>
        <v>PREDICTED: fatty acid-binding protein, liver</v>
      </c>
      <c r="J583" t="s">
        <v>1390</v>
      </c>
      <c r="K583" t="s">
        <v>25</v>
      </c>
      <c r="L583">
        <v>50</v>
      </c>
      <c r="M583" t="s">
        <v>1379</v>
      </c>
      <c r="N583" t="s">
        <v>25</v>
      </c>
      <c r="O583" t="s">
        <v>1355</v>
      </c>
      <c r="P583" t="s">
        <v>25</v>
      </c>
      <c r="Q583">
        <v>117.148</v>
      </c>
      <c r="R583" t="s">
        <v>25</v>
      </c>
      <c r="S583" t="s">
        <v>25</v>
      </c>
    </row>
    <row r="584" spans="1:19" x14ac:dyDescent="0.25">
      <c r="A584">
        <v>6</v>
      </c>
      <c r="B584" t="s">
        <v>384</v>
      </c>
      <c r="C584" t="str">
        <f>HYPERLINK("http://www.ncbi.nlm.nih.gov/protein/XP_010876266.1","XP_010876266.1")</f>
        <v>XP_010876266.1</v>
      </c>
      <c r="D584">
        <v>59853</v>
      </c>
      <c r="E584" t="str">
        <f>HYPERLINK("http://www.ncbi.nlm.nih.gov/Taxonomy/Browser/wwwtax.cgi?mode=Info&amp;id=8010&amp;lvl=3&amp;lin=f&amp;keep=1&amp;srchmode=1&amp;unlock","8010")</f>
        <v>8010</v>
      </c>
      <c r="F584" t="s">
        <v>384</v>
      </c>
      <c r="G584" t="str">
        <f>HYPERLINK("http://www.ncbi.nlm.nih.gov/Taxonomy/Browser/wwwtax.cgi?mode=Info&amp;id=8010&amp;lvl=3&amp;lin=f&amp;keep=1&amp;srchmode=1&amp;unlock","Esox lucius")</f>
        <v>Esox lucius</v>
      </c>
      <c r="H584" t="s">
        <v>489</v>
      </c>
      <c r="I584" t="str">
        <f>HYPERLINK("http://www.ncbi.nlm.nih.gov/protein/XP_010876266.1","fatty acid binding protein 1-A, liver")</f>
        <v>fatty acid binding protein 1-A, liver</v>
      </c>
      <c r="J584" t="s">
        <v>1390</v>
      </c>
      <c r="K584" t="s">
        <v>25</v>
      </c>
      <c r="L584">
        <v>50</v>
      </c>
      <c r="M584" t="s">
        <v>1379</v>
      </c>
      <c r="N584" t="s">
        <v>25</v>
      </c>
      <c r="O584" t="s">
        <v>1355</v>
      </c>
      <c r="P584" t="s">
        <v>25</v>
      </c>
      <c r="Q584">
        <v>117.148</v>
      </c>
      <c r="R584" t="s">
        <v>25</v>
      </c>
      <c r="S584" t="s">
        <v>25</v>
      </c>
    </row>
    <row r="585" spans="1:19" x14ac:dyDescent="0.25">
      <c r="A585">
        <v>6</v>
      </c>
      <c r="B585" t="s">
        <v>384</v>
      </c>
      <c r="C585" t="str">
        <f>HYPERLINK("http://www.ncbi.nlm.nih.gov/protein/XP_029625294.1","XP_029625294.1")</f>
        <v>XP_029625294.1</v>
      </c>
      <c r="D585">
        <v>88634</v>
      </c>
      <c r="E585" t="str">
        <f>HYPERLINK("http://www.ncbi.nlm.nih.gov/Taxonomy/Browser/wwwtax.cgi?mode=Info&amp;id=8032&amp;lvl=3&amp;lin=f&amp;keep=1&amp;srchmode=1&amp;unlock","8032")</f>
        <v>8032</v>
      </c>
      <c r="F585" t="s">
        <v>384</v>
      </c>
      <c r="G585" t="str">
        <f>HYPERLINK("http://www.ncbi.nlm.nih.gov/Taxonomy/Browser/wwwtax.cgi?mode=Info&amp;id=8032&amp;lvl=3&amp;lin=f&amp;keep=1&amp;srchmode=1&amp;unlock","Salmo trutta")</f>
        <v>Salmo trutta</v>
      </c>
      <c r="H585" t="s">
        <v>491</v>
      </c>
      <c r="I585" t="str">
        <f>HYPERLINK("http://www.ncbi.nlm.nih.gov/protein/XP_029625294.1","fatty acid-binding protein, liver")</f>
        <v>fatty acid-binding protein, liver</v>
      </c>
      <c r="J585" t="s">
        <v>1390</v>
      </c>
      <c r="K585" t="s">
        <v>25</v>
      </c>
      <c r="L585">
        <v>50</v>
      </c>
      <c r="M585" t="s">
        <v>1379</v>
      </c>
      <c r="N585" t="s">
        <v>25</v>
      </c>
      <c r="O585" t="s">
        <v>1355</v>
      </c>
      <c r="P585" t="s">
        <v>25</v>
      </c>
      <c r="Q585">
        <v>117.148</v>
      </c>
      <c r="R585" t="s">
        <v>25</v>
      </c>
      <c r="S585" t="s">
        <v>25</v>
      </c>
    </row>
    <row r="586" spans="1:19" x14ac:dyDescent="0.25">
      <c r="A586">
        <v>6</v>
      </c>
      <c r="B586" t="s">
        <v>384</v>
      </c>
      <c r="C586" t="str">
        <f>HYPERLINK("http://www.ncbi.nlm.nih.gov/protein/XP_035628149.1","XP_035628149.1")</f>
        <v>XP_035628149.1</v>
      </c>
      <c r="D586">
        <v>67512</v>
      </c>
      <c r="E586" t="str">
        <f>HYPERLINK("http://www.ncbi.nlm.nih.gov/Taxonomy/Browser/wwwtax.cgi?mode=Info&amp;id=8018&amp;lvl=3&amp;lin=f&amp;keep=1&amp;srchmode=1&amp;unlock","8018")</f>
        <v>8018</v>
      </c>
      <c r="F586" t="s">
        <v>384</v>
      </c>
      <c r="G586" t="str">
        <f>HYPERLINK("http://www.ncbi.nlm.nih.gov/Taxonomy/Browser/wwwtax.cgi?mode=Info&amp;id=8018&amp;lvl=3&amp;lin=f&amp;keep=1&amp;srchmode=1&amp;unlock","Oncorhynchus keta")</f>
        <v>Oncorhynchus keta</v>
      </c>
      <c r="H586" t="s">
        <v>492</v>
      </c>
      <c r="I586" t="str">
        <f>HYPERLINK("http://www.ncbi.nlm.nih.gov/protein/XP_035628149.1","fatty acid-binding protein, liver-type-like")</f>
        <v>fatty acid-binding protein, liver-type-like</v>
      </c>
      <c r="J586" t="s">
        <v>1390</v>
      </c>
      <c r="K586" t="s">
        <v>25</v>
      </c>
      <c r="L586">
        <v>50</v>
      </c>
      <c r="M586" t="s">
        <v>1379</v>
      </c>
      <c r="N586" t="s">
        <v>25</v>
      </c>
      <c r="O586" t="s">
        <v>1355</v>
      </c>
      <c r="P586" t="s">
        <v>25</v>
      </c>
      <c r="Q586">
        <v>117.148</v>
      </c>
      <c r="R586" t="s">
        <v>25</v>
      </c>
      <c r="S586" t="s">
        <v>25</v>
      </c>
    </row>
    <row r="587" spans="1:19" x14ac:dyDescent="0.25">
      <c r="A587">
        <v>6</v>
      </c>
      <c r="B587" t="s">
        <v>384</v>
      </c>
      <c r="C587" t="str">
        <f>HYPERLINK("http://www.ncbi.nlm.nih.gov/protein/CAB1332787.1","CAB1332787.1")</f>
        <v>CAB1332787.1</v>
      </c>
      <c r="D587">
        <v>41735</v>
      </c>
      <c r="E587" t="str">
        <f>HYPERLINK("http://www.ncbi.nlm.nih.gov/Taxonomy/Browser/wwwtax.cgi?mode=Info&amp;id=861768&amp;lvl=3&amp;lin=f&amp;keep=1&amp;srchmode=1&amp;unlock","861768")</f>
        <v>861768</v>
      </c>
      <c r="F587" t="s">
        <v>384</v>
      </c>
      <c r="G587" t="str">
        <f>HYPERLINK("http://www.ncbi.nlm.nih.gov/Taxonomy/Browser/wwwtax.cgi?mode=Info&amp;id=861768&amp;lvl=3&amp;lin=f&amp;keep=1&amp;srchmode=1&amp;unlock","Coregonus sp. 'balchen'")</f>
        <v>Coregonus sp. 'balchen'</v>
      </c>
      <c r="H587" t="s">
        <v>494</v>
      </c>
      <c r="I587" t="str">
        <f>HYPERLINK("http://www.ncbi.nlm.nih.gov/protein/CAB1332787.1","unnamed protein product")</f>
        <v>unnamed protein product</v>
      </c>
      <c r="J587" t="s">
        <v>1390</v>
      </c>
      <c r="K587" t="s">
        <v>25</v>
      </c>
      <c r="L587">
        <v>50</v>
      </c>
      <c r="M587" t="s">
        <v>1379</v>
      </c>
      <c r="N587" t="s">
        <v>25</v>
      </c>
      <c r="O587" t="s">
        <v>1355</v>
      </c>
      <c r="P587" t="s">
        <v>25</v>
      </c>
      <c r="Q587">
        <v>117.148</v>
      </c>
      <c r="R587" t="s">
        <v>25</v>
      </c>
      <c r="S587" t="s">
        <v>25</v>
      </c>
    </row>
    <row r="588" spans="1:19" x14ac:dyDescent="0.25">
      <c r="A588">
        <v>6</v>
      </c>
      <c r="B588" t="s">
        <v>384</v>
      </c>
      <c r="C588" t="str">
        <f>HYPERLINK("http://www.ncbi.nlm.nih.gov/protein/KAG5271990.1","KAG5271990.1")</f>
        <v>KAG5271990.1</v>
      </c>
      <c r="D588">
        <v>26424</v>
      </c>
      <c r="E588" t="str">
        <f>HYPERLINK("http://www.ncbi.nlm.nih.gov/Taxonomy/Browser/wwwtax.cgi?mode=Info&amp;id=278164&amp;lvl=3&amp;lin=f&amp;keep=1&amp;srchmode=1&amp;unlock","278164")</f>
        <v>278164</v>
      </c>
      <c r="F588" t="s">
        <v>384</v>
      </c>
      <c r="G588" t="str">
        <f>HYPERLINK("http://www.ncbi.nlm.nih.gov/Taxonomy/Browser/wwwtax.cgi?mode=Info&amp;id=278164&amp;lvl=3&amp;lin=f&amp;keep=1&amp;srchmode=1&amp;unlock","Alosa alosa")</f>
        <v>Alosa alosa</v>
      </c>
      <c r="H588" t="s">
        <v>498</v>
      </c>
      <c r="I588" t="str">
        <f>HYPERLINK("http://www.ncbi.nlm.nih.gov/protein/KAG5271990.1","hypothetical protein AALO_G00160430")</f>
        <v>hypothetical protein AALO_G00160430</v>
      </c>
      <c r="J588" t="s">
        <v>1390</v>
      </c>
      <c r="K588" t="s">
        <v>25</v>
      </c>
      <c r="L588">
        <v>50</v>
      </c>
      <c r="M588" t="s">
        <v>1379</v>
      </c>
      <c r="N588" t="s">
        <v>25</v>
      </c>
      <c r="O588" t="s">
        <v>1355</v>
      </c>
      <c r="P588" t="s">
        <v>25</v>
      </c>
      <c r="Q588">
        <v>117.148</v>
      </c>
      <c r="R588" t="s">
        <v>25</v>
      </c>
      <c r="S588" t="s">
        <v>25</v>
      </c>
    </row>
    <row r="589" spans="1:19" x14ac:dyDescent="0.25">
      <c r="A589">
        <v>6</v>
      </c>
      <c r="B589" t="s">
        <v>384</v>
      </c>
      <c r="C589" t="str">
        <f>HYPERLINK("http://www.ncbi.nlm.nih.gov/protein/XP_024253295.1","XP_024253295.1")</f>
        <v>XP_024253295.1</v>
      </c>
      <c r="D589">
        <v>73759</v>
      </c>
      <c r="E589" t="str">
        <f>HYPERLINK("http://www.ncbi.nlm.nih.gov/Taxonomy/Browser/wwwtax.cgi?mode=Info&amp;id=74940&amp;lvl=3&amp;lin=f&amp;keep=1&amp;srchmode=1&amp;unlock","74940")</f>
        <v>74940</v>
      </c>
      <c r="F589" t="s">
        <v>384</v>
      </c>
      <c r="G589" t="str">
        <f>HYPERLINK("http://www.ncbi.nlm.nih.gov/Taxonomy/Browser/wwwtax.cgi?mode=Info&amp;id=74940&amp;lvl=3&amp;lin=f&amp;keep=1&amp;srchmode=1&amp;unlock","Oncorhynchus tshawytscha")</f>
        <v>Oncorhynchus tshawytscha</v>
      </c>
      <c r="H589" t="s">
        <v>500</v>
      </c>
      <c r="I589" t="str">
        <f>HYPERLINK("http://www.ncbi.nlm.nih.gov/protein/XP_024253295.1","fatty acid-binding protein, liver-type-like")</f>
        <v>fatty acid-binding protein, liver-type-like</v>
      </c>
      <c r="J589" t="s">
        <v>1390</v>
      </c>
      <c r="K589" t="s">
        <v>25</v>
      </c>
      <c r="L589">
        <v>50</v>
      </c>
      <c r="M589" t="s">
        <v>1379</v>
      </c>
      <c r="N589" t="s">
        <v>25</v>
      </c>
      <c r="O589" t="s">
        <v>1355</v>
      </c>
      <c r="P589" t="s">
        <v>25</v>
      </c>
      <c r="Q589">
        <v>117.148</v>
      </c>
      <c r="R589" t="s">
        <v>25</v>
      </c>
      <c r="S589" t="s">
        <v>25</v>
      </c>
    </row>
    <row r="590" spans="1:19" x14ac:dyDescent="0.25">
      <c r="A590">
        <v>6</v>
      </c>
      <c r="B590" t="s">
        <v>384</v>
      </c>
      <c r="C590" t="str">
        <f>HYPERLINK("http://www.ncbi.nlm.nih.gov/protein/XP_020321356.1","XP_020321356.1")</f>
        <v>XP_020321356.1</v>
      </c>
      <c r="D590">
        <v>89590</v>
      </c>
      <c r="E590" t="str">
        <f>HYPERLINK("http://www.ncbi.nlm.nih.gov/Taxonomy/Browser/wwwtax.cgi?mode=Info&amp;id=8019&amp;lvl=3&amp;lin=f&amp;keep=1&amp;srchmode=1&amp;unlock","8019")</f>
        <v>8019</v>
      </c>
      <c r="F590" t="s">
        <v>384</v>
      </c>
      <c r="G590" t="str">
        <f>HYPERLINK("http://www.ncbi.nlm.nih.gov/Taxonomy/Browser/wwwtax.cgi?mode=Info&amp;id=8019&amp;lvl=3&amp;lin=f&amp;keep=1&amp;srchmode=1&amp;unlock","Oncorhynchus kisutch")</f>
        <v>Oncorhynchus kisutch</v>
      </c>
      <c r="H590" t="s">
        <v>501</v>
      </c>
      <c r="I590" t="str">
        <f>HYPERLINK("http://www.ncbi.nlm.nih.gov/protein/XP_020321356.1","fatty acid-binding protein, liver-type")</f>
        <v>fatty acid-binding protein, liver-type</v>
      </c>
      <c r="J590" t="s">
        <v>1390</v>
      </c>
      <c r="K590" t="s">
        <v>25</v>
      </c>
      <c r="L590">
        <v>50</v>
      </c>
      <c r="M590" t="s">
        <v>1379</v>
      </c>
      <c r="N590" t="s">
        <v>25</v>
      </c>
      <c r="O590" t="s">
        <v>1355</v>
      </c>
      <c r="P590" t="s">
        <v>25</v>
      </c>
      <c r="Q590">
        <v>117.148</v>
      </c>
      <c r="R590" t="s">
        <v>25</v>
      </c>
      <c r="S590" t="s">
        <v>25</v>
      </c>
    </row>
    <row r="591" spans="1:19" x14ac:dyDescent="0.25">
      <c r="A591">
        <v>6</v>
      </c>
      <c r="B591" t="s">
        <v>384</v>
      </c>
      <c r="C591" t="str">
        <f>HYPERLINK("http://www.ncbi.nlm.nih.gov/protein/XP_028829487.1","XP_028829487.1")</f>
        <v>XP_028829487.1</v>
      </c>
      <c r="D591">
        <v>50098</v>
      </c>
      <c r="E591" t="str">
        <f>HYPERLINK("http://www.ncbi.nlm.nih.gov/Taxonomy/Browser/wwwtax.cgi?mode=Info&amp;id=299321&amp;lvl=3&amp;lin=f&amp;keep=1&amp;srchmode=1&amp;unlock","299321")</f>
        <v>299321</v>
      </c>
      <c r="F591" t="s">
        <v>384</v>
      </c>
      <c r="G591" t="str">
        <f>HYPERLINK("http://www.ncbi.nlm.nih.gov/Taxonomy/Browser/wwwtax.cgi?mode=Info&amp;id=299321&amp;lvl=3&amp;lin=f&amp;keep=1&amp;srchmode=1&amp;unlock","Denticeps clupeoides")</f>
        <v>Denticeps clupeoides</v>
      </c>
      <c r="H591" t="s">
        <v>506</v>
      </c>
      <c r="I591" t="str">
        <f>HYPERLINK("http://www.ncbi.nlm.nih.gov/protein/XP_028829487.1","fatty acid-binding protein, liver-type-like")</f>
        <v>fatty acid-binding protein, liver-type-like</v>
      </c>
      <c r="J591" t="s">
        <v>1390</v>
      </c>
      <c r="K591" t="s">
        <v>25</v>
      </c>
      <c r="L591">
        <v>50</v>
      </c>
      <c r="M591" t="s">
        <v>1379</v>
      </c>
      <c r="N591" t="s">
        <v>25</v>
      </c>
      <c r="O591" t="s">
        <v>1355</v>
      </c>
      <c r="P591" t="s">
        <v>25</v>
      </c>
      <c r="Q591">
        <v>117.148</v>
      </c>
      <c r="R591" t="s">
        <v>25</v>
      </c>
      <c r="S591" t="s">
        <v>25</v>
      </c>
    </row>
    <row r="592" spans="1:19" x14ac:dyDescent="0.25">
      <c r="A592">
        <v>6</v>
      </c>
      <c r="B592" t="s">
        <v>384</v>
      </c>
      <c r="C592" t="str">
        <f>HYPERLINK("http://www.ncbi.nlm.nih.gov/protein/XP_007254048.1","XP_007254048.1")</f>
        <v>XP_007254048.1</v>
      </c>
      <c r="D592">
        <v>42884</v>
      </c>
      <c r="E592" t="str">
        <f>HYPERLINK("http://www.ncbi.nlm.nih.gov/Taxonomy/Browser/wwwtax.cgi?mode=Info&amp;id=7994&amp;lvl=3&amp;lin=f&amp;keep=1&amp;srchmode=1&amp;unlock","7994")</f>
        <v>7994</v>
      </c>
      <c r="F592" t="s">
        <v>384</v>
      </c>
      <c r="G592" t="str">
        <f>HYPERLINK("http://www.ncbi.nlm.nih.gov/Taxonomy/Browser/wwwtax.cgi?mode=Info&amp;id=7994&amp;lvl=3&amp;lin=f&amp;keep=1&amp;srchmode=1&amp;unlock","Astyanax mexicanus")</f>
        <v>Astyanax mexicanus</v>
      </c>
      <c r="H592" t="s">
        <v>508</v>
      </c>
      <c r="I592" t="str">
        <f>HYPERLINK("http://www.ncbi.nlm.nih.gov/protein/XP_007254048.1","fatty acid-binding protein, liver-type")</f>
        <v>fatty acid-binding protein, liver-type</v>
      </c>
      <c r="J592" t="s">
        <v>1390</v>
      </c>
      <c r="K592" t="s">
        <v>25</v>
      </c>
      <c r="L592">
        <v>50</v>
      </c>
      <c r="M592" t="s">
        <v>1379</v>
      </c>
      <c r="N592" t="s">
        <v>25</v>
      </c>
      <c r="O592" t="s">
        <v>1355</v>
      </c>
      <c r="P592" t="s">
        <v>25</v>
      </c>
      <c r="Q592">
        <v>117.148</v>
      </c>
      <c r="R592" t="s">
        <v>25</v>
      </c>
      <c r="S592" t="s">
        <v>25</v>
      </c>
    </row>
    <row r="593" spans="1:19" x14ac:dyDescent="0.25">
      <c r="A593">
        <v>6</v>
      </c>
      <c r="B593" t="s">
        <v>384</v>
      </c>
      <c r="C593" t="str">
        <f>HYPERLINK("http://www.ncbi.nlm.nih.gov/protein/XP_036436059.1","XP_036436059.1")</f>
        <v>XP_036436059.1</v>
      </c>
      <c r="D593">
        <v>43803</v>
      </c>
      <c r="E593" t="str">
        <f>HYPERLINK("http://www.ncbi.nlm.nih.gov/Taxonomy/Browser/wwwtax.cgi?mode=Info&amp;id=42526&amp;lvl=3&amp;lin=f&amp;keep=1&amp;srchmode=1&amp;unlock","42526")</f>
        <v>42526</v>
      </c>
      <c r="F593" t="s">
        <v>384</v>
      </c>
      <c r="G593" t="str">
        <f>HYPERLINK("http://www.ncbi.nlm.nih.gov/Taxonomy/Browser/wwwtax.cgi?mode=Info&amp;id=42526&amp;lvl=3&amp;lin=f&amp;keep=1&amp;srchmode=1&amp;unlock","Colossoma macropomum")</f>
        <v>Colossoma macropomum</v>
      </c>
      <c r="H593" t="s">
        <v>507</v>
      </c>
      <c r="I593" t="str">
        <f>HYPERLINK("http://www.ncbi.nlm.nih.gov/protein/XP_036436059.1","fatty acid binding protein 1-A, liver")</f>
        <v>fatty acid binding protein 1-A, liver</v>
      </c>
      <c r="J593" t="s">
        <v>1390</v>
      </c>
      <c r="K593" t="s">
        <v>25</v>
      </c>
      <c r="L593">
        <v>50</v>
      </c>
      <c r="M593" t="s">
        <v>1379</v>
      </c>
      <c r="N593" t="s">
        <v>25</v>
      </c>
      <c r="O593" t="s">
        <v>1355</v>
      </c>
      <c r="P593" t="s">
        <v>25</v>
      </c>
      <c r="Q593">
        <v>117.148</v>
      </c>
      <c r="R593" t="s">
        <v>25</v>
      </c>
      <c r="S593" t="s">
        <v>25</v>
      </c>
    </row>
    <row r="594" spans="1:19" x14ac:dyDescent="0.25">
      <c r="A594">
        <v>6</v>
      </c>
      <c r="B594" t="s">
        <v>384</v>
      </c>
      <c r="C594" t="str">
        <f>HYPERLINK("http://www.ncbi.nlm.nih.gov/protein/XP_017557159.1","XP_017557159.1")</f>
        <v>XP_017557159.1</v>
      </c>
      <c r="D594">
        <v>50677</v>
      </c>
      <c r="E594" t="str">
        <f>HYPERLINK("http://www.ncbi.nlm.nih.gov/Taxonomy/Browser/wwwtax.cgi?mode=Info&amp;id=42514&amp;lvl=3&amp;lin=f&amp;keep=1&amp;srchmode=1&amp;unlock","42514")</f>
        <v>42514</v>
      </c>
      <c r="F594" t="s">
        <v>384</v>
      </c>
      <c r="G594" t="str">
        <f>HYPERLINK("http://www.ncbi.nlm.nih.gov/Taxonomy/Browser/wwwtax.cgi?mode=Info&amp;id=42514&amp;lvl=3&amp;lin=f&amp;keep=1&amp;srchmode=1&amp;unlock","Pygocentrus nattereri")</f>
        <v>Pygocentrus nattereri</v>
      </c>
      <c r="H594" t="s">
        <v>510</v>
      </c>
      <c r="I594" t="str">
        <f>HYPERLINK("http://www.ncbi.nlm.nih.gov/protein/XP_017557159.1","fatty acid binding protein 1-A, liver")</f>
        <v>fatty acid binding protein 1-A, liver</v>
      </c>
      <c r="J594" t="s">
        <v>1390</v>
      </c>
      <c r="K594" t="s">
        <v>25</v>
      </c>
      <c r="L594">
        <v>50</v>
      </c>
      <c r="M594" t="s">
        <v>1379</v>
      </c>
      <c r="N594" t="s">
        <v>25</v>
      </c>
      <c r="O594" t="s">
        <v>1355</v>
      </c>
      <c r="P594" t="s">
        <v>25</v>
      </c>
      <c r="Q594">
        <v>117.148</v>
      </c>
      <c r="R594" t="s">
        <v>25</v>
      </c>
      <c r="S594" t="s">
        <v>25</v>
      </c>
    </row>
    <row r="595" spans="1:19" x14ac:dyDescent="0.25">
      <c r="A595">
        <v>6</v>
      </c>
      <c r="B595" t="s">
        <v>384</v>
      </c>
      <c r="C595" t="str">
        <f>HYPERLINK("http://www.ncbi.nlm.nih.gov/protein/XP_034782898.1","XP_034782898.1")</f>
        <v>XP_034782898.1</v>
      </c>
      <c r="D595">
        <v>89392</v>
      </c>
      <c r="E595" t="str">
        <f>HYPERLINK("http://www.ncbi.nlm.nih.gov/Taxonomy/Browser/wwwtax.cgi?mode=Info&amp;id=7906&amp;lvl=3&amp;lin=f&amp;keep=1&amp;srchmode=1&amp;unlock","7906")</f>
        <v>7906</v>
      </c>
      <c r="F595" t="s">
        <v>384</v>
      </c>
      <c r="G595" t="str">
        <f>HYPERLINK("http://www.ncbi.nlm.nih.gov/Taxonomy/Browser/wwwtax.cgi?mode=Info&amp;id=7906&amp;lvl=3&amp;lin=f&amp;keep=1&amp;srchmode=1&amp;unlock","Acipenser ruthenus")</f>
        <v>Acipenser ruthenus</v>
      </c>
      <c r="H595" t="s">
        <v>512</v>
      </c>
      <c r="I595" t="str">
        <f>HYPERLINK("http://www.ncbi.nlm.nih.gov/protein/XP_034782898.1","fatty acid-binding protein, liver-type-like")</f>
        <v>fatty acid-binding protein, liver-type-like</v>
      </c>
      <c r="J595" t="s">
        <v>1390</v>
      </c>
      <c r="K595" t="s">
        <v>25</v>
      </c>
      <c r="L595">
        <v>50</v>
      </c>
      <c r="M595" t="s">
        <v>1379</v>
      </c>
      <c r="N595" t="s">
        <v>25</v>
      </c>
      <c r="O595" t="s">
        <v>1355</v>
      </c>
      <c r="P595" t="s">
        <v>25</v>
      </c>
      <c r="Q595">
        <v>117.148</v>
      </c>
      <c r="R595" t="s">
        <v>25</v>
      </c>
      <c r="S595" t="s">
        <v>25</v>
      </c>
    </row>
    <row r="596" spans="1:19" x14ac:dyDescent="0.25">
      <c r="A596">
        <v>6</v>
      </c>
      <c r="B596" t="s">
        <v>384</v>
      </c>
      <c r="C596" t="str">
        <f>HYPERLINK("http://www.ncbi.nlm.nih.gov/protein/KAG1957691.1","KAG1957691.1")</f>
        <v>KAG1957691.1</v>
      </c>
      <c r="D596">
        <v>96106</v>
      </c>
      <c r="E596" t="str">
        <f>HYPERLINK("http://www.ncbi.nlm.nih.gov/Taxonomy/Browser/wwwtax.cgi?mode=Info&amp;id=90988&amp;lvl=3&amp;lin=f&amp;keep=1&amp;srchmode=1&amp;unlock","90988")</f>
        <v>90988</v>
      </c>
      <c r="F596" t="s">
        <v>384</v>
      </c>
      <c r="G596" t="str">
        <f>HYPERLINK("http://www.ncbi.nlm.nih.gov/Taxonomy/Browser/wwwtax.cgi?mode=Info&amp;id=90988&amp;lvl=3&amp;lin=f&amp;keep=1&amp;srchmode=1&amp;unlock","Pimephales promelas")</f>
        <v>Pimephales promelas</v>
      </c>
      <c r="H596" t="s">
        <v>513</v>
      </c>
      <c r="I596" t="str">
        <f>HYPERLINK("http://www.ncbi.nlm.nih.gov/protein/KAG1957691.1","fatty acid-binding protein, liver")</f>
        <v>fatty acid-binding protein, liver</v>
      </c>
      <c r="J596" t="s">
        <v>1390</v>
      </c>
      <c r="K596" t="s">
        <v>25</v>
      </c>
      <c r="L596">
        <v>55</v>
      </c>
      <c r="M596" t="s">
        <v>1379</v>
      </c>
      <c r="N596" t="s">
        <v>25</v>
      </c>
      <c r="O596" t="s">
        <v>1355</v>
      </c>
      <c r="P596" t="s">
        <v>25</v>
      </c>
      <c r="Q596">
        <v>117.148</v>
      </c>
      <c r="R596" t="s">
        <v>25</v>
      </c>
      <c r="S596" t="s">
        <v>25</v>
      </c>
    </row>
    <row r="597" spans="1:19" x14ac:dyDescent="0.25">
      <c r="A597">
        <v>6</v>
      </c>
      <c r="B597" t="s">
        <v>384</v>
      </c>
      <c r="C597" t="str">
        <f>HYPERLINK("http://www.ncbi.nlm.nih.gov/protein/XP_033472370.1","XP_033472370.1")</f>
        <v>XP_033472370.1</v>
      </c>
      <c r="D597">
        <v>43073</v>
      </c>
      <c r="E597" t="str">
        <f>HYPERLINK("http://www.ncbi.nlm.nih.gov/Taxonomy/Browser/wwwtax.cgi?mode=Info&amp;id=310571&amp;lvl=3&amp;lin=f&amp;keep=1&amp;srchmode=1&amp;unlock","310571")</f>
        <v>310571</v>
      </c>
      <c r="F597" t="s">
        <v>384</v>
      </c>
      <c r="G597" t="str">
        <f>HYPERLINK("http://www.ncbi.nlm.nih.gov/Taxonomy/Browser/wwwtax.cgi?mode=Info&amp;id=310571&amp;lvl=3&amp;lin=f&amp;keep=1&amp;srchmode=1&amp;unlock","Epinephelus lanceolatus")</f>
        <v>Epinephelus lanceolatus</v>
      </c>
      <c r="H597" t="s">
        <v>515</v>
      </c>
      <c r="I597" t="str">
        <f>HYPERLINK("http://www.ncbi.nlm.nih.gov/protein/XP_033472370.1","fatty acid-binding protein, liver-type")</f>
        <v>fatty acid-binding protein, liver-type</v>
      </c>
      <c r="J597" t="s">
        <v>1390</v>
      </c>
      <c r="K597" t="s">
        <v>25</v>
      </c>
      <c r="L597">
        <v>50</v>
      </c>
      <c r="M597" t="s">
        <v>1379</v>
      </c>
      <c r="N597" t="s">
        <v>25</v>
      </c>
      <c r="O597" t="s">
        <v>1355</v>
      </c>
      <c r="P597" t="s">
        <v>25</v>
      </c>
      <c r="Q597">
        <v>117.148</v>
      </c>
      <c r="R597" t="s">
        <v>25</v>
      </c>
      <c r="S597" t="s">
        <v>25</v>
      </c>
    </row>
    <row r="598" spans="1:19" x14ac:dyDescent="0.25">
      <c r="A598">
        <v>6</v>
      </c>
      <c r="B598" t="s">
        <v>384</v>
      </c>
      <c r="C598" t="str">
        <f>HYPERLINK("http://www.ncbi.nlm.nih.gov/protein/RXN13305.1","RXN13305.1")</f>
        <v>RXN13305.1</v>
      </c>
      <c r="D598">
        <v>37718</v>
      </c>
      <c r="E598" t="str">
        <f>HYPERLINK("http://www.ncbi.nlm.nih.gov/Taxonomy/Browser/wwwtax.cgi?mode=Info&amp;id=84645&amp;lvl=3&amp;lin=f&amp;keep=1&amp;srchmode=1&amp;unlock","84645")</f>
        <v>84645</v>
      </c>
      <c r="F598" t="s">
        <v>384</v>
      </c>
      <c r="G598" t="str">
        <f>HYPERLINK("http://www.ncbi.nlm.nih.gov/Taxonomy/Browser/wwwtax.cgi?mode=Info&amp;id=84645&amp;lvl=3&amp;lin=f&amp;keep=1&amp;srchmode=1&amp;unlock","Labeo rohita")</f>
        <v>Labeo rohita</v>
      </c>
      <c r="H598" t="s">
        <v>516</v>
      </c>
      <c r="I598" t="str">
        <f>HYPERLINK("http://www.ncbi.nlm.nih.gov/protein/RXN13305.1","fatty acid-binding liver")</f>
        <v>fatty acid-binding liver</v>
      </c>
      <c r="J598" t="s">
        <v>1390</v>
      </c>
      <c r="K598" t="s">
        <v>25</v>
      </c>
      <c r="L598">
        <v>50</v>
      </c>
      <c r="M598" t="s">
        <v>1379</v>
      </c>
      <c r="N598" t="s">
        <v>25</v>
      </c>
      <c r="O598" t="s">
        <v>1355</v>
      </c>
      <c r="P598" t="s">
        <v>25</v>
      </c>
      <c r="Q598">
        <v>117.148</v>
      </c>
      <c r="R598" t="s">
        <v>25</v>
      </c>
      <c r="S598" t="s">
        <v>25</v>
      </c>
    </row>
    <row r="599" spans="1:19" x14ac:dyDescent="0.25">
      <c r="A599">
        <v>6</v>
      </c>
      <c r="B599" t="s">
        <v>384</v>
      </c>
      <c r="C599" t="str">
        <f>HYPERLINK("http://www.ncbi.nlm.nih.gov/protein/XP_026066362.1","XP_026066362.1")</f>
        <v>XP_026066362.1</v>
      </c>
      <c r="D599">
        <v>98599</v>
      </c>
      <c r="E599" t="str">
        <f>HYPERLINK("http://www.ncbi.nlm.nih.gov/Taxonomy/Browser/wwwtax.cgi?mode=Info&amp;id=7957&amp;lvl=3&amp;lin=f&amp;keep=1&amp;srchmode=1&amp;unlock","7957")</f>
        <v>7957</v>
      </c>
      <c r="F599" t="s">
        <v>384</v>
      </c>
      <c r="G599" t="str">
        <f>HYPERLINK("http://www.ncbi.nlm.nih.gov/Taxonomy/Browser/wwwtax.cgi?mode=Info&amp;id=7957&amp;lvl=3&amp;lin=f&amp;keep=1&amp;srchmode=1&amp;unlock","Carassius auratus")</f>
        <v>Carassius auratus</v>
      </c>
      <c r="H599" t="s">
        <v>518</v>
      </c>
      <c r="I599" t="str">
        <f>HYPERLINK("http://www.ncbi.nlm.nih.gov/protein/XP_026066362.1","fatty acid-binding protein, liver")</f>
        <v>fatty acid-binding protein, liver</v>
      </c>
      <c r="J599" t="s">
        <v>1390</v>
      </c>
      <c r="K599" t="s">
        <v>25</v>
      </c>
      <c r="L599">
        <v>50</v>
      </c>
      <c r="M599" t="s">
        <v>1379</v>
      </c>
      <c r="N599" t="s">
        <v>25</v>
      </c>
      <c r="O599" t="s">
        <v>1355</v>
      </c>
      <c r="P599" t="s">
        <v>25</v>
      </c>
      <c r="Q599">
        <v>117.148</v>
      </c>
      <c r="R599" t="s">
        <v>25</v>
      </c>
      <c r="S599" t="s">
        <v>25</v>
      </c>
    </row>
    <row r="600" spans="1:19" x14ac:dyDescent="0.25">
      <c r="A600">
        <v>6</v>
      </c>
      <c r="B600" t="s">
        <v>384</v>
      </c>
      <c r="C600" t="str">
        <f>HYPERLINK("http://www.ncbi.nlm.nih.gov/protein/QRE01784.1","QRE01784.1")</f>
        <v>QRE01784.1</v>
      </c>
      <c r="D600">
        <v>774</v>
      </c>
      <c r="E600" t="str">
        <f>HYPERLINK("http://www.ncbi.nlm.nih.gov/Taxonomy/Browser/wwwtax.cgi?mode=Info&amp;id=119488&amp;lvl=3&amp;lin=f&amp;keep=1&amp;srchmode=1&amp;unlock","119488")</f>
        <v>119488</v>
      </c>
      <c r="F600" t="s">
        <v>384</v>
      </c>
      <c r="G600" t="str">
        <f>HYPERLINK("http://www.ncbi.nlm.nih.gov/Taxonomy/Browser/wwwtax.cgi?mode=Info&amp;id=119488&amp;lvl=3&amp;lin=f&amp;keep=1&amp;srchmode=1&amp;unlock","Siniperca chuatsi")</f>
        <v>Siniperca chuatsi</v>
      </c>
      <c r="H600" t="s">
        <v>519</v>
      </c>
      <c r="I600" t="str">
        <f>HYPERLINK("http://www.ncbi.nlm.nih.gov/protein/QRE01784.1","fatty acid-binding protein 1")</f>
        <v>fatty acid-binding protein 1</v>
      </c>
      <c r="J600" t="s">
        <v>1390</v>
      </c>
      <c r="K600" t="s">
        <v>25</v>
      </c>
      <c r="L600">
        <v>50</v>
      </c>
      <c r="M600" t="s">
        <v>1379</v>
      </c>
      <c r="N600" t="s">
        <v>25</v>
      </c>
      <c r="O600" t="s">
        <v>1355</v>
      </c>
      <c r="P600" t="s">
        <v>25</v>
      </c>
      <c r="Q600">
        <v>117.148</v>
      </c>
      <c r="R600" t="s">
        <v>25</v>
      </c>
      <c r="S600" t="s">
        <v>25</v>
      </c>
    </row>
    <row r="601" spans="1:19" x14ac:dyDescent="0.25">
      <c r="A601">
        <v>6</v>
      </c>
      <c r="B601" t="s">
        <v>384</v>
      </c>
      <c r="C601" t="str">
        <f>HYPERLINK("http://www.ncbi.nlm.nih.gov/protein/XP_013858101.1","XP_013858101.1")</f>
        <v>XP_013858101.1</v>
      </c>
      <c r="D601">
        <v>35359</v>
      </c>
      <c r="E601" t="str">
        <f>HYPERLINK("http://www.ncbi.nlm.nih.gov/Taxonomy/Browser/wwwtax.cgi?mode=Info&amp;id=52670&amp;lvl=3&amp;lin=f&amp;keep=1&amp;srchmode=1&amp;unlock","52670")</f>
        <v>52670</v>
      </c>
      <c r="F601" t="s">
        <v>384</v>
      </c>
      <c r="G601" t="str">
        <f>HYPERLINK("http://www.ncbi.nlm.nih.gov/Taxonomy/Browser/wwwtax.cgi?mode=Info&amp;id=52670&amp;lvl=3&amp;lin=f&amp;keep=1&amp;srchmode=1&amp;unlock","Austrofundulus limnaeus")</f>
        <v>Austrofundulus limnaeus</v>
      </c>
      <c r="H601" t="s">
        <v>520</v>
      </c>
      <c r="I601" t="str">
        <f>HYPERLINK("http://www.ncbi.nlm.nih.gov/protein/XP_013858101.1","PREDICTED: fatty acid-binding protein, liver-type-like isoform X1")</f>
        <v>PREDICTED: fatty acid-binding protein, liver-type-like isoform X1</v>
      </c>
      <c r="J601" t="s">
        <v>1390</v>
      </c>
      <c r="K601" t="s">
        <v>25</v>
      </c>
      <c r="L601">
        <v>50</v>
      </c>
      <c r="M601" t="s">
        <v>1379</v>
      </c>
      <c r="N601" t="s">
        <v>25</v>
      </c>
      <c r="O601" t="s">
        <v>1355</v>
      </c>
      <c r="P601" t="s">
        <v>25</v>
      </c>
      <c r="Q601">
        <v>117.148</v>
      </c>
      <c r="R601" t="s">
        <v>25</v>
      </c>
      <c r="S601" t="s">
        <v>25</v>
      </c>
    </row>
    <row r="602" spans="1:19" x14ac:dyDescent="0.25">
      <c r="A602">
        <v>6</v>
      </c>
      <c r="B602" t="s">
        <v>384</v>
      </c>
      <c r="C602" t="str">
        <f>HYPERLINK("http://www.ncbi.nlm.nih.gov/protein/XP_020788026.1","XP_020788026.1")</f>
        <v>XP_020788026.1</v>
      </c>
      <c r="D602">
        <v>25404</v>
      </c>
      <c r="E602" t="str">
        <f>HYPERLINK("http://www.ncbi.nlm.nih.gov/Taxonomy/Browser/wwwtax.cgi?mode=Info&amp;id=150288&amp;lvl=3&amp;lin=f&amp;keep=1&amp;srchmode=1&amp;unlock","150288")</f>
        <v>150288</v>
      </c>
      <c r="F602" t="s">
        <v>384</v>
      </c>
      <c r="G602" t="str">
        <f>HYPERLINK("http://www.ncbi.nlm.nih.gov/Taxonomy/Browser/wwwtax.cgi?mode=Info&amp;id=150288&amp;lvl=3&amp;lin=f&amp;keep=1&amp;srchmode=1&amp;unlock","Boleophthalmus pectinirostris")</f>
        <v>Boleophthalmus pectinirostris</v>
      </c>
      <c r="H602" t="s">
        <v>521</v>
      </c>
      <c r="I602" t="str">
        <f>HYPERLINK("http://www.ncbi.nlm.nih.gov/protein/XP_020788026.1","fatty acid-binding protein, liver-type-like")</f>
        <v>fatty acid-binding protein, liver-type-like</v>
      </c>
      <c r="J602" t="s">
        <v>1390</v>
      </c>
      <c r="K602" t="s">
        <v>25</v>
      </c>
      <c r="L602">
        <v>50</v>
      </c>
      <c r="M602" t="s">
        <v>1379</v>
      </c>
      <c r="N602" t="s">
        <v>25</v>
      </c>
      <c r="O602" t="s">
        <v>1355</v>
      </c>
      <c r="P602" t="s">
        <v>25</v>
      </c>
      <c r="Q602">
        <v>117.148</v>
      </c>
      <c r="R602" t="s">
        <v>25</v>
      </c>
      <c r="S602" t="s">
        <v>25</v>
      </c>
    </row>
    <row r="603" spans="1:19" x14ac:dyDescent="0.25">
      <c r="A603">
        <v>6</v>
      </c>
      <c r="B603" t="s">
        <v>384</v>
      </c>
      <c r="C603" t="str">
        <f>HYPERLINK("http://www.ncbi.nlm.nih.gov/protein/XP_035021869.1","XP_035021869.1")</f>
        <v>XP_035021869.1</v>
      </c>
      <c r="D603">
        <v>65062</v>
      </c>
      <c r="E603" t="str">
        <f>HYPERLINK("http://www.ncbi.nlm.nih.gov/Taxonomy/Browser/wwwtax.cgi?mode=Info&amp;id=195615&amp;lvl=3&amp;lin=f&amp;keep=1&amp;srchmode=1&amp;unlock","195615")</f>
        <v>195615</v>
      </c>
      <c r="F603" t="s">
        <v>384</v>
      </c>
      <c r="G603" t="str">
        <f>HYPERLINK("http://www.ncbi.nlm.nih.gov/Taxonomy/Browser/wwwtax.cgi?mode=Info&amp;id=195615&amp;lvl=3&amp;lin=f&amp;keep=1&amp;srchmode=1&amp;unlock","Hippoglossus stenolepis")</f>
        <v>Hippoglossus stenolepis</v>
      </c>
      <c r="H603" t="s">
        <v>524</v>
      </c>
      <c r="I603" t="str">
        <f>HYPERLINK("http://www.ncbi.nlm.nih.gov/protein/XP_035021869.1","fatty acid-binding protein, liver-type-like")</f>
        <v>fatty acid-binding protein, liver-type-like</v>
      </c>
      <c r="J603" t="s">
        <v>1390</v>
      </c>
      <c r="K603" t="s">
        <v>25</v>
      </c>
      <c r="L603">
        <v>50</v>
      </c>
      <c r="M603" t="s">
        <v>1379</v>
      </c>
      <c r="N603" t="s">
        <v>25</v>
      </c>
      <c r="O603" t="s">
        <v>1355</v>
      </c>
      <c r="P603" t="s">
        <v>25</v>
      </c>
      <c r="Q603">
        <v>117.148</v>
      </c>
      <c r="R603" t="s">
        <v>25</v>
      </c>
      <c r="S603" t="s">
        <v>25</v>
      </c>
    </row>
    <row r="604" spans="1:19" x14ac:dyDescent="0.25">
      <c r="A604">
        <v>6</v>
      </c>
      <c r="B604" t="s">
        <v>384</v>
      </c>
      <c r="C604" t="str">
        <f>HYPERLINK("http://www.ncbi.nlm.nih.gov/protein/XP_023133436.1","XP_023133436.1")</f>
        <v>XP_023133436.1</v>
      </c>
      <c r="D604">
        <v>48634</v>
      </c>
      <c r="E604" t="str">
        <f>HYPERLINK("http://www.ncbi.nlm.nih.gov/Taxonomy/Browser/wwwtax.cgi?mode=Info&amp;id=80972&amp;lvl=3&amp;lin=f&amp;keep=1&amp;srchmode=1&amp;unlock","80972")</f>
        <v>80972</v>
      </c>
      <c r="F604" t="s">
        <v>384</v>
      </c>
      <c r="G604" t="str">
        <f>HYPERLINK("http://www.ncbi.nlm.nih.gov/Taxonomy/Browser/wwwtax.cgi?mode=Info&amp;id=80972&amp;lvl=3&amp;lin=f&amp;keep=1&amp;srchmode=1&amp;unlock","Amphiprion ocellaris")</f>
        <v>Amphiprion ocellaris</v>
      </c>
      <c r="H604" t="s">
        <v>525</v>
      </c>
      <c r="I604" t="str">
        <f>HYPERLINK("http://www.ncbi.nlm.nih.gov/protein/XP_023133436.1","fatty acid-binding protein, liver-type")</f>
        <v>fatty acid-binding protein, liver-type</v>
      </c>
      <c r="J604" t="s">
        <v>1390</v>
      </c>
      <c r="K604" t="s">
        <v>25</v>
      </c>
      <c r="L604">
        <v>50</v>
      </c>
      <c r="M604" t="s">
        <v>1379</v>
      </c>
      <c r="N604" t="s">
        <v>25</v>
      </c>
      <c r="O604" t="s">
        <v>1355</v>
      </c>
      <c r="P604" t="s">
        <v>25</v>
      </c>
      <c r="Q604">
        <v>117.148</v>
      </c>
      <c r="R604" t="s">
        <v>25</v>
      </c>
      <c r="S604" t="s">
        <v>25</v>
      </c>
    </row>
    <row r="605" spans="1:19" x14ac:dyDescent="0.25">
      <c r="A605">
        <v>6</v>
      </c>
      <c r="B605" t="s">
        <v>384</v>
      </c>
      <c r="C605" t="str">
        <f>HYPERLINK("http://www.ncbi.nlm.nih.gov/protein/XP_016324559.1","XP_016324559.1")</f>
        <v>XP_016324559.1</v>
      </c>
      <c r="D605">
        <v>68489</v>
      </c>
      <c r="E605" t="str">
        <f>HYPERLINK("http://www.ncbi.nlm.nih.gov/Taxonomy/Browser/wwwtax.cgi?mode=Info&amp;id=1608454&amp;lvl=3&amp;lin=f&amp;keep=1&amp;srchmode=1&amp;unlock","1608454")</f>
        <v>1608454</v>
      </c>
      <c r="F605" t="s">
        <v>384</v>
      </c>
      <c r="G605" t="str">
        <f>HYPERLINK("http://www.ncbi.nlm.nih.gov/Taxonomy/Browser/wwwtax.cgi?mode=Info&amp;id=1608454&amp;lvl=3&amp;lin=f&amp;keep=1&amp;srchmode=1&amp;unlock","Sinocyclocheilus anshuiensis")</f>
        <v>Sinocyclocheilus anshuiensis</v>
      </c>
      <c r="H605" t="s">
        <v>529</v>
      </c>
      <c r="I605" t="str">
        <f>HYPERLINK("http://www.ncbi.nlm.nih.gov/protein/XP_016324559.1","PREDICTED: fatty acid-binding protein, liver")</f>
        <v>PREDICTED: fatty acid-binding protein, liver</v>
      </c>
      <c r="J605" t="s">
        <v>1390</v>
      </c>
      <c r="K605" t="s">
        <v>25</v>
      </c>
      <c r="L605">
        <v>50</v>
      </c>
      <c r="M605" t="s">
        <v>1379</v>
      </c>
      <c r="N605" t="s">
        <v>25</v>
      </c>
      <c r="O605" t="s">
        <v>1355</v>
      </c>
      <c r="P605" t="s">
        <v>25</v>
      </c>
      <c r="Q605">
        <v>117.148</v>
      </c>
      <c r="R605" t="s">
        <v>25</v>
      </c>
      <c r="S605" t="s">
        <v>25</v>
      </c>
    </row>
    <row r="606" spans="1:19" x14ac:dyDescent="0.25">
      <c r="A606">
        <v>6</v>
      </c>
      <c r="B606" t="s">
        <v>384</v>
      </c>
      <c r="C606" t="str">
        <f>HYPERLINK("http://www.ncbi.nlm.nih.gov/protein/XP_037114705.1","XP_037114705.1")</f>
        <v>XP_037114705.1</v>
      </c>
      <c r="D606">
        <v>41996</v>
      </c>
      <c r="E606" t="str">
        <f>HYPERLINK("http://www.ncbi.nlm.nih.gov/Taxonomy/Browser/wwwtax.cgi?mode=Info&amp;id=161584&amp;lvl=3&amp;lin=f&amp;keep=1&amp;srchmode=1&amp;unlock","161584")</f>
        <v>161584</v>
      </c>
      <c r="F606" t="s">
        <v>384</v>
      </c>
      <c r="G606" t="str">
        <f>HYPERLINK("http://www.ncbi.nlm.nih.gov/Taxonomy/Browser/wwwtax.cgi?mode=Info&amp;id=161584&amp;lvl=3&amp;lin=f&amp;keep=1&amp;srchmode=1&amp;unlock","Syngnathus acus")</f>
        <v>Syngnathus acus</v>
      </c>
      <c r="H606" t="s">
        <v>530</v>
      </c>
      <c r="I606" t="str">
        <f>HYPERLINK("http://www.ncbi.nlm.nih.gov/protein/XP_037114705.1","fatty acid-binding protein, liver-type-like")</f>
        <v>fatty acid-binding protein, liver-type-like</v>
      </c>
      <c r="J606" t="s">
        <v>1390</v>
      </c>
      <c r="K606" t="s">
        <v>25</v>
      </c>
      <c r="L606">
        <v>50</v>
      </c>
      <c r="M606" t="s">
        <v>1379</v>
      </c>
      <c r="N606" t="s">
        <v>25</v>
      </c>
      <c r="O606" t="s">
        <v>1355</v>
      </c>
      <c r="P606" t="s">
        <v>25</v>
      </c>
      <c r="Q606">
        <v>117.148</v>
      </c>
      <c r="R606" t="s">
        <v>25</v>
      </c>
      <c r="S606" t="s">
        <v>25</v>
      </c>
    </row>
    <row r="607" spans="1:19" x14ac:dyDescent="0.25">
      <c r="A607">
        <v>6</v>
      </c>
      <c r="B607" t="s">
        <v>384</v>
      </c>
      <c r="C607" t="str">
        <f>HYPERLINK("http://www.ncbi.nlm.nih.gov/protein/XP_040899087.1","XP_040899087.1")</f>
        <v>XP_040899087.1</v>
      </c>
      <c r="D607">
        <v>38442</v>
      </c>
      <c r="E607" t="str">
        <f>HYPERLINK("http://www.ncbi.nlm.nih.gov/Taxonomy/Browser/wwwtax.cgi?mode=Info&amp;id=941984&amp;lvl=3&amp;lin=f&amp;keep=1&amp;srchmode=1&amp;unlock","941984")</f>
        <v>941984</v>
      </c>
      <c r="F607" t="s">
        <v>384</v>
      </c>
      <c r="G607" t="str">
        <f>HYPERLINK("http://www.ncbi.nlm.nih.gov/Taxonomy/Browser/wwwtax.cgi?mode=Info&amp;id=941984&amp;lvl=3&amp;lin=f&amp;keep=1&amp;srchmode=1&amp;unlock","Toxotes jaculatrix")</f>
        <v>Toxotes jaculatrix</v>
      </c>
      <c r="H607" t="s">
        <v>531</v>
      </c>
      <c r="I607" t="str">
        <f>HYPERLINK("http://www.ncbi.nlm.nih.gov/protein/XP_040899087.1","fatty acid-binding protein, liver-type")</f>
        <v>fatty acid-binding protein, liver-type</v>
      </c>
      <c r="J607" t="s">
        <v>1390</v>
      </c>
      <c r="K607" t="s">
        <v>25</v>
      </c>
      <c r="L607">
        <v>50</v>
      </c>
      <c r="M607" t="s">
        <v>1379</v>
      </c>
      <c r="N607" t="s">
        <v>25</v>
      </c>
      <c r="O607" t="s">
        <v>1355</v>
      </c>
      <c r="P607" t="s">
        <v>25</v>
      </c>
      <c r="Q607">
        <v>117.148</v>
      </c>
      <c r="R607" t="s">
        <v>25</v>
      </c>
      <c r="S607" t="s">
        <v>25</v>
      </c>
    </row>
    <row r="608" spans="1:19" x14ac:dyDescent="0.25">
      <c r="A608">
        <v>6</v>
      </c>
      <c r="B608" t="s">
        <v>384</v>
      </c>
      <c r="C608" t="str">
        <f>HYPERLINK("http://www.ncbi.nlm.nih.gov/protein/ALC78631.1","ALC78631.1")</f>
        <v>ALC78631.1</v>
      </c>
      <c r="D608">
        <v>433</v>
      </c>
      <c r="E608" t="str">
        <f>HYPERLINK("http://www.ncbi.nlm.nih.gov/Taxonomy/Browser/wwwtax.cgi?mode=Info&amp;id=28829&amp;lvl=3&amp;lin=f&amp;keep=1&amp;srchmode=1&amp;unlock","28829")</f>
        <v>28829</v>
      </c>
      <c r="F608" t="s">
        <v>384</v>
      </c>
      <c r="G608" t="str">
        <f>HYPERLINK("http://www.ncbi.nlm.nih.gov/Taxonomy/Browser/wwwtax.cgi?mode=Info&amp;id=28829&amp;lvl=3&amp;lin=f&amp;keep=1&amp;srchmode=1&amp;unlock","Solea senegalensis")</f>
        <v>Solea senegalensis</v>
      </c>
      <c r="H608" t="s">
        <v>527</v>
      </c>
      <c r="I608" t="str">
        <f>HYPERLINK("http://www.ncbi.nlm.nih.gov/protein/ALC78631.1","fatty acid binding protein 1")</f>
        <v>fatty acid binding protein 1</v>
      </c>
      <c r="J608" t="s">
        <v>1390</v>
      </c>
      <c r="K608" t="s">
        <v>25</v>
      </c>
      <c r="L608">
        <v>50</v>
      </c>
      <c r="M608" t="s">
        <v>1379</v>
      </c>
      <c r="N608" t="s">
        <v>25</v>
      </c>
      <c r="O608" t="s">
        <v>1355</v>
      </c>
      <c r="P608" t="s">
        <v>25</v>
      </c>
      <c r="Q608">
        <v>117.148</v>
      </c>
      <c r="R608" t="s">
        <v>25</v>
      </c>
      <c r="S608" t="s">
        <v>25</v>
      </c>
    </row>
    <row r="609" spans="1:19" x14ac:dyDescent="0.25">
      <c r="A609">
        <v>6</v>
      </c>
      <c r="B609" t="s">
        <v>384</v>
      </c>
      <c r="C609" t="str">
        <f>HYPERLINK("http://www.ncbi.nlm.nih.gov/protein/TKS78254.1","TKS78254.1")</f>
        <v>TKS78254.1</v>
      </c>
      <c r="D609">
        <v>28569</v>
      </c>
      <c r="E609" t="str">
        <f>HYPERLINK("http://www.ncbi.nlm.nih.gov/Taxonomy/Browser/wwwtax.cgi?mode=Info&amp;id=240159&amp;lvl=3&amp;lin=f&amp;keep=1&amp;srchmode=1&amp;unlock","240159")</f>
        <v>240159</v>
      </c>
      <c r="F609" t="s">
        <v>384</v>
      </c>
      <c r="G609" t="str">
        <f>HYPERLINK("http://www.ncbi.nlm.nih.gov/Taxonomy/Browser/wwwtax.cgi?mode=Info&amp;id=240159&amp;lvl=3&amp;lin=f&amp;keep=1&amp;srchmode=1&amp;unlock","Collichthys lucidus")</f>
        <v>Collichthys lucidus</v>
      </c>
      <c r="H609" t="s">
        <v>528</v>
      </c>
      <c r="I609" t="str">
        <f>HYPERLINK("http://www.ncbi.nlm.nih.gov/protein/TKS78254.1","Fatty acid-binding protein, liver-type")</f>
        <v>Fatty acid-binding protein, liver-type</v>
      </c>
      <c r="J609" t="s">
        <v>1390</v>
      </c>
      <c r="K609" t="s">
        <v>25</v>
      </c>
      <c r="L609">
        <v>50</v>
      </c>
      <c r="M609" t="s">
        <v>1379</v>
      </c>
      <c r="N609" t="s">
        <v>25</v>
      </c>
      <c r="O609" t="s">
        <v>1355</v>
      </c>
      <c r="P609" t="s">
        <v>25</v>
      </c>
      <c r="Q609">
        <v>117.148</v>
      </c>
      <c r="R609" t="s">
        <v>25</v>
      </c>
      <c r="S609" t="s">
        <v>25</v>
      </c>
    </row>
    <row r="610" spans="1:19" x14ac:dyDescent="0.25">
      <c r="A610">
        <v>6</v>
      </c>
      <c r="B610" t="s">
        <v>384</v>
      </c>
      <c r="C610" t="str">
        <f>HYPERLINK("http://www.ncbi.nlm.nih.gov/protein/XP_029916132.1","XP_029916132.1")</f>
        <v>XP_029916132.1</v>
      </c>
      <c r="D610">
        <v>38165</v>
      </c>
      <c r="E610" t="str">
        <f>HYPERLINK("http://www.ncbi.nlm.nih.gov/Taxonomy/Browser/wwwtax.cgi?mode=Info&amp;id=586833&amp;lvl=3&amp;lin=f&amp;keep=1&amp;srchmode=1&amp;unlock","586833")</f>
        <v>586833</v>
      </c>
      <c r="F610" t="s">
        <v>384</v>
      </c>
      <c r="G610" t="str">
        <f>HYPERLINK("http://www.ncbi.nlm.nih.gov/Taxonomy/Browser/wwwtax.cgi?mode=Info&amp;id=586833&amp;lvl=3&amp;lin=f&amp;keep=1&amp;srchmode=1&amp;unlock","Myripristis murdjan")</f>
        <v>Myripristis murdjan</v>
      </c>
      <c r="H610" t="s">
        <v>533</v>
      </c>
      <c r="I610" t="str">
        <f>HYPERLINK("http://www.ncbi.nlm.nih.gov/protein/XP_029916132.1","fatty acid-binding protein, liver")</f>
        <v>fatty acid-binding protein, liver</v>
      </c>
      <c r="J610" t="s">
        <v>1390</v>
      </c>
      <c r="K610" t="s">
        <v>25</v>
      </c>
      <c r="L610">
        <v>63</v>
      </c>
      <c r="M610" t="s">
        <v>1379</v>
      </c>
      <c r="N610" t="s">
        <v>25</v>
      </c>
      <c r="O610" t="s">
        <v>1355</v>
      </c>
      <c r="P610" t="s">
        <v>25</v>
      </c>
      <c r="Q610">
        <v>117.148</v>
      </c>
      <c r="R610" t="s">
        <v>25</v>
      </c>
      <c r="S610" t="s">
        <v>25</v>
      </c>
    </row>
    <row r="611" spans="1:19" x14ac:dyDescent="0.25">
      <c r="A611">
        <v>6</v>
      </c>
      <c r="B611" t="s">
        <v>384</v>
      </c>
      <c r="C611" t="str">
        <f>HYPERLINK("http://www.ncbi.nlm.nih.gov/protein/XP_029961342.1","XP_029961342.1")</f>
        <v>XP_029961342.1</v>
      </c>
      <c r="D611">
        <v>39284</v>
      </c>
      <c r="E611" t="str">
        <f>HYPERLINK("http://www.ncbi.nlm.nih.gov/Taxonomy/Browser/wwwtax.cgi?mode=Info&amp;id=181472&amp;lvl=3&amp;lin=f&amp;keep=1&amp;srchmode=1&amp;unlock","181472")</f>
        <v>181472</v>
      </c>
      <c r="F611" t="s">
        <v>384</v>
      </c>
      <c r="G611" t="str">
        <f>HYPERLINK("http://www.ncbi.nlm.nih.gov/Taxonomy/Browser/wwwtax.cgi?mode=Info&amp;id=181472&amp;lvl=3&amp;lin=f&amp;keep=1&amp;srchmode=1&amp;unlock","Salarias fasciatus")</f>
        <v>Salarias fasciatus</v>
      </c>
      <c r="H611" t="s">
        <v>534</v>
      </c>
      <c r="I611" t="str">
        <f>HYPERLINK("http://www.ncbi.nlm.nih.gov/protein/XP_029961342.1","fatty acid-binding protein, liver isoform X1")</f>
        <v>fatty acid-binding protein, liver isoform X1</v>
      </c>
      <c r="J611" t="s">
        <v>1390</v>
      </c>
      <c r="K611" t="s">
        <v>25</v>
      </c>
      <c r="L611">
        <v>50</v>
      </c>
      <c r="M611" t="s">
        <v>1379</v>
      </c>
      <c r="N611" t="s">
        <v>25</v>
      </c>
      <c r="O611" t="s">
        <v>1355</v>
      </c>
      <c r="P611" t="s">
        <v>25</v>
      </c>
      <c r="Q611">
        <v>117.148</v>
      </c>
      <c r="R611" t="s">
        <v>25</v>
      </c>
      <c r="S611" t="s">
        <v>25</v>
      </c>
    </row>
    <row r="612" spans="1:19" x14ac:dyDescent="0.25">
      <c r="A612">
        <v>6</v>
      </c>
      <c r="B612" t="s">
        <v>384</v>
      </c>
      <c r="C612" t="str">
        <f>HYPERLINK("http://www.ncbi.nlm.nih.gov/protein/NP_001038177.1","NP_001038177.1")</f>
        <v>NP_001038177.1</v>
      </c>
      <c r="D612">
        <v>87653</v>
      </c>
      <c r="E612" t="str">
        <f>HYPERLINK("http://www.ncbi.nlm.nih.gov/Taxonomy/Browser/wwwtax.cgi?mode=Info&amp;id=7955&amp;lvl=3&amp;lin=f&amp;keep=1&amp;srchmode=1&amp;unlock","7955")</f>
        <v>7955</v>
      </c>
      <c r="F612" t="s">
        <v>384</v>
      </c>
      <c r="G612" t="str">
        <f>HYPERLINK("http://www.ncbi.nlm.nih.gov/Taxonomy/Browser/wwwtax.cgi?mode=Info&amp;id=7955&amp;lvl=3&amp;lin=f&amp;keep=1&amp;srchmode=1&amp;unlock","Danio rerio")</f>
        <v>Danio rerio</v>
      </c>
      <c r="H612" t="s">
        <v>535</v>
      </c>
      <c r="I612" t="str">
        <f>HYPERLINK("http://www.ncbi.nlm.nih.gov/protein/NP_001038177.1","fatty acid binding protein 1-A, liver")</f>
        <v>fatty acid binding protein 1-A, liver</v>
      </c>
      <c r="J612" t="s">
        <v>1390</v>
      </c>
      <c r="K612" t="s">
        <v>25</v>
      </c>
      <c r="L612">
        <v>50</v>
      </c>
      <c r="M612" t="s">
        <v>1379</v>
      </c>
      <c r="N612" t="s">
        <v>25</v>
      </c>
      <c r="O612" t="s">
        <v>1355</v>
      </c>
      <c r="P612" t="s">
        <v>25</v>
      </c>
      <c r="Q612">
        <v>117.148</v>
      </c>
      <c r="R612" t="s">
        <v>25</v>
      </c>
      <c r="S612" t="s">
        <v>25</v>
      </c>
    </row>
    <row r="613" spans="1:19" x14ac:dyDescent="0.25">
      <c r="A613">
        <v>6</v>
      </c>
      <c r="B613" t="s">
        <v>384</v>
      </c>
      <c r="C613" t="str">
        <f>HYPERLINK("http://www.ncbi.nlm.nih.gov/protein/XP_018530340.1","XP_018530340.1")</f>
        <v>XP_018530340.1</v>
      </c>
      <c r="D613">
        <v>45628</v>
      </c>
      <c r="E613" t="str">
        <f>HYPERLINK("http://www.ncbi.nlm.nih.gov/Taxonomy/Browser/wwwtax.cgi?mode=Info&amp;id=8187&amp;lvl=3&amp;lin=f&amp;keep=1&amp;srchmode=1&amp;unlock","8187")</f>
        <v>8187</v>
      </c>
      <c r="F613" t="s">
        <v>384</v>
      </c>
      <c r="G613" t="str">
        <f>HYPERLINK("http://www.ncbi.nlm.nih.gov/Taxonomy/Browser/wwwtax.cgi?mode=Info&amp;id=8187&amp;lvl=3&amp;lin=f&amp;keep=1&amp;srchmode=1&amp;unlock","Lates calcarifer")</f>
        <v>Lates calcarifer</v>
      </c>
      <c r="H613" t="s">
        <v>532</v>
      </c>
      <c r="I613" t="str">
        <f>HYPERLINK("http://www.ncbi.nlm.nih.gov/protein/XP_018530340.1","PREDICTED: fatty acid-binding protein, liver")</f>
        <v>PREDICTED: fatty acid-binding protein, liver</v>
      </c>
      <c r="J613" t="s">
        <v>1390</v>
      </c>
      <c r="K613" t="s">
        <v>25</v>
      </c>
      <c r="L613">
        <v>50</v>
      </c>
      <c r="M613" t="s">
        <v>1379</v>
      </c>
      <c r="N613" t="s">
        <v>25</v>
      </c>
      <c r="O613" t="s">
        <v>1355</v>
      </c>
      <c r="P613" t="s">
        <v>25</v>
      </c>
      <c r="Q613">
        <v>117.148</v>
      </c>
      <c r="R613" t="s">
        <v>25</v>
      </c>
      <c r="S613" t="s">
        <v>25</v>
      </c>
    </row>
    <row r="614" spans="1:19" x14ac:dyDescent="0.25">
      <c r="A614">
        <v>6</v>
      </c>
      <c r="B614" t="s">
        <v>384</v>
      </c>
      <c r="C614" t="str">
        <f>HYPERLINK("http://www.ncbi.nlm.nih.gov/protein/XP_006626561.1","XP_006626561.1")</f>
        <v>XP_006626561.1</v>
      </c>
      <c r="D614">
        <v>41863</v>
      </c>
      <c r="E614" t="str">
        <f>HYPERLINK("http://www.ncbi.nlm.nih.gov/Taxonomy/Browser/wwwtax.cgi?mode=Info&amp;id=7918&amp;lvl=3&amp;lin=f&amp;keep=1&amp;srchmode=1&amp;unlock","7918")</f>
        <v>7918</v>
      </c>
      <c r="F614" t="s">
        <v>384</v>
      </c>
      <c r="G614" t="str">
        <f>HYPERLINK("http://www.ncbi.nlm.nih.gov/Taxonomy/Browser/wwwtax.cgi?mode=Info&amp;id=7918&amp;lvl=3&amp;lin=f&amp;keep=1&amp;srchmode=1&amp;unlock","Lepisosteus oculatus")</f>
        <v>Lepisosteus oculatus</v>
      </c>
      <c r="H614" t="s">
        <v>537</v>
      </c>
      <c r="I614" t="str">
        <f>HYPERLINK("http://www.ncbi.nlm.nih.gov/protein/XP_006626561.1","PREDICTED: fatty acid-binding protein, liver")</f>
        <v>PREDICTED: fatty acid-binding protein, liver</v>
      </c>
      <c r="J614" t="s">
        <v>1390</v>
      </c>
      <c r="K614" t="s">
        <v>25</v>
      </c>
      <c r="L614">
        <v>50</v>
      </c>
      <c r="M614" t="s">
        <v>1379</v>
      </c>
      <c r="N614" t="s">
        <v>25</v>
      </c>
      <c r="O614" t="s">
        <v>1355</v>
      </c>
      <c r="P614" t="s">
        <v>25</v>
      </c>
      <c r="Q614">
        <v>117.148</v>
      </c>
      <c r="R614" t="s">
        <v>25</v>
      </c>
      <c r="S614" t="s">
        <v>25</v>
      </c>
    </row>
    <row r="615" spans="1:19" x14ac:dyDescent="0.25">
      <c r="A615">
        <v>6</v>
      </c>
      <c r="B615" t="s">
        <v>384</v>
      </c>
      <c r="C615" t="str">
        <f>HYPERLINK("http://www.ncbi.nlm.nih.gov/protein/XP_016414672.1","XP_016414672.1")</f>
        <v>XP_016414672.1</v>
      </c>
      <c r="D615">
        <v>68583</v>
      </c>
      <c r="E615" t="str">
        <f>HYPERLINK("http://www.ncbi.nlm.nih.gov/Taxonomy/Browser/wwwtax.cgi?mode=Info&amp;id=307959&amp;lvl=3&amp;lin=f&amp;keep=1&amp;srchmode=1&amp;unlock","307959")</f>
        <v>307959</v>
      </c>
      <c r="F615" t="s">
        <v>384</v>
      </c>
      <c r="G615" t="str">
        <f>HYPERLINK("http://www.ncbi.nlm.nih.gov/Taxonomy/Browser/wwwtax.cgi?mode=Info&amp;id=307959&amp;lvl=3&amp;lin=f&amp;keep=1&amp;srchmode=1&amp;unlock","Sinocyclocheilus rhinocerous")</f>
        <v>Sinocyclocheilus rhinocerous</v>
      </c>
      <c r="H615" t="s">
        <v>529</v>
      </c>
      <c r="I615" t="str">
        <f>HYPERLINK("http://www.ncbi.nlm.nih.gov/protein/XP_016414672.1","PREDICTED: fatty acid binding protein 1-A, liver")</f>
        <v>PREDICTED: fatty acid binding protein 1-A, liver</v>
      </c>
      <c r="J615" t="s">
        <v>1390</v>
      </c>
      <c r="K615" t="s">
        <v>25</v>
      </c>
      <c r="L615">
        <v>53</v>
      </c>
      <c r="M615" t="s">
        <v>1379</v>
      </c>
      <c r="N615" t="s">
        <v>25</v>
      </c>
      <c r="O615" t="s">
        <v>1355</v>
      </c>
      <c r="P615" t="s">
        <v>25</v>
      </c>
      <c r="Q615">
        <v>117.148</v>
      </c>
      <c r="R615" t="s">
        <v>25</v>
      </c>
      <c r="S615" t="s">
        <v>25</v>
      </c>
    </row>
    <row r="616" spans="1:19" x14ac:dyDescent="0.25">
      <c r="A616">
        <v>6</v>
      </c>
      <c r="B616" t="s">
        <v>384</v>
      </c>
      <c r="C616" t="str">
        <f>HYPERLINK("http://www.ncbi.nlm.nih.gov/protein/XP_034452876.1","XP_034452876.1")</f>
        <v>XP_034452876.1</v>
      </c>
      <c r="D616">
        <v>47299</v>
      </c>
      <c r="E616" t="str">
        <f>HYPERLINK("http://www.ncbi.nlm.nih.gov/Taxonomy/Browser/wwwtax.cgi?mode=Info&amp;id=8267&amp;lvl=3&amp;lin=f&amp;keep=1&amp;srchmode=1&amp;unlock","8267")</f>
        <v>8267</v>
      </c>
      <c r="F616" t="s">
        <v>384</v>
      </c>
      <c r="G616" t="str">
        <f>HYPERLINK("http://www.ncbi.nlm.nih.gov/Taxonomy/Browser/wwwtax.cgi?mode=Info&amp;id=8267&amp;lvl=3&amp;lin=f&amp;keep=1&amp;srchmode=1&amp;unlock","Hippoglossus hippoglossus")</f>
        <v>Hippoglossus hippoglossus</v>
      </c>
      <c r="H616" t="s">
        <v>538</v>
      </c>
      <c r="I616" t="str">
        <f>HYPERLINK("http://www.ncbi.nlm.nih.gov/protein/XP_034452876.1","fatty acid-binding protein, liver-type-like")</f>
        <v>fatty acid-binding protein, liver-type-like</v>
      </c>
      <c r="J616" t="s">
        <v>1390</v>
      </c>
      <c r="K616" t="s">
        <v>25</v>
      </c>
      <c r="L616">
        <v>50</v>
      </c>
      <c r="M616" t="s">
        <v>1379</v>
      </c>
      <c r="N616" t="s">
        <v>25</v>
      </c>
      <c r="O616" t="s">
        <v>1355</v>
      </c>
      <c r="P616" t="s">
        <v>25</v>
      </c>
      <c r="Q616">
        <v>117.148</v>
      </c>
      <c r="R616" t="s">
        <v>25</v>
      </c>
      <c r="S616" t="s">
        <v>25</v>
      </c>
    </row>
    <row r="617" spans="1:19" x14ac:dyDescent="0.25">
      <c r="A617">
        <v>6</v>
      </c>
      <c r="B617" t="s">
        <v>384</v>
      </c>
      <c r="C617" t="str">
        <f>HYPERLINK("http://www.ncbi.nlm.nih.gov/protein/XP_031161071.2","XP_031161071.2")</f>
        <v>XP_031161071.2</v>
      </c>
      <c r="D617">
        <v>56683</v>
      </c>
      <c r="E617" t="str">
        <f>HYPERLINK("http://www.ncbi.nlm.nih.gov/Taxonomy/Browser/wwwtax.cgi?mode=Info&amp;id=283035&amp;lvl=3&amp;lin=f&amp;keep=1&amp;srchmode=1&amp;unlock","283035")</f>
        <v>283035</v>
      </c>
      <c r="F617" t="s">
        <v>384</v>
      </c>
      <c r="G617" t="str">
        <f>HYPERLINK("http://www.ncbi.nlm.nih.gov/Taxonomy/Browser/wwwtax.cgi?mode=Info&amp;id=283035&amp;lvl=3&amp;lin=f&amp;keep=1&amp;srchmode=1&amp;unlock","Sander lucioperca")</f>
        <v>Sander lucioperca</v>
      </c>
      <c r="H617" t="s">
        <v>539</v>
      </c>
      <c r="I617" t="str">
        <f>HYPERLINK("http://www.ncbi.nlm.nih.gov/protein/XP_031161071.2","fatty acid-binding protein, liver-type isoform X1")</f>
        <v>fatty acid-binding protein, liver-type isoform X1</v>
      </c>
      <c r="J617" t="s">
        <v>1390</v>
      </c>
      <c r="K617" t="s">
        <v>25</v>
      </c>
      <c r="L617">
        <v>76</v>
      </c>
      <c r="M617" t="s">
        <v>1379</v>
      </c>
      <c r="N617" t="s">
        <v>25</v>
      </c>
      <c r="O617" t="s">
        <v>1355</v>
      </c>
      <c r="P617" t="s">
        <v>25</v>
      </c>
      <c r="Q617">
        <v>117.148</v>
      </c>
      <c r="R617" t="s">
        <v>25</v>
      </c>
      <c r="S617" t="s">
        <v>25</v>
      </c>
    </row>
    <row r="618" spans="1:19" x14ac:dyDescent="0.25">
      <c r="A618">
        <v>6</v>
      </c>
      <c r="B618" t="s">
        <v>384</v>
      </c>
      <c r="C618" t="str">
        <f>HYPERLINK("http://www.ncbi.nlm.nih.gov/protein/XP_031712715.1","XP_031712715.1")</f>
        <v>XP_031712715.1</v>
      </c>
      <c r="D618">
        <v>41911</v>
      </c>
      <c r="E618" t="str">
        <f>HYPERLINK("http://www.ncbi.nlm.nih.gov/Taxonomy/Browser/wwwtax.cgi?mode=Info&amp;id=433405&amp;lvl=3&amp;lin=f&amp;keep=1&amp;srchmode=1&amp;unlock","433405")</f>
        <v>433405</v>
      </c>
      <c r="F618" t="s">
        <v>384</v>
      </c>
      <c r="G618" t="str">
        <f>HYPERLINK("http://www.ncbi.nlm.nih.gov/Taxonomy/Browser/wwwtax.cgi?mode=Info&amp;id=433405&amp;lvl=3&amp;lin=f&amp;keep=1&amp;srchmode=1&amp;unlock","Anarrhichthys ocellatus")</f>
        <v>Anarrhichthys ocellatus</v>
      </c>
      <c r="H618" t="s">
        <v>536</v>
      </c>
      <c r="I618" t="str">
        <f>HYPERLINK("http://www.ncbi.nlm.nih.gov/protein/XP_031712715.1","fatty acid-binding protein, liver")</f>
        <v>fatty acid-binding protein, liver</v>
      </c>
      <c r="J618" t="s">
        <v>1390</v>
      </c>
      <c r="K618" t="s">
        <v>25</v>
      </c>
      <c r="L618">
        <v>50</v>
      </c>
      <c r="M618" t="s">
        <v>1379</v>
      </c>
      <c r="N618" t="s">
        <v>25</v>
      </c>
      <c r="O618" t="s">
        <v>1355</v>
      </c>
      <c r="P618" t="s">
        <v>25</v>
      </c>
      <c r="Q618">
        <v>117.148</v>
      </c>
      <c r="R618" t="s">
        <v>25</v>
      </c>
      <c r="S618" t="s">
        <v>25</v>
      </c>
    </row>
    <row r="619" spans="1:19" x14ac:dyDescent="0.25">
      <c r="A619">
        <v>6</v>
      </c>
      <c r="B619" t="s">
        <v>384</v>
      </c>
      <c r="C619" t="str">
        <f>HYPERLINK("http://www.ncbi.nlm.nih.gov/protein/TNN50194.1","TNN50194.1")</f>
        <v>TNN50194.1</v>
      </c>
      <c r="D619">
        <v>68294</v>
      </c>
      <c r="E619" t="str">
        <f>HYPERLINK("http://www.ncbi.nlm.nih.gov/Taxonomy/Browser/wwwtax.cgi?mode=Info&amp;id=230148&amp;lvl=3&amp;lin=f&amp;keep=1&amp;srchmode=1&amp;unlock","230148")</f>
        <v>230148</v>
      </c>
      <c r="F619" t="s">
        <v>384</v>
      </c>
      <c r="G619" t="str">
        <f>HYPERLINK("http://www.ncbi.nlm.nih.gov/Taxonomy/Browser/wwwtax.cgi?mode=Info&amp;id=230148&amp;lvl=3&amp;lin=f&amp;keep=1&amp;srchmode=1&amp;unlock","Liparis tanakae")</f>
        <v>Liparis tanakae</v>
      </c>
      <c r="H619" t="s">
        <v>542</v>
      </c>
      <c r="I619" t="str">
        <f>HYPERLINK("http://www.ncbi.nlm.nih.gov/protein/TNN50194.1","Fatty acid-binding protein, liver-type")</f>
        <v>Fatty acid-binding protein, liver-type</v>
      </c>
      <c r="J619" t="s">
        <v>1390</v>
      </c>
      <c r="K619" t="s">
        <v>25</v>
      </c>
      <c r="L619">
        <v>50</v>
      </c>
      <c r="M619" t="s">
        <v>1383</v>
      </c>
      <c r="N619" t="s">
        <v>25</v>
      </c>
      <c r="O619" t="s">
        <v>1355</v>
      </c>
      <c r="P619" t="s">
        <v>25</v>
      </c>
      <c r="Q619">
        <v>131.17500000000001</v>
      </c>
      <c r="R619" t="s">
        <v>25</v>
      </c>
      <c r="S619" t="s">
        <v>25</v>
      </c>
    </row>
    <row r="620" spans="1:19" x14ac:dyDescent="0.25">
      <c r="A620">
        <v>6</v>
      </c>
      <c r="B620" t="s">
        <v>384</v>
      </c>
      <c r="C620" t="str">
        <f>HYPERLINK("http://www.ncbi.nlm.nih.gov/protein/XP_016144627.1","XP_016144627.1")</f>
        <v>XP_016144627.1</v>
      </c>
      <c r="D620">
        <v>67440</v>
      </c>
      <c r="E620" t="str">
        <f>HYPERLINK("http://www.ncbi.nlm.nih.gov/Taxonomy/Browser/wwwtax.cgi?mode=Info&amp;id=75366&amp;lvl=3&amp;lin=f&amp;keep=1&amp;srchmode=1&amp;unlock","75366")</f>
        <v>75366</v>
      </c>
      <c r="F620" t="s">
        <v>384</v>
      </c>
      <c r="G620" t="str">
        <f>HYPERLINK("http://www.ncbi.nlm.nih.gov/Taxonomy/Browser/wwwtax.cgi?mode=Info&amp;id=75366&amp;lvl=3&amp;lin=f&amp;keep=1&amp;srchmode=1&amp;unlock","Sinocyclocheilus grahami")</f>
        <v>Sinocyclocheilus grahami</v>
      </c>
      <c r="H620" t="s">
        <v>529</v>
      </c>
      <c r="I620" t="str">
        <f>HYPERLINK("http://www.ncbi.nlm.nih.gov/protein/XP_016144627.1","PREDICTED: fatty acid binding protein 1-A, liver")</f>
        <v>PREDICTED: fatty acid binding protein 1-A, liver</v>
      </c>
      <c r="J620" t="s">
        <v>1390</v>
      </c>
      <c r="K620" t="s">
        <v>25</v>
      </c>
      <c r="L620">
        <v>50</v>
      </c>
      <c r="M620" t="s">
        <v>1379</v>
      </c>
      <c r="N620" t="s">
        <v>25</v>
      </c>
      <c r="O620" t="s">
        <v>1355</v>
      </c>
      <c r="P620" t="s">
        <v>25</v>
      </c>
      <c r="Q620">
        <v>117.148</v>
      </c>
      <c r="R620" t="s">
        <v>25</v>
      </c>
      <c r="S620" t="s">
        <v>25</v>
      </c>
    </row>
    <row r="621" spans="1:19" x14ac:dyDescent="0.25">
      <c r="A621">
        <v>6</v>
      </c>
      <c r="B621" t="s">
        <v>384</v>
      </c>
      <c r="C621" t="str">
        <f>HYPERLINK("http://www.ncbi.nlm.nih.gov/protein/XP_026177327.1","XP_026177327.1")</f>
        <v>XP_026177327.1</v>
      </c>
      <c r="D621">
        <v>42451</v>
      </c>
      <c r="E621" t="str">
        <f>HYPERLINK("http://www.ncbi.nlm.nih.gov/Taxonomy/Browser/wwwtax.cgi?mode=Info&amp;id=205130&amp;lvl=3&amp;lin=f&amp;keep=1&amp;srchmode=1&amp;unlock","205130")</f>
        <v>205130</v>
      </c>
      <c r="F621" t="s">
        <v>384</v>
      </c>
      <c r="G621" t="str">
        <f>HYPERLINK("http://www.ncbi.nlm.nih.gov/Taxonomy/Browser/wwwtax.cgi?mode=Info&amp;id=205130&amp;lvl=3&amp;lin=f&amp;keep=1&amp;srchmode=1&amp;unlock","Mastacembelus armatus")</f>
        <v>Mastacembelus armatus</v>
      </c>
      <c r="H621" t="s">
        <v>540</v>
      </c>
      <c r="I621" t="str">
        <f>HYPERLINK("http://www.ncbi.nlm.nih.gov/protein/XP_026177327.1","fatty acid-binding protein, liver")</f>
        <v>fatty acid-binding protein, liver</v>
      </c>
      <c r="J621" t="s">
        <v>1390</v>
      </c>
      <c r="K621" t="s">
        <v>25</v>
      </c>
      <c r="L621">
        <v>50</v>
      </c>
      <c r="M621" t="s">
        <v>1379</v>
      </c>
      <c r="N621" t="s">
        <v>25</v>
      </c>
      <c r="O621" t="s">
        <v>1355</v>
      </c>
      <c r="P621" t="s">
        <v>25</v>
      </c>
      <c r="Q621">
        <v>117.148</v>
      </c>
      <c r="R621" t="s">
        <v>25</v>
      </c>
      <c r="S621" t="s">
        <v>25</v>
      </c>
    </row>
    <row r="622" spans="1:19" x14ac:dyDescent="0.25">
      <c r="A622">
        <v>6</v>
      </c>
      <c r="B622" t="s">
        <v>384</v>
      </c>
      <c r="C622" t="str">
        <f>HYPERLINK("http://www.ncbi.nlm.nih.gov/protein/XP_038560557.1","XP_038560557.1")</f>
        <v>XP_038560557.1</v>
      </c>
      <c r="D622">
        <v>48256</v>
      </c>
      <c r="E622" t="str">
        <f>HYPERLINK("http://www.ncbi.nlm.nih.gov/Taxonomy/Browser/wwwtax.cgi?mode=Info&amp;id=27706&amp;lvl=3&amp;lin=f&amp;keep=1&amp;srchmode=1&amp;unlock","27706")</f>
        <v>27706</v>
      </c>
      <c r="F622" t="s">
        <v>384</v>
      </c>
      <c r="G622" t="str">
        <f>HYPERLINK("http://www.ncbi.nlm.nih.gov/Taxonomy/Browser/wwwtax.cgi?mode=Info&amp;id=27706&amp;lvl=3&amp;lin=f&amp;keep=1&amp;srchmode=1&amp;unlock","Micropterus salmoides")</f>
        <v>Micropterus salmoides</v>
      </c>
      <c r="H622" t="s">
        <v>541</v>
      </c>
      <c r="I622" t="str">
        <f>HYPERLINK("http://www.ncbi.nlm.nih.gov/protein/XP_038560557.1","fatty acid-binding protein, liver-type")</f>
        <v>fatty acid-binding protein, liver-type</v>
      </c>
      <c r="J622" t="s">
        <v>1390</v>
      </c>
      <c r="K622" t="s">
        <v>25</v>
      </c>
      <c r="L622">
        <v>50</v>
      </c>
      <c r="M622" t="s">
        <v>1379</v>
      </c>
      <c r="N622" t="s">
        <v>25</v>
      </c>
      <c r="O622" t="s">
        <v>1355</v>
      </c>
      <c r="P622" t="s">
        <v>25</v>
      </c>
      <c r="Q622">
        <v>117.148</v>
      </c>
      <c r="R622" t="s">
        <v>25</v>
      </c>
      <c r="S622" t="s">
        <v>25</v>
      </c>
    </row>
    <row r="623" spans="1:19" x14ac:dyDescent="0.25">
      <c r="A623">
        <v>6</v>
      </c>
      <c r="B623" t="s">
        <v>384</v>
      </c>
      <c r="C623" t="str">
        <f>HYPERLINK("http://www.ncbi.nlm.nih.gov/protein/AOW69614.1","AOW69614.1")</f>
        <v>AOW69614.1</v>
      </c>
      <c r="D623">
        <v>339</v>
      </c>
      <c r="E623" t="str">
        <f>HYPERLINK("http://www.ncbi.nlm.nih.gov/Taxonomy/Browser/wwwtax.cgi?mode=Info&amp;id=8164&amp;lvl=3&amp;lin=f&amp;keep=1&amp;srchmode=1&amp;unlock","8164")</f>
        <v>8164</v>
      </c>
      <c r="F623" t="s">
        <v>384</v>
      </c>
      <c r="G623" t="str">
        <f>HYPERLINK("http://www.ncbi.nlm.nih.gov/Taxonomy/Browser/wwwtax.cgi?mode=Info&amp;id=8164&amp;lvl=3&amp;lin=f&amp;keep=1&amp;srchmode=1&amp;unlock","Lateolabrax japonicus")</f>
        <v>Lateolabrax japonicus</v>
      </c>
      <c r="H623" t="s">
        <v>543</v>
      </c>
      <c r="I623" t="str">
        <f>HYPERLINK("http://www.ncbi.nlm.nih.gov/protein/AOW69614.1","liver-type fatty acid-binding protein")</f>
        <v>liver-type fatty acid-binding protein</v>
      </c>
      <c r="J623" t="s">
        <v>1390</v>
      </c>
      <c r="K623" t="s">
        <v>25</v>
      </c>
      <c r="L623">
        <v>50</v>
      </c>
      <c r="M623" t="s">
        <v>1379</v>
      </c>
      <c r="N623" t="s">
        <v>25</v>
      </c>
      <c r="O623" t="s">
        <v>1355</v>
      </c>
      <c r="P623" t="s">
        <v>25</v>
      </c>
      <c r="Q623">
        <v>117.148</v>
      </c>
      <c r="R623" t="s">
        <v>25</v>
      </c>
      <c r="S623" t="s">
        <v>25</v>
      </c>
    </row>
    <row r="624" spans="1:19" x14ac:dyDescent="0.25">
      <c r="A624">
        <v>6</v>
      </c>
      <c r="B624" t="s">
        <v>384</v>
      </c>
      <c r="C624" t="str">
        <f>HYPERLINK("http://www.ncbi.nlm.nih.gov/protein/XP_034728078.1","XP_034728078.1")</f>
        <v>XP_034728078.1</v>
      </c>
      <c r="D624">
        <v>45233</v>
      </c>
      <c r="E624" t="str">
        <f>HYPERLINK("http://www.ncbi.nlm.nih.gov/Taxonomy/Browser/wwwtax.cgi?mode=Info&amp;id=417921&amp;lvl=3&amp;lin=f&amp;keep=1&amp;srchmode=1&amp;unlock","417921")</f>
        <v>417921</v>
      </c>
      <c r="F624" t="s">
        <v>384</v>
      </c>
      <c r="G624" t="str">
        <f>HYPERLINK("http://www.ncbi.nlm.nih.gov/Taxonomy/Browser/wwwtax.cgi?mode=Info&amp;id=417921&amp;lvl=3&amp;lin=f&amp;keep=1&amp;srchmode=1&amp;unlock","Etheostoma cragini")</f>
        <v>Etheostoma cragini</v>
      </c>
      <c r="H624" t="s">
        <v>544</v>
      </c>
      <c r="I624" t="str">
        <f>HYPERLINK("http://www.ncbi.nlm.nih.gov/protein/XP_034728078.1","fatty acid-binding protein, liver-type")</f>
        <v>fatty acid-binding protein, liver-type</v>
      </c>
      <c r="J624" t="s">
        <v>1390</v>
      </c>
      <c r="K624" t="s">
        <v>25</v>
      </c>
      <c r="L624">
        <v>50</v>
      </c>
      <c r="M624" t="s">
        <v>1379</v>
      </c>
      <c r="N624" t="s">
        <v>25</v>
      </c>
      <c r="O624" t="s">
        <v>1355</v>
      </c>
      <c r="P624" t="s">
        <v>25</v>
      </c>
      <c r="Q624">
        <v>117.148</v>
      </c>
      <c r="R624" t="s">
        <v>25</v>
      </c>
      <c r="S624" t="s">
        <v>25</v>
      </c>
    </row>
    <row r="625" spans="1:19" x14ac:dyDescent="0.25">
      <c r="A625">
        <v>6</v>
      </c>
      <c r="B625" t="s">
        <v>384</v>
      </c>
      <c r="C625" t="str">
        <f>HYPERLINK("http://www.ncbi.nlm.nih.gov/protein/XP_028434716.1","XP_028434716.1")</f>
        <v>XP_028434716.1</v>
      </c>
      <c r="D625">
        <v>65039</v>
      </c>
      <c r="E625" t="str">
        <f>HYPERLINK("http://www.ncbi.nlm.nih.gov/Taxonomy/Browser/wwwtax.cgi?mode=Info&amp;id=8167&amp;lvl=3&amp;lin=f&amp;keep=1&amp;srchmode=1&amp;unlock","8167")</f>
        <v>8167</v>
      </c>
      <c r="F625" t="s">
        <v>384</v>
      </c>
      <c r="G625" t="str">
        <f>HYPERLINK("http://www.ncbi.nlm.nih.gov/Taxonomy/Browser/wwwtax.cgi?mode=Info&amp;id=8167&amp;lvl=3&amp;lin=f&amp;keep=1&amp;srchmode=1&amp;unlock","Perca flavescens")</f>
        <v>Perca flavescens</v>
      </c>
      <c r="H625" t="s">
        <v>545</v>
      </c>
      <c r="I625" t="str">
        <f>HYPERLINK("http://www.ncbi.nlm.nih.gov/protein/XP_028434716.1","fatty acid-binding protein, liver-type-like")</f>
        <v>fatty acid-binding protein, liver-type-like</v>
      </c>
      <c r="J625" t="s">
        <v>1390</v>
      </c>
      <c r="K625" t="s">
        <v>25</v>
      </c>
      <c r="L625">
        <v>50</v>
      </c>
      <c r="M625" t="s">
        <v>1379</v>
      </c>
      <c r="N625" t="s">
        <v>25</v>
      </c>
      <c r="O625" t="s">
        <v>1355</v>
      </c>
      <c r="P625" t="s">
        <v>25</v>
      </c>
      <c r="Q625">
        <v>117.148</v>
      </c>
      <c r="R625" t="s">
        <v>25</v>
      </c>
      <c r="S625" t="s">
        <v>25</v>
      </c>
    </row>
    <row r="626" spans="1:19" x14ac:dyDescent="0.25">
      <c r="A626">
        <v>6</v>
      </c>
      <c r="B626" t="s">
        <v>384</v>
      </c>
      <c r="C626" t="str">
        <f>HYPERLINK("http://www.ncbi.nlm.nih.gov/protein/XP_020449296.1","XP_020449296.1")</f>
        <v>XP_020449296.1</v>
      </c>
      <c r="D626">
        <v>40892</v>
      </c>
      <c r="E626" t="str">
        <f>HYPERLINK("http://www.ncbi.nlm.nih.gov/Taxonomy/Browser/wwwtax.cgi?mode=Info&amp;id=43700&amp;lvl=3&amp;lin=f&amp;keep=1&amp;srchmode=1&amp;unlock","43700")</f>
        <v>43700</v>
      </c>
      <c r="F626" t="s">
        <v>384</v>
      </c>
      <c r="G626" t="str">
        <f>HYPERLINK("http://www.ncbi.nlm.nih.gov/Taxonomy/Browser/wwwtax.cgi?mode=Info&amp;id=43700&amp;lvl=3&amp;lin=f&amp;keep=1&amp;srchmode=1&amp;unlock","Monopterus albus")</f>
        <v>Monopterus albus</v>
      </c>
      <c r="H626" t="s">
        <v>547</v>
      </c>
      <c r="I626" t="str">
        <f>HYPERLINK("http://www.ncbi.nlm.nih.gov/protein/XP_020449296.1","fatty acid-binding protein, liver-type-like")</f>
        <v>fatty acid-binding protein, liver-type-like</v>
      </c>
      <c r="J626" t="s">
        <v>1390</v>
      </c>
      <c r="K626" t="s">
        <v>25</v>
      </c>
      <c r="L626">
        <v>50</v>
      </c>
      <c r="M626" t="s">
        <v>1379</v>
      </c>
      <c r="N626" t="s">
        <v>25</v>
      </c>
      <c r="O626" t="s">
        <v>1355</v>
      </c>
      <c r="P626" t="s">
        <v>25</v>
      </c>
      <c r="Q626">
        <v>117.148</v>
      </c>
      <c r="R626" t="s">
        <v>25</v>
      </c>
      <c r="S626" t="s">
        <v>25</v>
      </c>
    </row>
    <row r="627" spans="1:19" x14ac:dyDescent="0.25">
      <c r="A627">
        <v>6</v>
      </c>
      <c r="B627" t="s">
        <v>384</v>
      </c>
      <c r="C627" t="str">
        <f>HYPERLINK("http://www.ncbi.nlm.nih.gov/protein/XP_028270578.1","XP_028270578.1")</f>
        <v>XP_028270578.1</v>
      </c>
      <c r="D627">
        <v>41035</v>
      </c>
      <c r="E627" t="str">
        <f>HYPERLINK("http://www.ncbi.nlm.nih.gov/Taxonomy/Browser/wwwtax.cgi?mode=Info&amp;id=210632&amp;lvl=3&amp;lin=f&amp;keep=1&amp;srchmode=1&amp;unlock","210632")</f>
        <v>210632</v>
      </c>
      <c r="F627" t="s">
        <v>384</v>
      </c>
      <c r="G627" t="str">
        <f>HYPERLINK("http://www.ncbi.nlm.nih.gov/Taxonomy/Browser/wwwtax.cgi?mode=Info&amp;id=210632&amp;lvl=3&amp;lin=f&amp;keep=1&amp;srchmode=1&amp;unlock","Parambassis ranga")</f>
        <v>Parambassis ranga</v>
      </c>
      <c r="H627" t="s">
        <v>549</v>
      </c>
      <c r="I627" t="str">
        <f>HYPERLINK("http://www.ncbi.nlm.nih.gov/protein/XP_028270578.1","fatty acid-binding protein, liver")</f>
        <v>fatty acid-binding protein, liver</v>
      </c>
      <c r="J627" t="s">
        <v>1390</v>
      </c>
      <c r="K627" t="s">
        <v>25</v>
      </c>
      <c r="L627">
        <v>50</v>
      </c>
      <c r="M627" t="s">
        <v>1379</v>
      </c>
      <c r="N627" t="s">
        <v>25</v>
      </c>
      <c r="O627" t="s">
        <v>1355</v>
      </c>
      <c r="P627" t="s">
        <v>25</v>
      </c>
      <c r="Q627">
        <v>117.148</v>
      </c>
      <c r="R627" t="s">
        <v>25</v>
      </c>
      <c r="S627" t="s">
        <v>25</v>
      </c>
    </row>
    <row r="628" spans="1:19" x14ac:dyDescent="0.25">
      <c r="A628">
        <v>6</v>
      </c>
      <c r="B628" t="s">
        <v>384</v>
      </c>
      <c r="C628" t="str">
        <f>HYPERLINK("http://www.ncbi.nlm.nih.gov/protein/XP_008284849.1","XP_008284849.1")</f>
        <v>XP_008284849.1</v>
      </c>
      <c r="D628">
        <v>31743</v>
      </c>
      <c r="E628" t="str">
        <f>HYPERLINK("http://www.ncbi.nlm.nih.gov/Taxonomy/Browser/wwwtax.cgi?mode=Info&amp;id=144197&amp;lvl=3&amp;lin=f&amp;keep=1&amp;srchmode=1&amp;unlock","144197")</f>
        <v>144197</v>
      </c>
      <c r="F628" t="s">
        <v>384</v>
      </c>
      <c r="G628" t="str">
        <f>HYPERLINK("http://www.ncbi.nlm.nih.gov/Taxonomy/Browser/wwwtax.cgi?mode=Info&amp;id=144197&amp;lvl=3&amp;lin=f&amp;keep=1&amp;srchmode=1&amp;unlock","Stegastes partitus")</f>
        <v>Stegastes partitus</v>
      </c>
      <c r="H628" t="s">
        <v>546</v>
      </c>
      <c r="I628" t="str">
        <f>HYPERLINK("http://www.ncbi.nlm.nih.gov/protein/XP_008284849.1","PREDICTED: fatty acid-binding protein, liver")</f>
        <v>PREDICTED: fatty acid-binding protein, liver</v>
      </c>
      <c r="J628" t="s">
        <v>1390</v>
      </c>
      <c r="K628" t="s">
        <v>25</v>
      </c>
      <c r="L628">
        <v>50</v>
      </c>
      <c r="M628" t="s">
        <v>1379</v>
      </c>
      <c r="N628" t="s">
        <v>25</v>
      </c>
      <c r="O628" t="s">
        <v>1355</v>
      </c>
      <c r="P628" t="s">
        <v>25</v>
      </c>
      <c r="Q628">
        <v>117.148</v>
      </c>
      <c r="R628" t="s">
        <v>25</v>
      </c>
      <c r="S628" t="s">
        <v>25</v>
      </c>
    </row>
    <row r="629" spans="1:19" x14ac:dyDescent="0.25">
      <c r="A629">
        <v>6</v>
      </c>
      <c r="B629" t="s">
        <v>384</v>
      </c>
      <c r="C629" t="str">
        <f>HYPERLINK("http://www.ncbi.nlm.nih.gov/protein/XP_026199525.1","XP_026199525.1")</f>
        <v>XP_026199525.1</v>
      </c>
      <c r="D629">
        <v>40631</v>
      </c>
      <c r="E629" t="str">
        <f>HYPERLINK("http://www.ncbi.nlm.nih.gov/Taxonomy/Browser/wwwtax.cgi?mode=Info&amp;id=64144&amp;lvl=3&amp;lin=f&amp;keep=1&amp;srchmode=1&amp;unlock","64144")</f>
        <v>64144</v>
      </c>
      <c r="F629" t="s">
        <v>384</v>
      </c>
      <c r="G629" t="str">
        <f>HYPERLINK("http://www.ncbi.nlm.nih.gov/Taxonomy/Browser/wwwtax.cgi?mode=Info&amp;id=64144&amp;lvl=3&amp;lin=f&amp;keep=1&amp;srchmode=1&amp;unlock","Anabas testudineus")</f>
        <v>Anabas testudineus</v>
      </c>
      <c r="H629" t="s">
        <v>553</v>
      </c>
      <c r="I629" t="str">
        <f>HYPERLINK("http://www.ncbi.nlm.nih.gov/protein/XP_026199525.1","fatty acid-binding protein, liver-type")</f>
        <v>fatty acid-binding protein, liver-type</v>
      </c>
      <c r="J629" t="s">
        <v>1390</v>
      </c>
      <c r="K629" t="s">
        <v>25</v>
      </c>
      <c r="L629">
        <v>50</v>
      </c>
      <c r="M629" t="s">
        <v>1379</v>
      </c>
      <c r="N629" t="s">
        <v>25</v>
      </c>
      <c r="O629" t="s">
        <v>1355</v>
      </c>
      <c r="P629" t="s">
        <v>25</v>
      </c>
      <c r="Q629">
        <v>117.148</v>
      </c>
      <c r="R629" t="s">
        <v>25</v>
      </c>
      <c r="S629" t="s">
        <v>25</v>
      </c>
    </row>
    <row r="630" spans="1:19" x14ac:dyDescent="0.25">
      <c r="A630">
        <v>6</v>
      </c>
      <c r="B630" t="s">
        <v>384</v>
      </c>
      <c r="C630" t="str">
        <f>HYPERLINK("http://www.ncbi.nlm.nih.gov/protein/XP_035514644.1","XP_035514644.1")</f>
        <v>XP_035514644.1</v>
      </c>
      <c r="D630">
        <v>31138</v>
      </c>
      <c r="E630" t="str">
        <f>HYPERLINK("http://www.ncbi.nlm.nih.gov/Taxonomy/Browser/wwwtax.cgi?mode=Info&amp;id=34816&amp;lvl=3&amp;lin=f&amp;keep=1&amp;srchmode=1&amp;unlock","34816")</f>
        <v>34816</v>
      </c>
      <c r="F630" t="s">
        <v>384</v>
      </c>
      <c r="G630" t="str">
        <f>HYPERLINK("http://www.ncbi.nlm.nih.gov/Taxonomy/Browser/wwwtax.cgi?mode=Info&amp;id=34816&amp;lvl=3&amp;lin=f&amp;keep=1&amp;srchmode=1&amp;unlock","Morone saxatilis")</f>
        <v>Morone saxatilis</v>
      </c>
      <c r="H630" t="s">
        <v>555</v>
      </c>
      <c r="I630" t="str">
        <f>HYPERLINK("http://www.ncbi.nlm.nih.gov/protein/XP_035514644.1","fatty acid-binding protein, liver-type")</f>
        <v>fatty acid-binding protein, liver-type</v>
      </c>
      <c r="J630" t="s">
        <v>1390</v>
      </c>
      <c r="K630" t="s">
        <v>25</v>
      </c>
      <c r="L630">
        <v>50</v>
      </c>
      <c r="M630" t="s">
        <v>1379</v>
      </c>
      <c r="N630" t="s">
        <v>25</v>
      </c>
      <c r="O630" t="s">
        <v>1355</v>
      </c>
      <c r="P630" t="s">
        <v>25</v>
      </c>
      <c r="Q630">
        <v>117.148</v>
      </c>
      <c r="R630" t="s">
        <v>25</v>
      </c>
      <c r="S630" t="s">
        <v>25</v>
      </c>
    </row>
    <row r="631" spans="1:19" x14ac:dyDescent="0.25">
      <c r="A631">
        <v>6</v>
      </c>
      <c r="B631" t="s">
        <v>384</v>
      </c>
      <c r="C631" t="str">
        <f>HYPERLINK("http://www.ncbi.nlm.nih.gov/protein/XP_010731481.1","XP_010731481.1")</f>
        <v>XP_010731481.1</v>
      </c>
      <c r="D631">
        <v>94451</v>
      </c>
      <c r="E631" t="str">
        <f>HYPERLINK("http://www.ncbi.nlm.nih.gov/Taxonomy/Browser/wwwtax.cgi?mode=Info&amp;id=215358&amp;lvl=3&amp;lin=f&amp;keep=1&amp;srchmode=1&amp;unlock","215358")</f>
        <v>215358</v>
      </c>
      <c r="F631" t="s">
        <v>384</v>
      </c>
      <c r="G631" t="str">
        <f>HYPERLINK("http://www.ncbi.nlm.nih.gov/Taxonomy/Browser/wwwtax.cgi?mode=Info&amp;id=215358&amp;lvl=3&amp;lin=f&amp;keep=1&amp;srchmode=1&amp;unlock","Larimichthys crocea")</f>
        <v>Larimichthys crocea</v>
      </c>
      <c r="H631" t="s">
        <v>557</v>
      </c>
      <c r="I631" t="str">
        <f>HYPERLINK("http://www.ncbi.nlm.nih.gov/protein/XP_010731481.1","fatty acid-binding protein, liver")</f>
        <v>fatty acid-binding protein, liver</v>
      </c>
      <c r="J631" t="s">
        <v>1390</v>
      </c>
      <c r="K631" t="s">
        <v>25</v>
      </c>
      <c r="L631">
        <v>50</v>
      </c>
      <c r="M631" t="s">
        <v>1379</v>
      </c>
      <c r="N631" t="s">
        <v>25</v>
      </c>
      <c r="O631" t="s">
        <v>1355</v>
      </c>
      <c r="P631" t="s">
        <v>25</v>
      </c>
      <c r="Q631">
        <v>117.148</v>
      </c>
      <c r="R631" t="s">
        <v>25</v>
      </c>
      <c r="S631" t="s">
        <v>25</v>
      </c>
    </row>
    <row r="632" spans="1:19" x14ac:dyDescent="0.25">
      <c r="A632">
        <v>6</v>
      </c>
      <c r="B632" t="s">
        <v>384</v>
      </c>
      <c r="C632" t="str">
        <f>HYPERLINK("http://www.ncbi.nlm.nih.gov/protein/Q8JJ04.1","Q8JJ04.1")</f>
        <v>Q8JJ04.1</v>
      </c>
      <c r="D632">
        <v>1801</v>
      </c>
      <c r="E632" t="str">
        <f>HYPERLINK("http://www.ncbi.nlm.nih.gov/Taxonomy/Browser/wwwtax.cgi?mode=Info&amp;id=94232&amp;lvl=3&amp;lin=f&amp;keep=1&amp;srchmode=1&amp;unlock","94232")</f>
        <v>94232</v>
      </c>
      <c r="F632" t="s">
        <v>384</v>
      </c>
      <c r="G632" t="str">
        <f>HYPERLINK("http://www.ncbi.nlm.nih.gov/Taxonomy/Browser/wwwtax.cgi?mode=Info&amp;id=94232&amp;lvl=3&amp;lin=f&amp;keep=1&amp;srchmode=1&amp;unlock","Epinephelus coioides")</f>
        <v>Epinephelus coioides</v>
      </c>
      <c r="H632" t="s">
        <v>558</v>
      </c>
      <c r="I632" t="str">
        <f>HYPERLINK("http://www.ncbi.nlm.nih.gov/protein/Q8JJ04.1","RecName: Full=Fatty acid-binding protein, liver-type; AltName: Full=Fatty acid-binding protein 1; AltName: Full=Liver-type fatty acid-binding protein; Short=L-FABP")</f>
        <v>RecName: Full=Fatty acid-binding protein, liver-type; AltName: Full=Fatty acid-binding protein 1; AltName: Full=Liver-type fatty acid-binding protein; Short=L-FABP</v>
      </c>
      <c r="J632" t="s">
        <v>1390</v>
      </c>
      <c r="K632" t="s">
        <v>25</v>
      </c>
      <c r="L632">
        <v>50</v>
      </c>
      <c r="M632" t="s">
        <v>1379</v>
      </c>
      <c r="N632" t="s">
        <v>25</v>
      </c>
      <c r="O632" t="s">
        <v>1355</v>
      </c>
      <c r="P632" t="s">
        <v>25</v>
      </c>
      <c r="Q632">
        <v>117.148</v>
      </c>
      <c r="R632" t="s">
        <v>25</v>
      </c>
      <c r="S632" t="s">
        <v>25</v>
      </c>
    </row>
    <row r="633" spans="1:19" x14ac:dyDescent="0.25">
      <c r="A633">
        <v>6</v>
      </c>
      <c r="B633" t="s">
        <v>384</v>
      </c>
      <c r="C633" t="str">
        <f>HYPERLINK("http://www.ncbi.nlm.nih.gov/protein/XP_015828391.1","XP_015828391.1")</f>
        <v>XP_015828391.1</v>
      </c>
      <c r="D633">
        <v>70065</v>
      </c>
      <c r="E633" t="str">
        <f>HYPERLINK("http://www.ncbi.nlm.nih.gov/Taxonomy/Browser/wwwtax.cgi?mode=Info&amp;id=105023&amp;lvl=3&amp;lin=f&amp;keep=1&amp;srchmode=1&amp;unlock","105023")</f>
        <v>105023</v>
      </c>
      <c r="F633" t="s">
        <v>384</v>
      </c>
      <c r="G633" t="str">
        <f>HYPERLINK("http://www.ncbi.nlm.nih.gov/Taxonomy/Browser/wwwtax.cgi?mode=Info&amp;id=105023&amp;lvl=3&amp;lin=f&amp;keep=1&amp;srchmode=1&amp;unlock","Nothobranchius furzeri")</f>
        <v>Nothobranchius furzeri</v>
      </c>
      <c r="H633" t="s">
        <v>556</v>
      </c>
      <c r="I633" t="str">
        <f>HYPERLINK("http://www.ncbi.nlm.nih.gov/protein/XP_015828391.1","PREDICTED: fatty acid-binding protein, liver")</f>
        <v>PREDICTED: fatty acid-binding protein, liver</v>
      </c>
      <c r="J633" t="s">
        <v>1390</v>
      </c>
      <c r="K633" t="s">
        <v>25</v>
      </c>
      <c r="L633">
        <v>50</v>
      </c>
      <c r="M633" t="s">
        <v>1379</v>
      </c>
      <c r="N633" t="s">
        <v>25</v>
      </c>
      <c r="O633" t="s">
        <v>1355</v>
      </c>
      <c r="P633" t="s">
        <v>25</v>
      </c>
      <c r="Q633">
        <v>117.148</v>
      </c>
      <c r="R633" t="s">
        <v>25</v>
      </c>
      <c r="S633" t="s">
        <v>25</v>
      </c>
    </row>
    <row r="634" spans="1:19" x14ac:dyDescent="0.25">
      <c r="A634">
        <v>6</v>
      </c>
      <c r="B634" t="s">
        <v>384</v>
      </c>
      <c r="C634" t="str">
        <f>HYPERLINK("http://www.ncbi.nlm.nih.gov/protein/XP_034162154.1","XP_034162154.1")</f>
        <v>XP_034162154.1</v>
      </c>
      <c r="D634">
        <v>66732</v>
      </c>
      <c r="E634" t="str">
        <f>HYPERLINK("http://www.ncbi.nlm.nih.gov/Taxonomy/Browser/wwwtax.cgi?mode=Info&amp;id=310915&amp;lvl=3&amp;lin=f&amp;keep=1&amp;srchmode=1&amp;unlock","310915")</f>
        <v>310915</v>
      </c>
      <c r="F634" t="s">
        <v>384</v>
      </c>
      <c r="G634" t="str">
        <f>HYPERLINK("http://www.ncbi.nlm.nih.gov/Taxonomy/Browser/wwwtax.cgi?mode=Info&amp;id=310915&amp;lvl=3&amp;lin=f&amp;keep=1&amp;srchmode=1&amp;unlock","Pangasianodon hypophthalmus")</f>
        <v>Pangasianodon hypophthalmus</v>
      </c>
      <c r="H634" t="s">
        <v>562</v>
      </c>
      <c r="I634" t="str">
        <f>HYPERLINK("http://www.ncbi.nlm.nih.gov/protein/XP_034162154.1","fatty acid binding protein 1-B.1-like")</f>
        <v>fatty acid binding protein 1-B.1-like</v>
      </c>
      <c r="J634" t="s">
        <v>1390</v>
      </c>
      <c r="K634" t="s">
        <v>25</v>
      </c>
      <c r="L634">
        <v>50</v>
      </c>
      <c r="M634" t="s">
        <v>1379</v>
      </c>
      <c r="N634" t="s">
        <v>25</v>
      </c>
      <c r="O634" t="s">
        <v>1355</v>
      </c>
      <c r="P634" t="s">
        <v>25</v>
      </c>
      <c r="Q634">
        <v>117.148</v>
      </c>
      <c r="R634" t="s">
        <v>25</v>
      </c>
      <c r="S634" t="s">
        <v>25</v>
      </c>
    </row>
    <row r="635" spans="1:19" x14ac:dyDescent="0.25">
      <c r="A635">
        <v>6</v>
      </c>
      <c r="B635" t="s">
        <v>384</v>
      </c>
      <c r="C635" t="str">
        <f>HYPERLINK("http://www.ncbi.nlm.nih.gov/protein/XP_019954673.1","XP_019954673.1")</f>
        <v>XP_019954673.1</v>
      </c>
      <c r="D635">
        <v>37796</v>
      </c>
      <c r="E635" t="str">
        <f>HYPERLINK("http://www.ncbi.nlm.nih.gov/Taxonomy/Browser/wwwtax.cgi?mode=Info&amp;id=8255&amp;lvl=3&amp;lin=f&amp;keep=1&amp;srchmode=1&amp;unlock","8255")</f>
        <v>8255</v>
      </c>
      <c r="F635" t="s">
        <v>384</v>
      </c>
      <c r="G635" t="str">
        <f>HYPERLINK("http://www.ncbi.nlm.nih.gov/Taxonomy/Browser/wwwtax.cgi?mode=Info&amp;id=8255&amp;lvl=3&amp;lin=f&amp;keep=1&amp;srchmode=1&amp;unlock","Paralichthys olivaceus")</f>
        <v>Paralichthys olivaceus</v>
      </c>
      <c r="H635" t="s">
        <v>563</v>
      </c>
      <c r="I635" t="str">
        <f>HYPERLINK("http://www.ncbi.nlm.nih.gov/protein/XP_019954673.1","PREDICTED: fatty acid-binding protein, liver")</f>
        <v>PREDICTED: fatty acid-binding protein, liver</v>
      </c>
      <c r="J635" t="s">
        <v>1390</v>
      </c>
      <c r="K635" t="s">
        <v>25</v>
      </c>
      <c r="L635">
        <v>50</v>
      </c>
      <c r="M635" t="s">
        <v>1379</v>
      </c>
      <c r="N635" t="s">
        <v>25</v>
      </c>
      <c r="O635" t="s">
        <v>1355</v>
      </c>
      <c r="P635" t="s">
        <v>25</v>
      </c>
      <c r="Q635">
        <v>117.148</v>
      </c>
      <c r="R635" t="s">
        <v>25</v>
      </c>
      <c r="S635" t="s">
        <v>25</v>
      </c>
    </row>
    <row r="636" spans="1:19" x14ac:dyDescent="0.25">
      <c r="A636">
        <v>6</v>
      </c>
      <c r="B636" t="s">
        <v>384</v>
      </c>
      <c r="C636" t="str">
        <f>HYPERLINK("http://www.ncbi.nlm.nih.gov/protein/XP_036382481.1","XP_036382481.1")</f>
        <v>XP_036382481.1</v>
      </c>
      <c r="D636">
        <v>40209</v>
      </c>
      <c r="E636" t="str">
        <f>HYPERLINK("http://www.ncbi.nlm.nih.gov/Taxonomy/Browser/wwwtax.cgi?mode=Info&amp;id=118141&amp;lvl=3&amp;lin=f&amp;keep=1&amp;srchmode=1&amp;unlock","118141")</f>
        <v>118141</v>
      </c>
      <c r="F636" t="s">
        <v>384</v>
      </c>
      <c r="G636" t="str">
        <f>HYPERLINK("http://www.ncbi.nlm.nih.gov/Taxonomy/Browser/wwwtax.cgi?mode=Info&amp;id=118141&amp;lvl=3&amp;lin=f&amp;keep=1&amp;srchmode=1&amp;unlock","Megalops cyprinoides")</f>
        <v>Megalops cyprinoides</v>
      </c>
      <c r="H636" t="s">
        <v>564</v>
      </c>
      <c r="I636" t="str">
        <f>HYPERLINK("http://www.ncbi.nlm.nih.gov/protein/XP_036382481.1","fatty acid-binding protein, liver-type-like")</f>
        <v>fatty acid-binding protein, liver-type-like</v>
      </c>
      <c r="J636" t="s">
        <v>1390</v>
      </c>
      <c r="K636" t="s">
        <v>25</v>
      </c>
      <c r="L636">
        <v>50</v>
      </c>
      <c r="M636" t="s">
        <v>1379</v>
      </c>
      <c r="N636" t="s">
        <v>25</v>
      </c>
      <c r="O636" t="s">
        <v>1355</v>
      </c>
      <c r="P636" t="s">
        <v>25</v>
      </c>
      <c r="Q636">
        <v>117.148</v>
      </c>
      <c r="R636" t="s">
        <v>25</v>
      </c>
      <c r="S636" t="s">
        <v>25</v>
      </c>
    </row>
    <row r="637" spans="1:19" x14ac:dyDescent="0.25">
      <c r="A637">
        <v>6</v>
      </c>
      <c r="B637" t="s">
        <v>384</v>
      </c>
      <c r="C637" t="str">
        <f>HYPERLINK("http://www.ncbi.nlm.nih.gov/protein/XP_037536187.1","XP_037536187.1")</f>
        <v>XP_037536187.1</v>
      </c>
      <c r="D637">
        <v>24152</v>
      </c>
      <c r="E637" t="str">
        <f>HYPERLINK("http://www.ncbi.nlm.nih.gov/Taxonomy/Browser/wwwtax.cgi?mode=Info&amp;id=451745&amp;lvl=3&amp;lin=f&amp;keep=1&amp;srchmode=1&amp;unlock","451745")</f>
        <v>451745</v>
      </c>
      <c r="F637" t="s">
        <v>384</v>
      </c>
      <c r="G637" t="str">
        <f>HYPERLINK("http://www.ncbi.nlm.nih.gov/Taxonomy/Browser/wwwtax.cgi?mode=Info&amp;id=451745&amp;lvl=3&amp;lin=f&amp;keep=1&amp;srchmode=1&amp;unlock","Nematolebias whitei")</f>
        <v>Nematolebias whitei</v>
      </c>
      <c r="H637" t="s">
        <v>565</v>
      </c>
      <c r="I637" t="str">
        <f>HYPERLINK("http://www.ncbi.nlm.nih.gov/protein/XP_037536187.1","fatty acid-binding protein, liver-type-like")</f>
        <v>fatty acid-binding protein, liver-type-like</v>
      </c>
      <c r="J637" t="s">
        <v>1390</v>
      </c>
      <c r="K637" t="s">
        <v>25</v>
      </c>
      <c r="L637">
        <v>50</v>
      </c>
      <c r="M637" t="s">
        <v>1383</v>
      </c>
      <c r="N637" t="s">
        <v>25</v>
      </c>
      <c r="O637" t="s">
        <v>1355</v>
      </c>
      <c r="P637" t="s">
        <v>25</v>
      </c>
      <c r="Q637">
        <v>131.17500000000001</v>
      </c>
      <c r="R637" t="s">
        <v>25</v>
      </c>
      <c r="S637" t="s">
        <v>25</v>
      </c>
    </row>
    <row r="638" spans="1:19" x14ac:dyDescent="0.25">
      <c r="A638">
        <v>6</v>
      </c>
      <c r="B638" t="s">
        <v>384</v>
      </c>
      <c r="C638" t="str">
        <f>HYPERLINK("http://www.ncbi.nlm.nih.gov/protein/XP_030213930.1","XP_030213930.1")</f>
        <v>XP_030213930.1</v>
      </c>
      <c r="D638">
        <v>47233</v>
      </c>
      <c r="E638" t="str">
        <f>HYPERLINK("http://www.ncbi.nlm.nih.gov/Taxonomy/Browser/wwwtax.cgi?mode=Info&amp;id=8049&amp;lvl=3&amp;lin=f&amp;keep=1&amp;srchmode=1&amp;unlock","8049")</f>
        <v>8049</v>
      </c>
      <c r="F638" t="s">
        <v>384</v>
      </c>
      <c r="G638" t="str">
        <f>HYPERLINK("http://www.ncbi.nlm.nih.gov/Taxonomy/Browser/wwwtax.cgi?mode=Info&amp;id=8049&amp;lvl=3&amp;lin=f&amp;keep=1&amp;srchmode=1&amp;unlock","Gadus morhua")</f>
        <v>Gadus morhua</v>
      </c>
      <c r="H638" t="s">
        <v>566</v>
      </c>
      <c r="I638" t="str">
        <f>HYPERLINK("http://www.ncbi.nlm.nih.gov/protein/XP_030213930.1","fatty acid-binding protein, liver")</f>
        <v>fatty acid-binding protein, liver</v>
      </c>
      <c r="J638" t="s">
        <v>1390</v>
      </c>
      <c r="K638" t="s">
        <v>25</v>
      </c>
      <c r="L638">
        <v>50</v>
      </c>
      <c r="M638" t="s">
        <v>1379</v>
      </c>
      <c r="N638" t="s">
        <v>25</v>
      </c>
      <c r="O638" t="s">
        <v>1355</v>
      </c>
      <c r="P638" t="s">
        <v>25</v>
      </c>
      <c r="Q638">
        <v>117.148</v>
      </c>
      <c r="R638" t="s">
        <v>25</v>
      </c>
      <c r="S638" t="s">
        <v>25</v>
      </c>
    </row>
    <row r="639" spans="1:19" x14ac:dyDescent="0.25">
      <c r="A639">
        <v>6</v>
      </c>
      <c r="B639" t="s">
        <v>384</v>
      </c>
      <c r="C639" t="str">
        <f>HYPERLINK("http://www.ncbi.nlm.nih.gov/protein/XP_029998978.1","XP_029998978.1")</f>
        <v>XP_029998978.1</v>
      </c>
      <c r="D639">
        <v>42352</v>
      </c>
      <c r="E639" t="str">
        <f>HYPERLINK("http://www.ncbi.nlm.nih.gov/Taxonomy/Browser/wwwtax.cgi?mode=Info&amp;id=375764&amp;lvl=3&amp;lin=f&amp;keep=1&amp;srchmode=1&amp;unlock","375764")</f>
        <v>375764</v>
      </c>
      <c r="F639" t="s">
        <v>384</v>
      </c>
      <c r="G639" t="str">
        <f>HYPERLINK("http://www.ncbi.nlm.nih.gov/Taxonomy/Browser/wwwtax.cgi?mode=Info&amp;id=375764&amp;lvl=3&amp;lin=f&amp;keep=1&amp;srchmode=1&amp;unlock","Sphaeramia orbicularis")</f>
        <v>Sphaeramia orbicularis</v>
      </c>
      <c r="H639" t="s">
        <v>561</v>
      </c>
      <c r="I639" t="str">
        <f>HYPERLINK("http://www.ncbi.nlm.nih.gov/protein/XP_029998978.1","fatty acid-binding protein, liver")</f>
        <v>fatty acid-binding protein, liver</v>
      </c>
      <c r="J639" t="s">
        <v>1390</v>
      </c>
      <c r="K639" t="s">
        <v>25</v>
      </c>
      <c r="L639">
        <v>50</v>
      </c>
      <c r="M639" t="s">
        <v>1379</v>
      </c>
      <c r="N639" t="s">
        <v>25</v>
      </c>
      <c r="O639" t="s">
        <v>1355</v>
      </c>
      <c r="P639" t="s">
        <v>25</v>
      </c>
      <c r="Q639">
        <v>117.148</v>
      </c>
      <c r="R639" t="s">
        <v>25</v>
      </c>
      <c r="S639" t="s">
        <v>25</v>
      </c>
    </row>
    <row r="640" spans="1:19" x14ac:dyDescent="0.25">
      <c r="A640">
        <v>6</v>
      </c>
      <c r="B640" t="s">
        <v>384</v>
      </c>
      <c r="C640" t="str">
        <f>HYPERLINK("http://www.ncbi.nlm.nih.gov/protein/XP_032372665.1","XP_032372665.1")</f>
        <v>XP_032372665.1</v>
      </c>
      <c r="D640">
        <v>64531</v>
      </c>
      <c r="E640" t="str">
        <f>HYPERLINK("http://www.ncbi.nlm.nih.gov/Taxonomy/Browser/wwwtax.cgi?mode=Info&amp;id=54343&amp;lvl=3&amp;lin=f&amp;keep=1&amp;srchmode=1&amp;unlock","54343")</f>
        <v>54343</v>
      </c>
      <c r="F640" t="s">
        <v>384</v>
      </c>
      <c r="G640" t="str">
        <f>HYPERLINK("http://www.ncbi.nlm.nih.gov/Taxonomy/Browser/wwwtax.cgi?mode=Info&amp;id=54343&amp;lvl=3&amp;lin=f&amp;keep=1&amp;srchmode=1&amp;unlock","Etheostoma spectabile")</f>
        <v>Etheostoma spectabile</v>
      </c>
      <c r="H640" t="s">
        <v>568</v>
      </c>
      <c r="I640" t="str">
        <f>HYPERLINK("http://www.ncbi.nlm.nih.gov/protein/XP_032372665.1","fatty acid-binding protein, liver-type-like")</f>
        <v>fatty acid-binding protein, liver-type-like</v>
      </c>
      <c r="J640" t="s">
        <v>1390</v>
      </c>
      <c r="K640" t="s">
        <v>25</v>
      </c>
      <c r="L640">
        <v>76</v>
      </c>
      <c r="M640" t="s">
        <v>1379</v>
      </c>
      <c r="N640" t="s">
        <v>25</v>
      </c>
      <c r="O640" t="s">
        <v>1355</v>
      </c>
      <c r="P640" t="s">
        <v>25</v>
      </c>
      <c r="Q640">
        <v>117.148</v>
      </c>
      <c r="R640" t="s">
        <v>25</v>
      </c>
      <c r="S640" t="s">
        <v>25</v>
      </c>
    </row>
    <row r="641" spans="1:19" x14ac:dyDescent="0.25">
      <c r="A641">
        <v>6</v>
      </c>
      <c r="B641" t="s">
        <v>384</v>
      </c>
      <c r="C641" t="str">
        <f>HYPERLINK("http://www.ncbi.nlm.nih.gov/protein/XP_030274010.1","XP_030274010.1")</f>
        <v>XP_030274010.1</v>
      </c>
      <c r="D641">
        <v>54133</v>
      </c>
      <c r="E641" t="str">
        <f>HYPERLINK("http://www.ncbi.nlm.nih.gov/Taxonomy/Browser/wwwtax.cgi?mode=Info&amp;id=8175&amp;lvl=3&amp;lin=f&amp;keep=1&amp;srchmode=1&amp;unlock","8175")</f>
        <v>8175</v>
      </c>
      <c r="F641" t="s">
        <v>384</v>
      </c>
      <c r="G641" t="str">
        <f>HYPERLINK("http://www.ncbi.nlm.nih.gov/Taxonomy/Browser/wwwtax.cgi?mode=Info&amp;id=8175&amp;lvl=3&amp;lin=f&amp;keep=1&amp;srchmode=1&amp;unlock","Sparus aurata")</f>
        <v>Sparus aurata</v>
      </c>
      <c r="H641" t="s">
        <v>567</v>
      </c>
      <c r="I641" t="str">
        <f>HYPERLINK("http://www.ncbi.nlm.nih.gov/protein/XP_030274010.1","fatty acid-binding protein, liver")</f>
        <v>fatty acid-binding protein, liver</v>
      </c>
      <c r="J641" t="s">
        <v>1390</v>
      </c>
      <c r="K641" t="s">
        <v>25</v>
      </c>
      <c r="L641">
        <v>50</v>
      </c>
      <c r="M641" t="s">
        <v>1379</v>
      </c>
      <c r="N641" t="s">
        <v>25</v>
      </c>
      <c r="O641" t="s">
        <v>1355</v>
      </c>
      <c r="P641" t="s">
        <v>25</v>
      </c>
      <c r="Q641">
        <v>117.148</v>
      </c>
      <c r="R641" t="s">
        <v>25</v>
      </c>
      <c r="S641" t="s">
        <v>25</v>
      </c>
    </row>
    <row r="642" spans="1:19" x14ac:dyDescent="0.25">
      <c r="A642">
        <v>6</v>
      </c>
      <c r="B642" t="s">
        <v>384</v>
      </c>
      <c r="C642" t="str">
        <f>HYPERLINK("http://www.ncbi.nlm.nih.gov/protein/XP_036954147.1","XP_036954147.1")</f>
        <v>XP_036954147.1</v>
      </c>
      <c r="D642">
        <v>54695</v>
      </c>
      <c r="E642" t="str">
        <f>HYPERLINK("http://www.ncbi.nlm.nih.gov/Taxonomy/Browser/wwwtax.cgi?mode=Info&amp;id=8177&amp;lvl=3&amp;lin=f&amp;keep=1&amp;srchmode=1&amp;unlock","8177")</f>
        <v>8177</v>
      </c>
      <c r="F642" t="s">
        <v>384</v>
      </c>
      <c r="G642" t="str">
        <f>HYPERLINK("http://www.ncbi.nlm.nih.gov/Taxonomy/Browser/wwwtax.cgi?mode=Info&amp;id=8177&amp;lvl=3&amp;lin=f&amp;keep=1&amp;srchmode=1&amp;unlock","Acanthopagrus latus")</f>
        <v>Acanthopagrus latus</v>
      </c>
      <c r="H642" t="s">
        <v>570</v>
      </c>
      <c r="I642" t="str">
        <f>HYPERLINK("http://www.ncbi.nlm.nih.gov/protein/XP_036954147.1","fatty acid-binding protein, liver-type")</f>
        <v>fatty acid-binding protein, liver-type</v>
      </c>
      <c r="J642" t="s">
        <v>1390</v>
      </c>
      <c r="K642" t="s">
        <v>25</v>
      </c>
      <c r="L642">
        <v>50</v>
      </c>
      <c r="M642" t="s">
        <v>1379</v>
      </c>
      <c r="N642" t="s">
        <v>25</v>
      </c>
      <c r="O642" t="s">
        <v>1355</v>
      </c>
      <c r="P642" t="s">
        <v>25</v>
      </c>
      <c r="Q642">
        <v>117.148</v>
      </c>
      <c r="R642" t="s">
        <v>25</v>
      </c>
      <c r="S642" t="s">
        <v>25</v>
      </c>
    </row>
    <row r="643" spans="1:19" x14ac:dyDescent="0.25">
      <c r="A643">
        <v>6</v>
      </c>
      <c r="B643" t="s">
        <v>384</v>
      </c>
      <c r="C643" t="str">
        <f>HYPERLINK("http://www.ncbi.nlm.nih.gov/protein/XP_012725415.1","XP_012725415.1")</f>
        <v>XP_012725415.1</v>
      </c>
      <c r="D643">
        <v>50120</v>
      </c>
      <c r="E643" t="str">
        <f>HYPERLINK("http://www.ncbi.nlm.nih.gov/Taxonomy/Browser/wwwtax.cgi?mode=Info&amp;id=8078&amp;lvl=3&amp;lin=f&amp;keep=1&amp;srchmode=1&amp;unlock","8078")</f>
        <v>8078</v>
      </c>
      <c r="F643" t="s">
        <v>384</v>
      </c>
      <c r="G643" t="str">
        <f>HYPERLINK("http://www.ncbi.nlm.nih.gov/Taxonomy/Browser/wwwtax.cgi?mode=Info&amp;id=8078&amp;lvl=3&amp;lin=f&amp;keep=1&amp;srchmode=1&amp;unlock","Fundulus heteroclitus")</f>
        <v>Fundulus heteroclitus</v>
      </c>
      <c r="H643" t="s">
        <v>571</v>
      </c>
      <c r="I643" t="str">
        <f>HYPERLINK("http://www.ncbi.nlm.nih.gov/protein/XP_012725415.1","fatty acid-binding protein, liver-type")</f>
        <v>fatty acid-binding protein, liver-type</v>
      </c>
      <c r="J643" t="s">
        <v>1390</v>
      </c>
      <c r="K643" t="s">
        <v>25</v>
      </c>
      <c r="L643">
        <v>50</v>
      </c>
      <c r="M643" t="s">
        <v>1379</v>
      </c>
      <c r="N643" t="s">
        <v>25</v>
      </c>
      <c r="O643" t="s">
        <v>1355</v>
      </c>
      <c r="P643" t="s">
        <v>25</v>
      </c>
      <c r="Q643">
        <v>117.148</v>
      </c>
      <c r="R643" t="s">
        <v>25</v>
      </c>
      <c r="S643" t="s">
        <v>25</v>
      </c>
    </row>
    <row r="644" spans="1:19" x14ac:dyDescent="0.25">
      <c r="A644">
        <v>6</v>
      </c>
      <c r="B644" t="s">
        <v>384</v>
      </c>
      <c r="C644" t="str">
        <f>HYPERLINK("http://www.ncbi.nlm.nih.gov/protein/XP_034547736.1","XP_034547736.1")</f>
        <v>XP_034547736.1</v>
      </c>
      <c r="D644">
        <v>39441</v>
      </c>
      <c r="E644" t="str">
        <f>HYPERLINK("http://www.ncbi.nlm.nih.gov/Taxonomy/Browser/wwwtax.cgi?mode=Info&amp;id=1203425&amp;lvl=3&amp;lin=f&amp;keep=1&amp;srchmode=1&amp;unlock","1203425")</f>
        <v>1203425</v>
      </c>
      <c r="F644" t="s">
        <v>384</v>
      </c>
      <c r="G644" t="str">
        <f>HYPERLINK("http://www.ncbi.nlm.nih.gov/Taxonomy/Browser/wwwtax.cgi?mode=Info&amp;id=1203425&amp;lvl=3&amp;lin=f&amp;keep=1&amp;srchmode=1&amp;unlock","Notolabrus celidotus")</f>
        <v>Notolabrus celidotus</v>
      </c>
      <c r="H644" t="s">
        <v>572</v>
      </c>
      <c r="I644" t="str">
        <f>HYPERLINK("http://www.ncbi.nlm.nih.gov/protein/XP_034547736.1","fatty acid-binding protein, liver-type")</f>
        <v>fatty acid-binding protein, liver-type</v>
      </c>
      <c r="J644" t="s">
        <v>1390</v>
      </c>
      <c r="K644" t="s">
        <v>25</v>
      </c>
      <c r="L644">
        <v>50</v>
      </c>
      <c r="M644" t="s">
        <v>1379</v>
      </c>
      <c r="N644" t="s">
        <v>25</v>
      </c>
      <c r="O644" t="s">
        <v>1355</v>
      </c>
      <c r="P644" t="s">
        <v>25</v>
      </c>
      <c r="Q644">
        <v>117.148</v>
      </c>
      <c r="R644" t="s">
        <v>25</v>
      </c>
      <c r="S644" t="s">
        <v>25</v>
      </c>
    </row>
    <row r="645" spans="1:19" x14ac:dyDescent="0.25">
      <c r="A645">
        <v>6</v>
      </c>
      <c r="B645" t="s">
        <v>384</v>
      </c>
      <c r="C645" t="str">
        <f>HYPERLINK("http://www.ncbi.nlm.nih.gov/protein/XP_034090900.1","XP_034090900.1")</f>
        <v>XP_034090900.1</v>
      </c>
      <c r="D645">
        <v>45860</v>
      </c>
      <c r="E645" t="str">
        <f>HYPERLINK("http://www.ncbi.nlm.nih.gov/Taxonomy/Browser/wwwtax.cgi?mode=Info&amp;id=8218&amp;lvl=3&amp;lin=f&amp;keep=1&amp;srchmode=1&amp;unlock","8218")</f>
        <v>8218</v>
      </c>
      <c r="F645" t="s">
        <v>384</v>
      </c>
      <c r="G645" t="str">
        <f>HYPERLINK("http://www.ncbi.nlm.nih.gov/Taxonomy/Browser/wwwtax.cgi?mode=Info&amp;id=8218&amp;lvl=3&amp;lin=f&amp;keep=1&amp;srchmode=1&amp;unlock","Gymnodraco acuticeps")</f>
        <v>Gymnodraco acuticeps</v>
      </c>
      <c r="H645" t="s">
        <v>577</v>
      </c>
      <c r="I645" t="str">
        <f>HYPERLINK("http://www.ncbi.nlm.nih.gov/protein/XP_034090900.1","fatty acid-binding protein, liver-type-like")</f>
        <v>fatty acid-binding protein, liver-type-like</v>
      </c>
      <c r="J645" t="s">
        <v>1390</v>
      </c>
      <c r="K645" t="s">
        <v>25</v>
      </c>
      <c r="L645">
        <v>50</v>
      </c>
      <c r="M645" t="s">
        <v>1379</v>
      </c>
      <c r="N645" t="s">
        <v>25</v>
      </c>
      <c r="O645" t="s">
        <v>1355</v>
      </c>
      <c r="P645" t="s">
        <v>25</v>
      </c>
      <c r="Q645">
        <v>117.148</v>
      </c>
      <c r="R645" t="s">
        <v>25</v>
      </c>
      <c r="S645" t="s">
        <v>25</v>
      </c>
    </row>
    <row r="646" spans="1:19" x14ac:dyDescent="0.25">
      <c r="A646">
        <v>6</v>
      </c>
      <c r="B646" t="s">
        <v>384</v>
      </c>
      <c r="C646" t="str">
        <f>HYPERLINK("http://www.ncbi.nlm.nih.gov/protein/XP_040012404.1","XP_040012404.1")</f>
        <v>XP_040012404.1</v>
      </c>
      <c r="D646">
        <v>44807</v>
      </c>
      <c r="E646" t="str">
        <f>HYPERLINK("http://www.ncbi.nlm.nih.gov/Taxonomy/Browser/wwwtax.cgi?mode=Info&amp;id=8245&amp;lvl=3&amp;lin=f&amp;keep=1&amp;srchmode=1&amp;unlock","8245")</f>
        <v>8245</v>
      </c>
      <c r="F646" t="s">
        <v>384</v>
      </c>
      <c r="G646" t="str">
        <f>HYPERLINK("http://www.ncbi.nlm.nih.gov/Taxonomy/Browser/wwwtax.cgi?mode=Info&amp;id=8245&amp;lvl=3&amp;lin=f&amp;keep=1&amp;srchmode=1&amp;unlock","Xiphias gladius")</f>
        <v>Xiphias gladius</v>
      </c>
      <c r="H646" t="s">
        <v>573</v>
      </c>
      <c r="I646" t="str">
        <f>HYPERLINK("http://www.ncbi.nlm.nih.gov/protein/XP_040012404.1","fatty acid-binding protein, liver-type-like")</f>
        <v>fatty acid-binding protein, liver-type-like</v>
      </c>
      <c r="J646" t="s">
        <v>1390</v>
      </c>
      <c r="K646" t="s">
        <v>25</v>
      </c>
      <c r="L646">
        <v>50</v>
      </c>
      <c r="M646" t="s">
        <v>1379</v>
      </c>
      <c r="N646" t="s">
        <v>25</v>
      </c>
      <c r="O646" t="s">
        <v>1355</v>
      </c>
      <c r="P646" t="s">
        <v>25</v>
      </c>
      <c r="Q646">
        <v>117.148</v>
      </c>
      <c r="R646" t="s">
        <v>25</v>
      </c>
      <c r="S646" t="s">
        <v>25</v>
      </c>
    </row>
    <row r="647" spans="1:19" x14ac:dyDescent="0.25">
      <c r="A647">
        <v>6</v>
      </c>
      <c r="B647" t="s">
        <v>384</v>
      </c>
      <c r="C647" t="str">
        <f>HYPERLINK("http://www.ncbi.nlm.nih.gov/protein/XP_029295977.1","XP_029295977.1")</f>
        <v>XP_029295977.1</v>
      </c>
      <c r="D647">
        <v>37869</v>
      </c>
      <c r="E647" t="str">
        <f>HYPERLINK("http://www.ncbi.nlm.nih.gov/Taxonomy/Browser/wwwtax.cgi?mode=Info&amp;id=56716&amp;lvl=3&amp;lin=f&amp;keep=1&amp;srchmode=1&amp;unlock","56716")</f>
        <v>56716</v>
      </c>
      <c r="F647" t="s">
        <v>384</v>
      </c>
      <c r="G647" t="str">
        <f>HYPERLINK("http://www.ncbi.nlm.nih.gov/Taxonomy/Browser/wwwtax.cgi?mode=Info&amp;id=56716&amp;lvl=3&amp;lin=f&amp;keep=1&amp;srchmode=1&amp;unlock","Cottoperca gobio")</f>
        <v>Cottoperca gobio</v>
      </c>
      <c r="H647" t="s">
        <v>575</v>
      </c>
      <c r="I647" t="str">
        <f>HYPERLINK("http://www.ncbi.nlm.nih.gov/protein/XP_029295977.1","fatty acid-binding protein, liver-type-like")</f>
        <v>fatty acid-binding protein, liver-type-like</v>
      </c>
      <c r="J647" t="s">
        <v>1390</v>
      </c>
      <c r="K647" t="s">
        <v>25</v>
      </c>
      <c r="L647">
        <v>50</v>
      </c>
      <c r="M647" t="s">
        <v>1379</v>
      </c>
      <c r="N647" t="s">
        <v>25</v>
      </c>
      <c r="O647" t="s">
        <v>1355</v>
      </c>
      <c r="P647" t="s">
        <v>25</v>
      </c>
      <c r="Q647">
        <v>117.148</v>
      </c>
      <c r="R647" t="s">
        <v>25</v>
      </c>
      <c r="S647" t="s">
        <v>25</v>
      </c>
    </row>
    <row r="648" spans="1:19" x14ac:dyDescent="0.25">
      <c r="A648">
        <v>6</v>
      </c>
      <c r="B648" t="s">
        <v>384</v>
      </c>
      <c r="C648" t="str">
        <f>HYPERLINK("http://www.ncbi.nlm.nih.gov/protein/XP_033947697.1","XP_033947697.1")</f>
        <v>XP_033947697.1</v>
      </c>
      <c r="D648">
        <v>38002</v>
      </c>
      <c r="E648" t="str">
        <f>HYPERLINK("http://www.ncbi.nlm.nih.gov/Taxonomy/Browser/wwwtax.cgi?mode=Info&amp;id=52239&amp;lvl=3&amp;lin=f&amp;keep=1&amp;srchmode=1&amp;unlock","52239")</f>
        <v>52239</v>
      </c>
      <c r="F648" t="s">
        <v>384</v>
      </c>
      <c r="G648" t="str">
        <f>HYPERLINK("http://www.ncbi.nlm.nih.gov/Taxonomy/Browser/wwwtax.cgi?mode=Info&amp;id=52239&amp;lvl=3&amp;lin=f&amp;keep=1&amp;srchmode=1&amp;unlock","Pseudochaenichthys georgianus")</f>
        <v>Pseudochaenichthys georgianus</v>
      </c>
      <c r="H648" t="s">
        <v>576</v>
      </c>
      <c r="I648" t="str">
        <f>HYPERLINK("http://www.ncbi.nlm.nih.gov/protein/XP_033947697.1","fatty acid-binding protein, liver-type-like")</f>
        <v>fatty acid-binding protein, liver-type-like</v>
      </c>
      <c r="J648" t="s">
        <v>1390</v>
      </c>
      <c r="K648" t="s">
        <v>25</v>
      </c>
      <c r="L648">
        <v>50</v>
      </c>
      <c r="M648" t="s">
        <v>1379</v>
      </c>
      <c r="N648" t="s">
        <v>25</v>
      </c>
      <c r="O648" t="s">
        <v>1355</v>
      </c>
      <c r="P648" t="s">
        <v>25</v>
      </c>
      <c r="Q648">
        <v>117.148</v>
      </c>
      <c r="R648" t="s">
        <v>25</v>
      </c>
      <c r="S648" t="s">
        <v>25</v>
      </c>
    </row>
    <row r="649" spans="1:19" x14ac:dyDescent="0.25">
      <c r="A649">
        <v>6</v>
      </c>
      <c r="B649" t="s">
        <v>384</v>
      </c>
      <c r="C649" t="str">
        <f>HYPERLINK("http://www.ncbi.nlm.nih.gov/protein/XP_008334230.1","XP_008334230.1")</f>
        <v>XP_008334230.1</v>
      </c>
      <c r="D649">
        <v>39998</v>
      </c>
      <c r="E649" t="str">
        <f>HYPERLINK("http://www.ncbi.nlm.nih.gov/Taxonomy/Browser/wwwtax.cgi?mode=Info&amp;id=244447&amp;lvl=3&amp;lin=f&amp;keep=1&amp;srchmode=1&amp;unlock","244447")</f>
        <v>244447</v>
      </c>
      <c r="F649" t="s">
        <v>384</v>
      </c>
      <c r="G649" t="str">
        <f>HYPERLINK("http://www.ncbi.nlm.nih.gov/Taxonomy/Browser/wwwtax.cgi?mode=Info&amp;id=244447&amp;lvl=3&amp;lin=f&amp;keep=1&amp;srchmode=1&amp;unlock","Cynoglossus semilaevis")</f>
        <v>Cynoglossus semilaevis</v>
      </c>
      <c r="H649" t="s">
        <v>580</v>
      </c>
      <c r="I649" t="str">
        <f>HYPERLINK("http://www.ncbi.nlm.nih.gov/protein/XP_008334230.1","fatty acid-binding protein, liver")</f>
        <v>fatty acid-binding protein, liver</v>
      </c>
      <c r="J649" t="s">
        <v>1390</v>
      </c>
      <c r="K649" t="s">
        <v>25</v>
      </c>
      <c r="L649">
        <v>50</v>
      </c>
      <c r="M649" t="s">
        <v>1379</v>
      </c>
      <c r="N649" t="s">
        <v>25</v>
      </c>
      <c r="O649" t="s">
        <v>1355</v>
      </c>
      <c r="P649" t="s">
        <v>25</v>
      </c>
      <c r="Q649">
        <v>117.148</v>
      </c>
      <c r="R649" t="s">
        <v>25</v>
      </c>
      <c r="S649" t="s">
        <v>25</v>
      </c>
    </row>
    <row r="650" spans="1:19" x14ac:dyDescent="0.25">
      <c r="A650">
        <v>6</v>
      </c>
      <c r="B650" t="s">
        <v>384</v>
      </c>
      <c r="C650" t="str">
        <f>HYPERLINK("http://www.ncbi.nlm.nih.gov/protein/XP_039659152.1","XP_039659152.1")</f>
        <v>XP_039659152.1</v>
      </c>
      <c r="D650">
        <v>74410</v>
      </c>
      <c r="E650" t="str">
        <f>HYPERLINK("http://www.ncbi.nlm.nih.gov/Taxonomy/Browser/wwwtax.cgi?mode=Info&amp;id=8168&amp;lvl=3&amp;lin=f&amp;keep=1&amp;srchmode=1&amp;unlock","8168")</f>
        <v>8168</v>
      </c>
      <c r="F650" t="s">
        <v>384</v>
      </c>
      <c r="G650" t="str">
        <f>HYPERLINK("http://www.ncbi.nlm.nih.gov/Taxonomy/Browser/wwwtax.cgi?mode=Info&amp;id=8168&amp;lvl=3&amp;lin=f&amp;keep=1&amp;srchmode=1&amp;unlock","Perca fluviatilis")</f>
        <v>Perca fluviatilis</v>
      </c>
      <c r="H650" t="s">
        <v>582</v>
      </c>
      <c r="I650" t="str">
        <f>HYPERLINK("http://www.ncbi.nlm.nih.gov/protein/XP_039659152.1","fatty acid-binding protein, liver-type-like")</f>
        <v>fatty acid-binding protein, liver-type-like</v>
      </c>
      <c r="J650" t="s">
        <v>1390</v>
      </c>
      <c r="K650" t="s">
        <v>25</v>
      </c>
      <c r="L650">
        <v>50</v>
      </c>
      <c r="M650" t="s">
        <v>1379</v>
      </c>
      <c r="N650" t="s">
        <v>25</v>
      </c>
      <c r="O650" t="s">
        <v>1355</v>
      </c>
      <c r="P650" t="s">
        <v>25</v>
      </c>
      <c r="Q650">
        <v>117.148</v>
      </c>
      <c r="R650" t="s">
        <v>25</v>
      </c>
      <c r="S650" t="s">
        <v>25</v>
      </c>
    </row>
    <row r="651" spans="1:19" x14ac:dyDescent="0.25">
      <c r="A651">
        <v>6</v>
      </c>
      <c r="B651" t="s">
        <v>384</v>
      </c>
      <c r="C651" t="str">
        <f>HYPERLINK("http://www.ncbi.nlm.nih.gov/protein/XP_017267948.1","XP_017267948.1")</f>
        <v>XP_017267948.1</v>
      </c>
      <c r="D651">
        <v>43416</v>
      </c>
      <c r="E651" t="str">
        <f>HYPERLINK("http://www.ncbi.nlm.nih.gov/Taxonomy/Browser/wwwtax.cgi?mode=Info&amp;id=37003&amp;lvl=3&amp;lin=f&amp;keep=1&amp;srchmode=1&amp;unlock","37003")</f>
        <v>37003</v>
      </c>
      <c r="F651" t="s">
        <v>384</v>
      </c>
      <c r="G651" t="str">
        <f>HYPERLINK("http://www.ncbi.nlm.nih.gov/Taxonomy/Browser/wwwtax.cgi?mode=Info&amp;id=37003&amp;lvl=3&amp;lin=f&amp;keep=1&amp;srchmode=1&amp;unlock","Kryptolebias marmoratus")</f>
        <v>Kryptolebias marmoratus</v>
      </c>
      <c r="H651" t="s">
        <v>583</v>
      </c>
      <c r="I651" t="str">
        <f>HYPERLINK("http://www.ncbi.nlm.nih.gov/protein/XP_017267948.1","fatty acid-binding protein, liver-type")</f>
        <v>fatty acid-binding protein, liver-type</v>
      </c>
      <c r="J651" t="s">
        <v>1390</v>
      </c>
      <c r="K651" t="s">
        <v>25</v>
      </c>
      <c r="L651">
        <v>50</v>
      </c>
      <c r="M651" t="s">
        <v>1379</v>
      </c>
      <c r="N651" t="s">
        <v>25</v>
      </c>
      <c r="O651" t="s">
        <v>1355</v>
      </c>
      <c r="P651" t="s">
        <v>25</v>
      </c>
      <c r="Q651">
        <v>117.148</v>
      </c>
      <c r="R651" t="s">
        <v>25</v>
      </c>
      <c r="S651" t="s">
        <v>25</v>
      </c>
    </row>
    <row r="652" spans="1:19" x14ac:dyDescent="0.25">
      <c r="A652">
        <v>6</v>
      </c>
      <c r="B652" t="s">
        <v>384</v>
      </c>
      <c r="C652" t="str">
        <f>HYPERLINK("http://www.ncbi.nlm.nih.gov/protein/XP_022613519.1","XP_022613519.1")</f>
        <v>XP_022613519.1</v>
      </c>
      <c r="D652">
        <v>32883</v>
      </c>
      <c r="E652" t="str">
        <f>HYPERLINK("http://www.ncbi.nlm.nih.gov/Taxonomy/Browser/wwwtax.cgi?mode=Info&amp;id=41447&amp;lvl=3&amp;lin=f&amp;keep=1&amp;srchmode=1&amp;unlock","41447")</f>
        <v>41447</v>
      </c>
      <c r="F652" t="s">
        <v>384</v>
      </c>
      <c r="G652" t="str">
        <f>HYPERLINK("http://www.ncbi.nlm.nih.gov/Taxonomy/Browser/wwwtax.cgi?mode=Info&amp;id=41447&amp;lvl=3&amp;lin=f&amp;keep=1&amp;srchmode=1&amp;unlock","Seriola dumerili")</f>
        <v>Seriola dumerili</v>
      </c>
      <c r="H652" t="s">
        <v>584</v>
      </c>
      <c r="I652" t="str">
        <f>HYPERLINK("http://www.ncbi.nlm.nih.gov/protein/XP_022613519.1","fatty acid-binding protein, liver")</f>
        <v>fatty acid-binding protein, liver</v>
      </c>
      <c r="J652" t="s">
        <v>1390</v>
      </c>
      <c r="K652" t="s">
        <v>25</v>
      </c>
      <c r="L652">
        <v>50</v>
      </c>
      <c r="M652" t="s">
        <v>1379</v>
      </c>
      <c r="N652" t="s">
        <v>25</v>
      </c>
      <c r="O652" t="s">
        <v>1355</v>
      </c>
      <c r="P652" t="s">
        <v>25</v>
      </c>
      <c r="Q652">
        <v>117.148</v>
      </c>
      <c r="R652" t="s">
        <v>25</v>
      </c>
      <c r="S652" t="s">
        <v>25</v>
      </c>
    </row>
    <row r="653" spans="1:19" x14ac:dyDescent="0.25">
      <c r="A653">
        <v>6</v>
      </c>
      <c r="B653" t="s">
        <v>384</v>
      </c>
      <c r="C653" t="str">
        <f>HYPERLINK("http://www.ncbi.nlm.nih.gov/protein/XP_029366833.1","XP_029366833.1")</f>
        <v>XP_029366833.1</v>
      </c>
      <c r="D653">
        <v>38279</v>
      </c>
      <c r="E653" t="str">
        <f>HYPERLINK("http://www.ncbi.nlm.nih.gov/Taxonomy/Browser/wwwtax.cgi?mode=Info&amp;id=173247&amp;lvl=3&amp;lin=f&amp;keep=1&amp;srchmode=1&amp;unlock","173247")</f>
        <v>173247</v>
      </c>
      <c r="F653" t="s">
        <v>384</v>
      </c>
      <c r="G653" t="str">
        <f>HYPERLINK("http://www.ncbi.nlm.nih.gov/Taxonomy/Browser/wwwtax.cgi?mode=Info&amp;id=173247&amp;lvl=3&amp;lin=f&amp;keep=1&amp;srchmode=1&amp;unlock","Echeneis naucrates")</f>
        <v>Echeneis naucrates</v>
      </c>
      <c r="H653" t="s">
        <v>588</v>
      </c>
      <c r="I653" t="str">
        <f>HYPERLINK("http://www.ncbi.nlm.nih.gov/protein/XP_029366833.1","fatty acid-binding protein, liver")</f>
        <v>fatty acid-binding protein, liver</v>
      </c>
      <c r="J653" t="s">
        <v>1390</v>
      </c>
      <c r="K653" t="s">
        <v>25</v>
      </c>
      <c r="L653">
        <v>50</v>
      </c>
      <c r="M653" t="s">
        <v>1379</v>
      </c>
      <c r="N653" t="s">
        <v>25</v>
      </c>
      <c r="O653" t="s">
        <v>1355</v>
      </c>
      <c r="P653" t="s">
        <v>25</v>
      </c>
      <c r="Q653">
        <v>117.148</v>
      </c>
      <c r="R653" t="s">
        <v>25</v>
      </c>
      <c r="S653" t="s">
        <v>25</v>
      </c>
    </row>
    <row r="654" spans="1:19" x14ac:dyDescent="0.25">
      <c r="A654">
        <v>6</v>
      </c>
      <c r="B654" t="s">
        <v>384</v>
      </c>
      <c r="C654" t="str">
        <f>HYPERLINK("http://www.ncbi.nlm.nih.gov/protein/XP_028313810.1","XP_028313810.1")</f>
        <v>XP_028313810.1</v>
      </c>
      <c r="D654">
        <v>43564</v>
      </c>
      <c r="E654" t="str">
        <f>HYPERLINK("http://www.ncbi.nlm.nih.gov/Taxonomy/Browser/wwwtax.cgi?mode=Info&amp;id=441366&amp;lvl=3&amp;lin=f&amp;keep=1&amp;srchmode=1&amp;unlock","441366")</f>
        <v>441366</v>
      </c>
      <c r="F654" t="s">
        <v>384</v>
      </c>
      <c r="G654" t="str">
        <f>HYPERLINK("http://www.ncbi.nlm.nih.gov/Taxonomy/Browser/wwwtax.cgi?mode=Info&amp;id=441366&amp;lvl=3&amp;lin=f&amp;keep=1&amp;srchmode=1&amp;unlock","Gouania willdenowi")</f>
        <v>Gouania willdenowi</v>
      </c>
      <c r="H654" t="s">
        <v>586</v>
      </c>
      <c r="I654" t="str">
        <f>HYPERLINK("http://www.ncbi.nlm.nih.gov/protein/XP_028313810.1","fatty acid-binding protein, liver")</f>
        <v>fatty acid-binding protein, liver</v>
      </c>
      <c r="J654" t="s">
        <v>1390</v>
      </c>
      <c r="K654" t="s">
        <v>25</v>
      </c>
      <c r="L654">
        <v>50</v>
      </c>
      <c r="M654" t="s">
        <v>1379</v>
      </c>
      <c r="N654" t="s">
        <v>25</v>
      </c>
      <c r="O654" t="s">
        <v>1355</v>
      </c>
      <c r="P654" t="s">
        <v>25</v>
      </c>
      <c r="Q654">
        <v>117.148</v>
      </c>
      <c r="R654" t="s">
        <v>25</v>
      </c>
      <c r="S654" t="s">
        <v>25</v>
      </c>
    </row>
    <row r="655" spans="1:19" x14ac:dyDescent="0.25">
      <c r="A655">
        <v>6</v>
      </c>
      <c r="B655" t="s">
        <v>384</v>
      </c>
      <c r="C655" t="str">
        <f>HYPERLINK("http://www.ncbi.nlm.nih.gov/protein/XP_029019510.1","XP_029019510.1")</f>
        <v>XP_029019510.1</v>
      </c>
      <c r="D655">
        <v>49355</v>
      </c>
      <c r="E655" t="str">
        <f>HYPERLINK("http://www.ncbi.nlm.nih.gov/Taxonomy/Browser/wwwtax.cgi?mode=Info&amp;id=158456&amp;lvl=3&amp;lin=f&amp;keep=1&amp;srchmode=1&amp;unlock","158456")</f>
        <v>158456</v>
      </c>
      <c r="F655" t="s">
        <v>384</v>
      </c>
      <c r="G655" t="str">
        <f>HYPERLINK("http://www.ncbi.nlm.nih.gov/Taxonomy/Browser/wwwtax.cgi?mode=Info&amp;id=158456&amp;lvl=3&amp;lin=f&amp;keep=1&amp;srchmode=1&amp;unlock","Betta splendens")</f>
        <v>Betta splendens</v>
      </c>
      <c r="H655" t="s">
        <v>592</v>
      </c>
      <c r="I655" t="str">
        <f>HYPERLINK("http://www.ncbi.nlm.nih.gov/protein/XP_029019510.1","fatty acid-binding protein, liver-type-like")</f>
        <v>fatty acid-binding protein, liver-type-like</v>
      </c>
      <c r="J655" t="s">
        <v>1390</v>
      </c>
      <c r="K655" t="s">
        <v>25</v>
      </c>
      <c r="L655">
        <v>50</v>
      </c>
      <c r="M655" t="s">
        <v>1379</v>
      </c>
      <c r="N655" t="s">
        <v>25</v>
      </c>
      <c r="O655" t="s">
        <v>1355</v>
      </c>
      <c r="P655" t="s">
        <v>25</v>
      </c>
      <c r="Q655">
        <v>117.148</v>
      </c>
      <c r="R655" t="s">
        <v>25</v>
      </c>
      <c r="S655" t="s">
        <v>25</v>
      </c>
    </row>
    <row r="656" spans="1:19" x14ac:dyDescent="0.25">
      <c r="A656">
        <v>6</v>
      </c>
      <c r="B656" t="s">
        <v>384</v>
      </c>
      <c r="C656" t="str">
        <f>HYPERLINK("http://www.ncbi.nlm.nih.gov/protein/NP_001187954.1","NP_001187954.1")</f>
        <v>NP_001187954.1</v>
      </c>
      <c r="D656">
        <v>51410</v>
      </c>
      <c r="E656" t="str">
        <f>HYPERLINK("http://www.ncbi.nlm.nih.gov/Taxonomy/Browser/wwwtax.cgi?mode=Info&amp;id=7998&amp;lvl=3&amp;lin=f&amp;keep=1&amp;srchmode=1&amp;unlock","7998")</f>
        <v>7998</v>
      </c>
      <c r="F656" t="s">
        <v>384</v>
      </c>
      <c r="G656" t="str">
        <f>HYPERLINK("http://www.ncbi.nlm.nih.gov/Taxonomy/Browser/wwwtax.cgi?mode=Info&amp;id=7998&amp;lvl=3&amp;lin=f&amp;keep=1&amp;srchmode=1&amp;unlock","Ictalurus punctatus")</f>
        <v>Ictalurus punctatus</v>
      </c>
      <c r="H656" t="s">
        <v>593</v>
      </c>
      <c r="I656" t="str">
        <f>HYPERLINK("http://www.ncbi.nlm.nih.gov/protein/NP_001187954.1","fatty acid-binding protein, liver")</f>
        <v>fatty acid-binding protein, liver</v>
      </c>
      <c r="J656" t="s">
        <v>1390</v>
      </c>
      <c r="K656" t="s">
        <v>25</v>
      </c>
      <c r="L656">
        <v>50</v>
      </c>
      <c r="M656" t="s">
        <v>1379</v>
      </c>
      <c r="N656" t="s">
        <v>25</v>
      </c>
      <c r="O656" t="s">
        <v>1355</v>
      </c>
      <c r="P656" t="s">
        <v>25</v>
      </c>
      <c r="Q656">
        <v>117.148</v>
      </c>
      <c r="R656" t="s">
        <v>25</v>
      </c>
      <c r="S656" t="s">
        <v>25</v>
      </c>
    </row>
    <row r="657" spans="1:19" x14ac:dyDescent="0.25">
      <c r="A657">
        <v>6</v>
      </c>
      <c r="B657" t="s">
        <v>384</v>
      </c>
      <c r="C657" t="str">
        <f>HYPERLINK("http://www.ncbi.nlm.nih.gov/protein/XP_023250027.1","XP_023250027.1")</f>
        <v>XP_023250027.1</v>
      </c>
      <c r="D657">
        <v>38822</v>
      </c>
      <c r="E657" t="str">
        <f>HYPERLINK("http://www.ncbi.nlm.nih.gov/Taxonomy/Browser/wwwtax.cgi?mode=Info&amp;id=1841481&amp;lvl=3&amp;lin=f&amp;keep=1&amp;srchmode=1&amp;unlock","1841481")</f>
        <v>1841481</v>
      </c>
      <c r="F657" t="s">
        <v>384</v>
      </c>
      <c r="G657" t="str">
        <f>HYPERLINK("http://www.ncbi.nlm.nih.gov/Taxonomy/Browser/wwwtax.cgi?mode=Info&amp;id=1841481&amp;lvl=3&amp;lin=f&amp;keep=1&amp;srchmode=1&amp;unlock","Seriola lalandi dorsalis")</f>
        <v>Seriola lalandi dorsalis</v>
      </c>
      <c r="H657" t="s">
        <v>591</v>
      </c>
      <c r="I657" t="str">
        <f>HYPERLINK("http://www.ncbi.nlm.nih.gov/protein/XP_023250027.1","fatty acid-binding protein, liver")</f>
        <v>fatty acid-binding protein, liver</v>
      </c>
      <c r="J657" t="s">
        <v>1390</v>
      </c>
      <c r="K657" t="s">
        <v>25</v>
      </c>
      <c r="L657">
        <v>50</v>
      </c>
      <c r="M657" t="s">
        <v>1379</v>
      </c>
      <c r="N657" t="s">
        <v>25</v>
      </c>
      <c r="O657" t="s">
        <v>1355</v>
      </c>
      <c r="P657" t="s">
        <v>25</v>
      </c>
      <c r="Q657">
        <v>117.148</v>
      </c>
      <c r="R657" t="s">
        <v>25</v>
      </c>
      <c r="S657" t="s">
        <v>25</v>
      </c>
    </row>
    <row r="658" spans="1:19" x14ac:dyDescent="0.25">
      <c r="A658">
        <v>6</v>
      </c>
      <c r="B658" t="s">
        <v>384</v>
      </c>
      <c r="C658" t="str">
        <f>HYPERLINK("http://www.ncbi.nlm.nih.gov/protein/XP_033828885.1","XP_033828885.1")</f>
        <v>XP_033828885.1</v>
      </c>
      <c r="D658">
        <v>27762</v>
      </c>
      <c r="E658" t="str">
        <f>HYPERLINK("http://www.ncbi.nlm.nih.gov/Taxonomy/Browser/wwwtax.cgi?mode=Info&amp;id=409849&amp;lvl=3&amp;lin=f&amp;keep=1&amp;srchmode=1&amp;unlock","409849")</f>
        <v>409849</v>
      </c>
      <c r="F658" t="s">
        <v>384</v>
      </c>
      <c r="G658" t="str">
        <f>HYPERLINK("http://www.ncbi.nlm.nih.gov/Taxonomy/Browser/wwwtax.cgi?mode=Info&amp;id=409849&amp;lvl=3&amp;lin=f&amp;keep=1&amp;srchmode=1&amp;unlock","Periophthalmus magnuspinnatus")</f>
        <v>Periophthalmus magnuspinnatus</v>
      </c>
      <c r="H658" t="s">
        <v>594</v>
      </c>
      <c r="I658" t="str">
        <f>HYPERLINK("http://www.ncbi.nlm.nih.gov/protein/XP_033828885.1","fatty acid-binding protein, liver-type-like")</f>
        <v>fatty acid-binding protein, liver-type-like</v>
      </c>
      <c r="J658" t="s">
        <v>1390</v>
      </c>
      <c r="K658" t="s">
        <v>25</v>
      </c>
      <c r="L658">
        <v>50</v>
      </c>
      <c r="M658" t="s">
        <v>1379</v>
      </c>
      <c r="N658" t="s">
        <v>25</v>
      </c>
      <c r="O658" t="s">
        <v>1355</v>
      </c>
      <c r="P658" t="s">
        <v>25</v>
      </c>
      <c r="Q658">
        <v>117.148</v>
      </c>
      <c r="R658" t="s">
        <v>25</v>
      </c>
      <c r="S658" t="s">
        <v>25</v>
      </c>
    </row>
    <row r="659" spans="1:19" x14ac:dyDescent="0.25">
      <c r="A659">
        <v>6</v>
      </c>
      <c r="B659" t="s">
        <v>384</v>
      </c>
      <c r="C659" t="str">
        <f>HYPERLINK("http://www.ncbi.nlm.nih.gov/protein/XP_035496657.1","XP_035496657.1")</f>
        <v>XP_035496657.1</v>
      </c>
      <c r="D659">
        <v>101851</v>
      </c>
      <c r="E659" t="str">
        <f>HYPERLINK("http://www.ncbi.nlm.nih.gov/Taxonomy/Browser/wwwtax.cgi?mode=Info&amp;id=52904&amp;lvl=3&amp;lin=f&amp;keep=1&amp;srchmode=1&amp;unlock","52904")</f>
        <v>52904</v>
      </c>
      <c r="F659" t="s">
        <v>384</v>
      </c>
      <c r="G659" t="str">
        <f>HYPERLINK("http://www.ncbi.nlm.nih.gov/Taxonomy/Browser/wwwtax.cgi?mode=Info&amp;id=52904&amp;lvl=3&amp;lin=f&amp;keep=1&amp;srchmode=1&amp;unlock","Scophthalmus maximus")</f>
        <v>Scophthalmus maximus</v>
      </c>
      <c r="H659" t="s">
        <v>595</v>
      </c>
      <c r="I659" t="str">
        <f>HYPERLINK("http://www.ncbi.nlm.nih.gov/protein/XP_035496657.1","fatty acid-binding protein, liver-type-like")</f>
        <v>fatty acid-binding protein, liver-type-like</v>
      </c>
      <c r="J659" t="s">
        <v>1390</v>
      </c>
      <c r="K659" t="s">
        <v>25</v>
      </c>
      <c r="L659">
        <v>50</v>
      </c>
      <c r="M659" t="s">
        <v>1379</v>
      </c>
      <c r="N659" t="s">
        <v>25</v>
      </c>
      <c r="O659" t="s">
        <v>1355</v>
      </c>
      <c r="P659" t="s">
        <v>25</v>
      </c>
      <c r="Q659">
        <v>117.148</v>
      </c>
      <c r="R659" t="s">
        <v>25</v>
      </c>
      <c r="S659" t="s">
        <v>25</v>
      </c>
    </row>
    <row r="660" spans="1:19" x14ac:dyDescent="0.25">
      <c r="A660">
        <v>6</v>
      </c>
      <c r="B660" t="s">
        <v>384</v>
      </c>
      <c r="C660" t="str">
        <f>HYPERLINK("http://www.ncbi.nlm.nih.gov/protein/XP_015232611.1","XP_015232611.1")</f>
        <v>XP_015232611.1</v>
      </c>
      <c r="D660">
        <v>36661</v>
      </c>
      <c r="E660" t="str">
        <f>HYPERLINK("http://www.ncbi.nlm.nih.gov/Taxonomy/Browser/wwwtax.cgi?mode=Info&amp;id=28743&amp;lvl=3&amp;lin=f&amp;keep=1&amp;srchmode=1&amp;unlock","28743")</f>
        <v>28743</v>
      </c>
      <c r="F660" t="s">
        <v>384</v>
      </c>
      <c r="G660" t="str">
        <f>HYPERLINK("http://www.ncbi.nlm.nih.gov/Taxonomy/Browser/wwwtax.cgi?mode=Info&amp;id=28743&amp;lvl=3&amp;lin=f&amp;keep=1&amp;srchmode=1&amp;unlock","Cyprinodon variegatus")</f>
        <v>Cyprinodon variegatus</v>
      </c>
      <c r="H660" t="s">
        <v>596</v>
      </c>
      <c r="I660" t="str">
        <f>HYPERLINK("http://www.ncbi.nlm.nih.gov/protein/XP_015232611.1","PREDICTED: fatty acid-binding protein, liver-type-like")</f>
        <v>PREDICTED: fatty acid-binding protein, liver-type-like</v>
      </c>
      <c r="J660" t="s">
        <v>1390</v>
      </c>
      <c r="K660" t="s">
        <v>25</v>
      </c>
      <c r="L660">
        <v>50</v>
      </c>
      <c r="M660" t="s">
        <v>1379</v>
      </c>
      <c r="N660" t="s">
        <v>25</v>
      </c>
      <c r="O660" t="s">
        <v>1355</v>
      </c>
      <c r="P660" t="s">
        <v>25</v>
      </c>
      <c r="Q660">
        <v>117.148</v>
      </c>
      <c r="R660" t="s">
        <v>25</v>
      </c>
      <c r="S660" t="s">
        <v>25</v>
      </c>
    </row>
    <row r="661" spans="1:19" x14ac:dyDescent="0.25">
      <c r="A661">
        <v>6</v>
      </c>
      <c r="B661" t="s">
        <v>384</v>
      </c>
      <c r="C661" t="str">
        <f>HYPERLINK("http://www.ncbi.nlm.nih.gov/protein/XP_038163975.1","XP_038163975.1")</f>
        <v>XP_038163975.1</v>
      </c>
      <c r="D661">
        <v>42390</v>
      </c>
      <c r="E661" t="str">
        <f>HYPERLINK("http://www.ncbi.nlm.nih.gov/Taxonomy/Browser/wwwtax.cgi?mode=Info&amp;id=77115&amp;lvl=3&amp;lin=f&amp;keep=1&amp;srchmode=1&amp;unlock","77115")</f>
        <v>77115</v>
      </c>
      <c r="F661" t="s">
        <v>384</v>
      </c>
      <c r="G661" t="str">
        <f>HYPERLINK("http://www.ncbi.nlm.nih.gov/Taxonomy/Browser/wwwtax.cgi?mode=Info&amp;id=77115&amp;lvl=3&amp;lin=f&amp;keep=1&amp;srchmode=1&amp;unlock","Cyprinodon tularosa")</f>
        <v>Cyprinodon tularosa</v>
      </c>
      <c r="H661" t="s">
        <v>597</v>
      </c>
      <c r="I661" t="str">
        <f>HYPERLINK("http://www.ncbi.nlm.nih.gov/protein/XP_038163975.1","fatty acid-binding protein, liver-type-like isoform X1")</f>
        <v>fatty acid-binding protein, liver-type-like isoform X1</v>
      </c>
      <c r="J661" t="s">
        <v>1390</v>
      </c>
      <c r="K661" t="s">
        <v>25</v>
      </c>
      <c r="L661">
        <v>50</v>
      </c>
      <c r="M661" t="s">
        <v>1379</v>
      </c>
      <c r="N661" t="s">
        <v>25</v>
      </c>
      <c r="O661" t="s">
        <v>1355</v>
      </c>
      <c r="P661" t="s">
        <v>25</v>
      </c>
      <c r="Q661">
        <v>117.148</v>
      </c>
      <c r="R661" t="s">
        <v>25</v>
      </c>
      <c r="S661" t="s">
        <v>25</v>
      </c>
    </row>
    <row r="662" spans="1:19" x14ac:dyDescent="0.25">
      <c r="A662">
        <v>6</v>
      </c>
      <c r="B662" t="s">
        <v>384</v>
      </c>
      <c r="C662" t="str">
        <f>HYPERLINK("http://www.ncbi.nlm.nih.gov/protein/XP_010795638.1","XP_010795638.1")</f>
        <v>XP_010795638.1</v>
      </c>
      <c r="D662">
        <v>32359</v>
      </c>
      <c r="E662" t="str">
        <f>HYPERLINK("http://www.ncbi.nlm.nih.gov/Taxonomy/Browser/wwwtax.cgi?mode=Info&amp;id=8208&amp;lvl=3&amp;lin=f&amp;keep=1&amp;srchmode=1&amp;unlock","8208")</f>
        <v>8208</v>
      </c>
      <c r="F662" t="s">
        <v>384</v>
      </c>
      <c r="G662" t="str">
        <f>HYPERLINK("http://www.ncbi.nlm.nih.gov/Taxonomy/Browser/wwwtax.cgi?mode=Info&amp;id=8208&amp;lvl=3&amp;lin=f&amp;keep=1&amp;srchmode=1&amp;unlock","Notothenia coriiceps")</f>
        <v>Notothenia coriiceps</v>
      </c>
      <c r="H662" t="s">
        <v>598</v>
      </c>
      <c r="I662" t="str">
        <f>HYPERLINK("http://www.ncbi.nlm.nih.gov/protein/XP_010795638.1","PREDICTED: fatty acid-binding protein, liver")</f>
        <v>PREDICTED: fatty acid-binding protein, liver</v>
      </c>
      <c r="J662" t="s">
        <v>1390</v>
      </c>
      <c r="K662" t="s">
        <v>25</v>
      </c>
      <c r="L662">
        <v>50</v>
      </c>
      <c r="M662" t="s">
        <v>1379</v>
      </c>
      <c r="N662" t="s">
        <v>25</v>
      </c>
      <c r="O662" t="s">
        <v>1355</v>
      </c>
      <c r="P662" t="s">
        <v>25</v>
      </c>
      <c r="Q662">
        <v>117.148</v>
      </c>
      <c r="R662" t="s">
        <v>25</v>
      </c>
      <c r="S662" t="s">
        <v>25</v>
      </c>
    </row>
    <row r="663" spans="1:19" x14ac:dyDescent="0.25">
      <c r="A663">
        <v>6</v>
      </c>
      <c r="B663" t="s">
        <v>384</v>
      </c>
      <c r="C663" t="str">
        <f>HYPERLINK("http://www.ncbi.nlm.nih.gov/protein/XP_014889721.1","XP_014889721.1")</f>
        <v>XP_014889721.1</v>
      </c>
      <c r="D663">
        <v>47232</v>
      </c>
      <c r="E663" t="str">
        <f>HYPERLINK("http://www.ncbi.nlm.nih.gov/Taxonomy/Browser/wwwtax.cgi?mode=Info&amp;id=48699&amp;lvl=3&amp;lin=f&amp;keep=1&amp;srchmode=1&amp;unlock","48699")</f>
        <v>48699</v>
      </c>
      <c r="F663" t="s">
        <v>384</v>
      </c>
      <c r="G663" t="str">
        <f>HYPERLINK("http://www.ncbi.nlm.nih.gov/Taxonomy/Browser/wwwtax.cgi?mode=Info&amp;id=48699&amp;lvl=3&amp;lin=f&amp;keep=1&amp;srchmode=1&amp;unlock","Poecilia latipinna")</f>
        <v>Poecilia latipinna</v>
      </c>
      <c r="H663" t="s">
        <v>600</v>
      </c>
      <c r="I663" t="str">
        <f>HYPERLINK("http://www.ncbi.nlm.nih.gov/protein/XP_014889721.1","PREDICTED: fatty acid-binding protein, liver")</f>
        <v>PREDICTED: fatty acid-binding protein, liver</v>
      </c>
      <c r="J663" t="s">
        <v>1390</v>
      </c>
      <c r="K663" t="s">
        <v>25</v>
      </c>
      <c r="L663">
        <v>50</v>
      </c>
      <c r="M663" t="s">
        <v>1379</v>
      </c>
      <c r="N663" t="s">
        <v>25</v>
      </c>
      <c r="O663" t="s">
        <v>1355</v>
      </c>
      <c r="P663" t="s">
        <v>25</v>
      </c>
      <c r="Q663">
        <v>117.148</v>
      </c>
      <c r="R663" t="s">
        <v>25</v>
      </c>
      <c r="S663" t="s">
        <v>25</v>
      </c>
    </row>
    <row r="664" spans="1:19" x14ac:dyDescent="0.25">
      <c r="A664">
        <v>6</v>
      </c>
      <c r="B664" t="s">
        <v>384</v>
      </c>
      <c r="C664" t="str">
        <f>HYPERLINK("http://www.ncbi.nlm.nih.gov/protein/XP_033974371.1","XP_033974371.1")</f>
        <v>XP_033974371.1</v>
      </c>
      <c r="D664">
        <v>41297</v>
      </c>
      <c r="E664" t="str">
        <f>HYPERLINK("http://www.ncbi.nlm.nih.gov/Taxonomy/Browser/wwwtax.cgi?mode=Info&amp;id=40690&amp;lvl=3&amp;lin=f&amp;keep=1&amp;srchmode=1&amp;unlock","40690")</f>
        <v>40690</v>
      </c>
      <c r="F664" t="s">
        <v>384</v>
      </c>
      <c r="G664" t="str">
        <f>HYPERLINK("http://www.ncbi.nlm.nih.gov/Taxonomy/Browser/wwwtax.cgi?mode=Info&amp;id=40690&amp;lvl=3&amp;lin=f&amp;keep=1&amp;srchmode=1&amp;unlock","Trematomus bernacchii")</f>
        <v>Trematomus bernacchii</v>
      </c>
      <c r="H664" t="s">
        <v>603</v>
      </c>
      <c r="I664" t="str">
        <f>HYPERLINK("http://www.ncbi.nlm.nih.gov/protein/XP_033974371.1","fatty acid-binding protein, liver-type-like")</f>
        <v>fatty acid-binding protein, liver-type-like</v>
      </c>
      <c r="J664" t="s">
        <v>1390</v>
      </c>
      <c r="K664" t="s">
        <v>25</v>
      </c>
      <c r="L664">
        <v>50</v>
      </c>
      <c r="M664" t="s">
        <v>1379</v>
      </c>
      <c r="N664" t="s">
        <v>25</v>
      </c>
      <c r="O664" t="s">
        <v>1355</v>
      </c>
      <c r="P664" t="s">
        <v>25</v>
      </c>
      <c r="Q664">
        <v>117.148</v>
      </c>
      <c r="R664" t="s">
        <v>25</v>
      </c>
      <c r="S664" t="s">
        <v>25</v>
      </c>
    </row>
    <row r="665" spans="1:19" x14ac:dyDescent="0.25">
      <c r="A665">
        <v>6</v>
      </c>
      <c r="B665" t="s">
        <v>384</v>
      </c>
      <c r="C665" t="str">
        <f>HYPERLINK("http://www.ncbi.nlm.nih.gov/protein/XP_040051500.1","XP_040051500.1")</f>
        <v>XP_040051500.1</v>
      </c>
      <c r="D665">
        <v>45331</v>
      </c>
      <c r="E665" t="str">
        <f>HYPERLINK("http://www.ncbi.nlm.nih.gov/Taxonomy/Browser/wwwtax.cgi?mode=Info&amp;id=481459&amp;lvl=3&amp;lin=f&amp;keep=1&amp;srchmode=1&amp;unlock","481459")</f>
        <v>481459</v>
      </c>
      <c r="F665" t="s">
        <v>384</v>
      </c>
      <c r="G665" t="str">
        <f>HYPERLINK("http://www.ncbi.nlm.nih.gov/Taxonomy/Browser/wwwtax.cgi?mode=Info&amp;id=481459&amp;lvl=3&amp;lin=f&amp;keep=1&amp;srchmode=1&amp;unlock","Gasterosteus aculeatus aculeatus")</f>
        <v>Gasterosteus aculeatus aculeatus</v>
      </c>
      <c r="H665" t="s">
        <v>605</v>
      </c>
      <c r="I665" t="str">
        <f>HYPERLINK("http://www.ncbi.nlm.nih.gov/protein/XP_040051500.1","fatty acid-binding protein, liver-type-like")</f>
        <v>fatty acid-binding protein, liver-type-like</v>
      </c>
      <c r="J665" t="s">
        <v>1390</v>
      </c>
      <c r="K665" t="s">
        <v>25</v>
      </c>
      <c r="L665">
        <v>50</v>
      </c>
      <c r="M665" t="s">
        <v>1379</v>
      </c>
      <c r="N665" t="s">
        <v>25</v>
      </c>
      <c r="O665" t="s">
        <v>1355</v>
      </c>
      <c r="P665" t="s">
        <v>25</v>
      </c>
      <c r="Q665">
        <v>117.148</v>
      </c>
      <c r="R665" t="s">
        <v>25</v>
      </c>
      <c r="S665" t="s">
        <v>25</v>
      </c>
    </row>
    <row r="666" spans="1:19" x14ac:dyDescent="0.25">
      <c r="A666">
        <v>6</v>
      </c>
      <c r="B666" t="s">
        <v>384</v>
      </c>
      <c r="C666" t="str">
        <f>HYPERLINK("http://www.ncbi.nlm.nih.gov/protein/XP_026855613.1","XP_026855613.1")</f>
        <v>XP_026855613.1</v>
      </c>
      <c r="D666">
        <v>45368</v>
      </c>
      <c r="E666" t="str">
        <f>HYPERLINK("http://www.ncbi.nlm.nih.gov/Taxonomy/Browser/wwwtax.cgi?mode=Info&amp;id=8005&amp;lvl=3&amp;lin=f&amp;keep=1&amp;srchmode=1&amp;unlock","8005")</f>
        <v>8005</v>
      </c>
      <c r="F666" t="s">
        <v>384</v>
      </c>
      <c r="G666" t="str">
        <f>HYPERLINK("http://www.ncbi.nlm.nih.gov/Taxonomy/Browser/wwwtax.cgi?mode=Info&amp;id=8005&amp;lvl=3&amp;lin=f&amp;keep=1&amp;srchmode=1&amp;unlock","Electrophorus electricus")</f>
        <v>Electrophorus electricus</v>
      </c>
      <c r="H666" t="s">
        <v>606</v>
      </c>
      <c r="I666" t="str">
        <f>HYPERLINK("http://www.ncbi.nlm.nih.gov/protein/XP_026855613.1","fatty acid binding protein 1-B.1")</f>
        <v>fatty acid binding protein 1-B.1</v>
      </c>
      <c r="J666" t="s">
        <v>1390</v>
      </c>
      <c r="K666" t="s">
        <v>25</v>
      </c>
      <c r="L666">
        <v>50</v>
      </c>
      <c r="M666" t="s">
        <v>1379</v>
      </c>
      <c r="N666" t="s">
        <v>25</v>
      </c>
      <c r="O666" t="s">
        <v>1355</v>
      </c>
      <c r="P666" t="s">
        <v>25</v>
      </c>
      <c r="Q666">
        <v>117.148</v>
      </c>
      <c r="R666" t="s">
        <v>25</v>
      </c>
      <c r="S666" t="s">
        <v>25</v>
      </c>
    </row>
    <row r="667" spans="1:19" x14ac:dyDescent="0.25">
      <c r="A667">
        <v>6</v>
      </c>
      <c r="B667" t="s">
        <v>384</v>
      </c>
      <c r="C667" t="str">
        <f>HYPERLINK("http://www.ncbi.nlm.nih.gov/protein/XP_037633906.1","XP_037633906.1")</f>
        <v>XP_037633906.1</v>
      </c>
      <c r="D667">
        <v>50721</v>
      </c>
      <c r="E667" t="str">
        <f>HYPERLINK("http://www.ncbi.nlm.nih.gov/Taxonomy/Browser/wwwtax.cgi?mode=Info&amp;id=72105&amp;lvl=3&amp;lin=f&amp;keep=1&amp;srchmode=1&amp;unlock","72105")</f>
        <v>72105</v>
      </c>
      <c r="F667" t="s">
        <v>384</v>
      </c>
      <c r="G667" t="str">
        <f>HYPERLINK("http://www.ncbi.nlm.nih.gov/Taxonomy/Browser/wwwtax.cgi?mode=Info&amp;id=72105&amp;lvl=3&amp;lin=f&amp;keep=1&amp;srchmode=1&amp;unlock","Sebastes umbrosus")</f>
        <v>Sebastes umbrosus</v>
      </c>
      <c r="H667" t="s">
        <v>611</v>
      </c>
      <c r="I667" t="str">
        <f>HYPERLINK("http://www.ncbi.nlm.nih.gov/protein/XP_037633906.1","fatty acid-binding protein, liver-type-like")</f>
        <v>fatty acid-binding protein, liver-type-like</v>
      </c>
      <c r="J667" t="s">
        <v>1390</v>
      </c>
      <c r="K667" t="s">
        <v>25</v>
      </c>
      <c r="L667">
        <v>50</v>
      </c>
      <c r="M667" t="s">
        <v>1379</v>
      </c>
      <c r="N667" t="s">
        <v>25</v>
      </c>
      <c r="O667" t="s">
        <v>1355</v>
      </c>
      <c r="P667" t="s">
        <v>25</v>
      </c>
      <c r="Q667">
        <v>117.148</v>
      </c>
      <c r="R667" t="s">
        <v>25</v>
      </c>
      <c r="S667" t="s">
        <v>25</v>
      </c>
    </row>
    <row r="668" spans="1:19" x14ac:dyDescent="0.25">
      <c r="A668">
        <v>6</v>
      </c>
      <c r="B668" t="s">
        <v>384</v>
      </c>
      <c r="C668" t="str">
        <f>HYPERLINK("http://www.ncbi.nlm.nih.gov/protein/KAA0714485.1","KAA0714485.1")</f>
        <v>KAA0714485.1</v>
      </c>
      <c r="D668">
        <v>24328</v>
      </c>
      <c r="E668" t="str">
        <f>HYPERLINK("http://www.ncbi.nlm.nih.gov/Taxonomy/Browser/wwwtax.cgi?mode=Info&amp;id=1572043&amp;lvl=3&amp;lin=f&amp;keep=1&amp;srchmode=1&amp;unlock","1572043")</f>
        <v>1572043</v>
      </c>
      <c r="F668" t="s">
        <v>384</v>
      </c>
      <c r="G668" t="str">
        <f>HYPERLINK("http://www.ncbi.nlm.nih.gov/Taxonomy/Browser/wwwtax.cgi?mode=Info&amp;id=1572043&amp;lvl=3&amp;lin=f&amp;keep=1&amp;srchmode=1&amp;unlock","Triplophysa tibetana")</f>
        <v>Triplophysa tibetana</v>
      </c>
      <c r="H668" t="s">
        <v>612</v>
      </c>
      <c r="I668" t="str">
        <f>HYPERLINK("http://www.ncbi.nlm.nih.gov/protein/KAA0714485.1","Fatty acid binding protein 1-B.1")</f>
        <v>Fatty acid binding protein 1-B.1</v>
      </c>
      <c r="J668" t="s">
        <v>1390</v>
      </c>
      <c r="K668" t="s">
        <v>25</v>
      </c>
      <c r="L668">
        <v>50</v>
      </c>
      <c r="M668" t="s">
        <v>1379</v>
      </c>
      <c r="N668" t="s">
        <v>25</v>
      </c>
      <c r="O668" t="s">
        <v>1355</v>
      </c>
      <c r="P668" t="s">
        <v>25</v>
      </c>
      <c r="Q668">
        <v>117.148</v>
      </c>
      <c r="R668" t="s">
        <v>25</v>
      </c>
      <c r="S668" t="s">
        <v>25</v>
      </c>
    </row>
    <row r="669" spans="1:19" x14ac:dyDescent="0.25">
      <c r="A669">
        <v>6</v>
      </c>
      <c r="B669" t="s">
        <v>384</v>
      </c>
      <c r="C669" t="str">
        <f>HYPERLINK("http://www.ncbi.nlm.nih.gov/protein/XP_034025367.1","XP_034025367.1")</f>
        <v>XP_034025367.1</v>
      </c>
      <c r="D669">
        <v>36364</v>
      </c>
      <c r="E669" t="str">
        <f>HYPERLINK("http://www.ncbi.nlm.nih.gov/Taxonomy/Browser/wwwtax.cgi?mode=Info&amp;id=390379&amp;lvl=3&amp;lin=f&amp;keep=1&amp;srchmode=1&amp;unlock","390379")</f>
        <v>390379</v>
      </c>
      <c r="F669" t="s">
        <v>384</v>
      </c>
      <c r="G669" t="str">
        <f>HYPERLINK("http://www.ncbi.nlm.nih.gov/Taxonomy/Browser/wwwtax.cgi?mode=Info&amp;id=390379&amp;lvl=3&amp;lin=f&amp;keep=1&amp;srchmode=1&amp;unlock","Thalassophryne amazonica")</f>
        <v>Thalassophryne amazonica</v>
      </c>
      <c r="H669" t="s">
        <v>609</v>
      </c>
      <c r="I669" t="str">
        <f>HYPERLINK("http://www.ncbi.nlm.nih.gov/protein/XP_034025367.1","fatty acid-binding protein, liver-type-like")</f>
        <v>fatty acid-binding protein, liver-type-like</v>
      </c>
      <c r="J669" t="s">
        <v>1390</v>
      </c>
      <c r="K669" t="s">
        <v>25</v>
      </c>
      <c r="L669">
        <v>50</v>
      </c>
      <c r="M669" t="s">
        <v>1379</v>
      </c>
      <c r="N669" t="s">
        <v>25</v>
      </c>
      <c r="O669" t="s">
        <v>1355</v>
      </c>
      <c r="P669" t="s">
        <v>25</v>
      </c>
      <c r="Q669">
        <v>117.148</v>
      </c>
      <c r="R669" t="s">
        <v>25</v>
      </c>
      <c r="S669" t="s">
        <v>25</v>
      </c>
    </row>
    <row r="670" spans="1:19" x14ac:dyDescent="0.25">
      <c r="A670">
        <v>6</v>
      </c>
      <c r="B670" t="s">
        <v>384</v>
      </c>
      <c r="C670" t="str">
        <f>HYPERLINK("http://www.ncbi.nlm.nih.gov/protein/XP_007557616.1","XP_007557616.1")</f>
        <v>XP_007557616.1</v>
      </c>
      <c r="D670">
        <v>49656</v>
      </c>
      <c r="E670" t="str">
        <f>HYPERLINK("http://www.ncbi.nlm.nih.gov/Taxonomy/Browser/wwwtax.cgi?mode=Info&amp;id=48698&amp;lvl=3&amp;lin=f&amp;keep=1&amp;srchmode=1&amp;unlock","48698")</f>
        <v>48698</v>
      </c>
      <c r="F670" t="s">
        <v>384</v>
      </c>
      <c r="G670" t="str">
        <f>HYPERLINK("http://www.ncbi.nlm.nih.gov/Taxonomy/Browser/wwwtax.cgi?mode=Info&amp;id=48698&amp;lvl=3&amp;lin=f&amp;keep=1&amp;srchmode=1&amp;unlock","Poecilia formosa")</f>
        <v>Poecilia formosa</v>
      </c>
      <c r="H670" t="s">
        <v>613</v>
      </c>
      <c r="I670" t="str">
        <f>HYPERLINK("http://www.ncbi.nlm.nih.gov/protein/XP_007557616.1","PREDICTED: fatty acid-binding protein, liver-type-like")</f>
        <v>PREDICTED: fatty acid-binding protein, liver-type-like</v>
      </c>
      <c r="J670" t="s">
        <v>1390</v>
      </c>
      <c r="K670" t="s">
        <v>25</v>
      </c>
      <c r="L670">
        <v>50</v>
      </c>
      <c r="M670" t="s">
        <v>1379</v>
      </c>
      <c r="N670" t="s">
        <v>25</v>
      </c>
      <c r="O670" t="s">
        <v>1355</v>
      </c>
      <c r="P670" t="s">
        <v>25</v>
      </c>
      <c r="Q670">
        <v>117.148</v>
      </c>
      <c r="R670" t="s">
        <v>25</v>
      </c>
      <c r="S670" t="s">
        <v>25</v>
      </c>
    </row>
    <row r="671" spans="1:19" x14ac:dyDescent="0.25">
      <c r="A671">
        <v>6</v>
      </c>
      <c r="B671" t="s">
        <v>384</v>
      </c>
      <c r="C671" t="str">
        <f>HYPERLINK("http://www.ncbi.nlm.nih.gov/protein/XP_014862905.1","XP_014862905.1")</f>
        <v>XP_014862905.1</v>
      </c>
      <c r="D671">
        <v>47807</v>
      </c>
      <c r="E671" t="str">
        <f>HYPERLINK("http://www.ncbi.nlm.nih.gov/Taxonomy/Browser/wwwtax.cgi?mode=Info&amp;id=48701&amp;lvl=3&amp;lin=f&amp;keep=1&amp;srchmode=1&amp;unlock","48701")</f>
        <v>48701</v>
      </c>
      <c r="F671" t="s">
        <v>384</v>
      </c>
      <c r="G671" t="str">
        <f>HYPERLINK("http://www.ncbi.nlm.nih.gov/Taxonomy/Browser/wwwtax.cgi?mode=Info&amp;id=48701&amp;lvl=3&amp;lin=f&amp;keep=1&amp;srchmode=1&amp;unlock","Poecilia mexicana")</f>
        <v>Poecilia mexicana</v>
      </c>
      <c r="H671" t="s">
        <v>615</v>
      </c>
      <c r="I671" t="str">
        <f>HYPERLINK("http://www.ncbi.nlm.nih.gov/protein/XP_014862905.1","PREDICTED: fatty acid-binding protein, liver")</f>
        <v>PREDICTED: fatty acid-binding protein, liver</v>
      </c>
      <c r="J671" t="s">
        <v>1390</v>
      </c>
      <c r="K671" t="s">
        <v>25</v>
      </c>
      <c r="L671">
        <v>50</v>
      </c>
      <c r="M671" t="s">
        <v>1379</v>
      </c>
      <c r="N671" t="s">
        <v>25</v>
      </c>
      <c r="O671" t="s">
        <v>1355</v>
      </c>
      <c r="P671" t="s">
        <v>25</v>
      </c>
      <c r="Q671">
        <v>117.148</v>
      </c>
      <c r="R671" t="s">
        <v>25</v>
      </c>
      <c r="S671" t="s">
        <v>25</v>
      </c>
    </row>
    <row r="672" spans="1:19" x14ac:dyDescent="0.25">
      <c r="A672">
        <v>6</v>
      </c>
      <c r="B672" t="s">
        <v>384</v>
      </c>
      <c r="C672" t="str">
        <f>HYPERLINK("http://www.ncbi.nlm.nih.gov/protein/XP_037339533.1","XP_037339533.1")</f>
        <v>XP_037339533.1</v>
      </c>
      <c r="D672">
        <v>43840</v>
      </c>
      <c r="E672" t="str">
        <f>HYPERLINK("http://www.ncbi.nlm.nih.gov/Taxonomy/Browser/wwwtax.cgi?mode=Info&amp;id=134920&amp;lvl=3&amp;lin=f&amp;keep=1&amp;srchmode=1&amp;unlock","134920")</f>
        <v>134920</v>
      </c>
      <c r="F672" t="s">
        <v>384</v>
      </c>
      <c r="G672" t="str">
        <f>HYPERLINK("http://www.ncbi.nlm.nih.gov/Taxonomy/Browser/wwwtax.cgi?mode=Info&amp;id=134920&amp;lvl=3&amp;lin=f&amp;keep=1&amp;srchmode=1&amp;unlock","Pungitius pungitius")</f>
        <v>Pungitius pungitius</v>
      </c>
      <c r="H672" t="s">
        <v>617</v>
      </c>
      <c r="I672" t="str">
        <f>HYPERLINK("http://www.ncbi.nlm.nih.gov/protein/XP_037339533.1","fatty acid-binding protein, liver-type-like")</f>
        <v>fatty acid-binding protein, liver-type-like</v>
      </c>
      <c r="J672" t="s">
        <v>1390</v>
      </c>
      <c r="K672" t="s">
        <v>25</v>
      </c>
      <c r="L672">
        <v>50</v>
      </c>
      <c r="M672" t="s">
        <v>1379</v>
      </c>
      <c r="N672" t="s">
        <v>25</v>
      </c>
      <c r="O672" t="s">
        <v>1355</v>
      </c>
      <c r="P672" t="s">
        <v>25</v>
      </c>
      <c r="Q672">
        <v>117.148</v>
      </c>
      <c r="R672" t="s">
        <v>25</v>
      </c>
      <c r="S672" t="s">
        <v>25</v>
      </c>
    </row>
    <row r="673" spans="1:19" x14ac:dyDescent="0.25">
      <c r="A673">
        <v>6</v>
      </c>
      <c r="B673" t="s">
        <v>384</v>
      </c>
      <c r="C673" t="str">
        <f>HYPERLINK("http://www.ncbi.nlm.nih.gov/protein/XP_027022755.1","XP_027022755.1")</f>
        <v>XP_027022755.1</v>
      </c>
      <c r="D673">
        <v>47885</v>
      </c>
      <c r="E673" t="str">
        <f>HYPERLINK("http://www.ncbi.nlm.nih.gov/Taxonomy/Browser/wwwtax.cgi?mode=Info&amp;id=1234273&amp;lvl=3&amp;lin=f&amp;keep=1&amp;srchmode=1&amp;unlock","1234273")</f>
        <v>1234273</v>
      </c>
      <c r="F673" t="s">
        <v>384</v>
      </c>
      <c r="G673" t="str">
        <f>HYPERLINK("http://www.ncbi.nlm.nih.gov/Taxonomy/Browser/wwwtax.cgi?mode=Info&amp;id=1234273&amp;lvl=3&amp;lin=f&amp;keep=1&amp;srchmode=1&amp;unlock","Tachysurus fulvidraco")</f>
        <v>Tachysurus fulvidraco</v>
      </c>
      <c r="H673" t="s">
        <v>616</v>
      </c>
      <c r="I673" t="str">
        <f>HYPERLINK("http://www.ncbi.nlm.nih.gov/protein/XP_027022755.1","fatty acid-binding protein, liver")</f>
        <v>fatty acid-binding protein, liver</v>
      </c>
      <c r="J673" t="s">
        <v>1390</v>
      </c>
      <c r="K673" t="s">
        <v>25</v>
      </c>
      <c r="L673">
        <v>50</v>
      </c>
      <c r="M673" t="s">
        <v>1379</v>
      </c>
      <c r="N673" t="s">
        <v>25</v>
      </c>
      <c r="O673" t="s">
        <v>1355</v>
      </c>
      <c r="P673" t="s">
        <v>25</v>
      </c>
      <c r="Q673">
        <v>117.148</v>
      </c>
      <c r="R673" t="s">
        <v>25</v>
      </c>
      <c r="S673" t="s">
        <v>25</v>
      </c>
    </row>
    <row r="674" spans="1:19" x14ac:dyDescent="0.25">
      <c r="A674">
        <v>6</v>
      </c>
      <c r="B674" t="s">
        <v>384</v>
      </c>
      <c r="C674" t="str">
        <f>HYPERLINK("http://www.ncbi.nlm.nih.gov/protein/XP_032435134.1","XP_032435134.1")</f>
        <v>XP_032435134.1</v>
      </c>
      <c r="D674">
        <v>46452</v>
      </c>
      <c r="E674" t="str">
        <f>HYPERLINK("http://www.ncbi.nlm.nih.gov/Taxonomy/Browser/wwwtax.cgi?mode=Info&amp;id=8084&amp;lvl=3&amp;lin=f&amp;keep=1&amp;srchmode=1&amp;unlock","8084")</f>
        <v>8084</v>
      </c>
      <c r="F674" t="s">
        <v>384</v>
      </c>
      <c r="G674" t="str">
        <f>HYPERLINK("http://www.ncbi.nlm.nih.gov/Taxonomy/Browser/wwwtax.cgi?mode=Info&amp;id=8084&amp;lvl=3&amp;lin=f&amp;keep=1&amp;srchmode=1&amp;unlock","Xiphophorus hellerii")</f>
        <v>Xiphophorus hellerii</v>
      </c>
      <c r="H674" t="s">
        <v>620</v>
      </c>
      <c r="I674" t="str">
        <f>HYPERLINK("http://www.ncbi.nlm.nih.gov/protein/XP_032435134.1","fatty acid-binding protein, liver")</f>
        <v>fatty acid-binding protein, liver</v>
      </c>
      <c r="J674" t="s">
        <v>1390</v>
      </c>
      <c r="K674" t="s">
        <v>25</v>
      </c>
      <c r="L674">
        <v>50</v>
      </c>
      <c r="M674" t="s">
        <v>1379</v>
      </c>
      <c r="N674" t="s">
        <v>25</v>
      </c>
      <c r="O674" t="s">
        <v>1355</v>
      </c>
      <c r="P674" t="s">
        <v>25</v>
      </c>
      <c r="Q674">
        <v>117.148</v>
      </c>
      <c r="R674" t="s">
        <v>25</v>
      </c>
      <c r="S674" t="s">
        <v>25</v>
      </c>
    </row>
    <row r="675" spans="1:19" x14ac:dyDescent="0.25">
      <c r="A675">
        <v>6</v>
      </c>
      <c r="B675" t="s">
        <v>384</v>
      </c>
      <c r="C675" t="str">
        <f>HYPERLINK("http://www.ncbi.nlm.nih.gov/protein/XP_035291474.1","XP_035291474.1")</f>
        <v>XP_035291474.1</v>
      </c>
      <c r="D675">
        <v>58879</v>
      </c>
      <c r="E675" t="str">
        <f>HYPERLINK("http://www.ncbi.nlm.nih.gov/Taxonomy/Browser/wwwtax.cgi?mode=Info&amp;id=7936&amp;lvl=3&amp;lin=f&amp;keep=1&amp;srchmode=1&amp;unlock","7936")</f>
        <v>7936</v>
      </c>
      <c r="F675" t="s">
        <v>384</v>
      </c>
      <c r="G675" t="str">
        <f>HYPERLINK("http://www.ncbi.nlm.nih.gov/Taxonomy/Browser/wwwtax.cgi?mode=Info&amp;id=7936&amp;lvl=3&amp;lin=f&amp;keep=1&amp;srchmode=1&amp;unlock","Anguilla anguilla")</f>
        <v>Anguilla anguilla</v>
      </c>
      <c r="H675" t="s">
        <v>619</v>
      </c>
      <c r="I675" t="str">
        <f>HYPERLINK("http://www.ncbi.nlm.nih.gov/protein/XP_035291474.1","fatty acid-binding protein, liver-type-like")</f>
        <v>fatty acid-binding protein, liver-type-like</v>
      </c>
      <c r="J675" t="s">
        <v>1390</v>
      </c>
      <c r="K675" t="s">
        <v>25</v>
      </c>
      <c r="L675">
        <v>50</v>
      </c>
      <c r="M675" t="s">
        <v>1379</v>
      </c>
      <c r="N675" t="s">
        <v>25</v>
      </c>
      <c r="O675" t="s">
        <v>1355</v>
      </c>
      <c r="P675" t="s">
        <v>25</v>
      </c>
      <c r="Q675">
        <v>117.148</v>
      </c>
      <c r="R675" t="s">
        <v>25</v>
      </c>
      <c r="S675" t="s">
        <v>25</v>
      </c>
    </row>
    <row r="676" spans="1:19" x14ac:dyDescent="0.25">
      <c r="A676">
        <v>6</v>
      </c>
      <c r="B676" t="s">
        <v>384</v>
      </c>
      <c r="C676" t="str">
        <f>HYPERLINK("http://www.ncbi.nlm.nih.gov/protein/ROL44421.1","ROL44421.1")</f>
        <v>ROL44421.1</v>
      </c>
      <c r="D676">
        <v>23912</v>
      </c>
      <c r="E676" t="str">
        <f>HYPERLINK("http://www.ncbi.nlm.nih.gov/Taxonomy/Browser/wwwtax.cgi?mode=Info&amp;id=495550&amp;lvl=3&amp;lin=f&amp;keep=1&amp;srchmode=1&amp;unlock","495550")</f>
        <v>495550</v>
      </c>
      <c r="F676" t="s">
        <v>384</v>
      </c>
      <c r="G676" t="str">
        <f>HYPERLINK("http://www.ncbi.nlm.nih.gov/Taxonomy/Browser/wwwtax.cgi?mode=Info&amp;id=495550&amp;lvl=3&amp;lin=f&amp;keep=1&amp;srchmode=1&amp;unlock","Anabarilius grahami")</f>
        <v>Anabarilius grahami</v>
      </c>
      <c r="H676" t="s">
        <v>529</v>
      </c>
      <c r="I676" t="str">
        <f>HYPERLINK("http://www.ncbi.nlm.nih.gov/protein/ROL44421.1","Fatty acid binding protein 1-A, liver")</f>
        <v>Fatty acid binding protein 1-A, liver</v>
      </c>
      <c r="J676" t="s">
        <v>1390</v>
      </c>
      <c r="K676" t="s">
        <v>25</v>
      </c>
      <c r="L676">
        <v>61</v>
      </c>
      <c r="M676" t="s">
        <v>1379</v>
      </c>
      <c r="N676" t="s">
        <v>25</v>
      </c>
      <c r="O676" t="s">
        <v>1355</v>
      </c>
      <c r="P676" t="s">
        <v>25</v>
      </c>
      <c r="Q676">
        <v>117.148</v>
      </c>
      <c r="R676" t="s">
        <v>25</v>
      </c>
      <c r="S676" t="s">
        <v>25</v>
      </c>
    </row>
    <row r="677" spans="1:19" x14ac:dyDescent="0.25">
      <c r="A677">
        <v>6</v>
      </c>
      <c r="B677" t="s">
        <v>384</v>
      </c>
      <c r="C677" t="str">
        <f>HYPERLINK("http://www.ncbi.nlm.nih.gov/protein/XP_027890178.1","XP_027890178.1")</f>
        <v>XP_027890178.1</v>
      </c>
      <c r="D677">
        <v>47115</v>
      </c>
      <c r="E677" t="str">
        <f>HYPERLINK("http://www.ncbi.nlm.nih.gov/Taxonomy/Browser/wwwtax.cgi?mode=Info&amp;id=32473&amp;lvl=3&amp;lin=f&amp;keep=1&amp;srchmode=1&amp;unlock","32473")</f>
        <v>32473</v>
      </c>
      <c r="F677" t="s">
        <v>384</v>
      </c>
      <c r="G677" t="str">
        <f>HYPERLINK("http://www.ncbi.nlm.nih.gov/Taxonomy/Browser/wwwtax.cgi?mode=Info&amp;id=32473&amp;lvl=3&amp;lin=f&amp;keep=1&amp;srchmode=1&amp;unlock","Xiphophorus couchianus")</f>
        <v>Xiphophorus couchianus</v>
      </c>
      <c r="H677" t="s">
        <v>621</v>
      </c>
      <c r="I677" t="str">
        <f>HYPERLINK("http://www.ncbi.nlm.nih.gov/protein/XP_027890178.1","fatty acid-binding protein, liver")</f>
        <v>fatty acid-binding protein, liver</v>
      </c>
      <c r="J677" t="s">
        <v>1390</v>
      </c>
      <c r="K677" t="s">
        <v>25</v>
      </c>
      <c r="L677">
        <v>50</v>
      </c>
      <c r="M677" t="s">
        <v>1379</v>
      </c>
      <c r="N677" t="s">
        <v>25</v>
      </c>
      <c r="O677" t="s">
        <v>1355</v>
      </c>
      <c r="P677" t="s">
        <v>25</v>
      </c>
      <c r="Q677">
        <v>117.148</v>
      </c>
      <c r="R677" t="s">
        <v>25</v>
      </c>
      <c r="S677" t="s">
        <v>25</v>
      </c>
    </row>
    <row r="678" spans="1:19" x14ac:dyDescent="0.25">
      <c r="A678">
        <v>6</v>
      </c>
      <c r="B678" t="s">
        <v>384</v>
      </c>
      <c r="C678" t="str">
        <f>HYPERLINK("http://www.ncbi.nlm.nih.gov/protein/XP_020486114.1","XP_020486114.1")</f>
        <v>XP_020486114.1</v>
      </c>
      <c r="D678">
        <v>36766</v>
      </c>
      <c r="E678" t="str">
        <f>HYPERLINK("http://www.ncbi.nlm.nih.gov/Taxonomy/Browser/wwwtax.cgi?mode=Info&amp;id=56723&amp;lvl=3&amp;lin=f&amp;keep=1&amp;srchmode=1&amp;unlock","56723")</f>
        <v>56723</v>
      </c>
      <c r="F678" t="s">
        <v>384</v>
      </c>
      <c r="G678" t="str">
        <f>HYPERLINK("http://www.ncbi.nlm.nih.gov/Taxonomy/Browser/wwwtax.cgi?mode=Info&amp;id=56723&amp;lvl=3&amp;lin=f&amp;keep=1&amp;srchmode=1&amp;unlock","Labrus bergylta")</f>
        <v>Labrus bergylta</v>
      </c>
      <c r="H678" t="s">
        <v>623</v>
      </c>
      <c r="I678" t="str">
        <f>HYPERLINK("http://www.ncbi.nlm.nih.gov/protein/XP_020486114.1","fatty acid-binding protein, liver")</f>
        <v>fatty acid-binding protein, liver</v>
      </c>
      <c r="J678" t="s">
        <v>1390</v>
      </c>
      <c r="K678" t="s">
        <v>25</v>
      </c>
      <c r="L678">
        <v>50</v>
      </c>
      <c r="M678" t="s">
        <v>1379</v>
      </c>
      <c r="N678" t="s">
        <v>25</v>
      </c>
      <c r="O678" t="s">
        <v>1355</v>
      </c>
      <c r="P678" t="s">
        <v>25</v>
      </c>
      <c r="Q678">
        <v>117.148</v>
      </c>
      <c r="R678" t="s">
        <v>25</v>
      </c>
      <c r="S678" t="s">
        <v>25</v>
      </c>
    </row>
    <row r="679" spans="1:19" x14ac:dyDescent="0.25">
      <c r="A679">
        <v>6</v>
      </c>
      <c r="B679" t="s">
        <v>384</v>
      </c>
      <c r="C679" t="str">
        <f>HYPERLINK("http://www.ncbi.nlm.nih.gov/protein/XP_030594149.1","XP_030594149.1")</f>
        <v>XP_030594149.1</v>
      </c>
      <c r="D679">
        <v>41125</v>
      </c>
      <c r="E679" t="str">
        <f>HYPERLINK("http://www.ncbi.nlm.nih.gov/Taxonomy/Browser/wwwtax.cgi?mode=Info&amp;id=63155&amp;lvl=3&amp;lin=f&amp;keep=1&amp;srchmode=1&amp;unlock","63155")</f>
        <v>63155</v>
      </c>
      <c r="F679" t="s">
        <v>384</v>
      </c>
      <c r="G679" t="str">
        <f>HYPERLINK("http://www.ncbi.nlm.nih.gov/Taxonomy/Browser/wwwtax.cgi?mode=Info&amp;id=63155&amp;lvl=3&amp;lin=f&amp;keep=1&amp;srchmode=1&amp;unlock","Archocentrus centrarchus")</f>
        <v>Archocentrus centrarchus</v>
      </c>
      <c r="H679" t="s">
        <v>622</v>
      </c>
      <c r="I679" t="str">
        <f>HYPERLINK("http://www.ncbi.nlm.nih.gov/protein/XP_030594149.1","fatty acid-binding protein, liver")</f>
        <v>fatty acid-binding protein, liver</v>
      </c>
      <c r="J679" t="s">
        <v>1390</v>
      </c>
      <c r="K679" t="s">
        <v>25</v>
      </c>
      <c r="L679">
        <v>50</v>
      </c>
      <c r="M679" t="s">
        <v>1379</v>
      </c>
      <c r="N679" t="s">
        <v>25</v>
      </c>
      <c r="O679" t="s">
        <v>1355</v>
      </c>
      <c r="P679" t="s">
        <v>25</v>
      </c>
      <c r="Q679">
        <v>117.148</v>
      </c>
      <c r="R679" t="s">
        <v>25</v>
      </c>
      <c r="S679" t="s">
        <v>25</v>
      </c>
    </row>
    <row r="680" spans="1:19" x14ac:dyDescent="0.25">
      <c r="A680">
        <v>6</v>
      </c>
      <c r="B680" t="s">
        <v>384</v>
      </c>
      <c r="C680" t="str">
        <f>HYPERLINK("http://www.ncbi.nlm.nih.gov/protein/XP_005794978.1","XP_005794978.1")</f>
        <v>XP_005794978.1</v>
      </c>
      <c r="D680">
        <v>43734</v>
      </c>
      <c r="E680" t="str">
        <f>HYPERLINK("http://www.ncbi.nlm.nih.gov/Taxonomy/Browser/wwwtax.cgi?mode=Info&amp;id=8083&amp;lvl=3&amp;lin=f&amp;keep=1&amp;srchmode=1&amp;unlock","8083")</f>
        <v>8083</v>
      </c>
      <c r="F680" t="s">
        <v>384</v>
      </c>
      <c r="G680" t="str">
        <f>HYPERLINK("http://www.ncbi.nlm.nih.gov/Taxonomy/Browser/wwwtax.cgi?mode=Info&amp;id=8083&amp;lvl=3&amp;lin=f&amp;keep=1&amp;srchmode=1&amp;unlock","Xiphophorus maculatus")</f>
        <v>Xiphophorus maculatus</v>
      </c>
      <c r="H680" t="s">
        <v>624</v>
      </c>
      <c r="I680" t="str">
        <f>HYPERLINK("http://www.ncbi.nlm.nih.gov/protein/XP_005794978.1","fatty acid-binding protein, liver")</f>
        <v>fatty acid-binding protein, liver</v>
      </c>
      <c r="J680" t="s">
        <v>1390</v>
      </c>
      <c r="K680" t="s">
        <v>25</v>
      </c>
      <c r="L680">
        <v>50</v>
      </c>
      <c r="M680" t="s">
        <v>1379</v>
      </c>
      <c r="N680" t="s">
        <v>25</v>
      </c>
      <c r="O680" t="s">
        <v>1355</v>
      </c>
      <c r="P680" t="s">
        <v>25</v>
      </c>
      <c r="Q680">
        <v>117.148</v>
      </c>
      <c r="R680" t="s">
        <v>25</v>
      </c>
      <c r="S680" t="s">
        <v>25</v>
      </c>
    </row>
    <row r="681" spans="1:19" x14ac:dyDescent="0.25">
      <c r="A681">
        <v>6</v>
      </c>
      <c r="B681" t="s">
        <v>384</v>
      </c>
      <c r="C681" t="str">
        <f>HYPERLINK("http://www.ncbi.nlm.nih.gov/protein/XP_018979800.1","XP_018979800.1")</f>
        <v>XP_018979800.1</v>
      </c>
      <c r="D681">
        <v>116977</v>
      </c>
      <c r="E681" t="str">
        <f>HYPERLINK("http://www.ncbi.nlm.nih.gov/Taxonomy/Browser/wwwtax.cgi?mode=Info&amp;id=7962&amp;lvl=3&amp;lin=f&amp;keep=1&amp;srchmode=1&amp;unlock","7962")</f>
        <v>7962</v>
      </c>
      <c r="F681" t="s">
        <v>384</v>
      </c>
      <c r="G681" t="str">
        <f>HYPERLINK("http://www.ncbi.nlm.nih.gov/Taxonomy/Browser/wwwtax.cgi?mode=Info&amp;id=7962&amp;lvl=3&amp;lin=f&amp;keep=1&amp;srchmode=1&amp;unlock","Cyprinus carpio")</f>
        <v>Cyprinus carpio</v>
      </c>
      <c r="H681" t="s">
        <v>625</v>
      </c>
      <c r="I681" t="str">
        <f>HYPERLINK("http://www.ncbi.nlm.nih.gov/protein/XP_018979800.1","PREDICTED: fatty acid binding protein 1-B.1")</f>
        <v>PREDICTED: fatty acid binding protein 1-B.1</v>
      </c>
      <c r="J681" t="s">
        <v>1390</v>
      </c>
      <c r="K681" t="s">
        <v>25</v>
      </c>
      <c r="L681">
        <v>50</v>
      </c>
      <c r="M681" t="s">
        <v>1379</v>
      </c>
      <c r="N681" t="s">
        <v>25</v>
      </c>
      <c r="O681" t="s">
        <v>1355</v>
      </c>
      <c r="P681" t="s">
        <v>25</v>
      </c>
      <c r="Q681">
        <v>117.148</v>
      </c>
      <c r="R681" t="s">
        <v>25</v>
      </c>
      <c r="S681" t="s">
        <v>25</v>
      </c>
    </row>
    <row r="682" spans="1:19" x14ac:dyDescent="0.25">
      <c r="A682">
        <v>6</v>
      </c>
      <c r="B682" t="s">
        <v>384</v>
      </c>
      <c r="C682" t="str">
        <f>HYPERLINK("http://www.ncbi.nlm.nih.gov/protein/XP_031583207.1","XP_031583207.1")</f>
        <v>XP_031583207.1</v>
      </c>
      <c r="D682">
        <v>49810</v>
      </c>
      <c r="E682" t="str">
        <f>HYPERLINK("http://www.ncbi.nlm.nih.gov/Taxonomy/Browser/wwwtax.cgi?mode=Info&amp;id=47969&amp;lvl=3&amp;lin=f&amp;keep=1&amp;srchmode=1&amp;unlock","47969")</f>
        <v>47969</v>
      </c>
      <c r="F682" t="s">
        <v>384</v>
      </c>
      <c r="G682" t="str">
        <f>HYPERLINK("http://www.ncbi.nlm.nih.gov/Taxonomy/Browser/wwwtax.cgi?mode=Info&amp;id=47969&amp;lvl=3&amp;lin=f&amp;keep=1&amp;srchmode=1&amp;unlock","Oreochromis aureus")</f>
        <v>Oreochromis aureus</v>
      </c>
      <c r="H682" t="s">
        <v>626</v>
      </c>
      <c r="I682" t="str">
        <f>HYPERLINK("http://www.ncbi.nlm.nih.gov/protein/XP_031583207.1","fatty acid-binding protein, liver-type")</f>
        <v>fatty acid-binding protein, liver-type</v>
      </c>
      <c r="J682" t="s">
        <v>1390</v>
      </c>
      <c r="K682" t="s">
        <v>25</v>
      </c>
      <c r="L682">
        <v>50</v>
      </c>
      <c r="M682" t="s">
        <v>1379</v>
      </c>
      <c r="N682" t="s">
        <v>25</v>
      </c>
      <c r="O682" t="s">
        <v>1355</v>
      </c>
      <c r="P682" t="s">
        <v>25</v>
      </c>
      <c r="Q682">
        <v>117.148</v>
      </c>
      <c r="R682" t="s">
        <v>25</v>
      </c>
      <c r="S682" t="s">
        <v>25</v>
      </c>
    </row>
    <row r="683" spans="1:19" x14ac:dyDescent="0.25">
      <c r="A683">
        <v>6</v>
      </c>
      <c r="B683" t="s">
        <v>384</v>
      </c>
      <c r="C683" t="str">
        <f>HYPERLINK("http://www.ncbi.nlm.nih.gov/protein/XP_018614471.1","XP_018614471.1")</f>
        <v>XP_018614471.1</v>
      </c>
      <c r="D683">
        <v>72416</v>
      </c>
      <c r="E683" t="str">
        <f>HYPERLINK("http://www.ncbi.nlm.nih.gov/Taxonomy/Browser/wwwtax.cgi?mode=Info&amp;id=113540&amp;lvl=3&amp;lin=f&amp;keep=1&amp;srchmode=1&amp;unlock","113540")</f>
        <v>113540</v>
      </c>
      <c r="F683" t="s">
        <v>384</v>
      </c>
      <c r="G683" t="str">
        <f>HYPERLINK("http://www.ncbi.nlm.nih.gov/Taxonomy/Browser/wwwtax.cgi?mode=Info&amp;id=113540&amp;lvl=3&amp;lin=f&amp;keep=1&amp;srchmode=1&amp;unlock","Scleropages formosus")</f>
        <v>Scleropages formosus</v>
      </c>
      <c r="H683" t="s">
        <v>627</v>
      </c>
      <c r="I683" t="str">
        <f>HYPERLINK("http://www.ncbi.nlm.nih.gov/protein/XP_018614471.1","fatty acid-binding protein, liver isoform X2")</f>
        <v>fatty acid-binding protein, liver isoform X2</v>
      </c>
      <c r="J683" t="s">
        <v>1390</v>
      </c>
      <c r="K683" t="s">
        <v>25</v>
      </c>
      <c r="L683">
        <v>50</v>
      </c>
      <c r="M683" t="s">
        <v>1383</v>
      </c>
      <c r="N683" t="s">
        <v>25</v>
      </c>
      <c r="O683" t="s">
        <v>1355</v>
      </c>
      <c r="P683" t="s">
        <v>25</v>
      </c>
      <c r="Q683">
        <v>131.17500000000001</v>
      </c>
      <c r="R683" t="s">
        <v>25</v>
      </c>
      <c r="S683" t="s">
        <v>25</v>
      </c>
    </row>
    <row r="684" spans="1:19" x14ac:dyDescent="0.25">
      <c r="A684">
        <v>6</v>
      </c>
      <c r="B684" t="s">
        <v>384</v>
      </c>
      <c r="C684" t="str">
        <f>HYPERLINK("http://www.ncbi.nlm.nih.gov/protein/XP_003446140.1","XP_003446140.1")</f>
        <v>XP_003446140.1</v>
      </c>
      <c r="D684">
        <v>63394</v>
      </c>
      <c r="E684" t="str">
        <f>HYPERLINK("http://www.ncbi.nlm.nih.gov/Taxonomy/Browser/wwwtax.cgi?mode=Info&amp;id=8128&amp;lvl=3&amp;lin=f&amp;keep=1&amp;srchmode=1&amp;unlock","8128")</f>
        <v>8128</v>
      </c>
      <c r="F684" t="s">
        <v>384</v>
      </c>
      <c r="G684" t="str">
        <f>HYPERLINK("http://www.ncbi.nlm.nih.gov/Taxonomy/Browser/wwwtax.cgi?mode=Info&amp;id=8128&amp;lvl=3&amp;lin=f&amp;keep=1&amp;srchmode=1&amp;unlock","Oreochromis niloticus")</f>
        <v>Oreochromis niloticus</v>
      </c>
      <c r="H684" t="s">
        <v>628</v>
      </c>
      <c r="I684" t="str">
        <f>HYPERLINK("http://www.ncbi.nlm.nih.gov/protein/XP_003446140.1","fatty acid-binding protein, liver")</f>
        <v>fatty acid-binding protein, liver</v>
      </c>
      <c r="J684" t="s">
        <v>1390</v>
      </c>
      <c r="K684" t="s">
        <v>25</v>
      </c>
      <c r="L684">
        <v>50</v>
      </c>
      <c r="M684" t="s">
        <v>1379</v>
      </c>
      <c r="N684" t="s">
        <v>25</v>
      </c>
      <c r="O684" t="s">
        <v>1355</v>
      </c>
      <c r="P684" t="s">
        <v>25</v>
      </c>
      <c r="Q684">
        <v>117.148</v>
      </c>
      <c r="R684" t="s">
        <v>25</v>
      </c>
      <c r="S684" t="s">
        <v>25</v>
      </c>
    </row>
    <row r="685" spans="1:19" x14ac:dyDescent="0.25">
      <c r="A685">
        <v>6</v>
      </c>
      <c r="B685" t="s">
        <v>384</v>
      </c>
      <c r="C685" t="str">
        <f>HYPERLINK("http://www.ncbi.nlm.nih.gov/protein/TWW60612.1","TWW60612.1")</f>
        <v>TWW60612.1</v>
      </c>
      <c r="D685">
        <v>29428</v>
      </c>
      <c r="E685" t="str">
        <f>HYPERLINK("http://www.ncbi.nlm.nih.gov/Taxonomy/Browser/wwwtax.cgi?mode=Info&amp;id=433684&amp;lvl=3&amp;lin=f&amp;keep=1&amp;srchmode=1&amp;unlock","433684")</f>
        <v>433684</v>
      </c>
      <c r="F685" t="s">
        <v>384</v>
      </c>
      <c r="G685" t="str">
        <f>HYPERLINK("http://www.ncbi.nlm.nih.gov/Taxonomy/Browser/wwwtax.cgi?mode=Info&amp;id=433684&amp;lvl=3&amp;lin=f&amp;keep=1&amp;srchmode=1&amp;unlock","Takifugu flavidus")</f>
        <v>Takifugu flavidus</v>
      </c>
      <c r="H685" t="s">
        <v>629</v>
      </c>
      <c r="I685" t="str">
        <f>HYPERLINK("http://www.ncbi.nlm.nih.gov/protein/TWW60612.1","Fatty acid-binding protein, liver-type")</f>
        <v>Fatty acid-binding protein, liver-type</v>
      </c>
      <c r="J685" t="s">
        <v>1390</v>
      </c>
      <c r="K685" t="s">
        <v>25</v>
      </c>
      <c r="L685">
        <v>50</v>
      </c>
      <c r="M685" t="s">
        <v>1383</v>
      </c>
      <c r="N685" t="s">
        <v>25</v>
      </c>
      <c r="O685" t="s">
        <v>1355</v>
      </c>
      <c r="P685" t="s">
        <v>25</v>
      </c>
      <c r="Q685">
        <v>131.17500000000001</v>
      </c>
      <c r="R685" t="s">
        <v>25</v>
      </c>
      <c r="S685" t="s">
        <v>25</v>
      </c>
    </row>
    <row r="686" spans="1:19" x14ac:dyDescent="0.25">
      <c r="A686">
        <v>6</v>
      </c>
      <c r="B686" t="s">
        <v>384</v>
      </c>
      <c r="C686" t="str">
        <f>HYPERLINK("http://www.ncbi.nlm.nih.gov/protein/XP_003974856.1","XP_003974856.1")</f>
        <v>XP_003974856.1</v>
      </c>
      <c r="D686">
        <v>49062</v>
      </c>
      <c r="E686" t="str">
        <f>HYPERLINK("http://www.ncbi.nlm.nih.gov/Taxonomy/Browser/wwwtax.cgi?mode=Info&amp;id=31033&amp;lvl=3&amp;lin=f&amp;keep=1&amp;srchmode=1&amp;unlock","31033")</f>
        <v>31033</v>
      </c>
      <c r="F686" t="s">
        <v>384</v>
      </c>
      <c r="G686" t="str">
        <f>HYPERLINK("http://www.ncbi.nlm.nih.gov/Taxonomy/Browser/wwwtax.cgi?mode=Info&amp;id=31033&amp;lvl=3&amp;lin=f&amp;keep=1&amp;srchmode=1&amp;unlock","Takifugu rubripes")</f>
        <v>Takifugu rubripes</v>
      </c>
      <c r="H686" t="s">
        <v>630</v>
      </c>
      <c r="I686" t="str">
        <f>HYPERLINK("http://www.ncbi.nlm.nih.gov/protein/XP_003974856.1","fatty acid-binding protein, liver-type")</f>
        <v>fatty acid-binding protein, liver-type</v>
      </c>
      <c r="J686" t="s">
        <v>1390</v>
      </c>
      <c r="K686" t="s">
        <v>25</v>
      </c>
      <c r="L686">
        <v>50</v>
      </c>
      <c r="M686" t="s">
        <v>1383</v>
      </c>
      <c r="N686" t="s">
        <v>25</v>
      </c>
      <c r="O686" t="s">
        <v>1355</v>
      </c>
      <c r="P686" t="s">
        <v>25</v>
      </c>
      <c r="Q686">
        <v>131.17500000000001</v>
      </c>
      <c r="R686" t="s">
        <v>25</v>
      </c>
      <c r="S686" t="s">
        <v>25</v>
      </c>
    </row>
    <row r="687" spans="1:19" x14ac:dyDescent="0.25">
      <c r="A687">
        <v>6</v>
      </c>
      <c r="B687" t="s">
        <v>384</v>
      </c>
      <c r="C687" t="str">
        <f>HYPERLINK("http://www.ncbi.nlm.nih.gov/protein/XP_008416522.1","XP_008416522.1")</f>
        <v>XP_008416522.1</v>
      </c>
      <c r="D687">
        <v>45406</v>
      </c>
      <c r="E687" t="str">
        <f>HYPERLINK("http://www.ncbi.nlm.nih.gov/Taxonomy/Browser/wwwtax.cgi?mode=Info&amp;id=8081&amp;lvl=3&amp;lin=f&amp;keep=1&amp;srchmode=1&amp;unlock","8081")</f>
        <v>8081</v>
      </c>
      <c r="F687" t="s">
        <v>384</v>
      </c>
      <c r="G687" t="str">
        <f>HYPERLINK("http://www.ncbi.nlm.nih.gov/Taxonomy/Browser/wwwtax.cgi?mode=Info&amp;id=8081&amp;lvl=3&amp;lin=f&amp;keep=1&amp;srchmode=1&amp;unlock","Poecilia reticulata")</f>
        <v>Poecilia reticulata</v>
      </c>
      <c r="H687" t="s">
        <v>631</v>
      </c>
      <c r="I687" t="str">
        <f>HYPERLINK("http://www.ncbi.nlm.nih.gov/protein/XP_008416522.1","PREDICTED: fatty acid-binding protein, liver")</f>
        <v>PREDICTED: fatty acid-binding protein, liver</v>
      </c>
      <c r="J687" t="s">
        <v>1390</v>
      </c>
      <c r="K687" t="s">
        <v>25</v>
      </c>
      <c r="L687">
        <v>50</v>
      </c>
      <c r="M687" t="s">
        <v>1379</v>
      </c>
      <c r="N687" t="s">
        <v>25</v>
      </c>
      <c r="O687" t="s">
        <v>1355</v>
      </c>
      <c r="P687" t="s">
        <v>25</v>
      </c>
      <c r="Q687">
        <v>117.148</v>
      </c>
      <c r="R687" t="s">
        <v>25</v>
      </c>
      <c r="S687" t="s">
        <v>25</v>
      </c>
    </row>
    <row r="688" spans="1:19" x14ac:dyDescent="0.25">
      <c r="A688">
        <v>6</v>
      </c>
      <c r="B688" t="s">
        <v>384</v>
      </c>
      <c r="C688" t="str">
        <f>HYPERLINK("http://www.ncbi.nlm.nih.gov/protein/MBN3326319.1","MBN3326319.1")</f>
        <v>MBN3326319.1</v>
      </c>
      <c r="D688">
        <v>15567</v>
      </c>
      <c r="E688" t="str">
        <f>HYPERLINK("http://www.ncbi.nlm.nih.gov/Taxonomy/Browser/wwwtax.cgi?mode=Info&amp;id=7917&amp;lvl=3&amp;lin=f&amp;keep=1&amp;srchmode=1&amp;unlock","7917")</f>
        <v>7917</v>
      </c>
      <c r="F688" t="s">
        <v>384</v>
      </c>
      <c r="G688" t="str">
        <f>HYPERLINK("http://www.ncbi.nlm.nih.gov/Taxonomy/Browser/wwwtax.cgi?mode=Info&amp;id=7917&amp;lvl=3&amp;lin=f&amp;keep=1&amp;srchmode=1&amp;unlock","Atractosteus spatula")</f>
        <v>Atractosteus spatula</v>
      </c>
      <c r="H688" t="s">
        <v>632</v>
      </c>
      <c r="I688" t="str">
        <f>HYPERLINK("http://www.ncbi.nlm.nih.gov/protein/MBN3326319.1","FABP1 protein")</f>
        <v>FABP1 protein</v>
      </c>
      <c r="J688" t="s">
        <v>1390</v>
      </c>
      <c r="K688" t="s">
        <v>25</v>
      </c>
      <c r="L688">
        <v>560</v>
      </c>
      <c r="M688" t="s">
        <v>1379</v>
      </c>
      <c r="N688" t="s">
        <v>25</v>
      </c>
      <c r="O688" t="s">
        <v>1355</v>
      </c>
      <c r="P688" t="s">
        <v>25</v>
      </c>
      <c r="Q688">
        <v>117.148</v>
      </c>
      <c r="R688" t="s">
        <v>25</v>
      </c>
      <c r="S688" t="s">
        <v>25</v>
      </c>
    </row>
    <row r="689" spans="1:19" x14ac:dyDescent="0.25">
      <c r="A689">
        <v>6</v>
      </c>
      <c r="B689" t="s">
        <v>384</v>
      </c>
      <c r="C689" t="str">
        <f>HYPERLINK("http://www.ncbi.nlm.nih.gov/protein/XP_006789912.1","XP_006789912.1")</f>
        <v>XP_006789912.1</v>
      </c>
      <c r="D689">
        <v>36437</v>
      </c>
      <c r="E689" t="str">
        <f>HYPERLINK("http://www.ncbi.nlm.nih.gov/Taxonomy/Browser/wwwtax.cgi?mode=Info&amp;id=32507&amp;lvl=3&amp;lin=f&amp;keep=1&amp;srchmode=1&amp;unlock","32507")</f>
        <v>32507</v>
      </c>
      <c r="F689" t="s">
        <v>384</v>
      </c>
      <c r="G689" t="str">
        <f>HYPERLINK("http://www.ncbi.nlm.nih.gov/Taxonomy/Browser/wwwtax.cgi?mode=Info&amp;id=32507&amp;lvl=3&amp;lin=f&amp;keep=1&amp;srchmode=1&amp;unlock","Neolamprologus brichardi")</f>
        <v>Neolamprologus brichardi</v>
      </c>
      <c r="H689" t="s">
        <v>635</v>
      </c>
      <c r="I689" t="str">
        <f>HYPERLINK("http://www.ncbi.nlm.nih.gov/protein/XP_006789912.1","fatty acid-binding protein, liver-type-like")</f>
        <v>fatty acid-binding protein, liver-type-like</v>
      </c>
      <c r="J689" t="s">
        <v>1390</v>
      </c>
      <c r="K689" t="s">
        <v>25</v>
      </c>
      <c r="L689">
        <v>50</v>
      </c>
      <c r="M689" t="s">
        <v>1379</v>
      </c>
      <c r="N689" t="s">
        <v>25</v>
      </c>
      <c r="O689" t="s">
        <v>1355</v>
      </c>
      <c r="P689" t="s">
        <v>25</v>
      </c>
      <c r="Q689">
        <v>117.148</v>
      </c>
      <c r="R689" t="s">
        <v>25</v>
      </c>
      <c r="S689" t="s">
        <v>25</v>
      </c>
    </row>
    <row r="690" spans="1:19" x14ac:dyDescent="0.25">
      <c r="A690">
        <v>6</v>
      </c>
      <c r="B690" t="s">
        <v>384</v>
      </c>
      <c r="C690" t="str">
        <f>HYPERLINK("http://www.ncbi.nlm.nih.gov/protein/XP_039906942.1","XP_039906942.1")</f>
        <v>XP_039906942.1</v>
      </c>
      <c r="D690">
        <v>53697</v>
      </c>
      <c r="E690" t="str">
        <f>HYPERLINK("http://www.ncbi.nlm.nih.gov/Taxonomy/Browser/wwwtax.cgi?mode=Info&amp;id=43689&amp;lvl=3&amp;lin=f&amp;keep=1&amp;srchmode=1&amp;unlock","43689")</f>
        <v>43689</v>
      </c>
      <c r="F690" t="s">
        <v>384</v>
      </c>
      <c r="G690" t="str">
        <f>HYPERLINK("http://www.ncbi.nlm.nih.gov/Taxonomy/Browser/wwwtax.cgi?mode=Info&amp;id=43689&amp;lvl=3&amp;lin=f&amp;keep=1&amp;srchmode=1&amp;unlock","Simochromis diagramma")</f>
        <v>Simochromis diagramma</v>
      </c>
      <c r="H690" t="s">
        <v>637</v>
      </c>
      <c r="I690" t="str">
        <f>HYPERLINK("http://www.ncbi.nlm.nih.gov/protein/XP_039906942.1","fatty acid-binding protein, liver-type-like")</f>
        <v>fatty acid-binding protein, liver-type-like</v>
      </c>
      <c r="J690" t="s">
        <v>1390</v>
      </c>
      <c r="K690" t="s">
        <v>25</v>
      </c>
      <c r="L690">
        <v>50</v>
      </c>
      <c r="M690" t="s">
        <v>1379</v>
      </c>
      <c r="N690" t="s">
        <v>25</v>
      </c>
      <c r="O690" t="s">
        <v>1355</v>
      </c>
      <c r="P690" t="s">
        <v>25</v>
      </c>
      <c r="Q690">
        <v>117.148</v>
      </c>
      <c r="R690" t="s">
        <v>25</v>
      </c>
      <c r="S690" t="s">
        <v>25</v>
      </c>
    </row>
    <row r="691" spans="1:19" x14ac:dyDescent="0.25">
      <c r="A691">
        <v>6</v>
      </c>
      <c r="B691" t="s">
        <v>384</v>
      </c>
      <c r="C691" t="str">
        <f>HYPERLINK("http://www.ncbi.nlm.nih.gov/protein/XP_005741793.1","XP_005741793.1")</f>
        <v>XP_005741793.1</v>
      </c>
      <c r="D691">
        <v>38743</v>
      </c>
      <c r="E691" t="str">
        <f>HYPERLINK("http://www.ncbi.nlm.nih.gov/Taxonomy/Browser/wwwtax.cgi?mode=Info&amp;id=303518&amp;lvl=3&amp;lin=f&amp;keep=1&amp;srchmode=1&amp;unlock","303518")</f>
        <v>303518</v>
      </c>
      <c r="F691" t="s">
        <v>384</v>
      </c>
      <c r="G691" t="str">
        <f>HYPERLINK("http://www.ncbi.nlm.nih.gov/Taxonomy/Browser/wwwtax.cgi?mode=Info&amp;id=303518&amp;lvl=3&amp;lin=f&amp;keep=1&amp;srchmode=1&amp;unlock","Pundamilia nyererei")</f>
        <v>Pundamilia nyererei</v>
      </c>
      <c r="H691" t="s">
        <v>637</v>
      </c>
      <c r="I691" t="str">
        <f>HYPERLINK("http://www.ncbi.nlm.nih.gov/protein/XP_005741793.1","PREDICTED: fatty acid-binding protein, liver")</f>
        <v>PREDICTED: fatty acid-binding protein, liver</v>
      </c>
      <c r="J691" t="s">
        <v>1390</v>
      </c>
      <c r="K691" t="s">
        <v>25</v>
      </c>
      <c r="L691">
        <v>50</v>
      </c>
      <c r="M691" t="s">
        <v>1379</v>
      </c>
      <c r="N691" t="s">
        <v>25</v>
      </c>
      <c r="O691" t="s">
        <v>1355</v>
      </c>
      <c r="P691" t="s">
        <v>25</v>
      </c>
      <c r="Q691">
        <v>117.148</v>
      </c>
      <c r="R691" t="s">
        <v>25</v>
      </c>
      <c r="S691" t="s">
        <v>25</v>
      </c>
    </row>
    <row r="692" spans="1:19" x14ac:dyDescent="0.25">
      <c r="A692">
        <v>6</v>
      </c>
      <c r="B692" t="s">
        <v>384</v>
      </c>
      <c r="C692" t="str">
        <f>HYPERLINK("http://www.ncbi.nlm.nih.gov/protein/XP_005919104.1","XP_005919104.1")</f>
        <v>XP_005919104.1</v>
      </c>
      <c r="D692">
        <v>45053</v>
      </c>
      <c r="E692" t="str">
        <f>HYPERLINK("http://www.ncbi.nlm.nih.gov/Taxonomy/Browser/wwwtax.cgi?mode=Info&amp;id=8153&amp;lvl=3&amp;lin=f&amp;keep=1&amp;srchmode=1&amp;unlock","8153")</f>
        <v>8153</v>
      </c>
      <c r="F692" t="s">
        <v>384</v>
      </c>
      <c r="G692" t="str">
        <f>HYPERLINK("http://www.ncbi.nlm.nih.gov/Taxonomy/Browser/wwwtax.cgi?mode=Info&amp;id=8153&amp;lvl=3&amp;lin=f&amp;keep=1&amp;srchmode=1&amp;unlock","Haplochromis burtoni")</f>
        <v>Haplochromis burtoni</v>
      </c>
      <c r="H692" t="s">
        <v>639</v>
      </c>
      <c r="I692" t="str">
        <f>HYPERLINK("http://www.ncbi.nlm.nih.gov/protein/XP_005919104.1","PREDICTED: fatty acid-binding protein, liver")</f>
        <v>PREDICTED: fatty acid-binding protein, liver</v>
      </c>
      <c r="J692" t="s">
        <v>1390</v>
      </c>
      <c r="K692" t="s">
        <v>25</v>
      </c>
      <c r="L692">
        <v>50</v>
      </c>
      <c r="M692" t="s">
        <v>1379</v>
      </c>
      <c r="N692" t="s">
        <v>25</v>
      </c>
      <c r="O692" t="s">
        <v>1355</v>
      </c>
      <c r="P692" t="s">
        <v>25</v>
      </c>
      <c r="Q692">
        <v>117.148</v>
      </c>
      <c r="R692" t="s">
        <v>25</v>
      </c>
      <c r="S692" t="s">
        <v>25</v>
      </c>
    </row>
    <row r="693" spans="1:19" x14ac:dyDescent="0.25">
      <c r="A693">
        <v>6</v>
      </c>
      <c r="B693" t="s">
        <v>384</v>
      </c>
      <c r="C693" t="str">
        <f>HYPERLINK("http://www.ncbi.nlm.nih.gov/protein/XP_004547199.1","XP_004547199.1")</f>
        <v>XP_004547199.1</v>
      </c>
      <c r="D693">
        <v>46437</v>
      </c>
      <c r="E693" t="str">
        <f>HYPERLINK("http://www.ncbi.nlm.nih.gov/Taxonomy/Browser/wwwtax.cgi?mode=Info&amp;id=106582&amp;lvl=3&amp;lin=f&amp;keep=1&amp;srchmode=1&amp;unlock","106582")</f>
        <v>106582</v>
      </c>
      <c r="F693" t="s">
        <v>384</v>
      </c>
      <c r="G693" t="str">
        <f>HYPERLINK("http://www.ncbi.nlm.nih.gov/Taxonomy/Browser/wwwtax.cgi?mode=Info&amp;id=106582&amp;lvl=3&amp;lin=f&amp;keep=1&amp;srchmode=1&amp;unlock","Maylandia zebra")</f>
        <v>Maylandia zebra</v>
      </c>
      <c r="H693" t="s">
        <v>641</v>
      </c>
      <c r="I693" t="str">
        <f>HYPERLINK("http://www.ncbi.nlm.nih.gov/protein/XP_004547199.1","fatty acid-binding protein, liver")</f>
        <v>fatty acid-binding protein, liver</v>
      </c>
      <c r="J693" t="s">
        <v>1390</v>
      </c>
      <c r="K693" t="s">
        <v>25</v>
      </c>
      <c r="L693">
        <v>50</v>
      </c>
      <c r="M693" t="s">
        <v>1379</v>
      </c>
      <c r="N693" t="s">
        <v>25</v>
      </c>
      <c r="O693" t="s">
        <v>1355</v>
      </c>
      <c r="P693" t="s">
        <v>25</v>
      </c>
      <c r="Q693">
        <v>117.148</v>
      </c>
      <c r="R693" t="s">
        <v>25</v>
      </c>
      <c r="S693" t="s">
        <v>25</v>
      </c>
    </row>
    <row r="694" spans="1:19" x14ac:dyDescent="0.25">
      <c r="A694">
        <v>6</v>
      </c>
      <c r="B694" t="s">
        <v>384</v>
      </c>
      <c r="C694" t="str">
        <f>HYPERLINK("http://www.ncbi.nlm.nih.gov/protein/XP_026041990.1","XP_026041990.1")</f>
        <v>XP_026041990.1</v>
      </c>
      <c r="D694">
        <v>52755</v>
      </c>
      <c r="E694" t="str">
        <f>HYPERLINK("http://www.ncbi.nlm.nih.gov/Taxonomy/Browser/wwwtax.cgi?mode=Info&amp;id=8154&amp;lvl=3&amp;lin=f&amp;keep=1&amp;srchmode=1&amp;unlock","8154")</f>
        <v>8154</v>
      </c>
      <c r="F694" t="s">
        <v>384</v>
      </c>
      <c r="G694" t="str">
        <f>HYPERLINK("http://www.ncbi.nlm.nih.gov/Taxonomy/Browser/wwwtax.cgi?mode=Info&amp;id=8154&amp;lvl=3&amp;lin=f&amp;keep=1&amp;srchmode=1&amp;unlock","Astatotilapia calliptera")</f>
        <v>Astatotilapia calliptera</v>
      </c>
      <c r="H694" t="s">
        <v>640</v>
      </c>
      <c r="I694" t="str">
        <f>HYPERLINK("http://www.ncbi.nlm.nih.gov/protein/XP_026041990.1","fatty acid-binding protein, liver")</f>
        <v>fatty acid-binding protein, liver</v>
      </c>
      <c r="J694" t="s">
        <v>1390</v>
      </c>
      <c r="K694" t="s">
        <v>25</v>
      </c>
      <c r="L694">
        <v>50</v>
      </c>
      <c r="M694" t="s">
        <v>1379</v>
      </c>
      <c r="N694" t="s">
        <v>25</v>
      </c>
      <c r="O694" t="s">
        <v>1355</v>
      </c>
      <c r="P694" t="s">
        <v>25</v>
      </c>
      <c r="Q694">
        <v>117.148</v>
      </c>
      <c r="R694" t="s">
        <v>25</v>
      </c>
      <c r="S694" t="s">
        <v>25</v>
      </c>
    </row>
    <row r="695" spans="1:19" x14ac:dyDescent="0.25">
      <c r="A695">
        <v>6</v>
      </c>
      <c r="B695" t="s">
        <v>384</v>
      </c>
      <c r="C695" t="str">
        <f>HYPERLINK("http://www.ncbi.nlm.nih.gov/protein/XP_004072258.1","XP_004072258.1")</f>
        <v>XP_004072258.1</v>
      </c>
      <c r="D695">
        <v>47310</v>
      </c>
      <c r="E695" t="str">
        <f>HYPERLINK("http://www.ncbi.nlm.nih.gov/Taxonomy/Browser/wwwtax.cgi?mode=Info&amp;id=8090&amp;lvl=3&amp;lin=f&amp;keep=1&amp;srchmode=1&amp;unlock","8090")</f>
        <v>8090</v>
      </c>
      <c r="F695" t="s">
        <v>384</v>
      </c>
      <c r="G695" t="str">
        <f>HYPERLINK("http://www.ncbi.nlm.nih.gov/Taxonomy/Browser/wwwtax.cgi?mode=Info&amp;id=8090&amp;lvl=3&amp;lin=f&amp;keep=1&amp;srchmode=1&amp;unlock","Oryzias latipes")</f>
        <v>Oryzias latipes</v>
      </c>
      <c r="H695" t="s">
        <v>644</v>
      </c>
      <c r="I695" t="str">
        <f>HYPERLINK("http://www.ncbi.nlm.nih.gov/protein/XP_004072258.1","fatty acid-binding protein, liver-type")</f>
        <v>fatty acid-binding protein, liver-type</v>
      </c>
      <c r="J695" t="s">
        <v>1390</v>
      </c>
      <c r="K695" t="s">
        <v>25</v>
      </c>
      <c r="L695">
        <v>50</v>
      </c>
      <c r="M695" t="s">
        <v>1379</v>
      </c>
      <c r="N695" t="s">
        <v>25</v>
      </c>
      <c r="O695" t="s">
        <v>1355</v>
      </c>
      <c r="P695" t="s">
        <v>25</v>
      </c>
      <c r="Q695">
        <v>117.148</v>
      </c>
      <c r="R695" t="s">
        <v>25</v>
      </c>
      <c r="S695" t="s">
        <v>25</v>
      </c>
    </row>
    <row r="696" spans="1:19" x14ac:dyDescent="0.25">
      <c r="A696">
        <v>6</v>
      </c>
      <c r="B696" t="s">
        <v>384</v>
      </c>
      <c r="C696" t="str">
        <f>HYPERLINK("http://www.ncbi.nlm.nih.gov/protein/XP_024131968.1","XP_024131968.1")</f>
        <v>XP_024131968.1</v>
      </c>
      <c r="D696">
        <v>69259</v>
      </c>
      <c r="E696" t="str">
        <f>HYPERLINK("http://www.ncbi.nlm.nih.gov/Taxonomy/Browser/wwwtax.cgi?mode=Info&amp;id=30732&amp;lvl=3&amp;lin=f&amp;keep=1&amp;srchmode=1&amp;unlock","30732")</f>
        <v>30732</v>
      </c>
      <c r="F696" t="s">
        <v>384</v>
      </c>
      <c r="G696" t="str">
        <f>HYPERLINK("http://www.ncbi.nlm.nih.gov/Taxonomy/Browser/wwwtax.cgi?mode=Info&amp;id=30732&amp;lvl=3&amp;lin=f&amp;keep=1&amp;srchmode=1&amp;unlock","Oryzias melastigma")</f>
        <v>Oryzias melastigma</v>
      </c>
      <c r="H696" t="s">
        <v>645</v>
      </c>
      <c r="I696" t="str">
        <f>HYPERLINK("http://www.ncbi.nlm.nih.gov/protein/XP_024131968.1","fatty acid-binding protein, liver-type")</f>
        <v>fatty acid-binding protein, liver-type</v>
      </c>
      <c r="J696" t="s">
        <v>1390</v>
      </c>
      <c r="K696" t="s">
        <v>25</v>
      </c>
      <c r="L696">
        <v>50</v>
      </c>
      <c r="M696" t="s">
        <v>1379</v>
      </c>
      <c r="N696" t="s">
        <v>25</v>
      </c>
      <c r="O696" t="s">
        <v>1355</v>
      </c>
      <c r="P696" t="s">
        <v>25</v>
      </c>
      <c r="Q696">
        <v>117.148</v>
      </c>
      <c r="R696" t="s">
        <v>25</v>
      </c>
      <c r="S696" t="s">
        <v>25</v>
      </c>
    </row>
    <row r="697" spans="1:19" x14ac:dyDescent="0.25">
      <c r="A697">
        <v>6</v>
      </c>
      <c r="B697" t="s">
        <v>384</v>
      </c>
      <c r="C697" t="str">
        <f>HYPERLINK("http://www.ncbi.nlm.nih.gov/protein/ABW38784.1","ABW38784.1")</f>
        <v>ABW38784.1</v>
      </c>
      <c r="D697">
        <v>2173</v>
      </c>
      <c r="E697" t="str">
        <f>HYPERLINK("http://www.ncbi.nlm.nih.gov/Taxonomy/Browser/wwwtax.cgi?mode=Info&amp;id=7959&amp;lvl=3&amp;lin=f&amp;keep=1&amp;srchmode=1&amp;unlock","7959")</f>
        <v>7959</v>
      </c>
      <c r="F697" t="s">
        <v>384</v>
      </c>
      <c r="G697" t="str">
        <f>HYPERLINK("http://www.ncbi.nlm.nih.gov/Taxonomy/Browser/wwwtax.cgi?mode=Info&amp;id=7959&amp;lvl=3&amp;lin=f&amp;keep=1&amp;srchmode=1&amp;unlock","Ctenopharyngodon idella")</f>
        <v>Ctenopharyngodon idella</v>
      </c>
      <c r="H697" t="s">
        <v>662</v>
      </c>
      <c r="I697" t="str">
        <f>HYPERLINK("http://www.ncbi.nlm.nih.gov/protein/ABW38784.1","liver-type fatty acid-binding protein")</f>
        <v>liver-type fatty acid-binding protein</v>
      </c>
      <c r="J697" t="s">
        <v>1390</v>
      </c>
      <c r="K697" t="s">
        <v>25</v>
      </c>
      <c r="L697">
        <v>50</v>
      </c>
      <c r="M697" t="s">
        <v>1383</v>
      </c>
      <c r="N697" t="s">
        <v>25</v>
      </c>
      <c r="O697" t="s">
        <v>1355</v>
      </c>
      <c r="P697" t="s">
        <v>25</v>
      </c>
      <c r="Q697">
        <v>131.17500000000001</v>
      </c>
      <c r="R697" t="s">
        <v>25</v>
      </c>
      <c r="S697" t="s">
        <v>25</v>
      </c>
    </row>
    <row r="698" spans="1:19" x14ac:dyDescent="0.25">
      <c r="A698">
        <v>6</v>
      </c>
      <c r="B698" t="s">
        <v>384</v>
      </c>
      <c r="C698" t="str">
        <f>HYPERLINK("http://www.ncbi.nlm.nih.gov/protein/AAP93878.1","AAP93878.1")</f>
        <v>AAP93878.1</v>
      </c>
      <c r="D698">
        <v>318</v>
      </c>
      <c r="E698" t="str">
        <f>HYPERLINK("http://www.ncbi.nlm.nih.gov/Taxonomy/Browser/wwwtax.cgi?mode=Info&amp;id=8260&amp;lvl=3&amp;lin=f&amp;keep=1&amp;srchmode=1&amp;unlock","8260")</f>
        <v>8260</v>
      </c>
      <c r="F698" t="s">
        <v>384</v>
      </c>
      <c r="G698" t="str">
        <f>HYPERLINK("http://www.ncbi.nlm.nih.gov/Taxonomy/Browser/wwwtax.cgi?mode=Info&amp;id=8260&amp;lvl=3&amp;lin=f&amp;keep=1&amp;srchmode=1&amp;unlock","Platichthys flesus")</f>
        <v>Platichthys flesus</v>
      </c>
      <c r="H698" t="s">
        <v>671</v>
      </c>
      <c r="I698" t="str">
        <f>HYPERLINK("http://www.ncbi.nlm.nih.gov/protein/AAP93878.1","fatty acid-binding protein")</f>
        <v>fatty acid-binding protein</v>
      </c>
      <c r="J698" t="s">
        <v>1390</v>
      </c>
      <c r="K698" t="s">
        <v>25</v>
      </c>
      <c r="L698">
        <v>50</v>
      </c>
      <c r="M698" t="s">
        <v>1383</v>
      </c>
      <c r="N698" t="s">
        <v>25</v>
      </c>
      <c r="O698" t="s">
        <v>1355</v>
      </c>
      <c r="P698" t="s">
        <v>25</v>
      </c>
      <c r="Q698">
        <v>131.17500000000001</v>
      </c>
      <c r="R698" t="s">
        <v>25</v>
      </c>
      <c r="S698" t="s">
        <v>25</v>
      </c>
    </row>
    <row r="699" spans="1:19" x14ac:dyDescent="0.25">
      <c r="A699">
        <v>6</v>
      </c>
      <c r="B699" t="s">
        <v>384</v>
      </c>
      <c r="C699" t="str">
        <f>HYPERLINK("http://www.ncbi.nlm.nih.gov/protein/TSY41760.1","TSY41760.1")</f>
        <v>TSY41760.1</v>
      </c>
      <c r="D699">
        <v>17327</v>
      </c>
      <c r="E699" t="str">
        <f>HYPERLINK("http://www.ncbi.nlm.nih.gov/Taxonomy/Browser/wwwtax.cgi?mode=Info&amp;id=175774&amp;lvl=3&amp;lin=f&amp;keep=1&amp;srchmode=1&amp;unlock","175774")</f>
        <v>175774</v>
      </c>
      <c r="F699" t="s">
        <v>384</v>
      </c>
      <c r="G699" t="str">
        <f>HYPERLINK("http://www.ncbi.nlm.nih.gov/Taxonomy/Browser/wwwtax.cgi?mode=Info&amp;id=175774&amp;lvl=3&amp;lin=f&amp;keep=1&amp;srchmode=1&amp;unlock","Bagarius yarrelli")</f>
        <v>Bagarius yarrelli</v>
      </c>
      <c r="H699" t="s">
        <v>670</v>
      </c>
      <c r="I699" t="str">
        <f>HYPERLINK("http://www.ncbi.nlm.nih.gov/protein/TSY41760.1","Fatty acid binding protein 1-B.1")</f>
        <v>Fatty acid binding protein 1-B.1</v>
      </c>
      <c r="J699" t="s">
        <v>1390</v>
      </c>
      <c r="K699" t="s">
        <v>25</v>
      </c>
      <c r="L699">
        <v>50</v>
      </c>
      <c r="M699" t="s">
        <v>1315</v>
      </c>
      <c r="N699" t="s">
        <v>25</v>
      </c>
      <c r="O699" t="s">
        <v>1354</v>
      </c>
      <c r="P699" t="s">
        <v>25</v>
      </c>
      <c r="Q699">
        <v>119.119</v>
      </c>
      <c r="R699" t="s">
        <v>25</v>
      </c>
      <c r="S699" t="s">
        <v>25</v>
      </c>
    </row>
    <row r="700" spans="1:19" x14ac:dyDescent="0.25">
      <c r="A700">
        <v>6</v>
      </c>
      <c r="B700" t="s">
        <v>384</v>
      </c>
      <c r="C700" t="str">
        <f>HYPERLINK("http://www.ncbi.nlm.nih.gov/protein/ADO28127.1","ADO28127.1")</f>
        <v>ADO28127.1</v>
      </c>
      <c r="D700">
        <v>802</v>
      </c>
      <c r="E700" t="str">
        <f>HYPERLINK("http://www.ncbi.nlm.nih.gov/Taxonomy/Browser/wwwtax.cgi?mode=Info&amp;id=66913&amp;lvl=3&amp;lin=f&amp;keep=1&amp;srchmode=1&amp;unlock","66913")</f>
        <v>66913</v>
      </c>
      <c r="F700" t="s">
        <v>384</v>
      </c>
      <c r="G700" t="str">
        <f>HYPERLINK("http://www.ncbi.nlm.nih.gov/Taxonomy/Browser/wwwtax.cgi?mode=Info&amp;id=66913&amp;lvl=3&amp;lin=f&amp;keep=1&amp;srchmode=1&amp;unlock","Ictalurus furcatus")</f>
        <v>Ictalurus furcatus</v>
      </c>
      <c r="H700" t="s">
        <v>673</v>
      </c>
      <c r="I700" t="str">
        <f>HYPERLINK("http://www.ncbi.nlm.nih.gov/protein/ADO28127.1","fatty acid-binding protein liver")</f>
        <v>fatty acid-binding protein liver</v>
      </c>
      <c r="J700" t="s">
        <v>1390</v>
      </c>
      <c r="K700" t="s">
        <v>25</v>
      </c>
      <c r="L700">
        <v>50</v>
      </c>
      <c r="M700" t="s">
        <v>1383</v>
      </c>
      <c r="N700" t="s">
        <v>25</v>
      </c>
      <c r="O700" t="s">
        <v>1355</v>
      </c>
      <c r="P700" t="s">
        <v>25</v>
      </c>
      <c r="Q700">
        <v>131.17500000000001</v>
      </c>
      <c r="R700" t="s">
        <v>25</v>
      </c>
      <c r="S700" t="s">
        <v>25</v>
      </c>
    </row>
    <row r="701" spans="1:19" x14ac:dyDescent="0.25">
      <c r="A701">
        <v>6</v>
      </c>
      <c r="B701" t="s">
        <v>384</v>
      </c>
      <c r="C701" t="str">
        <f>HYPERLINK("http://www.ncbi.nlm.nih.gov/protein/QIE07388.1","QIE07388.1")</f>
        <v>QIE07388.1</v>
      </c>
      <c r="D701">
        <v>204</v>
      </c>
      <c r="E701" t="str">
        <f>HYPERLINK("http://www.ncbi.nlm.nih.gov/Taxonomy/Browser/wwwtax.cgi?mode=Info&amp;id=267130&amp;lvl=3&amp;lin=f&amp;keep=1&amp;srchmode=1&amp;unlock","267130")</f>
        <v>267130</v>
      </c>
      <c r="F701" t="s">
        <v>384</v>
      </c>
      <c r="G701" t="str">
        <f>HYPERLINK("http://www.ncbi.nlm.nih.gov/Taxonomy/Browser/wwwtax.cgi?mode=Info&amp;id=267130&amp;lvl=3&amp;lin=f&amp;keep=1&amp;srchmode=1&amp;unlock","Acanthogobius hasta")</f>
        <v>Acanthogobius hasta</v>
      </c>
      <c r="H701" t="s">
        <v>678</v>
      </c>
      <c r="I701" t="str">
        <f>HYPERLINK("http://www.ncbi.nlm.nih.gov/protein/QIE07388.1","liver-type fatty acid-binding protein")</f>
        <v>liver-type fatty acid-binding protein</v>
      </c>
      <c r="J701" t="s">
        <v>1390</v>
      </c>
      <c r="K701" t="s">
        <v>25</v>
      </c>
      <c r="L701">
        <v>50</v>
      </c>
      <c r="M701" t="s">
        <v>1383</v>
      </c>
      <c r="N701" t="s">
        <v>25</v>
      </c>
      <c r="O701" t="s">
        <v>1355</v>
      </c>
      <c r="P701" t="s">
        <v>25</v>
      </c>
      <c r="Q701">
        <v>131.17500000000001</v>
      </c>
      <c r="R701" t="s">
        <v>25</v>
      </c>
      <c r="S701" t="s">
        <v>25</v>
      </c>
    </row>
    <row r="702" spans="1:19" x14ac:dyDescent="0.25">
      <c r="A702">
        <v>6</v>
      </c>
      <c r="B702" t="s">
        <v>384</v>
      </c>
      <c r="C702" t="str">
        <f>HYPERLINK("http://www.ncbi.nlm.nih.gov/protein/P80856.2","P80856.2")</f>
        <v>P80856.2</v>
      </c>
      <c r="D702">
        <v>12</v>
      </c>
      <c r="E702" t="str">
        <f>HYPERLINK("http://www.ncbi.nlm.nih.gov/Taxonomy/Browser/wwwtax.cgi?mode=Info&amp;id=55673&amp;lvl=3&amp;lin=f&amp;keep=1&amp;srchmode=1&amp;unlock","55673")</f>
        <v>55673</v>
      </c>
      <c r="F702" t="s">
        <v>384</v>
      </c>
      <c r="G702" t="str">
        <f>HYPERLINK("http://www.ncbi.nlm.nih.gov/Taxonomy/Browser/wwwtax.cgi?mode=Info&amp;id=55673&amp;lvl=3&amp;lin=f&amp;keep=1&amp;srchmode=1&amp;unlock","Rhamdia sapo")</f>
        <v>Rhamdia sapo</v>
      </c>
      <c r="H702" t="s">
        <v>679</v>
      </c>
      <c r="I702" t="str">
        <f>HYPERLINK("http://www.ncbi.nlm.nih.gov/protein/P80856.2","RecName: Full=Fatty acid-binding protein, liver; AltName: Full=Fatty acid-binding protein 1; AltName: Full=Liver basic FABP; Short=LB-FABP; AltName: Full=Liver-type fatty acid-binding protein; Short=L-FABP")</f>
        <v>RecName: Full=Fatty acid-binding protein, liver; AltName: Full=Fatty acid-binding protein 1; AltName: Full=Liver basic FABP; Short=LB-FABP; AltName: Full=Liver-type fatty acid-binding protein; Short=L-FABP</v>
      </c>
      <c r="J702" t="s">
        <v>1390</v>
      </c>
      <c r="K702" t="s">
        <v>25</v>
      </c>
      <c r="L702">
        <v>50</v>
      </c>
      <c r="M702" t="s">
        <v>1383</v>
      </c>
      <c r="N702" t="s">
        <v>25</v>
      </c>
      <c r="O702" t="s">
        <v>1355</v>
      </c>
      <c r="P702" t="s">
        <v>25</v>
      </c>
      <c r="Q702">
        <v>131.17500000000001</v>
      </c>
      <c r="R702" t="s">
        <v>25</v>
      </c>
      <c r="S702" t="s">
        <v>25</v>
      </c>
    </row>
    <row r="703" spans="1:19" x14ac:dyDescent="0.25">
      <c r="A703">
        <v>6</v>
      </c>
      <c r="B703" t="s">
        <v>384</v>
      </c>
      <c r="C703" t="str">
        <f>HYPERLINK("http://www.ncbi.nlm.nih.gov/protein/AIL82448.1","AIL82448.1")</f>
        <v>AIL82448.1</v>
      </c>
      <c r="D703">
        <v>585</v>
      </c>
      <c r="E703" t="str">
        <f>HYPERLINK("http://www.ncbi.nlm.nih.gov/Taxonomy/Browser/wwwtax.cgi?mode=Info&amp;id=64152&amp;lvl=3&amp;lin=f&amp;keep=1&amp;srchmode=1&amp;unlock","64152")</f>
        <v>64152</v>
      </c>
      <c r="F703" t="s">
        <v>384</v>
      </c>
      <c r="G703" t="str">
        <f>HYPERLINK("http://www.ncbi.nlm.nih.gov/Taxonomy/Browser/wwwtax.cgi?mode=Info&amp;id=64152&amp;lvl=3&amp;lin=f&amp;keep=1&amp;srchmode=1&amp;unlock","Channa striata")</f>
        <v>Channa striata</v>
      </c>
      <c r="H703" t="s">
        <v>682</v>
      </c>
      <c r="I703" t="str">
        <f>HYPERLINK("http://www.ncbi.nlm.nih.gov/protein/AIL82448.1","fatty acid binding protein")</f>
        <v>fatty acid binding protein</v>
      </c>
      <c r="J703" t="s">
        <v>1390</v>
      </c>
      <c r="K703" t="s">
        <v>25</v>
      </c>
      <c r="L703">
        <v>50</v>
      </c>
      <c r="M703" t="s">
        <v>1379</v>
      </c>
      <c r="N703" t="s">
        <v>25</v>
      </c>
      <c r="O703" t="s">
        <v>1355</v>
      </c>
      <c r="P703" t="s">
        <v>25</v>
      </c>
      <c r="Q703">
        <v>117.148</v>
      </c>
      <c r="R703" t="s">
        <v>25</v>
      </c>
      <c r="S703" t="s">
        <v>25</v>
      </c>
    </row>
    <row r="704" spans="1:19" x14ac:dyDescent="0.25">
      <c r="A704">
        <v>6</v>
      </c>
      <c r="B704" t="s">
        <v>384</v>
      </c>
      <c r="C704" t="str">
        <f>HYPERLINK("http://www.ncbi.nlm.nih.gov/protein/ADN04913.1","ADN04913.1")</f>
        <v>ADN04913.1</v>
      </c>
      <c r="D704">
        <v>98</v>
      </c>
      <c r="E704" t="str">
        <f>HYPERLINK("http://www.ncbi.nlm.nih.gov/Taxonomy/Browser/wwwtax.cgi?mode=Info&amp;id=162300&amp;lvl=3&amp;lin=f&amp;keep=1&amp;srchmode=1&amp;unlock","162300")</f>
        <v>162300</v>
      </c>
      <c r="F704" t="s">
        <v>384</v>
      </c>
      <c r="G704" t="str">
        <f>HYPERLINK("http://www.ncbi.nlm.nih.gov/Taxonomy/Browser/wwwtax.cgi?mode=Info&amp;id=162300&amp;lvl=3&amp;lin=f&amp;keep=1&amp;srchmode=1&amp;unlock","Epinephelus malabaricus")</f>
        <v>Epinephelus malabaricus</v>
      </c>
      <c r="H704" t="s">
        <v>684</v>
      </c>
      <c r="I704" t="str">
        <f>HYPERLINK("http://www.ncbi.nlm.nih.gov/protein/ADN04913.1","fatty acid-binding protein")</f>
        <v>fatty acid-binding protein</v>
      </c>
      <c r="J704" t="s">
        <v>1390</v>
      </c>
      <c r="K704" t="s">
        <v>25</v>
      </c>
      <c r="L704">
        <v>50</v>
      </c>
      <c r="M704" t="s">
        <v>1379</v>
      </c>
      <c r="N704" t="s">
        <v>25</v>
      </c>
      <c r="O704" t="s">
        <v>1355</v>
      </c>
      <c r="P704" t="s">
        <v>25</v>
      </c>
      <c r="Q704">
        <v>117.148</v>
      </c>
      <c r="R704" t="s">
        <v>25</v>
      </c>
      <c r="S704" t="s">
        <v>25</v>
      </c>
    </row>
    <row r="705" spans="1:19" x14ac:dyDescent="0.25">
      <c r="A705">
        <v>6</v>
      </c>
      <c r="B705" t="s">
        <v>384</v>
      </c>
      <c r="C705" t="str">
        <f>HYPERLINK("http://www.ncbi.nlm.nih.gov/protein/QEQ55688.1","QEQ55688.1")</f>
        <v>QEQ55688.1</v>
      </c>
      <c r="D705">
        <v>31</v>
      </c>
      <c r="E705" t="str">
        <f>HYPERLINK("http://www.ncbi.nlm.nih.gov/Taxonomy/Browser/wwwtax.cgi?mode=Info&amp;id=2528762&amp;lvl=3&amp;lin=f&amp;keep=1&amp;srchmode=1&amp;unlock","2528762")</f>
        <v>2528762</v>
      </c>
      <c r="F705" t="s">
        <v>384</v>
      </c>
      <c r="G705" t="str">
        <f>HYPERLINK("http://www.ncbi.nlm.nih.gov/Taxonomy/Browser/wwwtax.cgi?mode=Info&amp;id=2528762&amp;lvl=3&amp;lin=f&amp;keep=1&amp;srchmode=1&amp;unlock","Epinephelus fuscoguttatus x Epinephelus polyphekadion")</f>
        <v>Epinephelus fuscoguttatus x Epinephelus polyphekadion</v>
      </c>
      <c r="H705" t="s">
        <v>685</v>
      </c>
      <c r="I705" t="str">
        <f>HYPERLINK("http://www.ncbi.nlm.nih.gov/protein/QEQ55688.1","fatty acid binding protein")</f>
        <v>fatty acid binding protein</v>
      </c>
      <c r="J705" t="s">
        <v>1390</v>
      </c>
      <c r="K705" t="s">
        <v>25</v>
      </c>
      <c r="L705">
        <v>50</v>
      </c>
      <c r="M705" t="s">
        <v>1379</v>
      </c>
      <c r="N705" t="s">
        <v>25</v>
      </c>
      <c r="O705" t="s">
        <v>1355</v>
      </c>
      <c r="P705" t="s">
        <v>25</v>
      </c>
      <c r="Q705">
        <v>117.148</v>
      </c>
      <c r="R705" t="s">
        <v>25</v>
      </c>
      <c r="S705" t="s">
        <v>25</v>
      </c>
    </row>
    <row r="706" spans="1:19" x14ac:dyDescent="0.25">
      <c r="A706">
        <v>6</v>
      </c>
      <c r="B706" t="s">
        <v>384</v>
      </c>
      <c r="C706" t="str">
        <f>HYPERLINK("http://www.ncbi.nlm.nih.gov/protein/AKG51662.1","AKG51662.1")</f>
        <v>AKG51662.1</v>
      </c>
      <c r="D706">
        <v>106</v>
      </c>
      <c r="E706" t="str">
        <f>HYPERLINK("http://www.ncbi.nlm.nih.gov/Taxonomy/Browser/wwwtax.cgi?mode=Info&amp;id=183150&amp;lvl=3&amp;lin=f&amp;keep=1&amp;srchmode=1&amp;unlock","183150")</f>
        <v>183150</v>
      </c>
      <c r="F706" t="s">
        <v>384</v>
      </c>
      <c r="G706" t="str">
        <f>HYPERLINK("http://www.ncbi.nlm.nih.gov/Taxonomy/Browser/wwwtax.cgi?mode=Info&amp;id=183150&amp;lvl=3&amp;lin=f&amp;keep=1&amp;srchmode=1&amp;unlock","Oryzias sinensis")</f>
        <v>Oryzias sinensis</v>
      </c>
      <c r="H706" t="s">
        <v>686</v>
      </c>
      <c r="I706" t="str">
        <f>HYPERLINK("http://www.ncbi.nlm.nih.gov/protein/AKG51662.1","fatty acid-binding protein")</f>
        <v>fatty acid-binding protein</v>
      </c>
      <c r="J706" t="s">
        <v>1390</v>
      </c>
      <c r="K706" t="s">
        <v>25</v>
      </c>
      <c r="L706">
        <v>50</v>
      </c>
      <c r="M706" t="s">
        <v>1383</v>
      </c>
      <c r="N706" t="s">
        <v>25</v>
      </c>
      <c r="O706" t="s">
        <v>1355</v>
      </c>
      <c r="P706" t="s">
        <v>25</v>
      </c>
      <c r="Q706">
        <v>131.17500000000001</v>
      </c>
      <c r="R706" t="s">
        <v>25</v>
      </c>
      <c r="S706" t="s">
        <v>25</v>
      </c>
    </row>
    <row r="707" spans="1:19" x14ac:dyDescent="0.25">
      <c r="A707">
        <v>6</v>
      </c>
      <c r="B707" t="s">
        <v>522</v>
      </c>
      <c r="C707" t="str">
        <f>HYPERLINK("http://www.ncbi.nlm.nih.gov/protein/XP_028660485.1","XP_028660485.1")</f>
        <v>XP_028660485.1</v>
      </c>
      <c r="D707">
        <v>35768</v>
      </c>
      <c r="E707" t="str">
        <f>HYPERLINK("http://www.ncbi.nlm.nih.gov/Taxonomy/Browser/wwwtax.cgi?mode=Info&amp;id=27687&amp;lvl=3&amp;lin=f&amp;keep=1&amp;srchmode=1&amp;unlock","27687")</f>
        <v>27687</v>
      </c>
      <c r="F707" t="s">
        <v>522</v>
      </c>
      <c r="G707" t="str">
        <f>HYPERLINK("http://www.ncbi.nlm.nih.gov/Taxonomy/Browser/wwwtax.cgi?mode=Info&amp;id=27687&amp;lvl=3&amp;lin=f&amp;keep=1&amp;srchmode=1&amp;unlock","Erpetoichthys calabaricus")</f>
        <v>Erpetoichthys calabaricus</v>
      </c>
      <c r="H707" t="s">
        <v>523</v>
      </c>
      <c r="I707" t="str">
        <f>HYPERLINK("http://www.ncbi.nlm.nih.gov/protein/XP_028660485.1","fatty acid-binding protein, liver")</f>
        <v>fatty acid-binding protein, liver</v>
      </c>
      <c r="J707" t="s">
        <v>1391</v>
      </c>
      <c r="K707" t="s">
        <v>25</v>
      </c>
      <c r="L707">
        <v>50</v>
      </c>
      <c r="M707" t="s">
        <v>1379</v>
      </c>
      <c r="N707" t="s">
        <v>25</v>
      </c>
      <c r="O707" t="s">
        <v>1355</v>
      </c>
      <c r="P707" t="s">
        <v>25</v>
      </c>
      <c r="Q707">
        <v>117.148</v>
      </c>
      <c r="R707" t="s">
        <v>25</v>
      </c>
      <c r="S707" t="s">
        <v>25</v>
      </c>
    </row>
    <row r="708" spans="1:19" x14ac:dyDescent="0.25">
      <c r="A708">
        <v>6</v>
      </c>
      <c r="B708" t="s">
        <v>522</v>
      </c>
      <c r="C708" t="str">
        <f>HYPERLINK("http://www.ncbi.nlm.nih.gov/protein/XP_039615032.1","XP_039615032.1")</f>
        <v>XP_039615032.1</v>
      </c>
      <c r="D708">
        <v>64388</v>
      </c>
      <c r="E708" t="str">
        <f>HYPERLINK("http://www.ncbi.nlm.nih.gov/Taxonomy/Browser/wwwtax.cgi?mode=Info&amp;id=55291&amp;lvl=3&amp;lin=f&amp;keep=1&amp;srchmode=1&amp;unlock","55291")</f>
        <v>55291</v>
      </c>
      <c r="F708" t="s">
        <v>522</v>
      </c>
      <c r="G708" t="str">
        <f>HYPERLINK("http://www.ncbi.nlm.nih.gov/Taxonomy/Browser/wwwtax.cgi?mode=Info&amp;id=55291&amp;lvl=3&amp;lin=f&amp;keep=1&amp;srchmode=1&amp;unlock","Polypterus senegalus")</f>
        <v>Polypterus senegalus</v>
      </c>
      <c r="H708" t="s">
        <v>554</v>
      </c>
      <c r="I708" t="str">
        <f>HYPERLINK("http://www.ncbi.nlm.nih.gov/protein/XP_039615032.1","fatty acid-binding protein 1, liver-like isoform X1")</f>
        <v>fatty acid-binding protein 1, liver-like isoform X1</v>
      </c>
      <c r="J708" t="s">
        <v>1391</v>
      </c>
      <c r="K708" t="s">
        <v>25</v>
      </c>
      <c r="L708">
        <v>50</v>
      </c>
      <c r="M708" t="s">
        <v>1379</v>
      </c>
      <c r="N708" t="s">
        <v>25</v>
      </c>
      <c r="O708" t="s">
        <v>1355</v>
      </c>
      <c r="P708" t="s">
        <v>25</v>
      </c>
      <c r="Q708">
        <v>117.148</v>
      </c>
      <c r="R708" t="s">
        <v>25</v>
      </c>
      <c r="S708" t="s">
        <v>25</v>
      </c>
    </row>
    <row r="709" spans="1:19" x14ac:dyDescent="0.25">
      <c r="A709">
        <v>6</v>
      </c>
      <c r="B709" t="s">
        <v>550</v>
      </c>
      <c r="C709" t="str">
        <f>HYPERLINK("http://www.ncbi.nlm.nih.gov/protein/XP_020385610.1","XP_020385610.1")</f>
        <v>XP_020385610.1</v>
      </c>
      <c r="D709">
        <v>27965</v>
      </c>
      <c r="E709" t="str">
        <f>HYPERLINK("http://www.ncbi.nlm.nih.gov/Taxonomy/Browser/wwwtax.cgi?mode=Info&amp;id=259920&amp;lvl=3&amp;lin=f&amp;keep=1&amp;srchmode=1&amp;unlock","259920")</f>
        <v>259920</v>
      </c>
      <c r="F709" t="s">
        <v>550</v>
      </c>
      <c r="G709" t="str">
        <f>HYPERLINK("http://www.ncbi.nlm.nih.gov/Taxonomy/Browser/wwwtax.cgi?mode=Info&amp;id=259920&amp;lvl=3&amp;lin=f&amp;keep=1&amp;srchmode=1&amp;unlock","Rhincodon typus")</f>
        <v>Rhincodon typus</v>
      </c>
      <c r="H709" t="s">
        <v>601</v>
      </c>
      <c r="I709" t="str">
        <f>HYPERLINK("http://www.ncbi.nlm.nih.gov/protein/XP_020385610.1","fatty acid-binding protein, liver-like")</f>
        <v>fatty acid-binding protein, liver-like</v>
      </c>
      <c r="J709" t="s">
        <v>1392</v>
      </c>
      <c r="K709" t="s">
        <v>25</v>
      </c>
      <c r="L709">
        <v>50</v>
      </c>
      <c r="M709" t="s">
        <v>1383</v>
      </c>
      <c r="N709" t="s">
        <v>25</v>
      </c>
      <c r="O709" t="s">
        <v>1355</v>
      </c>
      <c r="P709" t="s">
        <v>25</v>
      </c>
      <c r="Q709">
        <v>131.17500000000001</v>
      </c>
      <c r="R709" t="s">
        <v>25</v>
      </c>
      <c r="S709" t="s">
        <v>25</v>
      </c>
    </row>
    <row r="710" spans="1:19" x14ac:dyDescent="0.25">
      <c r="A710">
        <v>6</v>
      </c>
      <c r="B710" t="s">
        <v>550</v>
      </c>
      <c r="C710" t="str">
        <f>HYPERLINK("http://www.ncbi.nlm.nih.gov/protein/AFK10903.1","AFK10903.1")</f>
        <v>AFK10903.1</v>
      </c>
      <c r="D710">
        <v>32968</v>
      </c>
      <c r="E710" t="str">
        <f>HYPERLINK("http://www.ncbi.nlm.nih.gov/Taxonomy/Browser/wwwtax.cgi?mode=Info&amp;id=7868&amp;lvl=3&amp;lin=f&amp;keep=1&amp;srchmode=1&amp;unlock","7868")</f>
        <v>7868</v>
      </c>
      <c r="F710" t="s">
        <v>550</v>
      </c>
      <c r="G710" t="str">
        <f>HYPERLINK("http://www.ncbi.nlm.nih.gov/Taxonomy/Browser/wwwtax.cgi?mode=Info&amp;id=7868&amp;lvl=3&amp;lin=f&amp;keep=1&amp;srchmode=1&amp;unlock","Callorhinchus milii")</f>
        <v>Callorhinchus milii</v>
      </c>
      <c r="H710" t="s">
        <v>608</v>
      </c>
      <c r="I710" t="str">
        <f>HYPERLINK("http://www.ncbi.nlm.nih.gov/protein/AFK10903.1","fatty acid-binding protein 1-like protein")</f>
        <v>fatty acid-binding protein 1-like protein</v>
      </c>
      <c r="J710" t="s">
        <v>1392</v>
      </c>
      <c r="K710" t="s">
        <v>25</v>
      </c>
      <c r="L710">
        <v>77</v>
      </c>
      <c r="M710" t="s">
        <v>1383</v>
      </c>
      <c r="N710" t="s">
        <v>25</v>
      </c>
      <c r="O710" t="s">
        <v>1355</v>
      </c>
      <c r="P710" t="s">
        <v>25</v>
      </c>
      <c r="Q710">
        <v>131.17500000000001</v>
      </c>
      <c r="R710" t="s">
        <v>25</v>
      </c>
      <c r="S710" t="s">
        <v>25</v>
      </c>
    </row>
    <row r="711" spans="1:19" x14ac:dyDescent="0.25">
      <c r="A711">
        <v>6</v>
      </c>
      <c r="B711" t="s">
        <v>550</v>
      </c>
      <c r="C711" t="str">
        <f>HYPERLINK("http://www.ncbi.nlm.nih.gov/protein/XP_038632789.1","XP_038632789.1")</f>
        <v>XP_038632789.1</v>
      </c>
      <c r="D711">
        <v>50056</v>
      </c>
      <c r="E711" t="str">
        <f>HYPERLINK("http://www.ncbi.nlm.nih.gov/Taxonomy/Browser/wwwtax.cgi?mode=Info&amp;id=7830&amp;lvl=3&amp;lin=f&amp;keep=1&amp;srchmode=1&amp;unlock","7830")</f>
        <v>7830</v>
      </c>
      <c r="F711" t="s">
        <v>550</v>
      </c>
      <c r="G711" t="str">
        <f>HYPERLINK("http://www.ncbi.nlm.nih.gov/Taxonomy/Browser/wwwtax.cgi?mode=Info&amp;id=7830&amp;lvl=3&amp;lin=f&amp;keep=1&amp;srchmode=1&amp;unlock","Scyliorhinus canicula")</f>
        <v>Scyliorhinus canicula</v>
      </c>
      <c r="H711" t="s">
        <v>614</v>
      </c>
      <c r="I711" t="str">
        <f>HYPERLINK("http://www.ncbi.nlm.nih.gov/protein/XP_038632789.1","fatty acid-binding protein 1, liver-like")</f>
        <v>fatty acid-binding protein 1, liver-like</v>
      </c>
      <c r="J711" t="s">
        <v>1392</v>
      </c>
      <c r="K711" t="s">
        <v>25</v>
      </c>
      <c r="L711">
        <v>50</v>
      </c>
      <c r="M711" t="s">
        <v>1383</v>
      </c>
      <c r="N711" t="s">
        <v>25</v>
      </c>
      <c r="O711" t="s">
        <v>1355</v>
      </c>
      <c r="P711" t="s">
        <v>25</v>
      </c>
      <c r="Q711">
        <v>131.17500000000001</v>
      </c>
      <c r="R711" t="s">
        <v>25</v>
      </c>
      <c r="S711" t="s">
        <v>25</v>
      </c>
    </row>
    <row r="712" spans="1:19" x14ac:dyDescent="0.25">
      <c r="A712">
        <v>6</v>
      </c>
      <c r="B712" t="s">
        <v>550</v>
      </c>
      <c r="C712" t="str">
        <f>HYPERLINK("http://www.ncbi.nlm.nih.gov/protein/XP_032900479.1","XP_032900479.1")</f>
        <v>XP_032900479.1</v>
      </c>
      <c r="D712">
        <v>38961</v>
      </c>
      <c r="E712" t="str">
        <f>HYPERLINK("http://www.ncbi.nlm.nih.gov/Taxonomy/Browser/wwwtax.cgi?mode=Info&amp;id=386614&amp;lvl=3&amp;lin=f&amp;keep=1&amp;srchmode=1&amp;unlock","386614")</f>
        <v>386614</v>
      </c>
      <c r="F712" t="s">
        <v>550</v>
      </c>
      <c r="G712" t="str">
        <f>HYPERLINK("http://www.ncbi.nlm.nih.gov/Taxonomy/Browser/wwwtax.cgi?mode=Info&amp;id=386614&amp;lvl=3&amp;lin=f&amp;keep=1&amp;srchmode=1&amp;unlock","Amblyraja radiata")</f>
        <v>Amblyraja radiata</v>
      </c>
      <c r="H712" t="s">
        <v>633</v>
      </c>
      <c r="I712" t="str">
        <f>HYPERLINK("http://www.ncbi.nlm.nih.gov/protein/XP_032900479.1","fatty acid-binding protein 1, liver-like")</f>
        <v>fatty acid-binding protein 1, liver-like</v>
      </c>
      <c r="J712" t="s">
        <v>1392</v>
      </c>
      <c r="K712" t="s">
        <v>25</v>
      </c>
      <c r="L712">
        <v>50</v>
      </c>
      <c r="M712" t="s">
        <v>1379</v>
      </c>
      <c r="N712" t="s">
        <v>25</v>
      </c>
      <c r="O712" t="s">
        <v>1355</v>
      </c>
      <c r="P712" t="s">
        <v>25</v>
      </c>
      <c r="Q712">
        <v>117.148</v>
      </c>
      <c r="R712" t="s">
        <v>25</v>
      </c>
      <c r="S712" t="s">
        <v>25</v>
      </c>
    </row>
    <row r="713" spans="1:19" x14ac:dyDescent="0.25">
      <c r="A713">
        <v>6</v>
      </c>
      <c r="B713" t="s">
        <v>550</v>
      </c>
      <c r="C713" t="str">
        <f>HYPERLINK("http://www.ncbi.nlm.nih.gov/protein/P81653.2","P81653.2")</f>
        <v>P81653.2</v>
      </c>
      <c r="D713">
        <v>7</v>
      </c>
      <c r="E713" t="str">
        <f>HYPERLINK("http://www.ncbi.nlm.nih.gov/Taxonomy/Browser/wwwtax.cgi?mode=Info&amp;id=458609&amp;lvl=3&amp;lin=f&amp;keep=1&amp;srchmode=1&amp;unlock","458609")</f>
        <v>458609</v>
      </c>
      <c r="F713" t="s">
        <v>550</v>
      </c>
      <c r="G713" t="str">
        <f>HYPERLINK("http://www.ncbi.nlm.nih.gov/Taxonomy/Browser/wwwtax.cgi?mode=Info&amp;id=458609&amp;lvl=3&amp;lin=f&amp;keep=1&amp;srchmode=1&amp;unlock","Schroederichthys bivius")</f>
        <v>Schroederichthys bivius</v>
      </c>
      <c r="H713" t="s">
        <v>665</v>
      </c>
      <c r="I713" t="str">
        <f>HYPERLINK("http://www.ncbi.nlm.nih.gov/protein/P81653.2","RecName: Full=Fatty acid-binding protein, liver; AltName: Full=Fatty acid-binding protein 1; AltName: Full=Liver-type fatty acid-binding protein; Short=L-FABP")</f>
        <v>RecName: Full=Fatty acid-binding protein, liver; AltName: Full=Fatty acid-binding protein 1; AltName: Full=Liver-type fatty acid-binding protein; Short=L-FABP</v>
      </c>
      <c r="J713" t="s">
        <v>1392</v>
      </c>
      <c r="K713" t="s">
        <v>25</v>
      </c>
      <c r="L713">
        <v>50</v>
      </c>
      <c r="M713" t="s">
        <v>1383</v>
      </c>
      <c r="N713" t="s">
        <v>25</v>
      </c>
      <c r="O713" t="s">
        <v>1355</v>
      </c>
      <c r="P713" t="s">
        <v>25</v>
      </c>
      <c r="Q713">
        <v>131.17500000000001</v>
      </c>
      <c r="R713" t="s">
        <v>25</v>
      </c>
      <c r="S713" t="s">
        <v>25</v>
      </c>
    </row>
    <row r="714" spans="1:19" x14ac:dyDescent="0.25">
      <c r="A714">
        <v>6</v>
      </c>
      <c r="B714" t="s">
        <v>646</v>
      </c>
      <c r="C714" t="str">
        <f>HYPERLINK("http://www.ncbi.nlm.nih.gov/protein/XP_006014294.2","XP_006014294.2")</f>
        <v>XP_006014294.2</v>
      </c>
      <c r="D714">
        <v>34479</v>
      </c>
      <c r="E714" t="str">
        <f>HYPERLINK("http://www.ncbi.nlm.nih.gov/Taxonomy/Browser/wwwtax.cgi?mode=Info&amp;id=7897&amp;lvl=3&amp;lin=f&amp;keep=1&amp;srchmode=1&amp;unlock","7897")</f>
        <v>7897</v>
      </c>
      <c r="F714" t="s">
        <v>646</v>
      </c>
      <c r="G714" t="str">
        <f>HYPERLINK("http://www.ncbi.nlm.nih.gov/Taxonomy/Browser/wwwtax.cgi?mode=Info&amp;id=7897&amp;lvl=3&amp;lin=f&amp;keep=1&amp;srchmode=1&amp;unlock","Latimeria chalumnae")</f>
        <v>Latimeria chalumnae</v>
      </c>
      <c r="H714" t="s">
        <v>647</v>
      </c>
      <c r="I714" t="str">
        <f>HYPERLINK("http://www.ncbi.nlm.nih.gov/protein/XP_006014294.2","PREDICTED: LOW QUALITY PROTEIN: fatty acid-binding protein, liver, partial")</f>
        <v>PREDICTED: LOW QUALITY PROTEIN: fatty acid-binding protein, liver, partial</v>
      </c>
      <c r="J714" t="s">
        <v>1393</v>
      </c>
      <c r="K714" t="s">
        <v>25</v>
      </c>
      <c r="L714">
        <v>50</v>
      </c>
      <c r="M714" t="s">
        <v>1379</v>
      </c>
      <c r="N714" t="s">
        <v>25</v>
      </c>
      <c r="O714" t="s">
        <v>1355</v>
      </c>
      <c r="P714" t="s">
        <v>25</v>
      </c>
      <c r="Q714">
        <v>117.148</v>
      </c>
      <c r="R714" t="s">
        <v>25</v>
      </c>
      <c r="S714" t="s">
        <v>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5DC02-18A1-4C84-9354-B41285F9E1FA}">
  <dimension ref="A1:F11"/>
  <sheetViews>
    <sheetView workbookViewId="0">
      <selection activeCell="M11" sqref="M11"/>
    </sheetView>
  </sheetViews>
  <sheetFormatPr defaultRowHeight="15" x14ac:dyDescent="0.25"/>
  <sheetData>
    <row r="1" spans="1:6" x14ac:dyDescent="0.25">
      <c r="A1" t="s">
        <v>4</v>
      </c>
      <c r="B1" t="s">
        <v>1356</v>
      </c>
      <c r="C1" t="s">
        <v>1359</v>
      </c>
      <c r="D1" t="s">
        <v>1360</v>
      </c>
      <c r="E1" t="s">
        <v>1361</v>
      </c>
      <c r="F1" t="s">
        <v>1362</v>
      </c>
    </row>
    <row r="2" spans="1:6" x14ac:dyDescent="0.25">
      <c r="A2" t="s">
        <v>18</v>
      </c>
      <c r="B2">
        <v>211</v>
      </c>
      <c r="C2" t="s">
        <v>25</v>
      </c>
      <c r="D2">
        <v>68</v>
      </c>
      <c r="E2">
        <v>143</v>
      </c>
      <c r="F2" t="s">
        <v>1375</v>
      </c>
    </row>
    <row r="3" spans="1:6" x14ac:dyDescent="0.25">
      <c r="A3" t="s">
        <v>134</v>
      </c>
      <c r="B3">
        <v>10</v>
      </c>
      <c r="C3" t="s">
        <v>25</v>
      </c>
      <c r="D3">
        <v>0</v>
      </c>
      <c r="E3">
        <v>10</v>
      </c>
      <c r="F3" t="s">
        <v>1376</v>
      </c>
    </row>
    <row r="4" spans="1:6" x14ac:dyDescent="0.25">
      <c r="A4" t="s">
        <v>167</v>
      </c>
      <c r="B4">
        <v>332</v>
      </c>
      <c r="C4" t="s">
        <v>25</v>
      </c>
      <c r="D4">
        <v>7</v>
      </c>
      <c r="E4">
        <v>325</v>
      </c>
      <c r="F4" t="s">
        <v>1377</v>
      </c>
    </row>
    <row r="5" spans="1:6" x14ac:dyDescent="0.25">
      <c r="A5" t="s">
        <v>384</v>
      </c>
      <c r="B5">
        <v>131</v>
      </c>
      <c r="C5" t="s">
        <v>25</v>
      </c>
      <c r="D5">
        <v>0</v>
      </c>
      <c r="E5">
        <v>131</v>
      </c>
      <c r="F5" t="s">
        <v>1378</v>
      </c>
    </row>
    <row r="6" spans="1:6" x14ac:dyDescent="0.25">
      <c r="A6" t="s">
        <v>236</v>
      </c>
      <c r="B6">
        <v>8</v>
      </c>
      <c r="C6" t="s">
        <v>25</v>
      </c>
      <c r="D6">
        <v>0</v>
      </c>
      <c r="E6">
        <v>8</v>
      </c>
      <c r="F6" t="s">
        <v>1379</v>
      </c>
    </row>
    <row r="7" spans="1:6" x14ac:dyDescent="0.25">
      <c r="A7" t="s">
        <v>321</v>
      </c>
      <c r="B7">
        <v>9</v>
      </c>
      <c r="C7" t="s">
        <v>25</v>
      </c>
      <c r="D7">
        <v>0</v>
      </c>
      <c r="E7">
        <v>9</v>
      </c>
      <c r="F7" t="s">
        <v>1379</v>
      </c>
    </row>
    <row r="8" spans="1:6" x14ac:dyDescent="0.25">
      <c r="A8" t="s">
        <v>371</v>
      </c>
      <c r="B8">
        <v>4</v>
      </c>
      <c r="C8" t="s">
        <v>20</v>
      </c>
      <c r="D8">
        <v>4</v>
      </c>
      <c r="E8">
        <v>0</v>
      </c>
      <c r="F8" t="s">
        <v>1380</v>
      </c>
    </row>
    <row r="9" spans="1:6" x14ac:dyDescent="0.25">
      <c r="A9" t="s">
        <v>522</v>
      </c>
      <c r="B9">
        <v>2</v>
      </c>
      <c r="C9" t="s">
        <v>25</v>
      </c>
      <c r="D9">
        <v>0</v>
      </c>
      <c r="E9">
        <v>2</v>
      </c>
      <c r="F9" t="s">
        <v>1379</v>
      </c>
    </row>
    <row r="10" spans="1:6" x14ac:dyDescent="0.25">
      <c r="A10" t="s">
        <v>550</v>
      </c>
      <c r="B10">
        <v>5</v>
      </c>
      <c r="C10" t="s">
        <v>25</v>
      </c>
      <c r="D10">
        <v>0</v>
      </c>
      <c r="E10">
        <v>5</v>
      </c>
      <c r="F10" t="s">
        <v>1376</v>
      </c>
    </row>
    <row r="11" spans="1:6" x14ac:dyDescent="0.25">
      <c r="A11" t="s">
        <v>646</v>
      </c>
      <c r="B11">
        <v>1</v>
      </c>
      <c r="C11" t="s">
        <v>25</v>
      </c>
      <c r="D11">
        <v>0</v>
      </c>
      <c r="E11">
        <v>1</v>
      </c>
      <c r="F11" t="s">
        <v>1379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24B60-B0B7-4C79-8F8B-6DBC25124122}">
  <dimension ref="A1:R1337"/>
  <sheetViews>
    <sheetView workbookViewId="0">
      <selection activeCell="U15" sqref="U15"/>
    </sheetView>
  </sheetViews>
  <sheetFormatPr defaultRowHeight="15" x14ac:dyDescent="0.25"/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>
        <v>6</v>
      </c>
      <c r="B2" t="str">
        <f>HYPERLINK("http://www.ncbi.nlm.nih.gov/protein/AAI32976.1","AAI32976.1")</f>
        <v>AAI32976.1</v>
      </c>
      <c r="C2">
        <v>2603582</v>
      </c>
      <c r="D2" t="str">
        <f>HYPERLINK("http://www.ncbi.nlm.nih.gov/Taxonomy/Browser/wwwtax.cgi?mode=Info&amp;id=9606&amp;lvl=3&amp;lin=f&amp;keep=1&amp;srchmode=1&amp;unlock","9606")</f>
        <v>9606</v>
      </c>
      <c r="E2" t="s">
        <v>18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HYPERLINK("http://www.ncbi.nlm.nih.gov/protein/AAI32976.1","AR protein")</f>
        <v>AR protein</v>
      </c>
      <c r="J2">
        <v>1878.6</v>
      </c>
      <c r="K2" t="s">
        <v>20</v>
      </c>
      <c r="L2">
        <v>157</v>
      </c>
      <c r="M2">
        <v>44.41</v>
      </c>
      <c r="N2">
        <v>100</v>
      </c>
      <c r="O2" t="s">
        <v>20</v>
      </c>
      <c r="P2" t="s">
        <v>965</v>
      </c>
      <c r="Q2" t="s">
        <v>20</v>
      </c>
      <c r="R2" t="str">
        <f>HYPERLINK("https://cfpub.epa.gov/ecotox/explore.cfm?ncbi=9606","Explore in ECOTOX")</f>
        <v>Explore in ECOTOX</v>
      </c>
    </row>
    <row r="3" spans="1:18" x14ac:dyDescent="0.25">
      <c r="A3">
        <v>6</v>
      </c>
      <c r="B3" t="str">
        <f>HYPERLINK("http://www.ncbi.nlm.nih.gov/protein/PNI41853.1","PNI41853.1")</f>
        <v>PNI41853.1</v>
      </c>
      <c r="C3">
        <v>171683</v>
      </c>
      <c r="D3" t="str">
        <f>HYPERLINK("http://www.ncbi.nlm.nih.gov/Taxonomy/Browser/wwwtax.cgi?mode=Info&amp;id=9598&amp;lvl=3&amp;lin=f&amp;keep=1&amp;srchmode=1&amp;unlock","9598")</f>
        <v>9598</v>
      </c>
      <c r="E3" t="s">
        <v>18</v>
      </c>
      <c r="F3" t="s">
        <v>18</v>
      </c>
      <c r="G3" t="str">
        <f>HYPERLINK("http://www.ncbi.nlm.nih.gov/Taxonomy/Browser/wwwtax.cgi?mode=Info&amp;id=9598&amp;lvl=3&amp;lin=f&amp;keep=1&amp;srchmode=1&amp;unlock","Pan troglodytes")</f>
        <v>Pan troglodytes</v>
      </c>
      <c r="H3" t="s">
        <v>22</v>
      </c>
      <c r="I3" t="str">
        <f>HYPERLINK("http://www.ncbi.nlm.nih.gov/protein/PNI41853.1","AR isoform 1")</f>
        <v>AR isoform 1</v>
      </c>
      <c r="J3">
        <v>1862.04</v>
      </c>
      <c r="K3" t="s">
        <v>20</v>
      </c>
      <c r="L3">
        <v>157</v>
      </c>
      <c r="M3">
        <v>44.41</v>
      </c>
      <c r="N3">
        <v>99.12</v>
      </c>
      <c r="O3" t="s">
        <v>20</v>
      </c>
      <c r="P3" t="s">
        <v>965</v>
      </c>
      <c r="Q3" t="s">
        <v>20</v>
      </c>
      <c r="R3" t="str">
        <f>HYPERLINK("https://cfpub.epa.gov/ecotox/explore.cfm?ncbi=9598","Explore in ECOTOX")</f>
        <v>Explore in ECOTOX</v>
      </c>
    </row>
    <row r="4" spans="1:18" x14ac:dyDescent="0.25">
      <c r="A4">
        <v>6</v>
      </c>
      <c r="B4" t="str">
        <f>HYPERLINK("http://www.ncbi.nlm.nih.gov/protein/XP_034805436.1","XP_034805436.1")</f>
        <v>XP_034805436.1</v>
      </c>
      <c r="C4">
        <v>71982</v>
      </c>
      <c r="D4" t="str">
        <f>HYPERLINK("http://www.ncbi.nlm.nih.gov/Taxonomy/Browser/wwwtax.cgi?mode=Info&amp;id=9597&amp;lvl=3&amp;lin=f&amp;keep=1&amp;srchmode=1&amp;unlock","9597")</f>
        <v>9597</v>
      </c>
      <c r="E4" t="s">
        <v>18</v>
      </c>
      <c r="F4" t="s">
        <v>18</v>
      </c>
      <c r="G4" t="str">
        <f>HYPERLINK("http://www.ncbi.nlm.nih.gov/Taxonomy/Browser/wwwtax.cgi?mode=Info&amp;id=9597&amp;lvl=3&amp;lin=f&amp;keep=1&amp;srchmode=1&amp;unlock","Pan paniscus")</f>
        <v>Pan paniscus</v>
      </c>
      <c r="H4" t="s">
        <v>23</v>
      </c>
      <c r="I4" t="str">
        <f>HYPERLINK("http://www.ncbi.nlm.nih.gov/protein/XP_034805436.1","androgen receptor isoform X1")</f>
        <v>androgen receptor isoform X1</v>
      </c>
      <c r="J4">
        <v>1844.71</v>
      </c>
      <c r="K4" t="s">
        <v>20</v>
      </c>
      <c r="L4">
        <v>157</v>
      </c>
      <c r="M4">
        <v>44.41</v>
      </c>
      <c r="N4">
        <v>98.2</v>
      </c>
      <c r="O4" t="s">
        <v>20</v>
      </c>
      <c r="P4" t="s">
        <v>965</v>
      </c>
      <c r="Q4" t="s">
        <v>20</v>
      </c>
      <c r="R4" t="str">
        <f>HYPERLINK("https://cfpub.epa.gov/ecotox/explore.cfm?ncbi=9597","Explore in ECOTOX")</f>
        <v>Explore in ECOTOX</v>
      </c>
    </row>
    <row r="5" spans="1:18" x14ac:dyDescent="0.25">
      <c r="A5">
        <v>6</v>
      </c>
      <c r="B5" t="str">
        <f>HYPERLINK("http://www.ncbi.nlm.nih.gov/protein/XP_018875276.1","XP_018875276.1")</f>
        <v>XP_018875276.1</v>
      </c>
      <c r="C5">
        <v>52137</v>
      </c>
      <c r="D5" t="str">
        <f>HYPERLINK("http://www.ncbi.nlm.nih.gov/Taxonomy/Browser/wwwtax.cgi?mode=Info&amp;id=9595&amp;lvl=3&amp;lin=f&amp;keep=1&amp;srchmode=1&amp;unlock","9595")</f>
        <v>9595</v>
      </c>
      <c r="E5" t="s">
        <v>18</v>
      </c>
      <c r="F5" t="s">
        <v>18</v>
      </c>
      <c r="G5" t="str">
        <f>HYPERLINK("http://www.ncbi.nlm.nih.gov/Taxonomy/Browser/wwwtax.cgi?mode=Info&amp;id=9595&amp;lvl=3&amp;lin=f&amp;keep=1&amp;srchmode=1&amp;unlock","Gorilla gorilla gorilla")</f>
        <v>Gorilla gorilla gorilla</v>
      </c>
      <c r="H5" t="s">
        <v>24</v>
      </c>
      <c r="I5" t="str">
        <f>HYPERLINK("http://www.ncbi.nlm.nih.gov/protein/XP_018875276.1","androgen receptor")</f>
        <v>androgen receptor</v>
      </c>
      <c r="J5">
        <v>1830.45</v>
      </c>
      <c r="K5" t="s">
        <v>20</v>
      </c>
      <c r="L5">
        <v>157</v>
      </c>
      <c r="M5">
        <v>44.41</v>
      </c>
      <c r="N5">
        <v>97.44</v>
      </c>
      <c r="O5" t="s">
        <v>20</v>
      </c>
      <c r="P5" t="s">
        <v>965</v>
      </c>
      <c r="Q5" t="s">
        <v>20</v>
      </c>
      <c r="R5" t="str">
        <f>HYPERLINK("https://cfpub.epa.gov/ecotox/explore.cfm?ncbi=9595","Explore in ECOTOX")</f>
        <v>Explore in ECOTOX</v>
      </c>
    </row>
    <row r="6" spans="1:18" x14ac:dyDescent="0.25">
      <c r="A6">
        <v>6</v>
      </c>
      <c r="B6" t="str">
        <f>HYPERLINK("http://www.ncbi.nlm.nih.gov/protein/XP_009233214.1","XP_009233214.1")</f>
        <v>XP_009233214.1</v>
      </c>
      <c r="C6">
        <v>141069</v>
      </c>
      <c r="D6" t="str">
        <f>HYPERLINK("http://www.ncbi.nlm.nih.gov/Taxonomy/Browser/wwwtax.cgi?mode=Info&amp;id=9601&amp;lvl=3&amp;lin=f&amp;keep=1&amp;srchmode=1&amp;unlock","9601")</f>
        <v>9601</v>
      </c>
      <c r="E6" t="s">
        <v>18</v>
      </c>
      <c r="F6" t="s">
        <v>18</v>
      </c>
      <c r="G6" t="str">
        <f>HYPERLINK("http://www.ncbi.nlm.nih.gov/Taxonomy/Browser/wwwtax.cgi?mode=Info&amp;id=9601&amp;lvl=3&amp;lin=f&amp;keep=1&amp;srchmode=1&amp;unlock","Pongo abelii")</f>
        <v>Pongo abelii</v>
      </c>
      <c r="H6" t="s">
        <v>28</v>
      </c>
      <c r="I6" t="str">
        <f>HYPERLINK("http://www.ncbi.nlm.nih.gov/protein/XP_009233214.1","androgen receptor isoform X1")</f>
        <v>androgen receptor isoform X1</v>
      </c>
      <c r="J6">
        <v>1830.45</v>
      </c>
      <c r="K6" t="s">
        <v>25</v>
      </c>
      <c r="L6">
        <v>157</v>
      </c>
      <c r="M6">
        <v>44.41</v>
      </c>
      <c r="N6">
        <v>97.44</v>
      </c>
      <c r="O6" t="s">
        <v>20</v>
      </c>
      <c r="P6" t="s">
        <v>965</v>
      </c>
      <c r="Q6" t="s">
        <v>20</v>
      </c>
      <c r="R6" t="str">
        <f>HYPERLINK("https://cfpub.epa.gov/ecotox/explore.cfm?ncbi=9601","Explore in ECOTOX")</f>
        <v>Explore in ECOTOX</v>
      </c>
    </row>
    <row r="7" spans="1:18" x14ac:dyDescent="0.25">
      <c r="A7">
        <v>6</v>
      </c>
      <c r="B7" t="str">
        <f>HYPERLINK("http://www.ncbi.nlm.nih.gov/protein/XP_023054207.1","XP_023054207.1")</f>
        <v>XP_023054207.1</v>
      </c>
      <c r="C7">
        <v>55467</v>
      </c>
      <c r="D7" t="str">
        <f>HYPERLINK("http://www.ncbi.nlm.nih.gov/Taxonomy/Browser/wwwtax.cgi?mode=Info&amp;id=591936&amp;lvl=3&amp;lin=f&amp;keep=1&amp;srchmode=1&amp;unlock","591936")</f>
        <v>591936</v>
      </c>
      <c r="E7" t="s">
        <v>18</v>
      </c>
      <c r="F7" t="s">
        <v>18</v>
      </c>
      <c r="G7" t="str">
        <f>HYPERLINK("http://www.ncbi.nlm.nih.gov/Taxonomy/Browser/wwwtax.cgi?mode=Info&amp;id=591936&amp;lvl=3&amp;lin=f&amp;keep=1&amp;srchmode=1&amp;unlock","Piliocolobus tephrosceles")</f>
        <v>Piliocolobus tephrosceles</v>
      </c>
      <c r="H7" t="s">
        <v>33</v>
      </c>
      <c r="I7" t="str">
        <f>HYPERLINK("http://www.ncbi.nlm.nih.gov/protein/XP_023054207.1","androgen receptor isoform X1")</f>
        <v>androgen receptor isoform X1</v>
      </c>
      <c r="J7">
        <v>1820.05</v>
      </c>
      <c r="K7" t="s">
        <v>20</v>
      </c>
      <c r="L7">
        <v>157</v>
      </c>
      <c r="M7">
        <v>44.41</v>
      </c>
      <c r="N7">
        <v>96.88</v>
      </c>
      <c r="O7" t="s">
        <v>20</v>
      </c>
      <c r="P7" t="s">
        <v>965</v>
      </c>
      <c r="Q7" t="s">
        <v>20</v>
      </c>
      <c r="R7" t="str">
        <f>HYPERLINK("https://cfpub.epa.gov/ecotox/explore.cfm?ncbi=591936","Explore in ECOTOX")</f>
        <v>Explore in ECOTOX</v>
      </c>
    </row>
    <row r="8" spans="1:18" x14ac:dyDescent="0.25">
      <c r="A8">
        <v>6</v>
      </c>
      <c r="B8" t="str">
        <f>HYPERLINK("http://www.ncbi.nlm.nih.gov/protein/XP_025227875.1","XP_025227875.1")</f>
        <v>XP_025227875.1</v>
      </c>
      <c r="C8">
        <v>52581</v>
      </c>
      <c r="D8" t="str">
        <f>HYPERLINK("http://www.ncbi.nlm.nih.gov/Taxonomy/Browser/wwwtax.cgi?mode=Info&amp;id=9565&amp;lvl=3&amp;lin=f&amp;keep=1&amp;srchmode=1&amp;unlock","9565")</f>
        <v>9565</v>
      </c>
      <c r="E8" t="s">
        <v>18</v>
      </c>
      <c r="F8" t="s">
        <v>18</v>
      </c>
      <c r="G8" t="str">
        <f>HYPERLINK("http://www.ncbi.nlm.nih.gov/Taxonomy/Browser/wwwtax.cgi?mode=Info&amp;id=9565&amp;lvl=3&amp;lin=f&amp;keep=1&amp;srchmode=1&amp;unlock","Theropithecus gelada")</f>
        <v>Theropithecus gelada</v>
      </c>
      <c r="H8" t="s">
        <v>41</v>
      </c>
      <c r="I8" t="str">
        <f>HYPERLINK("http://www.ncbi.nlm.nih.gov/protein/XP_025227875.1","androgen receptor isoform X1")</f>
        <v>androgen receptor isoform X1</v>
      </c>
      <c r="J8">
        <v>1817.74</v>
      </c>
      <c r="K8" t="s">
        <v>20</v>
      </c>
      <c r="L8">
        <v>157</v>
      </c>
      <c r="M8">
        <v>44.41</v>
      </c>
      <c r="N8">
        <v>96.76</v>
      </c>
      <c r="O8" t="s">
        <v>20</v>
      </c>
      <c r="P8" t="s">
        <v>965</v>
      </c>
      <c r="Q8" t="s">
        <v>20</v>
      </c>
      <c r="R8" t="str">
        <f>HYPERLINK("https://cfpub.epa.gov/ecotox/explore.cfm?ncbi=9565","Explore in ECOTOX")</f>
        <v>Explore in ECOTOX</v>
      </c>
    </row>
    <row r="9" spans="1:18" x14ac:dyDescent="0.25">
      <c r="A9">
        <v>6</v>
      </c>
      <c r="B9" t="str">
        <f>HYPERLINK("http://www.ncbi.nlm.nih.gov/protein/XP_011731144.1","XP_011731144.1")</f>
        <v>XP_011731144.1</v>
      </c>
      <c r="C9">
        <v>68712</v>
      </c>
      <c r="D9" t="str">
        <f>HYPERLINK("http://www.ncbi.nlm.nih.gov/Taxonomy/Browser/wwwtax.cgi?mode=Info&amp;id=9545&amp;lvl=3&amp;lin=f&amp;keep=1&amp;srchmode=1&amp;unlock","9545")</f>
        <v>9545</v>
      </c>
      <c r="E9" t="s">
        <v>18</v>
      </c>
      <c r="F9" t="s">
        <v>18</v>
      </c>
      <c r="G9" t="str">
        <f>HYPERLINK("http://www.ncbi.nlm.nih.gov/Taxonomy/Browser/wwwtax.cgi?mode=Info&amp;id=9545&amp;lvl=3&amp;lin=f&amp;keep=1&amp;srchmode=1&amp;unlock","Macaca nemestrina")</f>
        <v>Macaca nemestrina</v>
      </c>
      <c r="H9" t="s">
        <v>30</v>
      </c>
      <c r="I9" t="str">
        <f>HYPERLINK("http://www.ncbi.nlm.nih.gov/protein/XP_011731144.1","androgen receptor isoform X1")</f>
        <v>androgen receptor isoform X1</v>
      </c>
      <c r="J9">
        <v>1816.59</v>
      </c>
      <c r="K9" t="s">
        <v>20</v>
      </c>
      <c r="L9">
        <v>157</v>
      </c>
      <c r="M9">
        <v>44.41</v>
      </c>
      <c r="N9">
        <v>96.7</v>
      </c>
      <c r="O9" t="s">
        <v>20</v>
      </c>
      <c r="P9" t="s">
        <v>965</v>
      </c>
      <c r="Q9" t="s">
        <v>20</v>
      </c>
      <c r="R9" t="str">
        <f>HYPERLINK("https://cfpub.epa.gov/ecotox/explore.cfm?ncbi=9545","Explore in ECOTOX")</f>
        <v>Explore in ECOTOX</v>
      </c>
    </row>
    <row r="10" spans="1:18" x14ac:dyDescent="0.25">
      <c r="A10">
        <v>6</v>
      </c>
      <c r="B10" t="str">
        <f>HYPERLINK("http://www.ncbi.nlm.nih.gov/protein/XP_003917866.2","XP_003917866.2")</f>
        <v>XP_003917866.2</v>
      </c>
      <c r="C10">
        <v>73528</v>
      </c>
      <c r="D10" t="str">
        <f>HYPERLINK("http://www.ncbi.nlm.nih.gov/Taxonomy/Browser/wwwtax.cgi?mode=Info&amp;id=9555&amp;lvl=3&amp;lin=f&amp;keep=1&amp;srchmode=1&amp;unlock","9555")</f>
        <v>9555</v>
      </c>
      <c r="E10" t="s">
        <v>18</v>
      </c>
      <c r="F10" t="s">
        <v>18</v>
      </c>
      <c r="G10" t="str">
        <f>HYPERLINK("http://www.ncbi.nlm.nih.gov/Taxonomy/Browser/wwwtax.cgi?mode=Info&amp;id=9555&amp;lvl=3&amp;lin=f&amp;keep=1&amp;srchmode=1&amp;unlock","Papio anubis")</f>
        <v>Papio anubis</v>
      </c>
      <c r="H10" t="s">
        <v>38</v>
      </c>
      <c r="I10" t="str">
        <f>HYPERLINK("http://www.ncbi.nlm.nih.gov/protein/XP_003917866.2","androgen receptor isoform X1")</f>
        <v>androgen receptor isoform X1</v>
      </c>
      <c r="J10">
        <v>1815.05</v>
      </c>
      <c r="K10" t="s">
        <v>25</v>
      </c>
      <c r="L10">
        <v>157</v>
      </c>
      <c r="M10">
        <v>44.41</v>
      </c>
      <c r="N10">
        <v>96.62</v>
      </c>
      <c r="O10" t="s">
        <v>20</v>
      </c>
      <c r="P10" t="s">
        <v>965</v>
      </c>
      <c r="Q10" t="s">
        <v>20</v>
      </c>
      <c r="R10" t="str">
        <f>HYPERLINK("https://cfpub.epa.gov/ecotox/explore.cfm?ncbi=9555","Explore in ECOTOX")</f>
        <v>Explore in ECOTOX</v>
      </c>
    </row>
    <row r="11" spans="1:18" x14ac:dyDescent="0.25">
      <c r="A11">
        <v>6</v>
      </c>
      <c r="B11" t="str">
        <f>HYPERLINK("http://www.ncbi.nlm.nih.gov/protein/XP_030790396.1","XP_030790396.1")</f>
        <v>XP_030790396.1</v>
      </c>
      <c r="C11">
        <v>53902</v>
      </c>
      <c r="D11" t="str">
        <f>HYPERLINK("http://www.ncbi.nlm.nih.gov/Taxonomy/Browser/wwwtax.cgi?mode=Info&amp;id=61622&amp;lvl=3&amp;lin=f&amp;keep=1&amp;srchmode=1&amp;unlock","61622")</f>
        <v>61622</v>
      </c>
      <c r="E11" t="s">
        <v>18</v>
      </c>
      <c r="F11" t="s">
        <v>18</v>
      </c>
      <c r="G11" t="str">
        <f>HYPERLINK("http://www.ncbi.nlm.nih.gov/Taxonomy/Browser/wwwtax.cgi?mode=Info&amp;id=61622&amp;lvl=3&amp;lin=f&amp;keep=1&amp;srchmode=1&amp;unlock","Rhinopithecus roxellana")</f>
        <v>Rhinopithecus roxellana</v>
      </c>
      <c r="H11" t="s">
        <v>36</v>
      </c>
      <c r="I11" t="str">
        <f>HYPERLINK("http://www.ncbi.nlm.nih.gov/protein/XP_030790396.1","androgen receptor")</f>
        <v>androgen receptor</v>
      </c>
      <c r="J11">
        <v>1815.05</v>
      </c>
      <c r="K11" t="s">
        <v>20</v>
      </c>
      <c r="L11">
        <v>157</v>
      </c>
      <c r="M11">
        <v>44.41</v>
      </c>
      <c r="N11">
        <v>96.62</v>
      </c>
      <c r="O11" t="s">
        <v>20</v>
      </c>
      <c r="P11" t="s">
        <v>965</v>
      </c>
      <c r="Q11" t="s">
        <v>20</v>
      </c>
      <c r="R11" t="str">
        <f>HYPERLINK("https://cfpub.epa.gov/ecotox/explore.cfm?ncbi=61622","Explore in ECOTOX")</f>
        <v>Explore in ECOTOX</v>
      </c>
    </row>
    <row r="12" spans="1:18" x14ac:dyDescent="0.25">
      <c r="A12">
        <v>6</v>
      </c>
      <c r="B12" t="str">
        <f>HYPERLINK("http://www.ncbi.nlm.nih.gov/protein/O97960.1","O97960.1")</f>
        <v>O97960.1</v>
      </c>
      <c r="C12">
        <v>593</v>
      </c>
      <c r="D12" t="str">
        <f>HYPERLINK("http://www.ncbi.nlm.nih.gov/Taxonomy/Browser/wwwtax.cgi?mode=Info&amp;id=9557&amp;lvl=3&amp;lin=f&amp;keep=1&amp;srchmode=1&amp;unlock","9557")</f>
        <v>9557</v>
      </c>
      <c r="E12" t="s">
        <v>18</v>
      </c>
      <c r="F12" t="s">
        <v>18</v>
      </c>
      <c r="G12" t="str">
        <f>HYPERLINK("http://www.ncbi.nlm.nih.gov/Taxonomy/Browser/wwwtax.cgi?mode=Info&amp;id=9557&amp;lvl=3&amp;lin=f&amp;keep=1&amp;srchmode=1&amp;unlock","Papio hamadryas")</f>
        <v>Papio hamadryas</v>
      </c>
      <c r="H12" t="s">
        <v>966</v>
      </c>
      <c r="I12" t="str">
        <f>HYPERLINK("http://www.ncbi.nlm.nih.gov/protein/O97960.1","RecName: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12">
        <v>1813.12</v>
      </c>
      <c r="K12" t="s">
        <v>20</v>
      </c>
      <c r="L12">
        <v>157</v>
      </c>
      <c r="M12">
        <v>44.41</v>
      </c>
      <c r="N12">
        <v>96.51</v>
      </c>
      <c r="O12" t="s">
        <v>20</v>
      </c>
      <c r="P12" t="s">
        <v>965</v>
      </c>
      <c r="Q12" t="s">
        <v>20</v>
      </c>
      <c r="R12" t="str">
        <f>HYPERLINK("https://cfpub.epa.gov/ecotox/explore.cfm?ncbi=9557","Explore in ECOTOX")</f>
        <v>Explore in ECOTOX</v>
      </c>
    </row>
    <row r="13" spans="1:18" x14ac:dyDescent="0.25">
      <c r="A13">
        <v>6</v>
      </c>
      <c r="B13" t="str">
        <f>HYPERLINK("http://www.ncbi.nlm.nih.gov/protein/XP_007990129.1","XP_007990129.1")</f>
        <v>XP_007990129.1</v>
      </c>
      <c r="C13">
        <v>62297</v>
      </c>
      <c r="D13" t="str">
        <f>HYPERLINK("http://www.ncbi.nlm.nih.gov/Taxonomy/Browser/wwwtax.cgi?mode=Info&amp;id=60711&amp;lvl=3&amp;lin=f&amp;keep=1&amp;srchmode=1&amp;unlock","60711")</f>
        <v>60711</v>
      </c>
      <c r="E13" t="s">
        <v>18</v>
      </c>
      <c r="F13" t="s">
        <v>18</v>
      </c>
      <c r="G13" t="str">
        <f>HYPERLINK("http://www.ncbi.nlm.nih.gov/Taxonomy/Browser/wwwtax.cgi?mode=Info&amp;id=60711&amp;lvl=3&amp;lin=f&amp;keep=1&amp;srchmode=1&amp;unlock","Chlorocebus sabaeus")</f>
        <v>Chlorocebus sabaeus</v>
      </c>
      <c r="H13" t="s">
        <v>52</v>
      </c>
      <c r="I13" t="str">
        <f>HYPERLINK("http://www.ncbi.nlm.nih.gov/protein/XP_007990129.1","androgen receptor")</f>
        <v>androgen receptor</v>
      </c>
      <c r="J13">
        <v>1813.12</v>
      </c>
      <c r="K13" t="s">
        <v>25</v>
      </c>
      <c r="L13">
        <v>157</v>
      </c>
      <c r="M13">
        <v>44.41</v>
      </c>
      <c r="N13">
        <v>96.51</v>
      </c>
      <c r="O13" t="s">
        <v>20</v>
      </c>
      <c r="P13" t="s">
        <v>965</v>
      </c>
      <c r="Q13" t="s">
        <v>20</v>
      </c>
      <c r="R13" t="str">
        <f>HYPERLINK("https://cfpub.epa.gov/ecotox/explore.cfm?ncbi=60711","Explore in ECOTOX")</f>
        <v>Explore in ECOTOX</v>
      </c>
    </row>
    <row r="14" spans="1:18" x14ac:dyDescent="0.25">
      <c r="A14">
        <v>6</v>
      </c>
      <c r="B14" t="str">
        <f>HYPERLINK("http://www.ncbi.nlm.nih.gov/protein/XP_011835925.1","XP_011835925.1")</f>
        <v>XP_011835925.1</v>
      </c>
      <c r="C14">
        <v>38457</v>
      </c>
      <c r="D14" t="str">
        <f>HYPERLINK("http://www.ncbi.nlm.nih.gov/Taxonomy/Browser/wwwtax.cgi?mode=Info&amp;id=9568&amp;lvl=3&amp;lin=f&amp;keep=1&amp;srchmode=1&amp;unlock","9568")</f>
        <v>9568</v>
      </c>
      <c r="E14" t="s">
        <v>18</v>
      </c>
      <c r="F14" t="s">
        <v>18</v>
      </c>
      <c r="G14" t="str">
        <f>HYPERLINK("http://www.ncbi.nlm.nih.gov/Taxonomy/Browser/wwwtax.cgi?mode=Info&amp;id=9568&amp;lvl=3&amp;lin=f&amp;keep=1&amp;srchmode=1&amp;unlock","Mandrillus leucophaeus")</f>
        <v>Mandrillus leucophaeus</v>
      </c>
      <c r="H14" t="s">
        <v>43</v>
      </c>
      <c r="I14" t="str">
        <f>HYPERLINK("http://www.ncbi.nlm.nih.gov/protein/XP_011835925.1","PREDICTED: androgen receptor isoform X1")</f>
        <v>PREDICTED: androgen receptor isoform X1</v>
      </c>
      <c r="J14">
        <v>1812.35</v>
      </c>
      <c r="K14" t="s">
        <v>20</v>
      </c>
      <c r="L14">
        <v>157</v>
      </c>
      <c r="M14">
        <v>44.41</v>
      </c>
      <c r="N14">
        <v>96.47</v>
      </c>
      <c r="O14" t="s">
        <v>20</v>
      </c>
      <c r="P14" t="s">
        <v>965</v>
      </c>
      <c r="Q14" t="s">
        <v>20</v>
      </c>
      <c r="R14" t="str">
        <f>HYPERLINK("https://cfpub.epa.gov/ecotox/explore.cfm?ncbi=9568","Explore in ECOTOX")</f>
        <v>Explore in ECOTOX</v>
      </c>
    </row>
    <row r="15" spans="1:18" x14ac:dyDescent="0.25">
      <c r="A15">
        <v>6</v>
      </c>
      <c r="B15" t="str">
        <f>HYPERLINK("http://www.ncbi.nlm.nih.gov/protein/XP_011817378.1","XP_011817378.1")</f>
        <v>XP_011817378.1</v>
      </c>
      <c r="C15">
        <v>38676</v>
      </c>
      <c r="D15" t="str">
        <f>HYPERLINK("http://www.ncbi.nlm.nih.gov/Taxonomy/Browser/wwwtax.cgi?mode=Info&amp;id=336983&amp;lvl=3&amp;lin=f&amp;keep=1&amp;srchmode=1&amp;unlock","336983")</f>
        <v>336983</v>
      </c>
      <c r="E15" t="s">
        <v>18</v>
      </c>
      <c r="F15" t="s">
        <v>18</v>
      </c>
      <c r="G15" t="str">
        <f>HYPERLINK("http://www.ncbi.nlm.nih.gov/Taxonomy/Browser/wwwtax.cgi?mode=Info&amp;id=336983&amp;lvl=3&amp;lin=f&amp;keep=1&amp;srchmode=1&amp;unlock","Colobus angolensis palliatus")</f>
        <v>Colobus angolensis palliatus</v>
      </c>
      <c r="H15" t="s">
        <v>32</v>
      </c>
      <c r="I15" t="str">
        <f>HYPERLINK("http://www.ncbi.nlm.nih.gov/protein/XP_011817378.1","PREDICTED: androgen receptor")</f>
        <v>PREDICTED: androgen receptor</v>
      </c>
      <c r="J15">
        <v>1809.27</v>
      </c>
      <c r="K15" t="s">
        <v>20</v>
      </c>
      <c r="L15">
        <v>157</v>
      </c>
      <c r="M15">
        <v>44.41</v>
      </c>
      <c r="N15">
        <v>96.31</v>
      </c>
      <c r="O15" t="s">
        <v>20</v>
      </c>
      <c r="P15" t="s">
        <v>965</v>
      </c>
      <c r="Q15" t="s">
        <v>20</v>
      </c>
      <c r="R15" t="str">
        <f>HYPERLINK("https://cfpub.epa.gov/ecotox/explore.cfm?ncbi=336983","Explore in ECOTOX")</f>
        <v>Explore in ECOTOX</v>
      </c>
    </row>
    <row r="16" spans="1:18" x14ac:dyDescent="0.25">
      <c r="A16">
        <v>6</v>
      </c>
      <c r="B16" t="str">
        <f>HYPERLINK("http://www.ncbi.nlm.nih.gov/protein/XP_030663284.1","XP_030663284.1")</f>
        <v>XP_030663284.1</v>
      </c>
      <c r="C16">
        <v>51657</v>
      </c>
      <c r="D16" t="str">
        <f>HYPERLINK("http://www.ncbi.nlm.nih.gov/Taxonomy/Browser/wwwtax.cgi?mode=Info&amp;id=61853&amp;lvl=3&amp;lin=f&amp;keep=1&amp;srchmode=1&amp;unlock","61853")</f>
        <v>61853</v>
      </c>
      <c r="E16" t="s">
        <v>18</v>
      </c>
      <c r="F16" t="s">
        <v>18</v>
      </c>
      <c r="G16" t="str">
        <f>HYPERLINK("http://www.ncbi.nlm.nih.gov/Taxonomy/Browser/wwwtax.cgi?mode=Info&amp;id=61853&amp;lvl=3&amp;lin=f&amp;keep=1&amp;srchmode=1&amp;unlock","Nomascus leucogenys")</f>
        <v>Nomascus leucogenys</v>
      </c>
      <c r="H16" t="s">
        <v>27</v>
      </c>
      <c r="I16" t="str">
        <f>HYPERLINK("http://www.ncbi.nlm.nih.gov/protein/XP_030663284.1","androgen receptor isoform X1")</f>
        <v>androgen receptor isoform X1</v>
      </c>
      <c r="J16">
        <v>1808.11</v>
      </c>
      <c r="K16" t="s">
        <v>20</v>
      </c>
      <c r="L16">
        <v>157</v>
      </c>
      <c r="M16">
        <v>44.41</v>
      </c>
      <c r="N16">
        <v>96.25</v>
      </c>
      <c r="O16" t="s">
        <v>20</v>
      </c>
      <c r="P16" t="s">
        <v>965</v>
      </c>
      <c r="Q16" t="s">
        <v>20</v>
      </c>
      <c r="R16" t="str">
        <f>HYPERLINK("https://cfpub.epa.gov/ecotox/explore.cfm?ncbi=61853","Explore in ECOTOX")</f>
        <v>Explore in ECOTOX</v>
      </c>
    </row>
    <row r="17" spans="1:18" x14ac:dyDescent="0.25">
      <c r="A17">
        <v>6</v>
      </c>
      <c r="B17" t="str">
        <f>HYPERLINK("http://www.ncbi.nlm.nih.gov/protein/XP_005593867.1","XP_005593867.1")</f>
        <v>XP_005593867.1</v>
      </c>
      <c r="C17">
        <v>98680</v>
      </c>
      <c r="D17" t="str">
        <f>HYPERLINK("http://www.ncbi.nlm.nih.gov/Taxonomy/Browser/wwwtax.cgi?mode=Info&amp;id=9541&amp;lvl=3&amp;lin=f&amp;keep=1&amp;srchmode=1&amp;unlock","9541")</f>
        <v>9541</v>
      </c>
      <c r="E17" t="s">
        <v>18</v>
      </c>
      <c r="F17" t="s">
        <v>18</v>
      </c>
      <c r="G17" t="str">
        <f>HYPERLINK("http://www.ncbi.nlm.nih.gov/Taxonomy/Browser/wwwtax.cgi?mode=Info&amp;id=9541&amp;lvl=3&amp;lin=f&amp;keep=1&amp;srchmode=1&amp;unlock","Macaca fascicularis")</f>
        <v>Macaca fascicularis</v>
      </c>
      <c r="H17" t="s">
        <v>31</v>
      </c>
      <c r="I17" t="str">
        <f>HYPERLINK("http://www.ncbi.nlm.nih.gov/protein/XP_005593867.1","PREDICTED: androgen receptor")</f>
        <v>PREDICTED: androgen receptor</v>
      </c>
      <c r="J17">
        <v>1808.11</v>
      </c>
      <c r="K17" t="s">
        <v>20</v>
      </c>
      <c r="L17">
        <v>157</v>
      </c>
      <c r="M17">
        <v>44.41</v>
      </c>
      <c r="N17">
        <v>96.25</v>
      </c>
      <c r="O17" t="s">
        <v>20</v>
      </c>
      <c r="P17" t="s">
        <v>965</v>
      </c>
      <c r="Q17" t="s">
        <v>20</v>
      </c>
      <c r="R17" t="str">
        <f>HYPERLINK("https://cfpub.epa.gov/ecotox/explore.cfm?ncbi=9541","Explore in ECOTOX")</f>
        <v>Explore in ECOTOX</v>
      </c>
    </row>
    <row r="18" spans="1:18" x14ac:dyDescent="0.25">
      <c r="A18">
        <v>6</v>
      </c>
      <c r="B18" t="str">
        <f>HYPERLINK("http://www.ncbi.nlm.nih.gov/protein/XP_011916275.1","XP_011916275.1")</f>
        <v>XP_011916275.1</v>
      </c>
      <c r="C18">
        <v>66421</v>
      </c>
      <c r="D18" t="str">
        <f>HYPERLINK("http://www.ncbi.nlm.nih.gov/Taxonomy/Browser/wwwtax.cgi?mode=Info&amp;id=9531&amp;lvl=3&amp;lin=f&amp;keep=1&amp;srchmode=1&amp;unlock","9531")</f>
        <v>9531</v>
      </c>
      <c r="E18" t="s">
        <v>18</v>
      </c>
      <c r="F18" t="s">
        <v>18</v>
      </c>
      <c r="G18" t="str">
        <f>HYPERLINK("http://www.ncbi.nlm.nih.gov/Taxonomy/Browser/wwwtax.cgi?mode=Info&amp;id=9531&amp;lvl=3&amp;lin=f&amp;keep=1&amp;srchmode=1&amp;unlock","Cercocebus atys")</f>
        <v>Cercocebus atys</v>
      </c>
      <c r="H18" t="s">
        <v>599</v>
      </c>
      <c r="I18" t="str">
        <f>HYPERLINK("http://www.ncbi.nlm.nih.gov/protein/XP_011916275.1","PREDICTED: androgen receptor")</f>
        <v>PREDICTED: androgen receptor</v>
      </c>
      <c r="J18">
        <v>1806.19</v>
      </c>
      <c r="K18" t="s">
        <v>20</v>
      </c>
      <c r="L18">
        <v>157</v>
      </c>
      <c r="M18">
        <v>44.41</v>
      </c>
      <c r="N18">
        <v>96.15</v>
      </c>
      <c r="O18" t="s">
        <v>20</v>
      </c>
      <c r="P18" t="s">
        <v>965</v>
      </c>
      <c r="Q18" t="s">
        <v>20</v>
      </c>
      <c r="R18" t="str">
        <f>HYPERLINK("https://cfpub.epa.gov/ecotox/explore.cfm?ncbi=9531","Explore in ECOTOX")</f>
        <v>Explore in ECOTOX</v>
      </c>
    </row>
    <row r="19" spans="1:18" x14ac:dyDescent="0.25">
      <c r="A19">
        <v>6</v>
      </c>
      <c r="B19" t="str">
        <f>HYPERLINK("http://www.ncbi.nlm.nih.gov/protein/NP_001028083.1","NP_001028083.1")</f>
        <v>NP_001028083.1</v>
      </c>
      <c r="C19">
        <v>177851</v>
      </c>
      <c r="D19" t="str">
        <f>HYPERLINK("http://www.ncbi.nlm.nih.gov/Taxonomy/Browser/wwwtax.cgi?mode=Info&amp;id=9544&amp;lvl=3&amp;lin=f&amp;keep=1&amp;srchmode=1&amp;unlock","9544")</f>
        <v>9544</v>
      </c>
      <c r="E19" t="s">
        <v>18</v>
      </c>
      <c r="F19" t="s">
        <v>18</v>
      </c>
      <c r="G19" t="str">
        <f>HYPERLINK("http://www.ncbi.nlm.nih.gov/Taxonomy/Browser/wwwtax.cgi?mode=Info&amp;id=9544&amp;lvl=3&amp;lin=f&amp;keep=1&amp;srchmode=1&amp;unlock","Macaca mulatta")</f>
        <v>Macaca mulatta</v>
      </c>
      <c r="H19" t="s">
        <v>29</v>
      </c>
      <c r="I19" t="str">
        <f>HYPERLINK("http://www.ncbi.nlm.nih.gov/protein/NP_001028083.1","androgen receptor")</f>
        <v>androgen receptor</v>
      </c>
      <c r="J19">
        <v>1805.42</v>
      </c>
      <c r="K19" t="s">
        <v>20</v>
      </c>
      <c r="L19">
        <v>157</v>
      </c>
      <c r="M19">
        <v>44.41</v>
      </c>
      <c r="N19">
        <v>96.1</v>
      </c>
      <c r="O19" t="s">
        <v>20</v>
      </c>
      <c r="P19" t="s">
        <v>965</v>
      </c>
      <c r="Q19" t="s">
        <v>20</v>
      </c>
      <c r="R19" t="str">
        <f>HYPERLINK("https://cfpub.epa.gov/ecotox/explore.cfm?ncbi=9544","Explore in ECOTOX")</f>
        <v>Explore in ECOTOX</v>
      </c>
    </row>
    <row r="20" spans="1:18" x14ac:dyDescent="0.25">
      <c r="A20">
        <v>6</v>
      </c>
      <c r="B20" t="str">
        <f>HYPERLINK("http://www.ncbi.nlm.nih.gov/protein/XP_032612994.1","XP_032612994.1")</f>
        <v>XP_032612994.1</v>
      </c>
      <c r="C20">
        <v>54538</v>
      </c>
      <c r="D20" t="str">
        <f>HYPERLINK("http://www.ncbi.nlm.nih.gov/Taxonomy/Browser/wwwtax.cgi?mode=Info&amp;id=81572&amp;lvl=3&amp;lin=f&amp;keep=1&amp;srchmode=1&amp;unlock","81572")</f>
        <v>81572</v>
      </c>
      <c r="E20" t="s">
        <v>18</v>
      </c>
      <c r="F20" t="s">
        <v>18</v>
      </c>
      <c r="G20" t="str">
        <f>HYPERLINK("http://www.ncbi.nlm.nih.gov/Taxonomy/Browser/wwwtax.cgi?mode=Info&amp;id=81572&amp;lvl=3&amp;lin=f&amp;keep=1&amp;srchmode=1&amp;unlock","Hylobates moloch")</f>
        <v>Hylobates moloch</v>
      </c>
      <c r="H20" t="s">
        <v>26</v>
      </c>
      <c r="I20" t="str">
        <f>HYPERLINK("http://www.ncbi.nlm.nih.gov/protein/XP_032612994.1","androgen receptor isoform X1")</f>
        <v>androgen receptor isoform X1</v>
      </c>
      <c r="J20">
        <v>1800.02</v>
      </c>
      <c r="K20" t="s">
        <v>20</v>
      </c>
      <c r="L20">
        <v>157</v>
      </c>
      <c r="M20">
        <v>44.41</v>
      </c>
      <c r="N20">
        <v>95.82</v>
      </c>
      <c r="O20" t="s">
        <v>20</v>
      </c>
      <c r="P20" t="s">
        <v>965</v>
      </c>
      <c r="Q20" t="s">
        <v>20</v>
      </c>
      <c r="R20" t="str">
        <f>HYPERLINK("https://cfpub.epa.gov/ecotox/explore.cfm?ncbi=81572","Explore in ECOTOX")</f>
        <v>Explore in ECOTOX</v>
      </c>
    </row>
    <row r="21" spans="1:18" x14ac:dyDescent="0.25">
      <c r="A21">
        <v>6</v>
      </c>
      <c r="B21" t="str">
        <f>HYPERLINK("http://www.ncbi.nlm.nih.gov/protein/XP_012316261.1","XP_012316261.1")</f>
        <v>XP_012316261.1</v>
      </c>
      <c r="C21">
        <v>48089</v>
      </c>
      <c r="D21" t="str">
        <f>HYPERLINK("http://www.ncbi.nlm.nih.gov/Taxonomy/Browser/wwwtax.cgi?mode=Info&amp;id=37293&amp;lvl=3&amp;lin=f&amp;keep=1&amp;srchmode=1&amp;unlock","37293")</f>
        <v>37293</v>
      </c>
      <c r="E21" t="s">
        <v>18</v>
      </c>
      <c r="F21" t="s">
        <v>18</v>
      </c>
      <c r="G21" t="str">
        <f>HYPERLINK("http://www.ncbi.nlm.nih.gov/Taxonomy/Browser/wwwtax.cgi?mode=Info&amp;id=37293&amp;lvl=3&amp;lin=f&amp;keep=1&amp;srchmode=1&amp;unlock","Aotus nancymaae")</f>
        <v>Aotus nancymaae</v>
      </c>
      <c r="H21" t="s">
        <v>65</v>
      </c>
      <c r="I21" t="str">
        <f>HYPERLINK("http://www.ncbi.nlm.nih.gov/protein/XP_012316261.1","androgen receptor isoform X1")</f>
        <v>androgen receptor isoform X1</v>
      </c>
      <c r="J21">
        <v>1744.17</v>
      </c>
      <c r="K21" t="s">
        <v>20</v>
      </c>
      <c r="L21">
        <v>157</v>
      </c>
      <c r="M21">
        <v>44.41</v>
      </c>
      <c r="N21">
        <v>92.84</v>
      </c>
      <c r="O21" t="s">
        <v>20</v>
      </c>
      <c r="P21" t="s">
        <v>965</v>
      </c>
      <c r="Q21" t="s">
        <v>20</v>
      </c>
      <c r="R21" t="str">
        <f>HYPERLINK("https://cfpub.epa.gov/ecotox/explore.cfm?ncbi=37293","Explore in ECOTOX")</f>
        <v>Explore in ECOTOX</v>
      </c>
    </row>
    <row r="22" spans="1:18" x14ac:dyDescent="0.25">
      <c r="A22">
        <v>6</v>
      </c>
      <c r="B22" t="str">
        <f>HYPERLINK("http://www.ncbi.nlm.nih.gov/protein/XP_002762998.1","XP_002762998.1")</f>
        <v>XP_002762998.1</v>
      </c>
      <c r="C22">
        <v>87648</v>
      </c>
      <c r="D22" t="str">
        <f>HYPERLINK("http://www.ncbi.nlm.nih.gov/Taxonomy/Browser/wwwtax.cgi?mode=Info&amp;id=9483&amp;lvl=3&amp;lin=f&amp;keep=1&amp;srchmode=1&amp;unlock","9483")</f>
        <v>9483</v>
      </c>
      <c r="E22" t="s">
        <v>18</v>
      </c>
      <c r="F22" t="s">
        <v>18</v>
      </c>
      <c r="G22" t="str">
        <f>HYPERLINK("http://www.ncbi.nlm.nih.gov/Taxonomy/Browser/wwwtax.cgi?mode=Info&amp;id=9483&amp;lvl=3&amp;lin=f&amp;keep=1&amp;srchmode=1&amp;unlock","Callithrix jacchus")</f>
        <v>Callithrix jacchus</v>
      </c>
      <c r="H22" t="s">
        <v>79</v>
      </c>
      <c r="I22" t="str">
        <f>HYPERLINK("http://www.ncbi.nlm.nih.gov/protein/XP_002762998.1","androgen receptor isoform X1")</f>
        <v>androgen receptor isoform X1</v>
      </c>
      <c r="J22">
        <v>1556.58</v>
      </c>
      <c r="K22" t="s">
        <v>20</v>
      </c>
      <c r="L22">
        <v>157</v>
      </c>
      <c r="M22">
        <v>44.41</v>
      </c>
      <c r="N22">
        <v>82.86</v>
      </c>
      <c r="O22" t="s">
        <v>20</v>
      </c>
      <c r="P22" t="s">
        <v>965</v>
      </c>
      <c r="Q22" t="s">
        <v>20</v>
      </c>
      <c r="R22" t="str">
        <f>HYPERLINK("https://cfpub.epa.gov/ecotox/explore.cfm?ncbi=9483","Explore in ECOTOX")</f>
        <v>Explore in ECOTOX</v>
      </c>
    </row>
    <row r="23" spans="1:18" x14ac:dyDescent="0.25">
      <c r="A23">
        <v>6</v>
      </c>
      <c r="B23" t="str">
        <f>HYPERLINK("http://www.ncbi.nlm.nih.gov/protein/XP_012499360.1","XP_012499360.1")</f>
        <v>XP_012499360.1</v>
      </c>
      <c r="C23">
        <v>28331</v>
      </c>
      <c r="D23" t="str">
        <f>HYPERLINK("http://www.ncbi.nlm.nih.gov/Taxonomy/Browser/wwwtax.cgi?mode=Info&amp;id=379532&amp;lvl=3&amp;lin=f&amp;keep=1&amp;srchmode=1&amp;unlock","379532")</f>
        <v>379532</v>
      </c>
      <c r="E23" t="s">
        <v>18</v>
      </c>
      <c r="F23" t="s">
        <v>18</v>
      </c>
      <c r="G23" t="str">
        <f>HYPERLINK("http://www.ncbi.nlm.nih.gov/Taxonomy/Browser/wwwtax.cgi?mode=Info&amp;id=379532&amp;lvl=3&amp;lin=f&amp;keep=1&amp;srchmode=1&amp;unlock","Propithecus coquereli")</f>
        <v>Propithecus coquereli</v>
      </c>
      <c r="H23" t="s">
        <v>652</v>
      </c>
      <c r="I23" t="str">
        <f>HYPERLINK("http://www.ncbi.nlm.nih.gov/protein/XP_012499360.1","PREDICTED: androgen receptor")</f>
        <v>PREDICTED: androgen receptor</v>
      </c>
      <c r="J23">
        <v>1535.78</v>
      </c>
      <c r="K23" t="s">
        <v>20</v>
      </c>
      <c r="L23">
        <v>157</v>
      </c>
      <c r="M23">
        <v>44.41</v>
      </c>
      <c r="N23">
        <v>81.75</v>
      </c>
      <c r="O23" t="s">
        <v>20</v>
      </c>
      <c r="P23" t="s">
        <v>965</v>
      </c>
      <c r="Q23" t="s">
        <v>20</v>
      </c>
      <c r="R23" t="str">
        <f>HYPERLINK("https://cfpub.epa.gov/ecotox/explore.cfm?ncbi=379532","Explore in ECOTOX")</f>
        <v>Explore in ECOTOX</v>
      </c>
    </row>
    <row r="24" spans="1:18" x14ac:dyDescent="0.25">
      <c r="A24">
        <v>6</v>
      </c>
      <c r="B24" t="str">
        <f>HYPERLINK("http://www.ncbi.nlm.nih.gov/protein/NP_001266892.1","NP_001266892.1")</f>
        <v>NP_001266892.1</v>
      </c>
      <c r="C24">
        <v>181</v>
      </c>
      <c r="D24" t="str">
        <f>HYPERLINK("http://www.ncbi.nlm.nih.gov/Taxonomy/Browser/wwwtax.cgi?mode=Info&amp;id=27679&amp;lvl=3&amp;lin=f&amp;keep=1&amp;srchmode=1&amp;unlock","27679")</f>
        <v>27679</v>
      </c>
      <c r="E24" t="s">
        <v>18</v>
      </c>
      <c r="F24" t="s">
        <v>18</v>
      </c>
      <c r="G24" t="str">
        <f>HYPERLINK("http://www.ncbi.nlm.nih.gov/Taxonomy/Browser/wwwtax.cgi?mode=Info&amp;id=27679&amp;lvl=3&amp;lin=f&amp;keep=1&amp;srchmode=1&amp;unlock","Saimiri boliviensis")</f>
        <v>Saimiri boliviensis</v>
      </c>
      <c r="H24" t="s">
        <v>73</v>
      </c>
      <c r="I24" t="str">
        <f>HYPERLINK("http://www.ncbi.nlm.nih.gov/protein/NP_001266892.1","androgen receptor")</f>
        <v>androgen receptor</v>
      </c>
      <c r="J24">
        <v>1521.52</v>
      </c>
      <c r="K24" t="s">
        <v>25</v>
      </c>
      <c r="L24">
        <v>157</v>
      </c>
      <c r="M24">
        <v>44.41</v>
      </c>
      <c r="N24">
        <v>80.989999999999995</v>
      </c>
      <c r="O24" t="s">
        <v>20</v>
      </c>
      <c r="P24" t="s">
        <v>965</v>
      </c>
      <c r="Q24" t="s">
        <v>20</v>
      </c>
      <c r="R24" t="str">
        <f>HYPERLINK("https://cfpub.epa.gov/ecotox/explore.cfm?ncbi=27679","Explore in ECOTOX")</f>
        <v>Explore in ECOTOX</v>
      </c>
    </row>
    <row r="25" spans="1:18" x14ac:dyDescent="0.25">
      <c r="A25">
        <v>6</v>
      </c>
      <c r="B25" t="str">
        <f>HYPERLINK("http://www.ncbi.nlm.nih.gov/protein/XP_017375691.1","XP_017375691.1")</f>
        <v>XP_017375691.1</v>
      </c>
      <c r="C25">
        <v>55886</v>
      </c>
      <c r="D25" t="str">
        <f>HYPERLINK("http://www.ncbi.nlm.nih.gov/Taxonomy/Browser/wwwtax.cgi?mode=Info&amp;id=2715852&amp;lvl=3&amp;lin=f&amp;keep=1&amp;srchmode=1&amp;unlock","2715852")</f>
        <v>2715852</v>
      </c>
      <c r="E25" t="s">
        <v>18</v>
      </c>
      <c r="F25" t="s">
        <v>18</v>
      </c>
      <c r="G25" t="str">
        <f>HYPERLINK("http://www.ncbi.nlm.nih.gov/Taxonomy/Browser/wwwtax.cgi?mode=Info&amp;id=2715852&amp;lvl=3&amp;lin=f&amp;keep=1&amp;srchmode=1&amp;unlock","Cebus imitator")</f>
        <v>Cebus imitator</v>
      </c>
      <c r="H25" t="s">
        <v>85</v>
      </c>
      <c r="I25" t="str">
        <f>HYPERLINK("http://www.ncbi.nlm.nih.gov/protein/XP_017375691.1","androgen receptor")</f>
        <v>androgen receptor</v>
      </c>
      <c r="J25">
        <v>1521.14</v>
      </c>
      <c r="K25" t="s">
        <v>20</v>
      </c>
      <c r="L25">
        <v>157</v>
      </c>
      <c r="M25">
        <v>44.41</v>
      </c>
      <c r="N25">
        <v>80.97</v>
      </c>
      <c r="O25" t="s">
        <v>20</v>
      </c>
      <c r="P25" t="s">
        <v>965</v>
      </c>
      <c r="Q25" t="s">
        <v>20</v>
      </c>
      <c r="R25" t="str">
        <f>HYPERLINK("https://cfpub.epa.gov/ecotox/explore.cfm?ncbi=2715852","Explore in ECOTOX")</f>
        <v>Explore in ECOTOX</v>
      </c>
    </row>
    <row r="26" spans="1:18" x14ac:dyDescent="0.25">
      <c r="A26">
        <v>6</v>
      </c>
      <c r="B26" t="str">
        <f>HYPERLINK("http://www.ncbi.nlm.nih.gov/protein/XP_032111715.1","XP_032111715.1")</f>
        <v>XP_032111715.1</v>
      </c>
      <c r="C26">
        <v>62477</v>
      </c>
      <c r="D26" t="str">
        <f>HYPERLINK("http://www.ncbi.nlm.nih.gov/Taxonomy/Browser/wwwtax.cgi?mode=Info&amp;id=9515&amp;lvl=3&amp;lin=f&amp;keep=1&amp;srchmode=1&amp;unlock","9515")</f>
        <v>9515</v>
      </c>
      <c r="E26" t="s">
        <v>18</v>
      </c>
      <c r="F26" t="s">
        <v>18</v>
      </c>
      <c r="G26" t="str">
        <f>HYPERLINK("http://www.ncbi.nlm.nih.gov/Taxonomy/Browser/wwwtax.cgi?mode=Info&amp;id=9515&amp;lvl=3&amp;lin=f&amp;keep=1&amp;srchmode=1&amp;unlock","Sapajus apella")</f>
        <v>Sapajus apella</v>
      </c>
      <c r="H26" t="s">
        <v>86</v>
      </c>
      <c r="I26" t="str">
        <f>HYPERLINK("http://www.ncbi.nlm.nih.gov/protein/XP_032111715.1","androgen receptor isoform X1")</f>
        <v>androgen receptor isoform X1</v>
      </c>
      <c r="J26">
        <v>1521.14</v>
      </c>
      <c r="K26" t="s">
        <v>25</v>
      </c>
      <c r="L26">
        <v>157</v>
      </c>
      <c r="M26">
        <v>44.41</v>
      </c>
      <c r="N26">
        <v>80.97</v>
      </c>
      <c r="O26" t="s">
        <v>20</v>
      </c>
      <c r="P26" t="s">
        <v>965</v>
      </c>
      <c r="Q26" t="s">
        <v>20</v>
      </c>
      <c r="R26" t="str">
        <f>HYPERLINK("https://cfpub.epa.gov/ecotox/explore.cfm?ncbi=9515","Explore in ECOTOX")</f>
        <v>Explore in ECOTOX</v>
      </c>
    </row>
    <row r="27" spans="1:18" x14ac:dyDescent="0.25">
      <c r="A27">
        <v>6</v>
      </c>
      <c r="B27" t="str">
        <f>HYPERLINK("http://www.ncbi.nlm.nih.gov/protein/XP_008062492.1","XP_008062492.1")</f>
        <v>XP_008062492.1</v>
      </c>
      <c r="C27">
        <v>33266</v>
      </c>
      <c r="D27" t="str">
        <f>HYPERLINK("http://www.ncbi.nlm.nih.gov/Taxonomy/Browser/wwwtax.cgi?mode=Info&amp;id=1868482&amp;lvl=3&amp;lin=f&amp;keep=1&amp;srchmode=1&amp;unlock","1868482")</f>
        <v>1868482</v>
      </c>
      <c r="E27" t="s">
        <v>18</v>
      </c>
      <c r="F27" t="s">
        <v>18</v>
      </c>
      <c r="G27" t="str">
        <f>HYPERLINK("http://www.ncbi.nlm.nih.gov/Taxonomy/Browser/wwwtax.cgi?mode=Info&amp;id=1868482&amp;lvl=3&amp;lin=f&amp;keep=1&amp;srchmode=1&amp;unlock","Carlito syrichta")</f>
        <v>Carlito syrichta</v>
      </c>
      <c r="H27" t="s">
        <v>69</v>
      </c>
      <c r="I27" t="str">
        <f>HYPERLINK("http://www.ncbi.nlm.nih.gov/protein/XP_008062492.1","androgen receptor")</f>
        <v>androgen receptor</v>
      </c>
      <c r="J27">
        <v>1515.75</v>
      </c>
      <c r="K27" t="s">
        <v>20</v>
      </c>
      <c r="L27">
        <v>157</v>
      </c>
      <c r="M27">
        <v>44.41</v>
      </c>
      <c r="N27">
        <v>80.69</v>
      </c>
      <c r="O27" t="s">
        <v>20</v>
      </c>
      <c r="P27" t="s">
        <v>965</v>
      </c>
      <c r="Q27" t="s">
        <v>20</v>
      </c>
      <c r="R27" t="str">
        <f>HYPERLINK("https://cfpub.epa.gov/ecotox/explore.cfm?ncbi=1868482","Explore in ECOTOX")</f>
        <v>Explore in ECOTOX</v>
      </c>
    </row>
    <row r="28" spans="1:18" x14ac:dyDescent="0.25">
      <c r="A28">
        <v>6</v>
      </c>
      <c r="B28" t="str">
        <f>HYPERLINK("http://www.ncbi.nlm.nih.gov/protein/XP_004416958.1","XP_004416958.1")</f>
        <v>XP_004416958.1</v>
      </c>
      <c r="C28">
        <v>31383</v>
      </c>
      <c r="D28" t="str">
        <f>HYPERLINK("http://www.ncbi.nlm.nih.gov/Taxonomy/Browser/wwwtax.cgi?mode=Info&amp;id=9708&amp;lvl=3&amp;lin=f&amp;keep=1&amp;srchmode=1&amp;unlock","9708")</f>
        <v>9708</v>
      </c>
      <c r="E28" t="s">
        <v>18</v>
      </c>
      <c r="F28" t="s">
        <v>18</v>
      </c>
      <c r="G28" t="str">
        <f>HYPERLINK("http://www.ncbi.nlm.nih.gov/Taxonomy/Browser/wwwtax.cgi?mode=Info&amp;id=9708&amp;lvl=3&amp;lin=f&amp;keep=1&amp;srchmode=1&amp;unlock","Odobenus rosmarus divergens")</f>
        <v>Odobenus rosmarus divergens</v>
      </c>
      <c r="H28" t="s">
        <v>83</v>
      </c>
      <c r="I28" t="str">
        <f>HYPERLINK("http://www.ncbi.nlm.nih.gov/protein/XP_004416958.1","PREDICTED: androgen receptor")</f>
        <v>PREDICTED: androgen receptor</v>
      </c>
      <c r="J28">
        <v>1514.98</v>
      </c>
      <c r="K28" t="s">
        <v>20</v>
      </c>
      <c r="L28">
        <v>157</v>
      </c>
      <c r="M28">
        <v>44.41</v>
      </c>
      <c r="N28">
        <v>80.64</v>
      </c>
      <c r="O28" t="s">
        <v>20</v>
      </c>
      <c r="P28" t="s">
        <v>965</v>
      </c>
      <c r="Q28" t="s">
        <v>20</v>
      </c>
      <c r="R28" t="str">
        <f>HYPERLINK("https://cfpub.epa.gov/ecotox/explore.cfm?ncbi=9708","Explore in ECOTOX")</f>
        <v>Explore in ECOTOX</v>
      </c>
    </row>
    <row r="29" spans="1:18" x14ac:dyDescent="0.25">
      <c r="A29">
        <v>6</v>
      </c>
      <c r="B29" t="str">
        <f>HYPERLINK("http://www.ncbi.nlm.nih.gov/protein/XP_027287560.1","XP_027287560.1")</f>
        <v>XP_027287560.1</v>
      </c>
      <c r="C29">
        <v>138048</v>
      </c>
      <c r="D29" t="str">
        <f>HYPERLINK("http://www.ncbi.nlm.nih.gov/Taxonomy/Browser/wwwtax.cgi?mode=Info&amp;id=10029&amp;lvl=3&amp;lin=f&amp;keep=1&amp;srchmode=1&amp;unlock","10029")</f>
        <v>10029</v>
      </c>
      <c r="E29" t="s">
        <v>18</v>
      </c>
      <c r="F29" t="s">
        <v>18</v>
      </c>
      <c r="G29" t="str">
        <f>HYPERLINK("http://www.ncbi.nlm.nih.gov/Taxonomy/Browser/wwwtax.cgi?mode=Info&amp;id=10029&amp;lvl=3&amp;lin=f&amp;keep=1&amp;srchmode=1&amp;unlock","Cricetulus griseus")</f>
        <v>Cricetulus griseus</v>
      </c>
      <c r="H29" t="s">
        <v>149</v>
      </c>
      <c r="I29" t="str">
        <f>HYPERLINK("http://www.ncbi.nlm.nih.gov/protein/XP_027287560.1","androgen receptor isoform X3")</f>
        <v>androgen receptor isoform X3</v>
      </c>
      <c r="J29">
        <v>1503.8</v>
      </c>
      <c r="K29" t="s">
        <v>20</v>
      </c>
      <c r="L29">
        <v>157</v>
      </c>
      <c r="M29">
        <v>44.41</v>
      </c>
      <c r="N29">
        <v>80.05</v>
      </c>
      <c r="O29" t="s">
        <v>20</v>
      </c>
      <c r="P29" t="s">
        <v>965</v>
      </c>
      <c r="Q29" t="s">
        <v>20</v>
      </c>
      <c r="R29" t="str">
        <f>HYPERLINK("https://cfpub.epa.gov/ecotox/explore.cfm?ncbi=10029","Explore in ECOTOX")</f>
        <v>Explore in ECOTOX</v>
      </c>
    </row>
    <row r="30" spans="1:18" x14ac:dyDescent="0.25">
      <c r="A30">
        <v>6</v>
      </c>
      <c r="B30" t="str">
        <f>HYPERLINK("http://www.ncbi.nlm.nih.gov/protein/XP_032249776.1","XP_032249776.1")</f>
        <v>XP_032249776.1</v>
      </c>
      <c r="C30">
        <v>45582</v>
      </c>
      <c r="D30" t="str">
        <f>HYPERLINK("http://www.ncbi.nlm.nih.gov/Taxonomy/Browser/wwwtax.cgi?mode=Info&amp;id=9720&amp;lvl=3&amp;lin=f&amp;keep=1&amp;srchmode=1&amp;unlock","9720")</f>
        <v>9720</v>
      </c>
      <c r="E30" t="s">
        <v>18</v>
      </c>
      <c r="F30" t="s">
        <v>18</v>
      </c>
      <c r="G30" t="str">
        <f>HYPERLINK("http://www.ncbi.nlm.nih.gov/Taxonomy/Browser/wwwtax.cgi?mode=Info&amp;id=9720&amp;lvl=3&amp;lin=f&amp;keep=1&amp;srchmode=1&amp;unlock","Phoca vitulina")</f>
        <v>Phoca vitulina</v>
      </c>
      <c r="H30" t="s">
        <v>46</v>
      </c>
      <c r="I30" t="str">
        <f>HYPERLINK("http://www.ncbi.nlm.nih.gov/protein/XP_032249776.1","androgen receptor")</f>
        <v>androgen receptor</v>
      </c>
      <c r="J30">
        <v>1501.88</v>
      </c>
      <c r="K30" t="s">
        <v>20</v>
      </c>
      <c r="L30">
        <v>157</v>
      </c>
      <c r="M30">
        <v>44.41</v>
      </c>
      <c r="N30">
        <v>79.95</v>
      </c>
      <c r="O30" t="s">
        <v>20</v>
      </c>
      <c r="P30" t="s">
        <v>965</v>
      </c>
      <c r="Q30" t="s">
        <v>20</v>
      </c>
      <c r="R30" t="str">
        <f>HYPERLINK("https://cfpub.epa.gov/ecotox/explore.cfm?ncbi=9720","Explore in ECOTOX")</f>
        <v>Explore in ECOTOX</v>
      </c>
    </row>
    <row r="31" spans="1:18" x14ac:dyDescent="0.25">
      <c r="A31">
        <v>6</v>
      </c>
      <c r="B31" t="str">
        <f>HYPERLINK("http://www.ncbi.nlm.nih.gov/protein/XP_027464601.1","XP_027464601.1")</f>
        <v>XP_027464601.1</v>
      </c>
      <c r="C31">
        <v>61138</v>
      </c>
      <c r="D31" t="str">
        <f>HYPERLINK("http://www.ncbi.nlm.nih.gov/Taxonomy/Browser/wwwtax.cgi?mode=Info&amp;id=9704&amp;lvl=3&amp;lin=f&amp;keep=1&amp;srchmode=1&amp;unlock","9704")</f>
        <v>9704</v>
      </c>
      <c r="E31" t="s">
        <v>18</v>
      </c>
      <c r="F31" t="s">
        <v>18</v>
      </c>
      <c r="G31" t="str">
        <f>HYPERLINK("http://www.ncbi.nlm.nih.gov/Taxonomy/Browser/wwwtax.cgi?mode=Info&amp;id=9704&amp;lvl=3&amp;lin=f&amp;keep=1&amp;srchmode=1&amp;unlock","Zalophus californianus")</f>
        <v>Zalophus californianus</v>
      </c>
      <c r="H31" t="s">
        <v>67</v>
      </c>
      <c r="I31" t="str">
        <f>HYPERLINK("http://www.ncbi.nlm.nih.gov/protein/XP_027464601.1","androgen receptor")</f>
        <v>androgen receptor</v>
      </c>
      <c r="J31">
        <v>1501.88</v>
      </c>
      <c r="K31" t="s">
        <v>20</v>
      </c>
      <c r="L31">
        <v>157</v>
      </c>
      <c r="M31">
        <v>44.41</v>
      </c>
      <c r="N31">
        <v>79.95</v>
      </c>
      <c r="O31" t="s">
        <v>20</v>
      </c>
      <c r="P31" t="s">
        <v>965</v>
      </c>
      <c r="Q31" t="s">
        <v>20</v>
      </c>
      <c r="R31" t="str">
        <f>HYPERLINK("https://cfpub.epa.gov/ecotox/explore.cfm?ncbi=9704","Explore in ECOTOX")</f>
        <v>Explore in ECOTOX</v>
      </c>
    </row>
    <row r="32" spans="1:18" x14ac:dyDescent="0.25">
      <c r="A32">
        <v>6</v>
      </c>
      <c r="B32" t="str">
        <f>HYPERLINK("http://www.ncbi.nlm.nih.gov/protein/XP_034868513.1","XP_034868513.1")</f>
        <v>XP_034868513.1</v>
      </c>
      <c r="C32">
        <v>64815</v>
      </c>
      <c r="D32" t="str">
        <f>HYPERLINK("http://www.ncbi.nlm.nih.gov/Taxonomy/Browser/wwwtax.cgi?mode=Info&amp;id=9715&amp;lvl=3&amp;lin=f&amp;keep=1&amp;srchmode=1&amp;unlock","9715")</f>
        <v>9715</v>
      </c>
      <c r="E32" t="s">
        <v>18</v>
      </c>
      <c r="F32" t="s">
        <v>18</v>
      </c>
      <c r="G32" t="str">
        <f>HYPERLINK("http://www.ncbi.nlm.nih.gov/Taxonomy/Browser/wwwtax.cgi?mode=Info&amp;id=9715&amp;lvl=3&amp;lin=f&amp;keep=1&amp;srchmode=1&amp;unlock","Mirounga leonina")</f>
        <v>Mirounga leonina</v>
      </c>
      <c r="H32" t="s">
        <v>58</v>
      </c>
      <c r="I32" t="str">
        <f>HYPERLINK("http://www.ncbi.nlm.nih.gov/protein/XP_034868513.1","androgen receptor")</f>
        <v>androgen receptor</v>
      </c>
      <c r="J32">
        <v>1499.57</v>
      </c>
      <c r="K32" t="s">
        <v>20</v>
      </c>
      <c r="L32">
        <v>157</v>
      </c>
      <c r="M32">
        <v>44.41</v>
      </c>
      <c r="N32">
        <v>79.819999999999993</v>
      </c>
      <c r="O32" t="s">
        <v>20</v>
      </c>
      <c r="P32" t="s">
        <v>965</v>
      </c>
      <c r="Q32" t="s">
        <v>20</v>
      </c>
      <c r="R32" t="str">
        <f>HYPERLINK("https://cfpub.epa.gov/ecotox/explore.cfm?ncbi=9715","Explore in ECOTOX")</f>
        <v>Explore in ECOTOX</v>
      </c>
    </row>
    <row r="33" spans="1:18" x14ac:dyDescent="0.25">
      <c r="A33">
        <v>6</v>
      </c>
      <c r="B33" t="str">
        <f>HYPERLINK("http://www.ncbi.nlm.nih.gov/protein/XP_003801358.1","XP_003801358.1")</f>
        <v>XP_003801358.1</v>
      </c>
      <c r="C33">
        <v>33103</v>
      </c>
      <c r="D33" t="str">
        <f>HYPERLINK("http://www.ncbi.nlm.nih.gov/Taxonomy/Browser/wwwtax.cgi?mode=Info&amp;id=30611&amp;lvl=3&amp;lin=f&amp;keep=1&amp;srchmode=1&amp;unlock","30611")</f>
        <v>30611</v>
      </c>
      <c r="E33" t="s">
        <v>18</v>
      </c>
      <c r="F33" t="s">
        <v>18</v>
      </c>
      <c r="G33" t="str">
        <f>HYPERLINK("http://www.ncbi.nlm.nih.gov/Taxonomy/Browser/wwwtax.cgi?mode=Info&amp;id=30611&amp;lvl=3&amp;lin=f&amp;keep=1&amp;srchmode=1&amp;unlock","Otolemur garnettii")</f>
        <v>Otolemur garnettii</v>
      </c>
      <c r="H33" t="s">
        <v>88</v>
      </c>
      <c r="I33" t="str">
        <f>HYPERLINK("http://www.ncbi.nlm.nih.gov/protein/XP_003801358.1","androgen receptor isoform X1")</f>
        <v>androgen receptor isoform X1</v>
      </c>
      <c r="J33">
        <v>1499.57</v>
      </c>
      <c r="K33" t="s">
        <v>20</v>
      </c>
      <c r="L33">
        <v>157</v>
      </c>
      <c r="M33">
        <v>44.41</v>
      </c>
      <c r="N33">
        <v>79.819999999999993</v>
      </c>
      <c r="O33" t="s">
        <v>20</v>
      </c>
      <c r="P33" t="s">
        <v>965</v>
      </c>
      <c r="Q33" t="s">
        <v>20</v>
      </c>
      <c r="R33" t="str">
        <f>HYPERLINK("https://cfpub.epa.gov/ecotox/explore.cfm?ncbi=30611","Explore in ECOTOX")</f>
        <v>Explore in ECOTOX</v>
      </c>
    </row>
    <row r="34" spans="1:18" x14ac:dyDescent="0.25">
      <c r="A34">
        <v>6</v>
      </c>
      <c r="B34" t="str">
        <f>HYPERLINK("http://www.ncbi.nlm.nih.gov/protein/O97776.1","O97776.1")</f>
        <v>O97776.1</v>
      </c>
      <c r="C34">
        <v>64</v>
      </c>
      <c r="D34" t="str">
        <f>HYPERLINK("http://www.ncbi.nlm.nih.gov/Taxonomy/Browser/wwwtax.cgi?mode=Info&amp;id=47178&amp;lvl=3&amp;lin=f&amp;keep=1&amp;srchmode=1&amp;unlock","47178")</f>
        <v>47178</v>
      </c>
      <c r="E34" t="s">
        <v>18</v>
      </c>
      <c r="F34" t="s">
        <v>18</v>
      </c>
      <c r="G34" t="str">
        <f>HYPERLINK("http://www.ncbi.nlm.nih.gov/Taxonomy/Browser/wwwtax.cgi?mode=Info&amp;id=47178&amp;lvl=3&amp;lin=f&amp;keep=1&amp;srchmode=1&amp;unlock","Eulemur fulvus collaris")</f>
        <v>Eulemur fulvus collaris</v>
      </c>
      <c r="H34" t="s">
        <v>967</v>
      </c>
      <c r="I34" t="str">
        <f>HYPERLINK("http://www.ncbi.nlm.nih.gov/protein/O97776.1","RecName: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34">
        <v>1497.64</v>
      </c>
      <c r="K34" t="s">
        <v>20</v>
      </c>
      <c r="L34">
        <v>157</v>
      </c>
      <c r="M34">
        <v>44.41</v>
      </c>
      <c r="N34">
        <v>79.72</v>
      </c>
      <c r="O34" t="s">
        <v>20</v>
      </c>
      <c r="P34" t="s">
        <v>965</v>
      </c>
      <c r="Q34" t="s">
        <v>20</v>
      </c>
      <c r="R34" t="str">
        <f>HYPERLINK("https://cfpub.epa.gov/ecotox/explore.cfm?ncbi=47178","Explore in ECOTOX")</f>
        <v>Explore in ECOTOX</v>
      </c>
    </row>
    <row r="35" spans="1:18" x14ac:dyDescent="0.25">
      <c r="A35">
        <v>6</v>
      </c>
      <c r="B35" t="str">
        <f>HYPERLINK("http://www.ncbi.nlm.nih.gov/protein/ANA11823.1","ANA11823.1")</f>
        <v>ANA11823.1</v>
      </c>
      <c r="C35">
        <v>67826</v>
      </c>
      <c r="D35" t="str">
        <f>HYPERLINK("http://www.ncbi.nlm.nih.gov/Taxonomy/Browser/wwwtax.cgi?mode=Info&amp;id=9796&amp;lvl=3&amp;lin=f&amp;keep=1&amp;srchmode=1&amp;unlock","9796")</f>
        <v>9796</v>
      </c>
      <c r="E35" t="s">
        <v>18</v>
      </c>
      <c r="F35" t="s">
        <v>18</v>
      </c>
      <c r="G35" t="str">
        <f>HYPERLINK("http://www.ncbi.nlm.nih.gov/Taxonomy/Browser/wwwtax.cgi?mode=Info&amp;id=9796&amp;lvl=3&amp;lin=f&amp;keep=1&amp;srchmode=1&amp;unlock","Equus caballus")</f>
        <v>Equus caballus</v>
      </c>
      <c r="H35" t="s">
        <v>388</v>
      </c>
      <c r="I35" t="str">
        <f>HYPERLINK("http://www.ncbi.nlm.nih.gov/protein/ANA11823.1","androgen receptor")</f>
        <v>androgen receptor</v>
      </c>
      <c r="J35">
        <v>1497.26</v>
      </c>
      <c r="K35" t="s">
        <v>20</v>
      </c>
      <c r="L35">
        <v>157</v>
      </c>
      <c r="M35">
        <v>44.41</v>
      </c>
      <c r="N35">
        <v>79.7</v>
      </c>
      <c r="O35" t="s">
        <v>20</v>
      </c>
      <c r="P35" t="s">
        <v>965</v>
      </c>
      <c r="Q35" t="s">
        <v>20</v>
      </c>
      <c r="R35" t="str">
        <f>HYPERLINK("https://cfpub.epa.gov/ecotox/explore.cfm?ncbi=9796","Explore in ECOTOX")</f>
        <v>Explore in ECOTOX</v>
      </c>
    </row>
    <row r="36" spans="1:18" x14ac:dyDescent="0.25">
      <c r="A36">
        <v>6</v>
      </c>
      <c r="B36" t="str">
        <f>HYPERLINK("http://www.ncbi.nlm.nih.gov/protein/BCD56309.1","BCD56309.1")</f>
        <v>BCD56309.1</v>
      </c>
      <c r="C36">
        <v>136175</v>
      </c>
      <c r="D36" t="str">
        <f>HYPERLINK("http://www.ncbi.nlm.nih.gov/Taxonomy/Browser/wwwtax.cgi?mode=Info&amp;id=9615&amp;lvl=3&amp;lin=f&amp;keep=1&amp;srchmode=1&amp;unlock","9615")</f>
        <v>9615</v>
      </c>
      <c r="E36" t="s">
        <v>18</v>
      </c>
      <c r="F36" t="s">
        <v>18</v>
      </c>
      <c r="G36" t="str">
        <f>HYPERLINK("http://www.ncbi.nlm.nih.gov/Taxonomy/Browser/wwwtax.cgi?mode=Info&amp;id=9615&amp;lvl=3&amp;lin=f&amp;keep=1&amp;srchmode=1&amp;unlock","Canis lupus familiaris")</f>
        <v>Canis lupus familiaris</v>
      </c>
      <c r="H36" t="s">
        <v>54</v>
      </c>
      <c r="I36" t="str">
        <f>HYPERLINK("http://www.ncbi.nlm.nih.gov/protein/BCD56309.1","canine androgen receptor")</f>
        <v>canine androgen receptor</v>
      </c>
      <c r="J36">
        <v>1496.87</v>
      </c>
      <c r="K36" t="s">
        <v>20</v>
      </c>
      <c r="L36">
        <v>157</v>
      </c>
      <c r="M36">
        <v>44.41</v>
      </c>
      <c r="N36">
        <v>79.680000000000007</v>
      </c>
      <c r="O36" t="s">
        <v>20</v>
      </c>
      <c r="P36" t="s">
        <v>965</v>
      </c>
      <c r="Q36" t="s">
        <v>20</v>
      </c>
      <c r="R36" t="str">
        <f>HYPERLINK("https://cfpub.epa.gov/ecotox/explore.cfm?ncbi=9615","Explore in ECOTOX")</f>
        <v>Explore in ECOTOX</v>
      </c>
    </row>
    <row r="37" spans="1:18" x14ac:dyDescent="0.25">
      <c r="A37">
        <v>6</v>
      </c>
      <c r="B37" t="str">
        <f>HYPERLINK("http://www.ncbi.nlm.nih.gov/protein/XP_025842610.1","XP_025842610.1")</f>
        <v>XP_025842610.1</v>
      </c>
      <c r="C37">
        <v>38432</v>
      </c>
      <c r="D37" t="str">
        <f>HYPERLINK("http://www.ncbi.nlm.nih.gov/Taxonomy/Browser/wwwtax.cgi?mode=Info&amp;id=9627&amp;lvl=3&amp;lin=f&amp;keep=1&amp;srchmode=1&amp;unlock","9627")</f>
        <v>9627</v>
      </c>
      <c r="E37" t="s">
        <v>18</v>
      </c>
      <c r="F37" t="s">
        <v>18</v>
      </c>
      <c r="G37" t="str">
        <f>HYPERLINK("http://www.ncbi.nlm.nih.gov/Taxonomy/Browser/wwwtax.cgi?mode=Info&amp;id=9627&amp;lvl=3&amp;lin=f&amp;keep=1&amp;srchmode=1&amp;unlock","Vulpes vulpes")</f>
        <v>Vulpes vulpes</v>
      </c>
      <c r="H37" t="s">
        <v>40</v>
      </c>
      <c r="I37" t="str">
        <f>HYPERLINK("http://www.ncbi.nlm.nih.gov/protein/XP_025842610.1","androgen receptor")</f>
        <v>androgen receptor</v>
      </c>
      <c r="J37">
        <v>1496.49</v>
      </c>
      <c r="K37" t="s">
        <v>20</v>
      </c>
      <c r="L37">
        <v>157</v>
      </c>
      <c r="M37">
        <v>44.41</v>
      </c>
      <c r="N37">
        <v>79.66</v>
      </c>
      <c r="O37" t="s">
        <v>20</v>
      </c>
      <c r="P37" t="s">
        <v>965</v>
      </c>
      <c r="Q37" t="s">
        <v>20</v>
      </c>
      <c r="R37" t="str">
        <f>HYPERLINK("https://cfpub.epa.gov/ecotox/explore.cfm?ncbi=9627","Explore in ECOTOX")</f>
        <v>Explore in ECOTOX</v>
      </c>
    </row>
    <row r="38" spans="1:18" x14ac:dyDescent="0.25">
      <c r="A38">
        <v>6</v>
      </c>
      <c r="B38" t="str">
        <f>HYPERLINK("http://www.ncbi.nlm.nih.gov/protein/XP_036030573.1","XP_036030573.1")</f>
        <v>XP_036030573.1</v>
      </c>
      <c r="C38">
        <v>43277</v>
      </c>
      <c r="D38" t="str">
        <f>HYPERLINK("http://www.ncbi.nlm.nih.gov/Taxonomy/Browser/wwwtax.cgi?mode=Info&amp;id=38674&amp;lvl=3&amp;lin=f&amp;keep=1&amp;srchmode=1&amp;unlock","38674")</f>
        <v>38674</v>
      </c>
      <c r="E38" t="s">
        <v>18</v>
      </c>
      <c r="F38" t="s">
        <v>18</v>
      </c>
      <c r="G38" t="str">
        <f>HYPERLINK("http://www.ncbi.nlm.nih.gov/Taxonomy/Browser/wwwtax.cgi?mode=Info&amp;id=38674&amp;lvl=3&amp;lin=f&amp;keep=1&amp;srchmode=1&amp;unlock","Onychomys torridus")</f>
        <v>Onychomys torridus</v>
      </c>
      <c r="H38" t="s">
        <v>137</v>
      </c>
      <c r="I38" t="str">
        <f>HYPERLINK("http://www.ncbi.nlm.nih.gov/protein/XP_036030573.1","androgen receptor isoform X1")</f>
        <v>androgen receptor isoform X1</v>
      </c>
      <c r="J38">
        <v>1496.1</v>
      </c>
      <c r="K38" t="s">
        <v>20</v>
      </c>
      <c r="L38">
        <v>157</v>
      </c>
      <c r="M38">
        <v>44.41</v>
      </c>
      <c r="N38">
        <v>79.64</v>
      </c>
      <c r="O38" t="s">
        <v>20</v>
      </c>
      <c r="P38" t="s">
        <v>965</v>
      </c>
      <c r="Q38" t="s">
        <v>20</v>
      </c>
      <c r="R38" t="str">
        <f>HYPERLINK("https://cfpub.epa.gov/ecotox/explore.cfm?ncbi=38674","Explore in ECOTOX")</f>
        <v>Explore in ECOTOX</v>
      </c>
    </row>
    <row r="39" spans="1:18" x14ac:dyDescent="0.25">
      <c r="A39">
        <v>6</v>
      </c>
      <c r="B39" t="str">
        <f>HYPERLINK("http://www.ncbi.nlm.nih.gov/protein/XP_025321850.2","XP_025321850.2")</f>
        <v>XP_025321850.2</v>
      </c>
      <c r="C39">
        <v>70986</v>
      </c>
      <c r="D39" t="str">
        <f>HYPERLINK("http://www.ncbi.nlm.nih.gov/Taxonomy/Browser/wwwtax.cgi?mode=Info&amp;id=286419&amp;lvl=3&amp;lin=f&amp;keep=1&amp;srchmode=1&amp;unlock","286419")</f>
        <v>286419</v>
      </c>
      <c r="E39" t="s">
        <v>18</v>
      </c>
      <c r="F39" t="s">
        <v>18</v>
      </c>
      <c r="G39" t="str">
        <f>HYPERLINK("http://www.ncbi.nlm.nih.gov/Taxonomy/Browser/wwwtax.cgi?mode=Info&amp;id=286419&amp;lvl=3&amp;lin=f&amp;keep=1&amp;srchmode=1&amp;unlock","Canis lupus dingo")</f>
        <v>Canis lupus dingo</v>
      </c>
      <c r="H39" t="s">
        <v>53</v>
      </c>
      <c r="I39" t="str">
        <f>HYPERLINK("http://www.ncbi.nlm.nih.gov/protein/XP_025321850.2","androgen receptor")</f>
        <v>androgen receptor</v>
      </c>
      <c r="J39">
        <v>1496.1</v>
      </c>
      <c r="K39" t="s">
        <v>20</v>
      </c>
      <c r="L39">
        <v>157</v>
      </c>
      <c r="M39">
        <v>44.41</v>
      </c>
      <c r="N39">
        <v>79.64</v>
      </c>
      <c r="O39" t="s">
        <v>20</v>
      </c>
      <c r="P39" t="s">
        <v>965</v>
      </c>
      <c r="Q39" t="s">
        <v>20</v>
      </c>
      <c r="R39" t="str">
        <f>HYPERLINK("https://cfpub.epa.gov/ecotox/explore.cfm?ncbi=286419","Explore in ECOTOX")</f>
        <v>Explore in ECOTOX</v>
      </c>
    </row>
    <row r="40" spans="1:18" x14ac:dyDescent="0.25">
      <c r="A40">
        <v>6</v>
      </c>
      <c r="B40" t="str">
        <f>HYPERLINK("http://www.ncbi.nlm.nih.gov/protein/XP_021535659.1","XP_021535659.1")</f>
        <v>XP_021535659.1</v>
      </c>
      <c r="C40">
        <v>28446</v>
      </c>
      <c r="D40" t="str">
        <f>HYPERLINK("http://www.ncbi.nlm.nih.gov/Taxonomy/Browser/wwwtax.cgi?mode=Info&amp;id=29088&amp;lvl=3&amp;lin=f&amp;keep=1&amp;srchmode=1&amp;unlock","29088")</f>
        <v>29088</v>
      </c>
      <c r="E40" t="s">
        <v>18</v>
      </c>
      <c r="F40" t="s">
        <v>18</v>
      </c>
      <c r="G40" t="str">
        <f>HYPERLINK("http://www.ncbi.nlm.nih.gov/Taxonomy/Browser/wwwtax.cgi?mode=Info&amp;id=29088&amp;lvl=3&amp;lin=f&amp;keep=1&amp;srchmode=1&amp;unlock","Neomonachus schauinslandi")</f>
        <v>Neomonachus schauinslandi</v>
      </c>
      <c r="H40" t="s">
        <v>50</v>
      </c>
      <c r="I40" t="str">
        <f>HYPERLINK("http://www.ncbi.nlm.nih.gov/protein/XP_021535659.1","androgen receptor isoform X2")</f>
        <v>androgen receptor isoform X2</v>
      </c>
      <c r="J40">
        <v>1494.95</v>
      </c>
      <c r="K40" t="s">
        <v>20</v>
      </c>
      <c r="L40">
        <v>157</v>
      </c>
      <c r="M40">
        <v>44.41</v>
      </c>
      <c r="N40">
        <v>79.58</v>
      </c>
      <c r="O40" t="s">
        <v>20</v>
      </c>
      <c r="P40" t="s">
        <v>965</v>
      </c>
      <c r="Q40" t="s">
        <v>20</v>
      </c>
      <c r="R40" t="str">
        <f>HYPERLINK("https://cfpub.epa.gov/ecotox/explore.cfm?ncbi=29088","Explore in ECOTOX")</f>
        <v>Explore in ECOTOX</v>
      </c>
    </row>
    <row r="41" spans="1:18" x14ac:dyDescent="0.25">
      <c r="A41">
        <v>6</v>
      </c>
      <c r="B41" t="str">
        <f>HYPERLINK("http://www.ncbi.nlm.nih.gov/protein/XP_027982377.1","XP_027982377.1")</f>
        <v>XP_027982377.1</v>
      </c>
      <c r="C41">
        <v>40115</v>
      </c>
      <c r="D41" t="str">
        <f>HYPERLINK("http://www.ncbi.nlm.nih.gov/Taxonomy/Browser/wwwtax.cgi?mode=Info&amp;id=34886&amp;lvl=3&amp;lin=f&amp;keep=1&amp;srchmode=1&amp;unlock","34886")</f>
        <v>34886</v>
      </c>
      <c r="E41" t="s">
        <v>18</v>
      </c>
      <c r="F41" t="s">
        <v>18</v>
      </c>
      <c r="G41" t="str">
        <f>HYPERLINK("http://www.ncbi.nlm.nih.gov/Taxonomy/Browser/wwwtax.cgi?mode=Info&amp;id=34886&amp;lvl=3&amp;lin=f&amp;keep=1&amp;srchmode=1&amp;unlock","Eumetopias jubatus")</f>
        <v>Eumetopias jubatus</v>
      </c>
      <c r="H41" t="s">
        <v>61</v>
      </c>
      <c r="I41" t="str">
        <f>HYPERLINK("http://www.ncbi.nlm.nih.gov/protein/XP_027982377.1","androgen receptor isoform X1")</f>
        <v>androgen receptor isoform X1</v>
      </c>
      <c r="J41">
        <v>1489.94</v>
      </c>
      <c r="K41" t="s">
        <v>20</v>
      </c>
      <c r="L41">
        <v>157</v>
      </c>
      <c r="M41">
        <v>44.41</v>
      </c>
      <c r="N41">
        <v>79.31</v>
      </c>
      <c r="O41" t="s">
        <v>20</v>
      </c>
      <c r="P41" t="s">
        <v>965</v>
      </c>
      <c r="Q41" t="s">
        <v>20</v>
      </c>
      <c r="R41" t="str">
        <f>HYPERLINK("https://cfpub.epa.gov/ecotox/explore.cfm?ncbi=34886","Explore in ECOTOX")</f>
        <v>Explore in ECOTOX</v>
      </c>
    </row>
    <row r="42" spans="1:18" x14ac:dyDescent="0.25">
      <c r="A42">
        <v>6</v>
      </c>
      <c r="B42" t="str">
        <f>HYPERLINK("http://www.ncbi.nlm.nih.gov/protein/XP_032185838.1","XP_032185838.1")</f>
        <v>XP_032185838.1</v>
      </c>
      <c r="C42">
        <v>60653</v>
      </c>
      <c r="D42" t="str">
        <f>HYPERLINK("http://www.ncbi.nlm.nih.gov/Taxonomy/Browser/wwwtax.cgi?mode=Info&amp;id=36723&amp;lvl=3&amp;lin=f&amp;keep=1&amp;srchmode=1&amp;unlock","36723")</f>
        <v>36723</v>
      </c>
      <c r="E42" t="s">
        <v>18</v>
      </c>
      <c r="F42" t="s">
        <v>18</v>
      </c>
      <c r="G42" t="str">
        <f>HYPERLINK("http://www.ncbi.nlm.nih.gov/Taxonomy/Browser/wwwtax.cgi?mode=Info&amp;id=36723&amp;lvl=3&amp;lin=f&amp;keep=1&amp;srchmode=1&amp;unlock","Mustela erminea")</f>
        <v>Mustela erminea</v>
      </c>
      <c r="H42" t="s">
        <v>51</v>
      </c>
      <c r="I42" t="str">
        <f>HYPERLINK("http://www.ncbi.nlm.nih.gov/protein/XP_032185838.1","androgen receptor isoform X1")</f>
        <v>androgen receptor isoform X1</v>
      </c>
      <c r="J42">
        <v>1489.55</v>
      </c>
      <c r="K42" t="s">
        <v>20</v>
      </c>
      <c r="L42">
        <v>157</v>
      </c>
      <c r="M42">
        <v>44.41</v>
      </c>
      <c r="N42">
        <v>79.290000000000006</v>
      </c>
      <c r="O42" t="s">
        <v>20</v>
      </c>
      <c r="P42" t="s">
        <v>965</v>
      </c>
      <c r="Q42" t="s">
        <v>20</v>
      </c>
      <c r="R42" t="str">
        <f>HYPERLINK("https://cfpub.epa.gov/ecotox/explore.cfm?ncbi=36723","Explore in ECOTOX")</f>
        <v>Explore in ECOTOX</v>
      </c>
    </row>
    <row r="43" spans="1:18" x14ac:dyDescent="0.25">
      <c r="A43">
        <v>6</v>
      </c>
      <c r="B43" t="str">
        <f>HYPERLINK("http://www.ncbi.nlm.nih.gov/protein/XP_004780480.1","XP_004780480.1")</f>
        <v>XP_004780480.1</v>
      </c>
      <c r="C43">
        <v>48574</v>
      </c>
      <c r="D43" t="str">
        <f>HYPERLINK("http://www.ncbi.nlm.nih.gov/Taxonomy/Browser/wwwtax.cgi?mode=Info&amp;id=9669&amp;lvl=3&amp;lin=f&amp;keep=1&amp;srchmode=1&amp;unlock","9669")</f>
        <v>9669</v>
      </c>
      <c r="E43" t="s">
        <v>18</v>
      </c>
      <c r="F43" t="s">
        <v>18</v>
      </c>
      <c r="G43" t="str">
        <f>HYPERLINK("http://www.ncbi.nlm.nih.gov/Taxonomy/Browser/wwwtax.cgi?mode=Info&amp;id=9669&amp;lvl=3&amp;lin=f&amp;keep=1&amp;srchmode=1&amp;unlock","Mustela putorius furo")</f>
        <v>Mustela putorius furo</v>
      </c>
      <c r="H43" t="s">
        <v>48</v>
      </c>
      <c r="I43" t="str">
        <f>HYPERLINK("http://www.ncbi.nlm.nih.gov/protein/XP_004780480.1","PREDICTED: androgen receptor")</f>
        <v>PREDICTED: androgen receptor</v>
      </c>
      <c r="J43">
        <v>1488.78</v>
      </c>
      <c r="K43" t="s">
        <v>20</v>
      </c>
      <c r="L43">
        <v>157</v>
      </c>
      <c r="M43">
        <v>44.41</v>
      </c>
      <c r="N43">
        <v>79.25</v>
      </c>
      <c r="O43" t="s">
        <v>20</v>
      </c>
      <c r="P43" t="s">
        <v>965</v>
      </c>
      <c r="Q43" t="s">
        <v>20</v>
      </c>
      <c r="R43" t="str">
        <f>HYPERLINK("https://cfpub.epa.gov/ecotox/explore.cfm?ncbi=9669","Explore in ECOTOX")</f>
        <v>Explore in ECOTOX</v>
      </c>
    </row>
    <row r="44" spans="1:18" x14ac:dyDescent="0.25">
      <c r="A44">
        <v>6</v>
      </c>
      <c r="B44" t="str">
        <f>HYPERLINK("http://www.ncbi.nlm.nih.gov/protein/XP_032701479.1","XP_032701479.1")</f>
        <v>XP_032701479.1</v>
      </c>
      <c r="C44">
        <v>48403</v>
      </c>
      <c r="D44" t="str">
        <f>HYPERLINK("http://www.ncbi.nlm.nih.gov/Taxonomy/Browser/wwwtax.cgi?mode=Info&amp;id=76717&amp;lvl=3&amp;lin=f&amp;keep=1&amp;srchmode=1&amp;unlock","76717")</f>
        <v>76717</v>
      </c>
      <c r="E44" t="s">
        <v>18</v>
      </c>
      <c r="F44" t="s">
        <v>18</v>
      </c>
      <c r="G44" t="str">
        <f>HYPERLINK("http://www.ncbi.nlm.nih.gov/Taxonomy/Browser/wwwtax.cgi?mode=Info&amp;id=76717&amp;lvl=3&amp;lin=f&amp;keep=1&amp;srchmode=1&amp;unlock","Lontra canadensis")</f>
        <v>Lontra canadensis</v>
      </c>
      <c r="H44" t="s">
        <v>47</v>
      </c>
      <c r="I44" t="str">
        <f>HYPERLINK("http://www.ncbi.nlm.nih.gov/protein/XP_032701479.1","androgen receptor isoform X1")</f>
        <v>androgen receptor isoform X1</v>
      </c>
      <c r="J44">
        <v>1486.86</v>
      </c>
      <c r="K44" t="s">
        <v>25</v>
      </c>
      <c r="L44">
        <v>157</v>
      </c>
      <c r="M44">
        <v>44.41</v>
      </c>
      <c r="N44">
        <v>79.150000000000006</v>
      </c>
      <c r="O44" t="s">
        <v>20</v>
      </c>
      <c r="P44" t="s">
        <v>965</v>
      </c>
      <c r="Q44" t="s">
        <v>20</v>
      </c>
      <c r="R44" t="str">
        <f>HYPERLINK("https://cfpub.epa.gov/ecotox/explore.cfm?ncbi=76717","Explore in ECOTOX")</f>
        <v>Explore in ECOTOX</v>
      </c>
    </row>
    <row r="45" spans="1:18" x14ac:dyDescent="0.25">
      <c r="A45">
        <v>6</v>
      </c>
      <c r="B45" t="str">
        <f>HYPERLINK("http://www.ncbi.nlm.nih.gov/protein/XP_006981237.1","XP_006981237.1")</f>
        <v>XP_006981237.1</v>
      </c>
      <c r="C45">
        <v>45653</v>
      </c>
      <c r="D45" t="str">
        <f>HYPERLINK("http://www.ncbi.nlm.nih.gov/Taxonomy/Browser/wwwtax.cgi?mode=Info&amp;id=230844&amp;lvl=3&amp;lin=f&amp;keep=1&amp;srchmode=1&amp;unlock","230844")</f>
        <v>230844</v>
      </c>
      <c r="E45" t="s">
        <v>18</v>
      </c>
      <c r="F45" t="s">
        <v>18</v>
      </c>
      <c r="G45" t="str">
        <f>HYPERLINK("http://www.ncbi.nlm.nih.gov/Taxonomy/Browser/wwwtax.cgi?mode=Info&amp;id=230844&amp;lvl=3&amp;lin=f&amp;keep=1&amp;srchmode=1&amp;unlock","Peromyscus maniculatus bairdii")</f>
        <v>Peromyscus maniculatus bairdii</v>
      </c>
      <c r="H45" t="s">
        <v>157</v>
      </c>
      <c r="I45" t="str">
        <f>HYPERLINK("http://www.ncbi.nlm.nih.gov/protein/XP_006981237.1","PREDICTED: androgen receptor")</f>
        <v>PREDICTED: androgen receptor</v>
      </c>
      <c r="J45">
        <v>1485.32</v>
      </c>
      <c r="K45" t="s">
        <v>20</v>
      </c>
      <c r="L45">
        <v>157</v>
      </c>
      <c r="M45">
        <v>44.41</v>
      </c>
      <c r="N45">
        <v>79.069999999999993</v>
      </c>
      <c r="O45" t="s">
        <v>20</v>
      </c>
      <c r="P45" t="s">
        <v>965</v>
      </c>
      <c r="Q45" t="s">
        <v>20</v>
      </c>
      <c r="R45" t="str">
        <f>HYPERLINK("https://cfpub.epa.gov/ecotox/explore.cfm?ncbi=230844","Explore in ECOTOX")</f>
        <v>Explore in ECOTOX</v>
      </c>
    </row>
    <row r="46" spans="1:18" x14ac:dyDescent="0.25">
      <c r="A46">
        <v>6</v>
      </c>
      <c r="B46" t="str">
        <f>HYPERLINK("http://www.ncbi.nlm.nih.gov/protein/XP_014687510.1","XP_014687510.1")</f>
        <v>XP_014687510.1</v>
      </c>
      <c r="C46">
        <v>42730</v>
      </c>
      <c r="D46" t="str">
        <f>HYPERLINK("http://www.ncbi.nlm.nih.gov/Taxonomy/Browser/wwwtax.cgi?mode=Info&amp;id=9793&amp;lvl=3&amp;lin=f&amp;keep=1&amp;srchmode=1&amp;unlock","9793")</f>
        <v>9793</v>
      </c>
      <c r="E46" t="s">
        <v>18</v>
      </c>
      <c r="F46" t="s">
        <v>18</v>
      </c>
      <c r="G46" t="str">
        <f>HYPERLINK("http://www.ncbi.nlm.nih.gov/Taxonomy/Browser/wwwtax.cgi?mode=Info&amp;id=9793&amp;lvl=3&amp;lin=f&amp;keep=1&amp;srchmode=1&amp;unlock","Equus asinus")</f>
        <v>Equus asinus</v>
      </c>
      <c r="H46" t="s">
        <v>381</v>
      </c>
      <c r="I46" t="str">
        <f>HYPERLINK("http://www.ncbi.nlm.nih.gov/protein/XP_014687510.1","PREDICTED: androgen receptor")</f>
        <v>PREDICTED: androgen receptor</v>
      </c>
      <c r="J46">
        <v>1484.55</v>
      </c>
      <c r="K46" t="s">
        <v>20</v>
      </c>
      <c r="L46">
        <v>157</v>
      </c>
      <c r="M46">
        <v>44.41</v>
      </c>
      <c r="N46">
        <v>79.02</v>
      </c>
      <c r="O46" t="s">
        <v>20</v>
      </c>
      <c r="P46" t="s">
        <v>965</v>
      </c>
      <c r="Q46" t="s">
        <v>20</v>
      </c>
      <c r="R46" t="str">
        <f>HYPERLINK("https://cfpub.epa.gov/ecotox/explore.cfm?ncbi=9793","Explore in ECOTOX")</f>
        <v>Explore in ECOTOX</v>
      </c>
    </row>
    <row r="47" spans="1:18" x14ac:dyDescent="0.25">
      <c r="A47">
        <v>6</v>
      </c>
      <c r="B47" t="str">
        <f>HYPERLINK("http://www.ncbi.nlm.nih.gov/protein/XP_028739721.1","XP_028739721.1")</f>
        <v>XP_028739721.1</v>
      </c>
      <c r="C47">
        <v>48460</v>
      </c>
      <c r="D47" t="str">
        <f>HYPERLINK("http://www.ncbi.nlm.nih.gov/Taxonomy/Browser/wwwtax.cgi?mode=Info&amp;id=10041&amp;lvl=3&amp;lin=f&amp;keep=1&amp;srchmode=1&amp;unlock","10041")</f>
        <v>10041</v>
      </c>
      <c r="E47" t="s">
        <v>18</v>
      </c>
      <c r="F47" t="s">
        <v>18</v>
      </c>
      <c r="G47" t="str">
        <f>HYPERLINK("http://www.ncbi.nlm.nih.gov/Taxonomy/Browser/wwwtax.cgi?mode=Info&amp;id=10041&amp;lvl=3&amp;lin=f&amp;keep=1&amp;srchmode=1&amp;unlock","Peromyscus leucopus")</f>
        <v>Peromyscus leucopus</v>
      </c>
      <c r="H47" t="s">
        <v>128</v>
      </c>
      <c r="I47" t="str">
        <f>HYPERLINK("http://www.ncbi.nlm.nih.gov/protein/XP_028739721.1","androgen receptor")</f>
        <v>androgen receptor</v>
      </c>
      <c r="J47">
        <v>1481.85</v>
      </c>
      <c r="K47" t="s">
        <v>20</v>
      </c>
      <c r="L47">
        <v>157</v>
      </c>
      <c r="M47">
        <v>44.41</v>
      </c>
      <c r="N47">
        <v>78.88</v>
      </c>
      <c r="O47" t="s">
        <v>20</v>
      </c>
      <c r="P47" t="s">
        <v>965</v>
      </c>
      <c r="Q47" t="s">
        <v>20</v>
      </c>
      <c r="R47" t="str">
        <f>HYPERLINK("https://cfpub.epa.gov/ecotox/explore.cfm?ncbi=10041","Explore in ECOTOX")</f>
        <v>Explore in ECOTOX</v>
      </c>
    </row>
    <row r="48" spans="1:18" x14ac:dyDescent="0.25">
      <c r="A48">
        <v>6</v>
      </c>
      <c r="B48" t="str">
        <f>HYPERLINK("http://www.ncbi.nlm.nih.gov/protein/XP_004439954.1","XP_004439954.1")</f>
        <v>XP_004439954.1</v>
      </c>
      <c r="C48">
        <v>33636</v>
      </c>
      <c r="D48" t="str">
        <f>HYPERLINK("http://www.ncbi.nlm.nih.gov/Taxonomy/Browser/wwwtax.cgi?mode=Info&amp;id=73337&amp;lvl=3&amp;lin=f&amp;keep=1&amp;srchmode=1&amp;unlock","73337")</f>
        <v>73337</v>
      </c>
      <c r="E48" t="s">
        <v>18</v>
      </c>
      <c r="F48" t="s">
        <v>18</v>
      </c>
      <c r="G48" t="str">
        <f>HYPERLINK("http://www.ncbi.nlm.nih.gov/Taxonomy/Browser/wwwtax.cgi?mode=Info&amp;id=73337&amp;lvl=3&amp;lin=f&amp;keep=1&amp;srchmode=1&amp;unlock","Ceratotherium simum simum")</f>
        <v>Ceratotherium simum simum</v>
      </c>
      <c r="H48" t="s">
        <v>560</v>
      </c>
      <c r="I48" t="str">
        <f>HYPERLINK("http://www.ncbi.nlm.nih.gov/protein/XP_004439954.1","PREDICTED: androgen receptor")</f>
        <v>PREDICTED: androgen receptor</v>
      </c>
      <c r="J48">
        <v>1481.46</v>
      </c>
      <c r="K48" t="s">
        <v>20</v>
      </c>
      <c r="L48">
        <v>157</v>
      </c>
      <c r="M48">
        <v>44.41</v>
      </c>
      <c r="N48">
        <v>78.86</v>
      </c>
      <c r="O48" t="s">
        <v>20</v>
      </c>
      <c r="P48" t="s">
        <v>965</v>
      </c>
      <c r="Q48" t="s">
        <v>20</v>
      </c>
      <c r="R48" t="str">
        <f>HYPERLINK("https://cfpub.epa.gov/ecotox/explore.cfm?ncbi=73337","Explore in ECOTOX")</f>
        <v>Explore in ECOTOX</v>
      </c>
    </row>
    <row r="49" spans="1:18" x14ac:dyDescent="0.25">
      <c r="A49">
        <v>6</v>
      </c>
      <c r="B49" t="str">
        <f>HYPERLINK("http://www.ncbi.nlm.nih.gov/protein/MXQ98755.1","MXQ98755.1")</f>
        <v>MXQ98755.1</v>
      </c>
      <c r="C49">
        <v>68258</v>
      </c>
      <c r="D49" t="str">
        <f>HYPERLINK("http://www.ncbi.nlm.nih.gov/Taxonomy/Browser/wwwtax.cgi?mode=Info&amp;id=72004&amp;lvl=3&amp;lin=f&amp;keep=1&amp;srchmode=1&amp;unlock","72004")</f>
        <v>72004</v>
      </c>
      <c r="E49" t="s">
        <v>18</v>
      </c>
      <c r="F49" t="s">
        <v>18</v>
      </c>
      <c r="G49" t="str">
        <f>HYPERLINK("http://www.ncbi.nlm.nih.gov/Taxonomy/Browser/wwwtax.cgi?mode=Info&amp;id=72004&amp;lvl=3&amp;lin=f&amp;keep=1&amp;srchmode=1&amp;unlock","Bos mutus")</f>
        <v>Bos mutus</v>
      </c>
      <c r="H49" t="s">
        <v>117</v>
      </c>
      <c r="I49" t="str">
        <f>HYPERLINK("http://www.ncbi.nlm.nih.gov/protein/MXQ98755.1","hypothetical protein")</f>
        <v>hypothetical protein</v>
      </c>
      <c r="J49">
        <v>1475.3</v>
      </c>
      <c r="K49" t="s">
        <v>20</v>
      </c>
      <c r="L49">
        <v>157</v>
      </c>
      <c r="M49">
        <v>44.41</v>
      </c>
      <c r="N49">
        <v>78.53</v>
      </c>
      <c r="O49" t="s">
        <v>20</v>
      </c>
      <c r="P49" t="s">
        <v>965</v>
      </c>
      <c r="Q49" t="s">
        <v>20</v>
      </c>
      <c r="R49" t="str">
        <f>HYPERLINK("https://cfpub.epa.gov/ecotox/explore.cfm?ncbi=72004","Explore in ECOTOX")</f>
        <v>Explore in ECOTOX</v>
      </c>
    </row>
    <row r="50" spans="1:18" x14ac:dyDescent="0.25">
      <c r="A50">
        <v>6</v>
      </c>
      <c r="B50" t="str">
        <f>HYPERLINK("http://www.ncbi.nlm.nih.gov/protein/NP_001231056.1","NP_001231056.1")</f>
        <v>NP_001231056.1</v>
      </c>
      <c r="C50">
        <v>134275</v>
      </c>
      <c r="D50" t="str">
        <f>HYPERLINK("http://www.ncbi.nlm.nih.gov/Taxonomy/Browser/wwwtax.cgi?mode=Info&amp;id=9913&amp;lvl=3&amp;lin=f&amp;keep=1&amp;srchmode=1&amp;unlock","9913")</f>
        <v>9913</v>
      </c>
      <c r="E50" t="s">
        <v>18</v>
      </c>
      <c r="F50" t="s">
        <v>18</v>
      </c>
      <c r="G50" t="str">
        <f>HYPERLINK("http://www.ncbi.nlm.nih.gov/Taxonomy/Browser/wwwtax.cgi?mode=Info&amp;id=9913&amp;lvl=3&amp;lin=f&amp;keep=1&amp;srchmode=1&amp;unlock","Bos taurus")</f>
        <v>Bos taurus</v>
      </c>
      <c r="H50" t="s">
        <v>123</v>
      </c>
      <c r="I50" t="str">
        <f>HYPERLINK("http://www.ncbi.nlm.nih.gov/protein/NP_001231056.1","androgen receptor")</f>
        <v>androgen receptor</v>
      </c>
      <c r="J50">
        <v>1475.3</v>
      </c>
      <c r="K50" t="s">
        <v>20</v>
      </c>
      <c r="L50">
        <v>157</v>
      </c>
      <c r="M50">
        <v>44.41</v>
      </c>
      <c r="N50">
        <v>78.53</v>
      </c>
      <c r="O50" t="s">
        <v>20</v>
      </c>
      <c r="P50" t="s">
        <v>965</v>
      </c>
      <c r="Q50" t="s">
        <v>20</v>
      </c>
      <c r="R50" t="str">
        <f>HYPERLINK("https://cfpub.epa.gov/ecotox/explore.cfm?ncbi=9913","Explore in ECOTOX")</f>
        <v>Explore in ECOTOX</v>
      </c>
    </row>
    <row r="51" spans="1:18" x14ac:dyDescent="0.25">
      <c r="A51">
        <v>6</v>
      </c>
      <c r="B51" t="str">
        <f>HYPERLINK("http://www.ncbi.nlm.nih.gov/protein/XP_019811422.1","XP_019811422.1")</f>
        <v>XP_019811422.1</v>
      </c>
      <c r="C51">
        <v>37841</v>
      </c>
      <c r="D51" t="str">
        <f>HYPERLINK("http://www.ncbi.nlm.nih.gov/Taxonomy/Browser/wwwtax.cgi?mode=Info&amp;id=9915&amp;lvl=3&amp;lin=f&amp;keep=1&amp;srchmode=1&amp;unlock","9915")</f>
        <v>9915</v>
      </c>
      <c r="E51" t="s">
        <v>18</v>
      </c>
      <c r="F51" t="s">
        <v>18</v>
      </c>
      <c r="G51" t="str">
        <f>HYPERLINK("http://www.ncbi.nlm.nih.gov/Taxonomy/Browser/wwwtax.cgi?mode=Info&amp;id=9915&amp;lvl=3&amp;lin=f&amp;keep=1&amp;srchmode=1&amp;unlock","Bos indicus")</f>
        <v>Bos indicus</v>
      </c>
      <c r="H51" t="s">
        <v>146</v>
      </c>
      <c r="I51" t="str">
        <f>HYPERLINK("http://www.ncbi.nlm.nih.gov/protein/XP_019811422.1","PREDICTED: androgen receptor")</f>
        <v>PREDICTED: androgen receptor</v>
      </c>
      <c r="J51">
        <v>1475.3</v>
      </c>
      <c r="K51" t="s">
        <v>20</v>
      </c>
      <c r="L51">
        <v>157</v>
      </c>
      <c r="M51">
        <v>44.41</v>
      </c>
      <c r="N51">
        <v>78.53</v>
      </c>
      <c r="O51" t="s">
        <v>20</v>
      </c>
      <c r="P51" t="s">
        <v>965</v>
      </c>
      <c r="Q51" t="s">
        <v>20</v>
      </c>
      <c r="R51" t="str">
        <f>HYPERLINK("https://cfpub.epa.gov/ecotox/explore.cfm?ncbi=9915","Explore in ECOTOX")</f>
        <v>Explore in ECOTOX</v>
      </c>
    </row>
    <row r="52" spans="1:18" x14ac:dyDescent="0.25">
      <c r="A52">
        <v>6</v>
      </c>
      <c r="B52" t="str">
        <f>HYPERLINK("http://www.ncbi.nlm.nih.gov/protein/XP_027388936.1","XP_027388936.1")</f>
        <v>XP_027388936.1</v>
      </c>
      <c r="C52">
        <v>54422</v>
      </c>
      <c r="D52" t="str">
        <f>HYPERLINK("http://www.ncbi.nlm.nih.gov/Taxonomy/Browser/wwwtax.cgi?mode=Info&amp;id=30522&amp;lvl=3&amp;lin=f&amp;keep=1&amp;srchmode=1&amp;unlock","30522")</f>
        <v>30522</v>
      </c>
      <c r="E52" t="s">
        <v>18</v>
      </c>
      <c r="F52" t="s">
        <v>18</v>
      </c>
      <c r="G52" t="str">
        <f>HYPERLINK("http://www.ncbi.nlm.nih.gov/Taxonomy/Browser/wwwtax.cgi?mode=Info&amp;id=30522&amp;lvl=3&amp;lin=f&amp;keep=1&amp;srchmode=1&amp;unlock","Bos indicus x Bos taurus")</f>
        <v>Bos indicus x Bos taurus</v>
      </c>
      <c r="H52" t="s">
        <v>121</v>
      </c>
      <c r="I52" t="str">
        <f>HYPERLINK("http://www.ncbi.nlm.nih.gov/protein/XP_027388936.1","androgen receptor isoform X1")</f>
        <v>androgen receptor isoform X1</v>
      </c>
      <c r="J52">
        <v>1475.3</v>
      </c>
      <c r="K52" t="s">
        <v>20</v>
      </c>
      <c r="L52">
        <v>157</v>
      </c>
      <c r="M52">
        <v>44.41</v>
      </c>
      <c r="N52">
        <v>78.53</v>
      </c>
      <c r="O52" t="s">
        <v>20</v>
      </c>
      <c r="P52" t="s">
        <v>965</v>
      </c>
      <c r="Q52" t="s">
        <v>20</v>
      </c>
      <c r="R52" t="str">
        <f>HYPERLINK("https://cfpub.epa.gov/ecotox/explore.cfm?ncbi=30522","Explore in ECOTOX")</f>
        <v>Explore in ECOTOX</v>
      </c>
    </row>
    <row r="53" spans="1:18" x14ac:dyDescent="0.25">
      <c r="A53">
        <v>6</v>
      </c>
      <c r="B53" t="str">
        <f>HYPERLINK("http://www.ncbi.nlm.nih.gov/protein/XP_030161381.1","XP_030161381.1")</f>
        <v>XP_030161381.1</v>
      </c>
      <c r="C53">
        <v>42175</v>
      </c>
      <c r="D53" t="str">
        <f>HYPERLINK("http://www.ncbi.nlm.nih.gov/Taxonomy/Browser/wwwtax.cgi?mode=Info&amp;id=61383&amp;lvl=3&amp;lin=f&amp;keep=1&amp;srchmode=1&amp;unlock","61383")</f>
        <v>61383</v>
      </c>
      <c r="E53" t="s">
        <v>18</v>
      </c>
      <c r="F53" t="s">
        <v>18</v>
      </c>
      <c r="G53" t="str">
        <f>HYPERLINK("http://www.ncbi.nlm.nih.gov/Taxonomy/Browser/wwwtax.cgi?mode=Info&amp;id=61383&amp;lvl=3&amp;lin=f&amp;keep=1&amp;srchmode=1&amp;unlock","Lynx canadensis")</f>
        <v>Lynx canadensis</v>
      </c>
      <c r="H53" t="s">
        <v>63</v>
      </c>
      <c r="I53" t="str">
        <f>HYPERLINK("http://www.ncbi.nlm.nih.gov/protein/XP_030161381.1","androgen receptor")</f>
        <v>androgen receptor</v>
      </c>
      <c r="J53">
        <v>1473.37</v>
      </c>
      <c r="K53" t="s">
        <v>20</v>
      </c>
      <c r="L53">
        <v>157</v>
      </c>
      <c r="M53">
        <v>44.41</v>
      </c>
      <c r="N53">
        <v>78.430000000000007</v>
      </c>
      <c r="O53" t="s">
        <v>20</v>
      </c>
      <c r="P53" t="s">
        <v>965</v>
      </c>
      <c r="Q53" t="s">
        <v>20</v>
      </c>
      <c r="R53" t="str">
        <f>HYPERLINK("https://cfpub.epa.gov/ecotox/explore.cfm?ncbi=61383","Explore in ECOTOX")</f>
        <v>Explore in ECOTOX</v>
      </c>
    </row>
    <row r="54" spans="1:18" x14ac:dyDescent="0.25">
      <c r="A54">
        <v>6</v>
      </c>
      <c r="B54" t="str">
        <f>HYPERLINK("http://www.ncbi.nlm.nih.gov/protein/XP_005081209.1","XP_005081209.1")</f>
        <v>XP_005081209.1</v>
      </c>
      <c r="C54">
        <v>54395</v>
      </c>
      <c r="D54" t="str">
        <f>HYPERLINK("http://www.ncbi.nlm.nih.gov/Taxonomy/Browser/wwwtax.cgi?mode=Info&amp;id=10036&amp;lvl=3&amp;lin=f&amp;keep=1&amp;srchmode=1&amp;unlock","10036")</f>
        <v>10036</v>
      </c>
      <c r="E54" t="s">
        <v>18</v>
      </c>
      <c r="F54" t="s">
        <v>18</v>
      </c>
      <c r="G54" t="str">
        <f>HYPERLINK("http://www.ncbi.nlm.nih.gov/Taxonomy/Browser/wwwtax.cgi?mode=Info&amp;id=10036&amp;lvl=3&amp;lin=f&amp;keep=1&amp;srchmode=1&amp;unlock","Mesocricetus auratus")</f>
        <v>Mesocricetus auratus</v>
      </c>
      <c r="H54" t="s">
        <v>160</v>
      </c>
      <c r="I54" t="str">
        <f>HYPERLINK("http://www.ncbi.nlm.nih.gov/protein/XP_005081209.1","androgen receptor")</f>
        <v>androgen receptor</v>
      </c>
      <c r="J54">
        <v>1472.6</v>
      </c>
      <c r="K54" t="s">
        <v>20</v>
      </c>
      <c r="L54">
        <v>157</v>
      </c>
      <c r="M54">
        <v>44.41</v>
      </c>
      <c r="N54">
        <v>78.39</v>
      </c>
      <c r="O54" t="s">
        <v>20</v>
      </c>
      <c r="P54" t="s">
        <v>965</v>
      </c>
      <c r="Q54" t="s">
        <v>20</v>
      </c>
      <c r="R54" t="str">
        <f>HYPERLINK("https://cfpub.epa.gov/ecotox/explore.cfm?ncbi=10036","Explore in ECOTOX")</f>
        <v>Explore in ECOTOX</v>
      </c>
    </row>
    <row r="55" spans="1:18" x14ac:dyDescent="0.25">
      <c r="A55">
        <v>6</v>
      </c>
      <c r="B55" t="str">
        <f>HYPERLINK("http://www.ncbi.nlm.nih.gov/protein/XP_004694494.1","XP_004694494.1")</f>
        <v>XP_004694494.1</v>
      </c>
      <c r="C55">
        <v>29269</v>
      </c>
      <c r="D55" t="str">
        <f>HYPERLINK("http://www.ncbi.nlm.nih.gov/Taxonomy/Browser/wwwtax.cgi?mode=Info&amp;id=143302&amp;lvl=3&amp;lin=f&amp;keep=1&amp;srchmode=1&amp;unlock","143302")</f>
        <v>143302</v>
      </c>
      <c r="E55" t="s">
        <v>18</v>
      </c>
      <c r="F55" t="s">
        <v>18</v>
      </c>
      <c r="G55" t="str">
        <f>HYPERLINK("http://www.ncbi.nlm.nih.gov/Taxonomy/Browser/wwwtax.cgi?mode=Info&amp;id=143302&amp;lvl=3&amp;lin=f&amp;keep=1&amp;srchmode=1&amp;unlock","Condylura cristata")</f>
        <v>Condylura cristata</v>
      </c>
      <c r="H55" t="s">
        <v>110</v>
      </c>
      <c r="I55" t="str">
        <f>HYPERLINK("http://www.ncbi.nlm.nih.gov/protein/XP_004694494.1","PREDICTED: androgen receptor")</f>
        <v>PREDICTED: androgen receptor</v>
      </c>
      <c r="J55">
        <v>1470.68</v>
      </c>
      <c r="K55" t="s">
        <v>20</v>
      </c>
      <c r="L55">
        <v>157</v>
      </c>
      <c r="M55">
        <v>44.41</v>
      </c>
      <c r="N55">
        <v>78.290000000000006</v>
      </c>
      <c r="O55" t="s">
        <v>20</v>
      </c>
      <c r="P55" t="s">
        <v>965</v>
      </c>
      <c r="Q55" t="s">
        <v>20</v>
      </c>
      <c r="R55" t="str">
        <f>HYPERLINK("https://cfpub.epa.gov/ecotox/explore.cfm?ncbi=143302","Explore in ECOTOX")</f>
        <v>Explore in ECOTOX</v>
      </c>
    </row>
    <row r="56" spans="1:18" x14ac:dyDescent="0.25">
      <c r="A56">
        <v>6</v>
      </c>
      <c r="B56" t="str">
        <f>HYPERLINK("http://www.ncbi.nlm.nih.gov/protein/XP_026909507.1","XP_026909507.1")</f>
        <v>XP_026909507.1</v>
      </c>
      <c r="C56">
        <v>56437</v>
      </c>
      <c r="D56" t="str">
        <f>HYPERLINK("http://www.ncbi.nlm.nih.gov/Taxonomy/Browser/wwwtax.cgi?mode=Info&amp;id=32536&amp;lvl=3&amp;lin=f&amp;keep=1&amp;srchmode=1&amp;unlock","32536")</f>
        <v>32536</v>
      </c>
      <c r="E56" t="s">
        <v>18</v>
      </c>
      <c r="F56" t="s">
        <v>18</v>
      </c>
      <c r="G56" t="str">
        <f>HYPERLINK("http://www.ncbi.nlm.nih.gov/Taxonomy/Browser/wwwtax.cgi?mode=Info&amp;id=32536&amp;lvl=3&amp;lin=f&amp;keep=1&amp;srchmode=1&amp;unlock","Acinonyx jubatus")</f>
        <v>Acinonyx jubatus</v>
      </c>
      <c r="H56" t="s">
        <v>62</v>
      </c>
      <c r="I56" t="str">
        <f>HYPERLINK("http://www.ncbi.nlm.nih.gov/protein/XP_026909507.1","androgen receptor isoform X1")</f>
        <v>androgen receptor isoform X1</v>
      </c>
      <c r="J56">
        <v>1470.29</v>
      </c>
      <c r="K56" t="s">
        <v>20</v>
      </c>
      <c r="L56">
        <v>157</v>
      </c>
      <c r="M56">
        <v>44.41</v>
      </c>
      <c r="N56">
        <v>78.27</v>
      </c>
      <c r="O56" t="s">
        <v>20</v>
      </c>
      <c r="P56" t="s">
        <v>965</v>
      </c>
      <c r="Q56" t="s">
        <v>20</v>
      </c>
      <c r="R56" t="str">
        <f>HYPERLINK("https://cfpub.epa.gov/ecotox/explore.cfm?ncbi=32536","Explore in ECOTOX")</f>
        <v>Explore in ECOTOX</v>
      </c>
    </row>
    <row r="57" spans="1:18" x14ac:dyDescent="0.25">
      <c r="A57">
        <v>6</v>
      </c>
      <c r="B57" t="str">
        <f>HYPERLINK("http://www.ncbi.nlm.nih.gov/protein/XP_022380163.1","XP_022380163.1")</f>
        <v>XP_022380163.1</v>
      </c>
      <c r="C57">
        <v>36593</v>
      </c>
      <c r="D57" t="str">
        <f>HYPERLINK("http://www.ncbi.nlm.nih.gov/Taxonomy/Browser/wwwtax.cgi?mode=Info&amp;id=391180&amp;lvl=3&amp;lin=f&amp;keep=1&amp;srchmode=1&amp;unlock","391180")</f>
        <v>391180</v>
      </c>
      <c r="E57" t="s">
        <v>18</v>
      </c>
      <c r="F57" t="s">
        <v>18</v>
      </c>
      <c r="G57" t="str">
        <f>HYPERLINK("http://www.ncbi.nlm.nih.gov/Taxonomy/Browser/wwwtax.cgi?mode=Info&amp;id=391180&amp;lvl=3&amp;lin=f&amp;keep=1&amp;srchmode=1&amp;unlock","Enhydra lutris kenyoni")</f>
        <v>Enhydra lutris kenyoni</v>
      </c>
      <c r="H57" t="s">
        <v>71</v>
      </c>
      <c r="I57" t="str">
        <f>HYPERLINK("http://www.ncbi.nlm.nih.gov/protein/XP_022380163.1","androgen receptor")</f>
        <v>androgen receptor</v>
      </c>
      <c r="J57">
        <v>1469.91</v>
      </c>
      <c r="K57" t="s">
        <v>20</v>
      </c>
      <c r="L57">
        <v>157</v>
      </c>
      <c r="M57">
        <v>44.41</v>
      </c>
      <c r="N57">
        <v>78.239999999999995</v>
      </c>
      <c r="O57" t="s">
        <v>20</v>
      </c>
      <c r="P57" t="s">
        <v>965</v>
      </c>
      <c r="Q57" t="s">
        <v>20</v>
      </c>
      <c r="R57" t="str">
        <f>HYPERLINK("https://cfpub.epa.gov/ecotox/explore.cfm?ncbi=391180","Explore in ECOTOX")</f>
        <v>Explore in ECOTOX</v>
      </c>
    </row>
    <row r="58" spans="1:18" x14ac:dyDescent="0.25">
      <c r="A58">
        <v>6</v>
      </c>
      <c r="B58" t="str">
        <f>HYPERLINK("http://www.ncbi.nlm.nih.gov/protein/NP_001182653.1","NP_001182653.1")</f>
        <v>NP_001182653.1</v>
      </c>
      <c r="C58">
        <v>52342</v>
      </c>
      <c r="D58" t="str">
        <f>HYPERLINK("http://www.ncbi.nlm.nih.gov/Taxonomy/Browser/wwwtax.cgi?mode=Info&amp;id=9986&amp;lvl=3&amp;lin=f&amp;keep=1&amp;srchmode=1&amp;unlock","9986")</f>
        <v>9986</v>
      </c>
      <c r="E58" t="s">
        <v>18</v>
      </c>
      <c r="F58" t="s">
        <v>18</v>
      </c>
      <c r="G58" t="str">
        <f>HYPERLINK("http://www.ncbi.nlm.nih.gov/Taxonomy/Browser/wwwtax.cgi?mode=Info&amp;id=9986&amp;lvl=3&amp;lin=f&amp;keep=1&amp;srchmode=1&amp;unlock","Oryctolagus cuniculus")</f>
        <v>Oryctolagus cuniculus</v>
      </c>
      <c r="H58" t="s">
        <v>183</v>
      </c>
      <c r="I58" t="str">
        <f>HYPERLINK("http://www.ncbi.nlm.nih.gov/protein/NP_001182653.1","androgen receptor")</f>
        <v>androgen receptor</v>
      </c>
      <c r="J58">
        <v>1468.37</v>
      </c>
      <c r="K58" t="s">
        <v>20</v>
      </c>
      <c r="L58">
        <v>157</v>
      </c>
      <c r="M58">
        <v>44.41</v>
      </c>
      <c r="N58">
        <v>78.16</v>
      </c>
      <c r="O58" t="s">
        <v>20</v>
      </c>
      <c r="P58" t="s">
        <v>965</v>
      </c>
      <c r="Q58" t="s">
        <v>20</v>
      </c>
      <c r="R58" t="str">
        <f>HYPERLINK("https://cfpub.epa.gov/ecotox/explore.cfm?ncbi=9986","Explore in ECOTOX")</f>
        <v>Explore in ECOTOX</v>
      </c>
    </row>
    <row r="59" spans="1:18" x14ac:dyDescent="0.25">
      <c r="A59">
        <v>6</v>
      </c>
      <c r="B59" t="str">
        <f>HYPERLINK("http://www.ncbi.nlm.nih.gov/protein/XP_028378974.1","XP_028378974.1")</f>
        <v>XP_028378974.1</v>
      </c>
      <c r="C59">
        <v>107564</v>
      </c>
      <c r="D59" t="str">
        <f>HYPERLINK("http://www.ncbi.nlm.nih.gov/Taxonomy/Browser/wwwtax.cgi?mode=Info&amp;id=89673&amp;lvl=3&amp;lin=f&amp;keep=1&amp;srchmode=1&amp;unlock","89673")</f>
        <v>89673</v>
      </c>
      <c r="E59" t="s">
        <v>18</v>
      </c>
      <c r="F59" t="s">
        <v>18</v>
      </c>
      <c r="G59" t="str">
        <f>HYPERLINK("http://www.ncbi.nlm.nih.gov/Taxonomy/Browser/wwwtax.cgi?mode=Info&amp;id=89673&amp;lvl=3&amp;lin=f&amp;keep=1&amp;srchmode=1&amp;unlock","Phyllostomus discolor")</f>
        <v>Phyllostomus discolor</v>
      </c>
      <c r="H59" t="s">
        <v>98</v>
      </c>
      <c r="I59" t="str">
        <f>HYPERLINK("http://www.ncbi.nlm.nih.gov/protein/XP_028378974.1","androgen receptor")</f>
        <v>androgen receptor</v>
      </c>
      <c r="J59">
        <v>1465.29</v>
      </c>
      <c r="K59" t="s">
        <v>20</v>
      </c>
      <c r="L59">
        <v>157</v>
      </c>
      <c r="M59">
        <v>44.41</v>
      </c>
      <c r="N59">
        <v>78</v>
      </c>
      <c r="O59" t="s">
        <v>20</v>
      </c>
      <c r="P59" t="s">
        <v>965</v>
      </c>
      <c r="Q59" t="s">
        <v>20</v>
      </c>
      <c r="R59" t="str">
        <f>HYPERLINK("https://cfpub.epa.gov/ecotox/explore.cfm?ncbi=89673","Explore in ECOTOX")</f>
        <v>Explore in ECOTOX</v>
      </c>
    </row>
    <row r="60" spans="1:18" x14ac:dyDescent="0.25">
      <c r="A60">
        <v>6</v>
      </c>
      <c r="B60" t="str">
        <f>HYPERLINK("http://www.ncbi.nlm.nih.gov/protein/XP_026341601.1","XP_026341601.1")</f>
        <v>XP_026341601.1</v>
      </c>
      <c r="C60">
        <v>43159</v>
      </c>
      <c r="D60" t="str">
        <f>HYPERLINK("http://www.ncbi.nlm.nih.gov/Taxonomy/Browser/wwwtax.cgi?mode=Info&amp;id=116960&amp;lvl=3&amp;lin=f&amp;keep=1&amp;srchmode=1&amp;unlock","116960")</f>
        <v>116960</v>
      </c>
      <c r="E60" t="s">
        <v>18</v>
      </c>
      <c r="F60" t="s">
        <v>18</v>
      </c>
      <c r="G60" t="str">
        <f>HYPERLINK("http://www.ncbi.nlm.nih.gov/Taxonomy/Browser/wwwtax.cgi?mode=Info&amp;id=116960&amp;lvl=3&amp;lin=f&amp;keep=1&amp;srchmode=1&amp;unlock","Ursus arctos horribilis")</f>
        <v>Ursus arctos horribilis</v>
      </c>
      <c r="H60" t="s">
        <v>45</v>
      </c>
      <c r="I60" t="str">
        <f>HYPERLINK("http://www.ncbi.nlm.nih.gov/protein/XP_026341601.1","androgen receptor")</f>
        <v>androgen receptor</v>
      </c>
      <c r="J60">
        <v>1464.9</v>
      </c>
      <c r="K60" t="s">
        <v>20</v>
      </c>
      <c r="L60">
        <v>157</v>
      </c>
      <c r="M60">
        <v>44.41</v>
      </c>
      <c r="N60">
        <v>77.98</v>
      </c>
      <c r="O60" t="s">
        <v>20</v>
      </c>
      <c r="P60" t="s">
        <v>965</v>
      </c>
      <c r="Q60" t="s">
        <v>20</v>
      </c>
      <c r="R60" t="str">
        <f>HYPERLINK("https://cfpub.epa.gov/ecotox/explore.cfm?ncbi=116960","Explore in ECOTOX")</f>
        <v>Explore in ECOTOX</v>
      </c>
    </row>
    <row r="61" spans="1:18" x14ac:dyDescent="0.25">
      <c r="A61">
        <v>6</v>
      </c>
      <c r="B61" t="str">
        <f>HYPERLINK("http://www.ncbi.nlm.nih.gov/protein/XP_006067834.1","XP_006067834.1")</f>
        <v>XP_006067834.1</v>
      </c>
      <c r="C61">
        <v>61063</v>
      </c>
      <c r="D61" t="str">
        <f>HYPERLINK("http://www.ncbi.nlm.nih.gov/Taxonomy/Browser/wwwtax.cgi?mode=Info&amp;id=89462&amp;lvl=3&amp;lin=f&amp;keep=1&amp;srchmode=1&amp;unlock","89462")</f>
        <v>89462</v>
      </c>
      <c r="E61" t="s">
        <v>18</v>
      </c>
      <c r="F61" t="s">
        <v>18</v>
      </c>
      <c r="G61" t="str">
        <f>HYPERLINK("http://www.ncbi.nlm.nih.gov/Taxonomy/Browser/wwwtax.cgi?mode=Info&amp;id=89462&amp;lvl=3&amp;lin=f&amp;keep=1&amp;srchmode=1&amp;unlock","Bubalus bubalis")</f>
        <v>Bubalus bubalis</v>
      </c>
      <c r="H61" t="s">
        <v>113</v>
      </c>
      <c r="I61" t="str">
        <f>HYPERLINK("http://www.ncbi.nlm.nih.gov/protein/XP_006067834.1","androgen receptor isoform X1")</f>
        <v>androgen receptor isoform X1</v>
      </c>
      <c r="J61">
        <v>1464.13</v>
      </c>
      <c r="K61" t="s">
        <v>20</v>
      </c>
      <c r="L61">
        <v>157</v>
      </c>
      <c r="M61">
        <v>44.41</v>
      </c>
      <c r="N61">
        <v>77.94</v>
      </c>
      <c r="O61" t="s">
        <v>20</v>
      </c>
      <c r="P61" t="s">
        <v>965</v>
      </c>
      <c r="Q61" t="s">
        <v>20</v>
      </c>
      <c r="R61" t="str">
        <f>HYPERLINK("https://cfpub.epa.gov/ecotox/explore.cfm?ncbi=89462","Explore in ECOTOX")</f>
        <v>Explore in ECOTOX</v>
      </c>
    </row>
    <row r="62" spans="1:18" x14ac:dyDescent="0.25">
      <c r="A62">
        <v>6</v>
      </c>
      <c r="B62" t="str">
        <f>HYPERLINK("http://www.ncbi.nlm.nih.gov/protein/XP_008842588.1","XP_008842588.1")</f>
        <v>XP_008842588.1</v>
      </c>
      <c r="C62">
        <v>49440</v>
      </c>
      <c r="D62" t="str">
        <f>HYPERLINK("http://www.ncbi.nlm.nih.gov/Taxonomy/Browser/wwwtax.cgi?mode=Info&amp;id=1026970&amp;lvl=3&amp;lin=f&amp;keep=1&amp;srchmode=1&amp;unlock","1026970")</f>
        <v>1026970</v>
      </c>
      <c r="E62" t="s">
        <v>18</v>
      </c>
      <c r="F62" t="s">
        <v>18</v>
      </c>
      <c r="G62" t="str">
        <f>HYPERLINK("http://www.ncbi.nlm.nih.gov/Taxonomy/Browser/wwwtax.cgi?mode=Info&amp;id=1026970&amp;lvl=3&amp;lin=f&amp;keep=1&amp;srchmode=1&amp;unlock","Nannospalax galili")</f>
        <v>Nannospalax galili</v>
      </c>
      <c r="H62" t="s">
        <v>102</v>
      </c>
      <c r="I62" t="str">
        <f>HYPERLINK("http://www.ncbi.nlm.nih.gov/protein/XP_008842588.1","androgen receptor")</f>
        <v>androgen receptor</v>
      </c>
      <c r="J62">
        <v>1463.36</v>
      </c>
      <c r="K62" t="s">
        <v>20</v>
      </c>
      <c r="L62">
        <v>157</v>
      </c>
      <c r="M62">
        <v>44.41</v>
      </c>
      <c r="N62">
        <v>77.900000000000006</v>
      </c>
      <c r="O62" t="s">
        <v>20</v>
      </c>
      <c r="P62" t="s">
        <v>965</v>
      </c>
      <c r="Q62" t="s">
        <v>20</v>
      </c>
      <c r="R62" t="str">
        <f>HYPERLINK("https://cfpub.epa.gov/ecotox/explore.cfm?ncbi=1026970","Explore in ECOTOX")</f>
        <v>Explore in ECOTOX</v>
      </c>
    </row>
    <row r="63" spans="1:18" x14ac:dyDescent="0.25">
      <c r="A63">
        <v>6</v>
      </c>
      <c r="B63" t="str">
        <f>HYPERLINK("http://www.ncbi.nlm.nih.gov/protein/NP_001295513.1","NP_001295513.1")</f>
        <v>NP_001295513.1</v>
      </c>
      <c r="C63">
        <v>73093</v>
      </c>
      <c r="D63" t="str">
        <f>HYPERLINK("http://www.ncbi.nlm.nih.gov/Taxonomy/Browser/wwwtax.cgi?mode=Info&amp;id=9940&amp;lvl=3&amp;lin=f&amp;keep=1&amp;srchmode=1&amp;unlock","9940")</f>
        <v>9940</v>
      </c>
      <c r="E63" t="s">
        <v>18</v>
      </c>
      <c r="F63" t="s">
        <v>18</v>
      </c>
      <c r="G63" t="str">
        <f>HYPERLINK("http://www.ncbi.nlm.nih.gov/Taxonomy/Browser/wwwtax.cgi?mode=Info&amp;id=9940&amp;lvl=3&amp;lin=f&amp;keep=1&amp;srchmode=1&amp;unlock","Ovis aries")</f>
        <v>Ovis aries</v>
      </c>
      <c r="H63" t="s">
        <v>129</v>
      </c>
      <c r="I63" t="str">
        <f>HYPERLINK("http://www.ncbi.nlm.nih.gov/protein/NP_001295513.1","androgen receptor")</f>
        <v>androgen receptor</v>
      </c>
      <c r="J63">
        <v>1461.43</v>
      </c>
      <c r="K63" t="s">
        <v>20</v>
      </c>
      <c r="L63">
        <v>157</v>
      </c>
      <c r="M63">
        <v>44.41</v>
      </c>
      <c r="N63">
        <v>77.790000000000006</v>
      </c>
      <c r="O63" t="s">
        <v>20</v>
      </c>
      <c r="P63" t="s">
        <v>965</v>
      </c>
      <c r="Q63" t="s">
        <v>20</v>
      </c>
      <c r="R63" t="str">
        <f>HYPERLINK("https://cfpub.epa.gov/ecotox/explore.cfm?ncbi=9940","Explore in ECOTOX")</f>
        <v>Explore in ECOTOX</v>
      </c>
    </row>
    <row r="64" spans="1:18" x14ac:dyDescent="0.25">
      <c r="A64">
        <v>6</v>
      </c>
      <c r="B64" t="str">
        <f>HYPERLINK("http://www.ncbi.nlm.nih.gov/protein/XP_029785952.1","XP_029785952.1")</f>
        <v>XP_029785952.1</v>
      </c>
      <c r="C64">
        <v>43355</v>
      </c>
      <c r="D64" t="str">
        <f>HYPERLINK("http://www.ncbi.nlm.nih.gov/Taxonomy/Browser/wwwtax.cgi?mode=Info&amp;id=37032&amp;lvl=3&amp;lin=f&amp;keep=1&amp;srchmode=1&amp;unlock","37032")</f>
        <v>37032</v>
      </c>
      <c r="E64" t="s">
        <v>18</v>
      </c>
      <c r="F64" t="s">
        <v>18</v>
      </c>
      <c r="G64" t="str">
        <f>HYPERLINK("http://www.ncbi.nlm.nih.gov/Taxonomy/Browser/wwwtax.cgi?mode=Info&amp;id=37032&amp;lvl=3&amp;lin=f&amp;keep=1&amp;srchmode=1&amp;unlock","Suricata suricatta")</f>
        <v>Suricata suricatta</v>
      </c>
      <c r="H64" t="s">
        <v>57</v>
      </c>
      <c r="I64" t="str">
        <f>HYPERLINK("http://www.ncbi.nlm.nih.gov/protein/XP_029785952.1","androgen receptor isoform X1")</f>
        <v>androgen receptor isoform X1</v>
      </c>
      <c r="J64">
        <v>1460.66</v>
      </c>
      <c r="K64" t="s">
        <v>20</v>
      </c>
      <c r="L64">
        <v>157</v>
      </c>
      <c r="M64">
        <v>44.41</v>
      </c>
      <c r="N64">
        <v>77.75</v>
      </c>
      <c r="O64" t="s">
        <v>20</v>
      </c>
      <c r="P64" t="s">
        <v>965</v>
      </c>
      <c r="Q64" t="s">
        <v>20</v>
      </c>
      <c r="R64" t="str">
        <f>HYPERLINK("https://cfpub.epa.gov/ecotox/explore.cfm?ncbi=37032","Explore in ECOTOX")</f>
        <v>Explore in ECOTOX</v>
      </c>
    </row>
    <row r="65" spans="1:18" x14ac:dyDescent="0.25">
      <c r="A65">
        <v>6</v>
      </c>
      <c r="B65" t="str">
        <f>HYPERLINK("http://www.ncbi.nlm.nih.gov/protein/AUM57183.1","AUM57183.1")</f>
        <v>AUM57183.1</v>
      </c>
      <c r="C65">
        <v>241</v>
      </c>
      <c r="D65" t="str">
        <f>HYPERLINK("http://www.ncbi.nlm.nih.gov/Taxonomy/Browser/wwwtax.cgi?mode=Info&amp;id=68408&amp;lvl=3&amp;lin=f&amp;keep=1&amp;srchmode=1&amp;unlock","68408")</f>
        <v>68408</v>
      </c>
      <c r="E65" t="s">
        <v>18</v>
      </c>
      <c r="F65" t="s">
        <v>18</v>
      </c>
      <c r="G65" t="str">
        <f>HYPERLINK("http://www.ncbi.nlm.nih.gov/Taxonomy/Browser/wwwtax.cgi?mode=Info&amp;id=68408&amp;lvl=3&amp;lin=f&amp;keep=1&amp;srchmode=1&amp;unlock","Moschus berezovskii")</f>
        <v>Moschus berezovskii</v>
      </c>
      <c r="H65" t="s">
        <v>968</v>
      </c>
      <c r="I65" t="str">
        <f>HYPERLINK("http://www.ncbi.nlm.nih.gov/protein/AUM57183.1","androgen receptor")</f>
        <v>androgen receptor</v>
      </c>
      <c r="J65">
        <v>1460.28</v>
      </c>
      <c r="K65" t="s">
        <v>20</v>
      </c>
      <c r="L65">
        <v>157</v>
      </c>
      <c r="M65">
        <v>44.41</v>
      </c>
      <c r="N65">
        <v>77.73</v>
      </c>
      <c r="O65" t="s">
        <v>20</v>
      </c>
      <c r="P65" t="s">
        <v>965</v>
      </c>
      <c r="Q65" t="s">
        <v>20</v>
      </c>
      <c r="R65" t="str">
        <f>HYPERLINK("https://cfpub.epa.gov/ecotox/explore.cfm?ncbi=68408","Explore in ECOTOX")</f>
        <v>Explore in ECOTOX</v>
      </c>
    </row>
    <row r="66" spans="1:18" x14ac:dyDescent="0.25">
      <c r="A66">
        <v>6</v>
      </c>
      <c r="B66" t="str">
        <f>HYPERLINK("http://www.ncbi.nlm.nih.gov/protein/XP_040856903.1","XP_040856903.1")</f>
        <v>XP_040856903.1</v>
      </c>
      <c r="C66">
        <v>42386</v>
      </c>
      <c r="D66" t="str">
        <f>HYPERLINK("http://www.ncbi.nlm.nih.gov/Taxonomy/Browser/wwwtax.cgi?mode=Info&amp;id=130825&amp;lvl=3&amp;lin=f&amp;keep=1&amp;srchmode=1&amp;unlock","130825")</f>
        <v>130825</v>
      </c>
      <c r="E66" t="s">
        <v>18</v>
      </c>
      <c r="F66" t="s">
        <v>18</v>
      </c>
      <c r="G66" t="str">
        <f>HYPERLINK("http://www.ncbi.nlm.nih.gov/Taxonomy/Browser/wwwtax.cgi?mode=Info&amp;id=130825&amp;lvl=3&amp;lin=f&amp;keep=1&amp;srchmode=1&amp;unlock","Ochotona curzoniae")</f>
        <v>Ochotona curzoniae</v>
      </c>
      <c r="H66" t="s">
        <v>350</v>
      </c>
      <c r="I66" t="str">
        <f>HYPERLINK("http://www.ncbi.nlm.nih.gov/protein/XP_040856903.1","androgen receptor isoform X1")</f>
        <v>androgen receptor isoform X1</v>
      </c>
      <c r="J66">
        <v>1459.89</v>
      </c>
      <c r="K66" t="s">
        <v>20</v>
      </c>
      <c r="L66">
        <v>157</v>
      </c>
      <c r="M66">
        <v>44.41</v>
      </c>
      <c r="N66">
        <v>77.709999999999994</v>
      </c>
      <c r="O66" t="s">
        <v>20</v>
      </c>
      <c r="P66" t="s">
        <v>965</v>
      </c>
      <c r="Q66" t="s">
        <v>20</v>
      </c>
      <c r="R66" t="str">
        <f>HYPERLINK("https://cfpub.epa.gov/ecotox/explore.cfm?ncbi=130825","Explore in ECOTOX")</f>
        <v>Explore in ECOTOX</v>
      </c>
    </row>
    <row r="67" spans="1:18" x14ac:dyDescent="0.25">
      <c r="A67">
        <v>6</v>
      </c>
      <c r="B67" t="str">
        <f>HYPERLINK("http://www.ncbi.nlm.nih.gov/protein/XP_027791672.1","XP_027791672.1")</f>
        <v>XP_027791672.1</v>
      </c>
      <c r="C67">
        <v>37737</v>
      </c>
      <c r="D67" t="str">
        <f>HYPERLINK("http://www.ncbi.nlm.nih.gov/Taxonomy/Browser/wwwtax.cgi?mode=Info&amp;id=93162&amp;lvl=3&amp;lin=f&amp;keep=1&amp;srchmode=1&amp;unlock","93162")</f>
        <v>93162</v>
      </c>
      <c r="E67" t="s">
        <v>18</v>
      </c>
      <c r="F67" t="s">
        <v>18</v>
      </c>
      <c r="G67" t="str">
        <f>HYPERLINK("http://www.ncbi.nlm.nih.gov/Taxonomy/Browser/wwwtax.cgi?mode=Info&amp;id=93162&amp;lvl=3&amp;lin=f&amp;keep=1&amp;srchmode=1&amp;unlock","Marmota flaviventris")</f>
        <v>Marmota flaviventris</v>
      </c>
      <c r="H67" t="s">
        <v>76</v>
      </c>
      <c r="I67" t="str">
        <f>HYPERLINK("http://www.ncbi.nlm.nih.gov/protein/XP_027791672.1","androgen receptor")</f>
        <v>androgen receptor</v>
      </c>
      <c r="J67">
        <v>1457.97</v>
      </c>
      <c r="K67" t="s">
        <v>20</v>
      </c>
      <c r="L67">
        <v>157</v>
      </c>
      <c r="M67">
        <v>44.41</v>
      </c>
      <c r="N67">
        <v>77.61</v>
      </c>
      <c r="O67" t="s">
        <v>20</v>
      </c>
      <c r="P67" t="s">
        <v>965</v>
      </c>
      <c r="Q67" t="s">
        <v>20</v>
      </c>
      <c r="R67" t="str">
        <f>HYPERLINK("https://cfpub.epa.gov/ecotox/explore.cfm?ncbi=93162","Explore in ECOTOX")</f>
        <v>Explore in ECOTOX</v>
      </c>
    </row>
    <row r="68" spans="1:18" x14ac:dyDescent="0.25">
      <c r="A68">
        <v>6</v>
      </c>
      <c r="B68" t="str">
        <f>HYPERLINK("http://www.ncbi.nlm.nih.gov/protein/XP_004595261.1","XP_004595261.1")</f>
        <v>XP_004595261.1</v>
      </c>
      <c r="C68">
        <v>30035</v>
      </c>
      <c r="D68" t="str">
        <f>HYPERLINK("http://www.ncbi.nlm.nih.gov/Taxonomy/Browser/wwwtax.cgi?mode=Info&amp;id=9978&amp;lvl=3&amp;lin=f&amp;keep=1&amp;srchmode=1&amp;unlock","9978")</f>
        <v>9978</v>
      </c>
      <c r="E68" t="s">
        <v>18</v>
      </c>
      <c r="F68" t="s">
        <v>18</v>
      </c>
      <c r="G68" t="str">
        <f>HYPERLINK("http://www.ncbi.nlm.nih.gov/Taxonomy/Browser/wwwtax.cgi?mode=Info&amp;id=9978&amp;lvl=3&amp;lin=f&amp;keep=1&amp;srchmode=1&amp;unlock","Ochotona princeps")</f>
        <v>Ochotona princeps</v>
      </c>
      <c r="H68" t="s">
        <v>417</v>
      </c>
      <c r="I68" t="str">
        <f>HYPERLINK("http://www.ncbi.nlm.nih.gov/protein/XP_004595261.1","androgen receptor")</f>
        <v>androgen receptor</v>
      </c>
      <c r="J68">
        <v>1457.2</v>
      </c>
      <c r="K68" t="s">
        <v>20</v>
      </c>
      <c r="L68">
        <v>157</v>
      </c>
      <c r="M68">
        <v>44.41</v>
      </c>
      <c r="N68">
        <v>77.569999999999993</v>
      </c>
      <c r="O68" t="s">
        <v>20</v>
      </c>
      <c r="P68" t="s">
        <v>965</v>
      </c>
      <c r="Q68" t="s">
        <v>20</v>
      </c>
      <c r="R68" t="str">
        <f>HYPERLINK("https://cfpub.epa.gov/ecotox/explore.cfm?ncbi=9978","Explore in ECOTOX")</f>
        <v>Explore in ECOTOX</v>
      </c>
    </row>
    <row r="69" spans="1:18" x14ac:dyDescent="0.25">
      <c r="A69">
        <v>6</v>
      </c>
      <c r="B69" t="str">
        <f>HYPERLINK("http://www.ncbi.nlm.nih.gov/protein/XP_004000624.2","XP_004000624.2")</f>
        <v>XP_004000624.2</v>
      </c>
      <c r="C69">
        <v>57528</v>
      </c>
      <c r="D69" t="str">
        <f>HYPERLINK("http://www.ncbi.nlm.nih.gov/Taxonomy/Browser/wwwtax.cgi?mode=Info&amp;id=9685&amp;lvl=3&amp;lin=f&amp;keep=1&amp;srchmode=1&amp;unlock","9685")</f>
        <v>9685</v>
      </c>
      <c r="E69" t="s">
        <v>18</v>
      </c>
      <c r="F69" t="s">
        <v>18</v>
      </c>
      <c r="G69" t="str">
        <f>HYPERLINK("http://www.ncbi.nlm.nih.gov/Taxonomy/Browser/wwwtax.cgi?mode=Info&amp;id=9685&amp;lvl=3&amp;lin=f&amp;keep=1&amp;srchmode=1&amp;unlock","Felis catus")</f>
        <v>Felis catus</v>
      </c>
      <c r="H69" t="s">
        <v>60</v>
      </c>
      <c r="I69" t="str">
        <f>HYPERLINK("http://www.ncbi.nlm.nih.gov/protein/XP_004000624.2","androgen receptor isoform X1")</f>
        <v>androgen receptor isoform X1</v>
      </c>
      <c r="J69">
        <v>1456.43</v>
      </c>
      <c r="K69" t="s">
        <v>20</v>
      </c>
      <c r="L69">
        <v>157</v>
      </c>
      <c r="M69">
        <v>44.41</v>
      </c>
      <c r="N69">
        <v>77.53</v>
      </c>
      <c r="O69" t="s">
        <v>20</v>
      </c>
      <c r="P69" t="s">
        <v>965</v>
      </c>
      <c r="Q69" t="s">
        <v>20</v>
      </c>
      <c r="R69" t="str">
        <f>HYPERLINK("https://cfpub.epa.gov/ecotox/explore.cfm?ncbi=9685","Explore in ECOTOX")</f>
        <v>Explore in ECOTOX</v>
      </c>
    </row>
    <row r="70" spans="1:18" x14ac:dyDescent="0.25">
      <c r="A70">
        <v>6</v>
      </c>
      <c r="B70" t="str">
        <f>HYPERLINK("http://www.ncbi.nlm.nih.gov/protein/Q9GKL7.3","Q9GKL7.3")</f>
        <v>Q9GKL7.3</v>
      </c>
      <c r="C70">
        <v>83623</v>
      </c>
      <c r="D70" t="str">
        <f>HYPERLINK("http://www.ncbi.nlm.nih.gov/Taxonomy/Browser/wwwtax.cgi?mode=Info&amp;id=9823&amp;lvl=3&amp;lin=f&amp;keep=1&amp;srchmode=1&amp;unlock","9823")</f>
        <v>9823</v>
      </c>
      <c r="E70" t="s">
        <v>18</v>
      </c>
      <c r="F70" t="s">
        <v>18</v>
      </c>
      <c r="G70" t="str">
        <f>HYPERLINK("http://www.ncbi.nlm.nih.gov/Taxonomy/Browser/wwwtax.cgi?mode=Info&amp;id=9823&amp;lvl=3&amp;lin=f&amp;keep=1&amp;srchmode=1&amp;unlock","Sus scrofa")</f>
        <v>Sus scrofa</v>
      </c>
      <c r="H70" t="s">
        <v>55</v>
      </c>
      <c r="I70" t="str">
        <f>HYPERLINK("http://www.ncbi.nlm.nih.gov/protein/Q9GKL7.3","RecName: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70">
        <v>1455.66</v>
      </c>
      <c r="K70" t="s">
        <v>20</v>
      </c>
      <c r="L70">
        <v>157</v>
      </c>
      <c r="M70">
        <v>44.41</v>
      </c>
      <c r="N70">
        <v>77.489999999999995</v>
      </c>
      <c r="O70" t="s">
        <v>20</v>
      </c>
      <c r="P70" t="s">
        <v>965</v>
      </c>
      <c r="Q70" t="s">
        <v>20</v>
      </c>
      <c r="R70" t="str">
        <f>HYPERLINK("https://cfpub.epa.gov/ecotox/explore.cfm?ncbi=9823","Explore in ECOTOX")</f>
        <v>Explore in ECOTOX</v>
      </c>
    </row>
    <row r="71" spans="1:18" x14ac:dyDescent="0.25">
      <c r="A71">
        <v>6</v>
      </c>
      <c r="B71" t="str">
        <f>HYPERLINK("http://www.ncbi.nlm.nih.gov/protein/XP_036126901.1","XP_036126901.1")</f>
        <v>XP_036126901.1</v>
      </c>
      <c r="C71">
        <v>96162</v>
      </c>
      <c r="D71" t="str">
        <f>HYPERLINK("http://www.ncbi.nlm.nih.gov/Taxonomy/Browser/wwwtax.cgi?mode=Info&amp;id=27622&amp;lvl=3&amp;lin=f&amp;keep=1&amp;srchmode=1&amp;unlock","27622")</f>
        <v>27622</v>
      </c>
      <c r="E71" t="s">
        <v>18</v>
      </c>
      <c r="F71" t="s">
        <v>18</v>
      </c>
      <c r="G71" t="str">
        <f>HYPERLINK("http://www.ncbi.nlm.nih.gov/Taxonomy/Browser/wwwtax.cgi?mode=Info&amp;id=27622&amp;lvl=3&amp;lin=f&amp;keep=1&amp;srchmode=1&amp;unlock","Molossus molossus")</f>
        <v>Molossus molossus</v>
      </c>
      <c r="H71" t="s">
        <v>112</v>
      </c>
      <c r="I71" t="str">
        <f>HYPERLINK("http://www.ncbi.nlm.nih.gov/protein/XP_036126901.1","androgen receptor isoform X2")</f>
        <v>androgen receptor isoform X2</v>
      </c>
      <c r="J71">
        <v>1454.88</v>
      </c>
      <c r="K71" t="s">
        <v>20</v>
      </c>
      <c r="L71">
        <v>157</v>
      </c>
      <c r="M71">
        <v>44.41</v>
      </c>
      <c r="N71">
        <v>77.44</v>
      </c>
      <c r="O71" t="s">
        <v>20</v>
      </c>
      <c r="P71" t="s">
        <v>965</v>
      </c>
      <c r="Q71" t="s">
        <v>20</v>
      </c>
      <c r="R71" t="str">
        <f>HYPERLINK("https://cfpub.epa.gov/ecotox/explore.cfm?ncbi=27622","Explore in ECOTOX")</f>
        <v>Explore in ECOTOX</v>
      </c>
    </row>
    <row r="72" spans="1:18" x14ac:dyDescent="0.25">
      <c r="A72">
        <v>6</v>
      </c>
      <c r="B72" t="str">
        <f>HYPERLINK("http://www.ncbi.nlm.nih.gov/protein/XP_019284124.1","XP_019284124.1")</f>
        <v>XP_019284124.1</v>
      </c>
      <c r="C72">
        <v>58570</v>
      </c>
      <c r="D72" t="str">
        <f>HYPERLINK("http://www.ncbi.nlm.nih.gov/Taxonomy/Browser/wwwtax.cgi?mode=Info&amp;id=9691&amp;lvl=3&amp;lin=f&amp;keep=1&amp;srchmode=1&amp;unlock","9691")</f>
        <v>9691</v>
      </c>
      <c r="E72" t="s">
        <v>18</v>
      </c>
      <c r="F72" t="s">
        <v>18</v>
      </c>
      <c r="G72" t="str">
        <f>HYPERLINK("http://www.ncbi.nlm.nih.gov/Taxonomy/Browser/wwwtax.cgi?mode=Info&amp;id=9691&amp;lvl=3&amp;lin=f&amp;keep=1&amp;srchmode=1&amp;unlock","Panthera pardus")</f>
        <v>Panthera pardus</v>
      </c>
      <c r="H72" t="s">
        <v>75</v>
      </c>
      <c r="I72" t="str">
        <f>HYPERLINK("http://www.ncbi.nlm.nih.gov/protein/XP_019284124.1","PREDICTED: androgen receptor isoform X1")</f>
        <v>PREDICTED: androgen receptor isoform X1</v>
      </c>
      <c r="J72">
        <v>1454.5</v>
      </c>
      <c r="K72" t="s">
        <v>20</v>
      </c>
      <c r="L72">
        <v>157</v>
      </c>
      <c r="M72">
        <v>44.41</v>
      </c>
      <c r="N72">
        <v>77.42</v>
      </c>
      <c r="O72" t="s">
        <v>20</v>
      </c>
      <c r="P72" t="s">
        <v>965</v>
      </c>
      <c r="Q72" t="s">
        <v>20</v>
      </c>
      <c r="R72" t="str">
        <f>HYPERLINK("https://cfpub.epa.gov/ecotox/explore.cfm?ncbi=9691","Explore in ECOTOX")</f>
        <v>Explore in ECOTOX</v>
      </c>
    </row>
    <row r="73" spans="1:18" x14ac:dyDescent="0.25">
      <c r="A73">
        <v>6</v>
      </c>
      <c r="B73" t="str">
        <f>HYPERLINK("http://www.ncbi.nlm.nih.gov/protein/AKH40241.1","AKH40241.1")</f>
        <v>AKH40241.1</v>
      </c>
      <c r="C73">
        <v>321</v>
      </c>
      <c r="D73" t="str">
        <f>HYPERLINK("http://www.ncbi.nlm.nih.gov/Taxonomy/Browser/wwwtax.cgi?mode=Info&amp;id=13125&amp;lvl=3&amp;lin=f&amp;keep=1&amp;srchmode=1&amp;unlock","13125")</f>
        <v>13125</v>
      </c>
      <c r="E73" t="s">
        <v>18</v>
      </c>
      <c r="F73" t="s">
        <v>18</v>
      </c>
      <c r="G73" t="str">
        <f>HYPERLINK("http://www.ncbi.nlm.nih.gov/Taxonomy/Browser/wwwtax.cgi?mode=Info&amp;id=13125&amp;lvl=3&amp;lin=f&amp;keep=1&amp;srchmode=1&amp;unlock","Lynx lynx")</f>
        <v>Lynx lynx</v>
      </c>
      <c r="H73" t="s">
        <v>969</v>
      </c>
      <c r="I73" t="str">
        <f>HYPERLINK("http://www.ncbi.nlm.nih.gov/protein/AKH40241.1","androgen receptor, partial")</f>
        <v>androgen receptor, partial</v>
      </c>
      <c r="J73">
        <v>1454.5</v>
      </c>
      <c r="K73" t="s">
        <v>20</v>
      </c>
      <c r="L73">
        <v>157</v>
      </c>
      <c r="M73">
        <v>44.41</v>
      </c>
      <c r="N73">
        <v>77.42</v>
      </c>
      <c r="O73" t="s">
        <v>20</v>
      </c>
      <c r="P73" t="s">
        <v>965</v>
      </c>
      <c r="Q73" t="s">
        <v>20</v>
      </c>
      <c r="R73" t="str">
        <f>HYPERLINK("https://cfpub.epa.gov/ecotox/explore.cfm?ncbi=13125","Explore in ECOTOX")</f>
        <v>Explore in ECOTOX</v>
      </c>
    </row>
    <row r="74" spans="1:18" x14ac:dyDescent="0.25">
      <c r="A74">
        <v>6</v>
      </c>
      <c r="B74" t="str">
        <f>HYPERLINK("http://www.ncbi.nlm.nih.gov/protein/XP_005335252.1","XP_005335252.1")</f>
        <v>XP_005335252.1</v>
      </c>
      <c r="C74">
        <v>94507</v>
      </c>
      <c r="D74" t="str">
        <f>HYPERLINK("http://www.ncbi.nlm.nih.gov/Taxonomy/Browser/wwwtax.cgi?mode=Info&amp;id=43179&amp;lvl=3&amp;lin=f&amp;keep=1&amp;srchmode=1&amp;unlock","43179")</f>
        <v>43179</v>
      </c>
      <c r="E74" t="s">
        <v>18</v>
      </c>
      <c r="F74" t="s">
        <v>18</v>
      </c>
      <c r="G74" t="str">
        <f>HYPERLINK("http://www.ncbi.nlm.nih.gov/Taxonomy/Browser/wwwtax.cgi?mode=Info&amp;id=43179&amp;lvl=3&amp;lin=f&amp;keep=1&amp;srchmode=1&amp;unlock","Ictidomys tridecemlineatus")</f>
        <v>Ictidomys tridecemlineatus</v>
      </c>
      <c r="H74" t="s">
        <v>78</v>
      </c>
      <c r="I74" t="str">
        <f>HYPERLINK("http://www.ncbi.nlm.nih.gov/protein/XP_005335252.1","androgen receptor")</f>
        <v>androgen receptor</v>
      </c>
      <c r="J74">
        <v>1452.96</v>
      </c>
      <c r="K74" t="s">
        <v>20</v>
      </c>
      <c r="L74">
        <v>157</v>
      </c>
      <c r="M74">
        <v>44.41</v>
      </c>
      <c r="N74">
        <v>77.34</v>
      </c>
      <c r="O74" t="s">
        <v>20</v>
      </c>
      <c r="P74" t="s">
        <v>965</v>
      </c>
      <c r="Q74" t="s">
        <v>20</v>
      </c>
      <c r="R74" t="str">
        <f>HYPERLINK("https://cfpub.epa.gov/ecotox/explore.cfm?ncbi=43179","Explore in ECOTOX")</f>
        <v>Explore in ECOTOX</v>
      </c>
    </row>
    <row r="75" spans="1:18" x14ac:dyDescent="0.25">
      <c r="A75">
        <v>6</v>
      </c>
      <c r="B75" t="str">
        <f>HYPERLINK("http://www.ncbi.nlm.nih.gov/protein/XP_034341416.1","XP_034341416.1")</f>
        <v>XP_034341416.1</v>
      </c>
      <c r="C75">
        <v>41675</v>
      </c>
      <c r="D75" t="str">
        <f>HYPERLINK("http://www.ncbi.nlm.nih.gov/Taxonomy/Browser/wwwtax.cgi?mode=Info&amp;id=61156&amp;lvl=3&amp;lin=f&amp;keep=1&amp;srchmode=1&amp;unlock","61156")</f>
        <v>61156</v>
      </c>
      <c r="E75" t="s">
        <v>18</v>
      </c>
      <c r="F75" t="s">
        <v>18</v>
      </c>
      <c r="G75" t="str">
        <f>HYPERLINK("http://www.ncbi.nlm.nih.gov/Taxonomy/Browser/wwwtax.cgi?mode=Info&amp;id=61156&amp;lvl=3&amp;lin=f&amp;keep=1&amp;srchmode=1&amp;unlock","Arvicanthis niloticus")</f>
        <v>Arvicanthis niloticus</v>
      </c>
      <c r="H75" t="s">
        <v>130</v>
      </c>
      <c r="I75" t="str">
        <f>HYPERLINK("http://www.ncbi.nlm.nih.gov/protein/XP_034341416.1","androgen receptor")</f>
        <v>androgen receptor</v>
      </c>
      <c r="J75">
        <v>1452.96</v>
      </c>
      <c r="K75" t="s">
        <v>20</v>
      </c>
      <c r="L75">
        <v>157</v>
      </c>
      <c r="M75">
        <v>44.41</v>
      </c>
      <c r="N75">
        <v>77.34</v>
      </c>
      <c r="O75" t="s">
        <v>20</v>
      </c>
      <c r="P75" t="s">
        <v>965</v>
      </c>
      <c r="Q75" t="s">
        <v>20</v>
      </c>
      <c r="R75" t="str">
        <f>HYPERLINK("https://cfpub.epa.gov/ecotox/explore.cfm?ncbi=61156","Explore in ECOTOX")</f>
        <v>Explore in ECOTOX</v>
      </c>
    </row>
    <row r="76" spans="1:18" x14ac:dyDescent="0.25">
      <c r="A76">
        <v>6</v>
      </c>
      <c r="B76" t="str">
        <f>HYPERLINK("http://www.ncbi.nlm.nih.gov/protein/XP_026640574.1","XP_026640574.1")</f>
        <v>XP_026640574.1</v>
      </c>
      <c r="C76">
        <v>38011</v>
      </c>
      <c r="D76" t="str">
        <f>HYPERLINK("http://www.ncbi.nlm.nih.gov/Taxonomy/Browser/wwwtax.cgi?mode=Info&amp;id=79684&amp;lvl=3&amp;lin=f&amp;keep=1&amp;srchmode=1&amp;unlock","79684")</f>
        <v>79684</v>
      </c>
      <c r="E76" t="s">
        <v>18</v>
      </c>
      <c r="F76" t="s">
        <v>18</v>
      </c>
      <c r="G76" t="str">
        <f>HYPERLINK("http://www.ncbi.nlm.nih.gov/Taxonomy/Browser/wwwtax.cgi?mode=Info&amp;id=79684&amp;lvl=3&amp;lin=f&amp;keep=1&amp;srchmode=1&amp;unlock","Microtus ochrogaster")</f>
        <v>Microtus ochrogaster</v>
      </c>
      <c r="H76" t="s">
        <v>141</v>
      </c>
      <c r="I76" t="str">
        <f>HYPERLINK("http://www.ncbi.nlm.nih.gov/protein/XP_026640574.1","androgen receptor isoform X2")</f>
        <v>androgen receptor isoform X2</v>
      </c>
      <c r="J76">
        <v>1452.19</v>
      </c>
      <c r="K76" t="s">
        <v>20</v>
      </c>
      <c r="L76">
        <v>157</v>
      </c>
      <c r="M76">
        <v>44.41</v>
      </c>
      <c r="N76">
        <v>77.3</v>
      </c>
      <c r="O76" t="s">
        <v>20</v>
      </c>
      <c r="P76" t="s">
        <v>965</v>
      </c>
      <c r="Q76" t="s">
        <v>20</v>
      </c>
      <c r="R76" t="str">
        <f>HYPERLINK("https://cfpub.epa.gov/ecotox/explore.cfm?ncbi=79684","Explore in ECOTOX")</f>
        <v>Explore in ECOTOX</v>
      </c>
    </row>
    <row r="77" spans="1:18" x14ac:dyDescent="0.25">
      <c r="A77">
        <v>6</v>
      </c>
      <c r="B77" t="str">
        <f>HYPERLINK("http://www.ncbi.nlm.nih.gov/protein/XP_003412790.1","XP_003412790.1")</f>
        <v>XP_003412790.1</v>
      </c>
      <c r="C77">
        <v>41920</v>
      </c>
      <c r="D77" t="str">
        <f>HYPERLINK("http://www.ncbi.nlm.nih.gov/Taxonomy/Browser/wwwtax.cgi?mode=Info&amp;id=9785&amp;lvl=3&amp;lin=f&amp;keep=1&amp;srchmode=1&amp;unlock","9785")</f>
        <v>9785</v>
      </c>
      <c r="E77" t="s">
        <v>18</v>
      </c>
      <c r="F77" t="s">
        <v>18</v>
      </c>
      <c r="G77" t="str">
        <f>HYPERLINK("http://www.ncbi.nlm.nih.gov/Taxonomy/Browser/wwwtax.cgi?mode=Info&amp;id=9785&amp;lvl=3&amp;lin=f&amp;keep=1&amp;srchmode=1&amp;unlock","Loxodonta africana")</f>
        <v>Loxodonta africana</v>
      </c>
      <c r="H77" t="s">
        <v>120</v>
      </c>
      <c r="I77" t="str">
        <f>HYPERLINK("http://www.ncbi.nlm.nih.gov/protein/XP_003412790.1","androgen receptor isoform X1")</f>
        <v>androgen receptor isoform X1</v>
      </c>
      <c r="J77">
        <v>1451.8</v>
      </c>
      <c r="K77" t="s">
        <v>20</v>
      </c>
      <c r="L77">
        <v>157</v>
      </c>
      <c r="M77">
        <v>44.41</v>
      </c>
      <c r="N77">
        <v>77.28</v>
      </c>
      <c r="O77" t="s">
        <v>20</v>
      </c>
      <c r="P77" t="s">
        <v>965</v>
      </c>
      <c r="Q77" t="s">
        <v>20</v>
      </c>
      <c r="R77" t="str">
        <f>HYPERLINK("https://cfpub.epa.gov/ecotox/explore.cfm?ncbi=9785","Explore in ECOTOX")</f>
        <v>Explore in ECOTOX</v>
      </c>
    </row>
    <row r="78" spans="1:18" x14ac:dyDescent="0.25">
      <c r="A78">
        <v>6</v>
      </c>
      <c r="B78" t="str">
        <f>HYPERLINK("http://www.ncbi.nlm.nih.gov/protein/XP_032969878.1","XP_032969878.1")</f>
        <v>XP_032969878.1</v>
      </c>
      <c r="C78">
        <v>90503</v>
      </c>
      <c r="D78" t="str">
        <f>HYPERLINK("http://www.ncbi.nlm.nih.gov/Taxonomy/Browser/wwwtax.cgi?mode=Info&amp;id=59479&amp;lvl=3&amp;lin=f&amp;keep=1&amp;srchmode=1&amp;unlock","59479")</f>
        <v>59479</v>
      </c>
      <c r="E78" t="s">
        <v>18</v>
      </c>
      <c r="F78" t="s">
        <v>18</v>
      </c>
      <c r="G78" t="str">
        <f>HYPERLINK("http://www.ncbi.nlm.nih.gov/Taxonomy/Browser/wwwtax.cgi?mode=Info&amp;id=59479&amp;lvl=3&amp;lin=f&amp;keep=1&amp;srchmode=1&amp;unlock","Rhinolophus ferrumequinum")</f>
        <v>Rhinolophus ferrumequinum</v>
      </c>
      <c r="H78" t="s">
        <v>89</v>
      </c>
      <c r="I78" t="str">
        <f>HYPERLINK("http://www.ncbi.nlm.nih.gov/protein/XP_032969878.1","androgen receptor")</f>
        <v>androgen receptor</v>
      </c>
      <c r="J78">
        <v>1451.8</v>
      </c>
      <c r="K78" t="s">
        <v>20</v>
      </c>
      <c r="L78">
        <v>157</v>
      </c>
      <c r="M78">
        <v>44.41</v>
      </c>
      <c r="N78">
        <v>77.28</v>
      </c>
      <c r="O78" t="s">
        <v>20</v>
      </c>
      <c r="P78" t="s">
        <v>965</v>
      </c>
      <c r="Q78" t="s">
        <v>20</v>
      </c>
      <c r="R78" t="str">
        <f>HYPERLINK("https://cfpub.epa.gov/ecotox/explore.cfm?ncbi=59479","Explore in ECOTOX")</f>
        <v>Explore in ECOTOX</v>
      </c>
    </row>
    <row r="79" spans="1:18" x14ac:dyDescent="0.25">
      <c r="A79">
        <v>6</v>
      </c>
      <c r="B79" t="str">
        <f>HYPERLINK("http://www.ncbi.nlm.nih.gov/protein/XP_040121708.1","XP_040121708.1")</f>
        <v>XP_040121708.1</v>
      </c>
      <c r="C79">
        <v>44054</v>
      </c>
      <c r="D79" t="str">
        <f>HYPERLINK("http://www.ncbi.nlm.nih.gov/Taxonomy/Browser/wwwtax.cgi?mode=Info&amp;id=59534&amp;lvl=3&amp;lin=f&amp;keep=1&amp;srchmode=1&amp;unlock","59534")</f>
        <v>59534</v>
      </c>
      <c r="E79" t="s">
        <v>18</v>
      </c>
      <c r="F79" t="s">
        <v>18</v>
      </c>
      <c r="G79" t="str">
        <f>HYPERLINK("http://www.ncbi.nlm.nih.gov/Taxonomy/Browser/wwwtax.cgi?mode=Info&amp;id=59534&amp;lvl=3&amp;lin=f&amp;keep=1&amp;srchmode=1&amp;unlock","Oryx dammah")</f>
        <v>Oryx dammah</v>
      </c>
      <c r="H79" t="s">
        <v>116</v>
      </c>
      <c r="I79" t="str">
        <f>HYPERLINK("http://www.ncbi.nlm.nih.gov/protein/XP_040121708.1","androgen receptor")</f>
        <v>androgen receptor</v>
      </c>
      <c r="J79">
        <v>1451.03</v>
      </c>
      <c r="K79" t="s">
        <v>20</v>
      </c>
      <c r="L79">
        <v>157</v>
      </c>
      <c r="M79">
        <v>44.41</v>
      </c>
      <c r="N79">
        <v>77.239999999999995</v>
      </c>
      <c r="O79" t="s">
        <v>20</v>
      </c>
      <c r="P79" t="s">
        <v>965</v>
      </c>
      <c r="Q79" t="s">
        <v>20</v>
      </c>
      <c r="R79" t="str">
        <f>HYPERLINK("https://cfpub.epa.gov/ecotox/explore.cfm?ncbi=59534","Explore in ECOTOX")</f>
        <v>Explore in ECOTOX</v>
      </c>
    </row>
    <row r="80" spans="1:18" x14ac:dyDescent="0.25">
      <c r="A80">
        <v>6</v>
      </c>
      <c r="B80" t="str">
        <f>HYPERLINK("http://www.ncbi.nlm.nih.gov/protein/XP_039079782.1","XP_039079782.1")</f>
        <v>XP_039079782.1</v>
      </c>
      <c r="C80">
        <v>41430</v>
      </c>
      <c r="D80" t="str">
        <f>HYPERLINK("http://www.ncbi.nlm.nih.gov/Taxonomy/Browser/wwwtax.cgi?mode=Info&amp;id=95912&amp;lvl=3&amp;lin=f&amp;keep=1&amp;srchmode=1&amp;unlock","95912")</f>
        <v>95912</v>
      </c>
      <c r="E80" t="s">
        <v>18</v>
      </c>
      <c r="F80" t="s">
        <v>18</v>
      </c>
      <c r="G80" t="str">
        <f>HYPERLINK("http://www.ncbi.nlm.nih.gov/Taxonomy/Browser/wwwtax.cgi?mode=Info&amp;id=95912&amp;lvl=3&amp;lin=f&amp;keep=1&amp;srchmode=1&amp;unlock","Hyaena hyaena")</f>
        <v>Hyaena hyaena</v>
      </c>
      <c r="H80" t="s">
        <v>44</v>
      </c>
      <c r="I80" t="str">
        <f>HYPERLINK("http://www.ncbi.nlm.nih.gov/protein/XP_039079782.1","androgen receptor")</f>
        <v>androgen receptor</v>
      </c>
      <c r="J80">
        <v>1451.03</v>
      </c>
      <c r="K80" t="s">
        <v>20</v>
      </c>
      <c r="L80">
        <v>157</v>
      </c>
      <c r="M80">
        <v>44.41</v>
      </c>
      <c r="N80">
        <v>77.239999999999995</v>
      </c>
      <c r="O80" t="s">
        <v>20</v>
      </c>
      <c r="P80" t="s">
        <v>965</v>
      </c>
      <c r="Q80" t="s">
        <v>20</v>
      </c>
      <c r="R80" t="str">
        <f>HYPERLINK("https://cfpub.epa.gov/ecotox/explore.cfm?ncbi=95912","Explore in ECOTOX")</f>
        <v>Explore in ECOTOX</v>
      </c>
    </row>
    <row r="81" spans="1:18" x14ac:dyDescent="0.25">
      <c r="A81">
        <v>6</v>
      </c>
      <c r="B81" t="str">
        <f>HYPERLINK("http://www.ncbi.nlm.nih.gov/protein/XP_040322896.1","XP_040322896.1")</f>
        <v>XP_040322896.1</v>
      </c>
      <c r="C81">
        <v>55674</v>
      </c>
      <c r="D81" t="str">
        <f>HYPERLINK("http://www.ncbi.nlm.nih.gov/Taxonomy/Browser/wwwtax.cgi?mode=Info&amp;id=1608482&amp;lvl=3&amp;lin=f&amp;keep=1&amp;srchmode=1&amp;unlock","1608482")</f>
        <v>1608482</v>
      </c>
      <c r="E81" t="s">
        <v>18</v>
      </c>
      <c r="F81" t="s">
        <v>18</v>
      </c>
      <c r="G81" t="str">
        <f>HYPERLINK("http://www.ncbi.nlm.nih.gov/Taxonomy/Browser/wwwtax.cgi?mode=Info&amp;id=1608482&amp;lvl=3&amp;lin=f&amp;keep=1&amp;srchmode=1&amp;unlock","Puma yagouaroundi")</f>
        <v>Puma yagouaroundi</v>
      </c>
      <c r="H81" t="s">
        <v>66</v>
      </c>
      <c r="I81" t="str">
        <f>HYPERLINK("http://www.ncbi.nlm.nih.gov/protein/XP_040322896.1","androgen receptor isoform X1")</f>
        <v>androgen receptor isoform X1</v>
      </c>
      <c r="J81">
        <v>1450.26</v>
      </c>
      <c r="K81" t="s">
        <v>20</v>
      </c>
      <c r="L81">
        <v>157</v>
      </c>
      <c r="M81">
        <v>44.41</v>
      </c>
      <c r="N81">
        <v>77.2</v>
      </c>
      <c r="O81" t="s">
        <v>20</v>
      </c>
      <c r="P81" t="s">
        <v>965</v>
      </c>
      <c r="Q81" t="s">
        <v>20</v>
      </c>
      <c r="R81" t="str">
        <f>HYPERLINK("https://cfpub.epa.gov/ecotox/explore.cfm?ncbi=1608482","Explore in ECOTOX")</f>
        <v>Explore in ECOTOX</v>
      </c>
    </row>
    <row r="82" spans="1:18" x14ac:dyDescent="0.25">
      <c r="A82">
        <v>6</v>
      </c>
      <c r="B82" t="str">
        <f>HYPERLINK("http://www.ncbi.nlm.nih.gov/protein/XP_026255764.1","XP_026255764.1")</f>
        <v>XP_026255764.1</v>
      </c>
      <c r="C82">
        <v>36494</v>
      </c>
      <c r="D82" t="str">
        <f>HYPERLINK("http://www.ncbi.nlm.nih.gov/Taxonomy/Browser/wwwtax.cgi?mode=Info&amp;id=9999&amp;lvl=3&amp;lin=f&amp;keep=1&amp;srchmode=1&amp;unlock","9999")</f>
        <v>9999</v>
      </c>
      <c r="E82" t="s">
        <v>18</v>
      </c>
      <c r="F82" t="s">
        <v>18</v>
      </c>
      <c r="G82" t="str">
        <f>HYPERLINK("http://www.ncbi.nlm.nih.gov/Taxonomy/Browser/wwwtax.cgi?mode=Info&amp;id=9999&amp;lvl=3&amp;lin=f&amp;keep=1&amp;srchmode=1&amp;unlock","Urocitellus parryii")</f>
        <v>Urocitellus parryii</v>
      </c>
      <c r="H82" t="s">
        <v>84</v>
      </c>
      <c r="I82" t="str">
        <f>HYPERLINK("http://www.ncbi.nlm.nih.gov/protein/XP_026255764.1","androgen receptor")</f>
        <v>androgen receptor</v>
      </c>
      <c r="J82">
        <v>1447.95</v>
      </c>
      <c r="K82" t="s">
        <v>20</v>
      </c>
      <c r="L82">
        <v>157</v>
      </c>
      <c r="M82">
        <v>44.41</v>
      </c>
      <c r="N82">
        <v>77.08</v>
      </c>
      <c r="O82" t="s">
        <v>20</v>
      </c>
      <c r="P82" t="s">
        <v>965</v>
      </c>
      <c r="Q82" t="s">
        <v>20</v>
      </c>
      <c r="R82" t="str">
        <f>HYPERLINK("https://cfpub.epa.gov/ecotox/explore.cfm?ncbi=9999","Explore in ECOTOX")</f>
        <v>Explore in ECOTOX</v>
      </c>
    </row>
    <row r="83" spans="1:18" x14ac:dyDescent="0.25">
      <c r="A83">
        <v>6</v>
      </c>
      <c r="B83" t="str">
        <f>HYPERLINK("http://www.ncbi.nlm.nih.gov/protein/XP_004871834.1","XP_004871834.1")</f>
        <v>XP_004871834.1</v>
      </c>
      <c r="C83">
        <v>82656</v>
      </c>
      <c r="D83" t="str">
        <f>HYPERLINK("http://www.ncbi.nlm.nih.gov/Taxonomy/Browser/wwwtax.cgi?mode=Info&amp;id=10181&amp;lvl=3&amp;lin=f&amp;keep=1&amp;srchmode=1&amp;unlock","10181")</f>
        <v>10181</v>
      </c>
      <c r="E83" t="s">
        <v>18</v>
      </c>
      <c r="F83" t="s">
        <v>18</v>
      </c>
      <c r="G83" t="str">
        <f>HYPERLINK("http://www.ncbi.nlm.nih.gov/Taxonomy/Browser/wwwtax.cgi?mode=Info&amp;id=10181&amp;lvl=3&amp;lin=f&amp;keep=1&amp;srchmode=1&amp;unlock","Heterocephalus glaber")</f>
        <v>Heterocephalus glaber</v>
      </c>
      <c r="H83" t="s">
        <v>144</v>
      </c>
      <c r="I83" t="str">
        <f>HYPERLINK("http://www.ncbi.nlm.nih.gov/protein/XP_004871834.1","androgen receptor isoform X1")</f>
        <v>androgen receptor isoform X1</v>
      </c>
      <c r="J83">
        <v>1447.95</v>
      </c>
      <c r="K83" t="s">
        <v>20</v>
      </c>
      <c r="L83">
        <v>157</v>
      </c>
      <c r="M83">
        <v>44.41</v>
      </c>
      <c r="N83">
        <v>77.08</v>
      </c>
      <c r="O83" t="s">
        <v>20</v>
      </c>
      <c r="P83" t="s">
        <v>965</v>
      </c>
      <c r="Q83" t="s">
        <v>20</v>
      </c>
      <c r="R83" t="str">
        <f>HYPERLINK("https://cfpub.epa.gov/ecotox/explore.cfm?ncbi=10181","Explore in ECOTOX")</f>
        <v>Explore in ECOTOX</v>
      </c>
    </row>
    <row r="84" spans="1:18" x14ac:dyDescent="0.25">
      <c r="A84">
        <v>6</v>
      </c>
      <c r="B84" t="str">
        <f>HYPERLINK("http://www.ncbi.nlm.nih.gov/protein/CDG23667.1","CDG23667.1")</f>
        <v>CDG23667.1</v>
      </c>
      <c r="C84">
        <v>352</v>
      </c>
      <c r="D84" t="str">
        <f>HYPERLINK("http://www.ncbi.nlm.nih.gov/Taxonomy/Browser/wwwtax.cgi?mode=Info&amp;id=9858&amp;lvl=3&amp;lin=f&amp;keep=1&amp;srchmode=1&amp;unlock","9858")</f>
        <v>9858</v>
      </c>
      <c r="E84" t="s">
        <v>18</v>
      </c>
      <c r="F84" t="s">
        <v>18</v>
      </c>
      <c r="G84" t="str">
        <f>HYPERLINK("http://www.ncbi.nlm.nih.gov/Taxonomy/Browser/wwwtax.cgi?mode=Info&amp;id=9858&amp;lvl=3&amp;lin=f&amp;keep=1&amp;srchmode=1&amp;unlock","Capreolus capreolus")</f>
        <v>Capreolus capreolus</v>
      </c>
      <c r="H84" t="s">
        <v>970</v>
      </c>
      <c r="I84" t="str">
        <f>HYPERLINK("http://www.ncbi.nlm.nih.gov/protein/CDG23667.1","androgen receptor")</f>
        <v>androgen receptor</v>
      </c>
      <c r="J84">
        <v>1446.41</v>
      </c>
      <c r="K84" t="s">
        <v>20</v>
      </c>
      <c r="L84">
        <v>157</v>
      </c>
      <c r="M84">
        <v>44.41</v>
      </c>
      <c r="N84">
        <v>76.989999999999995</v>
      </c>
      <c r="O84" t="s">
        <v>20</v>
      </c>
      <c r="P84" t="s">
        <v>965</v>
      </c>
      <c r="Q84" t="s">
        <v>20</v>
      </c>
      <c r="R84" t="str">
        <f>HYPERLINK("https://cfpub.epa.gov/ecotox/explore.cfm?ncbi=9858","Explore in ECOTOX")</f>
        <v>Explore in ECOTOX</v>
      </c>
    </row>
    <row r="85" spans="1:18" x14ac:dyDescent="0.25">
      <c r="A85">
        <v>6</v>
      </c>
      <c r="B85" t="str">
        <f>HYPERLINK("http://www.ncbi.nlm.nih.gov/protein/XP_007445632.1","XP_007445632.1")</f>
        <v>XP_007445632.1</v>
      </c>
      <c r="C85">
        <v>27194</v>
      </c>
      <c r="D85" t="str">
        <f>HYPERLINK("http://www.ncbi.nlm.nih.gov/Taxonomy/Browser/wwwtax.cgi?mode=Info&amp;id=118797&amp;lvl=3&amp;lin=f&amp;keep=1&amp;srchmode=1&amp;unlock","118797")</f>
        <v>118797</v>
      </c>
      <c r="E85" t="s">
        <v>18</v>
      </c>
      <c r="F85" t="s">
        <v>18</v>
      </c>
      <c r="G85" t="str">
        <f>HYPERLINK("http://www.ncbi.nlm.nih.gov/Taxonomy/Browser/wwwtax.cgi?mode=Info&amp;id=118797&amp;lvl=3&amp;lin=f&amp;keep=1&amp;srchmode=1&amp;unlock","Lipotes vexillifer")</f>
        <v>Lipotes vexillifer</v>
      </c>
      <c r="H85" t="s">
        <v>165</v>
      </c>
      <c r="I85" t="str">
        <f>HYPERLINK("http://www.ncbi.nlm.nih.gov/protein/XP_007445632.1","PREDICTED: androgen receptor")</f>
        <v>PREDICTED: androgen receptor</v>
      </c>
      <c r="J85">
        <v>1446.41</v>
      </c>
      <c r="K85" t="s">
        <v>20</v>
      </c>
      <c r="L85">
        <v>157</v>
      </c>
      <c r="M85">
        <v>44.41</v>
      </c>
      <c r="N85">
        <v>76.989999999999995</v>
      </c>
      <c r="O85" t="s">
        <v>20</v>
      </c>
      <c r="P85" t="s">
        <v>965</v>
      </c>
      <c r="Q85" t="s">
        <v>20</v>
      </c>
      <c r="R85" t="str">
        <f>HYPERLINK("https://cfpub.epa.gov/ecotox/explore.cfm?ncbi=118797","Explore in ECOTOX")</f>
        <v>Explore in ECOTOX</v>
      </c>
    </row>
    <row r="86" spans="1:18" x14ac:dyDescent="0.25">
      <c r="A86">
        <v>6</v>
      </c>
      <c r="B86" t="str">
        <f>HYPERLINK("http://www.ncbi.nlm.nih.gov/protein/XP_017899319.1","XP_017899319.1")</f>
        <v>XP_017899319.1</v>
      </c>
      <c r="C86">
        <v>47245</v>
      </c>
      <c r="D86" t="str">
        <f>HYPERLINK("http://www.ncbi.nlm.nih.gov/Taxonomy/Browser/wwwtax.cgi?mode=Info&amp;id=9925&amp;lvl=3&amp;lin=f&amp;keep=1&amp;srchmode=1&amp;unlock","9925")</f>
        <v>9925</v>
      </c>
      <c r="E86" t="s">
        <v>18</v>
      </c>
      <c r="F86" t="s">
        <v>18</v>
      </c>
      <c r="G86" t="str">
        <f>HYPERLINK("http://www.ncbi.nlm.nih.gov/Taxonomy/Browser/wwwtax.cgi?mode=Info&amp;id=9925&amp;lvl=3&amp;lin=f&amp;keep=1&amp;srchmode=1&amp;unlock","Capra hircus")</f>
        <v>Capra hircus</v>
      </c>
      <c r="H86" t="s">
        <v>108</v>
      </c>
      <c r="I86" t="str">
        <f>HYPERLINK("http://www.ncbi.nlm.nih.gov/protein/XP_017899319.1","PREDICTED: androgen receptor")</f>
        <v>PREDICTED: androgen receptor</v>
      </c>
      <c r="J86">
        <v>1446.03</v>
      </c>
      <c r="K86" t="s">
        <v>20</v>
      </c>
      <c r="L86">
        <v>157</v>
      </c>
      <c r="M86">
        <v>44.41</v>
      </c>
      <c r="N86">
        <v>76.97</v>
      </c>
      <c r="O86" t="s">
        <v>20</v>
      </c>
      <c r="P86" t="s">
        <v>965</v>
      </c>
      <c r="Q86" t="s">
        <v>20</v>
      </c>
      <c r="R86" t="str">
        <f>HYPERLINK("https://cfpub.epa.gov/ecotox/explore.cfm?ncbi=9925","Explore in ECOTOX")</f>
        <v>Explore in ECOTOX</v>
      </c>
    </row>
    <row r="87" spans="1:18" x14ac:dyDescent="0.25">
      <c r="A87">
        <v>6</v>
      </c>
      <c r="B87" t="str">
        <f>HYPERLINK("http://www.ncbi.nlm.nih.gov/protein/Q8MIK0.1","Q8MIK0.1")</f>
        <v>Q8MIK0.1</v>
      </c>
      <c r="C87">
        <v>17488</v>
      </c>
      <c r="D87" t="str">
        <f>HYPERLINK("http://www.ncbi.nlm.nih.gov/Taxonomy/Browser/wwwtax.cgi?mode=Info&amp;id=9678&amp;lvl=3&amp;lin=f&amp;keep=1&amp;srchmode=1&amp;unlock","9678")</f>
        <v>9678</v>
      </c>
      <c r="E87" t="s">
        <v>18</v>
      </c>
      <c r="F87" t="s">
        <v>18</v>
      </c>
      <c r="G87" t="str">
        <f>HYPERLINK("http://www.ncbi.nlm.nih.gov/Taxonomy/Browser/wwwtax.cgi?mode=Info&amp;id=9678&amp;lvl=3&amp;lin=f&amp;keep=1&amp;srchmode=1&amp;unlock","Crocuta crocuta")</f>
        <v>Crocuta crocuta</v>
      </c>
      <c r="H87" t="s">
        <v>164</v>
      </c>
      <c r="I87" t="str">
        <f>HYPERLINK("http://www.ncbi.nlm.nih.gov/protein/Q8MIK0.1","RecName: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87">
        <v>1446.03</v>
      </c>
      <c r="K87" t="s">
        <v>20</v>
      </c>
      <c r="L87">
        <v>157</v>
      </c>
      <c r="M87">
        <v>44.41</v>
      </c>
      <c r="N87">
        <v>76.97</v>
      </c>
      <c r="O87" t="s">
        <v>20</v>
      </c>
      <c r="P87" t="s">
        <v>965</v>
      </c>
      <c r="Q87" t="s">
        <v>20</v>
      </c>
      <c r="R87" t="str">
        <f>HYPERLINK("https://cfpub.epa.gov/ecotox/explore.cfm?ncbi=9678","Explore in ECOTOX")</f>
        <v>Explore in ECOTOX</v>
      </c>
    </row>
    <row r="88" spans="1:18" x14ac:dyDescent="0.25">
      <c r="A88">
        <v>6</v>
      </c>
      <c r="B88" t="str">
        <f>HYPERLINK("http://www.ncbi.nlm.nih.gov/protein/XP_004380149.1","XP_004380149.1")</f>
        <v>XP_004380149.1</v>
      </c>
      <c r="C88">
        <v>37488</v>
      </c>
      <c r="D88" t="str">
        <f>HYPERLINK("http://www.ncbi.nlm.nih.gov/Taxonomy/Browser/wwwtax.cgi?mode=Info&amp;id=127582&amp;lvl=3&amp;lin=f&amp;keep=1&amp;srchmode=1&amp;unlock","127582")</f>
        <v>127582</v>
      </c>
      <c r="E88" t="s">
        <v>18</v>
      </c>
      <c r="F88" t="s">
        <v>18</v>
      </c>
      <c r="G88" t="str">
        <f>HYPERLINK("http://www.ncbi.nlm.nih.gov/Taxonomy/Browser/wwwtax.cgi?mode=Info&amp;id=127582&amp;lvl=3&amp;lin=f&amp;keep=1&amp;srchmode=1&amp;unlock","Trichechus manatus latirostris")</f>
        <v>Trichechus manatus latirostris</v>
      </c>
      <c r="H88" t="s">
        <v>125</v>
      </c>
      <c r="I88" t="str">
        <f>HYPERLINK("http://www.ncbi.nlm.nih.gov/protein/XP_004380149.1","androgen receptor isoform X1")</f>
        <v>androgen receptor isoform X1</v>
      </c>
      <c r="J88">
        <v>1443.33</v>
      </c>
      <c r="K88" t="s">
        <v>20</v>
      </c>
      <c r="L88">
        <v>157</v>
      </c>
      <c r="M88">
        <v>44.41</v>
      </c>
      <c r="N88">
        <v>76.83</v>
      </c>
      <c r="O88" t="s">
        <v>20</v>
      </c>
      <c r="P88" t="s">
        <v>965</v>
      </c>
      <c r="Q88" t="s">
        <v>20</v>
      </c>
      <c r="R88" t="str">
        <f>HYPERLINK("https://cfpub.epa.gov/ecotox/explore.cfm?ncbi=127582","Explore in ECOTOX")</f>
        <v>Explore in ECOTOX</v>
      </c>
    </row>
    <row r="89" spans="1:18" x14ac:dyDescent="0.25">
      <c r="A89">
        <v>6</v>
      </c>
      <c r="B89" t="str">
        <f>HYPERLINK("http://www.ncbi.nlm.nih.gov/protein/XP_004644568.1","XP_004644568.1")</f>
        <v>XP_004644568.1</v>
      </c>
      <c r="C89">
        <v>42554</v>
      </c>
      <c r="D89" t="str">
        <f>HYPERLINK("http://www.ncbi.nlm.nih.gov/Taxonomy/Browser/wwwtax.cgi?mode=Info&amp;id=10160&amp;lvl=3&amp;lin=f&amp;keep=1&amp;srchmode=1&amp;unlock","10160")</f>
        <v>10160</v>
      </c>
      <c r="E89" t="s">
        <v>18</v>
      </c>
      <c r="F89" t="s">
        <v>18</v>
      </c>
      <c r="G89" t="str">
        <f>HYPERLINK("http://www.ncbi.nlm.nih.gov/Taxonomy/Browser/wwwtax.cgi?mode=Info&amp;id=10160&amp;lvl=3&amp;lin=f&amp;keep=1&amp;srchmode=1&amp;unlock","Octodon degus")</f>
        <v>Octodon degus</v>
      </c>
      <c r="H89" t="s">
        <v>106</v>
      </c>
      <c r="I89" t="str">
        <f>HYPERLINK("http://www.ncbi.nlm.nih.gov/protein/XP_004644568.1","androgen receptor isoform X1")</f>
        <v>androgen receptor isoform X1</v>
      </c>
      <c r="J89">
        <v>1442.94</v>
      </c>
      <c r="K89" t="s">
        <v>20</v>
      </c>
      <c r="L89">
        <v>157</v>
      </c>
      <c r="M89">
        <v>44.41</v>
      </c>
      <c r="N89">
        <v>76.81</v>
      </c>
      <c r="O89" t="s">
        <v>20</v>
      </c>
      <c r="P89" t="s">
        <v>965</v>
      </c>
      <c r="Q89" t="s">
        <v>20</v>
      </c>
      <c r="R89" t="str">
        <f>HYPERLINK("https://cfpub.epa.gov/ecotox/explore.cfm?ncbi=10160","Explore in ECOTOX")</f>
        <v>Explore in ECOTOX</v>
      </c>
    </row>
    <row r="90" spans="1:18" x14ac:dyDescent="0.25">
      <c r="A90">
        <v>6</v>
      </c>
      <c r="B90" t="str">
        <f>HYPERLINK("http://www.ncbi.nlm.nih.gov/protein/XP_032745817.1","XP_032745817.1")</f>
        <v>XP_032745817.1</v>
      </c>
      <c r="C90">
        <v>36373</v>
      </c>
      <c r="D90" t="str">
        <f>HYPERLINK("http://www.ncbi.nlm.nih.gov/Taxonomy/Browser/wwwtax.cgi?mode=Info&amp;id=10117&amp;lvl=3&amp;lin=f&amp;keep=1&amp;srchmode=1&amp;unlock","10117")</f>
        <v>10117</v>
      </c>
      <c r="E90" t="s">
        <v>18</v>
      </c>
      <c r="F90" t="s">
        <v>18</v>
      </c>
      <c r="G90" t="str">
        <f>HYPERLINK("http://www.ncbi.nlm.nih.gov/Taxonomy/Browser/wwwtax.cgi?mode=Info&amp;id=10117&amp;lvl=3&amp;lin=f&amp;keep=1&amp;srchmode=1&amp;unlock","Rattus rattus")</f>
        <v>Rattus rattus</v>
      </c>
      <c r="H90" t="s">
        <v>138</v>
      </c>
      <c r="I90" t="str">
        <f>HYPERLINK("http://www.ncbi.nlm.nih.gov/protein/XP_032745817.1","LOW QUALITY PROTEIN: androgen receptor")</f>
        <v>LOW QUALITY PROTEIN: androgen receptor</v>
      </c>
      <c r="J90">
        <v>1442.56</v>
      </c>
      <c r="K90" t="s">
        <v>20</v>
      </c>
      <c r="L90">
        <v>157</v>
      </c>
      <c r="M90">
        <v>44.41</v>
      </c>
      <c r="N90">
        <v>76.790000000000006</v>
      </c>
      <c r="O90" t="s">
        <v>20</v>
      </c>
      <c r="P90" t="s">
        <v>965</v>
      </c>
      <c r="Q90" t="s">
        <v>20</v>
      </c>
      <c r="R90" t="str">
        <f>HYPERLINK("https://cfpub.epa.gov/ecotox/explore.cfm?ncbi=10117","Explore in ECOTOX")</f>
        <v>Explore in ECOTOX</v>
      </c>
    </row>
    <row r="91" spans="1:18" x14ac:dyDescent="0.25">
      <c r="A91">
        <v>6</v>
      </c>
      <c r="B91" t="str">
        <f>HYPERLINK("http://www.ncbi.nlm.nih.gov/protein/XP_004715496.1","XP_004715496.1")</f>
        <v>XP_004715496.1</v>
      </c>
      <c r="C91">
        <v>24944</v>
      </c>
      <c r="D91" t="str">
        <f>HYPERLINK("http://www.ncbi.nlm.nih.gov/Taxonomy/Browser/wwwtax.cgi?mode=Info&amp;id=9371&amp;lvl=3&amp;lin=f&amp;keep=1&amp;srchmode=1&amp;unlock","9371")</f>
        <v>9371</v>
      </c>
      <c r="E91" t="s">
        <v>18</v>
      </c>
      <c r="F91" t="s">
        <v>18</v>
      </c>
      <c r="G91" t="str">
        <f>HYPERLINK("http://www.ncbi.nlm.nih.gov/Taxonomy/Browser/wwwtax.cgi?mode=Info&amp;id=9371&amp;lvl=3&amp;lin=f&amp;keep=1&amp;srchmode=1&amp;unlock","Echinops telfairi")</f>
        <v>Echinops telfairi</v>
      </c>
      <c r="H91" t="s">
        <v>114</v>
      </c>
      <c r="I91" t="str">
        <f>HYPERLINK("http://www.ncbi.nlm.nih.gov/protein/XP_004715496.1","androgen receptor")</f>
        <v>androgen receptor</v>
      </c>
      <c r="J91">
        <v>1440.63</v>
      </c>
      <c r="K91" t="s">
        <v>20</v>
      </c>
      <c r="L91">
        <v>157</v>
      </c>
      <c r="M91">
        <v>44.41</v>
      </c>
      <c r="N91">
        <v>76.69</v>
      </c>
      <c r="O91" t="s">
        <v>20</v>
      </c>
      <c r="P91" t="s">
        <v>965</v>
      </c>
      <c r="Q91" t="s">
        <v>20</v>
      </c>
      <c r="R91" t="str">
        <f>HYPERLINK("https://cfpub.epa.gov/ecotox/explore.cfm?ncbi=9371","Explore in ECOTOX")</f>
        <v>Explore in ECOTOX</v>
      </c>
    </row>
    <row r="92" spans="1:18" x14ac:dyDescent="0.25">
      <c r="A92">
        <v>6</v>
      </c>
      <c r="B92" t="str">
        <f>HYPERLINK("http://www.ncbi.nlm.nih.gov/protein/XP_021043964.1","XP_021043964.1")</f>
        <v>XP_021043964.1</v>
      </c>
      <c r="C92">
        <v>42356</v>
      </c>
      <c r="D92" t="str">
        <f>HYPERLINK("http://www.ncbi.nlm.nih.gov/Taxonomy/Browser/wwwtax.cgi?mode=Info&amp;id=10093&amp;lvl=3&amp;lin=f&amp;keep=1&amp;srchmode=1&amp;unlock","10093")</f>
        <v>10093</v>
      </c>
      <c r="E92" t="s">
        <v>18</v>
      </c>
      <c r="F92" t="s">
        <v>18</v>
      </c>
      <c r="G92" t="str">
        <f>HYPERLINK("http://www.ncbi.nlm.nih.gov/Taxonomy/Browser/wwwtax.cgi?mode=Info&amp;id=10093&amp;lvl=3&amp;lin=f&amp;keep=1&amp;srchmode=1&amp;unlock","Mus pahari")</f>
        <v>Mus pahari</v>
      </c>
      <c r="H92" t="s">
        <v>132</v>
      </c>
      <c r="I92" t="str">
        <f>HYPERLINK("http://www.ncbi.nlm.nih.gov/protein/XP_021043964.1","androgen receptor")</f>
        <v>androgen receptor</v>
      </c>
      <c r="J92">
        <v>1440.63</v>
      </c>
      <c r="K92" t="s">
        <v>20</v>
      </c>
      <c r="L92">
        <v>157</v>
      </c>
      <c r="M92">
        <v>44.41</v>
      </c>
      <c r="N92">
        <v>76.69</v>
      </c>
      <c r="O92" t="s">
        <v>20</v>
      </c>
      <c r="P92" t="s">
        <v>965</v>
      </c>
      <c r="Q92" t="s">
        <v>20</v>
      </c>
      <c r="R92" t="str">
        <f>HYPERLINK("https://cfpub.epa.gov/ecotox/explore.cfm?ncbi=10093","Explore in ECOTOX")</f>
        <v>Explore in ECOTOX</v>
      </c>
    </row>
    <row r="93" spans="1:18" x14ac:dyDescent="0.25">
      <c r="A93">
        <v>6</v>
      </c>
      <c r="B93" t="str">
        <f>HYPERLINK("http://www.ncbi.nlm.nih.gov/protein/XP_012591725.1","XP_012591725.1")</f>
        <v>XP_012591725.1</v>
      </c>
      <c r="C93">
        <v>60035</v>
      </c>
      <c r="D93" t="str">
        <f>HYPERLINK("http://www.ncbi.nlm.nih.gov/Taxonomy/Browser/wwwtax.cgi?mode=Info&amp;id=30608&amp;lvl=3&amp;lin=f&amp;keep=1&amp;srchmode=1&amp;unlock","30608")</f>
        <v>30608</v>
      </c>
      <c r="E93" t="s">
        <v>18</v>
      </c>
      <c r="F93" t="s">
        <v>18</v>
      </c>
      <c r="G93" t="str">
        <f>HYPERLINK("http://www.ncbi.nlm.nih.gov/Taxonomy/Browser/wwwtax.cgi?mode=Info&amp;id=30608&amp;lvl=3&amp;lin=f&amp;keep=1&amp;srchmode=1&amp;unlock","Microcebus murinus")</f>
        <v>Microcebus murinus</v>
      </c>
      <c r="H93" t="s">
        <v>93</v>
      </c>
      <c r="I93" t="str">
        <f>HYPERLINK("http://www.ncbi.nlm.nih.gov/protein/XP_012591725.1","androgen receptor")</f>
        <v>androgen receptor</v>
      </c>
      <c r="J93">
        <v>1439.86</v>
      </c>
      <c r="K93" t="s">
        <v>20</v>
      </c>
      <c r="L93">
        <v>157</v>
      </c>
      <c r="M93">
        <v>44.41</v>
      </c>
      <c r="N93">
        <v>76.650000000000006</v>
      </c>
      <c r="O93" t="s">
        <v>20</v>
      </c>
      <c r="P93" t="s">
        <v>965</v>
      </c>
      <c r="Q93" t="s">
        <v>20</v>
      </c>
      <c r="R93" t="str">
        <f>HYPERLINK("https://cfpub.epa.gov/ecotox/explore.cfm?ncbi=30608","Explore in ECOTOX")</f>
        <v>Explore in ECOTOX</v>
      </c>
    </row>
    <row r="94" spans="1:18" x14ac:dyDescent="0.25">
      <c r="A94">
        <v>6</v>
      </c>
      <c r="B94" t="str">
        <f>HYPERLINK("http://www.ncbi.nlm.nih.gov/protein/XP_006868555.1","XP_006868555.1")</f>
        <v>XP_006868555.1</v>
      </c>
      <c r="C94">
        <v>25292</v>
      </c>
      <c r="D94" t="str">
        <f>HYPERLINK("http://www.ncbi.nlm.nih.gov/Taxonomy/Browser/wwwtax.cgi?mode=Info&amp;id=185453&amp;lvl=3&amp;lin=f&amp;keep=1&amp;srchmode=1&amp;unlock","185453")</f>
        <v>185453</v>
      </c>
      <c r="E94" t="s">
        <v>18</v>
      </c>
      <c r="F94" t="s">
        <v>18</v>
      </c>
      <c r="G94" t="str">
        <f>HYPERLINK("http://www.ncbi.nlm.nih.gov/Taxonomy/Browser/wwwtax.cgi?mode=Info&amp;id=185453&amp;lvl=3&amp;lin=f&amp;keep=1&amp;srchmode=1&amp;unlock","Chrysochloris asiatica")</f>
        <v>Chrysochloris asiatica</v>
      </c>
      <c r="H94" t="s">
        <v>124</v>
      </c>
      <c r="I94" t="str">
        <f>HYPERLINK("http://www.ncbi.nlm.nih.gov/protein/XP_006868555.1","PREDICTED: androgen receptor-like isoform X4")</f>
        <v>PREDICTED: androgen receptor-like isoform X4</v>
      </c>
      <c r="J94">
        <v>1439.86</v>
      </c>
      <c r="K94" t="s">
        <v>20</v>
      </c>
      <c r="L94">
        <v>157</v>
      </c>
      <c r="M94">
        <v>44.41</v>
      </c>
      <c r="N94">
        <v>76.650000000000006</v>
      </c>
      <c r="O94" t="s">
        <v>20</v>
      </c>
      <c r="P94" t="s">
        <v>965</v>
      </c>
      <c r="Q94" t="s">
        <v>20</v>
      </c>
      <c r="R94" t="str">
        <f>HYPERLINK("https://cfpub.epa.gov/ecotox/explore.cfm?ncbi=185453","Explore in ECOTOX")</f>
        <v>Explore in ECOTOX</v>
      </c>
    </row>
    <row r="95" spans="1:18" x14ac:dyDescent="0.25">
      <c r="A95">
        <v>6</v>
      </c>
      <c r="B95" t="str">
        <f>HYPERLINK("http://www.ncbi.nlm.nih.gov/protein/AAB19916.1","AAB19916.1")</f>
        <v>AAB19916.1</v>
      </c>
      <c r="C95">
        <v>1375</v>
      </c>
      <c r="D95" t="str">
        <f>HYPERLINK("http://www.ncbi.nlm.nih.gov/Taxonomy/Browser/wwwtax.cgi?mode=Info&amp;id=10095&amp;lvl=3&amp;lin=f&amp;keep=1&amp;srchmode=1&amp;unlock","10095")</f>
        <v>10095</v>
      </c>
      <c r="E95" t="s">
        <v>18</v>
      </c>
      <c r="F95" t="s">
        <v>18</v>
      </c>
      <c r="G95" t="str">
        <f>HYPERLINK("http://www.ncbi.nlm.nih.gov/Taxonomy/Browser/wwwtax.cgi?mode=Info&amp;id=10095&amp;lvl=3&amp;lin=f&amp;keep=1&amp;srchmode=1&amp;unlock","Mus sp.")</f>
        <v>Mus sp.</v>
      </c>
      <c r="H95" t="s">
        <v>906</v>
      </c>
      <c r="I95" t="str">
        <f>HYPERLINK("http://www.ncbi.nlm.nih.gov/protein/AAB19916.1","AR")</f>
        <v>AR</v>
      </c>
      <c r="J95">
        <v>1437.17</v>
      </c>
      <c r="K95" t="s">
        <v>20</v>
      </c>
      <c r="L95">
        <v>157</v>
      </c>
      <c r="M95">
        <v>44.41</v>
      </c>
      <c r="N95">
        <v>76.5</v>
      </c>
      <c r="O95" t="s">
        <v>20</v>
      </c>
      <c r="P95" t="s">
        <v>965</v>
      </c>
      <c r="Q95" t="s">
        <v>20</v>
      </c>
      <c r="R95" t="str">
        <f>HYPERLINK("https://cfpub.epa.gov/ecotox/explore.cfm?ncbi=10095","Explore in ECOTOX")</f>
        <v>Explore in ECOTOX</v>
      </c>
    </row>
    <row r="96" spans="1:18" x14ac:dyDescent="0.25">
      <c r="A96">
        <v>6</v>
      </c>
      <c r="B96" t="str">
        <f>HYPERLINK("http://www.ncbi.nlm.nih.gov/protein/AAA37234.1","AAA37234.1")</f>
        <v>AAA37234.1</v>
      </c>
      <c r="C96">
        <v>2964</v>
      </c>
      <c r="D96" t="str">
        <f>HYPERLINK("http://www.ncbi.nlm.nih.gov/Taxonomy/Browser/wwwtax.cgi?mode=Info&amp;id=10092&amp;lvl=3&amp;lin=f&amp;keep=1&amp;srchmode=1&amp;unlock","10092")</f>
        <v>10092</v>
      </c>
      <c r="E96" t="s">
        <v>18</v>
      </c>
      <c r="F96" t="s">
        <v>18</v>
      </c>
      <c r="G96" t="str">
        <f>HYPERLINK("http://www.ncbi.nlm.nih.gov/Taxonomy/Browser/wwwtax.cgi?mode=Info&amp;id=10092&amp;lvl=3&amp;lin=f&amp;keep=1&amp;srchmode=1&amp;unlock","Mus musculus domesticus")</f>
        <v>Mus musculus domesticus</v>
      </c>
      <c r="H96" t="s">
        <v>913</v>
      </c>
      <c r="I96" t="str">
        <f>HYPERLINK("http://www.ncbi.nlm.nih.gov/protein/AAA37234.1","androgen receptor")</f>
        <v>androgen receptor</v>
      </c>
      <c r="J96">
        <v>1437.17</v>
      </c>
      <c r="K96" t="s">
        <v>20</v>
      </c>
      <c r="L96">
        <v>157</v>
      </c>
      <c r="M96">
        <v>44.41</v>
      </c>
      <c r="N96">
        <v>76.5</v>
      </c>
      <c r="O96" t="s">
        <v>20</v>
      </c>
      <c r="P96" t="s">
        <v>965</v>
      </c>
      <c r="Q96" t="s">
        <v>20</v>
      </c>
      <c r="R96" t="str">
        <f>HYPERLINK("https://cfpub.epa.gov/ecotox/explore.cfm?ncbi=10092","Explore in ECOTOX")</f>
        <v>Explore in ECOTOX</v>
      </c>
    </row>
    <row r="97" spans="1:18" x14ac:dyDescent="0.25">
      <c r="A97">
        <v>6</v>
      </c>
      <c r="B97" t="str">
        <f>HYPERLINK("http://www.ncbi.nlm.nih.gov/protein/NP_038504.1","NP_038504.1")</f>
        <v>NP_038504.1</v>
      </c>
      <c r="C97">
        <v>329947</v>
      </c>
      <c r="D97" t="str">
        <f>HYPERLINK("http://www.ncbi.nlm.nih.gov/Taxonomy/Browser/wwwtax.cgi?mode=Info&amp;id=10090&amp;lvl=3&amp;lin=f&amp;keep=1&amp;srchmode=1&amp;unlock","10090")</f>
        <v>10090</v>
      </c>
      <c r="E97" t="s">
        <v>18</v>
      </c>
      <c r="F97" t="s">
        <v>18</v>
      </c>
      <c r="G97" t="str">
        <f>HYPERLINK("http://www.ncbi.nlm.nih.gov/Taxonomy/Browser/wwwtax.cgi?mode=Info&amp;id=10090&amp;lvl=3&amp;lin=f&amp;keep=1&amp;srchmode=1&amp;unlock","Mus musculus")</f>
        <v>Mus musculus</v>
      </c>
      <c r="H97" t="s">
        <v>119</v>
      </c>
      <c r="I97" t="str">
        <f>HYPERLINK("http://www.ncbi.nlm.nih.gov/protein/NP_038504.1","androgen receptor")</f>
        <v>androgen receptor</v>
      </c>
      <c r="J97">
        <v>1437.17</v>
      </c>
      <c r="K97" t="s">
        <v>20</v>
      </c>
      <c r="L97">
        <v>157</v>
      </c>
      <c r="M97">
        <v>44.41</v>
      </c>
      <c r="N97">
        <v>76.5</v>
      </c>
      <c r="O97" t="s">
        <v>20</v>
      </c>
      <c r="P97" t="s">
        <v>965</v>
      </c>
      <c r="Q97" t="s">
        <v>20</v>
      </c>
      <c r="R97" t="str">
        <f>HYPERLINK("https://cfpub.epa.gov/ecotox/explore.cfm?ncbi=10090","Explore in ECOTOX")</f>
        <v>Explore in ECOTOX</v>
      </c>
    </row>
    <row r="98" spans="1:18" x14ac:dyDescent="0.25">
      <c r="A98">
        <v>6</v>
      </c>
      <c r="B98" t="str">
        <f>HYPERLINK("http://www.ncbi.nlm.nih.gov/protein/XP_036696642.1","XP_036696642.1")</f>
        <v>XP_036696642.1</v>
      </c>
      <c r="C98">
        <v>52383</v>
      </c>
      <c r="D98" t="str">
        <f>HYPERLINK("http://www.ncbi.nlm.nih.gov/Taxonomy/Browser/wwwtax.cgi?mode=Info&amp;id=9771&amp;lvl=3&amp;lin=f&amp;keep=1&amp;srchmode=1&amp;unlock","9771")</f>
        <v>9771</v>
      </c>
      <c r="E98" t="s">
        <v>18</v>
      </c>
      <c r="F98" t="s">
        <v>18</v>
      </c>
      <c r="G98" t="str">
        <f>HYPERLINK("http://www.ncbi.nlm.nih.gov/Taxonomy/Browser/wwwtax.cgi?mode=Info&amp;id=9771&amp;lvl=3&amp;lin=f&amp;keep=1&amp;srchmode=1&amp;unlock","Balaenoptera musculus")</f>
        <v>Balaenoptera musculus</v>
      </c>
      <c r="H98" t="s">
        <v>190</v>
      </c>
      <c r="I98" t="str">
        <f>HYPERLINK("http://www.ncbi.nlm.nih.gov/protein/XP_036696642.1","androgen receptor")</f>
        <v>androgen receptor</v>
      </c>
      <c r="J98">
        <v>1437.17</v>
      </c>
      <c r="K98" t="s">
        <v>20</v>
      </c>
      <c r="L98">
        <v>157</v>
      </c>
      <c r="M98">
        <v>44.41</v>
      </c>
      <c r="N98">
        <v>76.5</v>
      </c>
      <c r="O98" t="s">
        <v>20</v>
      </c>
      <c r="P98" t="s">
        <v>965</v>
      </c>
      <c r="Q98" t="s">
        <v>20</v>
      </c>
      <c r="R98" t="str">
        <f>HYPERLINK("https://cfpub.epa.gov/ecotox/explore.cfm?ncbi=9771","Explore in ECOTOX")</f>
        <v>Explore in ECOTOX</v>
      </c>
    </row>
    <row r="99" spans="1:18" x14ac:dyDescent="0.25">
      <c r="A99">
        <v>6</v>
      </c>
      <c r="B99" t="str">
        <f>HYPERLINK("http://www.ncbi.nlm.nih.gov/protein/XP_002929217.2","XP_002929217.2")</f>
        <v>XP_002929217.2</v>
      </c>
      <c r="C99">
        <v>73410</v>
      </c>
      <c r="D99" t="str">
        <f>HYPERLINK("http://www.ncbi.nlm.nih.gov/Taxonomy/Browser/wwwtax.cgi?mode=Info&amp;id=9646&amp;lvl=3&amp;lin=f&amp;keep=1&amp;srchmode=1&amp;unlock","9646")</f>
        <v>9646</v>
      </c>
      <c r="E99" t="s">
        <v>18</v>
      </c>
      <c r="F99" t="s">
        <v>18</v>
      </c>
      <c r="G99" t="str">
        <f>HYPERLINK("http://www.ncbi.nlm.nih.gov/Taxonomy/Browser/wwwtax.cgi?mode=Info&amp;id=9646&amp;lvl=3&amp;lin=f&amp;keep=1&amp;srchmode=1&amp;unlock","Ailuropoda melanoleuca")</f>
        <v>Ailuropoda melanoleuca</v>
      </c>
      <c r="H99" t="s">
        <v>37</v>
      </c>
      <c r="I99" t="str">
        <f>HYPERLINK("http://www.ncbi.nlm.nih.gov/protein/XP_002929217.2","androgen receptor")</f>
        <v>androgen receptor</v>
      </c>
      <c r="J99">
        <v>1436.78</v>
      </c>
      <c r="K99" t="s">
        <v>20</v>
      </c>
      <c r="L99">
        <v>157</v>
      </c>
      <c r="M99">
        <v>44.41</v>
      </c>
      <c r="N99">
        <v>76.48</v>
      </c>
      <c r="O99" t="s">
        <v>20</v>
      </c>
      <c r="P99" t="s">
        <v>965</v>
      </c>
      <c r="Q99" t="s">
        <v>20</v>
      </c>
      <c r="R99" t="str">
        <f>HYPERLINK("https://cfpub.epa.gov/ecotox/explore.cfm?ncbi=9646","Explore in ECOTOX")</f>
        <v>Explore in ECOTOX</v>
      </c>
    </row>
    <row r="100" spans="1:18" x14ac:dyDescent="0.25">
      <c r="A100">
        <v>6</v>
      </c>
      <c r="B100" t="str">
        <f>HYPERLINK("http://www.ncbi.nlm.nih.gov/protein/XP_028625865.1","XP_028625865.1")</f>
        <v>XP_028625865.1</v>
      </c>
      <c r="C100">
        <v>38217</v>
      </c>
      <c r="D100" t="str">
        <f>HYPERLINK("http://www.ncbi.nlm.nih.gov/Taxonomy/Browser/wwwtax.cgi?mode=Info&amp;id=491861&amp;lvl=3&amp;lin=f&amp;keep=1&amp;srchmode=1&amp;unlock","491861")</f>
        <v>491861</v>
      </c>
      <c r="E100" t="s">
        <v>18</v>
      </c>
      <c r="F100" t="s">
        <v>18</v>
      </c>
      <c r="G100" t="str">
        <f>HYPERLINK("http://www.ncbi.nlm.nih.gov/Taxonomy/Browser/wwwtax.cgi?mode=Info&amp;id=491861&amp;lvl=3&amp;lin=f&amp;keep=1&amp;srchmode=1&amp;unlock","Grammomys surdaster")</f>
        <v>Grammomys surdaster</v>
      </c>
      <c r="H100" t="s">
        <v>133</v>
      </c>
      <c r="I100" t="str">
        <f>HYPERLINK("http://www.ncbi.nlm.nih.gov/protein/XP_028625865.1","androgen receptor")</f>
        <v>androgen receptor</v>
      </c>
      <c r="J100">
        <v>1435.62</v>
      </c>
      <c r="K100" t="s">
        <v>20</v>
      </c>
      <c r="L100">
        <v>157</v>
      </c>
      <c r="M100">
        <v>44.41</v>
      </c>
      <c r="N100">
        <v>76.42</v>
      </c>
      <c r="O100" t="s">
        <v>20</v>
      </c>
      <c r="P100" t="s">
        <v>965</v>
      </c>
      <c r="Q100" t="s">
        <v>20</v>
      </c>
      <c r="R100" t="str">
        <f>HYPERLINK("https://cfpub.epa.gov/ecotox/explore.cfm?ncbi=491861","Explore in ECOTOX")</f>
        <v>Explore in ECOTOX</v>
      </c>
    </row>
    <row r="101" spans="1:18" x14ac:dyDescent="0.25">
      <c r="A101">
        <v>6</v>
      </c>
      <c r="B101" t="str">
        <f>HYPERLINK("http://www.ncbi.nlm.nih.gov/protein/NP_036634.2","NP_036634.2")</f>
        <v>NP_036634.2</v>
      </c>
      <c r="C101">
        <v>157817</v>
      </c>
      <c r="D101" t="str">
        <f>HYPERLINK("http://www.ncbi.nlm.nih.gov/Taxonomy/Browser/wwwtax.cgi?mode=Info&amp;id=10116&amp;lvl=3&amp;lin=f&amp;keep=1&amp;srchmode=1&amp;unlock","10116")</f>
        <v>10116</v>
      </c>
      <c r="E101" t="s">
        <v>18</v>
      </c>
      <c r="F101" t="s">
        <v>18</v>
      </c>
      <c r="G101" t="str">
        <f>HYPERLINK("http://www.ncbi.nlm.nih.gov/Taxonomy/Browser/wwwtax.cgi?mode=Info&amp;id=10116&amp;lvl=3&amp;lin=f&amp;keep=1&amp;srchmode=1&amp;unlock","Rattus norvegicus")</f>
        <v>Rattus norvegicus</v>
      </c>
      <c r="H101" t="s">
        <v>136</v>
      </c>
      <c r="I101" t="str">
        <f>HYPERLINK("http://www.ncbi.nlm.nih.gov/protein/NP_036634.2","androgen receptor")</f>
        <v>androgen receptor</v>
      </c>
      <c r="J101">
        <v>1435.24</v>
      </c>
      <c r="K101" t="s">
        <v>20</v>
      </c>
      <c r="L101">
        <v>157</v>
      </c>
      <c r="M101">
        <v>44.41</v>
      </c>
      <c r="N101">
        <v>76.400000000000006</v>
      </c>
      <c r="O101" t="s">
        <v>20</v>
      </c>
      <c r="P101" t="s">
        <v>965</v>
      </c>
      <c r="Q101" t="s">
        <v>20</v>
      </c>
      <c r="R101" t="str">
        <f>HYPERLINK("https://cfpub.epa.gov/ecotox/explore.cfm?ncbi=10116","Explore in ECOTOX")</f>
        <v>Explore in ECOTOX</v>
      </c>
    </row>
    <row r="102" spans="1:18" x14ac:dyDescent="0.25">
      <c r="A102">
        <v>6</v>
      </c>
      <c r="B102" t="str">
        <f>HYPERLINK("http://www.ncbi.nlm.nih.gov/protein/XP_016059359.1","XP_016059359.1")</f>
        <v>XP_016059359.1</v>
      </c>
      <c r="C102">
        <v>29863</v>
      </c>
      <c r="D102" t="str">
        <f>HYPERLINK("http://www.ncbi.nlm.nih.gov/Taxonomy/Browser/wwwtax.cgi?mode=Info&amp;id=291302&amp;lvl=3&amp;lin=f&amp;keep=1&amp;srchmode=1&amp;unlock","291302")</f>
        <v>291302</v>
      </c>
      <c r="E102" t="s">
        <v>18</v>
      </c>
      <c r="F102" t="s">
        <v>18</v>
      </c>
      <c r="G102" t="str">
        <f>HYPERLINK("http://www.ncbi.nlm.nih.gov/Taxonomy/Browser/wwwtax.cgi?mode=Info&amp;id=291302&amp;lvl=3&amp;lin=f&amp;keep=1&amp;srchmode=1&amp;unlock","Miniopterus natalensis")</f>
        <v>Miniopterus natalensis</v>
      </c>
      <c r="H102" t="s">
        <v>77</v>
      </c>
      <c r="I102" t="str">
        <f>HYPERLINK("http://www.ncbi.nlm.nih.gov/protein/XP_016059359.1","PREDICTED: androgen receptor isoform X3")</f>
        <v>PREDICTED: androgen receptor isoform X3</v>
      </c>
      <c r="J102">
        <v>1434.08</v>
      </c>
      <c r="K102" t="s">
        <v>25</v>
      </c>
      <c r="L102">
        <v>157</v>
      </c>
      <c r="M102">
        <v>44.41</v>
      </c>
      <c r="N102">
        <v>76.34</v>
      </c>
      <c r="O102" t="s">
        <v>20</v>
      </c>
      <c r="P102" t="s">
        <v>965</v>
      </c>
      <c r="Q102" t="s">
        <v>20</v>
      </c>
      <c r="R102" t="str">
        <f>HYPERLINK("https://cfpub.epa.gov/ecotox/explore.cfm?ncbi=291302","Explore in ECOTOX")</f>
        <v>Explore in ECOTOX</v>
      </c>
    </row>
    <row r="103" spans="1:18" x14ac:dyDescent="0.25">
      <c r="A103">
        <v>6</v>
      </c>
      <c r="B103" t="str">
        <f>HYPERLINK("http://www.ncbi.nlm.nih.gov/protein/XP_024411091.1","XP_024411091.1")</f>
        <v>XP_024411091.1</v>
      </c>
      <c r="C103">
        <v>30698</v>
      </c>
      <c r="D103" t="str">
        <f>HYPERLINK("http://www.ncbi.nlm.nih.gov/Taxonomy/Browser/wwwtax.cgi?mode=Info&amp;id=9430&amp;lvl=3&amp;lin=f&amp;keep=1&amp;srchmode=1&amp;unlock","9430")</f>
        <v>9430</v>
      </c>
      <c r="E103" t="s">
        <v>18</v>
      </c>
      <c r="F103" t="s">
        <v>18</v>
      </c>
      <c r="G103" t="str">
        <f>HYPERLINK("http://www.ncbi.nlm.nih.gov/Taxonomy/Browser/wwwtax.cgi?mode=Info&amp;id=9430&amp;lvl=3&amp;lin=f&amp;keep=1&amp;srchmode=1&amp;unlock","Desmodus rotundus")</f>
        <v>Desmodus rotundus</v>
      </c>
      <c r="H103" t="s">
        <v>131</v>
      </c>
      <c r="I103" t="str">
        <f>HYPERLINK("http://www.ncbi.nlm.nih.gov/protein/XP_024411091.1","androgen receptor isoform X1")</f>
        <v>androgen receptor isoform X1</v>
      </c>
      <c r="J103">
        <v>1432.54</v>
      </c>
      <c r="K103" t="s">
        <v>20</v>
      </c>
      <c r="L103">
        <v>157</v>
      </c>
      <c r="M103">
        <v>44.41</v>
      </c>
      <c r="N103">
        <v>76.260000000000005</v>
      </c>
      <c r="O103" t="s">
        <v>20</v>
      </c>
      <c r="P103" t="s">
        <v>965</v>
      </c>
      <c r="Q103" t="s">
        <v>20</v>
      </c>
      <c r="R103" t="str">
        <f>HYPERLINK("https://cfpub.epa.gov/ecotox/explore.cfm?ncbi=9430","Explore in ECOTOX")</f>
        <v>Explore in ECOTOX</v>
      </c>
    </row>
    <row r="104" spans="1:18" x14ac:dyDescent="0.25">
      <c r="A104">
        <v>6</v>
      </c>
      <c r="B104" t="str">
        <f>HYPERLINK("http://www.ncbi.nlm.nih.gov/protein/XP_007113487.1","XP_007113487.1")</f>
        <v>XP_007113487.1</v>
      </c>
      <c r="C104">
        <v>51265</v>
      </c>
      <c r="D104" t="str">
        <f>HYPERLINK("http://www.ncbi.nlm.nih.gov/Taxonomy/Browser/wwwtax.cgi?mode=Info&amp;id=9755&amp;lvl=3&amp;lin=f&amp;keep=1&amp;srchmode=1&amp;unlock","9755")</f>
        <v>9755</v>
      </c>
      <c r="E104" t="s">
        <v>18</v>
      </c>
      <c r="F104" t="s">
        <v>18</v>
      </c>
      <c r="G104" t="str">
        <f>HYPERLINK("http://www.ncbi.nlm.nih.gov/Taxonomy/Browser/wwwtax.cgi?mode=Info&amp;id=9755&amp;lvl=3&amp;lin=f&amp;keep=1&amp;srchmode=1&amp;unlock","Physeter catodon")</f>
        <v>Physeter catodon</v>
      </c>
      <c r="H104" t="s">
        <v>139</v>
      </c>
      <c r="I104" t="str">
        <f>HYPERLINK("http://www.ncbi.nlm.nih.gov/protein/XP_007113487.1","androgen receptor isoform X1")</f>
        <v>androgen receptor isoform X1</v>
      </c>
      <c r="J104">
        <v>1428.31</v>
      </c>
      <c r="K104" t="s">
        <v>20</v>
      </c>
      <c r="L104">
        <v>157</v>
      </c>
      <c r="M104">
        <v>44.41</v>
      </c>
      <c r="N104">
        <v>76.03</v>
      </c>
      <c r="O104" t="s">
        <v>20</v>
      </c>
      <c r="P104" t="s">
        <v>965</v>
      </c>
      <c r="Q104" t="s">
        <v>20</v>
      </c>
      <c r="R104" t="str">
        <f>HYPERLINK("https://cfpub.epa.gov/ecotox/explore.cfm?ncbi=9755","Explore in ECOTOX")</f>
        <v>Explore in ECOTOX</v>
      </c>
    </row>
    <row r="105" spans="1:18" x14ac:dyDescent="0.25">
      <c r="A105">
        <v>6</v>
      </c>
      <c r="B105" t="str">
        <f>HYPERLINK("http://www.ncbi.nlm.nih.gov/protein/XP_007185523.1","XP_007185523.1")</f>
        <v>XP_007185523.1</v>
      </c>
      <c r="C105">
        <v>37624</v>
      </c>
      <c r="D105" t="str">
        <f>HYPERLINK("http://www.ncbi.nlm.nih.gov/Taxonomy/Browser/wwwtax.cgi?mode=Info&amp;id=310752&amp;lvl=3&amp;lin=f&amp;keep=1&amp;srchmode=1&amp;unlock","310752")</f>
        <v>310752</v>
      </c>
      <c r="E105" t="s">
        <v>18</v>
      </c>
      <c r="F105" t="s">
        <v>18</v>
      </c>
      <c r="G105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05" t="s">
        <v>241</v>
      </c>
      <c r="I105" t="str">
        <f>HYPERLINK("http://www.ncbi.nlm.nih.gov/protein/XP_007185523.1","androgen receptor isoform X1")</f>
        <v>androgen receptor isoform X1</v>
      </c>
      <c r="J105">
        <v>1427.54</v>
      </c>
      <c r="K105" t="s">
        <v>20</v>
      </c>
      <c r="L105">
        <v>157</v>
      </c>
      <c r="M105">
        <v>44.41</v>
      </c>
      <c r="N105">
        <v>75.989999999999995</v>
      </c>
      <c r="O105" t="s">
        <v>20</v>
      </c>
      <c r="P105" t="s">
        <v>965</v>
      </c>
      <c r="Q105" t="s">
        <v>20</v>
      </c>
      <c r="R105" t="str">
        <f>HYPERLINK("https://cfpub.epa.gov/ecotox/explore.cfm?ncbi=310752","Explore in ECOTOX")</f>
        <v>Explore in ECOTOX</v>
      </c>
    </row>
    <row r="106" spans="1:18" x14ac:dyDescent="0.25">
      <c r="A106">
        <v>6</v>
      </c>
      <c r="B106" t="str">
        <f>HYPERLINK("http://www.ncbi.nlm.nih.gov/protein/XP_010971951.1","XP_010971951.1")</f>
        <v>XP_010971951.1</v>
      </c>
      <c r="C106">
        <v>29301</v>
      </c>
      <c r="D106" t="str">
        <f>HYPERLINK("http://www.ncbi.nlm.nih.gov/Taxonomy/Browser/wwwtax.cgi?mode=Info&amp;id=9837&amp;lvl=3&amp;lin=f&amp;keep=1&amp;srchmode=1&amp;unlock","9837")</f>
        <v>9837</v>
      </c>
      <c r="E106" t="s">
        <v>18</v>
      </c>
      <c r="F106" t="s">
        <v>18</v>
      </c>
      <c r="G106" t="str">
        <f>HYPERLINK("http://www.ncbi.nlm.nih.gov/Taxonomy/Browser/wwwtax.cgi?mode=Info&amp;id=9837&amp;lvl=3&amp;lin=f&amp;keep=1&amp;srchmode=1&amp;unlock","Camelus bactrianus")</f>
        <v>Camelus bactrianus</v>
      </c>
      <c r="H106" t="s">
        <v>97</v>
      </c>
      <c r="I106" t="str">
        <f>HYPERLINK("http://www.ncbi.nlm.nih.gov/protein/XP_010971951.1","PREDICTED: LOW QUALITY PROTEIN: androgen receptor")</f>
        <v>PREDICTED: LOW QUALITY PROTEIN: androgen receptor</v>
      </c>
      <c r="J106">
        <v>1427.15</v>
      </c>
      <c r="K106" t="s">
        <v>20</v>
      </c>
      <c r="L106">
        <v>157</v>
      </c>
      <c r="M106">
        <v>44.41</v>
      </c>
      <c r="N106">
        <v>75.97</v>
      </c>
      <c r="O106" t="s">
        <v>20</v>
      </c>
      <c r="P106" t="s">
        <v>965</v>
      </c>
      <c r="Q106" t="s">
        <v>20</v>
      </c>
      <c r="R106" t="str">
        <f>HYPERLINK("https://cfpub.epa.gov/ecotox/explore.cfm?ncbi=9837","Explore in ECOTOX")</f>
        <v>Explore in ECOTOX</v>
      </c>
    </row>
    <row r="107" spans="1:18" x14ac:dyDescent="0.25">
      <c r="A107">
        <v>6</v>
      </c>
      <c r="B107" t="str">
        <f>HYPERLINK("http://www.ncbi.nlm.nih.gov/protein/XP_012887093.1","XP_012887093.1")</f>
        <v>XP_012887093.1</v>
      </c>
      <c r="C107">
        <v>29406</v>
      </c>
      <c r="D107" t="str">
        <f>HYPERLINK("http://www.ncbi.nlm.nih.gov/Taxonomy/Browser/wwwtax.cgi?mode=Info&amp;id=10020&amp;lvl=3&amp;lin=f&amp;keep=1&amp;srchmode=1&amp;unlock","10020")</f>
        <v>10020</v>
      </c>
      <c r="E107" t="s">
        <v>18</v>
      </c>
      <c r="F107" t="s">
        <v>18</v>
      </c>
      <c r="G107" t="str">
        <f>HYPERLINK("http://www.ncbi.nlm.nih.gov/Taxonomy/Browser/wwwtax.cgi?mode=Info&amp;id=10020&amp;lvl=3&amp;lin=f&amp;keep=1&amp;srchmode=1&amp;unlock","Dipodomys ordii")</f>
        <v>Dipodomys ordii</v>
      </c>
      <c r="H107" t="s">
        <v>107</v>
      </c>
      <c r="I107" t="str">
        <f>HYPERLINK("http://www.ncbi.nlm.nih.gov/protein/XP_012887093.1","PREDICTED: androgen receptor")</f>
        <v>PREDICTED: androgen receptor</v>
      </c>
      <c r="J107">
        <v>1425.99</v>
      </c>
      <c r="K107" t="s">
        <v>20</v>
      </c>
      <c r="L107">
        <v>157</v>
      </c>
      <c r="M107">
        <v>44.41</v>
      </c>
      <c r="N107">
        <v>75.91</v>
      </c>
      <c r="O107" t="s">
        <v>20</v>
      </c>
      <c r="P107" t="s">
        <v>965</v>
      </c>
      <c r="Q107" t="s">
        <v>20</v>
      </c>
      <c r="R107" t="str">
        <f>HYPERLINK("https://cfpub.epa.gov/ecotox/explore.cfm?ncbi=10020","Explore in ECOTOX")</f>
        <v>Explore in ECOTOX</v>
      </c>
    </row>
    <row r="108" spans="1:18" x14ac:dyDescent="0.25">
      <c r="A108">
        <v>6</v>
      </c>
      <c r="B108" t="str">
        <f>HYPERLINK("http://www.ncbi.nlm.nih.gov/protein/XP_021009144.1","XP_021009144.1")</f>
        <v>XP_021009144.1</v>
      </c>
      <c r="C108">
        <v>47716</v>
      </c>
      <c r="D108" t="str">
        <f>HYPERLINK("http://www.ncbi.nlm.nih.gov/Taxonomy/Browser/wwwtax.cgi?mode=Info&amp;id=10089&amp;lvl=3&amp;lin=f&amp;keep=1&amp;srchmode=1&amp;unlock","10089")</f>
        <v>10089</v>
      </c>
      <c r="E108" t="s">
        <v>18</v>
      </c>
      <c r="F108" t="s">
        <v>18</v>
      </c>
      <c r="G108" t="str">
        <f>HYPERLINK("http://www.ncbi.nlm.nih.gov/Taxonomy/Browser/wwwtax.cgi?mode=Info&amp;id=10089&amp;lvl=3&amp;lin=f&amp;keep=1&amp;srchmode=1&amp;unlock","Mus caroli")</f>
        <v>Mus caroli</v>
      </c>
      <c r="H108" t="s">
        <v>126</v>
      </c>
      <c r="I108" t="str">
        <f>HYPERLINK("http://www.ncbi.nlm.nih.gov/protein/XP_021009144.1","androgen receptor")</f>
        <v>androgen receptor</v>
      </c>
      <c r="J108">
        <v>1425.22</v>
      </c>
      <c r="K108" t="s">
        <v>20</v>
      </c>
      <c r="L108">
        <v>157</v>
      </c>
      <c r="M108">
        <v>44.41</v>
      </c>
      <c r="N108">
        <v>75.87</v>
      </c>
      <c r="O108" t="s">
        <v>20</v>
      </c>
      <c r="P108" t="s">
        <v>965</v>
      </c>
      <c r="Q108" t="s">
        <v>20</v>
      </c>
      <c r="R108" t="str">
        <f>HYPERLINK("https://cfpub.epa.gov/ecotox/explore.cfm?ncbi=10089","Explore in ECOTOX")</f>
        <v>Explore in ECOTOX</v>
      </c>
    </row>
    <row r="109" spans="1:18" x14ac:dyDescent="0.25">
      <c r="A109">
        <v>6</v>
      </c>
      <c r="B109" t="str">
        <f>HYPERLINK("http://www.ncbi.nlm.nih.gov/protein/XP_036872999.1","XP_036872999.1")</f>
        <v>XP_036872999.1</v>
      </c>
      <c r="C109">
        <v>56038</v>
      </c>
      <c r="D109" t="str">
        <f>HYPERLINK("http://www.ncbi.nlm.nih.gov/Taxonomy/Browser/wwwtax.cgi?mode=Info&amp;id=9974&amp;lvl=3&amp;lin=f&amp;keep=1&amp;srchmode=1&amp;unlock","9974")</f>
        <v>9974</v>
      </c>
      <c r="E109" t="s">
        <v>18</v>
      </c>
      <c r="F109" t="s">
        <v>18</v>
      </c>
      <c r="G109" t="str">
        <f>HYPERLINK("http://www.ncbi.nlm.nih.gov/Taxonomy/Browser/wwwtax.cgi?mode=Info&amp;id=9974&amp;lvl=3&amp;lin=f&amp;keep=1&amp;srchmode=1&amp;unlock","Manis javanica")</f>
        <v>Manis javanica</v>
      </c>
      <c r="H109" t="s">
        <v>87</v>
      </c>
      <c r="I109" t="str">
        <f>HYPERLINK("http://www.ncbi.nlm.nih.gov/protein/XP_036872999.1","androgen receptor")</f>
        <v>androgen receptor</v>
      </c>
      <c r="J109">
        <v>1424.45</v>
      </c>
      <c r="K109" t="s">
        <v>20</v>
      </c>
      <c r="L109">
        <v>157</v>
      </c>
      <c r="M109">
        <v>44.41</v>
      </c>
      <c r="N109">
        <v>75.83</v>
      </c>
      <c r="O109" t="s">
        <v>20</v>
      </c>
      <c r="P109" t="s">
        <v>965</v>
      </c>
      <c r="Q109" t="s">
        <v>20</v>
      </c>
      <c r="R109" t="str">
        <f>HYPERLINK("https://cfpub.epa.gov/ecotox/explore.cfm?ncbi=9974","Explore in ECOTOX")</f>
        <v>Explore in ECOTOX</v>
      </c>
    </row>
    <row r="110" spans="1:18" x14ac:dyDescent="0.25">
      <c r="A110">
        <v>6</v>
      </c>
      <c r="B110" t="str">
        <f>HYPERLINK("http://www.ncbi.nlm.nih.gov/protein/XP_038171936.1","XP_038171936.1")</f>
        <v>XP_038171936.1</v>
      </c>
      <c r="C110">
        <v>40931</v>
      </c>
      <c r="D110" t="str">
        <f>HYPERLINK("http://www.ncbi.nlm.nih.gov/Taxonomy/Browser/wwwtax.cgi?mode=Info&amp;id=1047088&amp;lvl=3&amp;lin=f&amp;keep=1&amp;srchmode=1&amp;unlock","1047088")</f>
        <v>1047088</v>
      </c>
      <c r="E110" t="s">
        <v>18</v>
      </c>
      <c r="F110" t="s">
        <v>18</v>
      </c>
      <c r="G110" t="str">
        <f>HYPERLINK("http://www.ncbi.nlm.nih.gov/Taxonomy/Browser/wwwtax.cgi?mode=Info&amp;id=1047088&amp;lvl=3&amp;lin=f&amp;keep=1&amp;srchmode=1&amp;unlock","Arvicola amphibius")</f>
        <v>Arvicola amphibius</v>
      </c>
      <c r="H110" t="s">
        <v>145</v>
      </c>
      <c r="I110" t="str">
        <f>HYPERLINK("http://www.ncbi.nlm.nih.gov/protein/XP_038171936.1","androgen receptor")</f>
        <v>androgen receptor</v>
      </c>
      <c r="J110">
        <v>1423.3</v>
      </c>
      <c r="K110" t="s">
        <v>20</v>
      </c>
      <c r="L110">
        <v>157</v>
      </c>
      <c r="M110">
        <v>44.41</v>
      </c>
      <c r="N110">
        <v>75.760000000000005</v>
      </c>
      <c r="O110" t="s">
        <v>20</v>
      </c>
      <c r="P110" t="s">
        <v>965</v>
      </c>
      <c r="Q110" t="s">
        <v>20</v>
      </c>
      <c r="R110" t="str">
        <f>HYPERLINK("https://cfpub.epa.gov/ecotox/explore.cfm?ncbi=1047088","Explore in ECOTOX")</f>
        <v>Explore in ECOTOX</v>
      </c>
    </row>
    <row r="111" spans="1:18" x14ac:dyDescent="0.25">
      <c r="A111">
        <v>6</v>
      </c>
      <c r="B111" t="str">
        <f>HYPERLINK("http://www.ncbi.nlm.nih.gov/protein/XP_007954476.1","XP_007954476.1")</f>
        <v>XP_007954476.1</v>
      </c>
      <c r="C111">
        <v>25532</v>
      </c>
      <c r="D111" t="str">
        <f>HYPERLINK("http://www.ncbi.nlm.nih.gov/Taxonomy/Browser/wwwtax.cgi?mode=Info&amp;id=1230840&amp;lvl=3&amp;lin=f&amp;keep=1&amp;srchmode=1&amp;unlock","1230840")</f>
        <v>1230840</v>
      </c>
      <c r="E111" t="s">
        <v>18</v>
      </c>
      <c r="F111" t="s">
        <v>18</v>
      </c>
      <c r="G111" t="str">
        <f>HYPERLINK("http://www.ncbi.nlm.nih.gov/Taxonomy/Browser/wwwtax.cgi?mode=Info&amp;id=1230840&amp;lvl=3&amp;lin=f&amp;keep=1&amp;srchmode=1&amp;unlock","Orycteropus afer afer")</f>
        <v>Orycteropus afer afer</v>
      </c>
      <c r="H111" t="s">
        <v>90</v>
      </c>
      <c r="I111" t="str">
        <f>HYPERLINK("http://www.ncbi.nlm.nih.gov/protein/XP_007954476.1","PREDICTED: androgen receptor isoform X1")</f>
        <v>PREDICTED: androgen receptor isoform X1</v>
      </c>
      <c r="J111">
        <v>1422.91</v>
      </c>
      <c r="K111" t="s">
        <v>20</v>
      </c>
      <c r="L111">
        <v>157</v>
      </c>
      <c r="M111">
        <v>44.41</v>
      </c>
      <c r="N111">
        <v>75.739999999999995</v>
      </c>
      <c r="O111" t="s">
        <v>20</v>
      </c>
      <c r="P111" t="s">
        <v>965</v>
      </c>
      <c r="Q111" t="s">
        <v>20</v>
      </c>
      <c r="R111" t="str">
        <f>HYPERLINK("https://cfpub.epa.gov/ecotox/explore.cfm?ncbi=1230840","Explore in ECOTOX")</f>
        <v>Explore in ECOTOX</v>
      </c>
    </row>
    <row r="112" spans="1:18" x14ac:dyDescent="0.25">
      <c r="A112">
        <v>6</v>
      </c>
      <c r="B112" t="str">
        <f>HYPERLINK("http://www.ncbi.nlm.nih.gov/protein/XP_036161321.1","XP_036161321.1")</f>
        <v>XP_036161321.1</v>
      </c>
      <c r="C112">
        <v>106885</v>
      </c>
      <c r="D112" t="str">
        <f>HYPERLINK("http://www.ncbi.nlm.nih.gov/Taxonomy/Browser/wwwtax.cgi?mode=Info&amp;id=51298&amp;lvl=3&amp;lin=f&amp;keep=1&amp;srchmode=1&amp;unlock","51298")</f>
        <v>51298</v>
      </c>
      <c r="E112" t="s">
        <v>18</v>
      </c>
      <c r="F112" t="s">
        <v>18</v>
      </c>
      <c r="G112" t="str">
        <f>HYPERLINK("http://www.ncbi.nlm.nih.gov/Taxonomy/Browser/wwwtax.cgi?mode=Info&amp;id=51298&amp;lvl=3&amp;lin=f&amp;keep=1&amp;srchmode=1&amp;unlock","Myotis myotis")</f>
        <v>Myotis myotis</v>
      </c>
      <c r="H112" t="s">
        <v>77</v>
      </c>
      <c r="I112" t="str">
        <f>HYPERLINK("http://www.ncbi.nlm.nih.gov/protein/XP_036161321.1","androgen receptor")</f>
        <v>androgen receptor</v>
      </c>
      <c r="J112">
        <v>1422.53</v>
      </c>
      <c r="K112" t="s">
        <v>20</v>
      </c>
      <c r="L112">
        <v>157</v>
      </c>
      <c r="M112">
        <v>44.41</v>
      </c>
      <c r="N112">
        <v>75.72</v>
      </c>
      <c r="O112" t="s">
        <v>20</v>
      </c>
      <c r="P112" t="s">
        <v>965</v>
      </c>
      <c r="Q112" t="s">
        <v>20</v>
      </c>
      <c r="R112" t="str">
        <f>HYPERLINK("https://cfpub.epa.gov/ecotox/explore.cfm?ncbi=51298","Explore in ECOTOX")</f>
        <v>Explore in ECOTOX</v>
      </c>
    </row>
    <row r="113" spans="1:18" x14ac:dyDescent="0.25">
      <c r="A113">
        <v>6</v>
      </c>
      <c r="B113" t="str">
        <f>HYPERLINK("http://www.ncbi.nlm.nih.gov/protein/XP_005000186.1","XP_005000186.1")</f>
        <v>XP_005000186.1</v>
      </c>
      <c r="C113">
        <v>49097</v>
      </c>
      <c r="D113" t="str">
        <f>HYPERLINK("http://www.ncbi.nlm.nih.gov/Taxonomy/Browser/wwwtax.cgi?mode=Info&amp;id=10141&amp;lvl=3&amp;lin=f&amp;keep=1&amp;srchmode=1&amp;unlock","10141")</f>
        <v>10141</v>
      </c>
      <c r="E113" t="s">
        <v>18</v>
      </c>
      <c r="F113" t="s">
        <v>18</v>
      </c>
      <c r="G113" t="str">
        <f>HYPERLINK("http://www.ncbi.nlm.nih.gov/Taxonomy/Browser/wwwtax.cgi?mode=Info&amp;id=10141&amp;lvl=3&amp;lin=f&amp;keep=1&amp;srchmode=1&amp;unlock","Cavia porcellus")</f>
        <v>Cavia porcellus</v>
      </c>
      <c r="H113" t="s">
        <v>142</v>
      </c>
      <c r="I113" t="str">
        <f>HYPERLINK("http://www.ncbi.nlm.nih.gov/protein/XP_005000186.1","androgen receptor")</f>
        <v>androgen receptor</v>
      </c>
      <c r="J113">
        <v>1422.53</v>
      </c>
      <c r="K113" t="s">
        <v>20</v>
      </c>
      <c r="L113">
        <v>157</v>
      </c>
      <c r="M113">
        <v>44.41</v>
      </c>
      <c r="N113">
        <v>75.72</v>
      </c>
      <c r="O113" t="s">
        <v>20</v>
      </c>
      <c r="P113" t="s">
        <v>965</v>
      </c>
      <c r="Q113" t="s">
        <v>20</v>
      </c>
      <c r="R113" t="str">
        <f>HYPERLINK("https://cfpub.epa.gov/ecotox/explore.cfm?ncbi=10141","Explore in ECOTOX")</f>
        <v>Explore in ECOTOX</v>
      </c>
    </row>
    <row r="114" spans="1:18" x14ac:dyDescent="0.25">
      <c r="A114">
        <v>6</v>
      </c>
      <c r="B114" t="str">
        <f>HYPERLINK("http://www.ncbi.nlm.nih.gov/protein/XP_004473341.1","XP_004473341.1")</f>
        <v>XP_004473341.1</v>
      </c>
      <c r="C114">
        <v>38769</v>
      </c>
      <c r="D114" t="str">
        <f>HYPERLINK("http://www.ncbi.nlm.nih.gov/Taxonomy/Browser/wwwtax.cgi?mode=Info&amp;id=9361&amp;lvl=3&amp;lin=f&amp;keep=1&amp;srchmode=1&amp;unlock","9361")</f>
        <v>9361</v>
      </c>
      <c r="E114" t="s">
        <v>18</v>
      </c>
      <c r="F114" t="s">
        <v>18</v>
      </c>
      <c r="G114" t="str">
        <f>HYPERLINK("http://www.ncbi.nlm.nih.gov/Taxonomy/Browser/wwwtax.cgi?mode=Info&amp;id=9361&amp;lvl=3&amp;lin=f&amp;keep=1&amp;srchmode=1&amp;unlock","Dasypus novemcinctus")</f>
        <v>Dasypus novemcinctus</v>
      </c>
      <c r="H114" t="s">
        <v>162</v>
      </c>
      <c r="I114" t="str">
        <f>HYPERLINK("http://www.ncbi.nlm.nih.gov/protein/XP_004473341.1","androgen receptor isoform X1")</f>
        <v>androgen receptor isoform X1</v>
      </c>
      <c r="J114">
        <v>1420.99</v>
      </c>
      <c r="K114" t="s">
        <v>20</v>
      </c>
      <c r="L114">
        <v>157</v>
      </c>
      <c r="M114">
        <v>44.41</v>
      </c>
      <c r="N114">
        <v>75.64</v>
      </c>
      <c r="O114" t="s">
        <v>20</v>
      </c>
      <c r="P114" t="s">
        <v>965</v>
      </c>
      <c r="Q114" t="s">
        <v>20</v>
      </c>
      <c r="R114" t="str">
        <f>HYPERLINK("https://cfpub.epa.gov/ecotox/explore.cfm?ncbi=9361","Explore in ECOTOX")</f>
        <v>Explore in ECOTOX</v>
      </c>
    </row>
    <row r="115" spans="1:18" x14ac:dyDescent="0.25">
      <c r="A115">
        <v>6</v>
      </c>
      <c r="B115" t="str">
        <f>HYPERLINK("http://www.ncbi.nlm.nih.gov/protein/XP_037678266.1","XP_037678266.1")</f>
        <v>XP_037678266.1</v>
      </c>
      <c r="C115">
        <v>54609</v>
      </c>
      <c r="D115" t="str">
        <f>HYPERLINK("http://www.ncbi.nlm.nih.gov/Taxonomy/Browser/wwwtax.cgi?mode=Info&amp;id=27675&amp;lvl=3&amp;lin=f&amp;keep=1&amp;srchmode=1&amp;unlock","27675")</f>
        <v>27675</v>
      </c>
      <c r="E115" t="s">
        <v>18</v>
      </c>
      <c r="F115" t="s">
        <v>18</v>
      </c>
      <c r="G115" t="str">
        <f>HYPERLINK("http://www.ncbi.nlm.nih.gov/Taxonomy/Browser/wwwtax.cgi?mode=Info&amp;id=27675&amp;lvl=3&amp;lin=f&amp;keep=1&amp;srchmode=1&amp;unlock","Choloepus didactylus")</f>
        <v>Choloepus didactylus</v>
      </c>
      <c r="H115" t="s">
        <v>147</v>
      </c>
      <c r="I115" t="str">
        <f>HYPERLINK("http://www.ncbi.nlm.nih.gov/protein/XP_037678266.1","androgen receptor")</f>
        <v>androgen receptor</v>
      </c>
      <c r="J115">
        <v>1420.22</v>
      </c>
      <c r="K115" t="s">
        <v>20</v>
      </c>
      <c r="L115">
        <v>157</v>
      </c>
      <c r="M115">
        <v>44.41</v>
      </c>
      <c r="N115">
        <v>75.599999999999994</v>
      </c>
      <c r="O115" t="s">
        <v>20</v>
      </c>
      <c r="P115" t="s">
        <v>965</v>
      </c>
      <c r="Q115" t="s">
        <v>20</v>
      </c>
      <c r="R115" t="str">
        <f>HYPERLINK("https://cfpub.epa.gov/ecotox/explore.cfm?ncbi=27675","Explore in ECOTOX")</f>
        <v>Explore in ECOTOX</v>
      </c>
    </row>
    <row r="116" spans="1:18" x14ac:dyDescent="0.25">
      <c r="A116">
        <v>6</v>
      </c>
      <c r="B116" t="str">
        <f>HYPERLINK("http://www.ncbi.nlm.nih.gov/protein/XP_027621790.1","XP_027621790.1")</f>
        <v>XP_027621790.1</v>
      </c>
      <c r="C116">
        <v>59503</v>
      </c>
      <c r="D116" t="str">
        <f>HYPERLINK("http://www.ncbi.nlm.nih.gov/Taxonomy/Browser/wwwtax.cgi?mode=Info&amp;id=246437&amp;lvl=3&amp;lin=f&amp;keep=1&amp;srchmode=1&amp;unlock","246437")</f>
        <v>246437</v>
      </c>
      <c r="E116" t="s">
        <v>18</v>
      </c>
      <c r="F116" t="s">
        <v>18</v>
      </c>
      <c r="G116" t="str">
        <f>HYPERLINK("http://www.ncbi.nlm.nih.gov/Taxonomy/Browser/wwwtax.cgi?mode=Info&amp;id=246437&amp;lvl=3&amp;lin=f&amp;keep=1&amp;srchmode=1&amp;unlock","Tupaia chinensis")</f>
        <v>Tupaia chinensis</v>
      </c>
      <c r="H116" t="s">
        <v>70</v>
      </c>
      <c r="I116" t="str">
        <f>HYPERLINK("http://www.ncbi.nlm.nih.gov/protein/XP_027621790.1","androgen receptor")</f>
        <v>androgen receptor</v>
      </c>
      <c r="J116">
        <v>1417.91</v>
      </c>
      <c r="K116" t="s">
        <v>20</v>
      </c>
      <c r="L116">
        <v>157</v>
      </c>
      <c r="M116">
        <v>44.41</v>
      </c>
      <c r="N116">
        <v>75.48</v>
      </c>
      <c r="O116" t="s">
        <v>20</v>
      </c>
      <c r="P116" t="s">
        <v>965</v>
      </c>
      <c r="Q116" t="s">
        <v>20</v>
      </c>
      <c r="R116" t="str">
        <f>HYPERLINK("https://cfpub.epa.gov/ecotox/explore.cfm?ncbi=246437","Explore in ECOTOX")</f>
        <v>Explore in ECOTOX</v>
      </c>
    </row>
    <row r="117" spans="1:18" x14ac:dyDescent="0.25">
      <c r="A117">
        <v>6</v>
      </c>
      <c r="B117" t="str">
        <f>HYPERLINK("http://www.ncbi.nlm.nih.gov/protein/XP_014399122.1","XP_014399122.1")</f>
        <v>XP_014399122.1</v>
      </c>
      <c r="C117">
        <v>60288</v>
      </c>
      <c r="D117" t="str">
        <f>HYPERLINK("http://www.ncbi.nlm.nih.gov/Taxonomy/Browser/wwwtax.cgi?mode=Info&amp;id=109478&amp;lvl=3&amp;lin=f&amp;keep=1&amp;srchmode=1&amp;unlock","109478")</f>
        <v>109478</v>
      </c>
      <c r="E117" t="s">
        <v>18</v>
      </c>
      <c r="F117" t="s">
        <v>18</v>
      </c>
      <c r="G117" t="str">
        <f>HYPERLINK("http://www.ncbi.nlm.nih.gov/Taxonomy/Browser/wwwtax.cgi?mode=Info&amp;id=109478&amp;lvl=3&amp;lin=f&amp;keep=1&amp;srchmode=1&amp;unlock","Myotis brandtii")</f>
        <v>Myotis brandtii</v>
      </c>
      <c r="H117" t="s">
        <v>95</v>
      </c>
      <c r="I117" t="str">
        <f>HYPERLINK("http://www.ncbi.nlm.nih.gov/protein/XP_014399122.1","PREDICTED: androgen receptor isoform X2")</f>
        <v>PREDICTED: androgen receptor isoform X2</v>
      </c>
      <c r="J117">
        <v>1415.21</v>
      </c>
      <c r="K117" t="s">
        <v>20</v>
      </c>
      <c r="L117">
        <v>157</v>
      </c>
      <c r="M117">
        <v>44.41</v>
      </c>
      <c r="N117">
        <v>75.33</v>
      </c>
      <c r="O117" t="s">
        <v>20</v>
      </c>
      <c r="P117" t="s">
        <v>965</v>
      </c>
      <c r="Q117" t="s">
        <v>20</v>
      </c>
      <c r="R117" t="str">
        <f>HYPERLINK("https://cfpub.epa.gov/ecotox/explore.cfm?ncbi=109478","Explore in ECOTOX")</f>
        <v>Explore in ECOTOX</v>
      </c>
    </row>
    <row r="118" spans="1:18" x14ac:dyDescent="0.25">
      <c r="A118">
        <v>6</v>
      </c>
      <c r="B118" t="str">
        <f>HYPERLINK("http://www.ncbi.nlm.nih.gov/protein/XP_004661062.1","XP_004661062.1")</f>
        <v>XP_004661062.1</v>
      </c>
      <c r="C118">
        <v>25744</v>
      </c>
      <c r="D118" t="str">
        <f>HYPERLINK("http://www.ncbi.nlm.nih.gov/Taxonomy/Browser/wwwtax.cgi?mode=Info&amp;id=51337&amp;lvl=3&amp;lin=f&amp;keep=1&amp;srchmode=1&amp;unlock","51337")</f>
        <v>51337</v>
      </c>
      <c r="E118" t="s">
        <v>18</v>
      </c>
      <c r="F118" t="s">
        <v>18</v>
      </c>
      <c r="G118" t="str">
        <f>HYPERLINK("http://www.ncbi.nlm.nih.gov/Taxonomy/Browser/wwwtax.cgi?mode=Info&amp;id=51337&amp;lvl=3&amp;lin=f&amp;keep=1&amp;srchmode=1&amp;unlock","Jaculus jaculus")</f>
        <v>Jaculus jaculus</v>
      </c>
      <c r="H118" t="s">
        <v>91</v>
      </c>
      <c r="I118" t="str">
        <f>HYPERLINK("http://www.ncbi.nlm.nih.gov/protein/XP_004661062.1","PREDICTED: androgen receptor")</f>
        <v>PREDICTED: androgen receptor</v>
      </c>
      <c r="J118">
        <v>1413.67</v>
      </c>
      <c r="K118" t="s">
        <v>20</v>
      </c>
      <c r="L118">
        <v>157</v>
      </c>
      <c r="M118">
        <v>44.41</v>
      </c>
      <c r="N118">
        <v>75.25</v>
      </c>
      <c r="O118" t="s">
        <v>20</v>
      </c>
      <c r="P118" t="s">
        <v>965</v>
      </c>
      <c r="Q118" t="s">
        <v>20</v>
      </c>
      <c r="R118" t="str">
        <f>HYPERLINK("https://cfpub.epa.gov/ecotox/explore.cfm?ncbi=51337","Explore in ECOTOX")</f>
        <v>Explore in ECOTOX</v>
      </c>
    </row>
    <row r="119" spans="1:18" x14ac:dyDescent="0.25">
      <c r="A119">
        <v>6</v>
      </c>
      <c r="B119" t="str">
        <f>HYPERLINK("http://www.ncbi.nlm.nih.gov/protein/XP_006082997.1","XP_006082997.1")</f>
        <v>XP_006082997.1</v>
      </c>
      <c r="C119">
        <v>44006</v>
      </c>
      <c r="D119" t="str">
        <f>HYPERLINK("http://www.ncbi.nlm.nih.gov/Taxonomy/Browser/wwwtax.cgi?mode=Info&amp;id=59463&amp;lvl=3&amp;lin=f&amp;keep=1&amp;srchmode=1&amp;unlock","59463")</f>
        <v>59463</v>
      </c>
      <c r="E119" t="s">
        <v>18</v>
      </c>
      <c r="F119" t="s">
        <v>18</v>
      </c>
      <c r="G119" t="str">
        <f>HYPERLINK("http://www.ncbi.nlm.nih.gov/Taxonomy/Browser/wwwtax.cgi?mode=Info&amp;id=59463&amp;lvl=3&amp;lin=f&amp;keep=1&amp;srchmode=1&amp;unlock","Myotis lucifugus")</f>
        <v>Myotis lucifugus</v>
      </c>
      <c r="H119" t="s">
        <v>94</v>
      </c>
      <c r="I119" t="str">
        <f>HYPERLINK("http://www.ncbi.nlm.nih.gov/protein/XP_006082997.1","androgen receptor isoform X1")</f>
        <v>androgen receptor isoform X1</v>
      </c>
      <c r="J119">
        <v>1412.51</v>
      </c>
      <c r="K119" t="s">
        <v>20</v>
      </c>
      <c r="L119">
        <v>157</v>
      </c>
      <c r="M119">
        <v>44.41</v>
      </c>
      <c r="N119">
        <v>75.19</v>
      </c>
      <c r="O119" t="s">
        <v>20</v>
      </c>
      <c r="P119" t="s">
        <v>965</v>
      </c>
      <c r="Q119" t="s">
        <v>20</v>
      </c>
      <c r="R119" t="str">
        <f>HYPERLINK("https://cfpub.epa.gov/ecotox/explore.cfm?ncbi=59463","Explore in ECOTOX")</f>
        <v>Explore in ECOTOX</v>
      </c>
    </row>
    <row r="120" spans="1:18" x14ac:dyDescent="0.25">
      <c r="A120">
        <v>6</v>
      </c>
      <c r="B120" t="str">
        <f>HYPERLINK("http://www.ncbi.nlm.nih.gov/protein/XP_006215299.1","XP_006215299.1")</f>
        <v>XP_006215299.1</v>
      </c>
      <c r="C120">
        <v>44961</v>
      </c>
      <c r="D120" t="str">
        <f>HYPERLINK("http://www.ncbi.nlm.nih.gov/Taxonomy/Browser/wwwtax.cgi?mode=Info&amp;id=30538&amp;lvl=3&amp;lin=f&amp;keep=1&amp;srchmode=1&amp;unlock","30538")</f>
        <v>30538</v>
      </c>
      <c r="E120" t="s">
        <v>18</v>
      </c>
      <c r="F120" t="s">
        <v>18</v>
      </c>
      <c r="G120" t="str">
        <f>HYPERLINK("http://www.ncbi.nlm.nih.gov/Taxonomy/Browser/wwwtax.cgi?mode=Info&amp;id=30538&amp;lvl=3&amp;lin=f&amp;keep=1&amp;srchmode=1&amp;unlock","Vicugna pacos")</f>
        <v>Vicugna pacos</v>
      </c>
      <c r="H120" t="s">
        <v>971</v>
      </c>
      <c r="I120" t="str">
        <f>HYPERLINK("http://www.ncbi.nlm.nih.gov/protein/XP_006215299.1","androgen receptor")</f>
        <v>androgen receptor</v>
      </c>
      <c r="J120">
        <v>1410.97</v>
      </c>
      <c r="K120" t="s">
        <v>20</v>
      </c>
      <c r="L120">
        <v>157</v>
      </c>
      <c r="M120">
        <v>44.41</v>
      </c>
      <c r="N120">
        <v>75.11</v>
      </c>
      <c r="O120" t="s">
        <v>20</v>
      </c>
      <c r="P120" t="s">
        <v>965</v>
      </c>
      <c r="Q120" t="s">
        <v>20</v>
      </c>
      <c r="R120" t="str">
        <f>HYPERLINK("https://cfpub.epa.gov/ecotox/explore.cfm?ncbi=30538","Explore in ECOTOX")</f>
        <v>Explore in ECOTOX</v>
      </c>
    </row>
    <row r="121" spans="1:18" x14ac:dyDescent="0.25">
      <c r="A121">
        <v>6</v>
      </c>
      <c r="B121" t="str">
        <f>HYPERLINK("http://www.ncbi.nlm.nih.gov/protein/XP_008157993.1","XP_008157993.1")</f>
        <v>XP_008157993.1</v>
      </c>
      <c r="C121">
        <v>50025</v>
      </c>
      <c r="D121" t="str">
        <f>HYPERLINK("http://www.ncbi.nlm.nih.gov/Taxonomy/Browser/wwwtax.cgi?mode=Info&amp;id=29078&amp;lvl=3&amp;lin=f&amp;keep=1&amp;srchmode=1&amp;unlock","29078")</f>
        <v>29078</v>
      </c>
      <c r="E121" t="s">
        <v>18</v>
      </c>
      <c r="F121" t="s">
        <v>18</v>
      </c>
      <c r="G121" t="str">
        <f>HYPERLINK("http://www.ncbi.nlm.nih.gov/Taxonomy/Browser/wwwtax.cgi?mode=Info&amp;id=29078&amp;lvl=3&amp;lin=f&amp;keep=1&amp;srchmode=1&amp;unlock","Eptesicus fuscus")</f>
        <v>Eptesicus fuscus</v>
      </c>
      <c r="H121" t="s">
        <v>99</v>
      </c>
      <c r="I121" t="str">
        <f>HYPERLINK("http://www.ncbi.nlm.nih.gov/protein/XP_008157993.1","androgen receptor")</f>
        <v>androgen receptor</v>
      </c>
      <c r="J121">
        <v>1410.97</v>
      </c>
      <c r="K121" t="s">
        <v>20</v>
      </c>
      <c r="L121">
        <v>157</v>
      </c>
      <c r="M121">
        <v>44.41</v>
      </c>
      <c r="N121">
        <v>75.11</v>
      </c>
      <c r="O121" t="s">
        <v>20</v>
      </c>
      <c r="P121" t="s">
        <v>965</v>
      </c>
      <c r="Q121" t="s">
        <v>20</v>
      </c>
      <c r="R121" t="str">
        <f>HYPERLINK("https://cfpub.epa.gov/ecotox/explore.cfm?ncbi=29078","Explore in ECOTOX")</f>
        <v>Explore in ECOTOX</v>
      </c>
    </row>
    <row r="122" spans="1:18" x14ac:dyDescent="0.25">
      <c r="A122">
        <v>6</v>
      </c>
      <c r="B122" t="str">
        <f>HYPERLINK("http://www.ncbi.nlm.nih.gov/protein/XP_006902051.1","XP_006902051.1")</f>
        <v>XP_006902051.1</v>
      </c>
      <c r="C122">
        <v>25292</v>
      </c>
      <c r="D122" t="str">
        <f>HYPERLINK("http://www.ncbi.nlm.nih.gov/Taxonomy/Browser/wwwtax.cgi?mode=Info&amp;id=28737&amp;lvl=3&amp;lin=f&amp;keep=1&amp;srchmode=1&amp;unlock","28737")</f>
        <v>28737</v>
      </c>
      <c r="E122" t="s">
        <v>18</v>
      </c>
      <c r="F122" t="s">
        <v>18</v>
      </c>
      <c r="G122" t="str">
        <f>HYPERLINK("http://www.ncbi.nlm.nih.gov/Taxonomy/Browser/wwwtax.cgi?mode=Info&amp;id=28737&amp;lvl=3&amp;lin=f&amp;keep=1&amp;srchmode=1&amp;unlock","Elephantulus edwardii")</f>
        <v>Elephantulus edwardii</v>
      </c>
      <c r="H122" t="s">
        <v>151</v>
      </c>
      <c r="I122" t="str">
        <f>HYPERLINK("http://www.ncbi.nlm.nih.gov/protein/XP_006902051.1","PREDICTED: androgen receptor-like")</f>
        <v>PREDICTED: androgen receptor-like</v>
      </c>
      <c r="J122">
        <v>1409.05</v>
      </c>
      <c r="K122" t="s">
        <v>20</v>
      </c>
      <c r="L122">
        <v>157</v>
      </c>
      <c r="M122">
        <v>44.41</v>
      </c>
      <c r="N122">
        <v>75.010000000000005</v>
      </c>
      <c r="O122" t="s">
        <v>20</v>
      </c>
      <c r="P122" t="s">
        <v>965</v>
      </c>
      <c r="Q122" t="s">
        <v>20</v>
      </c>
      <c r="R122" t="str">
        <f>HYPERLINK("https://cfpub.epa.gov/ecotox/explore.cfm?ncbi=28737","Explore in ECOTOX")</f>
        <v>Explore in ECOTOX</v>
      </c>
    </row>
    <row r="123" spans="1:18" x14ac:dyDescent="0.25">
      <c r="A123">
        <v>6</v>
      </c>
      <c r="B123" t="str">
        <f>HYPERLINK("http://www.ncbi.nlm.nih.gov/protein/XP_031302354.1","XP_031302354.1")</f>
        <v>XP_031302354.1</v>
      </c>
      <c r="C123">
        <v>86974</v>
      </c>
      <c r="D123" t="str">
        <f>HYPERLINK("http://www.ncbi.nlm.nih.gov/Taxonomy/Browser/wwwtax.cgi?mode=Info&amp;id=9838&amp;lvl=3&amp;lin=f&amp;keep=1&amp;srchmode=1&amp;unlock","9838")</f>
        <v>9838</v>
      </c>
      <c r="E123" t="s">
        <v>18</v>
      </c>
      <c r="F123" t="s">
        <v>18</v>
      </c>
      <c r="G123" t="str">
        <f>HYPERLINK("http://www.ncbi.nlm.nih.gov/Taxonomy/Browser/wwwtax.cgi?mode=Info&amp;id=9838&amp;lvl=3&amp;lin=f&amp;keep=1&amp;srchmode=1&amp;unlock","Camelus dromedarius")</f>
        <v>Camelus dromedarius</v>
      </c>
      <c r="H123" t="s">
        <v>115</v>
      </c>
      <c r="I123" t="str">
        <f>HYPERLINK("http://www.ncbi.nlm.nih.gov/protein/XP_031302354.1","androgen receptor")</f>
        <v>androgen receptor</v>
      </c>
      <c r="J123">
        <v>1407.89</v>
      </c>
      <c r="K123" t="s">
        <v>20</v>
      </c>
      <c r="L123">
        <v>157</v>
      </c>
      <c r="M123">
        <v>44.41</v>
      </c>
      <c r="N123">
        <v>74.94</v>
      </c>
      <c r="O123" t="s">
        <v>20</v>
      </c>
      <c r="P123" t="s">
        <v>965</v>
      </c>
      <c r="Q123" t="s">
        <v>20</v>
      </c>
      <c r="R123" t="str">
        <f>HYPERLINK("https://cfpub.epa.gov/ecotox/explore.cfm?ncbi=9838","Explore in ECOTOX")</f>
        <v>Explore in ECOTOX</v>
      </c>
    </row>
    <row r="124" spans="1:18" x14ac:dyDescent="0.25">
      <c r="A124">
        <v>6</v>
      </c>
      <c r="B124" t="str">
        <f>HYPERLINK("http://www.ncbi.nlm.nih.gov/protein/XP_032330272.1","XP_032330272.1")</f>
        <v>XP_032330272.1</v>
      </c>
      <c r="C124">
        <v>74736</v>
      </c>
      <c r="D124" t="str">
        <f>HYPERLINK("http://www.ncbi.nlm.nih.gov/Taxonomy/Browser/wwwtax.cgi?mode=Info&amp;id=419612&amp;lvl=3&amp;lin=f&amp;keep=1&amp;srchmode=1&amp;unlock","419612")</f>
        <v>419612</v>
      </c>
      <c r="E124" t="s">
        <v>18</v>
      </c>
      <c r="F124" t="s">
        <v>18</v>
      </c>
      <c r="G124" t="str">
        <f>HYPERLINK("http://www.ncbi.nlm.nih.gov/Taxonomy/Browser/wwwtax.cgi?mode=Info&amp;id=419612&amp;lvl=3&amp;lin=f&amp;keep=1&amp;srchmode=1&amp;unlock","Camelus ferus")</f>
        <v>Camelus ferus</v>
      </c>
      <c r="H124" t="s">
        <v>96</v>
      </c>
      <c r="I124" t="str">
        <f>HYPERLINK("http://www.ncbi.nlm.nih.gov/protein/XP_032330272.1","androgen receptor")</f>
        <v>androgen receptor</v>
      </c>
      <c r="J124">
        <v>1407.12</v>
      </c>
      <c r="K124" t="s">
        <v>20</v>
      </c>
      <c r="L124">
        <v>157</v>
      </c>
      <c r="M124">
        <v>44.41</v>
      </c>
      <c r="N124">
        <v>74.900000000000006</v>
      </c>
      <c r="O124" t="s">
        <v>20</v>
      </c>
      <c r="P124" t="s">
        <v>965</v>
      </c>
      <c r="Q124" t="s">
        <v>20</v>
      </c>
      <c r="R124" t="str">
        <f>HYPERLINK("https://cfpub.epa.gov/ecotox/explore.cfm?ncbi=419612","Explore in ECOTOX")</f>
        <v>Explore in ECOTOX</v>
      </c>
    </row>
    <row r="125" spans="1:18" x14ac:dyDescent="0.25">
      <c r="A125">
        <v>6</v>
      </c>
      <c r="B125" t="str">
        <f>HYPERLINK("http://www.ncbi.nlm.nih.gov/protein/XP_005401638.1","XP_005401638.1")</f>
        <v>XP_005401638.1</v>
      </c>
      <c r="C125">
        <v>45556</v>
      </c>
      <c r="D125" t="str">
        <f>HYPERLINK("http://www.ncbi.nlm.nih.gov/Taxonomy/Browser/wwwtax.cgi?mode=Info&amp;id=34839&amp;lvl=3&amp;lin=f&amp;keep=1&amp;srchmode=1&amp;unlock","34839")</f>
        <v>34839</v>
      </c>
      <c r="E125" t="s">
        <v>18</v>
      </c>
      <c r="F125" t="s">
        <v>18</v>
      </c>
      <c r="G125" t="str">
        <f>HYPERLINK("http://www.ncbi.nlm.nih.gov/Taxonomy/Browser/wwwtax.cgi?mode=Info&amp;id=34839&amp;lvl=3&amp;lin=f&amp;keep=1&amp;srchmode=1&amp;unlock","Chinchilla lanigera")</f>
        <v>Chinchilla lanigera</v>
      </c>
      <c r="H125" t="s">
        <v>156</v>
      </c>
      <c r="I125" t="str">
        <f>HYPERLINK("http://www.ncbi.nlm.nih.gov/protein/XP_005401638.1","PREDICTED: androgen receptor")</f>
        <v>PREDICTED: androgen receptor</v>
      </c>
      <c r="J125">
        <v>1405.58</v>
      </c>
      <c r="K125" t="s">
        <v>20</v>
      </c>
      <c r="L125">
        <v>157</v>
      </c>
      <c r="M125">
        <v>44.41</v>
      </c>
      <c r="N125">
        <v>74.819999999999993</v>
      </c>
      <c r="O125" t="s">
        <v>20</v>
      </c>
      <c r="P125" t="s">
        <v>965</v>
      </c>
      <c r="Q125" t="s">
        <v>20</v>
      </c>
      <c r="R125" t="str">
        <f>HYPERLINK("https://cfpub.epa.gov/ecotox/explore.cfm?ncbi=34839","Explore in ECOTOX")</f>
        <v>Explore in ECOTOX</v>
      </c>
    </row>
    <row r="126" spans="1:18" x14ac:dyDescent="0.25">
      <c r="A126">
        <v>6</v>
      </c>
      <c r="B126" t="str">
        <f>HYPERLINK("http://www.ncbi.nlm.nih.gov/protein/XP_036268512.1","XP_036268512.1")</f>
        <v>XP_036268512.1</v>
      </c>
      <c r="C126">
        <v>93471</v>
      </c>
      <c r="D126" t="str">
        <f>HYPERLINK("http://www.ncbi.nlm.nih.gov/Taxonomy/Browser/wwwtax.cgi?mode=Info&amp;id=59472&amp;lvl=3&amp;lin=f&amp;keep=1&amp;srchmode=1&amp;unlock","59472")</f>
        <v>59472</v>
      </c>
      <c r="E126" t="s">
        <v>18</v>
      </c>
      <c r="F126" t="s">
        <v>18</v>
      </c>
      <c r="G126" t="str">
        <f>HYPERLINK("http://www.ncbi.nlm.nih.gov/Taxonomy/Browser/wwwtax.cgi?mode=Info&amp;id=59472&amp;lvl=3&amp;lin=f&amp;keep=1&amp;srchmode=1&amp;unlock","Pipistrellus kuhlii")</f>
        <v>Pipistrellus kuhlii</v>
      </c>
      <c r="H126" t="s">
        <v>92</v>
      </c>
      <c r="I126" t="str">
        <f>HYPERLINK("http://www.ncbi.nlm.nih.gov/protein/XP_036268512.1","androgen receptor isoform X1")</f>
        <v>androgen receptor isoform X1</v>
      </c>
      <c r="J126">
        <v>1404.04</v>
      </c>
      <c r="K126" t="s">
        <v>20</v>
      </c>
      <c r="L126">
        <v>157</v>
      </c>
      <c r="M126">
        <v>44.41</v>
      </c>
      <c r="N126">
        <v>74.739999999999995</v>
      </c>
      <c r="O126" t="s">
        <v>20</v>
      </c>
      <c r="P126" t="s">
        <v>965</v>
      </c>
      <c r="Q126" t="s">
        <v>20</v>
      </c>
      <c r="R126" t="str">
        <f>HYPERLINK("https://cfpub.epa.gov/ecotox/explore.cfm?ncbi=59472","Explore in ECOTOX")</f>
        <v>Explore in ECOTOX</v>
      </c>
    </row>
    <row r="127" spans="1:18" x14ac:dyDescent="0.25">
      <c r="A127">
        <v>6</v>
      </c>
      <c r="B127" t="str">
        <f>HYPERLINK("http://www.ncbi.nlm.nih.gov/protein/XP_016013685.2","XP_016013685.2")</f>
        <v>XP_016013685.2</v>
      </c>
      <c r="C127">
        <v>117130</v>
      </c>
      <c r="D127" t="str">
        <f>HYPERLINK("http://www.ncbi.nlm.nih.gov/Taxonomy/Browser/wwwtax.cgi?mode=Info&amp;id=9407&amp;lvl=3&amp;lin=f&amp;keep=1&amp;srchmode=1&amp;unlock","9407")</f>
        <v>9407</v>
      </c>
      <c r="E127" t="s">
        <v>18</v>
      </c>
      <c r="F127" t="s">
        <v>18</v>
      </c>
      <c r="G127" t="str">
        <f>HYPERLINK("http://www.ncbi.nlm.nih.gov/Taxonomy/Browser/wwwtax.cgi?mode=Info&amp;id=9407&amp;lvl=3&amp;lin=f&amp;keep=1&amp;srchmode=1&amp;unlock","Rousettus aegyptiacus")</f>
        <v>Rousettus aegyptiacus</v>
      </c>
      <c r="H127" t="s">
        <v>170</v>
      </c>
      <c r="I127" t="str">
        <f>HYPERLINK("http://www.ncbi.nlm.nih.gov/protein/XP_016013685.2","androgen receptor")</f>
        <v>androgen receptor</v>
      </c>
      <c r="J127">
        <v>1400.96</v>
      </c>
      <c r="K127" t="s">
        <v>20</v>
      </c>
      <c r="L127">
        <v>157</v>
      </c>
      <c r="M127">
        <v>44.41</v>
      </c>
      <c r="N127">
        <v>74.569999999999993</v>
      </c>
      <c r="O127" t="s">
        <v>20</v>
      </c>
      <c r="P127" t="s">
        <v>965</v>
      </c>
      <c r="Q127" t="s">
        <v>20</v>
      </c>
      <c r="R127" t="str">
        <f>HYPERLINK("https://cfpub.epa.gov/ecotox/explore.cfm?ncbi=9407","Explore in ECOTOX")</f>
        <v>Explore in ECOTOX</v>
      </c>
    </row>
    <row r="128" spans="1:18" x14ac:dyDescent="0.25">
      <c r="A128">
        <v>6</v>
      </c>
      <c r="B128" t="str">
        <f>HYPERLINK("http://www.ncbi.nlm.nih.gov/protein/XP_032475571.1","XP_032475571.1")</f>
        <v>XP_032475571.1</v>
      </c>
      <c r="C128">
        <v>52375</v>
      </c>
      <c r="D128" t="str">
        <f>HYPERLINK("http://www.ncbi.nlm.nih.gov/Taxonomy/Browser/wwwtax.cgi?mode=Info&amp;id=42100&amp;lvl=3&amp;lin=f&amp;keep=1&amp;srchmode=1&amp;unlock","42100")</f>
        <v>42100</v>
      </c>
      <c r="E128" t="s">
        <v>18</v>
      </c>
      <c r="F128" t="s">
        <v>18</v>
      </c>
      <c r="G128" t="str">
        <f>HYPERLINK("http://www.ncbi.nlm.nih.gov/Taxonomy/Browser/wwwtax.cgi?mode=Info&amp;id=42100&amp;lvl=3&amp;lin=f&amp;keep=1&amp;srchmode=1&amp;unlock","Phocoena sinus")</f>
        <v>Phocoena sinus</v>
      </c>
      <c r="H128" t="s">
        <v>177</v>
      </c>
      <c r="I128" t="str">
        <f>HYPERLINK("http://www.ncbi.nlm.nih.gov/protein/XP_032475571.1","androgen receptor isoform X1")</f>
        <v>androgen receptor isoform X1</v>
      </c>
      <c r="J128">
        <v>1396.72</v>
      </c>
      <c r="K128" t="s">
        <v>20</v>
      </c>
      <c r="L128">
        <v>157</v>
      </c>
      <c r="M128">
        <v>44.41</v>
      </c>
      <c r="N128">
        <v>74.349999999999994</v>
      </c>
      <c r="O128" t="s">
        <v>20</v>
      </c>
      <c r="P128" t="s">
        <v>965</v>
      </c>
      <c r="Q128" t="s">
        <v>20</v>
      </c>
      <c r="R128" t="str">
        <f>HYPERLINK("https://cfpub.epa.gov/ecotox/explore.cfm?ncbi=42100","Explore in ECOTOX")</f>
        <v>Explore in ECOTOX</v>
      </c>
    </row>
    <row r="129" spans="1:18" x14ac:dyDescent="0.25">
      <c r="A129">
        <v>6</v>
      </c>
      <c r="B129" t="str">
        <f>HYPERLINK("http://www.ncbi.nlm.nih.gov/protein/XP_004316835.2","XP_004316835.2")</f>
        <v>XP_004316835.2</v>
      </c>
      <c r="C129">
        <v>57007</v>
      </c>
      <c r="D129" t="str">
        <f>HYPERLINK("http://www.ncbi.nlm.nih.gov/Taxonomy/Browser/wwwtax.cgi?mode=Info&amp;id=9739&amp;lvl=3&amp;lin=f&amp;keep=1&amp;srchmode=1&amp;unlock","9739")</f>
        <v>9739</v>
      </c>
      <c r="E129" t="s">
        <v>18</v>
      </c>
      <c r="F129" t="s">
        <v>18</v>
      </c>
      <c r="G129" t="str">
        <f>HYPERLINK("http://www.ncbi.nlm.nih.gov/Taxonomy/Browser/wwwtax.cgi?mode=Info&amp;id=9739&amp;lvl=3&amp;lin=f&amp;keep=1&amp;srchmode=1&amp;unlock","Tursiops truncatus")</f>
        <v>Tursiops truncatus</v>
      </c>
      <c r="H129" t="s">
        <v>154</v>
      </c>
      <c r="I129" t="str">
        <f>HYPERLINK("http://www.ncbi.nlm.nih.gov/protein/XP_004316835.2","androgen receptor isoform X1")</f>
        <v>androgen receptor isoform X1</v>
      </c>
      <c r="J129">
        <v>1394.79</v>
      </c>
      <c r="K129" t="s">
        <v>20</v>
      </c>
      <c r="L129">
        <v>157</v>
      </c>
      <c r="M129">
        <v>44.41</v>
      </c>
      <c r="N129">
        <v>74.25</v>
      </c>
      <c r="O129" t="s">
        <v>20</v>
      </c>
      <c r="P129" t="s">
        <v>965</v>
      </c>
      <c r="Q129" t="s">
        <v>20</v>
      </c>
      <c r="R129" t="str">
        <f>HYPERLINK("https://cfpub.epa.gov/ecotox/explore.cfm?ncbi=9739","Explore in ECOTOX")</f>
        <v>Explore in ECOTOX</v>
      </c>
    </row>
    <row r="130" spans="1:18" x14ac:dyDescent="0.25">
      <c r="A130">
        <v>6</v>
      </c>
      <c r="B130" t="str">
        <f>HYPERLINK("http://www.ncbi.nlm.nih.gov/protein/XP_029096398.1","XP_029096398.1")</f>
        <v>XP_029096398.1</v>
      </c>
      <c r="C130">
        <v>65835</v>
      </c>
      <c r="D130" t="str">
        <f>HYPERLINK("http://www.ncbi.nlm.nih.gov/Taxonomy/Browser/wwwtax.cgi?mode=Info&amp;id=40151&amp;lvl=3&amp;lin=f&amp;keep=1&amp;srchmode=1&amp;unlock","40151")</f>
        <v>40151</v>
      </c>
      <c r="E130" t="s">
        <v>18</v>
      </c>
      <c r="F130" t="s">
        <v>18</v>
      </c>
      <c r="G130" t="str">
        <f>HYPERLINK("http://www.ncbi.nlm.nih.gov/Taxonomy/Browser/wwwtax.cgi?mode=Info&amp;id=40151&amp;lvl=3&amp;lin=f&amp;keep=1&amp;srchmode=1&amp;unlock","Monodon monoceros")</f>
        <v>Monodon monoceros</v>
      </c>
      <c r="H130" t="s">
        <v>153</v>
      </c>
      <c r="I130" t="str">
        <f>HYPERLINK("http://www.ncbi.nlm.nih.gov/protein/XP_029096398.1","androgen receptor isoform X1")</f>
        <v>androgen receptor isoform X1</v>
      </c>
      <c r="J130">
        <v>1394.79</v>
      </c>
      <c r="K130" t="s">
        <v>20</v>
      </c>
      <c r="L130">
        <v>157</v>
      </c>
      <c r="M130">
        <v>44.41</v>
      </c>
      <c r="N130">
        <v>74.25</v>
      </c>
      <c r="O130" t="s">
        <v>20</v>
      </c>
      <c r="P130" t="s">
        <v>965</v>
      </c>
      <c r="Q130" t="s">
        <v>20</v>
      </c>
      <c r="R130" t="str">
        <f>HYPERLINK("https://cfpub.epa.gov/ecotox/explore.cfm?ncbi=40151","Explore in ECOTOX")</f>
        <v>Explore in ECOTOX</v>
      </c>
    </row>
    <row r="131" spans="1:18" x14ac:dyDescent="0.25">
      <c r="A131">
        <v>6</v>
      </c>
      <c r="B131" t="str">
        <f>HYPERLINK("http://www.ncbi.nlm.nih.gov/protein/XP_004275845.1","XP_004275845.1")</f>
        <v>XP_004275845.1</v>
      </c>
      <c r="C131">
        <v>59479</v>
      </c>
      <c r="D131" t="str">
        <f>HYPERLINK("http://www.ncbi.nlm.nih.gov/Taxonomy/Browser/wwwtax.cgi?mode=Info&amp;id=9733&amp;lvl=3&amp;lin=f&amp;keep=1&amp;srchmode=1&amp;unlock","9733")</f>
        <v>9733</v>
      </c>
      <c r="E131" t="s">
        <v>18</v>
      </c>
      <c r="F131" t="s">
        <v>18</v>
      </c>
      <c r="G131" t="str">
        <f>HYPERLINK("http://www.ncbi.nlm.nih.gov/Taxonomy/Browser/wwwtax.cgi?mode=Info&amp;id=9733&amp;lvl=3&amp;lin=f&amp;keep=1&amp;srchmode=1&amp;unlock","Orcinus orca")</f>
        <v>Orcinus orca</v>
      </c>
      <c r="H131" t="s">
        <v>155</v>
      </c>
      <c r="I131" t="str">
        <f>HYPERLINK("http://www.ncbi.nlm.nih.gov/protein/XP_004275845.1","androgen receptor")</f>
        <v>androgen receptor</v>
      </c>
      <c r="J131">
        <v>1394.79</v>
      </c>
      <c r="K131" t="s">
        <v>20</v>
      </c>
      <c r="L131">
        <v>157</v>
      </c>
      <c r="M131">
        <v>44.41</v>
      </c>
      <c r="N131">
        <v>74.25</v>
      </c>
      <c r="O131" t="s">
        <v>20</v>
      </c>
      <c r="P131" t="s">
        <v>965</v>
      </c>
      <c r="Q131" t="s">
        <v>20</v>
      </c>
      <c r="R131" t="str">
        <f>HYPERLINK("https://cfpub.epa.gov/ecotox/explore.cfm?ncbi=9733","Explore in ECOTOX")</f>
        <v>Explore in ECOTOX</v>
      </c>
    </row>
    <row r="132" spans="1:18" x14ac:dyDescent="0.25">
      <c r="A132">
        <v>6</v>
      </c>
      <c r="B132" t="str">
        <f>HYPERLINK("http://www.ncbi.nlm.nih.gov/protein/XP_026949412.1","XP_026949412.1")</f>
        <v>XP_026949412.1</v>
      </c>
      <c r="C132">
        <v>54700</v>
      </c>
      <c r="D132" t="str">
        <f>HYPERLINK("http://www.ncbi.nlm.nih.gov/Taxonomy/Browser/wwwtax.cgi?mode=Info&amp;id=90247&amp;lvl=3&amp;lin=f&amp;keep=1&amp;srchmode=1&amp;unlock","90247")</f>
        <v>90247</v>
      </c>
      <c r="E132" t="s">
        <v>18</v>
      </c>
      <c r="F132" t="s">
        <v>18</v>
      </c>
      <c r="G132" t="str">
        <f>HYPERLINK("http://www.ncbi.nlm.nih.gov/Taxonomy/Browser/wwwtax.cgi?mode=Info&amp;id=90247&amp;lvl=3&amp;lin=f&amp;keep=1&amp;srchmode=1&amp;unlock","Lagenorhynchus obliquidens")</f>
        <v>Lagenorhynchus obliquidens</v>
      </c>
      <c r="H132" t="s">
        <v>159</v>
      </c>
      <c r="I132" t="str">
        <f>HYPERLINK("http://www.ncbi.nlm.nih.gov/protein/XP_026949412.1","androgen receptor isoform X1")</f>
        <v>androgen receptor isoform X1</v>
      </c>
      <c r="J132">
        <v>1394.79</v>
      </c>
      <c r="K132" t="s">
        <v>20</v>
      </c>
      <c r="L132">
        <v>157</v>
      </c>
      <c r="M132">
        <v>44.41</v>
      </c>
      <c r="N132">
        <v>74.25</v>
      </c>
      <c r="O132" t="s">
        <v>20</v>
      </c>
      <c r="P132" t="s">
        <v>965</v>
      </c>
      <c r="Q132" t="s">
        <v>20</v>
      </c>
      <c r="R132" t="str">
        <f>HYPERLINK("https://cfpub.epa.gov/ecotox/explore.cfm?ncbi=90247","Explore in ECOTOX")</f>
        <v>Explore in ECOTOX</v>
      </c>
    </row>
    <row r="133" spans="1:18" x14ac:dyDescent="0.25">
      <c r="A133">
        <v>6</v>
      </c>
      <c r="B133" t="str">
        <f>HYPERLINK("http://www.ncbi.nlm.nih.gov/protein/TEA23321.1","TEA23321.1")</f>
        <v>TEA23321.1</v>
      </c>
      <c r="C133">
        <v>19921</v>
      </c>
      <c r="D133" t="str">
        <f>HYPERLINK("http://www.ncbi.nlm.nih.gov/Taxonomy/Browser/wwwtax.cgi?mode=Info&amp;id=103600&amp;lvl=3&amp;lin=f&amp;keep=1&amp;srchmode=1&amp;unlock","103600")</f>
        <v>103600</v>
      </c>
      <c r="E133" t="s">
        <v>18</v>
      </c>
      <c r="F133" t="s">
        <v>18</v>
      </c>
      <c r="G133" t="str">
        <f>HYPERLINK("http://www.ncbi.nlm.nih.gov/Taxonomy/Browser/wwwtax.cgi?mode=Info&amp;id=103600&amp;lvl=3&amp;lin=f&amp;keep=1&amp;srchmode=1&amp;unlock","Sousa chinensis")</f>
        <v>Sousa chinensis</v>
      </c>
      <c r="H133" t="s">
        <v>475</v>
      </c>
      <c r="I133" t="str">
        <f>HYPERLINK("http://www.ncbi.nlm.nih.gov/protein/TEA23321.1","hypothetical protein DBR06_SOUSAS38910002")</f>
        <v>hypothetical protein DBR06_SOUSAS38910002</v>
      </c>
      <c r="J133">
        <v>1393.25</v>
      </c>
      <c r="K133" t="s">
        <v>20</v>
      </c>
      <c r="L133">
        <v>157</v>
      </c>
      <c r="M133">
        <v>44.41</v>
      </c>
      <c r="N133">
        <v>74.16</v>
      </c>
      <c r="O133" t="s">
        <v>20</v>
      </c>
      <c r="P133" t="s">
        <v>965</v>
      </c>
      <c r="Q133" t="s">
        <v>20</v>
      </c>
      <c r="R133" t="str">
        <f>HYPERLINK("https://cfpub.epa.gov/ecotox/explore.cfm?ncbi=103600","Explore in ECOTOX")</f>
        <v>Explore in ECOTOX</v>
      </c>
    </row>
    <row r="134" spans="1:18" x14ac:dyDescent="0.25">
      <c r="A134">
        <v>6</v>
      </c>
      <c r="B134" t="str">
        <f>HYPERLINK("http://www.ncbi.nlm.nih.gov/protein/XP_030705966.1","XP_030705966.1")</f>
        <v>XP_030705966.1</v>
      </c>
      <c r="C134">
        <v>54641</v>
      </c>
      <c r="D134" t="str">
        <f>HYPERLINK("http://www.ncbi.nlm.nih.gov/Taxonomy/Browser/wwwtax.cgi?mode=Info&amp;id=9731&amp;lvl=3&amp;lin=f&amp;keep=1&amp;srchmode=1&amp;unlock","9731")</f>
        <v>9731</v>
      </c>
      <c r="E134" t="s">
        <v>18</v>
      </c>
      <c r="F134" t="s">
        <v>18</v>
      </c>
      <c r="G134" t="str">
        <f>HYPERLINK("http://www.ncbi.nlm.nih.gov/Taxonomy/Browser/wwwtax.cgi?mode=Info&amp;id=9731&amp;lvl=3&amp;lin=f&amp;keep=1&amp;srchmode=1&amp;unlock","Globicephala melas")</f>
        <v>Globicephala melas</v>
      </c>
      <c r="H134" t="s">
        <v>158</v>
      </c>
      <c r="I134" t="str">
        <f>HYPERLINK("http://www.ncbi.nlm.nih.gov/protein/XP_030705966.1","androgen receptor isoform X1")</f>
        <v>androgen receptor isoform X1</v>
      </c>
      <c r="J134">
        <v>1392.1</v>
      </c>
      <c r="K134" t="s">
        <v>20</v>
      </c>
      <c r="L134">
        <v>157</v>
      </c>
      <c r="M134">
        <v>44.41</v>
      </c>
      <c r="N134">
        <v>74.099999999999994</v>
      </c>
      <c r="O134" t="s">
        <v>20</v>
      </c>
      <c r="P134" t="s">
        <v>965</v>
      </c>
      <c r="Q134" t="s">
        <v>20</v>
      </c>
      <c r="R134" t="str">
        <f>HYPERLINK("https://cfpub.epa.gov/ecotox/explore.cfm?ncbi=9731","Explore in ECOTOX")</f>
        <v>Explore in ECOTOX</v>
      </c>
    </row>
    <row r="135" spans="1:18" x14ac:dyDescent="0.25">
      <c r="A135">
        <v>6</v>
      </c>
      <c r="B135" t="str">
        <f>HYPERLINK("http://www.ncbi.nlm.nih.gov/protein/XP_011369769.1","XP_011369769.1")</f>
        <v>XP_011369769.1</v>
      </c>
      <c r="C135">
        <v>43879</v>
      </c>
      <c r="D135" t="str">
        <f>HYPERLINK("http://www.ncbi.nlm.nih.gov/Taxonomy/Browser/wwwtax.cgi?mode=Info&amp;id=132908&amp;lvl=3&amp;lin=f&amp;keep=1&amp;srchmode=1&amp;unlock","132908")</f>
        <v>132908</v>
      </c>
      <c r="E135" t="s">
        <v>18</v>
      </c>
      <c r="F135" t="s">
        <v>18</v>
      </c>
      <c r="G135" t="str">
        <f>HYPERLINK("http://www.ncbi.nlm.nih.gov/Taxonomy/Browser/wwwtax.cgi?mode=Info&amp;id=132908&amp;lvl=3&amp;lin=f&amp;keep=1&amp;srchmode=1&amp;unlock","Pteropus vampyrus")</f>
        <v>Pteropus vampyrus</v>
      </c>
      <c r="H135" t="s">
        <v>972</v>
      </c>
      <c r="I135" t="str">
        <f>HYPERLINK("http://www.ncbi.nlm.nih.gov/protein/XP_011369769.1","LOW QUALITY PROTEIN: androgen receptor")</f>
        <v>LOW QUALITY PROTEIN: androgen receptor</v>
      </c>
      <c r="J135">
        <v>1391.71</v>
      </c>
      <c r="K135" t="s">
        <v>20</v>
      </c>
      <c r="L135">
        <v>157</v>
      </c>
      <c r="M135">
        <v>44.41</v>
      </c>
      <c r="N135">
        <v>74.08</v>
      </c>
      <c r="O135" t="s">
        <v>20</v>
      </c>
      <c r="P135" t="s">
        <v>965</v>
      </c>
      <c r="Q135" t="s">
        <v>20</v>
      </c>
      <c r="R135" t="str">
        <f>HYPERLINK("https://cfpub.epa.gov/ecotox/explore.cfm?ncbi=132908","Explore in ECOTOX")</f>
        <v>Explore in ECOTOX</v>
      </c>
    </row>
    <row r="136" spans="1:18" x14ac:dyDescent="0.25">
      <c r="A136">
        <v>6</v>
      </c>
      <c r="B136" t="str">
        <f>HYPERLINK("http://www.ncbi.nlm.nih.gov/protein/XP_022416760.1","XP_022416760.1")</f>
        <v>XP_022416760.1</v>
      </c>
      <c r="C136">
        <v>51113</v>
      </c>
      <c r="D136" t="str">
        <f>HYPERLINK("http://www.ncbi.nlm.nih.gov/Taxonomy/Browser/wwwtax.cgi?mode=Info&amp;id=9749&amp;lvl=3&amp;lin=f&amp;keep=1&amp;srchmode=1&amp;unlock","9749")</f>
        <v>9749</v>
      </c>
      <c r="E136" t="s">
        <v>18</v>
      </c>
      <c r="F136" t="s">
        <v>18</v>
      </c>
      <c r="G136" t="str">
        <f>HYPERLINK("http://www.ncbi.nlm.nih.gov/Taxonomy/Browser/wwwtax.cgi?mode=Info&amp;id=9749&amp;lvl=3&amp;lin=f&amp;keep=1&amp;srchmode=1&amp;unlock","Delphinapterus leucas")</f>
        <v>Delphinapterus leucas</v>
      </c>
      <c r="H136" t="s">
        <v>152</v>
      </c>
      <c r="I136" t="str">
        <f>HYPERLINK("http://www.ncbi.nlm.nih.gov/protein/XP_022416760.1","androgen receptor")</f>
        <v>androgen receptor</v>
      </c>
      <c r="J136">
        <v>1390.56</v>
      </c>
      <c r="K136" t="s">
        <v>20</v>
      </c>
      <c r="L136">
        <v>157</v>
      </c>
      <c r="M136">
        <v>44.41</v>
      </c>
      <c r="N136">
        <v>74.02</v>
      </c>
      <c r="O136" t="s">
        <v>20</v>
      </c>
      <c r="P136" t="s">
        <v>965</v>
      </c>
      <c r="Q136" t="s">
        <v>20</v>
      </c>
      <c r="R136" t="str">
        <f>HYPERLINK("https://cfpub.epa.gov/ecotox/explore.cfm?ncbi=9749","Explore in ECOTOX")</f>
        <v>Explore in ECOTOX</v>
      </c>
    </row>
    <row r="137" spans="1:18" x14ac:dyDescent="0.25">
      <c r="A137">
        <v>6</v>
      </c>
      <c r="B137" t="str">
        <f>HYPERLINK("http://www.ncbi.nlm.nih.gov/protein/XP_024607628.1","XP_024607628.1")</f>
        <v>XP_024607628.1</v>
      </c>
      <c r="C137">
        <v>38184</v>
      </c>
      <c r="D137" t="str">
        <f>HYPERLINK("http://www.ncbi.nlm.nih.gov/Taxonomy/Browser/wwwtax.cgi?mode=Info&amp;id=1706337&amp;lvl=3&amp;lin=f&amp;keep=1&amp;srchmode=1&amp;unlock","1706337")</f>
        <v>1706337</v>
      </c>
      <c r="E137" t="s">
        <v>18</v>
      </c>
      <c r="F137" t="s">
        <v>18</v>
      </c>
      <c r="G137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37" t="s">
        <v>175</v>
      </c>
      <c r="I137" t="str">
        <f>HYPERLINK("http://www.ncbi.nlm.nih.gov/protein/XP_024607628.1","androgen receptor isoform X1")</f>
        <v>androgen receptor isoform X1</v>
      </c>
      <c r="J137">
        <v>1387.47</v>
      </c>
      <c r="K137" t="s">
        <v>20</v>
      </c>
      <c r="L137">
        <v>157</v>
      </c>
      <c r="M137">
        <v>44.41</v>
      </c>
      <c r="N137">
        <v>73.86</v>
      </c>
      <c r="O137" t="s">
        <v>20</v>
      </c>
      <c r="P137" t="s">
        <v>965</v>
      </c>
      <c r="Q137" t="s">
        <v>20</v>
      </c>
      <c r="R137" t="str">
        <f>HYPERLINK("https://cfpub.epa.gov/ecotox/explore.cfm?ncbi=1706337","Explore in ECOTOX")</f>
        <v>Explore in ECOTOX</v>
      </c>
    </row>
    <row r="138" spans="1:18" x14ac:dyDescent="0.25">
      <c r="A138">
        <v>6</v>
      </c>
      <c r="B138" t="str">
        <f>HYPERLINK("http://www.ncbi.nlm.nih.gov/protein/XP_040487359.1","XP_040487359.1")</f>
        <v>XP_040487359.1</v>
      </c>
      <c r="C138">
        <v>41699</v>
      </c>
      <c r="D138" t="str">
        <f>HYPERLINK("http://www.ncbi.nlm.nih.gov/Taxonomy/Browser/wwwtax.cgi?mode=Info&amp;id=29073&amp;lvl=3&amp;lin=f&amp;keep=1&amp;srchmode=1&amp;unlock","29073")</f>
        <v>29073</v>
      </c>
      <c r="E138" t="s">
        <v>18</v>
      </c>
      <c r="F138" t="s">
        <v>18</v>
      </c>
      <c r="G138" t="str">
        <f>HYPERLINK("http://www.ncbi.nlm.nih.gov/Taxonomy/Browser/wwwtax.cgi?mode=Info&amp;id=29073&amp;lvl=3&amp;lin=f&amp;keep=1&amp;srchmode=1&amp;unlock","Ursus maritimus")</f>
        <v>Ursus maritimus</v>
      </c>
      <c r="H138" t="s">
        <v>161</v>
      </c>
      <c r="I138" t="str">
        <f>HYPERLINK("http://www.ncbi.nlm.nih.gov/protein/XP_040487359.1","androgen receptor")</f>
        <v>androgen receptor</v>
      </c>
      <c r="J138">
        <v>1387.09</v>
      </c>
      <c r="K138" t="s">
        <v>20</v>
      </c>
      <c r="L138">
        <v>157</v>
      </c>
      <c r="M138">
        <v>44.41</v>
      </c>
      <c r="N138">
        <v>73.84</v>
      </c>
      <c r="O138" t="s">
        <v>20</v>
      </c>
      <c r="P138" t="s">
        <v>965</v>
      </c>
      <c r="Q138" t="s">
        <v>20</v>
      </c>
      <c r="R138" t="str">
        <f>HYPERLINK("https://cfpub.epa.gov/ecotox/explore.cfm?ncbi=29073","Explore in ECOTOX")</f>
        <v>Explore in ECOTOX</v>
      </c>
    </row>
    <row r="139" spans="1:18" x14ac:dyDescent="0.25">
      <c r="A139">
        <v>6</v>
      </c>
      <c r="B139" t="str">
        <f>HYPERLINK("http://www.ncbi.nlm.nih.gov/protein/CAD7682244.1","CAD7682244.1")</f>
        <v>CAD7682244.1</v>
      </c>
      <c r="C139">
        <v>27261</v>
      </c>
      <c r="D139" t="str">
        <f>HYPERLINK("http://www.ncbi.nlm.nih.gov/Taxonomy/Browser/wwwtax.cgi?mode=Info&amp;id=34880&amp;lvl=3&amp;lin=f&amp;keep=1&amp;srchmode=1&amp;unlock","34880")</f>
        <v>34880</v>
      </c>
      <c r="E139" t="s">
        <v>18</v>
      </c>
      <c r="F139" t="s">
        <v>18</v>
      </c>
      <c r="G139" t="str">
        <f>HYPERLINK("http://www.ncbi.nlm.nih.gov/Taxonomy/Browser/wwwtax.cgi?mode=Info&amp;id=34880&amp;lvl=3&amp;lin=f&amp;keep=1&amp;srchmode=1&amp;unlock","Nyctereutes procyonoides")</f>
        <v>Nyctereutes procyonoides</v>
      </c>
      <c r="H139" t="s">
        <v>39</v>
      </c>
      <c r="I139" t="str">
        <f>HYPERLINK("http://www.ncbi.nlm.nih.gov/protein/CAD7682244.1","unnamed protein product")</f>
        <v>unnamed protein product</v>
      </c>
      <c r="J139">
        <v>1382.08</v>
      </c>
      <c r="K139" t="s">
        <v>20</v>
      </c>
      <c r="L139">
        <v>157</v>
      </c>
      <c r="M139">
        <v>44.41</v>
      </c>
      <c r="N139">
        <v>73.569999999999993</v>
      </c>
      <c r="O139" t="s">
        <v>20</v>
      </c>
      <c r="P139" t="s">
        <v>965</v>
      </c>
      <c r="Q139" t="s">
        <v>20</v>
      </c>
      <c r="R139" t="str">
        <f>HYPERLINK("https://cfpub.epa.gov/ecotox/explore.cfm?ncbi=34880","Explore in ECOTOX")</f>
        <v>Explore in ECOTOX</v>
      </c>
    </row>
    <row r="140" spans="1:18" x14ac:dyDescent="0.25">
      <c r="A140">
        <v>6</v>
      </c>
      <c r="B140" t="str">
        <f>HYPERLINK("http://www.ncbi.nlm.nih.gov/protein/XP_010630488.1","XP_010630488.1")</f>
        <v>XP_010630488.1</v>
      </c>
      <c r="C140">
        <v>67680</v>
      </c>
      <c r="D140" t="str">
        <f>HYPERLINK("http://www.ncbi.nlm.nih.gov/Taxonomy/Browser/wwwtax.cgi?mode=Info&amp;id=885580&amp;lvl=3&amp;lin=f&amp;keep=1&amp;srchmode=1&amp;unlock","885580")</f>
        <v>885580</v>
      </c>
      <c r="E140" t="s">
        <v>18</v>
      </c>
      <c r="F140" t="s">
        <v>18</v>
      </c>
      <c r="G140" t="str">
        <f>HYPERLINK("http://www.ncbi.nlm.nih.gov/Taxonomy/Browser/wwwtax.cgi?mode=Info&amp;id=885580&amp;lvl=3&amp;lin=f&amp;keep=1&amp;srchmode=1&amp;unlock","Fukomys damarensis")</f>
        <v>Fukomys damarensis</v>
      </c>
      <c r="H140" t="s">
        <v>163</v>
      </c>
      <c r="I140" t="str">
        <f>HYPERLINK("http://www.ncbi.nlm.nih.gov/protein/XP_010630488.1","androgen receptor")</f>
        <v>androgen receptor</v>
      </c>
      <c r="J140">
        <v>1370.91</v>
      </c>
      <c r="K140" t="s">
        <v>20</v>
      </c>
      <c r="L140">
        <v>157</v>
      </c>
      <c r="M140">
        <v>44.41</v>
      </c>
      <c r="N140">
        <v>72.98</v>
      </c>
      <c r="O140" t="s">
        <v>20</v>
      </c>
      <c r="P140" t="s">
        <v>965</v>
      </c>
      <c r="Q140" t="s">
        <v>20</v>
      </c>
      <c r="R140" t="str">
        <f>HYPERLINK("https://cfpub.epa.gov/ecotox/explore.cfm?ncbi=885580","Explore in ECOTOX")</f>
        <v>Explore in ECOTOX</v>
      </c>
    </row>
    <row r="141" spans="1:18" x14ac:dyDescent="0.25">
      <c r="A141">
        <v>6</v>
      </c>
      <c r="B141" t="str">
        <f>HYPERLINK("http://www.ncbi.nlm.nih.gov/protein/XP_039714654.1","XP_039714654.1")</f>
        <v>XP_039714654.1</v>
      </c>
      <c r="C141">
        <v>53655</v>
      </c>
      <c r="D141" t="str">
        <f>HYPERLINK("http://www.ncbi.nlm.nih.gov/Taxonomy/Browser/wwwtax.cgi?mode=Info&amp;id=143291&amp;lvl=3&amp;lin=f&amp;keep=1&amp;srchmode=1&amp;unlock","143291")</f>
        <v>143291</v>
      </c>
      <c r="E141" t="s">
        <v>18</v>
      </c>
      <c r="F141" t="s">
        <v>18</v>
      </c>
      <c r="G141" t="str">
        <f>HYPERLINK("http://www.ncbi.nlm.nih.gov/Taxonomy/Browser/wwwtax.cgi?mode=Info&amp;id=143291&amp;lvl=3&amp;lin=f&amp;keep=1&amp;srchmode=1&amp;unlock","Pteropus giganteus")</f>
        <v>Pteropus giganteus</v>
      </c>
      <c r="H141" t="s">
        <v>103</v>
      </c>
      <c r="I141" t="str">
        <f>HYPERLINK("http://www.ncbi.nlm.nih.gov/protein/XP_039714654.1","LOW QUALITY PROTEIN: androgen receptor")</f>
        <v>LOW QUALITY PROTEIN: androgen receptor</v>
      </c>
      <c r="J141">
        <v>1358.97</v>
      </c>
      <c r="K141" t="s">
        <v>20</v>
      </c>
      <c r="L141">
        <v>157</v>
      </c>
      <c r="M141">
        <v>44.41</v>
      </c>
      <c r="N141">
        <v>72.34</v>
      </c>
      <c r="O141" t="s">
        <v>20</v>
      </c>
      <c r="P141" t="s">
        <v>965</v>
      </c>
      <c r="Q141" t="s">
        <v>20</v>
      </c>
      <c r="R141" t="str">
        <f>HYPERLINK("https://cfpub.epa.gov/ecotox/explore.cfm?ncbi=143291","Explore in ECOTOX")</f>
        <v>Explore in ECOTOX</v>
      </c>
    </row>
    <row r="142" spans="1:18" x14ac:dyDescent="0.25">
      <c r="A142">
        <v>6</v>
      </c>
      <c r="B142" t="str">
        <f>HYPERLINK("http://www.ncbi.nlm.nih.gov/protein/XP_004615825.1","XP_004615825.1")</f>
        <v>XP_004615825.1</v>
      </c>
      <c r="C142">
        <v>24236</v>
      </c>
      <c r="D142" t="str">
        <f>HYPERLINK("http://www.ncbi.nlm.nih.gov/Taxonomy/Browser/wwwtax.cgi?mode=Info&amp;id=42254&amp;lvl=3&amp;lin=f&amp;keep=1&amp;srchmode=1&amp;unlock","42254")</f>
        <v>42254</v>
      </c>
      <c r="E142" t="s">
        <v>18</v>
      </c>
      <c r="F142" t="s">
        <v>18</v>
      </c>
      <c r="G142" t="str">
        <f>HYPERLINK("http://www.ncbi.nlm.nih.gov/Taxonomy/Browser/wwwtax.cgi?mode=Info&amp;id=42254&amp;lvl=3&amp;lin=f&amp;keep=1&amp;srchmode=1&amp;unlock","Sorex araneus")</f>
        <v>Sorex araneus</v>
      </c>
      <c r="H142" t="s">
        <v>195</v>
      </c>
      <c r="I142" t="str">
        <f>HYPERLINK("http://www.ncbi.nlm.nih.gov/protein/XP_004615825.1","PREDICTED: androgen receptor")</f>
        <v>PREDICTED: androgen receptor</v>
      </c>
      <c r="J142">
        <v>1343.95</v>
      </c>
      <c r="K142" t="s">
        <v>20</v>
      </c>
      <c r="L142">
        <v>157</v>
      </c>
      <c r="M142">
        <v>44.41</v>
      </c>
      <c r="N142">
        <v>71.540000000000006</v>
      </c>
      <c r="O142" t="s">
        <v>20</v>
      </c>
      <c r="P142" t="s">
        <v>965</v>
      </c>
      <c r="Q142" t="s">
        <v>20</v>
      </c>
      <c r="R142" t="str">
        <f>HYPERLINK("https://cfpub.epa.gov/ecotox/explore.cfm?ncbi=42254","Explore in ECOTOX")</f>
        <v>Explore in ECOTOX</v>
      </c>
    </row>
    <row r="143" spans="1:18" x14ac:dyDescent="0.25">
      <c r="A143">
        <v>6</v>
      </c>
      <c r="B143" t="str">
        <f>HYPERLINK("http://www.ncbi.nlm.nih.gov/protein/XP_008579122.1","XP_008579122.1")</f>
        <v>XP_008579122.1</v>
      </c>
      <c r="C143">
        <v>32194</v>
      </c>
      <c r="D143" t="str">
        <f>HYPERLINK("http://www.ncbi.nlm.nih.gov/Taxonomy/Browser/wwwtax.cgi?mode=Info&amp;id=482537&amp;lvl=3&amp;lin=f&amp;keep=1&amp;srchmode=1&amp;unlock","482537")</f>
        <v>482537</v>
      </c>
      <c r="E143" t="s">
        <v>18</v>
      </c>
      <c r="F143" t="s">
        <v>18</v>
      </c>
      <c r="G143" t="str">
        <f>HYPERLINK("http://www.ncbi.nlm.nih.gov/Taxonomy/Browser/wwwtax.cgi?mode=Info&amp;id=482537&amp;lvl=3&amp;lin=f&amp;keep=1&amp;srchmode=1&amp;unlock","Galeopterus variegatus")</f>
        <v>Galeopterus variegatus</v>
      </c>
      <c r="H143" t="s">
        <v>648</v>
      </c>
      <c r="I143" t="str">
        <f>HYPERLINK("http://www.ncbi.nlm.nih.gov/protein/XP_008579122.1","PREDICTED: androgen receptor")</f>
        <v>PREDICTED: androgen receptor</v>
      </c>
      <c r="J143">
        <v>1323.92</v>
      </c>
      <c r="K143" t="s">
        <v>20</v>
      </c>
      <c r="L143">
        <v>157</v>
      </c>
      <c r="M143">
        <v>44.41</v>
      </c>
      <c r="N143">
        <v>70.47</v>
      </c>
      <c r="O143" t="s">
        <v>20</v>
      </c>
      <c r="P143" t="s">
        <v>965</v>
      </c>
      <c r="Q143" t="s">
        <v>20</v>
      </c>
      <c r="R143" t="str">
        <f>HYPERLINK("https://cfpub.epa.gov/ecotox/explore.cfm?ncbi=482537","Explore in ECOTOX")</f>
        <v>Explore in ECOTOX</v>
      </c>
    </row>
    <row r="144" spans="1:18" x14ac:dyDescent="0.25">
      <c r="A144">
        <v>6</v>
      </c>
      <c r="B144" t="str">
        <f>HYPERLINK("http://www.ncbi.nlm.nih.gov/protein/XP_019503520.1","XP_019503520.1")</f>
        <v>XP_019503520.1</v>
      </c>
      <c r="C144">
        <v>46132</v>
      </c>
      <c r="D144" t="str">
        <f>HYPERLINK("http://www.ncbi.nlm.nih.gov/Taxonomy/Browser/wwwtax.cgi?mode=Info&amp;id=186990&amp;lvl=3&amp;lin=f&amp;keep=1&amp;srchmode=1&amp;unlock","186990")</f>
        <v>186990</v>
      </c>
      <c r="E144" t="s">
        <v>18</v>
      </c>
      <c r="F144" t="s">
        <v>18</v>
      </c>
      <c r="G144" t="str">
        <f>HYPERLINK("http://www.ncbi.nlm.nih.gov/Taxonomy/Browser/wwwtax.cgi?mode=Info&amp;id=186990&amp;lvl=3&amp;lin=f&amp;keep=1&amp;srchmode=1&amp;unlock","Hipposideros armiger")</f>
        <v>Hipposideros armiger</v>
      </c>
      <c r="H144" t="s">
        <v>82</v>
      </c>
      <c r="I144" t="str">
        <f>HYPERLINK("http://www.ncbi.nlm.nih.gov/protein/XP_019503520.1","PREDICTED: androgen receptor")</f>
        <v>PREDICTED: androgen receptor</v>
      </c>
      <c r="J144">
        <v>1298.1099999999999</v>
      </c>
      <c r="K144" t="s">
        <v>20</v>
      </c>
      <c r="L144">
        <v>157</v>
      </c>
      <c r="M144">
        <v>44.41</v>
      </c>
      <c r="N144">
        <v>69.099999999999994</v>
      </c>
      <c r="O144" t="s">
        <v>20</v>
      </c>
      <c r="P144" t="s">
        <v>965</v>
      </c>
      <c r="Q144" t="s">
        <v>20</v>
      </c>
      <c r="R144" t="str">
        <f>HYPERLINK("https://cfpub.epa.gov/ecotox/explore.cfm?ncbi=186990","Explore in ECOTOX")</f>
        <v>Explore in ECOTOX</v>
      </c>
    </row>
    <row r="145" spans="1:18" x14ac:dyDescent="0.25">
      <c r="A145">
        <v>6</v>
      </c>
      <c r="B145" t="str">
        <f>HYPERLINK("http://www.ncbi.nlm.nih.gov/protein/XP_020822884.1","XP_020822884.1")</f>
        <v>XP_020822884.1</v>
      </c>
      <c r="C145">
        <v>47290</v>
      </c>
      <c r="D145" t="str">
        <f>HYPERLINK("http://www.ncbi.nlm.nih.gov/Taxonomy/Browser/wwwtax.cgi?mode=Info&amp;id=38626&amp;lvl=3&amp;lin=f&amp;keep=1&amp;srchmode=1&amp;unlock","38626")</f>
        <v>38626</v>
      </c>
      <c r="E145" t="s">
        <v>18</v>
      </c>
      <c r="F145" t="s">
        <v>18</v>
      </c>
      <c r="G145" t="str">
        <f>HYPERLINK("http://www.ncbi.nlm.nih.gov/Taxonomy/Browser/wwwtax.cgi?mode=Info&amp;id=38626&amp;lvl=3&amp;lin=f&amp;keep=1&amp;srchmode=1&amp;unlock","Phascolarctos cinereus")</f>
        <v>Phascolarctos cinereus</v>
      </c>
      <c r="H145" t="s">
        <v>472</v>
      </c>
      <c r="I145" t="str">
        <f>HYPERLINK("http://www.ncbi.nlm.nih.gov/protein/XP_020822884.1","LOW QUALITY PROTEIN: androgen receptor")</f>
        <v>LOW QUALITY PROTEIN: androgen receptor</v>
      </c>
      <c r="J145">
        <v>1272.69</v>
      </c>
      <c r="K145" t="s">
        <v>25</v>
      </c>
      <c r="L145">
        <v>157</v>
      </c>
      <c r="M145">
        <v>44.41</v>
      </c>
      <c r="N145">
        <v>67.75</v>
      </c>
      <c r="O145" t="s">
        <v>20</v>
      </c>
      <c r="P145" t="s">
        <v>965</v>
      </c>
      <c r="Q145" t="s">
        <v>20</v>
      </c>
      <c r="R145" t="str">
        <f>HYPERLINK("https://cfpub.epa.gov/ecotox/explore.cfm?ncbi=38626","Explore in ECOTOX")</f>
        <v>Explore in ECOTOX</v>
      </c>
    </row>
    <row r="146" spans="1:18" x14ac:dyDescent="0.25">
      <c r="A146">
        <v>6</v>
      </c>
      <c r="B146" t="str">
        <f>HYPERLINK("http://www.ncbi.nlm.nih.gov/protein/XP_036596279.1","XP_036596279.1")</f>
        <v>XP_036596279.1</v>
      </c>
      <c r="C146">
        <v>35972</v>
      </c>
      <c r="D146" t="str">
        <f>HYPERLINK("http://www.ncbi.nlm.nih.gov/Taxonomy/Browser/wwwtax.cgi?mode=Info&amp;id=9337&amp;lvl=3&amp;lin=f&amp;keep=1&amp;srchmode=1&amp;unlock","9337")</f>
        <v>9337</v>
      </c>
      <c r="E146" t="s">
        <v>18</v>
      </c>
      <c r="F146" t="s">
        <v>18</v>
      </c>
      <c r="G146" t="str">
        <f>HYPERLINK("http://www.ncbi.nlm.nih.gov/Taxonomy/Browser/wwwtax.cgi?mode=Info&amp;id=9337&amp;lvl=3&amp;lin=f&amp;keep=1&amp;srchmode=1&amp;unlock","Trichosurus vulpecula")</f>
        <v>Trichosurus vulpecula</v>
      </c>
      <c r="H146" t="s">
        <v>150</v>
      </c>
      <c r="I146" t="str">
        <f>HYPERLINK("http://www.ncbi.nlm.nih.gov/protein/XP_036596279.1","androgen receptor")</f>
        <v>androgen receptor</v>
      </c>
      <c r="J146">
        <v>1264.98</v>
      </c>
      <c r="K146" t="s">
        <v>20</v>
      </c>
      <c r="L146">
        <v>157</v>
      </c>
      <c r="M146">
        <v>44.41</v>
      </c>
      <c r="N146">
        <v>67.34</v>
      </c>
      <c r="O146" t="s">
        <v>20</v>
      </c>
      <c r="P146" t="s">
        <v>965</v>
      </c>
      <c r="Q146" t="s">
        <v>20</v>
      </c>
      <c r="R146" t="str">
        <f>HYPERLINK("https://cfpub.epa.gov/ecotox/explore.cfm?ncbi=9337","Explore in ECOTOX")</f>
        <v>Explore in ECOTOX</v>
      </c>
    </row>
    <row r="147" spans="1:18" x14ac:dyDescent="0.25">
      <c r="A147">
        <v>6</v>
      </c>
      <c r="B147" t="str">
        <f>HYPERLINK("http://www.ncbi.nlm.nih.gov/protein/XP_031800701.1","XP_031800701.1")</f>
        <v>XP_031800701.1</v>
      </c>
      <c r="C147">
        <v>46282</v>
      </c>
      <c r="D147" t="str">
        <f>HYPERLINK("http://www.ncbi.nlm.nih.gov/Taxonomy/Browser/wwwtax.cgi?mode=Info&amp;id=9305&amp;lvl=3&amp;lin=f&amp;keep=1&amp;srchmode=1&amp;unlock","9305")</f>
        <v>9305</v>
      </c>
      <c r="E147" t="s">
        <v>18</v>
      </c>
      <c r="F147" t="s">
        <v>18</v>
      </c>
      <c r="G147" t="str">
        <f>HYPERLINK("http://www.ncbi.nlm.nih.gov/Taxonomy/Browser/wwwtax.cgi?mode=Info&amp;id=9305&amp;lvl=3&amp;lin=f&amp;keep=1&amp;srchmode=1&amp;unlock","Sarcophilus harrisii")</f>
        <v>Sarcophilus harrisii</v>
      </c>
      <c r="H147" t="s">
        <v>122</v>
      </c>
      <c r="I147" t="str">
        <f>HYPERLINK("http://www.ncbi.nlm.nih.gov/protein/XP_031800701.1","androgen receptor")</f>
        <v>androgen receptor</v>
      </c>
      <c r="J147">
        <v>1241.0999999999999</v>
      </c>
      <c r="K147" t="s">
        <v>25</v>
      </c>
      <c r="L147">
        <v>157</v>
      </c>
      <c r="M147">
        <v>44.41</v>
      </c>
      <c r="N147">
        <v>66.069999999999993</v>
      </c>
      <c r="O147" t="s">
        <v>20</v>
      </c>
      <c r="P147" t="s">
        <v>965</v>
      </c>
      <c r="Q147" t="s">
        <v>20</v>
      </c>
      <c r="R147" t="str">
        <f>HYPERLINK("https://cfpub.epa.gov/ecotox/explore.cfm?ncbi=9305","Explore in ECOTOX")</f>
        <v>Explore in ECOTOX</v>
      </c>
    </row>
    <row r="148" spans="1:18" x14ac:dyDescent="0.25">
      <c r="A148">
        <v>6</v>
      </c>
      <c r="B148" t="str">
        <f>HYPERLINK("http://www.ncbi.nlm.nih.gov/protein/ALL99217.1","ALL99217.1")</f>
        <v>ALL99217.1</v>
      </c>
      <c r="C148">
        <v>423</v>
      </c>
      <c r="D148" t="str">
        <f>HYPERLINK("http://www.ncbi.nlm.nih.gov/Taxonomy/Browser/wwwtax.cgi?mode=Info&amp;id=9863&amp;lvl=3&amp;lin=f&amp;keep=1&amp;srchmode=1&amp;unlock","9863")</f>
        <v>9863</v>
      </c>
      <c r="E148" t="s">
        <v>18</v>
      </c>
      <c r="F148" t="s">
        <v>18</v>
      </c>
      <c r="G148" t="str">
        <f>HYPERLINK("http://www.ncbi.nlm.nih.gov/Taxonomy/Browser/wwwtax.cgi?mode=Info&amp;id=9863&amp;lvl=3&amp;lin=f&amp;keep=1&amp;srchmode=1&amp;unlock","Cervus nippon")</f>
        <v>Cervus nippon</v>
      </c>
      <c r="H148" t="s">
        <v>973</v>
      </c>
      <c r="I148" t="str">
        <f>HYPERLINK("http://www.ncbi.nlm.nih.gov/protein/ALL99217.1","androgen receptor, partial")</f>
        <v>androgen receptor, partial</v>
      </c>
      <c r="J148">
        <v>1214.52</v>
      </c>
      <c r="K148" t="s">
        <v>20</v>
      </c>
      <c r="L148">
        <v>157</v>
      </c>
      <c r="M148">
        <v>44.41</v>
      </c>
      <c r="N148">
        <v>64.650000000000006</v>
      </c>
      <c r="O148" t="s">
        <v>20</v>
      </c>
      <c r="P148" t="s">
        <v>965</v>
      </c>
      <c r="Q148" t="s">
        <v>20</v>
      </c>
      <c r="R148" t="str">
        <f>HYPERLINK("https://cfpub.epa.gov/ecotox/explore.cfm?ncbi=9863","Explore in ECOTOX")</f>
        <v>Explore in ECOTOX</v>
      </c>
    </row>
    <row r="149" spans="1:18" x14ac:dyDescent="0.25">
      <c r="A149">
        <v>6</v>
      </c>
      <c r="B149" t="str">
        <f>HYPERLINK("http://www.ncbi.nlm.nih.gov/protein/XP_007507022.1","XP_007507022.1")</f>
        <v>XP_007507022.1</v>
      </c>
      <c r="C149">
        <v>51257</v>
      </c>
      <c r="D149" t="str">
        <f>HYPERLINK("http://www.ncbi.nlm.nih.gov/Taxonomy/Browser/wwwtax.cgi?mode=Info&amp;id=13616&amp;lvl=3&amp;lin=f&amp;keep=1&amp;srchmode=1&amp;unlock","13616")</f>
        <v>13616</v>
      </c>
      <c r="E149" t="s">
        <v>18</v>
      </c>
      <c r="F149" t="s">
        <v>18</v>
      </c>
      <c r="G149" t="str">
        <f>HYPERLINK("http://www.ncbi.nlm.nih.gov/Taxonomy/Browser/wwwtax.cgi?mode=Info&amp;id=13616&amp;lvl=3&amp;lin=f&amp;keep=1&amp;srchmode=1&amp;unlock","Monodelphis domestica")</f>
        <v>Monodelphis domestica</v>
      </c>
      <c r="H149" t="s">
        <v>638</v>
      </c>
      <c r="I149" t="str">
        <f>HYPERLINK("http://www.ncbi.nlm.nih.gov/protein/XP_007507022.1","PREDICTED: androgen receptor")</f>
        <v>PREDICTED: androgen receptor</v>
      </c>
      <c r="J149">
        <v>1213.75</v>
      </c>
      <c r="K149" t="s">
        <v>25</v>
      </c>
      <c r="L149">
        <v>157</v>
      </c>
      <c r="M149">
        <v>44.41</v>
      </c>
      <c r="N149">
        <v>64.61</v>
      </c>
      <c r="O149" t="s">
        <v>20</v>
      </c>
      <c r="P149" t="s">
        <v>965</v>
      </c>
      <c r="Q149" t="s">
        <v>20</v>
      </c>
      <c r="R149" t="str">
        <f>HYPERLINK("https://cfpub.epa.gov/ecotox/explore.cfm?ncbi=13616","Explore in ECOTOX")</f>
        <v>Explore in ECOTOX</v>
      </c>
    </row>
    <row r="150" spans="1:18" x14ac:dyDescent="0.25">
      <c r="A150">
        <v>6</v>
      </c>
      <c r="B150" t="str">
        <f>HYPERLINK("http://www.ncbi.nlm.nih.gov/protein/XP_015357076.1","XP_015357076.1")</f>
        <v>XP_015357076.1</v>
      </c>
      <c r="C150">
        <v>31077</v>
      </c>
      <c r="D150" t="str">
        <f>HYPERLINK("http://www.ncbi.nlm.nih.gov/Taxonomy/Browser/wwwtax.cgi?mode=Info&amp;id=9994&amp;lvl=3&amp;lin=f&amp;keep=1&amp;srchmode=1&amp;unlock","9994")</f>
        <v>9994</v>
      </c>
      <c r="E150" t="s">
        <v>18</v>
      </c>
      <c r="F150" t="s">
        <v>18</v>
      </c>
      <c r="G150" t="str">
        <f>HYPERLINK("http://www.ncbi.nlm.nih.gov/Taxonomy/Browser/wwwtax.cgi?mode=Info&amp;id=9994&amp;lvl=3&amp;lin=f&amp;keep=1&amp;srchmode=1&amp;unlock","Marmota marmota marmota")</f>
        <v>Marmota marmota marmota</v>
      </c>
      <c r="H150" t="s">
        <v>81</v>
      </c>
      <c r="I150" t="str">
        <f>HYPERLINK("http://www.ncbi.nlm.nih.gov/protein/XP_015357076.1","PREDICTED: androgen receptor, partial")</f>
        <v>PREDICTED: androgen receptor, partial</v>
      </c>
      <c r="J150">
        <v>1142.8699999999999</v>
      </c>
      <c r="K150" t="s">
        <v>20</v>
      </c>
      <c r="L150">
        <v>157</v>
      </c>
      <c r="M150">
        <v>44.41</v>
      </c>
      <c r="N150">
        <v>60.84</v>
      </c>
      <c r="O150" t="s">
        <v>20</v>
      </c>
      <c r="P150" t="s">
        <v>965</v>
      </c>
      <c r="Q150" t="s">
        <v>20</v>
      </c>
      <c r="R150" t="str">
        <f>HYPERLINK("https://cfpub.epa.gov/ecotox/explore.cfm?ncbi=9994","Explore in ECOTOX")</f>
        <v>Explore in ECOTOX</v>
      </c>
    </row>
    <row r="151" spans="1:18" x14ac:dyDescent="0.25">
      <c r="A151">
        <v>6</v>
      </c>
      <c r="B151" t="str">
        <f>HYPERLINK("http://www.ncbi.nlm.nih.gov/protein/XP_006125303.1","XP_006125303.1")</f>
        <v>XP_006125303.1</v>
      </c>
      <c r="C151">
        <v>39171</v>
      </c>
      <c r="D151" t="str">
        <f>HYPERLINK("http://www.ncbi.nlm.nih.gov/Taxonomy/Browser/wwwtax.cgi?mode=Info&amp;id=13735&amp;lvl=3&amp;lin=f&amp;keep=1&amp;srchmode=1&amp;unlock","13735")</f>
        <v>13735</v>
      </c>
      <c r="E151" t="s">
        <v>321</v>
      </c>
      <c r="F151" t="s">
        <v>321</v>
      </c>
      <c r="G151" t="str">
        <f>HYPERLINK("http://www.ncbi.nlm.nih.gov/Taxonomy/Browser/wwwtax.cgi?mode=Info&amp;id=13735&amp;lvl=3&amp;lin=f&amp;keep=1&amp;srchmode=1&amp;unlock","Pelodiscus sinensis")</f>
        <v>Pelodiscus sinensis</v>
      </c>
      <c r="H151" t="s">
        <v>386</v>
      </c>
      <c r="I151" t="str">
        <f>HYPERLINK("http://www.ncbi.nlm.nih.gov/protein/XP_006125303.1","LOW QUALITY PROTEIN: androgen receptor")</f>
        <v>LOW QUALITY PROTEIN: androgen receptor</v>
      </c>
      <c r="J151">
        <v>1023.46</v>
      </c>
      <c r="K151" t="s">
        <v>20</v>
      </c>
      <c r="L151">
        <v>157</v>
      </c>
      <c r="M151">
        <v>44.41</v>
      </c>
      <c r="N151">
        <v>54.48</v>
      </c>
      <c r="O151" t="s">
        <v>20</v>
      </c>
      <c r="P151" t="s">
        <v>965</v>
      </c>
      <c r="Q151" t="s">
        <v>20</v>
      </c>
      <c r="R151" t="str">
        <f>HYPERLINK("https://cfpub.epa.gov/ecotox/explore.cfm?ncbi=13735","Explore in ECOTOX")</f>
        <v>Explore in ECOTOX</v>
      </c>
    </row>
    <row r="152" spans="1:18" x14ac:dyDescent="0.25">
      <c r="A152">
        <v>6</v>
      </c>
      <c r="B152" t="str">
        <f>HYPERLINK("http://www.ncbi.nlm.nih.gov/protein/XP_039344727.1","XP_039344727.1")</f>
        <v>XP_039344727.1</v>
      </c>
      <c r="C152">
        <v>67728</v>
      </c>
      <c r="D152" t="str">
        <f>HYPERLINK("http://www.ncbi.nlm.nih.gov/Taxonomy/Browser/wwwtax.cgi?mode=Info&amp;id=260615&amp;lvl=3&amp;lin=f&amp;keep=1&amp;srchmode=1&amp;unlock","260615")</f>
        <v>260615</v>
      </c>
      <c r="E152" t="s">
        <v>321</v>
      </c>
      <c r="F152" t="s">
        <v>321</v>
      </c>
      <c r="G152" t="str">
        <f>HYPERLINK("http://www.ncbi.nlm.nih.gov/Taxonomy/Browser/wwwtax.cgi?mode=Info&amp;id=260615&amp;lvl=3&amp;lin=f&amp;keep=1&amp;srchmode=1&amp;unlock","Mauremys reevesii")</f>
        <v>Mauremys reevesii</v>
      </c>
      <c r="H152" t="s">
        <v>362</v>
      </c>
      <c r="I152" t="str">
        <f>HYPERLINK("http://www.ncbi.nlm.nih.gov/protein/XP_039344727.1","androgen receptor")</f>
        <v>androgen receptor</v>
      </c>
      <c r="J152">
        <v>1020.76</v>
      </c>
      <c r="K152" t="s">
        <v>20</v>
      </c>
      <c r="L152">
        <v>157</v>
      </c>
      <c r="M152">
        <v>44.41</v>
      </c>
      <c r="N152">
        <v>54.34</v>
      </c>
      <c r="O152" t="s">
        <v>20</v>
      </c>
      <c r="P152" t="s">
        <v>965</v>
      </c>
      <c r="Q152" t="s">
        <v>20</v>
      </c>
      <c r="R152" t="str">
        <f>HYPERLINK("https://cfpub.epa.gov/ecotox/explore.cfm?ncbi=260615","Explore in ECOTOX")</f>
        <v>Explore in ECOTOX</v>
      </c>
    </row>
    <row r="153" spans="1:18" x14ac:dyDescent="0.25">
      <c r="A153">
        <v>6</v>
      </c>
      <c r="B153" t="str">
        <f>HYPERLINK("http://www.ncbi.nlm.nih.gov/protein/XP_030431532.1","XP_030431532.1")</f>
        <v>XP_030431532.1</v>
      </c>
      <c r="C153">
        <v>50866</v>
      </c>
      <c r="D153" t="str">
        <f>HYPERLINK("http://www.ncbi.nlm.nih.gov/Taxonomy/Browser/wwwtax.cgi?mode=Info&amp;id=1825980&amp;lvl=3&amp;lin=f&amp;keep=1&amp;srchmode=1&amp;unlock","1825980")</f>
        <v>1825980</v>
      </c>
      <c r="E153" t="s">
        <v>321</v>
      </c>
      <c r="F153" t="s">
        <v>321</v>
      </c>
      <c r="G153" t="str">
        <f>HYPERLINK("http://www.ncbi.nlm.nih.gov/Taxonomy/Browser/wwwtax.cgi?mode=Info&amp;id=1825980&amp;lvl=3&amp;lin=f&amp;keep=1&amp;srchmode=1&amp;unlock","Gopherus evgoodei")</f>
        <v>Gopherus evgoodei</v>
      </c>
      <c r="H153" t="s">
        <v>398</v>
      </c>
      <c r="I153" t="str">
        <f>HYPERLINK("http://www.ncbi.nlm.nih.gov/protein/XP_030431532.1","androgen receptor isoform X2")</f>
        <v>androgen receptor isoform X2</v>
      </c>
      <c r="J153">
        <v>1015.37</v>
      </c>
      <c r="K153" t="s">
        <v>20</v>
      </c>
      <c r="L153">
        <v>157</v>
      </c>
      <c r="M153">
        <v>44.41</v>
      </c>
      <c r="N153">
        <v>54.05</v>
      </c>
      <c r="O153" t="s">
        <v>20</v>
      </c>
      <c r="P153" t="s">
        <v>965</v>
      </c>
      <c r="Q153" t="s">
        <v>20</v>
      </c>
      <c r="R153" t="str">
        <f>HYPERLINK("https://cfpub.epa.gov/ecotox/explore.cfm?ncbi=1825980","Explore in ECOTOX")</f>
        <v>Explore in ECOTOX</v>
      </c>
    </row>
    <row r="154" spans="1:18" x14ac:dyDescent="0.25">
      <c r="A154">
        <v>6</v>
      </c>
      <c r="B154" t="str">
        <f>HYPERLINK("http://www.ncbi.nlm.nih.gov/protein/TFK15370.1","TFK15370.1")</f>
        <v>TFK15370.1</v>
      </c>
      <c r="C154">
        <v>21671</v>
      </c>
      <c r="D154" t="str">
        <f>HYPERLINK("http://www.ncbi.nlm.nih.gov/Taxonomy/Browser/wwwtax.cgi?mode=Info&amp;id=55544&amp;lvl=3&amp;lin=f&amp;keep=1&amp;srchmode=1&amp;unlock","55544")</f>
        <v>55544</v>
      </c>
      <c r="E154" t="s">
        <v>321</v>
      </c>
      <c r="F154" t="s">
        <v>321</v>
      </c>
      <c r="G154" t="str">
        <f>HYPERLINK("http://www.ncbi.nlm.nih.gov/Taxonomy/Browser/wwwtax.cgi?mode=Info&amp;id=55544&amp;lvl=3&amp;lin=f&amp;keep=1&amp;srchmode=1&amp;unlock","Platysternon megacephalum")</f>
        <v>Platysternon megacephalum</v>
      </c>
      <c r="H154" t="s">
        <v>359</v>
      </c>
      <c r="I154" t="str">
        <f>HYPERLINK("http://www.ncbi.nlm.nih.gov/protein/TFK15370.1","serine/arginine-rich splicing factor 5-like")</f>
        <v>serine/arginine-rich splicing factor 5-like</v>
      </c>
      <c r="J154">
        <v>1014.6</v>
      </c>
      <c r="K154" t="s">
        <v>20</v>
      </c>
      <c r="L154">
        <v>157</v>
      </c>
      <c r="M154">
        <v>44.41</v>
      </c>
      <c r="N154">
        <v>54.01</v>
      </c>
      <c r="O154" t="s">
        <v>20</v>
      </c>
      <c r="P154" t="s">
        <v>965</v>
      </c>
      <c r="Q154" t="s">
        <v>20</v>
      </c>
      <c r="R154" t="str">
        <f>HYPERLINK("https://cfpub.epa.gov/ecotox/explore.cfm?ncbi=55544","Explore in ECOTOX")</f>
        <v>Explore in ECOTOX</v>
      </c>
    </row>
    <row r="155" spans="1:18" x14ac:dyDescent="0.25">
      <c r="A155">
        <v>6</v>
      </c>
      <c r="B155" t="str">
        <f>HYPERLINK("http://www.ncbi.nlm.nih.gov/protein/XP_032619939.1","XP_032619939.1")</f>
        <v>XP_032619939.1</v>
      </c>
      <c r="C155">
        <v>44406</v>
      </c>
      <c r="D155" t="str">
        <f>HYPERLINK("http://www.ncbi.nlm.nih.gov/Taxonomy/Browser/wwwtax.cgi?mode=Info&amp;id=106734&amp;lvl=3&amp;lin=f&amp;keep=1&amp;srchmode=1&amp;unlock","106734")</f>
        <v>106734</v>
      </c>
      <c r="E155" t="s">
        <v>321</v>
      </c>
      <c r="F155" t="s">
        <v>321</v>
      </c>
      <c r="G155" t="str">
        <f>HYPERLINK("http://www.ncbi.nlm.nih.gov/Taxonomy/Browser/wwwtax.cgi?mode=Info&amp;id=106734&amp;lvl=3&amp;lin=f&amp;keep=1&amp;srchmode=1&amp;unlock","Chelonoidis abingdonii")</f>
        <v>Chelonoidis abingdonii</v>
      </c>
      <c r="H155" t="s">
        <v>330</v>
      </c>
      <c r="I155" t="str">
        <f>HYPERLINK("http://www.ncbi.nlm.nih.gov/protein/XP_032619939.1","androgen receptor")</f>
        <v>androgen receptor</v>
      </c>
      <c r="J155">
        <v>1013.83</v>
      </c>
      <c r="K155" t="s">
        <v>25</v>
      </c>
      <c r="L155">
        <v>157</v>
      </c>
      <c r="M155">
        <v>44.41</v>
      </c>
      <c r="N155">
        <v>53.97</v>
      </c>
      <c r="O155" t="s">
        <v>20</v>
      </c>
      <c r="P155" t="s">
        <v>965</v>
      </c>
      <c r="Q155" t="s">
        <v>20</v>
      </c>
      <c r="R155" t="str">
        <f>HYPERLINK("https://cfpub.epa.gov/ecotox/explore.cfm?ncbi=106734","Explore in ECOTOX")</f>
        <v>Explore in ECOTOX</v>
      </c>
    </row>
    <row r="156" spans="1:18" x14ac:dyDescent="0.25">
      <c r="A156">
        <v>6</v>
      </c>
      <c r="B156" t="str">
        <f>HYPERLINK("http://www.ncbi.nlm.nih.gov/protein/XP_038604381.1","XP_038604381.1")</f>
        <v>XP_038604381.1</v>
      </c>
      <c r="C156">
        <v>33527</v>
      </c>
      <c r="D156" t="str">
        <f>HYPERLINK("http://www.ncbi.nlm.nih.gov/Taxonomy/Browser/wwwtax.cgi?mode=Info&amp;id=9261&amp;lvl=3&amp;lin=f&amp;keep=1&amp;srchmode=1&amp;unlock","9261")</f>
        <v>9261</v>
      </c>
      <c r="E156" t="s">
        <v>18</v>
      </c>
      <c r="F156" t="s">
        <v>18</v>
      </c>
      <c r="G156" t="str">
        <f>HYPERLINK("http://www.ncbi.nlm.nih.gov/Taxonomy/Browser/wwwtax.cgi?mode=Info&amp;id=9261&amp;lvl=3&amp;lin=f&amp;keep=1&amp;srchmode=1&amp;unlock","Tachyglossus aculeatus")</f>
        <v>Tachyglossus aculeatus</v>
      </c>
      <c r="H156" t="s">
        <v>166</v>
      </c>
      <c r="I156" t="str">
        <f>HYPERLINK("http://www.ncbi.nlm.nih.gov/protein/XP_038604381.1","androgen receptor isoform X1")</f>
        <v>androgen receptor isoform X1</v>
      </c>
      <c r="J156">
        <v>1013.06</v>
      </c>
      <c r="K156" t="s">
        <v>20</v>
      </c>
      <c r="L156">
        <v>157</v>
      </c>
      <c r="M156">
        <v>44.41</v>
      </c>
      <c r="N156">
        <v>53.93</v>
      </c>
      <c r="O156" t="s">
        <v>20</v>
      </c>
      <c r="P156" t="s">
        <v>965</v>
      </c>
      <c r="Q156" t="s">
        <v>20</v>
      </c>
      <c r="R156" t="str">
        <f>HYPERLINK("https://cfpub.epa.gov/ecotox/explore.cfm?ncbi=9261","Explore in ECOTOX")</f>
        <v>Explore in ECOTOX</v>
      </c>
    </row>
    <row r="157" spans="1:18" x14ac:dyDescent="0.25">
      <c r="A157">
        <v>6</v>
      </c>
      <c r="B157" t="str">
        <f>HYPERLINK("http://www.ncbi.nlm.nih.gov/protein/XP_024053085.1","XP_024053085.1")</f>
        <v>XP_024053085.1</v>
      </c>
      <c r="C157">
        <v>34224</v>
      </c>
      <c r="D157" t="str">
        <f>HYPERLINK("http://www.ncbi.nlm.nih.gov/Taxonomy/Browser/wwwtax.cgi?mode=Info&amp;id=2587831&amp;lvl=3&amp;lin=f&amp;keep=1&amp;srchmode=1&amp;unlock","2587831")</f>
        <v>2587831</v>
      </c>
      <c r="E157" t="s">
        <v>321</v>
      </c>
      <c r="F157" t="s">
        <v>321</v>
      </c>
      <c r="G157" t="str">
        <f>HYPERLINK("http://www.ncbi.nlm.nih.gov/Taxonomy/Browser/wwwtax.cgi?mode=Info&amp;id=2587831&amp;lvl=3&amp;lin=f&amp;keep=1&amp;srchmode=1&amp;unlock","Terrapene carolina triunguis")</f>
        <v>Terrapene carolina triunguis</v>
      </c>
      <c r="H157" t="s">
        <v>322</v>
      </c>
      <c r="I157" t="str">
        <f>HYPERLINK("http://www.ncbi.nlm.nih.gov/protein/XP_024053085.1","androgen receptor")</f>
        <v>androgen receptor</v>
      </c>
      <c r="J157">
        <v>1007.67</v>
      </c>
      <c r="K157" t="s">
        <v>25</v>
      </c>
      <c r="L157">
        <v>157</v>
      </c>
      <c r="M157">
        <v>44.41</v>
      </c>
      <c r="N157">
        <v>53.64</v>
      </c>
      <c r="O157" t="s">
        <v>20</v>
      </c>
      <c r="P157" t="s">
        <v>965</v>
      </c>
      <c r="Q157" t="s">
        <v>20</v>
      </c>
      <c r="R157" t="str">
        <f>HYPERLINK("https://cfpub.epa.gov/ecotox/explore.cfm?ncbi=2587831","Explore in ECOTOX")</f>
        <v>Explore in ECOTOX</v>
      </c>
    </row>
    <row r="158" spans="1:18" x14ac:dyDescent="0.25">
      <c r="A158">
        <v>6</v>
      </c>
      <c r="B158" t="str">
        <f>HYPERLINK("http://www.ncbi.nlm.nih.gov/protein/BAF91192.1","BAF91192.1")</f>
        <v>BAF91192.1</v>
      </c>
      <c r="C158">
        <v>54</v>
      </c>
      <c r="D158" t="str">
        <f>HYPERLINK("http://www.ncbi.nlm.nih.gov/Taxonomy/Browser/wwwtax.cgi?mode=Info&amp;id=301539&amp;lvl=3&amp;lin=f&amp;keep=1&amp;srchmode=1&amp;unlock","301539")</f>
        <v>301539</v>
      </c>
      <c r="E158" t="s">
        <v>321</v>
      </c>
      <c r="F158" t="s">
        <v>321</v>
      </c>
      <c r="G158" t="str">
        <f>HYPERLINK("http://www.ncbi.nlm.nih.gov/Taxonomy/Browser/wwwtax.cgi?mode=Info&amp;id=301539&amp;lvl=3&amp;lin=f&amp;keep=1&amp;srchmode=1&amp;unlock","Pseudemys nelsoni")</f>
        <v>Pseudemys nelsoni</v>
      </c>
      <c r="H158" t="s">
        <v>974</v>
      </c>
      <c r="I158" t="str">
        <f>HYPERLINK("http://www.ncbi.nlm.nih.gov/protein/BAF91192.1","androgen receptor")</f>
        <v>androgen receptor</v>
      </c>
      <c r="J158">
        <v>1005.74</v>
      </c>
      <c r="K158" t="s">
        <v>25</v>
      </c>
      <c r="L158">
        <v>157</v>
      </c>
      <c r="M158">
        <v>44.41</v>
      </c>
      <c r="N158">
        <v>53.54</v>
      </c>
      <c r="O158" t="s">
        <v>20</v>
      </c>
      <c r="P158" t="s">
        <v>965</v>
      </c>
      <c r="Q158" t="s">
        <v>20</v>
      </c>
      <c r="R158" t="str">
        <f>HYPERLINK("https://cfpub.epa.gov/ecotox/explore.cfm?ncbi=301539","Explore in ECOTOX")</f>
        <v>Explore in ECOTOX</v>
      </c>
    </row>
    <row r="159" spans="1:18" x14ac:dyDescent="0.25">
      <c r="A159">
        <v>6</v>
      </c>
      <c r="B159" t="str">
        <f>HYPERLINK("http://www.ncbi.nlm.nih.gov/protein/XP_034637801.1","XP_034637801.1")</f>
        <v>XP_034637801.1</v>
      </c>
      <c r="C159">
        <v>42365</v>
      </c>
      <c r="D159" t="str">
        <f>HYPERLINK("http://www.ncbi.nlm.nih.gov/Taxonomy/Browser/wwwtax.cgi?mode=Info&amp;id=31138&amp;lvl=3&amp;lin=f&amp;keep=1&amp;srchmode=1&amp;unlock","31138")</f>
        <v>31138</v>
      </c>
      <c r="E159" t="s">
        <v>321</v>
      </c>
      <c r="F159" t="s">
        <v>321</v>
      </c>
      <c r="G159" t="str">
        <f>HYPERLINK("http://www.ncbi.nlm.nih.gov/Taxonomy/Browser/wwwtax.cgi?mode=Info&amp;id=31138&amp;lvl=3&amp;lin=f&amp;keep=1&amp;srchmode=1&amp;unlock","Trachemys scripta elegans")</f>
        <v>Trachemys scripta elegans</v>
      </c>
      <c r="H159" t="s">
        <v>343</v>
      </c>
      <c r="I159" t="str">
        <f>HYPERLINK("http://www.ncbi.nlm.nih.gov/protein/XP_034637801.1","androgen receptor")</f>
        <v>androgen receptor</v>
      </c>
      <c r="J159">
        <v>1004.97</v>
      </c>
      <c r="K159" t="s">
        <v>25</v>
      </c>
      <c r="L159">
        <v>157</v>
      </c>
      <c r="M159">
        <v>44.41</v>
      </c>
      <c r="N159">
        <v>53.5</v>
      </c>
      <c r="O159" t="s">
        <v>20</v>
      </c>
      <c r="P159" t="s">
        <v>965</v>
      </c>
      <c r="Q159" t="s">
        <v>20</v>
      </c>
      <c r="R159" t="str">
        <f>HYPERLINK("https://cfpub.epa.gov/ecotox/explore.cfm?ncbi=31138","Explore in ECOTOX")</f>
        <v>Explore in ECOTOX</v>
      </c>
    </row>
    <row r="160" spans="1:18" x14ac:dyDescent="0.25">
      <c r="A160">
        <v>6</v>
      </c>
      <c r="B160" t="str">
        <f>HYPERLINK("http://www.ncbi.nlm.nih.gov/protein/XP_005279584.1","XP_005279584.1")</f>
        <v>XP_005279584.1</v>
      </c>
      <c r="C160">
        <v>46669</v>
      </c>
      <c r="D160" t="str">
        <f>HYPERLINK("http://www.ncbi.nlm.nih.gov/Taxonomy/Browser/wwwtax.cgi?mode=Info&amp;id=8478&amp;lvl=3&amp;lin=f&amp;keep=1&amp;srchmode=1&amp;unlock","8478")</f>
        <v>8478</v>
      </c>
      <c r="E160" t="s">
        <v>321</v>
      </c>
      <c r="F160" t="s">
        <v>321</v>
      </c>
      <c r="G160" t="str">
        <f>HYPERLINK("http://www.ncbi.nlm.nih.gov/Taxonomy/Browser/wwwtax.cgi?mode=Info&amp;id=8478&amp;lvl=3&amp;lin=f&amp;keep=1&amp;srchmode=1&amp;unlock","Chrysemys picta bellii")</f>
        <v>Chrysemys picta bellii</v>
      </c>
      <c r="H160" t="s">
        <v>342</v>
      </c>
      <c r="I160" t="str">
        <f>HYPERLINK("http://www.ncbi.nlm.nih.gov/protein/XP_005279584.1","androgen receptor")</f>
        <v>androgen receptor</v>
      </c>
      <c r="J160">
        <v>1004.97</v>
      </c>
      <c r="K160" t="s">
        <v>25</v>
      </c>
      <c r="L160">
        <v>157</v>
      </c>
      <c r="M160">
        <v>44.41</v>
      </c>
      <c r="N160">
        <v>53.5</v>
      </c>
      <c r="O160" t="s">
        <v>20</v>
      </c>
      <c r="P160" t="s">
        <v>965</v>
      </c>
      <c r="Q160" t="s">
        <v>20</v>
      </c>
      <c r="R160" t="str">
        <f>HYPERLINK("https://cfpub.epa.gov/ecotox/explore.cfm?ncbi=8478","Explore in ECOTOX")</f>
        <v>Explore in ECOTOX</v>
      </c>
    </row>
    <row r="161" spans="1:18" x14ac:dyDescent="0.25">
      <c r="A161">
        <v>6</v>
      </c>
      <c r="B161" t="str">
        <f>HYPERLINK("http://www.ncbi.nlm.nih.gov/protein/XP_027678463.2","XP_027678463.2")</f>
        <v>XP_027678463.2</v>
      </c>
      <c r="C161">
        <v>69371</v>
      </c>
      <c r="D161" t="str">
        <f>HYPERLINK("http://www.ncbi.nlm.nih.gov/Taxonomy/Browser/wwwtax.cgi?mode=Info&amp;id=8469&amp;lvl=3&amp;lin=f&amp;keep=1&amp;srchmode=1&amp;unlock","8469")</f>
        <v>8469</v>
      </c>
      <c r="E161" t="s">
        <v>321</v>
      </c>
      <c r="F161" t="s">
        <v>321</v>
      </c>
      <c r="G161" t="str">
        <f>HYPERLINK("http://www.ncbi.nlm.nih.gov/Taxonomy/Browser/wwwtax.cgi?mode=Info&amp;id=8469&amp;lvl=3&amp;lin=f&amp;keep=1&amp;srchmode=1&amp;unlock","Chelonia mydas")</f>
        <v>Chelonia mydas</v>
      </c>
      <c r="H161" t="s">
        <v>349</v>
      </c>
      <c r="I161" t="str">
        <f>HYPERLINK("http://www.ncbi.nlm.nih.gov/protein/XP_027678463.2","androgen receptor")</f>
        <v>androgen receptor</v>
      </c>
      <c r="J161">
        <v>1002.28</v>
      </c>
      <c r="K161" t="s">
        <v>20</v>
      </c>
      <c r="L161">
        <v>157</v>
      </c>
      <c r="M161">
        <v>44.41</v>
      </c>
      <c r="N161">
        <v>53.35</v>
      </c>
      <c r="O161" t="s">
        <v>20</v>
      </c>
      <c r="P161" t="s">
        <v>965</v>
      </c>
      <c r="Q161" t="s">
        <v>20</v>
      </c>
      <c r="R161" t="str">
        <f>HYPERLINK("https://cfpub.epa.gov/ecotox/explore.cfm?ncbi=8469","Explore in ECOTOX")</f>
        <v>Explore in ECOTOX</v>
      </c>
    </row>
    <row r="162" spans="1:18" x14ac:dyDescent="0.25">
      <c r="A162">
        <v>6</v>
      </c>
      <c r="B162" t="str">
        <f>HYPERLINK("http://www.ncbi.nlm.nih.gov/protein/XP_038273484.1","XP_038273484.1")</f>
        <v>XP_038273484.1</v>
      </c>
      <c r="C162">
        <v>55267</v>
      </c>
      <c r="D162" t="str">
        <f>HYPERLINK("http://www.ncbi.nlm.nih.gov/Taxonomy/Browser/wwwtax.cgi?mode=Info&amp;id=27794&amp;lvl=3&amp;lin=f&amp;keep=1&amp;srchmode=1&amp;unlock","27794")</f>
        <v>27794</v>
      </c>
      <c r="E162" t="s">
        <v>321</v>
      </c>
      <c r="F162" t="s">
        <v>321</v>
      </c>
      <c r="G162" t="str">
        <f>HYPERLINK("http://www.ncbi.nlm.nih.gov/Taxonomy/Browser/wwwtax.cgi?mode=Info&amp;id=27794&amp;lvl=3&amp;lin=f&amp;keep=1&amp;srchmode=1&amp;unlock","Dermochelys coriacea")</f>
        <v>Dermochelys coriacea</v>
      </c>
      <c r="H162" t="s">
        <v>361</v>
      </c>
      <c r="I162" t="str">
        <f>HYPERLINK("http://www.ncbi.nlm.nih.gov/protein/XP_038273484.1","androgen receptor isoform X1")</f>
        <v>androgen receptor isoform X1</v>
      </c>
      <c r="J162">
        <v>999.19</v>
      </c>
      <c r="K162" t="s">
        <v>20</v>
      </c>
      <c r="L162">
        <v>157</v>
      </c>
      <c r="M162">
        <v>44.41</v>
      </c>
      <c r="N162">
        <v>53.19</v>
      </c>
      <c r="O162" t="s">
        <v>20</v>
      </c>
      <c r="P162" t="s">
        <v>965</v>
      </c>
      <c r="Q162" t="s">
        <v>20</v>
      </c>
      <c r="R162" t="str">
        <f>HYPERLINK("https://cfpub.epa.gov/ecotox/explore.cfm?ncbi=27794","Explore in ECOTOX")</f>
        <v>Explore in ECOTOX</v>
      </c>
    </row>
    <row r="163" spans="1:18" x14ac:dyDescent="0.25">
      <c r="A163">
        <v>6</v>
      </c>
      <c r="B163" t="str">
        <f>HYPERLINK("http://www.ncbi.nlm.nih.gov/protein/XP_026558883.1","XP_026558883.1")</f>
        <v>XP_026558883.1</v>
      </c>
      <c r="C163">
        <v>31816</v>
      </c>
      <c r="D163" t="str">
        <f>HYPERLINK("http://www.ncbi.nlm.nih.gov/Taxonomy/Browser/wwwtax.cgi?mode=Info&amp;id=8673&amp;lvl=3&amp;lin=f&amp;keep=1&amp;srchmode=1&amp;unlock","8673")</f>
        <v>8673</v>
      </c>
      <c r="E163" t="s">
        <v>236</v>
      </c>
      <c r="F163" t="s">
        <v>236</v>
      </c>
      <c r="G163" t="str">
        <f>HYPERLINK("http://www.ncbi.nlm.nih.gov/Taxonomy/Browser/wwwtax.cgi?mode=Info&amp;id=8673&amp;lvl=3&amp;lin=f&amp;keep=1&amp;srchmode=1&amp;unlock","Pseudonaja textilis")</f>
        <v>Pseudonaja textilis</v>
      </c>
      <c r="H163" t="s">
        <v>657</v>
      </c>
      <c r="I163" t="str">
        <f>HYPERLINK("http://www.ncbi.nlm.nih.gov/protein/XP_026558883.1","androgen receptor")</f>
        <v>androgen receptor</v>
      </c>
      <c r="J163">
        <v>983.79</v>
      </c>
      <c r="K163" t="s">
        <v>25</v>
      </c>
      <c r="L163">
        <v>157</v>
      </c>
      <c r="M163">
        <v>44.41</v>
      </c>
      <c r="N163">
        <v>52.37</v>
      </c>
      <c r="O163" t="s">
        <v>20</v>
      </c>
      <c r="P163" t="s">
        <v>965</v>
      </c>
      <c r="Q163" t="s">
        <v>20</v>
      </c>
      <c r="R163" t="str">
        <f>HYPERLINK("https://cfpub.epa.gov/ecotox/explore.cfm?ncbi=8673","Explore in ECOTOX")</f>
        <v>Explore in ECOTOX</v>
      </c>
    </row>
    <row r="164" spans="1:18" x14ac:dyDescent="0.25">
      <c r="A164">
        <v>6</v>
      </c>
      <c r="B164" t="str">
        <f>HYPERLINK("http://www.ncbi.nlm.nih.gov/protein/XP_026540690.1","XP_026540690.1")</f>
        <v>XP_026540690.1</v>
      </c>
      <c r="C164">
        <v>31324</v>
      </c>
      <c r="D164" t="str">
        <f>HYPERLINK("http://www.ncbi.nlm.nih.gov/Taxonomy/Browser/wwwtax.cgi?mode=Info&amp;id=8663&amp;lvl=3&amp;lin=f&amp;keep=1&amp;srchmode=1&amp;unlock","8663")</f>
        <v>8663</v>
      </c>
      <c r="E164" t="s">
        <v>236</v>
      </c>
      <c r="F164" t="s">
        <v>236</v>
      </c>
      <c r="G164" t="str">
        <f>HYPERLINK("http://www.ncbi.nlm.nih.gov/Taxonomy/Browser/wwwtax.cgi?mode=Info&amp;id=8663&amp;lvl=3&amp;lin=f&amp;keep=1&amp;srchmode=1&amp;unlock","Notechis scutatus")</f>
        <v>Notechis scutatus</v>
      </c>
      <c r="H164" t="s">
        <v>656</v>
      </c>
      <c r="I164" t="str">
        <f>HYPERLINK("http://www.ncbi.nlm.nih.gov/protein/XP_026540690.1","androgen receptor")</f>
        <v>androgen receptor</v>
      </c>
      <c r="J164">
        <v>983.01</v>
      </c>
      <c r="K164" t="s">
        <v>25</v>
      </c>
      <c r="L164">
        <v>157</v>
      </c>
      <c r="M164">
        <v>44.41</v>
      </c>
      <c r="N164">
        <v>52.33</v>
      </c>
      <c r="O164" t="s">
        <v>20</v>
      </c>
      <c r="P164" t="s">
        <v>965</v>
      </c>
      <c r="Q164" t="s">
        <v>20</v>
      </c>
      <c r="R164" t="str">
        <f>HYPERLINK("https://cfpub.epa.gov/ecotox/explore.cfm?ncbi=8663","Explore in ECOTOX")</f>
        <v>Explore in ECOTOX</v>
      </c>
    </row>
    <row r="165" spans="1:18" x14ac:dyDescent="0.25">
      <c r="A165">
        <v>6</v>
      </c>
      <c r="B165" t="str">
        <f>HYPERLINK("http://www.ncbi.nlm.nih.gov/protein/XP_039221307.1","XP_039221307.1")</f>
        <v>XP_039221307.1</v>
      </c>
      <c r="C165">
        <v>51713</v>
      </c>
      <c r="D165" t="str">
        <f>HYPERLINK("http://www.ncbi.nlm.nih.gov/Taxonomy/Browser/wwwtax.cgi?mode=Info&amp;id=88082&amp;lvl=3&amp;lin=f&amp;keep=1&amp;srchmode=1&amp;unlock","88082")</f>
        <v>88082</v>
      </c>
      <c r="E165" t="s">
        <v>236</v>
      </c>
      <c r="F165" t="s">
        <v>236</v>
      </c>
      <c r="G165" t="str">
        <f>HYPERLINK("http://www.ncbi.nlm.nih.gov/Taxonomy/Browser/wwwtax.cgi?mode=Info&amp;id=88082&amp;lvl=3&amp;lin=f&amp;keep=1&amp;srchmode=1&amp;unlock","Crotalus tigris")</f>
        <v>Crotalus tigris</v>
      </c>
      <c r="H165" t="s">
        <v>660</v>
      </c>
      <c r="I165" t="str">
        <f>HYPERLINK("http://www.ncbi.nlm.nih.gov/protein/XP_039221307.1","androgen receptor")</f>
        <v>androgen receptor</v>
      </c>
      <c r="J165">
        <v>981.09</v>
      </c>
      <c r="K165" t="s">
        <v>25</v>
      </c>
      <c r="L165">
        <v>157</v>
      </c>
      <c r="M165">
        <v>44.41</v>
      </c>
      <c r="N165">
        <v>52.22</v>
      </c>
      <c r="O165" t="s">
        <v>20</v>
      </c>
      <c r="P165" t="s">
        <v>965</v>
      </c>
      <c r="Q165" t="s">
        <v>20</v>
      </c>
      <c r="R165" t="str">
        <f>HYPERLINK("https://cfpub.epa.gov/ecotox/explore.cfm?ncbi=88082","Explore in ECOTOX")</f>
        <v>Explore in ECOTOX</v>
      </c>
    </row>
    <row r="166" spans="1:18" x14ac:dyDescent="0.25">
      <c r="A166">
        <v>6</v>
      </c>
      <c r="B166" t="str">
        <f>HYPERLINK("http://www.ncbi.nlm.nih.gov/protein/XP_015668197.1","XP_015668197.1")</f>
        <v>XP_015668197.1</v>
      </c>
      <c r="C166">
        <v>23978</v>
      </c>
      <c r="D166" t="str">
        <f>HYPERLINK("http://www.ncbi.nlm.nih.gov/Taxonomy/Browser/wwwtax.cgi?mode=Info&amp;id=103944&amp;lvl=3&amp;lin=f&amp;keep=1&amp;srchmode=1&amp;unlock","103944")</f>
        <v>103944</v>
      </c>
      <c r="E166" t="s">
        <v>236</v>
      </c>
      <c r="F166" t="s">
        <v>236</v>
      </c>
      <c r="G166" t="str">
        <f>HYPERLINK("http://www.ncbi.nlm.nih.gov/Taxonomy/Browser/wwwtax.cgi?mode=Info&amp;id=103944&amp;lvl=3&amp;lin=f&amp;keep=1&amp;srchmode=1&amp;unlock","Protobothrops mucrosquamatus")</f>
        <v>Protobothrops mucrosquamatus</v>
      </c>
      <c r="H166" t="s">
        <v>655</v>
      </c>
      <c r="I166" t="str">
        <f>HYPERLINK("http://www.ncbi.nlm.nih.gov/protein/XP_015668197.1","androgen receptor isoform X1")</f>
        <v>androgen receptor isoform X1</v>
      </c>
      <c r="J166">
        <v>979.16</v>
      </c>
      <c r="K166" t="s">
        <v>25</v>
      </c>
      <c r="L166">
        <v>157</v>
      </c>
      <c r="M166">
        <v>44.41</v>
      </c>
      <c r="N166">
        <v>52.12</v>
      </c>
      <c r="O166" t="s">
        <v>20</v>
      </c>
      <c r="P166" t="s">
        <v>965</v>
      </c>
      <c r="Q166" t="s">
        <v>20</v>
      </c>
      <c r="R166" t="str">
        <f>HYPERLINK("https://cfpub.epa.gov/ecotox/explore.cfm?ncbi=103944","Explore in ECOTOX")</f>
        <v>Explore in ECOTOX</v>
      </c>
    </row>
    <row r="167" spans="1:18" x14ac:dyDescent="0.25">
      <c r="A167">
        <v>6</v>
      </c>
      <c r="B167" t="str">
        <f>HYPERLINK("http://www.ncbi.nlm.nih.gov/protein/XP_034969101.1","XP_034969101.1")</f>
        <v>XP_034969101.1</v>
      </c>
      <c r="C167">
        <v>44583</v>
      </c>
      <c r="D167" t="str">
        <f>HYPERLINK("http://www.ncbi.nlm.nih.gov/Taxonomy/Browser/wwwtax.cgi?mode=Info&amp;id=8524&amp;lvl=3&amp;lin=f&amp;keep=1&amp;srchmode=1&amp;unlock","8524")</f>
        <v>8524</v>
      </c>
      <c r="E167" t="s">
        <v>236</v>
      </c>
      <c r="F167" t="s">
        <v>236</v>
      </c>
      <c r="G167" t="str">
        <f>HYPERLINK("http://www.ncbi.nlm.nih.gov/Taxonomy/Browser/wwwtax.cgi?mode=Info&amp;id=8524&amp;lvl=3&amp;lin=f&amp;keep=1&amp;srchmode=1&amp;unlock","Zootoca vivipara")</f>
        <v>Zootoca vivipara</v>
      </c>
      <c r="H167" t="s">
        <v>401</v>
      </c>
      <c r="I167" t="str">
        <f>HYPERLINK("http://www.ncbi.nlm.nih.gov/protein/XP_034969101.1","androgen receptor")</f>
        <v>androgen receptor</v>
      </c>
      <c r="J167">
        <v>968.76</v>
      </c>
      <c r="K167" t="s">
        <v>25</v>
      </c>
      <c r="L167">
        <v>157</v>
      </c>
      <c r="M167">
        <v>44.41</v>
      </c>
      <c r="N167">
        <v>51.57</v>
      </c>
      <c r="O167" t="s">
        <v>20</v>
      </c>
      <c r="P167" t="s">
        <v>965</v>
      </c>
      <c r="Q167" t="s">
        <v>20</v>
      </c>
      <c r="R167" t="str">
        <f>HYPERLINK("https://cfpub.epa.gov/ecotox/explore.cfm?ncbi=8524","Explore in ECOTOX")</f>
        <v>Explore in ECOTOX</v>
      </c>
    </row>
    <row r="168" spans="1:18" x14ac:dyDescent="0.25">
      <c r="A168">
        <v>6</v>
      </c>
      <c r="B168" t="str">
        <f>HYPERLINK("http://www.ncbi.nlm.nih.gov/protein/XP_034291047.1","XP_034291047.1")</f>
        <v>XP_034291047.1</v>
      </c>
      <c r="C168">
        <v>41827</v>
      </c>
      <c r="D168" t="str">
        <f>HYPERLINK("http://www.ncbi.nlm.nih.gov/Taxonomy/Browser/wwwtax.cgi?mode=Info&amp;id=94885&amp;lvl=3&amp;lin=f&amp;keep=1&amp;srchmode=1&amp;unlock","94885")</f>
        <v>94885</v>
      </c>
      <c r="E168" t="s">
        <v>236</v>
      </c>
      <c r="F168" t="s">
        <v>236</v>
      </c>
      <c r="G168" t="str">
        <f>HYPERLINK("http://www.ncbi.nlm.nih.gov/Taxonomy/Browser/wwwtax.cgi?mode=Info&amp;id=94885&amp;lvl=3&amp;lin=f&amp;keep=1&amp;srchmode=1&amp;unlock","Pantherophis guttatus")</f>
        <v>Pantherophis guttatus</v>
      </c>
      <c r="H168" t="s">
        <v>653</v>
      </c>
      <c r="I168" t="str">
        <f>HYPERLINK("http://www.ncbi.nlm.nih.gov/protein/XP_034291047.1","androgen receptor")</f>
        <v>androgen receptor</v>
      </c>
      <c r="J168">
        <v>949.12</v>
      </c>
      <c r="K168" t="s">
        <v>25</v>
      </c>
      <c r="L168">
        <v>157</v>
      </c>
      <c r="M168">
        <v>44.41</v>
      </c>
      <c r="N168">
        <v>50.52</v>
      </c>
      <c r="O168" t="s">
        <v>20</v>
      </c>
      <c r="P168" t="s">
        <v>965</v>
      </c>
      <c r="Q168" t="s">
        <v>20</v>
      </c>
      <c r="R168" t="str">
        <f>HYPERLINK("https://cfpub.epa.gov/ecotox/explore.cfm?ncbi=94885","Explore in ECOTOX")</f>
        <v>Explore in ECOTOX</v>
      </c>
    </row>
    <row r="169" spans="1:18" x14ac:dyDescent="0.25">
      <c r="A169">
        <v>6</v>
      </c>
      <c r="B169" t="str">
        <f>HYPERLINK("http://www.ncbi.nlm.nih.gov/protein/XP_032993019.1","XP_032993019.1")</f>
        <v>XP_032993019.1</v>
      </c>
      <c r="C169">
        <v>39496</v>
      </c>
      <c r="D169" t="str">
        <f>HYPERLINK("http://www.ncbi.nlm.nih.gov/Taxonomy/Browser/wwwtax.cgi?mode=Info&amp;id=80427&amp;lvl=3&amp;lin=f&amp;keep=1&amp;srchmode=1&amp;unlock","80427")</f>
        <v>80427</v>
      </c>
      <c r="E169" t="s">
        <v>236</v>
      </c>
      <c r="F169" t="s">
        <v>236</v>
      </c>
      <c r="G169" t="str">
        <f>HYPERLINK("http://www.ncbi.nlm.nih.gov/Taxonomy/Browser/wwwtax.cgi?mode=Info&amp;id=80427&amp;lvl=3&amp;lin=f&amp;keep=1&amp;srchmode=1&amp;unlock","Lacerta agilis")</f>
        <v>Lacerta agilis</v>
      </c>
      <c r="H169" t="s">
        <v>392</v>
      </c>
      <c r="I169" t="str">
        <f>HYPERLINK("http://www.ncbi.nlm.nih.gov/protein/XP_032993019.1","androgen receptor")</f>
        <v>androgen receptor</v>
      </c>
      <c r="J169">
        <v>939.87</v>
      </c>
      <c r="K169" t="s">
        <v>20</v>
      </c>
      <c r="L169">
        <v>157</v>
      </c>
      <c r="M169">
        <v>44.41</v>
      </c>
      <c r="N169">
        <v>50.03</v>
      </c>
      <c r="O169" t="s">
        <v>20</v>
      </c>
      <c r="P169" t="s">
        <v>965</v>
      </c>
      <c r="Q169" t="s">
        <v>20</v>
      </c>
      <c r="R169" t="str">
        <f>HYPERLINK("https://cfpub.epa.gov/ecotox/explore.cfm?ncbi=80427","Explore in ECOTOX")</f>
        <v>Explore in ECOTOX</v>
      </c>
    </row>
    <row r="170" spans="1:18" x14ac:dyDescent="0.25">
      <c r="A170">
        <v>6</v>
      </c>
      <c r="B170" t="str">
        <f>HYPERLINK("http://www.ncbi.nlm.nih.gov/protein/XP_032083684.1","XP_032083684.1")</f>
        <v>XP_032083684.1</v>
      </c>
      <c r="C170">
        <v>30930</v>
      </c>
      <c r="D170" t="str">
        <f>HYPERLINK("http://www.ncbi.nlm.nih.gov/Taxonomy/Browser/wwwtax.cgi?mode=Info&amp;id=35005&amp;lvl=3&amp;lin=f&amp;keep=1&amp;srchmode=1&amp;unlock","35005")</f>
        <v>35005</v>
      </c>
      <c r="E170" t="s">
        <v>236</v>
      </c>
      <c r="F170" t="s">
        <v>236</v>
      </c>
      <c r="G170" t="str">
        <f>HYPERLINK("http://www.ncbi.nlm.nih.gov/Taxonomy/Browser/wwwtax.cgi?mode=Info&amp;id=35005&amp;lvl=3&amp;lin=f&amp;keep=1&amp;srchmode=1&amp;unlock","Thamnophis elegans")</f>
        <v>Thamnophis elegans</v>
      </c>
      <c r="H170" t="s">
        <v>654</v>
      </c>
      <c r="I170" t="str">
        <f>HYPERLINK("http://www.ncbi.nlm.nih.gov/protein/XP_032083684.1","androgen receptor")</f>
        <v>androgen receptor</v>
      </c>
      <c r="J170">
        <v>939.1</v>
      </c>
      <c r="K170" t="s">
        <v>25</v>
      </c>
      <c r="L170">
        <v>157</v>
      </c>
      <c r="M170">
        <v>44.41</v>
      </c>
      <c r="N170">
        <v>49.99</v>
      </c>
      <c r="O170" t="s">
        <v>20</v>
      </c>
      <c r="P170" t="s">
        <v>965</v>
      </c>
      <c r="Q170" t="s">
        <v>20</v>
      </c>
      <c r="R170" t="str">
        <f>HYPERLINK("https://cfpub.epa.gov/ecotox/explore.cfm?ncbi=35005","Explore in ECOTOX")</f>
        <v>Explore in ECOTOX</v>
      </c>
    </row>
    <row r="171" spans="1:18" x14ac:dyDescent="0.25">
      <c r="A171">
        <v>6</v>
      </c>
      <c r="B171" t="str">
        <f>HYPERLINK("http://www.ncbi.nlm.nih.gov/protein/XP_007077225.1","XP_007077225.1")</f>
        <v>XP_007077225.1</v>
      </c>
      <c r="C171">
        <v>29960</v>
      </c>
      <c r="D171" t="str">
        <f>HYPERLINK("http://www.ncbi.nlm.nih.gov/Taxonomy/Browser/wwwtax.cgi?mode=Info&amp;id=74533&amp;lvl=3&amp;lin=f&amp;keep=1&amp;srchmode=1&amp;unlock","74533")</f>
        <v>74533</v>
      </c>
      <c r="E171" t="s">
        <v>18</v>
      </c>
      <c r="F171" t="s">
        <v>18</v>
      </c>
      <c r="G171" t="str">
        <f>HYPERLINK("http://www.ncbi.nlm.nih.gov/Taxonomy/Browser/wwwtax.cgi?mode=Info&amp;id=74533&amp;lvl=3&amp;lin=f&amp;keep=1&amp;srchmode=1&amp;unlock","Panthera tigris altaica")</f>
        <v>Panthera tigris altaica</v>
      </c>
      <c r="H171" t="s">
        <v>74</v>
      </c>
      <c r="I171" t="str">
        <f>HYPERLINK("http://www.ncbi.nlm.nih.gov/protein/XP_007077225.1","PREDICTED: androgen receptor")</f>
        <v>PREDICTED: androgen receptor</v>
      </c>
      <c r="J171">
        <v>934.87</v>
      </c>
      <c r="K171" t="s">
        <v>20</v>
      </c>
      <c r="L171">
        <v>157</v>
      </c>
      <c r="M171">
        <v>44.41</v>
      </c>
      <c r="N171">
        <v>49.76</v>
      </c>
      <c r="O171" t="s">
        <v>20</v>
      </c>
      <c r="P171" t="s">
        <v>965</v>
      </c>
      <c r="Q171" t="s">
        <v>20</v>
      </c>
      <c r="R171" t="str">
        <f>HYPERLINK("https://cfpub.epa.gov/ecotox/explore.cfm?ncbi=74533","Explore in ECOTOX")</f>
        <v>Explore in ECOTOX</v>
      </c>
    </row>
    <row r="172" spans="1:18" x14ac:dyDescent="0.25">
      <c r="A172">
        <v>6</v>
      </c>
      <c r="B172" t="str">
        <f>HYPERLINK("http://www.ncbi.nlm.nih.gov/protein/VFV46928.1","VFV46928.1")</f>
        <v>VFV46928.1</v>
      </c>
      <c r="C172">
        <v>31243</v>
      </c>
      <c r="D172" t="str">
        <f>HYPERLINK("http://www.ncbi.nlm.nih.gov/Taxonomy/Browser/wwwtax.cgi?mode=Info&amp;id=191816&amp;lvl=3&amp;lin=f&amp;keep=1&amp;srchmode=1&amp;unlock","191816")</f>
        <v>191816</v>
      </c>
      <c r="E172" t="s">
        <v>18</v>
      </c>
      <c r="F172" t="s">
        <v>18</v>
      </c>
      <c r="G172" t="str">
        <f>HYPERLINK("http://www.ncbi.nlm.nih.gov/Taxonomy/Browser/wwwtax.cgi?mode=Info&amp;id=191816&amp;lvl=3&amp;lin=f&amp;keep=1&amp;srchmode=1&amp;unlock","Lynx pardinus")</f>
        <v>Lynx pardinus</v>
      </c>
      <c r="H172" t="s">
        <v>72</v>
      </c>
      <c r="I172" t="str">
        <f>HYPERLINK("http://www.ncbi.nlm.nih.gov/protein/VFV46928.1","androgen receptor")</f>
        <v>androgen receptor</v>
      </c>
      <c r="J172">
        <v>914.45</v>
      </c>
      <c r="K172" t="s">
        <v>20</v>
      </c>
      <c r="L172">
        <v>157</v>
      </c>
      <c r="M172">
        <v>44.41</v>
      </c>
      <c r="N172">
        <v>48.68</v>
      </c>
      <c r="O172" t="s">
        <v>20</v>
      </c>
      <c r="P172" t="s">
        <v>965</v>
      </c>
      <c r="Q172" t="s">
        <v>20</v>
      </c>
      <c r="R172" t="str">
        <f>HYPERLINK("https://cfpub.epa.gov/ecotox/explore.cfm?ncbi=191816","Explore in ECOTOX")</f>
        <v>Explore in ECOTOX</v>
      </c>
    </row>
    <row r="173" spans="1:18" x14ac:dyDescent="0.25">
      <c r="A173">
        <v>6</v>
      </c>
      <c r="B173" t="str">
        <f>HYPERLINK("http://www.ncbi.nlm.nih.gov/protein/XP_019391690.1","XP_019391690.1")</f>
        <v>XP_019391690.1</v>
      </c>
      <c r="C173">
        <v>29001</v>
      </c>
      <c r="D173" t="str">
        <f>HYPERLINK("http://www.ncbi.nlm.nih.gov/Taxonomy/Browser/wwwtax.cgi?mode=Info&amp;id=8502&amp;lvl=3&amp;lin=f&amp;keep=1&amp;srchmode=1&amp;unlock","8502")</f>
        <v>8502</v>
      </c>
      <c r="E173" t="s">
        <v>371</v>
      </c>
      <c r="F173" t="s">
        <v>371</v>
      </c>
      <c r="G173" t="str">
        <f>HYPERLINK("http://www.ncbi.nlm.nih.gov/Taxonomy/Browser/wwwtax.cgi?mode=Info&amp;id=8502&amp;lvl=3&amp;lin=f&amp;keep=1&amp;srchmode=1&amp;unlock","Crocodylus porosus")</f>
        <v>Crocodylus porosus</v>
      </c>
      <c r="H173" t="s">
        <v>408</v>
      </c>
      <c r="I173" t="str">
        <f>HYPERLINK("http://www.ncbi.nlm.nih.gov/protein/XP_019391690.1","PREDICTED: androgen receptor, partial")</f>
        <v>PREDICTED: androgen receptor, partial</v>
      </c>
      <c r="J173">
        <v>897.5</v>
      </c>
      <c r="K173" t="s">
        <v>25</v>
      </c>
      <c r="L173">
        <v>157</v>
      </c>
      <c r="M173">
        <v>44.41</v>
      </c>
      <c r="N173">
        <v>47.77</v>
      </c>
      <c r="O173" t="s">
        <v>20</v>
      </c>
      <c r="P173" t="s">
        <v>965</v>
      </c>
      <c r="Q173" t="s">
        <v>20</v>
      </c>
      <c r="R173" t="str">
        <f>HYPERLINK("https://cfpub.epa.gov/ecotox/explore.cfm?ncbi=8502","Explore in ECOTOX")</f>
        <v>Explore in ECOTOX</v>
      </c>
    </row>
    <row r="174" spans="1:18" x14ac:dyDescent="0.25">
      <c r="A174">
        <v>6</v>
      </c>
      <c r="B174" t="str">
        <f>HYPERLINK("http://www.ncbi.nlm.nih.gov/protein/XP_039768333.1","XP_039768333.1")</f>
        <v>XP_039768333.1</v>
      </c>
      <c r="C174">
        <v>39363</v>
      </c>
      <c r="D174" t="str">
        <f>HYPERLINK("http://www.ncbi.nlm.nih.gov/Taxonomy/Browser/wwwtax.cgi?mode=Info&amp;id=9258&amp;lvl=3&amp;lin=f&amp;keep=1&amp;srchmode=1&amp;unlock","9258")</f>
        <v>9258</v>
      </c>
      <c r="E174" t="s">
        <v>18</v>
      </c>
      <c r="F174" t="s">
        <v>18</v>
      </c>
      <c r="G174" t="str">
        <f>HYPERLINK("http://www.ncbi.nlm.nih.gov/Taxonomy/Browser/wwwtax.cgi?mode=Info&amp;id=9258&amp;lvl=3&amp;lin=f&amp;keep=1&amp;srchmode=1&amp;unlock","Ornithorhynchus anatinus")</f>
        <v>Ornithorhynchus anatinus</v>
      </c>
      <c r="H174" t="s">
        <v>172</v>
      </c>
      <c r="I174" t="str">
        <f>HYPERLINK("http://www.ncbi.nlm.nih.gov/protein/XP_039768333.1","LOW QUALITY PROTEIN: androgen receptor")</f>
        <v>LOW QUALITY PROTEIN: androgen receptor</v>
      </c>
      <c r="J174">
        <v>890.18</v>
      </c>
      <c r="K174" t="s">
        <v>25</v>
      </c>
      <c r="L174">
        <v>157</v>
      </c>
      <c r="M174">
        <v>44.41</v>
      </c>
      <c r="N174">
        <v>47.39</v>
      </c>
      <c r="O174" t="s">
        <v>20</v>
      </c>
      <c r="P174" t="s">
        <v>965</v>
      </c>
      <c r="Q174" t="s">
        <v>20</v>
      </c>
      <c r="R174" t="str">
        <f>HYPERLINK("https://cfpub.epa.gov/ecotox/explore.cfm?ncbi=9258","Explore in ECOTOX")</f>
        <v>Explore in ECOTOX</v>
      </c>
    </row>
    <row r="175" spans="1:18" x14ac:dyDescent="0.25">
      <c r="A175">
        <v>6</v>
      </c>
      <c r="B175" t="str">
        <f>HYPERLINK("http://www.ncbi.nlm.nih.gov/protein/AXF36050.1","AXF36050.1")</f>
        <v>AXF36050.1</v>
      </c>
      <c r="C175">
        <v>43398</v>
      </c>
      <c r="D175" t="str">
        <f>HYPERLINK("http://www.ncbi.nlm.nih.gov/Taxonomy/Browser/wwwtax.cgi?mode=Info&amp;id=38654&amp;lvl=3&amp;lin=f&amp;keep=1&amp;srchmode=1&amp;unlock","38654")</f>
        <v>38654</v>
      </c>
      <c r="E175" t="s">
        <v>371</v>
      </c>
      <c r="F175" t="s">
        <v>371</v>
      </c>
      <c r="G175" t="str">
        <f>HYPERLINK("http://www.ncbi.nlm.nih.gov/Taxonomy/Browser/wwwtax.cgi?mode=Info&amp;id=38654&amp;lvl=3&amp;lin=f&amp;keep=1&amp;srchmode=1&amp;unlock","Alligator sinensis")</f>
        <v>Alligator sinensis</v>
      </c>
      <c r="H175" t="s">
        <v>376</v>
      </c>
      <c r="I175" t="str">
        <f>HYPERLINK("http://www.ncbi.nlm.nih.gov/protein/AXF36050.1","androgen receptor")</f>
        <v>androgen receptor</v>
      </c>
      <c r="J175">
        <v>884.79</v>
      </c>
      <c r="K175" t="s">
        <v>25</v>
      </c>
      <c r="L175">
        <v>157</v>
      </c>
      <c r="M175">
        <v>44.41</v>
      </c>
      <c r="N175">
        <v>47.1</v>
      </c>
      <c r="O175" t="s">
        <v>20</v>
      </c>
      <c r="P175" t="s">
        <v>965</v>
      </c>
      <c r="Q175" t="s">
        <v>20</v>
      </c>
      <c r="R175" t="str">
        <f>HYPERLINK("https://cfpub.epa.gov/ecotox/explore.cfm?ncbi=38654","Explore in ECOTOX")</f>
        <v>Explore in ECOTOX</v>
      </c>
    </row>
    <row r="176" spans="1:18" x14ac:dyDescent="0.25">
      <c r="A176">
        <v>6</v>
      </c>
      <c r="B176" t="str">
        <f>HYPERLINK("http://www.ncbi.nlm.nih.gov/protein/XP_002941888.3","XP_002941888.3")</f>
        <v>XP_002941888.3</v>
      </c>
      <c r="C176">
        <v>122938</v>
      </c>
      <c r="D176" t="str">
        <f>HYPERLINK("http://www.ncbi.nlm.nih.gov/Taxonomy/Browser/wwwtax.cgi?mode=Info&amp;id=8364&amp;lvl=3&amp;lin=f&amp;keep=1&amp;srchmode=1&amp;unlock","8364")</f>
        <v>8364</v>
      </c>
      <c r="E176" t="s">
        <v>134</v>
      </c>
      <c r="F176" t="s">
        <v>134</v>
      </c>
      <c r="G176" t="str">
        <f>HYPERLINK("http://www.ncbi.nlm.nih.gov/Taxonomy/Browser/wwwtax.cgi?mode=Info&amp;id=8364&amp;lvl=3&amp;lin=f&amp;keep=1&amp;srchmode=1&amp;unlock","Xenopus tropicalis")</f>
        <v>Xenopus tropicalis</v>
      </c>
      <c r="H176" t="s">
        <v>468</v>
      </c>
      <c r="I176" t="str">
        <f>HYPERLINK("http://www.ncbi.nlm.nih.gov/protein/XP_002941888.3","androgen receptor")</f>
        <v>androgen receptor</v>
      </c>
      <c r="J176">
        <v>881.71</v>
      </c>
      <c r="K176" t="s">
        <v>20</v>
      </c>
      <c r="L176">
        <v>157</v>
      </c>
      <c r="M176">
        <v>44.41</v>
      </c>
      <c r="N176">
        <v>46.93</v>
      </c>
      <c r="O176" t="s">
        <v>20</v>
      </c>
      <c r="P176" t="s">
        <v>965</v>
      </c>
      <c r="Q176" t="s">
        <v>20</v>
      </c>
      <c r="R176" t="str">
        <f>HYPERLINK("https://cfpub.epa.gov/ecotox/explore.cfm?ncbi=8364","Explore in ECOTOX")</f>
        <v>Explore in ECOTOX</v>
      </c>
    </row>
    <row r="177" spans="1:18" x14ac:dyDescent="0.25">
      <c r="A177">
        <v>6</v>
      </c>
      <c r="B177" t="str">
        <f>HYPERLINK("http://www.ncbi.nlm.nih.gov/protein/KYO38361.1","KYO38361.1")</f>
        <v>KYO38361.1</v>
      </c>
      <c r="C177">
        <v>74714</v>
      </c>
      <c r="D177" t="str">
        <f>HYPERLINK("http://www.ncbi.nlm.nih.gov/Taxonomy/Browser/wwwtax.cgi?mode=Info&amp;id=8496&amp;lvl=3&amp;lin=f&amp;keep=1&amp;srchmode=1&amp;unlock","8496")</f>
        <v>8496</v>
      </c>
      <c r="E177" t="s">
        <v>371</v>
      </c>
      <c r="F177" t="s">
        <v>371</v>
      </c>
      <c r="G177" t="str">
        <f>HYPERLINK("http://www.ncbi.nlm.nih.gov/Taxonomy/Browser/wwwtax.cgi?mode=Info&amp;id=8496&amp;lvl=3&amp;lin=f&amp;keep=1&amp;srchmode=1&amp;unlock","Alligator mississippiensis")</f>
        <v>Alligator mississippiensis</v>
      </c>
      <c r="H177" t="s">
        <v>372</v>
      </c>
      <c r="I177" t="str">
        <f>HYPERLINK("http://www.ncbi.nlm.nih.gov/protein/KYO38361.1","androgen receptor")</f>
        <v>androgen receptor</v>
      </c>
      <c r="J177">
        <v>880.17</v>
      </c>
      <c r="K177" t="s">
        <v>25</v>
      </c>
      <c r="L177">
        <v>157</v>
      </c>
      <c r="M177">
        <v>44.41</v>
      </c>
      <c r="N177">
        <v>46.85</v>
      </c>
      <c r="O177" t="s">
        <v>20</v>
      </c>
      <c r="P177" t="s">
        <v>965</v>
      </c>
      <c r="Q177" t="s">
        <v>20</v>
      </c>
      <c r="R177" t="str">
        <f>HYPERLINK("https://cfpub.epa.gov/ecotox/explore.cfm?ncbi=8496","Explore in ECOTOX")</f>
        <v>Explore in ECOTOX</v>
      </c>
    </row>
    <row r="178" spans="1:18" x14ac:dyDescent="0.25">
      <c r="A178">
        <v>6</v>
      </c>
      <c r="B178" t="str">
        <f>HYPERLINK("http://www.ncbi.nlm.nih.gov/protein/XP_031224355.1","XP_031224355.1")</f>
        <v>XP_031224355.1</v>
      </c>
      <c r="C178">
        <v>54478</v>
      </c>
      <c r="D178" t="str">
        <f>HYPERLINK("http://www.ncbi.nlm.nih.gov/Taxonomy/Browser/wwwtax.cgi?mode=Info&amp;id=35658&amp;lvl=3&amp;lin=f&amp;keep=1&amp;srchmode=1&amp;unlock","35658")</f>
        <v>35658</v>
      </c>
      <c r="E178" t="s">
        <v>18</v>
      </c>
      <c r="F178" t="s">
        <v>18</v>
      </c>
      <c r="G178" t="str">
        <f>HYPERLINK("http://www.ncbi.nlm.nih.gov/Taxonomy/Browser/wwwtax.cgi?mode=Info&amp;id=35658&amp;lvl=3&amp;lin=f&amp;keep=1&amp;srchmode=1&amp;unlock","Mastomys coucha")</f>
        <v>Mastomys coucha</v>
      </c>
      <c r="H178" t="s">
        <v>127</v>
      </c>
      <c r="I178" t="str">
        <f>HYPERLINK("http://www.ncbi.nlm.nih.gov/protein/XP_031224355.1","androgen receptor")</f>
        <v>androgen receptor</v>
      </c>
      <c r="J178">
        <v>875.93</v>
      </c>
      <c r="K178" t="s">
        <v>25</v>
      </c>
      <c r="L178">
        <v>157</v>
      </c>
      <c r="M178">
        <v>44.41</v>
      </c>
      <c r="N178">
        <v>46.63</v>
      </c>
      <c r="O178" t="s">
        <v>20</v>
      </c>
      <c r="P178" t="s">
        <v>965</v>
      </c>
      <c r="Q178" t="s">
        <v>20</v>
      </c>
      <c r="R178" t="str">
        <f>HYPERLINK("https://cfpub.epa.gov/ecotox/explore.cfm?ncbi=35658","Explore in ECOTOX")</f>
        <v>Explore in ECOTOX</v>
      </c>
    </row>
    <row r="179" spans="1:18" x14ac:dyDescent="0.25">
      <c r="A179">
        <v>6</v>
      </c>
      <c r="B179" t="str">
        <f>HYPERLINK("http://www.ncbi.nlm.nih.gov/protein/AAC97386.1","AAC97386.1")</f>
        <v>AAC97386.1</v>
      </c>
      <c r="C179">
        <v>129058</v>
      </c>
      <c r="D179" t="str">
        <f>HYPERLINK("http://www.ncbi.nlm.nih.gov/Taxonomy/Browser/wwwtax.cgi?mode=Info&amp;id=8355&amp;lvl=3&amp;lin=f&amp;keep=1&amp;srchmode=1&amp;unlock","8355")</f>
        <v>8355</v>
      </c>
      <c r="E179" t="s">
        <v>134</v>
      </c>
      <c r="F179" t="s">
        <v>134</v>
      </c>
      <c r="G179" t="str">
        <f>HYPERLINK("http://www.ncbi.nlm.nih.gov/Taxonomy/Browser/wwwtax.cgi?mode=Info&amp;id=8355&amp;lvl=3&amp;lin=f&amp;keep=1&amp;srchmode=1&amp;unlock","Xenopus laevis")</f>
        <v>Xenopus laevis</v>
      </c>
      <c r="H179" t="s">
        <v>473</v>
      </c>
      <c r="I179" t="str">
        <f>HYPERLINK("http://www.ncbi.nlm.nih.gov/protein/AAC97386.1","androgen receptor alpha isoform")</f>
        <v>androgen receptor alpha isoform</v>
      </c>
      <c r="J179">
        <v>865.91</v>
      </c>
      <c r="K179" t="s">
        <v>20</v>
      </c>
      <c r="L179">
        <v>157</v>
      </c>
      <c r="M179">
        <v>44.41</v>
      </c>
      <c r="N179">
        <v>46.09</v>
      </c>
      <c r="O179" t="s">
        <v>20</v>
      </c>
      <c r="P179" t="s">
        <v>965</v>
      </c>
      <c r="Q179" t="s">
        <v>20</v>
      </c>
      <c r="R179" t="str">
        <f>HYPERLINK("https://cfpub.epa.gov/ecotox/explore.cfm?ncbi=8355","Explore in ECOTOX")</f>
        <v>Explore in ECOTOX</v>
      </c>
    </row>
    <row r="180" spans="1:18" x14ac:dyDescent="0.25">
      <c r="A180">
        <v>6</v>
      </c>
      <c r="B180" t="str">
        <f>HYPERLINK("http://www.ncbi.nlm.nih.gov/protein/BAI87835.1","BAI87835.1")</f>
        <v>BAI87835.1</v>
      </c>
      <c r="C180">
        <v>233</v>
      </c>
      <c r="D180" t="str">
        <f>HYPERLINK("http://www.ncbi.nlm.nih.gov/Taxonomy/Browser/wwwtax.cgi?mode=Info&amp;id=8410&amp;lvl=3&amp;lin=f&amp;keep=1&amp;srchmode=1&amp;unlock","8410")</f>
        <v>8410</v>
      </c>
      <c r="E180" t="s">
        <v>134</v>
      </c>
      <c r="F180" t="s">
        <v>134</v>
      </c>
      <c r="G180" t="str">
        <f>HYPERLINK("http://www.ncbi.nlm.nih.gov/Taxonomy/Browser/wwwtax.cgi?mode=Info&amp;id=8410&amp;lvl=3&amp;lin=f&amp;keep=1&amp;srchmode=1&amp;unlock","Glandirana rugosa")</f>
        <v>Glandirana rugosa</v>
      </c>
      <c r="H180" t="s">
        <v>975</v>
      </c>
      <c r="I180" t="str">
        <f>HYPERLINK("http://www.ncbi.nlm.nih.gov/protein/BAI87835.1","androgen receptor")</f>
        <v>androgen receptor</v>
      </c>
      <c r="J180">
        <v>856.28</v>
      </c>
      <c r="K180" t="s">
        <v>20</v>
      </c>
      <c r="L180">
        <v>157</v>
      </c>
      <c r="M180">
        <v>44.41</v>
      </c>
      <c r="N180">
        <v>45.58</v>
      </c>
      <c r="O180" t="s">
        <v>20</v>
      </c>
      <c r="P180" t="s">
        <v>965</v>
      </c>
      <c r="Q180" t="s">
        <v>20</v>
      </c>
      <c r="R180" t="str">
        <f>HYPERLINK("https://cfpub.epa.gov/ecotox/explore.cfm?ncbi=8410","Explore in ECOTOX")</f>
        <v>Explore in ECOTOX</v>
      </c>
    </row>
    <row r="181" spans="1:18" x14ac:dyDescent="0.25">
      <c r="A181">
        <v>6</v>
      </c>
      <c r="B181" t="str">
        <f>HYPERLINK("http://www.ncbi.nlm.nih.gov/protein/XP_021261575.1","XP_021261575.1")</f>
        <v>XP_021261575.1</v>
      </c>
      <c r="C181">
        <v>43424</v>
      </c>
      <c r="D181" t="str">
        <f>HYPERLINK("http://www.ncbi.nlm.nih.gov/Taxonomy/Browser/wwwtax.cgi?mode=Info&amp;id=8996&amp;lvl=3&amp;lin=f&amp;keep=1&amp;srchmode=1&amp;unlock","8996")</f>
        <v>8996</v>
      </c>
      <c r="E181" t="s">
        <v>167</v>
      </c>
      <c r="F181" t="s">
        <v>167</v>
      </c>
      <c r="G181" t="str">
        <f>HYPERLINK("http://www.ncbi.nlm.nih.gov/Taxonomy/Browser/wwwtax.cgi?mode=Info&amp;id=8996&amp;lvl=3&amp;lin=f&amp;keep=1&amp;srchmode=1&amp;unlock","Numida meleagris")</f>
        <v>Numida meleagris</v>
      </c>
      <c r="H181" t="s">
        <v>454</v>
      </c>
      <c r="I181" t="str">
        <f>HYPERLINK("http://www.ncbi.nlm.nih.gov/protein/XP_021261575.1","androgen receptor")</f>
        <v>androgen receptor</v>
      </c>
      <c r="J181">
        <v>855.9</v>
      </c>
      <c r="K181" t="s">
        <v>20</v>
      </c>
      <c r="L181">
        <v>157</v>
      </c>
      <c r="M181">
        <v>44.41</v>
      </c>
      <c r="N181">
        <v>45.56</v>
      </c>
      <c r="O181" t="s">
        <v>20</v>
      </c>
      <c r="P181" t="s">
        <v>965</v>
      </c>
      <c r="Q181" t="s">
        <v>20</v>
      </c>
      <c r="R181" t="str">
        <f>HYPERLINK("https://cfpub.epa.gov/ecotox/explore.cfm?ncbi=8996","Explore in ECOTOX")</f>
        <v>Explore in ECOTOX</v>
      </c>
    </row>
    <row r="182" spans="1:18" x14ac:dyDescent="0.25">
      <c r="A182">
        <v>6</v>
      </c>
      <c r="B182" t="str">
        <f>HYPERLINK("http://www.ncbi.nlm.nih.gov/protein/XP_018410253.1","XP_018410253.1")</f>
        <v>XP_018410253.1</v>
      </c>
      <c r="C182">
        <v>24944</v>
      </c>
      <c r="D182" t="str">
        <f>HYPERLINK("http://www.ncbi.nlm.nih.gov/Taxonomy/Browser/wwwtax.cgi?mode=Info&amp;id=125878&amp;lvl=3&amp;lin=f&amp;keep=1&amp;srchmode=1&amp;unlock","125878")</f>
        <v>125878</v>
      </c>
      <c r="E182" t="s">
        <v>134</v>
      </c>
      <c r="F182" t="s">
        <v>134</v>
      </c>
      <c r="G182" t="str">
        <f>HYPERLINK("http://www.ncbi.nlm.nih.gov/Taxonomy/Browser/wwwtax.cgi?mode=Info&amp;id=125878&amp;lvl=3&amp;lin=f&amp;keep=1&amp;srchmode=1&amp;unlock","Nanorana parkeri")</f>
        <v>Nanorana parkeri</v>
      </c>
      <c r="H182" t="s">
        <v>642</v>
      </c>
      <c r="I182" t="str">
        <f>HYPERLINK("http://www.ncbi.nlm.nih.gov/protein/XP_018410253.1","PREDICTED: androgen receptor")</f>
        <v>PREDICTED: androgen receptor</v>
      </c>
      <c r="J182">
        <v>855.13</v>
      </c>
      <c r="K182" t="s">
        <v>20</v>
      </c>
      <c r="L182">
        <v>157</v>
      </c>
      <c r="M182">
        <v>44.41</v>
      </c>
      <c r="N182">
        <v>45.52</v>
      </c>
      <c r="O182" t="s">
        <v>20</v>
      </c>
      <c r="P182" t="s">
        <v>965</v>
      </c>
      <c r="Q182" t="s">
        <v>20</v>
      </c>
      <c r="R182" t="str">
        <f>HYPERLINK("https://cfpub.epa.gov/ecotox/explore.cfm?ncbi=125878","Explore in ECOTOX")</f>
        <v>Explore in ECOTOX</v>
      </c>
    </row>
    <row r="183" spans="1:18" x14ac:dyDescent="0.25">
      <c r="A183">
        <v>6</v>
      </c>
      <c r="B183" t="str">
        <f>HYPERLINK("http://www.ncbi.nlm.nih.gov/protein/XP_040178839.1","XP_040178839.1")</f>
        <v>XP_040178839.1</v>
      </c>
      <c r="C183">
        <v>42547</v>
      </c>
      <c r="D183" t="str">
        <f>HYPERLINK("http://www.ncbi.nlm.nih.gov/Taxonomy/Browser/wwwtax.cgi?mode=Info&amp;id=8407&amp;lvl=3&amp;lin=f&amp;keep=1&amp;srchmode=1&amp;unlock","8407")</f>
        <v>8407</v>
      </c>
      <c r="E183" t="s">
        <v>134</v>
      </c>
      <c r="F183" t="s">
        <v>134</v>
      </c>
      <c r="G183" t="str">
        <f>HYPERLINK("http://www.ncbi.nlm.nih.gov/Taxonomy/Browser/wwwtax.cgi?mode=Info&amp;id=8407&amp;lvl=3&amp;lin=f&amp;keep=1&amp;srchmode=1&amp;unlock","Rana temporaria")</f>
        <v>Rana temporaria</v>
      </c>
      <c r="H183" t="s">
        <v>607</v>
      </c>
      <c r="I183" t="str">
        <f>HYPERLINK("http://www.ncbi.nlm.nih.gov/protein/XP_040178839.1","androgen receptor")</f>
        <v>androgen receptor</v>
      </c>
      <c r="J183">
        <v>848.58</v>
      </c>
      <c r="K183" t="s">
        <v>20</v>
      </c>
      <c r="L183">
        <v>157</v>
      </c>
      <c r="M183">
        <v>44.41</v>
      </c>
      <c r="N183">
        <v>45.17</v>
      </c>
      <c r="O183" t="s">
        <v>20</v>
      </c>
      <c r="P183" t="s">
        <v>965</v>
      </c>
      <c r="Q183" t="s">
        <v>20</v>
      </c>
      <c r="R183" t="str">
        <f>HYPERLINK("https://cfpub.epa.gov/ecotox/explore.cfm?ncbi=8407","Explore in ECOTOX")</f>
        <v>Explore in ECOTOX</v>
      </c>
    </row>
    <row r="184" spans="1:18" x14ac:dyDescent="0.25">
      <c r="A184">
        <v>6</v>
      </c>
      <c r="B184" t="str">
        <f>HYPERLINK("http://www.ncbi.nlm.nih.gov/protein/XP_035397716.1","XP_035397716.1")</f>
        <v>XP_035397716.1</v>
      </c>
      <c r="C184">
        <v>36022</v>
      </c>
      <c r="D184" t="str">
        <f>HYPERLINK("http://www.ncbi.nlm.nih.gov/Taxonomy/Browser/wwwtax.cgi?mode=Info&amp;id=8868&amp;lvl=3&amp;lin=f&amp;keep=1&amp;srchmode=1&amp;unlock","8868")</f>
        <v>8868</v>
      </c>
      <c r="E184" t="s">
        <v>167</v>
      </c>
      <c r="F184" t="s">
        <v>167</v>
      </c>
      <c r="G184" t="str">
        <f>HYPERLINK("http://www.ncbi.nlm.nih.gov/Taxonomy/Browser/wwwtax.cgi?mode=Info&amp;id=8868&amp;lvl=3&amp;lin=f&amp;keep=1&amp;srchmode=1&amp;unlock","Cygnus atratus")</f>
        <v>Cygnus atratus</v>
      </c>
      <c r="H184" t="s">
        <v>356</v>
      </c>
      <c r="I184" t="str">
        <f>HYPERLINK("http://www.ncbi.nlm.nih.gov/protein/XP_035397716.1","LOW QUALITY PROTEIN: androgen receptor")</f>
        <v>LOW QUALITY PROTEIN: androgen receptor</v>
      </c>
      <c r="J184">
        <v>846.27</v>
      </c>
      <c r="K184" t="s">
        <v>25</v>
      </c>
      <c r="L184">
        <v>157</v>
      </c>
      <c r="M184">
        <v>44.41</v>
      </c>
      <c r="N184">
        <v>45.05</v>
      </c>
      <c r="O184" t="s">
        <v>20</v>
      </c>
      <c r="P184" t="s">
        <v>965</v>
      </c>
      <c r="Q184" t="s">
        <v>20</v>
      </c>
      <c r="R184" t="str">
        <f>HYPERLINK("https://cfpub.epa.gov/ecotox/explore.cfm?ncbi=8868","Explore in ECOTOX")</f>
        <v>Explore in ECOTOX</v>
      </c>
    </row>
    <row r="185" spans="1:18" x14ac:dyDescent="0.25">
      <c r="A185">
        <v>6</v>
      </c>
      <c r="B185" t="str">
        <f>HYPERLINK("http://www.ncbi.nlm.nih.gov/protein/XP_038039951.1","XP_038039951.1")</f>
        <v>XP_038039951.1</v>
      </c>
      <c r="C185">
        <v>63920</v>
      </c>
      <c r="D185" t="str">
        <f>HYPERLINK("http://www.ncbi.nlm.nih.gov/Taxonomy/Browser/wwwtax.cgi?mode=Info&amp;id=8839&amp;lvl=3&amp;lin=f&amp;keep=1&amp;srchmode=1&amp;unlock","8839")</f>
        <v>8839</v>
      </c>
      <c r="E185" t="s">
        <v>167</v>
      </c>
      <c r="F185" t="s">
        <v>167</v>
      </c>
      <c r="G185" t="str">
        <f>HYPERLINK("http://www.ncbi.nlm.nih.gov/Taxonomy/Browser/wwwtax.cgi?mode=Info&amp;id=8839&amp;lvl=3&amp;lin=f&amp;keep=1&amp;srchmode=1&amp;unlock","Anas platyrhynchos")</f>
        <v>Anas platyrhynchos</v>
      </c>
      <c r="H185" t="s">
        <v>358</v>
      </c>
      <c r="I185" t="str">
        <f>HYPERLINK("http://www.ncbi.nlm.nih.gov/protein/XP_038039951.1","androgen receptor")</f>
        <v>androgen receptor</v>
      </c>
      <c r="J185">
        <v>846.27</v>
      </c>
      <c r="K185" t="s">
        <v>25</v>
      </c>
      <c r="L185">
        <v>157</v>
      </c>
      <c r="M185">
        <v>44.41</v>
      </c>
      <c r="N185">
        <v>45.05</v>
      </c>
      <c r="O185" t="s">
        <v>20</v>
      </c>
      <c r="P185" t="s">
        <v>965</v>
      </c>
      <c r="Q185" t="s">
        <v>20</v>
      </c>
      <c r="R185" t="str">
        <f>HYPERLINK("https://cfpub.epa.gov/ecotox/explore.cfm?ncbi=8839","Explore in ECOTOX")</f>
        <v>Explore in ECOTOX</v>
      </c>
    </row>
    <row r="186" spans="1:18" x14ac:dyDescent="0.25">
      <c r="A186">
        <v>6</v>
      </c>
      <c r="B186" t="str">
        <f>HYPERLINK("http://www.ncbi.nlm.nih.gov/protein/XP_040427846.1","XP_040427846.1")</f>
        <v>XP_040427846.1</v>
      </c>
      <c r="C186">
        <v>47842</v>
      </c>
      <c r="D186" t="str">
        <f>HYPERLINK("http://www.ncbi.nlm.nih.gov/Taxonomy/Browser/wwwtax.cgi?mode=Info&amp;id=8869&amp;lvl=3&amp;lin=f&amp;keep=1&amp;srchmode=1&amp;unlock","8869")</f>
        <v>8869</v>
      </c>
      <c r="E186" t="s">
        <v>167</v>
      </c>
      <c r="F186" t="s">
        <v>167</v>
      </c>
      <c r="G186" t="str">
        <f>HYPERLINK("http://www.ncbi.nlm.nih.gov/Taxonomy/Browser/wwwtax.cgi?mode=Info&amp;id=8869&amp;lvl=3&amp;lin=f&amp;keep=1&amp;srchmode=1&amp;unlock","Cygnus olor")</f>
        <v>Cygnus olor</v>
      </c>
      <c r="H186" t="s">
        <v>328</v>
      </c>
      <c r="I186" t="str">
        <f>HYPERLINK("http://www.ncbi.nlm.nih.gov/protein/XP_040427846.1","androgen receptor")</f>
        <v>androgen receptor</v>
      </c>
      <c r="J186">
        <v>845.88</v>
      </c>
      <c r="K186" t="s">
        <v>25</v>
      </c>
      <c r="L186">
        <v>157</v>
      </c>
      <c r="M186">
        <v>44.41</v>
      </c>
      <c r="N186">
        <v>45.03</v>
      </c>
      <c r="O186" t="s">
        <v>20</v>
      </c>
      <c r="P186" t="s">
        <v>965</v>
      </c>
      <c r="Q186" t="s">
        <v>20</v>
      </c>
      <c r="R186" t="str">
        <f>HYPERLINK("https://cfpub.epa.gov/ecotox/explore.cfm?ncbi=8869","Explore in ECOTOX")</f>
        <v>Explore in ECOTOX</v>
      </c>
    </row>
    <row r="187" spans="1:18" x14ac:dyDescent="0.25">
      <c r="A187">
        <v>6</v>
      </c>
      <c r="B187" t="str">
        <f>HYPERLINK("http://www.ncbi.nlm.nih.gov/protein/XP_032051997.1","XP_032051997.1")</f>
        <v>XP_032051997.1</v>
      </c>
      <c r="C187">
        <v>27813</v>
      </c>
      <c r="D187" t="str">
        <f>HYPERLINK("http://www.ncbi.nlm.nih.gov/Taxonomy/Browser/wwwtax.cgi?mode=Info&amp;id=219594&amp;lvl=3&amp;lin=f&amp;keep=1&amp;srchmode=1&amp;unlock","219594")</f>
        <v>219594</v>
      </c>
      <c r="E187" t="s">
        <v>167</v>
      </c>
      <c r="F187" t="s">
        <v>167</v>
      </c>
      <c r="G187" t="str">
        <f>HYPERLINK("http://www.ncbi.nlm.nih.gov/Taxonomy/Browser/wwwtax.cgi?mode=Info&amp;id=219594&amp;lvl=3&amp;lin=f&amp;keep=1&amp;srchmode=1&amp;unlock","Aythya fuligula")</f>
        <v>Aythya fuligula</v>
      </c>
      <c r="H187" t="s">
        <v>319</v>
      </c>
      <c r="I187" t="str">
        <f>HYPERLINK("http://www.ncbi.nlm.nih.gov/protein/XP_032051997.1","androgen receptor isoform X1")</f>
        <v>androgen receptor isoform X1</v>
      </c>
      <c r="J187">
        <v>845.11</v>
      </c>
      <c r="K187" t="s">
        <v>25</v>
      </c>
      <c r="L187">
        <v>157</v>
      </c>
      <c r="M187">
        <v>44.41</v>
      </c>
      <c r="N187">
        <v>44.99</v>
      </c>
      <c r="O187" t="s">
        <v>20</v>
      </c>
      <c r="P187" t="s">
        <v>965</v>
      </c>
      <c r="Q187" t="s">
        <v>20</v>
      </c>
      <c r="R187" t="str">
        <f>HYPERLINK("https://cfpub.epa.gov/ecotox/explore.cfm?ncbi=219594","Explore in ECOTOX")</f>
        <v>Explore in ECOTOX</v>
      </c>
    </row>
    <row r="188" spans="1:18" x14ac:dyDescent="0.25">
      <c r="A188">
        <v>6</v>
      </c>
      <c r="B188" t="str">
        <f>HYPERLINK("http://www.ncbi.nlm.nih.gov/protein/XP_040262119.1","XP_040262119.1")</f>
        <v>XP_040262119.1</v>
      </c>
      <c r="C188">
        <v>38439</v>
      </c>
      <c r="D188" t="str">
        <f>HYPERLINK("http://www.ncbi.nlm.nih.gov/Taxonomy/Browser/wwwtax.cgi?mode=Info&amp;id=8384&amp;lvl=3&amp;lin=f&amp;keep=1&amp;srchmode=1&amp;unlock","8384")</f>
        <v>8384</v>
      </c>
      <c r="E188" t="s">
        <v>134</v>
      </c>
      <c r="F188" t="s">
        <v>134</v>
      </c>
      <c r="G188" t="str">
        <f>HYPERLINK("http://www.ncbi.nlm.nih.gov/Taxonomy/Browser/wwwtax.cgi?mode=Info&amp;id=8384&amp;lvl=3&amp;lin=f&amp;keep=1&amp;srchmode=1&amp;unlock","Bufo bufo")</f>
        <v>Bufo bufo</v>
      </c>
      <c r="H188" t="s">
        <v>579</v>
      </c>
      <c r="I188" t="str">
        <f>HYPERLINK("http://www.ncbi.nlm.nih.gov/protein/XP_040262119.1","androgen receptor")</f>
        <v>androgen receptor</v>
      </c>
      <c r="J188">
        <v>842.42</v>
      </c>
      <c r="K188" t="s">
        <v>20</v>
      </c>
      <c r="L188">
        <v>157</v>
      </c>
      <c r="M188">
        <v>44.41</v>
      </c>
      <c r="N188">
        <v>44.84</v>
      </c>
      <c r="O188" t="s">
        <v>20</v>
      </c>
      <c r="P188" t="s">
        <v>965</v>
      </c>
      <c r="Q188" t="s">
        <v>20</v>
      </c>
      <c r="R188" t="str">
        <f>HYPERLINK("https://cfpub.epa.gov/ecotox/explore.cfm?ncbi=8384","Explore in ECOTOX")</f>
        <v>Explore in ECOTOX</v>
      </c>
    </row>
    <row r="189" spans="1:18" x14ac:dyDescent="0.25">
      <c r="A189">
        <v>6</v>
      </c>
      <c r="B189" t="str">
        <f>HYPERLINK("http://www.ncbi.nlm.nih.gov/protein/XP_029463146.1","XP_029463146.1")</f>
        <v>XP_029463146.1</v>
      </c>
      <c r="C189">
        <v>49320</v>
      </c>
      <c r="D189" t="str">
        <f>HYPERLINK("http://www.ncbi.nlm.nih.gov/Taxonomy/Browser/wwwtax.cgi?mode=Info&amp;id=194408&amp;lvl=3&amp;lin=f&amp;keep=1&amp;srchmode=1&amp;unlock","194408")</f>
        <v>194408</v>
      </c>
      <c r="E189" t="s">
        <v>134</v>
      </c>
      <c r="F189" t="s">
        <v>134</v>
      </c>
      <c r="G189" t="str">
        <f>HYPERLINK("http://www.ncbi.nlm.nih.gov/Taxonomy/Browser/wwwtax.cgi?mode=Info&amp;id=194408&amp;lvl=3&amp;lin=f&amp;keep=1&amp;srchmode=1&amp;unlock","Rhinatrema bivittatum")</f>
        <v>Rhinatrema bivittatum</v>
      </c>
      <c r="H189" t="s">
        <v>393</v>
      </c>
      <c r="I189" t="str">
        <f>HYPERLINK("http://www.ncbi.nlm.nih.gov/protein/XP_029463146.1","androgen receptor")</f>
        <v>androgen receptor</v>
      </c>
      <c r="J189">
        <v>839.72</v>
      </c>
      <c r="K189" t="s">
        <v>20</v>
      </c>
      <c r="L189">
        <v>157</v>
      </c>
      <c r="M189">
        <v>44.41</v>
      </c>
      <c r="N189">
        <v>44.7</v>
      </c>
      <c r="O189" t="s">
        <v>20</v>
      </c>
      <c r="P189" t="s">
        <v>965</v>
      </c>
      <c r="Q189" t="s">
        <v>20</v>
      </c>
      <c r="R189" t="str">
        <f>HYPERLINK("https://cfpub.epa.gov/ecotox/explore.cfm?ncbi=194408","Explore in ECOTOX")</f>
        <v>Explore in ECOTOX</v>
      </c>
    </row>
    <row r="190" spans="1:18" x14ac:dyDescent="0.25">
      <c r="A190">
        <v>6</v>
      </c>
      <c r="B190" t="str">
        <f>HYPERLINK("http://www.ncbi.nlm.nih.gov/protein/NWZ19633.1","NWZ19633.1")</f>
        <v>NWZ19633.1</v>
      </c>
      <c r="C190">
        <v>14748</v>
      </c>
      <c r="D190" t="str">
        <f>HYPERLINK("http://www.ncbi.nlm.nih.gov/Taxonomy/Browser/wwwtax.cgi?mode=Info&amp;id=75869&amp;lvl=3&amp;lin=f&amp;keep=1&amp;srchmode=1&amp;unlock","75869")</f>
        <v>75869</v>
      </c>
      <c r="E190" t="s">
        <v>167</v>
      </c>
      <c r="F190" t="s">
        <v>167</v>
      </c>
      <c r="G190" t="str">
        <f>HYPERLINK("http://www.ncbi.nlm.nih.gov/Taxonomy/Browser/wwwtax.cgi?mode=Info&amp;id=75869&amp;lvl=3&amp;lin=f&amp;keep=1&amp;srchmode=1&amp;unlock","Asarcornis scutulata")</f>
        <v>Asarcornis scutulata</v>
      </c>
      <c r="H190" t="s">
        <v>317</v>
      </c>
      <c r="I190" t="str">
        <f>HYPERLINK("http://www.ncbi.nlm.nih.gov/protein/NWZ19633.1","ANDR protein")</f>
        <v>ANDR protein</v>
      </c>
      <c r="J190">
        <v>839.34</v>
      </c>
      <c r="K190" t="s">
        <v>25</v>
      </c>
      <c r="L190">
        <v>157</v>
      </c>
      <c r="M190">
        <v>44.41</v>
      </c>
      <c r="N190">
        <v>44.68</v>
      </c>
      <c r="O190" t="s">
        <v>20</v>
      </c>
      <c r="P190" t="s">
        <v>965</v>
      </c>
      <c r="Q190" t="s">
        <v>20</v>
      </c>
      <c r="R190" t="str">
        <f>HYPERLINK("https://cfpub.epa.gov/ecotox/explore.cfm?ncbi=75869","Explore in ECOTOX")</f>
        <v>Explore in ECOTOX</v>
      </c>
    </row>
    <row r="191" spans="1:18" x14ac:dyDescent="0.25">
      <c r="A191">
        <v>6</v>
      </c>
      <c r="B191" t="str">
        <f>HYPERLINK("http://www.ncbi.nlm.nih.gov/protein/XP_015715505.1","XP_015715505.1")</f>
        <v>XP_015715505.1</v>
      </c>
      <c r="C191">
        <v>41813</v>
      </c>
      <c r="D191" t="str">
        <f>HYPERLINK("http://www.ncbi.nlm.nih.gov/Taxonomy/Browser/wwwtax.cgi?mode=Info&amp;id=93934&amp;lvl=3&amp;lin=f&amp;keep=1&amp;srchmode=1&amp;unlock","93934")</f>
        <v>93934</v>
      </c>
      <c r="E191" t="s">
        <v>167</v>
      </c>
      <c r="F191" t="s">
        <v>167</v>
      </c>
      <c r="G191" t="str">
        <f>HYPERLINK("http://www.ncbi.nlm.nih.gov/Taxonomy/Browser/wwwtax.cgi?mode=Info&amp;id=93934&amp;lvl=3&amp;lin=f&amp;keep=1&amp;srchmode=1&amp;unlock","Coturnix japonica")</f>
        <v>Coturnix japonica</v>
      </c>
      <c r="H191" t="s">
        <v>367</v>
      </c>
      <c r="I191" t="str">
        <f>HYPERLINK("http://www.ncbi.nlm.nih.gov/protein/XP_015715505.1","androgen receptor")</f>
        <v>androgen receptor</v>
      </c>
      <c r="J191">
        <v>838.57</v>
      </c>
      <c r="K191" t="s">
        <v>25</v>
      </c>
      <c r="L191">
        <v>157</v>
      </c>
      <c r="M191">
        <v>44.41</v>
      </c>
      <c r="N191">
        <v>44.64</v>
      </c>
      <c r="O191" t="s">
        <v>20</v>
      </c>
      <c r="P191" t="s">
        <v>965</v>
      </c>
      <c r="Q191" t="s">
        <v>20</v>
      </c>
      <c r="R191" t="str">
        <f>HYPERLINK("https://cfpub.epa.gov/ecotox/explore.cfm?ncbi=93934","Explore in ECOTOX")</f>
        <v>Explore in ECOTOX</v>
      </c>
    </row>
    <row r="192" spans="1:18" x14ac:dyDescent="0.25">
      <c r="A192">
        <v>6</v>
      </c>
      <c r="B192" t="str">
        <f>HYPERLINK("http://www.ncbi.nlm.nih.gov/protein/OXB62659.1","OXB62659.1")</f>
        <v>OXB62659.1</v>
      </c>
      <c r="C192">
        <v>17176</v>
      </c>
      <c r="D192" t="str">
        <f>HYPERLINK("http://www.ncbi.nlm.nih.gov/Taxonomy/Browser/wwwtax.cgi?mode=Info&amp;id=9009&amp;lvl=3&amp;lin=f&amp;keep=1&amp;srchmode=1&amp;unlock","9009")</f>
        <v>9009</v>
      </c>
      <c r="E192" t="s">
        <v>167</v>
      </c>
      <c r="F192" t="s">
        <v>167</v>
      </c>
      <c r="G192" t="str">
        <f>HYPERLINK("http://www.ncbi.nlm.nih.gov/Taxonomy/Browser/wwwtax.cgi?mode=Info&amp;id=9009&amp;lvl=3&amp;lin=f&amp;keep=1&amp;srchmode=1&amp;unlock","Callipepla squamata")</f>
        <v>Callipepla squamata</v>
      </c>
      <c r="H192" t="s">
        <v>976</v>
      </c>
      <c r="I192" t="str">
        <f>HYPERLINK("http://www.ncbi.nlm.nih.gov/protein/OXB62659.1","hypothetical protein ASZ78_006478")</f>
        <v>hypothetical protein ASZ78_006478</v>
      </c>
      <c r="J192">
        <v>834.71</v>
      </c>
      <c r="K192" t="s">
        <v>25</v>
      </c>
      <c r="L192">
        <v>157</v>
      </c>
      <c r="M192">
        <v>44.41</v>
      </c>
      <c r="N192">
        <v>44.43</v>
      </c>
      <c r="O192" t="s">
        <v>20</v>
      </c>
      <c r="P192" t="s">
        <v>965</v>
      </c>
      <c r="Q192" t="s">
        <v>20</v>
      </c>
      <c r="R192" t="str">
        <f>HYPERLINK("https://cfpub.epa.gov/ecotox/explore.cfm?ncbi=9009","Explore in ECOTOX")</f>
        <v>Explore in ECOTOX</v>
      </c>
    </row>
    <row r="193" spans="1:18" x14ac:dyDescent="0.25">
      <c r="A193">
        <v>6</v>
      </c>
      <c r="B193" t="str">
        <f>HYPERLINK("http://www.ncbi.nlm.nih.gov/protein/NP_001035179.1","NP_001035179.1")</f>
        <v>NP_001035179.1</v>
      </c>
      <c r="C193">
        <v>115665</v>
      </c>
      <c r="D193" t="str">
        <f>HYPERLINK("http://www.ncbi.nlm.nih.gov/Taxonomy/Browser/wwwtax.cgi?mode=Info&amp;id=9031&amp;lvl=3&amp;lin=f&amp;keep=1&amp;srchmode=1&amp;unlock","9031")</f>
        <v>9031</v>
      </c>
      <c r="E193" t="s">
        <v>167</v>
      </c>
      <c r="F193" t="s">
        <v>167</v>
      </c>
      <c r="G193" t="str">
        <f>HYPERLINK("http://www.ncbi.nlm.nih.gov/Taxonomy/Browser/wwwtax.cgi?mode=Info&amp;id=9031&amp;lvl=3&amp;lin=f&amp;keep=1&amp;srchmode=1&amp;unlock","Gallus gallus")</f>
        <v>Gallus gallus</v>
      </c>
      <c r="H193" t="s">
        <v>387</v>
      </c>
      <c r="I193" t="str">
        <f>HYPERLINK("http://www.ncbi.nlm.nih.gov/protein/NP_001035179.1","androgen receptor")</f>
        <v>androgen receptor</v>
      </c>
      <c r="J193">
        <v>834.33</v>
      </c>
      <c r="K193" t="s">
        <v>25</v>
      </c>
      <c r="L193">
        <v>157</v>
      </c>
      <c r="M193">
        <v>44.41</v>
      </c>
      <c r="N193">
        <v>44.41</v>
      </c>
      <c r="O193" t="s">
        <v>20</v>
      </c>
      <c r="P193" t="s">
        <v>965</v>
      </c>
      <c r="Q193" t="s">
        <v>20</v>
      </c>
      <c r="R193" t="str">
        <f>HYPERLINK("https://cfpub.epa.gov/ecotox/explore.cfm?ncbi=9031","Explore in ECOTOX")</f>
        <v>Explore in ECOTOX</v>
      </c>
    </row>
    <row r="194" spans="1:18" x14ac:dyDescent="0.25">
      <c r="A194">
        <v>6</v>
      </c>
      <c r="B194" t="str">
        <f>HYPERLINK("http://www.ncbi.nlm.nih.gov/protein/XP_030064562.1","XP_030064562.1")</f>
        <v>XP_030064562.1</v>
      </c>
      <c r="C194">
        <v>37123</v>
      </c>
      <c r="D194" t="str">
        <f>HYPERLINK("http://www.ncbi.nlm.nih.gov/Taxonomy/Browser/wwwtax.cgi?mode=Info&amp;id=1415580&amp;lvl=3&amp;lin=f&amp;keep=1&amp;srchmode=1&amp;unlock","1415580")</f>
        <v>1415580</v>
      </c>
      <c r="E194" t="s">
        <v>134</v>
      </c>
      <c r="F194" t="s">
        <v>134</v>
      </c>
      <c r="G194" t="str">
        <f>HYPERLINK("http://www.ncbi.nlm.nih.gov/Taxonomy/Browser/wwwtax.cgi?mode=Info&amp;id=1415580&amp;lvl=3&amp;lin=f&amp;keep=1&amp;srchmode=1&amp;unlock","Microcaecilia unicolor")</f>
        <v>Microcaecilia unicolor</v>
      </c>
      <c r="H194" t="s">
        <v>338</v>
      </c>
      <c r="I194" t="str">
        <f>HYPERLINK("http://www.ncbi.nlm.nih.gov/protein/XP_030064562.1","LOW QUALITY PROTEIN: androgen receptor")</f>
        <v>LOW QUALITY PROTEIN: androgen receptor</v>
      </c>
      <c r="J194">
        <v>834.33</v>
      </c>
      <c r="K194" t="s">
        <v>20</v>
      </c>
      <c r="L194">
        <v>157</v>
      </c>
      <c r="M194">
        <v>44.41</v>
      </c>
      <c r="N194">
        <v>44.41</v>
      </c>
      <c r="O194" t="s">
        <v>20</v>
      </c>
      <c r="P194" t="s">
        <v>965</v>
      </c>
      <c r="Q194" t="s">
        <v>20</v>
      </c>
      <c r="R194" t="str">
        <f>HYPERLINK("https://cfpub.epa.gov/ecotox/explore.cfm?ncbi=1415580","Explore in ECOTOX")</f>
        <v>Explore in ECOTOX</v>
      </c>
    </row>
    <row r="195" spans="1:18" x14ac:dyDescent="0.25">
      <c r="A195">
        <v>6</v>
      </c>
      <c r="B195" t="str">
        <f>HYPERLINK("http://www.ncbi.nlm.nih.gov/protein/XP_031449825.1","XP_031449825.1")</f>
        <v>XP_031449825.1</v>
      </c>
      <c r="C195">
        <v>29368</v>
      </c>
      <c r="D195" t="str">
        <f>HYPERLINK("http://www.ncbi.nlm.nih.gov/Taxonomy/Browser/wwwtax.cgi?mode=Info&amp;id=9054&amp;lvl=3&amp;lin=f&amp;keep=1&amp;srchmode=1&amp;unlock","9054")</f>
        <v>9054</v>
      </c>
      <c r="E195" t="s">
        <v>167</v>
      </c>
      <c r="F195" t="s">
        <v>167</v>
      </c>
      <c r="G195" t="str">
        <f>HYPERLINK("http://www.ncbi.nlm.nih.gov/Taxonomy/Browser/wwwtax.cgi?mode=Info&amp;id=9054&amp;lvl=3&amp;lin=f&amp;keep=1&amp;srchmode=1&amp;unlock","Phasianus colchicus")</f>
        <v>Phasianus colchicus</v>
      </c>
      <c r="H195" t="s">
        <v>397</v>
      </c>
      <c r="I195" t="str">
        <f>HYPERLINK("http://www.ncbi.nlm.nih.gov/protein/XP_031449825.1","androgen receptor")</f>
        <v>androgen receptor</v>
      </c>
      <c r="J195">
        <v>833.56</v>
      </c>
      <c r="K195" t="s">
        <v>25</v>
      </c>
      <c r="L195">
        <v>157</v>
      </c>
      <c r="M195">
        <v>44.41</v>
      </c>
      <c r="N195">
        <v>44.37</v>
      </c>
      <c r="O195" t="s">
        <v>20</v>
      </c>
      <c r="P195" t="s">
        <v>965</v>
      </c>
      <c r="Q195" t="s">
        <v>20</v>
      </c>
      <c r="R195" t="str">
        <f>HYPERLINK("https://cfpub.epa.gov/ecotox/explore.cfm?ncbi=9054","Explore in ECOTOX")</f>
        <v>Explore in ECOTOX</v>
      </c>
    </row>
    <row r="196" spans="1:18" x14ac:dyDescent="0.25">
      <c r="A196">
        <v>6</v>
      </c>
      <c r="B196" t="str">
        <f>HYPERLINK("http://www.ncbi.nlm.nih.gov/protein/NWX03039.1","NWX03039.1")</f>
        <v>NWX03039.1</v>
      </c>
      <c r="C196">
        <v>14125</v>
      </c>
      <c r="D196" t="str">
        <f>HYPERLINK("http://www.ncbi.nlm.nih.gov/Taxonomy/Browser/wwwtax.cgi?mode=Info&amp;id=187106&amp;lvl=3&amp;lin=f&amp;keep=1&amp;srchmode=1&amp;unlock","187106")</f>
        <v>187106</v>
      </c>
      <c r="E196" t="s">
        <v>167</v>
      </c>
      <c r="F196" t="s">
        <v>167</v>
      </c>
      <c r="G196" t="str">
        <f>HYPERLINK("http://www.ncbi.nlm.nih.gov/Taxonomy/Browser/wwwtax.cgi?mode=Info&amp;id=187106&amp;lvl=3&amp;lin=f&amp;keep=1&amp;srchmode=1&amp;unlock","Caloenas nicobarica")</f>
        <v>Caloenas nicobarica</v>
      </c>
      <c r="H196" t="s">
        <v>223</v>
      </c>
      <c r="I196" t="str">
        <f>HYPERLINK("http://www.ncbi.nlm.nih.gov/protein/NWX03039.1","ANDR protein")</f>
        <v>ANDR protein</v>
      </c>
      <c r="J196">
        <v>825.47</v>
      </c>
      <c r="K196" t="s">
        <v>25</v>
      </c>
      <c r="L196">
        <v>157</v>
      </c>
      <c r="M196">
        <v>44.41</v>
      </c>
      <c r="N196">
        <v>43.94</v>
      </c>
      <c r="O196" t="s">
        <v>20</v>
      </c>
      <c r="P196" t="s">
        <v>965</v>
      </c>
      <c r="Q196" t="s">
        <v>20</v>
      </c>
      <c r="R196" t="str">
        <f>HYPERLINK("https://cfpub.epa.gov/ecotox/explore.cfm?ncbi=187106","Explore in ECOTOX")</f>
        <v>Explore in ECOTOX</v>
      </c>
    </row>
    <row r="197" spans="1:18" x14ac:dyDescent="0.25">
      <c r="A197">
        <v>6</v>
      </c>
      <c r="B197" t="str">
        <f>HYPERLINK("http://www.ncbi.nlm.nih.gov/protein/NWR66110.1","NWR66110.1")</f>
        <v>NWR66110.1</v>
      </c>
      <c r="C197">
        <v>14438</v>
      </c>
      <c r="D197" t="str">
        <f>HYPERLINK("http://www.ncbi.nlm.nih.gov/Taxonomy/Browser/wwwtax.cgi?mode=Info&amp;id=153643&amp;lvl=3&amp;lin=f&amp;keep=1&amp;srchmode=1&amp;unlock","153643")</f>
        <v>153643</v>
      </c>
      <c r="E197" t="s">
        <v>167</v>
      </c>
      <c r="F197" t="s">
        <v>167</v>
      </c>
      <c r="G197" t="str">
        <f>HYPERLINK("http://www.ncbi.nlm.nih.gov/Taxonomy/Browser/wwwtax.cgi?mode=Info&amp;id=153643&amp;lvl=3&amp;lin=f&amp;keep=1&amp;srchmode=1&amp;unlock","Bucorvus abyssinicus")</f>
        <v>Bucorvus abyssinicus</v>
      </c>
      <c r="H197" t="s">
        <v>310</v>
      </c>
      <c r="I197" t="str">
        <f>HYPERLINK("http://www.ncbi.nlm.nih.gov/protein/NWR66110.1","ANDR protein")</f>
        <v>ANDR protein</v>
      </c>
      <c r="J197">
        <v>819.69</v>
      </c>
      <c r="K197" t="s">
        <v>25</v>
      </c>
      <c r="L197">
        <v>157</v>
      </c>
      <c r="M197">
        <v>44.41</v>
      </c>
      <c r="N197">
        <v>43.63</v>
      </c>
      <c r="O197" t="s">
        <v>20</v>
      </c>
      <c r="P197" t="s">
        <v>965</v>
      </c>
      <c r="Q197" t="s">
        <v>20</v>
      </c>
      <c r="R197" t="str">
        <f>HYPERLINK("https://cfpub.epa.gov/ecotox/explore.cfm?ncbi=153643","Explore in ECOTOX")</f>
        <v>Explore in ECOTOX</v>
      </c>
    </row>
    <row r="198" spans="1:18" x14ac:dyDescent="0.25">
      <c r="A198">
        <v>6</v>
      </c>
      <c r="B198" t="str">
        <f>HYPERLINK("http://www.ncbi.nlm.nih.gov/protein/NWZ49946.1","NWZ49946.1")</f>
        <v>NWZ49946.1</v>
      </c>
      <c r="C198">
        <v>45028</v>
      </c>
      <c r="D198" t="str">
        <f>HYPERLINK("http://www.ncbi.nlm.nih.gov/Taxonomy/Browser/wwwtax.cgi?mode=Info&amp;id=8969&amp;lvl=3&amp;lin=f&amp;keep=1&amp;srchmode=1&amp;unlock","8969")</f>
        <v>8969</v>
      </c>
      <c r="E198" t="s">
        <v>167</v>
      </c>
      <c r="F198" t="s">
        <v>167</v>
      </c>
      <c r="G198" t="str">
        <f>HYPERLINK("http://www.ncbi.nlm.nih.gov/Taxonomy/Browser/wwwtax.cgi?mode=Info&amp;id=8969&amp;lvl=3&amp;lin=f&amp;keep=1&amp;srchmode=1&amp;unlock","Haliaeetus albicilla")</f>
        <v>Haliaeetus albicilla</v>
      </c>
      <c r="H198" t="s">
        <v>337</v>
      </c>
      <c r="I198" t="str">
        <f>HYPERLINK("http://www.ncbi.nlm.nih.gov/protein/NWZ49946.1","ANDR protein")</f>
        <v>ANDR protein</v>
      </c>
      <c r="J198">
        <v>818.15</v>
      </c>
      <c r="K198" t="s">
        <v>25</v>
      </c>
      <c r="L198">
        <v>157</v>
      </c>
      <c r="M198">
        <v>44.41</v>
      </c>
      <c r="N198">
        <v>43.55</v>
      </c>
      <c r="O198" t="s">
        <v>20</v>
      </c>
      <c r="P198" t="s">
        <v>965</v>
      </c>
      <c r="Q198" t="s">
        <v>20</v>
      </c>
      <c r="R198" t="str">
        <f>HYPERLINK("https://cfpub.epa.gov/ecotox/explore.cfm?ncbi=8969","Explore in ECOTOX")</f>
        <v>Explore in ECOTOX</v>
      </c>
    </row>
    <row r="199" spans="1:18" x14ac:dyDescent="0.25">
      <c r="A199">
        <v>6</v>
      </c>
      <c r="B199" t="str">
        <f>HYPERLINK("http://www.ncbi.nlm.nih.gov/protein/XP_030886033.1","XP_030886033.1")</f>
        <v>XP_030886033.1</v>
      </c>
      <c r="C199">
        <v>40472</v>
      </c>
      <c r="D199" t="str">
        <f>HYPERLINK("http://www.ncbi.nlm.nih.gov/Taxonomy/Browser/wwwtax.cgi?mode=Info&amp;id=9713&amp;lvl=3&amp;lin=f&amp;keep=1&amp;srchmode=1&amp;unlock","9713")</f>
        <v>9713</v>
      </c>
      <c r="E199" t="s">
        <v>18</v>
      </c>
      <c r="F199" t="s">
        <v>18</v>
      </c>
      <c r="G199" t="str">
        <f>HYPERLINK("http://www.ncbi.nlm.nih.gov/Taxonomy/Browser/wwwtax.cgi?mode=Info&amp;id=9713&amp;lvl=3&amp;lin=f&amp;keep=1&amp;srchmode=1&amp;unlock","Leptonychotes weddellii")</f>
        <v>Leptonychotes weddellii</v>
      </c>
      <c r="H199" t="s">
        <v>49</v>
      </c>
      <c r="I199" t="str">
        <f>HYPERLINK("http://www.ncbi.nlm.nih.gov/protein/XP_030886033.1","androgen receptor-like")</f>
        <v>androgen receptor-like</v>
      </c>
      <c r="J199">
        <v>816.99</v>
      </c>
      <c r="K199" t="s">
        <v>25</v>
      </c>
      <c r="L199">
        <v>157</v>
      </c>
      <c r="M199">
        <v>44.41</v>
      </c>
      <c r="N199">
        <v>43.49</v>
      </c>
      <c r="O199" t="s">
        <v>20</v>
      </c>
      <c r="P199" t="s">
        <v>965</v>
      </c>
      <c r="Q199" t="s">
        <v>20</v>
      </c>
      <c r="R199" t="str">
        <f>HYPERLINK("https://cfpub.epa.gov/ecotox/explore.cfm?ncbi=9713","Explore in ECOTOX")</f>
        <v>Explore in ECOTOX</v>
      </c>
    </row>
    <row r="200" spans="1:18" x14ac:dyDescent="0.25">
      <c r="A200">
        <v>6</v>
      </c>
      <c r="B200" t="str">
        <f>HYPERLINK("http://www.ncbi.nlm.nih.gov/protein/NXV33950.1","NXV33950.1")</f>
        <v>NXV33950.1</v>
      </c>
      <c r="C200">
        <v>14938</v>
      </c>
      <c r="D200" t="str">
        <f>HYPERLINK("http://www.ncbi.nlm.nih.gov/Taxonomy/Browser/wwwtax.cgi?mode=Info&amp;id=75485&amp;lvl=3&amp;lin=f&amp;keep=1&amp;srchmode=1&amp;unlock","75485")</f>
        <v>75485</v>
      </c>
      <c r="E200" t="s">
        <v>167</v>
      </c>
      <c r="F200" t="s">
        <v>167</v>
      </c>
      <c r="G200" t="str">
        <f>HYPERLINK("http://www.ncbi.nlm.nih.gov/Taxonomy/Browser/wwwtax.cgi?mode=Info&amp;id=75485&amp;lvl=3&amp;lin=f&amp;keep=1&amp;srchmode=1&amp;unlock","Rissa tridactyla")</f>
        <v>Rissa tridactyla</v>
      </c>
      <c r="H200" t="s">
        <v>320</v>
      </c>
      <c r="I200" t="str">
        <f>HYPERLINK("http://www.ncbi.nlm.nih.gov/protein/NXV33950.1","ANDR protein")</f>
        <v>ANDR protein</v>
      </c>
      <c r="J200">
        <v>813.91</v>
      </c>
      <c r="K200" t="s">
        <v>25</v>
      </c>
      <c r="L200">
        <v>157</v>
      </c>
      <c r="M200">
        <v>44.41</v>
      </c>
      <c r="N200">
        <v>43.33</v>
      </c>
      <c r="O200" t="s">
        <v>20</v>
      </c>
      <c r="P200" t="s">
        <v>965</v>
      </c>
      <c r="Q200" t="s">
        <v>20</v>
      </c>
      <c r="R200" t="str">
        <f>HYPERLINK("https://cfpub.epa.gov/ecotox/explore.cfm?ncbi=75485","Explore in ECOTOX")</f>
        <v>Explore in ECOTOX</v>
      </c>
    </row>
    <row r="201" spans="1:18" x14ac:dyDescent="0.25">
      <c r="A201">
        <v>6</v>
      </c>
      <c r="B201" t="str">
        <f>HYPERLINK("http://www.ncbi.nlm.nih.gov/protein/NXV96327.1","NXV96327.1")</f>
        <v>NXV96327.1</v>
      </c>
      <c r="C201">
        <v>14439</v>
      </c>
      <c r="D201" t="str">
        <f>HYPERLINK("http://www.ncbi.nlm.nih.gov/Taxonomy/Browser/wwwtax.cgi?mode=Info&amp;id=1323832&amp;lvl=3&amp;lin=f&amp;keep=1&amp;srchmode=1&amp;unlock","1323832")</f>
        <v>1323832</v>
      </c>
      <c r="E201" t="s">
        <v>167</v>
      </c>
      <c r="F201" t="s">
        <v>167</v>
      </c>
      <c r="G201" t="str">
        <f>HYPERLINK("http://www.ncbi.nlm.nih.gov/Taxonomy/Browser/wwwtax.cgi?mode=Info&amp;id=1323832&amp;lvl=3&amp;lin=f&amp;keep=1&amp;srchmode=1&amp;unlock","Calonectris borealis")</f>
        <v>Calonectris borealis</v>
      </c>
      <c r="H201" t="s">
        <v>186</v>
      </c>
      <c r="I201" t="str">
        <f>HYPERLINK("http://www.ncbi.nlm.nih.gov/protein/NXV96327.1","ANDR protein")</f>
        <v>ANDR protein</v>
      </c>
      <c r="J201">
        <v>813.53</v>
      </c>
      <c r="K201" t="s">
        <v>25</v>
      </c>
      <c r="L201">
        <v>157</v>
      </c>
      <c r="M201">
        <v>44.41</v>
      </c>
      <c r="N201">
        <v>43.3</v>
      </c>
      <c r="O201" t="s">
        <v>20</v>
      </c>
      <c r="P201" t="s">
        <v>965</v>
      </c>
      <c r="Q201" t="s">
        <v>20</v>
      </c>
      <c r="R201" t="str">
        <f>HYPERLINK("https://cfpub.epa.gov/ecotox/explore.cfm?ncbi=1323832","Explore in ECOTOX")</f>
        <v>Explore in ECOTOX</v>
      </c>
    </row>
    <row r="202" spans="1:18" x14ac:dyDescent="0.25">
      <c r="A202">
        <v>6</v>
      </c>
      <c r="B202" t="str">
        <f>HYPERLINK("http://www.ncbi.nlm.nih.gov/protein/NXS52613.1","NXS52613.1")</f>
        <v>NXS52613.1</v>
      </c>
      <c r="C202">
        <v>13462</v>
      </c>
      <c r="D202" t="str">
        <f>HYPERLINK("http://www.ncbi.nlm.nih.gov/Taxonomy/Browser/wwwtax.cgi?mode=Info&amp;id=135165&amp;lvl=3&amp;lin=f&amp;keep=1&amp;srchmode=1&amp;unlock","135165")</f>
        <v>135165</v>
      </c>
      <c r="E202" t="s">
        <v>167</v>
      </c>
      <c r="F202" t="s">
        <v>167</v>
      </c>
      <c r="G202" t="str">
        <f>HYPERLINK("http://www.ncbi.nlm.nih.gov/Taxonomy/Browser/wwwtax.cgi?mode=Info&amp;id=135165&amp;lvl=3&amp;lin=f&amp;keep=1&amp;srchmode=1&amp;unlock","Brachypteracias leptosomus")</f>
        <v>Brachypteracias leptosomus</v>
      </c>
      <c r="H202" t="s">
        <v>235</v>
      </c>
      <c r="I202" t="str">
        <f>HYPERLINK("http://www.ncbi.nlm.nih.gov/protein/NXS52613.1","ANDR protein")</f>
        <v>ANDR protein</v>
      </c>
      <c r="J202">
        <v>813.53</v>
      </c>
      <c r="K202" t="s">
        <v>25</v>
      </c>
      <c r="L202">
        <v>157</v>
      </c>
      <c r="M202">
        <v>44.41</v>
      </c>
      <c r="N202">
        <v>43.3</v>
      </c>
      <c r="O202" t="s">
        <v>20</v>
      </c>
      <c r="P202" t="s">
        <v>965</v>
      </c>
      <c r="Q202" t="s">
        <v>20</v>
      </c>
      <c r="R202" t="str">
        <f>HYPERLINK("https://cfpub.epa.gov/ecotox/explore.cfm?ncbi=135165","Explore in ECOTOX")</f>
        <v>Explore in ECOTOX</v>
      </c>
    </row>
    <row r="203" spans="1:18" x14ac:dyDescent="0.25">
      <c r="A203">
        <v>6</v>
      </c>
      <c r="B203" t="str">
        <f>HYPERLINK("http://www.ncbi.nlm.nih.gov/protein/XP_014810446.1","XP_014810446.1")</f>
        <v>XP_014810446.1</v>
      </c>
      <c r="C203">
        <v>30960</v>
      </c>
      <c r="D203" t="str">
        <f>HYPERLINK("http://www.ncbi.nlm.nih.gov/Taxonomy/Browser/wwwtax.cgi?mode=Info&amp;id=198806&amp;lvl=3&amp;lin=f&amp;keep=1&amp;srchmode=1&amp;unlock","198806")</f>
        <v>198806</v>
      </c>
      <c r="E203" t="s">
        <v>167</v>
      </c>
      <c r="F203" t="s">
        <v>167</v>
      </c>
      <c r="G203" t="str">
        <f>HYPERLINK("http://www.ncbi.nlm.nih.gov/Taxonomy/Browser/wwwtax.cgi?mode=Info&amp;id=198806&amp;lvl=3&amp;lin=f&amp;keep=1&amp;srchmode=1&amp;unlock","Calidris pugnax")</f>
        <v>Calidris pugnax</v>
      </c>
      <c r="H203" t="s">
        <v>201</v>
      </c>
      <c r="I203" t="str">
        <f>HYPERLINK("http://www.ncbi.nlm.nih.gov/protein/XP_014810446.1","PREDICTED: androgen receptor")</f>
        <v>PREDICTED: androgen receptor</v>
      </c>
      <c r="J203">
        <v>813.53</v>
      </c>
      <c r="K203" t="s">
        <v>25</v>
      </c>
      <c r="L203">
        <v>157</v>
      </c>
      <c r="M203">
        <v>44.41</v>
      </c>
      <c r="N203">
        <v>43.3</v>
      </c>
      <c r="O203" t="s">
        <v>20</v>
      </c>
      <c r="P203" t="s">
        <v>965</v>
      </c>
      <c r="Q203" t="s">
        <v>20</v>
      </c>
      <c r="R203" t="str">
        <f>HYPERLINK("https://cfpub.epa.gov/ecotox/explore.cfm?ncbi=198806","Explore in ECOTOX")</f>
        <v>Explore in ECOTOX</v>
      </c>
    </row>
    <row r="204" spans="1:18" x14ac:dyDescent="0.25">
      <c r="A204">
        <v>6</v>
      </c>
      <c r="B204" t="str">
        <f>HYPERLINK("http://www.ncbi.nlm.nih.gov/protein/XP_030354066.1","XP_030354066.1")</f>
        <v>XP_030354066.1</v>
      </c>
      <c r="C204">
        <v>43730</v>
      </c>
      <c r="D204" t="str">
        <f>HYPERLINK("http://www.ncbi.nlm.nih.gov/Taxonomy/Browser/wwwtax.cgi?mode=Info&amp;id=2489341&amp;lvl=3&amp;lin=f&amp;keep=1&amp;srchmode=1&amp;unlock","2489341")</f>
        <v>2489341</v>
      </c>
      <c r="E204" t="s">
        <v>167</v>
      </c>
      <c r="F204" t="s">
        <v>167</v>
      </c>
      <c r="G204" t="str">
        <f>HYPERLINK("http://www.ncbi.nlm.nih.gov/Taxonomy/Browser/wwwtax.cgi?mode=Info&amp;id=2489341&amp;lvl=3&amp;lin=f&amp;keep=1&amp;srchmode=1&amp;unlock","Strigops habroptila")</f>
        <v>Strigops habroptila</v>
      </c>
      <c r="H204" t="s">
        <v>396</v>
      </c>
      <c r="I204" t="str">
        <f>HYPERLINK("http://www.ncbi.nlm.nih.gov/protein/XP_030354066.1","androgen receptor")</f>
        <v>androgen receptor</v>
      </c>
      <c r="J204">
        <v>813.14</v>
      </c>
      <c r="K204" t="s">
        <v>25</v>
      </c>
      <c r="L204">
        <v>157</v>
      </c>
      <c r="M204">
        <v>44.41</v>
      </c>
      <c r="N204">
        <v>43.28</v>
      </c>
      <c r="O204" t="s">
        <v>20</v>
      </c>
      <c r="P204" t="s">
        <v>965</v>
      </c>
      <c r="Q204" t="s">
        <v>20</v>
      </c>
      <c r="R204" t="str">
        <f>HYPERLINK("https://cfpub.epa.gov/ecotox/explore.cfm?ncbi=2489341","Explore in ECOTOX")</f>
        <v>Explore in ECOTOX</v>
      </c>
    </row>
    <row r="205" spans="1:18" x14ac:dyDescent="0.25">
      <c r="A205">
        <v>6</v>
      </c>
      <c r="B205" t="str">
        <f>HYPERLINK("http://www.ncbi.nlm.nih.gov/protein/XP_019376541.1","XP_019376541.1")</f>
        <v>XP_019376541.1</v>
      </c>
      <c r="C205">
        <v>27413</v>
      </c>
      <c r="D205" t="str">
        <f>HYPERLINK("http://www.ncbi.nlm.nih.gov/Taxonomy/Browser/wwwtax.cgi?mode=Info&amp;id=94835&amp;lvl=3&amp;lin=f&amp;keep=1&amp;srchmode=1&amp;unlock","94835")</f>
        <v>94835</v>
      </c>
      <c r="E205" t="s">
        <v>371</v>
      </c>
      <c r="F205" t="s">
        <v>371</v>
      </c>
      <c r="G205" t="str">
        <f>HYPERLINK("http://www.ncbi.nlm.nih.gov/Taxonomy/Browser/wwwtax.cgi?mode=Info&amp;id=94835&amp;lvl=3&amp;lin=f&amp;keep=1&amp;srchmode=1&amp;unlock","Gavialis gangeticus")</f>
        <v>Gavialis gangeticus</v>
      </c>
      <c r="H205" t="s">
        <v>453</v>
      </c>
      <c r="I205" t="str">
        <f>HYPERLINK("http://www.ncbi.nlm.nih.gov/protein/XP_019376541.1","PREDICTED: androgen receptor")</f>
        <v>PREDICTED: androgen receptor</v>
      </c>
      <c r="J205">
        <v>812.37</v>
      </c>
      <c r="K205" t="s">
        <v>25</v>
      </c>
      <c r="L205">
        <v>157</v>
      </c>
      <c r="M205">
        <v>44.41</v>
      </c>
      <c r="N205">
        <v>43.24</v>
      </c>
      <c r="O205" t="s">
        <v>20</v>
      </c>
      <c r="P205" t="s">
        <v>965</v>
      </c>
      <c r="Q205" t="s">
        <v>20</v>
      </c>
      <c r="R205" t="str">
        <f>HYPERLINK("https://cfpub.epa.gov/ecotox/explore.cfm?ncbi=94835","Explore in ECOTOX")</f>
        <v>Explore in ECOTOX</v>
      </c>
    </row>
    <row r="206" spans="1:18" x14ac:dyDescent="0.25">
      <c r="A206">
        <v>6</v>
      </c>
      <c r="B206" t="str">
        <f>HYPERLINK("http://www.ncbi.nlm.nih.gov/protein/XP_033057282.1","XP_033057282.1")</f>
        <v>XP_033057282.1</v>
      </c>
      <c r="C206">
        <v>64510</v>
      </c>
      <c r="D206" t="str">
        <f>HYPERLINK("http://www.ncbi.nlm.nih.gov/Taxonomy/Browser/wwwtax.cgi?mode=Info&amp;id=54180&amp;lvl=3&amp;lin=f&amp;keep=1&amp;srchmode=1&amp;unlock","54180")</f>
        <v>54180</v>
      </c>
      <c r="E206" t="s">
        <v>18</v>
      </c>
      <c r="F206" t="s">
        <v>18</v>
      </c>
      <c r="G206" t="str">
        <f>HYPERLINK("http://www.ncbi.nlm.nih.gov/Taxonomy/Browser/wwwtax.cgi?mode=Info&amp;id=54180&amp;lvl=3&amp;lin=f&amp;keep=1&amp;srchmode=1&amp;unlock","Trachypithecus francoisi")</f>
        <v>Trachypithecus francoisi</v>
      </c>
      <c r="H206" t="s">
        <v>35</v>
      </c>
      <c r="I206" t="str">
        <f>HYPERLINK("http://www.ncbi.nlm.nih.gov/protein/XP_033057282.1","LOW QUALITY PROTEIN: androgen receptor")</f>
        <v>LOW QUALITY PROTEIN: androgen receptor</v>
      </c>
      <c r="J206">
        <v>811.6</v>
      </c>
      <c r="K206" t="s">
        <v>25</v>
      </c>
      <c r="L206">
        <v>157</v>
      </c>
      <c r="M206">
        <v>44.41</v>
      </c>
      <c r="N206">
        <v>43.2</v>
      </c>
      <c r="O206" t="s">
        <v>20</v>
      </c>
      <c r="P206" t="s">
        <v>965</v>
      </c>
      <c r="Q206" t="s">
        <v>20</v>
      </c>
      <c r="R206" t="str">
        <f>HYPERLINK("https://cfpub.epa.gov/ecotox/explore.cfm?ncbi=54180","Explore in ECOTOX")</f>
        <v>Explore in ECOTOX</v>
      </c>
    </row>
    <row r="207" spans="1:18" x14ac:dyDescent="0.25">
      <c r="A207">
        <v>6</v>
      </c>
      <c r="B207" t="str">
        <f>HYPERLINK("http://www.ncbi.nlm.nih.gov/protein/NXV15777.1","NXV15777.1")</f>
        <v>NXV15777.1</v>
      </c>
      <c r="C207">
        <v>14788</v>
      </c>
      <c r="D207" t="str">
        <f>HYPERLINK("http://www.ncbi.nlm.nih.gov/Taxonomy/Browser/wwwtax.cgi?mode=Info&amp;id=28697&amp;lvl=3&amp;lin=f&amp;keep=1&amp;srchmode=1&amp;unlock","28697")</f>
        <v>28697</v>
      </c>
      <c r="E207" t="s">
        <v>167</v>
      </c>
      <c r="F207" t="s">
        <v>167</v>
      </c>
      <c r="G207" t="str">
        <f>HYPERLINK("http://www.ncbi.nlm.nih.gov/Taxonomy/Browser/wwwtax.cgi?mode=Info&amp;id=28697&amp;lvl=3&amp;lin=f&amp;keep=1&amp;srchmode=1&amp;unlock","Cepphus grylle")</f>
        <v>Cepphus grylle</v>
      </c>
      <c r="H207" t="s">
        <v>185</v>
      </c>
      <c r="I207" t="str">
        <f>HYPERLINK("http://www.ncbi.nlm.nih.gov/protein/NXV15777.1","ANDR protein")</f>
        <v>ANDR protein</v>
      </c>
      <c r="J207">
        <v>810.83</v>
      </c>
      <c r="K207" t="s">
        <v>25</v>
      </c>
      <c r="L207">
        <v>157</v>
      </c>
      <c r="M207">
        <v>44.41</v>
      </c>
      <c r="N207">
        <v>43.16</v>
      </c>
      <c r="O207" t="s">
        <v>20</v>
      </c>
      <c r="P207" t="s">
        <v>965</v>
      </c>
      <c r="Q207" t="s">
        <v>20</v>
      </c>
      <c r="R207" t="str">
        <f>HYPERLINK("https://cfpub.epa.gov/ecotox/explore.cfm?ncbi=28697","Explore in ECOTOX")</f>
        <v>Explore in ECOTOX</v>
      </c>
    </row>
    <row r="208" spans="1:18" x14ac:dyDescent="0.25">
      <c r="A208">
        <v>6</v>
      </c>
      <c r="B208" t="str">
        <f>HYPERLINK("http://www.ncbi.nlm.nih.gov/protein/NXV50066.1","NXV50066.1")</f>
        <v>NXV50066.1</v>
      </c>
      <c r="C208">
        <v>14270</v>
      </c>
      <c r="D208" t="str">
        <f>HYPERLINK("http://www.ncbi.nlm.nih.gov/Taxonomy/Browser/wwwtax.cgi?mode=Info&amp;id=13746&amp;lvl=3&amp;lin=f&amp;keep=1&amp;srchmode=1&amp;unlock","13746")</f>
        <v>13746</v>
      </c>
      <c r="E208" t="s">
        <v>167</v>
      </c>
      <c r="F208" t="s">
        <v>167</v>
      </c>
      <c r="G208" t="str">
        <f>HYPERLINK("http://www.ncbi.nlm.nih.gov/Taxonomy/Browser/wwwtax.cgi?mode=Info&amp;id=13746&amp;lvl=3&amp;lin=f&amp;keep=1&amp;srchmode=1&amp;unlock","Uria aalge")</f>
        <v>Uria aalge</v>
      </c>
      <c r="H208" t="s">
        <v>203</v>
      </c>
      <c r="I208" t="str">
        <f>HYPERLINK("http://www.ncbi.nlm.nih.gov/protein/NXV50066.1","ANDR protein")</f>
        <v>ANDR protein</v>
      </c>
      <c r="J208">
        <v>810.45</v>
      </c>
      <c r="K208" t="s">
        <v>25</v>
      </c>
      <c r="L208">
        <v>157</v>
      </c>
      <c r="M208">
        <v>44.41</v>
      </c>
      <c r="N208">
        <v>43.14</v>
      </c>
      <c r="O208" t="s">
        <v>20</v>
      </c>
      <c r="P208" t="s">
        <v>965</v>
      </c>
      <c r="Q208" t="s">
        <v>20</v>
      </c>
      <c r="R208" t="str">
        <f>HYPERLINK("https://cfpub.epa.gov/ecotox/explore.cfm?ncbi=13746","Explore in ECOTOX")</f>
        <v>Explore in ECOTOX</v>
      </c>
    </row>
    <row r="209" spans="1:18" x14ac:dyDescent="0.25">
      <c r="A209">
        <v>6</v>
      </c>
      <c r="B209" t="str">
        <f>HYPERLINK("http://www.ncbi.nlm.nih.gov/protein/KAF1598143.1","KAF1598143.1")</f>
        <v>KAF1598143.1</v>
      </c>
      <c r="C209">
        <v>15476</v>
      </c>
      <c r="D209" t="str">
        <f>HYPERLINK("http://www.ncbi.nlm.nih.gov/Taxonomy/Browser/wwwtax.cgi?mode=Info&amp;id=2495534&amp;lvl=3&amp;lin=f&amp;keep=1&amp;srchmode=1&amp;unlock","2495534")</f>
        <v>2495534</v>
      </c>
      <c r="E209" t="s">
        <v>167</v>
      </c>
      <c r="F209" t="s">
        <v>167</v>
      </c>
      <c r="G209" t="str">
        <f>HYPERLINK("http://www.ncbi.nlm.nih.gov/Taxonomy/Browser/wwwtax.cgi?mode=Info&amp;id=2495534&amp;lvl=3&amp;lin=f&amp;keep=1&amp;srchmode=1&amp;unlock","Eudyptes moseleyi")</f>
        <v>Eudyptes moseleyi</v>
      </c>
      <c r="H209" t="s">
        <v>257</v>
      </c>
      <c r="I209" t="str">
        <f>HYPERLINK("http://www.ncbi.nlm.nih.gov/protein/KAF1598143.1","Androgen receptor, partial")</f>
        <v>Androgen receptor, partial</v>
      </c>
      <c r="J209">
        <v>810.06</v>
      </c>
      <c r="K209" t="s">
        <v>25</v>
      </c>
      <c r="L209">
        <v>157</v>
      </c>
      <c r="M209">
        <v>44.41</v>
      </c>
      <c r="N209">
        <v>43.12</v>
      </c>
      <c r="O209" t="s">
        <v>20</v>
      </c>
      <c r="P209" t="s">
        <v>965</v>
      </c>
      <c r="Q209" t="s">
        <v>20</v>
      </c>
      <c r="R209" t="str">
        <f>HYPERLINK("https://cfpub.epa.gov/ecotox/explore.cfm?ncbi=2495534","Explore in ECOTOX")</f>
        <v>Explore in ECOTOX</v>
      </c>
    </row>
    <row r="210" spans="1:18" x14ac:dyDescent="0.25">
      <c r="A210">
        <v>6</v>
      </c>
      <c r="B210" t="str">
        <f>HYPERLINK("http://www.ncbi.nlm.nih.gov/protein/XP_029852782.1","XP_029852782.1")</f>
        <v>XP_029852782.1</v>
      </c>
      <c r="C210">
        <v>48151</v>
      </c>
      <c r="D210" t="str">
        <f>HYPERLINK("http://www.ncbi.nlm.nih.gov/Taxonomy/Browser/wwwtax.cgi?mode=Info&amp;id=223781&amp;lvl=3&amp;lin=f&amp;keep=1&amp;srchmode=1&amp;unlock","223781")</f>
        <v>223781</v>
      </c>
      <c r="E210" t="s">
        <v>167</v>
      </c>
      <c r="F210" t="s">
        <v>167</v>
      </c>
      <c r="G210" t="str">
        <f>HYPERLINK("http://www.ncbi.nlm.nih.gov/Taxonomy/Browser/wwwtax.cgi?mode=Info&amp;id=223781&amp;lvl=3&amp;lin=f&amp;keep=1&amp;srchmode=1&amp;unlock","Aquila chrysaetos chrysaetos")</f>
        <v>Aquila chrysaetos chrysaetos</v>
      </c>
      <c r="H210" t="s">
        <v>291</v>
      </c>
      <c r="I210" t="str">
        <f>HYPERLINK("http://www.ncbi.nlm.nih.gov/protein/XP_029852782.1","androgen receptor")</f>
        <v>androgen receptor</v>
      </c>
      <c r="J210">
        <v>809.29</v>
      </c>
      <c r="K210" t="s">
        <v>25</v>
      </c>
      <c r="L210">
        <v>157</v>
      </c>
      <c r="M210">
        <v>44.41</v>
      </c>
      <c r="N210">
        <v>43.08</v>
      </c>
      <c r="O210" t="s">
        <v>20</v>
      </c>
      <c r="P210" t="s">
        <v>965</v>
      </c>
      <c r="Q210" t="s">
        <v>20</v>
      </c>
      <c r="R210" t="str">
        <f>HYPERLINK("https://cfpub.epa.gov/ecotox/explore.cfm?ncbi=223781","Explore in ECOTOX")</f>
        <v>Explore in ECOTOX</v>
      </c>
    </row>
    <row r="211" spans="1:18" x14ac:dyDescent="0.25">
      <c r="A211">
        <v>6</v>
      </c>
      <c r="B211" t="str">
        <f>HYPERLINK("http://www.ncbi.nlm.nih.gov/protein/APQ40569.1","APQ40569.1")</f>
        <v>APQ40569.1</v>
      </c>
      <c r="C211">
        <v>11521</v>
      </c>
      <c r="D211" t="str">
        <f>HYPERLINK("http://www.ncbi.nlm.nih.gov/Taxonomy/Browser/wwwtax.cgi?mode=Info&amp;id=56313&amp;lvl=3&amp;lin=f&amp;keep=1&amp;srchmode=1&amp;unlock","56313")</f>
        <v>56313</v>
      </c>
      <c r="E211" t="s">
        <v>167</v>
      </c>
      <c r="F211" t="s">
        <v>167</v>
      </c>
      <c r="G211" t="str">
        <f>HYPERLINK("http://www.ncbi.nlm.nih.gov/Taxonomy/Browser/wwwtax.cgi?mode=Info&amp;id=56313&amp;lvl=3&amp;lin=f&amp;keep=1&amp;srchmode=1&amp;unlock","Tyto alba")</f>
        <v>Tyto alba</v>
      </c>
      <c r="H211" t="s">
        <v>250</v>
      </c>
      <c r="I211" t="str">
        <f>HYPERLINK("http://www.ncbi.nlm.nih.gov/protein/APQ40569.1","androgen receptor")</f>
        <v>androgen receptor</v>
      </c>
      <c r="J211">
        <v>808.9</v>
      </c>
      <c r="K211" t="s">
        <v>25</v>
      </c>
      <c r="L211">
        <v>157</v>
      </c>
      <c r="M211">
        <v>44.41</v>
      </c>
      <c r="N211">
        <v>43.06</v>
      </c>
      <c r="O211" t="s">
        <v>20</v>
      </c>
      <c r="P211" t="s">
        <v>965</v>
      </c>
      <c r="Q211" t="s">
        <v>20</v>
      </c>
      <c r="R211" t="str">
        <f>HYPERLINK("https://cfpub.epa.gov/ecotox/explore.cfm?ncbi=56313","Explore in ECOTOX")</f>
        <v>Explore in ECOTOX</v>
      </c>
    </row>
    <row r="212" spans="1:18" x14ac:dyDescent="0.25">
      <c r="A212">
        <v>6</v>
      </c>
      <c r="B212" t="str">
        <f>HYPERLINK("http://www.ncbi.nlm.nih.gov/protein/NWW87198.1","NWW87198.1")</f>
        <v>NWW87198.1</v>
      </c>
      <c r="C212">
        <v>13756</v>
      </c>
      <c r="D212" t="str">
        <f>HYPERLINK("http://www.ncbi.nlm.nih.gov/Taxonomy/Browser/wwwtax.cgi?mode=Info&amp;id=54386&amp;lvl=3&amp;lin=f&amp;keep=1&amp;srchmode=1&amp;unlock","54386")</f>
        <v>54386</v>
      </c>
      <c r="E212" t="s">
        <v>167</v>
      </c>
      <c r="F212" t="s">
        <v>167</v>
      </c>
      <c r="G212" t="str">
        <f>HYPERLINK("http://www.ncbi.nlm.nih.gov/Taxonomy/Browser/wwwtax.cgi?mode=Info&amp;id=54386&amp;lvl=3&amp;lin=f&amp;keep=1&amp;srchmode=1&amp;unlock","Rhynochetos jubatus")</f>
        <v>Rhynochetos jubatus</v>
      </c>
      <c r="H212" t="s">
        <v>290</v>
      </c>
      <c r="I212" t="str">
        <f>HYPERLINK("http://www.ncbi.nlm.nih.gov/protein/NWW87198.1","ANDR protein")</f>
        <v>ANDR protein</v>
      </c>
      <c r="J212">
        <v>808.9</v>
      </c>
      <c r="K212" t="s">
        <v>25</v>
      </c>
      <c r="L212">
        <v>157</v>
      </c>
      <c r="M212">
        <v>44.41</v>
      </c>
      <c r="N212">
        <v>43.06</v>
      </c>
      <c r="O212" t="s">
        <v>20</v>
      </c>
      <c r="P212" t="s">
        <v>965</v>
      </c>
      <c r="Q212" t="s">
        <v>20</v>
      </c>
      <c r="R212" t="str">
        <f>HYPERLINK("https://cfpub.epa.gov/ecotox/explore.cfm?ncbi=54386","Explore in ECOTOX")</f>
        <v>Explore in ECOTOX</v>
      </c>
    </row>
    <row r="213" spans="1:18" x14ac:dyDescent="0.25">
      <c r="A213">
        <v>6</v>
      </c>
      <c r="B213" t="str">
        <f>HYPERLINK("http://www.ncbi.nlm.nih.gov/protein/NWT41840.1","NWT41840.1")</f>
        <v>NWT41840.1</v>
      </c>
      <c r="C213">
        <v>13971</v>
      </c>
      <c r="D213" t="str">
        <f>HYPERLINK("http://www.ncbi.nlm.nih.gov/Taxonomy/Browser/wwwtax.cgi?mode=Info&amp;id=287016&amp;lvl=3&amp;lin=f&amp;keep=1&amp;srchmode=1&amp;unlock","287016")</f>
        <v>287016</v>
      </c>
      <c r="E213" t="s">
        <v>167</v>
      </c>
      <c r="F213" t="s">
        <v>167</v>
      </c>
      <c r="G213" t="str">
        <f>HYPERLINK("http://www.ncbi.nlm.nih.gov/Taxonomy/Browser/wwwtax.cgi?mode=Info&amp;id=287016&amp;lvl=3&amp;lin=f&amp;keep=1&amp;srchmode=1&amp;unlock","Chroicocephalus maculipennis")</f>
        <v>Chroicocephalus maculipennis</v>
      </c>
      <c r="H213" t="s">
        <v>210</v>
      </c>
      <c r="I213" t="str">
        <f>HYPERLINK("http://www.ncbi.nlm.nih.gov/protein/NWT41840.1","ANDR protein")</f>
        <v>ANDR protein</v>
      </c>
      <c r="J213">
        <v>808.13</v>
      </c>
      <c r="K213" t="s">
        <v>25</v>
      </c>
      <c r="L213">
        <v>157</v>
      </c>
      <c r="M213">
        <v>44.41</v>
      </c>
      <c r="N213">
        <v>43.02</v>
      </c>
      <c r="O213" t="s">
        <v>20</v>
      </c>
      <c r="P213" t="s">
        <v>965</v>
      </c>
      <c r="Q213" t="s">
        <v>20</v>
      </c>
      <c r="R213" t="str">
        <f>HYPERLINK("https://cfpub.epa.gov/ecotox/explore.cfm?ncbi=287016","Explore in ECOTOX")</f>
        <v>Explore in ECOTOX</v>
      </c>
    </row>
    <row r="214" spans="1:18" x14ac:dyDescent="0.25">
      <c r="A214">
        <v>6</v>
      </c>
      <c r="B214" t="str">
        <f>HYPERLINK("http://www.ncbi.nlm.nih.gov/protein/XP_030304719.1","XP_030304719.1")</f>
        <v>XP_030304719.1</v>
      </c>
      <c r="C214">
        <v>42941</v>
      </c>
      <c r="D214" t="str">
        <f>HYPERLINK("http://www.ncbi.nlm.nih.gov/Taxonomy/Browser/wwwtax.cgi?mode=Info&amp;id=9244&amp;lvl=3&amp;lin=f&amp;keep=1&amp;srchmode=1&amp;unlock","9244")</f>
        <v>9244</v>
      </c>
      <c r="E214" t="s">
        <v>167</v>
      </c>
      <c r="F214" t="s">
        <v>167</v>
      </c>
      <c r="G214" t="str">
        <f>HYPERLINK("http://www.ncbi.nlm.nih.gov/Taxonomy/Browser/wwwtax.cgi?mode=Info&amp;id=9244&amp;lvl=3&amp;lin=f&amp;keep=1&amp;srchmode=1&amp;unlock","Calypte anna")</f>
        <v>Calypte anna</v>
      </c>
      <c r="H214" t="s">
        <v>219</v>
      </c>
      <c r="I214" t="str">
        <f>HYPERLINK("http://www.ncbi.nlm.nih.gov/protein/XP_030304719.1","androgen receptor")</f>
        <v>androgen receptor</v>
      </c>
      <c r="J214">
        <v>807.75</v>
      </c>
      <c r="K214" t="s">
        <v>25</v>
      </c>
      <c r="L214">
        <v>157</v>
      </c>
      <c r="M214">
        <v>44.41</v>
      </c>
      <c r="N214">
        <v>43</v>
      </c>
      <c r="O214" t="s">
        <v>20</v>
      </c>
      <c r="P214" t="s">
        <v>965</v>
      </c>
      <c r="Q214" t="s">
        <v>20</v>
      </c>
      <c r="R214" t="str">
        <f>HYPERLINK("https://cfpub.epa.gov/ecotox/explore.cfm?ncbi=9244","Explore in ECOTOX")</f>
        <v>Explore in ECOTOX</v>
      </c>
    </row>
    <row r="215" spans="1:18" x14ac:dyDescent="0.25">
      <c r="A215">
        <v>6</v>
      </c>
      <c r="B215" t="str">
        <f>HYPERLINK("http://www.ncbi.nlm.nih.gov/protein/XP_007534618.1","XP_007534618.1")</f>
        <v>XP_007534618.1</v>
      </c>
      <c r="C215">
        <v>29636</v>
      </c>
      <c r="D215" t="str">
        <f>HYPERLINK("http://www.ncbi.nlm.nih.gov/Taxonomy/Browser/wwwtax.cgi?mode=Info&amp;id=9365&amp;lvl=3&amp;lin=f&amp;keep=1&amp;srchmode=1&amp;unlock","9365")</f>
        <v>9365</v>
      </c>
      <c r="E215" t="s">
        <v>18</v>
      </c>
      <c r="F215" t="s">
        <v>18</v>
      </c>
      <c r="G215" t="str">
        <f>HYPERLINK("http://www.ncbi.nlm.nih.gov/Taxonomy/Browser/wwwtax.cgi?mode=Info&amp;id=9365&amp;lvl=3&amp;lin=f&amp;keep=1&amp;srchmode=1&amp;unlock","Erinaceus europaeus")</f>
        <v>Erinaceus europaeus</v>
      </c>
      <c r="H215" t="s">
        <v>105</v>
      </c>
      <c r="I215" t="str">
        <f>HYPERLINK("http://www.ncbi.nlm.nih.gov/protein/XP_007534618.1","PREDICTED: androgen receptor")</f>
        <v>PREDICTED: androgen receptor</v>
      </c>
      <c r="J215">
        <v>806.59</v>
      </c>
      <c r="K215" t="s">
        <v>25</v>
      </c>
      <c r="L215">
        <v>157</v>
      </c>
      <c r="M215">
        <v>44.41</v>
      </c>
      <c r="N215">
        <v>42.94</v>
      </c>
      <c r="O215" t="s">
        <v>20</v>
      </c>
      <c r="P215" t="s">
        <v>965</v>
      </c>
      <c r="Q215" t="s">
        <v>20</v>
      </c>
      <c r="R215" t="str">
        <f>HYPERLINK("https://cfpub.epa.gov/ecotox/explore.cfm?ncbi=9365","Explore in ECOTOX")</f>
        <v>Explore in ECOTOX</v>
      </c>
    </row>
    <row r="216" spans="1:18" x14ac:dyDescent="0.25">
      <c r="A216">
        <v>6</v>
      </c>
      <c r="B216" t="str">
        <f>HYPERLINK("http://www.ncbi.nlm.nih.gov/protein/NXX03535.1","NXX03535.1")</f>
        <v>NXX03535.1</v>
      </c>
      <c r="C216">
        <v>14087</v>
      </c>
      <c r="D216" t="str">
        <f>HYPERLINK("http://www.ncbi.nlm.nih.gov/Taxonomy/Browser/wwwtax.cgi?mode=Info&amp;id=243888&amp;lvl=3&amp;lin=f&amp;keep=1&amp;srchmode=1&amp;unlock","243888")</f>
        <v>243888</v>
      </c>
      <c r="E216" t="s">
        <v>167</v>
      </c>
      <c r="F216" t="s">
        <v>167</v>
      </c>
      <c r="G216" t="str">
        <f>HYPERLINK("http://www.ncbi.nlm.nih.gov/Taxonomy/Browser/wwwtax.cgi?mode=Info&amp;id=243888&amp;lvl=3&amp;lin=f&amp;keep=1&amp;srchmode=1&amp;unlock","Larus smithsonianus")</f>
        <v>Larus smithsonianus</v>
      </c>
      <c r="H216" t="s">
        <v>218</v>
      </c>
      <c r="I216" t="str">
        <f>HYPERLINK("http://www.ncbi.nlm.nih.gov/protein/NXX03535.1","ANDR protein")</f>
        <v>ANDR protein</v>
      </c>
      <c r="J216">
        <v>806.59</v>
      </c>
      <c r="K216" t="s">
        <v>25</v>
      </c>
      <c r="L216">
        <v>157</v>
      </c>
      <c r="M216">
        <v>44.41</v>
      </c>
      <c r="N216">
        <v>42.94</v>
      </c>
      <c r="O216" t="s">
        <v>20</v>
      </c>
      <c r="P216" t="s">
        <v>965</v>
      </c>
      <c r="Q216" t="s">
        <v>20</v>
      </c>
      <c r="R216" t="str">
        <f>HYPERLINK("https://cfpub.epa.gov/ecotox/explore.cfm?ncbi=243888","Explore in ECOTOX")</f>
        <v>Explore in ECOTOX</v>
      </c>
    </row>
    <row r="217" spans="1:18" x14ac:dyDescent="0.25">
      <c r="A217">
        <v>6</v>
      </c>
      <c r="B217" t="str">
        <f>HYPERLINK("http://www.ncbi.nlm.nih.gov/protein/NXQ86415.1","NXQ86415.1")</f>
        <v>NXQ86415.1</v>
      </c>
      <c r="C217">
        <v>14112</v>
      </c>
      <c r="D217" t="str">
        <f>HYPERLINK("http://www.ncbi.nlm.nih.gov/Taxonomy/Browser/wwwtax.cgi?mode=Info&amp;id=48427&amp;lvl=3&amp;lin=f&amp;keep=1&amp;srchmode=1&amp;unlock","48427")</f>
        <v>48427</v>
      </c>
      <c r="E217" t="s">
        <v>167</v>
      </c>
      <c r="F217" t="s">
        <v>167</v>
      </c>
      <c r="G217" t="str">
        <f>HYPERLINK("http://www.ncbi.nlm.nih.gov/Taxonomy/Browser/wwwtax.cgi?mode=Info&amp;id=48427&amp;lvl=3&amp;lin=f&amp;keep=1&amp;srchmode=1&amp;unlock","Nyctibius grandis")</f>
        <v>Nyctibius grandis</v>
      </c>
      <c r="H217" t="s">
        <v>233</v>
      </c>
      <c r="I217" t="str">
        <f>HYPERLINK("http://www.ncbi.nlm.nih.gov/protein/NXQ86415.1","ANDR protein")</f>
        <v>ANDR protein</v>
      </c>
      <c r="J217">
        <v>806.21</v>
      </c>
      <c r="K217" t="s">
        <v>25</v>
      </c>
      <c r="L217">
        <v>157</v>
      </c>
      <c r="M217">
        <v>44.41</v>
      </c>
      <c r="N217">
        <v>42.92</v>
      </c>
      <c r="O217" t="s">
        <v>20</v>
      </c>
      <c r="P217" t="s">
        <v>965</v>
      </c>
      <c r="Q217" t="s">
        <v>20</v>
      </c>
      <c r="R217" t="str">
        <f>HYPERLINK("https://cfpub.epa.gov/ecotox/explore.cfm?ncbi=48427","Explore in ECOTOX")</f>
        <v>Explore in ECOTOX</v>
      </c>
    </row>
    <row r="218" spans="1:18" x14ac:dyDescent="0.25">
      <c r="A218">
        <v>6</v>
      </c>
      <c r="B218" t="str">
        <f>HYPERLINK("http://www.ncbi.nlm.nih.gov/protein/NXX82758.1","NXX82758.1")</f>
        <v>NXX82758.1</v>
      </c>
      <c r="C218">
        <v>14124</v>
      </c>
      <c r="D218" t="str">
        <f>HYPERLINK("http://www.ncbi.nlm.nih.gov/Taxonomy/Browser/wwwtax.cgi?mode=Info&amp;id=458196&amp;lvl=3&amp;lin=f&amp;keep=1&amp;srchmode=1&amp;unlock","458196")</f>
        <v>458196</v>
      </c>
      <c r="E218" t="s">
        <v>167</v>
      </c>
      <c r="F218" t="s">
        <v>167</v>
      </c>
      <c r="G218" t="str">
        <f>HYPERLINK("http://www.ncbi.nlm.nih.gov/Taxonomy/Browser/wwwtax.cgi?mode=Info&amp;id=458196&amp;lvl=3&amp;lin=f&amp;keep=1&amp;srchmode=1&amp;unlock","Urocolius indicus")</f>
        <v>Urocolius indicus</v>
      </c>
      <c r="H218" t="s">
        <v>228</v>
      </c>
      <c r="I218" t="str">
        <f>HYPERLINK("http://www.ncbi.nlm.nih.gov/protein/NXX82758.1","ANDR protein")</f>
        <v>ANDR protein</v>
      </c>
      <c r="J218">
        <v>805.82</v>
      </c>
      <c r="K218" t="s">
        <v>25</v>
      </c>
      <c r="L218">
        <v>157</v>
      </c>
      <c r="M218">
        <v>44.41</v>
      </c>
      <c r="N218">
        <v>42.89</v>
      </c>
      <c r="O218" t="s">
        <v>20</v>
      </c>
      <c r="P218" t="s">
        <v>965</v>
      </c>
      <c r="Q218" t="s">
        <v>20</v>
      </c>
      <c r="R218" t="str">
        <f>HYPERLINK("https://cfpub.epa.gov/ecotox/explore.cfm?ncbi=458196","Explore in ECOTOX")</f>
        <v>Explore in ECOTOX</v>
      </c>
    </row>
    <row r="219" spans="1:18" x14ac:dyDescent="0.25">
      <c r="A219">
        <v>6</v>
      </c>
      <c r="B219" t="str">
        <f>HYPERLINK("http://www.ncbi.nlm.nih.gov/protein/NXJ09376.1","NXJ09376.1")</f>
        <v>NXJ09376.1</v>
      </c>
      <c r="C219">
        <v>13852</v>
      </c>
      <c r="D219" t="str">
        <f>HYPERLINK("http://www.ncbi.nlm.nih.gov/Taxonomy/Browser/wwwtax.cgi?mode=Info&amp;id=886794&amp;lvl=3&amp;lin=f&amp;keep=1&amp;srchmode=1&amp;unlock","886794")</f>
        <v>886794</v>
      </c>
      <c r="E219" t="s">
        <v>167</v>
      </c>
      <c r="F219" t="s">
        <v>167</v>
      </c>
      <c r="G219" t="str">
        <f>HYPERLINK("http://www.ncbi.nlm.nih.gov/Taxonomy/Browser/wwwtax.cgi?mode=Info&amp;id=886794&amp;lvl=3&amp;lin=f&amp;keep=1&amp;srchmode=1&amp;unlock","Odontophorus gujanensis")</f>
        <v>Odontophorus gujanensis</v>
      </c>
      <c r="H219" t="s">
        <v>407</v>
      </c>
      <c r="I219" t="str">
        <f>HYPERLINK("http://www.ncbi.nlm.nih.gov/protein/NXJ09376.1","ANDR protein")</f>
        <v>ANDR protein</v>
      </c>
      <c r="J219">
        <v>805.44</v>
      </c>
      <c r="K219" t="s">
        <v>25</v>
      </c>
      <c r="L219">
        <v>157</v>
      </c>
      <c r="M219">
        <v>44.41</v>
      </c>
      <c r="N219">
        <v>42.87</v>
      </c>
      <c r="O219" t="s">
        <v>20</v>
      </c>
      <c r="P219" t="s">
        <v>965</v>
      </c>
      <c r="Q219" t="s">
        <v>20</v>
      </c>
      <c r="R219" t="str">
        <f>HYPERLINK("https://cfpub.epa.gov/ecotox/explore.cfm?ncbi=886794","Explore in ECOTOX")</f>
        <v>Explore in ECOTOX</v>
      </c>
    </row>
    <row r="220" spans="1:18" x14ac:dyDescent="0.25">
      <c r="A220">
        <v>6</v>
      </c>
      <c r="B220" t="str">
        <f>HYPERLINK("http://www.ncbi.nlm.nih.gov/protein/XP_025715214.1","XP_025715214.1")</f>
        <v>XP_025715214.1</v>
      </c>
      <c r="C220">
        <v>46265</v>
      </c>
      <c r="D220" t="str">
        <f>HYPERLINK("http://www.ncbi.nlm.nih.gov/Taxonomy/Browser/wwwtax.cgi?mode=Info&amp;id=34884&amp;lvl=3&amp;lin=f&amp;keep=1&amp;srchmode=1&amp;unlock","34884")</f>
        <v>34884</v>
      </c>
      <c r="E220" t="s">
        <v>18</v>
      </c>
      <c r="F220" t="s">
        <v>18</v>
      </c>
      <c r="G220" t="str">
        <f>HYPERLINK("http://www.ncbi.nlm.nih.gov/Taxonomy/Browser/wwwtax.cgi?mode=Info&amp;id=34884&amp;lvl=3&amp;lin=f&amp;keep=1&amp;srchmode=1&amp;unlock","Callorhinus ursinus")</f>
        <v>Callorhinus ursinus</v>
      </c>
      <c r="H220" t="s">
        <v>59</v>
      </c>
      <c r="I220" t="str">
        <f>HYPERLINK("http://www.ncbi.nlm.nih.gov/protein/XP_025715214.1","androgen receptor-like")</f>
        <v>androgen receptor-like</v>
      </c>
      <c r="J220">
        <v>805.44</v>
      </c>
      <c r="K220" t="s">
        <v>25</v>
      </c>
      <c r="L220">
        <v>157</v>
      </c>
      <c r="M220">
        <v>44.41</v>
      </c>
      <c r="N220">
        <v>42.87</v>
      </c>
      <c r="O220" t="s">
        <v>20</v>
      </c>
      <c r="P220" t="s">
        <v>965</v>
      </c>
      <c r="Q220" t="s">
        <v>20</v>
      </c>
      <c r="R220" t="str">
        <f>HYPERLINK("https://cfpub.epa.gov/ecotox/explore.cfm?ncbi=34884","Explore in ECOTOX")</f>
        <v>Explore in ECOTOX</v>
      </c>
    </row>
    <row r="221" spans="1:18" x14ac:dyDescent="0.25">
      <c r="A221">
        <v>6</v>
      </c>
      <c r="B221" t="str">
        <f>HYPERLINK("http://www.ncbi.nlm.nih.gov/protein/XP_025789612.1","XP_025789612.1")</f>
        <v>XP_025789612.1</v>
      </c>
      <c r="C221">
        <v>23617</v>
      </c>
      <c r="D221" t="str">
        <f>HYPERLINK("http://www.ncbi.nlm.nih.gov/Taxonomy/Browser/wwwtax.cgi?mode=Info&amp;id=9696&amp;lvl=3&amp;lin=f&amp;keep=1&amp;srchmode=1&amp;unlock","9696")</f>
        <v>9696</v>
      </c>
      <c r="E221" t="s">
        <v>18</v>
      </c>
      <c r="F221" t="s">
        <v>18</v>
      </c>
      <c r="G221" t="str">
        <f>HYPERLINK("http://www.ncbi.nlm.nih.gov/Taxonomy/Browser/wwwtax.cgi?mode=Info&amp;id=9696&amp;lvl=3&amp;lin=f&amp;keep=1&amp;srchmode=1&amp;unlock","Puma concolor")</f>
        <v>Puma concolor</v>
      </c>
      <c r="H221" t="s">
        <v>64</v>
      </c>
      <c r="I221" t="str">
        <f>HYPERLINK("http://www.ncbi.nlm.nih.gov/protein/XP_025789612.1","androgen receptor")</f>
        <v>androgen receptor</v>
      </c>
      <c r="J221">
        <v>805.05</v>
      </c>
      <c r="K221" t="s">
        <v>25</v>
      </c>
      <c r="L221">
        <v>157</v>
      </c>
      <c r="M221">
        <v>44.41</v>
      </c>
      <c r="N221">
        <v>42.85</v>
      </c>
      <c r="O221" t="s">
        <v>20</v>
      </c>
      <c r="P221" t="s">
        <v>965</v>
      </c>
      <c r="Q221" t="s">
        <v>20</v>
      </c>
      <c r="R221" t="str">
        <f>HYPERLINK("https://cfpub.epa.gov/ecotox/explore.cfm?ncbi=9696","Explore in ECOTOX")</f>
        <v>Explore in ECOTOX</v>
      </c>
    </row>
    <row r="222" spans="1:18" x14ac:dyDescent="0.25">
      <c r="A222">
        <v>6</v>
      </c>
      <c r="B222" t="str">
        <f>HYPERLINK("http://www.ncbi.nlm.nih.gov/protein/NXW34714.1","NXW34714.1")</f>
        <v>NXW34714.1</v>
      </c>
      <c r="C222">
        <v>13259</v>
      </c>
      <c r="D222" t="str">
        <f>HYPERLINK("http://www.ncbi.nlm.nih.gov/Taxonomy/Browser/wwwtax.cgi?mode=Info&amp;id=297813&amp;lvl=3&amp;lin=f&amp;keep=1&amp;srchmode=1&amp;unlock","297813")</f>
        <v>297813</v>
      </c>
      <c r="E222" t="s">
        <v>167</v>
      </c>
      <c r="F222" t="s">
        <v>167</v>
      </c>
      <c r="G222" t="str">
        <f>HYPERLINK("http://www.ncbi.nlm.nih.gov/Taxonomy/Browser/wwwtax.cgi?mode=Info&amp;id=297813&amp;lvl=3&amp;lin=f&amp;keep=1&amp;srchmode=1&amp;unlock","Phaetusa simplex")</f>
        <v>Phaetusa simplex</v>
      </c>
      <c r="H222" t="s">
        <v>270</v>
      </c>
      <c r="I222" t="str">
        <f>HYPERLINK("http://www.ncbi.nlm.nih.gov/protein/NXW34714.1","ANDR protein")</f>
        <v>ANDR protein</v>
      </c>
      <c r="J222">
        <v>805.05</v>
      </c>
      <c r="K222" t="s">
        <v>25</v>
      </c>
      <c r="L222">
        <v>157</v>
      </c>
      <c r="M222">
        <v>44.41</v>
      </c>
      <c r="N222">
        <v>42.85</v>
      </c>
      <c r="O222" t="s">
        <v>20</v>
      </c>
      <c r="P222" t="s">
        <v>965</v>
      </c>
      <c r="Q222" t="s">
        <v>20</v>
      </c>
      <c r="R222" t="str">
        <f>HYPERLINK("https://cfpub.epa.gov/ecotox/explore.cfm?ncbi=297813","Explore in ECOTOX")</f>
        <v>Explore in ECOTOX</v>
      </c>
    </row>
    <row r="223" spans="1:18" x14ac:dyDescent="0.25">
      <c r="A223">
        <v>6</v>
      </c>
      <c r="B223" t="str">
        <f>HYPERLINK("http://www.ncbi.nlm.nih.gov/protein/NXW86351.1","NXW86351.1")</f>
        <v>NXW86351.1</v>
      </c>
      <c r="C223">
        <v>14612</v>
      </c>
      <c r="D223" t="str">
        <f>HYPERLINK("http://www.ncbi.nlm.nih.gov/Taxonomy/Browser/wwwtax.cgi?mode=Info&amp;id=262131&amp;lvl=3&amp;lin=f&amp;keep=1&amp;srchmode=1&amp;unlock","262131")</f>
        <v>262131</v>
      </c>
      <c r="E223" t="s">
        <v>167</v>
      </c>
      <c r="F223" t="s">
        <v>167</v>
      </c>
      <c r="G223" t="str">
        <f>HYPERLINK("http://www.ncbi.nlm.nih.gov/Taxonomy/Browser/wwwtax.cgi?mode=Info&amp;id=262131&amp;lvl=3&amp;lin=f&amp;keep=1&amp;srchmode=1&amp;unlock","Alopecoenas beccarii")</f>
        <v>Alopecoenas beccarii</v>
      </c>
      <c r="H223" t="s">
        <v>314</v>
      </c>
      <c r="I223" t="str">
        <f>HYPERLINK("http://www.ncbi.nlm.nih.gov/protein/NXW86351.1","ANDR protein")</f>
        <v>ANDR protein</v>
      </c>
      <c r="J223">
        <v>805.05</v>
      </c>
      <c r="K223" t="s">
        <v>25</v>
      </c>
      <c r="L223">
        <v>157</v>
      </c>
      <c r="M223">
        <v>44.41</v>
      </c>
      <c r="N223">
        <v>42.85</v>
      </c>
      <c r="O223" t="s">
        <v>20</v>
      </c>
      <c r="P223" t="s">
        <v>965</v>
      </c>
      <c r="Q223" t="s">
        <v>20</v>
      </c>
      <c r="R223" t="str">
        <f>HYPERLINK("https://cfpub.epa.gov/ecotox/explore.cfm?ncbi=262131","Explore in ECOTOX")</f>
        <v>Explore in ECOTOX</v>
      </c>
    </row>
    <row r="224" spans="1:18" x14ac:dyDescent="0.25">
      <c r="A224">
        <v>6</v>
      </c>
      <c r="B224" t="str">
        <f>HYPERLINK("http://www.ncbi.nlm.nih.gov/protein/NWY60891.1","NWY60891.1")</f>
        <v>NWY60891.1</v>
      </c>
      <c r="C224">
        <v>14315</v>
      </c>
      <c r="D224" t="str">
        <f>HYPERLINK("http://www.ncbi.nlm.nih.gov/Taxonomy/Browser/wwwtax.cgi?mode=Info&amp;id=227182&amp;lvl=3&amp;lin=f&amp;keep=1&amp;srchmode=1&amp;unlock","227182")</f>
        <v>227182</v>
      </c>
      <c r="E224" t="s">
        <v>167</v>
      </c>
      <c r="F224" t="s">
        <v>167</v>
      </c>
      <c r="G224" t="str">
        <f>HYPERLINK("http://www.ncbi.nlm.nih.gov/Taxonomy/Browser/wwwtax.cgi?mode=Info&amp;id=227182&amp;lvl=3&amp;lin=f&amp;keep=1&amp;srchmode=1&amp;unlock","Chionis minor")</f>
        <v>Chionis minor</v>
      </c>
      <c r="H224" t="s">
        <v>977</v>
      </c>
      <c r="I224" t="str">
        <f>HYPERLINK("http://www.ncbi.nlm.nih.gov/protein/NWY60891.1","ANDR protein")</f>
        <v>ANDR protein</v>
      </c>
      <c r="J224">
        <v>803.51</v>
      </c>
      <c r="K224" t="s">
        <v>25</v>
      </c>
      <c r="L224">
        <v>157</v>
      </c>
      <c r="M224">
        <v>44.41</v>
      </c>
      <c r="N224">
        <v>42.77</v>
      </c>
      <c r="O224" t="s">
        <v>20</v>
      </c>
      <c r="P224" t="s">
        <v>965</v>
      </c>
      <c r="Q224" t="s">
        <v>20</v>
      </c>
      <c r="R224" t="str">
        <f>HYPERLINK("https://cfpub.epa.gov/ecotox/explore.cfm?ncbi=227182","Explore in ECOTOX")</f>
        <v>Explore in ECOTOX</v>
      </c>
    </row>
    <row r="225" spans="1:18" x14ac:dyDescent="0.25">
      <c r="A225">
        <v>6</v>
      </c>
      <c r="B225" t="str">
        <f>HYPERLINK("http://www.ncbi.nlm.nih.gov/protein/KAB0388964.1","KAB0388964.1")</f>
        <v>KAB0388964.1</v>
      </c>
      <c r="C225">
        <v>20269</v>
      </c>
      <c r="D225" t="str">
        <f>HYPERLINK("http://www.ncbi.nlm.nih.gov/Taxonomy/Browser/wwwtax.cgi?mode=Info&amp;id=9770&amp;lvl=3&amp;lin=f&amp;keep=1&amp;srchmode=1&amp;unlock","9770")</f>
        <v>9770</v>
      </c>
      <c r="E225" t="s">
        <v>18</v>
      </c>
      <c r="F225" t="s">
        <v>18</v>
      </c>
      <c r="G225" t="str">
        <f>HYPERLINK("http://www.ncbi.nlm.nih.gov/Taxonomy/Browser/wwwtax.cgi?mode=Info&amp;id=9770&amp;lvl=3&amp;lin=f&amp;keep=1&amp;srchmode=1&amp;unlock","Balaenoptera physalus")</f>
        <v>Balaenoptera physalus</v>
      </c>
      <c r="H225" t="s">
        <v>978</v>
      </c>
      <c r="I225" t="str">
        <f>HYPERLINK("http://www.ncbi.nlm.nih.gov/protein/KAB0388964.1","hypothetical protein E2I00_000638")</f>
        <v>hypothetical protein E2I00_000638</v>
      </c>
      <c r="J225">
        <v>803.51</v>
      </c>
      <c r="K225" t="s">
        <v>25</v>
      </c>
      <c r="L225">
        <v>157</v>
      </c>
      <c r="M225">
        <v>44.41</v>
      </c>
      <c r="N225">
        <v>42.77</v>
      </c>
      <c r="O225" t="s">
        <v>20</v>
      </c>
      <c r="P225" t="s">
        <v>965</v>
      </c>
      <c r="Q225" t="s">
        <v>20</v>
      </c>
      <c r="R225" t="str">
        <f>HYPERLINK("https://cfpub.epa.gov/ecotox/explore.cfm?ncbi=9770","Explore in ECOTOX")</f>
        <v>Explore in ECOTOX</v>
      </c>
    </row>
    <row r="226" spans="1:18" x14ac:dyDescent="0.25">
      <c r="A226">
        <v>6</v>
      </c>
      <c r="B226" t="str">
        <f>HYPERLINK("http://www.ncbi.nlm.nih.gov/protein/XP_020762611.1","XP_020762611.1")</f>
        <v>XP_020762611.1</v>
      </c>
      <c r="C226">
        <v>48218</v>
      </c>
      <c r="D226" t="str">
        <f>HYPERLINK("http://www.ncbi.nlm.nih.gov/Taxonomy/Browser/wwwtax.cgi?mode=Info&amp;id=9880&amp;lvl=3&amp;lin=f&amp;keep=1&amp;srchmode=1&amp;unlock","9880")</f>
        <v>9880</v>
      </c>
      <c r="E226" t="s">
        <v>18</v>
      </c>
      <c r="F226" t="s">
        <v>18</v>
      </c>
      <c r="G226" t="str">
        <f>HYPERLINK("http://www.ncbi.nlm.nih.gov/Taxonomy/Browser/wwwtax.cgi?mode=Info&amp;id=9880&amp;lvl=3&amp;lin=f&amp;keep=1&amp;srchmode=1&amp;unlock","Odocoileus virginianus texanus")</f>
        <v>Odocoileus virginianus texanus</v>
      </c>
      <c r="H226" t="s">
        <v>101</v>
      </c>
      <c r="I226" t="str">
        <f>HYPERLINK("http://www.ncbi.nlm.nih.gov/protein/XP_020762611.1","androgen receptor")</f>
        <v>androgen receptor</v>
      </c>
      <c r="J226">
        <v>803.51</v>
      </c>
      <c r="K226" t="s">
        <v>25</v>
      </c>
      <c r="L226">
        <v>157</v>
      </c>
      <c r="M226">
        <v>44.41</v>
      </c>
      <c r="N226">
        <v>42.77</v>
      </c>
      <c r="O226" t="s">
        <v>20</v>
      </c>
      <c r="P226" t="s">
        <v>965</v>
      </c>
      <c r="Q226" t="s">
        <v>20</v>
      </c>
      <c r="R226" t="str">
        <f>HYPERLINK("https://cfpub.epa.gov/ecotox/explore.cfm?ncbi=9880","Explore in ECOTOX")</f>
        <v>Explore in ECOTOX</v>
      </c>
    </row>
    <row r="227" spans="1:18" x14ac:dyDescent="0.25">
      <c r="A227">
        <v>6</v>
      </c>
      <c r="B227" t="str">
        <f>HYPERLINK("http://www.ncbi.nlm.nih.gov/protein/NXW17840.1","NXW17840.1")</f>
        <v>NXW17840.1</v>
      </c>
      <c r="C227">
        <v>14176</v>
      </c>
      <c r="D227" t="str">
        <f>HYPERLINK("http://www.ncbi.nlm.nih.gov/Taxonomy/Browser/wwwtax.cgi?mode=Info&amp;id=321084&amp;lvl=3&amp;lin=f&amp;keep=1&amp;srchmode=1&amp;unlock","321084")</f>
        <v>321084</v>
      </c>
      <c r="E227" t="s">
        <v>167</v>
      </c>
      <c r="F227" t="s">
        <v>167</v>
      </c>
      <c r="G227" t="str">
        <f>HYPERLINK("http://www.ncbi.nlm.nih.gov/Taxonomy/Browser/wwwtax.cgi?mode=Info&amp;id=321084&amp;lvl=3&amp;lin=f&amp;keep=1&amp;srchmode=1&amp;unlock","Circaetus pectoralis")</f>
        <v>Circaetus pectoralis</v>
      </c>
      <c r="H227" t="s">
        <v>304</v>
      </c>
      <c r="I227" t="str">
        <f>HYPERLINK("http://www.ncbi.nlm.nih.gov/protein/NXW17840.1","ANDR protein")</f>
        <v>ANDR protein</v>
      </c>
      <c r="J227">
        <v>803.13</v>
      </c>
      <c r="K227" t="s">
        <v>25</v>
      </c>
      <c r="L227">
        <v>157</v>
      </c>
      <c r="M227">
        <v>44.41</v>
      </c>
      <c r="N227">
        <v>42.75</v>
      </c>
      <c r="O227" t="s">
        <v>20</v>
      </c>
      <c r="P227" t="s">
        <v>965</v>
      </c>
      <c r="Q227" t="s">
        <v>20</v>
      </c>
      <c r="R227" t="str">
        <f>HYPERLINK("https://cfpub.epa.gov/ecotox/explore.cfm?ncbi=321084","Explore in ECOTOX")</f>
        <v>Explore in ECOTOX</v>
      </c>
    </row>
    <row r="228" spans="1:18" x14ac:dyDescent="0.25">
      <c r="A228">
        <v>6</v>
      </c>
      <c r="B228" t="str">
        <f>HYPERLINK("http://www.ncbi.nlm.nih.gov/protein/XP_006774533.1","XP_006774533.1")</f>
        <v>XP_006774533.1</v>
      </c>
      <c r="C228">
        <v>48733</v>
      </c>
      <c r="D228" t="str">
        <f>HYPERLINK("http://www.ncbi.nlm.nih.gov/Taxonomy/Browser/wwwtax.cgi?mode=Info&amp;id=225400&amp;lvl=3&amp;lin=f&amp;keep=1&amp;srchmode=1&amp;unlock","225400")</f>
        <v>225400</v>
      </c>
      <c r="E228" t="s">
        <v>18</v>
      </c>
      <c r="F228" t="s">
        <v>18</v>
      </c>
      <c r="G228" t="str">
        <f>HYPERLINK("http://www.ncbi.nlm.nih.gov/Taxonomy/Browser/wwwtax.cgi?mode=Info&amp;id=225400&amp;lvl=3&amp;lin=f&amp;keep=1&amp;srchmode=1&amp;unlock","Myotis davidii")</f>
        <v>Myotis davidii</v>
      </c>
      <c r="H228" t="s">
        <v>77</v>
      </c>
      <c r="I228" t="str">
        <f>HYPERLINK("http://www.ncbi.nlm.nih.gov/protein/XP_006774533.1","PREDICTED: androgen receptor")</f>
        <v>PREDICTED: androgen receptor</v>
      </c>
      <c r="J228">
        <v>802.74</v>
      </c>
      <c r="K228" t="s">
        <v>25</v>
      </c>
      <c r="L228">
        <v>157</v>
      </c>
      <c r="M228">
        <v>44.41</v>
      </c>
      <c r="N228">
        <v>42.73</v>
      </c>
      <c r="O228" t="s">
        <v>20</v>
      </c>
      <c r="P228" t="s">
        <v>965</v>
      </c>
      <c r="Q228" t="s">
        <v>20</v>
      </c>
      <c r="R228" t="str">
        <f>HYPERLINK("https://cfpub.epa.gov/ecotox/explore.cfm?ncbi=225400","Explore in ECOTOX")</f>
        <v>Explore in ECOTOX</v>
      </c>
    </row>
    <row r="229" spans="1:18" x14ac:dyDescent="0.25">
      <c r="A229">
        <v>6</v>
      </c>
      <c r="B229" t="str">
        <f>HYPERLINK("http://www.ncbi.nlm.nih.gov/protein/NXE95941.1","NXE95941.1")</f>
        <v>NXE95941.1</v>
      </c>
      <c r="C229">
        <v>14528</v>
      </c>
      <c r="D229" t="str">
        <f>HYPERLINK("http://www.ncbi.nlm.nih.gov/Taxonomy/Browser/wwwtax.cgi?mode=Info&amp;id=47692&amp;lvl=3&amp;lin=f&amp;keep=1&amp;srchmode=1&amp;unlock","47692")</f>
        <v>47692</v>
      </c>
      <c r="E229" t="s">
        <v>167</v>
      </c>
      <c r="F229" t="s">
        <v>167</v>
      </c>
      <c r="G229" t="str">
        <f>HYPERLINK("http://www.ncbi.nlm.nih.gov/Taxonomy/Browser/wwwtax.cgi?mode=Info&amp;id=47692&amp;lvl=3&amp;lin=f&amp;keep=1&amp;srchmode=1&amp;unlock","Menura novaehollandiae")</f>
        <v>Menura novaehollandiae</v>
      </c>
      <c r="H229" t="s">
        <v>329</v>
      </c>
      <c r="I229" t="str">
        <f>HYPERLINK("http://www.ncbi.nlm.nih.gov/protein/NXE95941.1","ANDR protein")</f>
        <v>ANDR protein</v>
      </c>
      <c r="J229">
        <v>802.36</v>
      </c>
      <c r="K229" t="s">
        <v>25</v>
      </c>
      <c r="L229">
        <v>157</v>
      </c>
      <c r="M229">
        <v>44.41</v>
      </c>
      <c r="N229">
        <v>42.71</v>
      </c>
      <c r="O229" t="s">
        <v>20</v>
      </c>
      <c r="P229" t="s">
        <v>965</v>
      </c>
      <c r="Q229" t="s">
        <v>20</v>
      </c>
      <c r="R229" t="str">
        <f>HYPERLINK("https://cfpub.epa.gov/ecotox/explore.cfm?ncbi=47692","Explore in ECOTOX")</f>
        <v>Explore in ECOTOX</v>
      </c>
    </row>
    <row r="230" spans="1:18" x14ac:dyDescent="0.25">
      <c r="A230">
        <v>6</v>
      </c>
      <c r="B230" t="str">
        <f>HYPERLINK("http://www.ncbi.nlm.nih.gov/protein/NXN72835.1","NXN72835.1")</f>
        <v>NXN72835.1</v>
      </c>
      <c r="C230">
        <v>14348</v>
      </c>
      <c r="D230" t="str">
        <f>HYPERLINK("http://www.ncbi.nlm.nih.gov/Taxonomy/Browser/wwwtax.cgi?mode=Info&amp;id=225398&amp;lvl=3&amp;lin=f&amp;keep=1&amp;srchmode=1&amp;unlock","225398")</f>
        <v>225398</v>
      </c>
      <c r="E230" t="s">
        <v>167</v>
      </c>
      <c r="F230" t="s">
        <v>167</v>
      </c>
      <c r="G230" t="str">
        <f>HYPERLINK("http://www.ncbi.nlm.nih.gov/Taxonomy/Browser/wwwtax.cgi?mode=Info&amp;id=225398&amp;lvl=3&amp;lin=f&amp;keep=1&amp;srchmode=1&amp;unlock","Himantopus himantopus")</f>
        <v>Himantopus himantopus</v>
      </c>
      <c r="H230" t="s">
        <v>589</v>
      </c>
      <c r="I230" t="str">
        <f>HYPERLINK("http://www.ncbi.nlm.nih.gov/protein/NXN72835.1","ANDR protein")</f>
        <v>ANDR protein</v>
      </c>
      <c r="J230">
        <v>802.36</v>
      </c>
      <c r="K230" t="s">
        <v>25</v>
      </c>
      <c r="L230">
        <v>157</v>
      </c>
      <c r="M230">
        <v>44.41</v>
      </c>
      <c r="N230">
        <v>42.71</v>
      </c>
      <c r="O230" t="s">
        <v>20</v>
      </c>
      <c r="P230" t="s">
        <v>965</v>
      </c>
      <c r="Q230" t="s">
        <v>20</v>
      </c>
      <c r="R230" t="str">
        <f>HYPERLINK("https://cfpub.epa.gov/ecotox/explore.cfm?ncbi=225398","Explore in ECOTOX")</f>
        <v>Explore in ECOTOX</v>
      </c>
    </row>
    <row r="231" spans="1:18" x14ac:dyDescent="0.25">
      <c r="A231">
        <v>6</v>
      </c>
      <c r="B231" t="str">
        <f>HYPERLINK("http://www.ncbi.nlm.nih.gov/protein/XP_035180057.1","XP_035180057.1")</f>
        <v>XP_035180057.1</v>
      </c>
      <c r="C231">
        <v>39822</v>
      </c>
      <c r="D231" t="str">
        <f>HYPERLINK("http://www.ncbi.nlm.nih.gov/Taxonomy/Browser/wwwtax.cgi?mode=Info&amp;id=8884&amp;lvl=3&amp;lin=f&amp;keep=1&amp;srchmode=1&amp;unlock","8884")</f>
        <v>8884</v>
      </c>
      <c r="E231" t="s">
        <v>167</v>
      </c>
      <c r="F231" t="s">
        <v>167</v>
      </c>
      <c r="G231" t="str">
        <f>HYPERLINK("http://www.ncbi.nlm.nih.gov/Taxonomy/Browser/wwwtax.cgi?mode=Info&amp;id=8884&amp;lvl=3&amp;lin=f&amp;keep=1&amp;srchmode=1&amp;unlock","Oxyura jamaicensis")</f>
        <v>Oxyura jamaicensis</v>
      </c>
      <c r="H231" t="s">
        <v>273</v>
      </c>
      <c r="I231" t="str">
        <f>HYPERLINK("http://www.ncbi.nlm.nih.gov/protein/XP_035180057.1","androgen receptor")</f>
        <v>androgen receptor</v>
      </c>
      <c r="J231">
        <v>801.59</v>
      </c>
      <c r="K231" t="s">
        <v>25</v>
      </c>
      <c r="L231">
        <v>157</v>
      </c>
      <c r="M231">
        <v>44.41</v>
      </c>
      <c r="N231">
        <v>42.67</v>
      </c>
      <c r="O231" t="s">
        <v>20</v>
      </c>
      <c r="P231" t="s">
        <v>965</v>
      </c>
      <c r="Q231" t="s">
        <v>20</v>
      </c>
      <c r="R231" t="str">
        <f>HYPERLINK("https://cfpub.epa.gov/ecotox/explore.cfm?ncbi=8884","Explore in ECOTOX")</f>
        <v>Explore in ECOTOX</v>
      </c>
    </row>
    <row r="232" spans="1:18" x14ac:dyDescent="0.25">
      <c r="A232">
        <v>6</v>
      </c>
      <c r="B232" t="str">
        <f>HYPERLINK("http://www.ncbi.nlm.nih.gov/protein/XP_027694876.1","XP_027694876.1")</f>
        <v>XP_027694876.1</v>
      </c>
      <c r="C232">
        <v>42741</v>
      </c>
      <c r="D232" t="str">
        <f>HYPERLINK("http://www.ncbi.nlm.nih.gov/Taxonomy/Browser/wwwtax.cgi?mode=Info&amp;id=29139&amp;lvl=3&amp;lin=f&amp;keep=1&amp;srchmode=1&amp;unlock","29139")</f>
        <v>29139</v>
      </c>
      <c r="E232" t="s">
        <v>18</v>
      </c>
      <c r="F232" t="s">
        <v>18</v>
      </c>
      <c r="G232" t="str">
        <f>HYPERLINK("http://www.ncbi.nlm.nih.gov/Taxonomy/Browser/wwwtax.cgi?mode=Info&amp;id=29139&amp;lvl=3&amp;lin=f&amp;keep=1&amp;srchmode=1&amp;unlock","Vombatus ursinus")</f>
        <v>Vombatus ursinus</v>
      </c>
      <c r="H232" t="s">
        <v>181</v>
      </c>
      <c r="I232" t="str">
        <f>HYPERLINK("http://www.ncbi.nlm.nih.gov/protein/XP_027694876.1","androgen receptor")</f>
        <v>androgen receptor</v>
      </c>
      <c r="J232">
        <v>801.2</v>
      </c>
      <c r="K232" t="s">
        <v>25</v>
      </c>
      <c r="L232">
        <v>157</v>
      </c>
      <c r="M232">
        <v>44.41</v>
      </c>
      <c r="N232">
        <v>42.65</v>
      </c>
      <c r="O232" t="s">
        <v>20</v>
      </c>
      <c r="P232" t="s">
        <v>965</v>
      </c>
      <c r="Q232" t="s">
        <v>20</v>
      </c>
      <c r="R232" t="str">
        <f>HYPERLINK("https://cfpub.epa.gov/ecotox/explore.cfm?ncbi=29139","Explore in ECOTOX")</f>
        <v>Explore in ECOTOX</v>
      </c>
    </row>
    <row r="233" spans="1:18" x14ac:dyDescent="0.25">
      <c r="A233">
        <v>6</v>
      </c>
      <c r="B233" t="str">
        <f>HYPERLINK("http://www.ncbi.nlm.nih.gov/protein/NXE39462.1","NXE39462.1")</f>
        <v>NXE39462.1</v>
      </c>
      <c r="C233">
        <v>13533</v>
      </c>
      <c r="D233" t="str">
        <f>HYPERLINK("http://www.ncbi.nlm.nih.gov/Taxonomy/Browser/wwwtax.cgi?mode=Info&amp;id=449384&amp;lvl=3&amp;lin=f&amp;keep=1&amp;srchmode=1&amp;unlock","449384")</f>
        <v>449384</v>
      </c>
      <c r="E233" t="s">
        <v>167</v>
      </c>
      <c r="F233" t="s">
        <v>167</v>
      </c>
      <c r="G233" t="str">
        <f>HYPERLINK("http://www.ncbi.nlm.nih.gov/Taxonomy/Browser/wwwtax.cgi?mode=Info&amp;id=449384&amp;lvl=3&amp;lin=f&amp;keep=1&amp;srchmode=1&amp;unlock","Ptilorrhoa leucosticta")</f>
        <v>Ptilorrhoa leucosticta</v>
      </c>
      <c r="H233" t="s">
        <v>206</v>
      </c>
      <c r="I233" t="str">
        <f>HYPERLINK("http://www.ncbi.nlm.nih.gov/protein/NXE39462.1","ANDR protein")</f>
        <v>ANDR protein</v>
      </c>
      <c r="J233">
        <v>801.2</v>
      </c>
      <c r="K233" t="s">
        <v>25</v>
      </c>
      <c r="L233">
        <v>157</v>
      </c>
      <c r="M233">
        <v>44.41</v>
      </c>
      <c r="N233">
        <v>42.65</v>
      </c>
      <c r="O233" t="s">
        <v>20</v>
      </c>
      <c r="P233" t="s">
        <v>965</v>
      </c>
      <c r="Q233" t="s">
        <v>20</v>
      </c>
      <c r="R233" t="str">
        <f>HYPERLINK("https://cfpub.epa.gov/ecotox/explore.cfm?ncbi=449384","Explore in ECOTOX")</f>
        <v>Explore in ECOTOX</v>
      </c>
    </row>
    <row r="234" spans="1:18" x14ac:dyDescent="0.25">
      <c r="A234">
        <v>6</v>
      </c>
      <c r="B234" t="str">
        <f>HYPERLINK("http://www.ncbi.nlm.nih.gov/protein/NXG00117.1","NXG00117.1")</f>
        <v>NXG00117.1</v>
      </c>
      <c r="C234">
        <v>14155</v>
      </c>
      <c r="D234" t="str">
        <f>HYPERLINK("http://www.ncbi.nlm.nih.gov/Taxonomy/Browser/wwwtax.cgi?mode=Info&amp;id=419690&amp;lvl=3&amp;lin=f&amp;keep=1&amp;srchmode=1&amp;unlock","419690")</f>
        <v>419690</v>
      </c>
      <c r="E234" t="s">
        <v>167</v>
      </c>
      <c r="F234" t="s">
        <v>167</v>
      </c>
      <c r="G234" t="str">
        <f>HYPERLINK("http://www.ncbi.nlm.nih.gov/Taxonomy/Browser/wwwtax.cgi?mode=Info&amp;id=419690&amp;lvl=3&amp;lin=f&amp;keep=1&amp;srchmode=1&amp;unlock","Sakesphorus luctuosus")</f>
        <v>Sakesphorus luctuosus</v>
      </c>
      <c r="H234" t="s">
        <v>206</v>
      </c>
      <c r="I234" t="str">
        <f>HYPERLINK("http://www.ncbi.nlm.nih.gov/protein/NXG00117.1","ANDR protein")</f>
        <v>ANDR protein</v>
      </c>
      <c r="J234">
        <v>800.82</v>
      </c>
      <c r="K234" t="s">
        <v>25</v>
      </c>
      <c r="L234">
        <v>157</v>
      </c>
      <c r="M234">
        <v>44.41</v>
      </c>
      <c r="N234">
        <v>42.63</v>
      </c>
      <c r="O234" t="s">
        <v>20</v>
      </c>
      <c r="P234" t="s">
        <v>965</v>
      </c>
      <c r="Q234" t="s">
        <v>20</v>
      </c>
      <c r="R234" t="str">
        <f>HYPERLINK("https://cfpub.epa.gov/ecotox/explore.cfm?ncbi=419690","Explore in ECOTOX")</f>
        <v>Explore in ECOTOX</v>
      </c>
    </row>
    <row r="235" spans="1:18" x14ac:dyDescent="0.25">
      <c r="A235">
        <v>6</v>
      </c>
      <c r="B235" t="str">
        <f>HYPERLINK("http://www.ncbi.nlm.nih.gov/protein/QIS93408.1","QIS93408.1")</f>
        <v>QIS93408.1</v>
      </c>
      <c r="C235">
        <v>162</v>
      </c>
      <c r="D235" t="str">
        <f>HYPERLINK("http://www.ncbi.nlm.nih.gov/Taxonomy/Browser/wwwtax.cgi?mode=Info&amp;id=137245&amp;lvl=3&amp;lin=f&amp;keep=1&amp;srchmode=1&amp;unlock","137245")</f>
        <v>137245</v>
      </c>
      <c r="E235" t="s">
        <v>134</v>
      </c>
      <c r="F235" t="s">
        <v>134</v>
      </c>
      <c r="G235" t="str">
        <f>HYPERLINK("http://www.ncbi.nlm.nih.gov/Taxonomy/Browser/wwwtax.cgi?mode=Info&amp;id=137245&amp;lvl=3&amp;lin=f&amp;keep=1&amp;srchmode=1&amp;unlock","Cynops orientalis")</f>
        <v>Cynops orientalis</v>
      </c>
      <c r="H235" t="s">
        <v>979</v>
      </c>
      <c r="I235" t="str">
        <f>HYPERLINK("http://www.ncbi.nlm.nih.gov/protein/QIS93408.1","androgen receptor AR")</f>
        <v>androgen receptor AR</v>
      </c>
      <c r="J235">
        <v>800.43</v>
      </c>
      <c r="K235" t="s">
        <v>25</v>
      </c>
      <c r="L235">
        <v>157</v>
      </c>
      <c r="M235">
        <v>44.41</v>
      </c>
      <c r="N235">
        <v>42.61</v>
      </c>
      <c r="O235" t="s">
        <v>20</v>
      </c>
      <c r="P235" t="s">
        <v>965</v>
      </c>
      <c r="Q235" t="s">
        <v>20</v>
      </c>
      <c r="R235" t="str">
        <f>HYPERLINK("https://cfpub.epa.gov/ecotox/explore.cfm?ncbi=137245","Explore in ECOTOX")</f>
        <v>Explore in ECOTOX</v>
      </c>
    </row>
    <row r="236" spans="1:18" x14ac:dyDescent="0.25">
      <c r="A236">
        <v>6</v>
      </c>
      <c r="B236" t="str">
        <f>HYPERLINK("http://www.ncbi.nlm.nih.gov/protein/NXF32167.1","NXF32167.1")</f>
        <v>NXF32167.1</v>
      </c>
      <c r="C236">
        <v>13974</v>
      </c>
      <c r="D236" t="str">
        <f>HYPERLINK("http://www.ncbi.nlm.nih.gov/Taxonomy/Browser/wwwtax.cgi?mode=Info&amp;id=48426&amp;lvl=3&amp;lin=f&amp;keep=1&amp;srchmode=1&amp;unlock","48426")</f>
        <v>48426</v>
      </c>
      <c r="E236" t="s">
        <v>167</v>
      </c>
      <c r="F236" t="s">
        <v>167</v>
      </c>
      <c r="G236" t="str">
        <f>HYPERLINK("http://www.ncbi.nlm.nih.gov/Taxonomy/Browser/wwwtax.cgi?mode=Info&amp;id=48426&amp;lvl=3&amp;lin=f&amp;keep=1&amp;srchmode=1&amp;unlock","Nyctibius bracteatus")</f>
        <v>Nyctibius bracteatus</v>
      </c>
      <c r="H236" t="s">
        <v>232</v>
      </c>
      <c r="I236" t="str">
        <f>HYPERLINK("http://www.ncbi.nlm.nih.gov/protein/NXF32167.1","ANDR protein")</f>
        <v>ANDR protein</v>
      </c>
      <c r="J236">
        <v>800.43</v>
      </c>
      <c r="K236" t="s">
        <v>25</v>
      </c>
      <c r="L236">
        <v>157</v>
      </c>
      <c r="M236">
        <v>44.41</v>
      </c>
      <c r="N236">
        <v>42.61</v>
      </c>
      <c r="O236" t="s">
        <v>20</v>
      </c>
      <c r="P236" t="s">
        <v>965</v>
      </c>
      <c r="Q236" t="s">
        <v>20</v>
      </c>
      <c r="R236" t="str">
        <f>HYPERLINK("https://cfpub.epa.gov/ecotox/explore.cfm?ncbi=48426","Explore in ECOTOX")</f>
        <v>Explore in ECOTOX</v>
      </c>
    </row>
    <row r="237" spans="1:18" x14ac:dyDescent="0.25">
      <c r="A237">
        <v>6</v>
      </c>
      <c r="B237" t="str">
        <f>HYPERLINK("http://www.ncbi.nlm.nih.gov/protein/NWV83023.1","NWV83023.1")</f>
        <v>NWV83023.1</v>
      </c>
      <c r="C237">
        <v>14411</v>
      </c>
      <c r="D237" t="str">
        <f>HYPERLINK("http://www.ncbi.nlm.nih.gov/Taxonomy/Browser/wwwtax.cgi?mode=Info&amp;id=243059&amp;lvl=3&amp;lin=f&amp;keep=1&amp;srchmode=1&amp;unlock","243059")</f>
        <v>243059</v>
      </c>
      <c r="E237" t="s">
        <v>167</v>
      </c>
      <c r="F237" t="s">
        <v>167</v>
      </c>
      <c r="G237" t="str">
        <f>HYPERLINK("http://www.ncbi.nlm.nih.gov/Taxonomy/Browser/wwwtax.cgi?mode=Info&amp;id=243059&amp;lvl=3&amp;lin=f&amp;keep=1&amp;srchmode=1&amp;unlock","Dasyornis broadbenti")</f>
        <v>Dasyornis broadbenti</v>
      </c>
      <c r="H237" t="s">
        <v>505</v>
      </c>
      <c r="I237" t="str">
        <f>HYPERLINK("http://www.ncbi.nlm.nih.gov/protein/NWV83023.1","ANDR protein")</f>
        <v>ANDR protein</v>
      </c>
      <c r="J237">
        <v>800.43</v>
      </c>
      <c r="K237" t="s">
        <v>25</v>
      </c>
      <c r="L237">
        <v>157</v>
      </c>
      <c r="M237">
        <v>44.41</v>
      </c>
      <c r="N237">
        <v>42.61</v>
      </c>
      <c r="O237" t="s">
        <v>20</v>
      </c>
      <c r="P237" t="s">
        <v>965</v>
      </c>
      <c r="Q237" t="s">
        <v>20</v>
      </c>
      <c r="R237" t="str">
        <f>HYPERLINK("https://cfpub.epa.gov/ecotox/explore.cfm?ncbi=243059","Explore in ECOTOX")</f>
        <v>Explore in ECOTOX</v>
      </c>
    </row>
    <row r="238" spans="1:18" x14ac:dyDescent="0.25">
      <c r="A238">
        <v>6</v>
      </c>
      <c r="B238" t="str">
        <f>HYPERLINK("http://www.ncbi.nlm.nih.gov/protein/NXL59281.1","NXL59281.1")</f>
        <v>NXL59281.1</v>
      </c>
      <c r="C238">
        <v>14052</v>
      </c>
      <c r="D238" t="str">
        <f>HYPERLINK("http://www.ncbi.nlm.nih.gov/Taxonomy/Browser/wwwtax.cgi?mode=Info&amp;id=118183&amp;lvl=3&amp;lin=f&amp;keep=1&amp;srchmode=1&amp;unlock","118183")</f>
        <v>118183</v>
      </c>
      <c r="E238" t="s">
        <v>167</v>
      </c>
      <c r="F238" t="s">
        <v>167</v>
      </c>
      <c r="G238" t="str">
        <f>HYPERLINK("http://www.ncbi.nlm.nih.gov/Taxonomy/Browser/wwwtax.cgi?mode=Info&amp;id=118183&amp;lvl=3&amp;lin=f&amp;keep=1&amp;srchmode=1&amp;unlock","Chordeiles acutipennis")</f>
        <v>Chordeiles acutipennis</v>
      </c>
      <c r="H238" t="s">
        <v>610</v>
      </c>
      <c r="I238" t="str">
        <f>HYPERLINK("http://www.ncbi.nlm.nih.gov/protein/NXL59281.1","ANDR protein")</f>
        <v>ANDR protein</v>
      </c>
      <c r="J238">
        <v>800.04</v>
      </c>
      <c r="K238" t="s">
        <v>25</v>
      </c>
      <c r="L238">
        <v>157</v>
      </c>
      <c r="M238">
        <v>44.41</v>
      </c>
      <c r="N238">
        <v>42.59</v>
      </c>
      <c r="O238" t="s">
        <v>20</v>
      </c>
      <c r="P238" t="s">
        <v>965</v>
      </c>
      <c r="Q238" t="s">
        <v>20</v>
      </c>
      <c r="R238" t="str">
        <f>HYPERLINK("https://cfpub.epa.gov/ecotox/explore.cfm?ncbi=118183","Explore in ECOTOX")</f>
        <v>Explore in ECOTOX</v>
      </c>
    </row>
    <row r="239" spans="1:18" x14ac:dyDescent="0.25">
      <c r="A239">
        <v>6</v>
      </c>
      <c r="B239" t="str">
        <f>HYPERLINK("http://www.ncbi.nlm.nih.gov/protein/XP_027518937.1","XP_027518937.1")</f>
        <v>XP_027518937.1</v>
      </c>
      <c r="C239">
        <v>39234</v>
      </c>
      <c r="D239" t="str">
        <f>HYPERLINK("http://www.ncbi.nlm.nih.gov/Taxonomy/Browser/wwwtax.cgi?mode=Info&amp;id=415028&amp;lvl=3&amp;lin=f&amp;keep=1&amp;srchmode=1&amp;unlock","415028")</f>
        <v>415028</v>
      </c>
      <c r="E239" t="s">
        <v>167</v>
      </c>
      <c r="F239" t="s">
        <v>167</v>
      </c>
      <c r="G239" t="str">
        <f>HYPERLINK("http://www.ncbi.nlm.nih.gov/Taxonomy/Browser/wwwtax.cgi?mode=Info&amp;id=415028&amp;lvl=3&amp;lin=f&amp;keep=1&amp;srchmode=1&amp;unlock","Corapipo altera")</f>
        <v>Corapipo altera</v>
      </c>
      <c r="H239" t="s">
        <v>493</v>
      </c>
      <c r="I239" t="str">
        <f>HYPERLINK("http://www.ncbi.nlm.nih.gov/protein/XP_027518937.1","androgen receptor, partial")</f>
        <v>androgen receptor, partial</v>
      </c>
      <c r="J239">
        <v>799.66</v>
      </c>
      <c r="K239" t="s">
        <v>25</v>
      </c>
      <c r="L239">
        <v>157</v>
      </c>
      <c r="M239">
        <v>44.41</v>
      </c>
      <c r="N239">
        <v>42.57</v>
      </c>
      <c r="O239" t="s">
        <v>20</v>
      </c>
      <c r="P239" t="s">
        <v>965</v>
      </c>
      <c r="Q239" t="s">
        <v>20</v>
      </c>
      <c r="R239" t="str">
        <f>HYPERLINK("https://cfpub.epa.gov/ecotox/explore.cfm?ncbi=415028","Explore in ECOTOX")</f>
        <v>Explore in ECOTOX</v>
      </c>
    </row>
    <row r="240" spans="1:18" x14ac:dyDescent="0.25">
      <c r="A240">
        <v>6</v>
      </c>
      <c r="B240" t="str">
        <f>HYPERLINK("http://www.ncbi.nlm.nih.gov/protein/NWV26475.1","NWV26475.1")</f>
        <v>NWV26475.1</v>
      </c>
      <c r="C240">
        <v>14487</v>
      </c>
      <c r="D240" t="str">
        <f>HYPERLINK("http://www.ncbi.nlm.nih.gov/Taxonomy/Browser/wwwtax.cgi?mode=Info&amp;id=720586&amp;lvl=3&amp;lin=f&amp;keep=1&amp;srchmode=1&amp;unlock","720586")</f>
        <v>720586</v>
      </c>
      <c r="E240" t="s">
        <v>167</v>
      </c>
      <c r="F240" t="s">
        <v>167</v>
      </c>
      <c r="G240" t="str">
        <f>HYPERLINK("http://www.ncbi.nlm.nih.gov/Taxonomy/Browser/wwwtax.cgi?mode=Info&amp;id=720586&amp;lvl=3&amp;lin=f&amp;keep=1&amp;srchmode=1&amp;unlock","Origma solitaria")</f>
        <v>Origma solitaria</v>
      </c>
      <c r="H240" t="s">
        <v>206</v>
      </c>
      <c r="I240" t="str">
        <f>HYPERLINK("http://www.ncbi.nlm.nih.gov/protein/NWV26475.1","ANDR protein")</f>
        <v>ANDR protein</v>
      </c>
      <c r="J240">
        <v>799.66</v>
      </c>
      <c r="K240" t="s">
        <v>25</v>
      </c>
      <c r="L240">
        <v>157</v>
      </c>
      <c r="M240">
        <v>44.41</v>
      </c>
      <c r="N240">
        <v>42.57</v>
      </c>
      <c r="O240" t="s">
        <v>20</v>
      </c>
      <c r="P240" t="s">
        <v>965</v>
      </c>
      <c r="Q240" t="s">
        <v>20</v>
      </c>
      <c r="R240" t="str">
        <f>HYPERLINK("https://cfpub.epa.gov/ecotox/explore.cfm?ncbi=720586","Explore in ECOTOX")</f>
        <v>Explore in ECOTOX</v>
      </c>
    </row>
    <row r="241" spans="1:18" x14ac:dyDescent="0.25">
      <c r="A241">
        <v>6</v>
      </c>
      <c r="B241" t="str">
        <f>HYPERLINK("http://www.ncbi.nlm.nih.gov/protein/NP_001070156.1","NP_001070156.1")</f>
        <v>NP_001070156.1</v>
      </c>
      <c r="C241">
        <v>45119</v>
      </c>
      <c r="D241" t="str">
        <f>HYPERLINK("http://www.ncbi.nlm.nih.gov/Taxonomy/Browser/wwwtax.cgi?mode=Info&amp;id=59729&amp;lvl=3&amp;lin=f&amp;keep=1&amp;srchmode=1&amp;unlock","59729")</f>
        <v>59729</v>
      </c>
      <c r="E241" t="s">
        <v>167</v>
      </c>
      <c r="F241" t="s">
        <v>167</v>
      </c>
      <c r="G241" t="str">
        <f>HYPERLINK("http://www.ncbi.nlm.nih.gov/Taxonomy/Browser/wwwtax.cgi?mode=Info&amp;id=59729&amp;lvl=3&amp;lin=f&amp;keep=1&amp;srchmode=1&amp;unlock","Taeniopygia guttata")</f>
        <v>Taeniopygia guttata</v>
      </c>
      <c r="H241" t="s">
        <v>446</v>
      </c>
      <c r="I241" t="str">
        <f>HYPERLINK("http://www.ncbi.nlm.nih.gov/protein/NP_001070156.1","androgen receptor")</f>
        <v>androgen receptor</v>
      </c>
      <c r="J241">
        <v>799.66</v>
      </c>
      <c r="K241" t="s">
        <v>25</v>
      </c>
      <c r="L241">
        <v>157</v>
      </c>
      <c r="M241">
        <v>44.41</v>
      </c>
      <c r="N241">
        <v>42.57</v>
      </c>
      <c r="O241" t="s">
        <v>20</v>
      </c>
      <c r="P241" t="s">
        <v>965</v>
      </c>
      <c r="Q241" t="s">
        <v>20</v>
      </c>
      <c r="R241" t="str">
        <f>HYPERLINK("https://cfpub.epa.gov/ecotox/explore.cfm?ncbi=59729","Explore in ECOTOX")</f>
        <v>Explore in ECOTOX</v>
      </c>
    </row>
    <row r="242" spans="1:18" x14ac:dyDescent="0.25">
      <c r="A242">
        <v>6</v>
      </c>
      <c r="B242" t="str">
        <f>HYPERLINK("http://www.ncbi.nlm.nih.gov/protein/KAF1590137.1","KAF1590137.1")</f>
        <v>KAF1590137.1</v>
      </c>
      <c r="C242">
        <v>17585</v>
      </c>
      <c r="D242" t="str">
        <f>HYPERLINK("http://www.ncbi.nlm.nih.gov/Taxonomy/Browser/wwwtax.cgi?mode=Info&amp;id=37080&amp;lvl=3&amp;lin=f&amp;keep=1&amp;srchmode=1&amp;unlock","37080")</f>
        <v>37080</v>
      </c>
      <c r="E242" t="s">
        <v>167</v>
      </c>
      <c r="F242" t="s">
        <v>167</v>
      </c>
      <c r="G242" t="str">
        <f>HYPERLINK("http://www.ncbi.nlm.nih.gov/Taxonomy/Browser/wwwtax.cgi?mode=Info&amp;id=37080&amp;lvl=3&amp;lin=f&amp;keep=1&amp;srchmode=1&amp;unlock","Eudyptes pachyrhynchus")</f>
        <v>Eudyptes pachyrhynchus</v>
      </c>
      <c r="H242" t="s">
        <v>261</v>
      </c>
      <c r="I242" t="str">
        <f>HYPERLINK("http://www.ncbi.nlm.nih.gov/protein/KAF1590137.1","Androgen receptor, partial")</f>
        <v>Androgen receptor, partial</v>
      </c>
      <c r="J242">
        <v>799.66</v>
      </c>
      <c r="K242" t="s">
        <v>25</v>
      </c>
      <c r="L242">
        <v>157</v>
      </c>
      <c r="M242">
        <v>44.41</v>
      </c>
      <c r="N242">
        <v>42.57</v>
      </c>
      <c r="O242" t="s">
        <v>20</v>
      </c>
      <c r="P242" t="s">
        <v>965</v>
      </c>
      <c r="Q242" t="s">
        <v>20</v>
      </c>
      <c r="R242" t="str">
        <f>HYPERLINK("https://cfpub.epa.gov/ecotox/explore.cfm?ncbi=37080","Explore in ECOTOX")</f>
        <v>Explore in ECOTOX</v>
      </c>
    </row>
    <row r="243" spans="1:18" x14ac:dyDescent="0.25">
      <c r="A243">
        <v>6</v>
      </c>
      <c r="B243" t="str">
        <f>HYPERLINK("http://www.ncbi.nlm.nih.gov/protein/NWI38923.1","NWI38923.1")</f>
        <v>NWI38923.1</v>
      </c>
      <c r="C243">
        <v>13590</v>
      </c>
      <c r="D243" t="str">
        <f>HYPERLINK("http://www.ncbi.nlm.nih.gov/Taxonomy/Browser/wwwtax.cgi?mode=Info&amp;id=175131&amp;lvl=3&amp;lin=f&amp;keep=1&amp;srchmode=1&amp;unlock","175131")</f>
        <v>175131</v>
      </c>
      <c r="E243" t="s">
        <v>167</v>
      </c>
      <c r="F243" t="s">
        <v>167</v>
      </c>
      <c r="G243" t="str">
        <f>HYPERLINK("http://www.ncbi.nlm.nih.gov/Taxonomy/Browser/wwwtax.cgi?mode=Info&amp;id=175131&amp;lvl=3&amp;lin=f&amp;keep=1&amp;srchmode=1&amp;unlock","Picathartes gymnocephalus")</f>
        <v>Picathartes gymnocephalus</v>
      </c>
      <c r="H243" t="s">
        <v>206</v>
      </c>
      <c r="I243" t="str">
        <f>HYPERLINK("http://www.ncbi.nlm.nih.gov/protein/NWI38923.1","ANDR protein")</f>
        <v>ANDR protein</v>
      </c>
      <c r="J243">
        <v>799.27</v>
      </c>
      <c r="K243" t="s">
        <v>25</v>
      </c>
      <c r="L243">
        <v>157</v>
      </c>
      <c r="M243">
        <v>44.41</v>
      </c>
      <c r="N243">
        <v>42.55</v>
      </c>
      <c r="O243" t="s">
        <v>20</v>
      </c>
      <c r="P243" t="s">
        <v>965</v>
      </c>
      <c r="Q243" t="s">
        <v>20</v>
      </c>
      <c r="R243" t="str">
        <f>HYPERLINK("https://cfpub.epa.gov/ecotox/explore.cfm?ncbi=175131","Explore in ECOTOX")</f>
        <v>Explore in ECOTOX</v>
      </c>
    </row>
    <row r="244" spans="1:18" x14ac:dyDescent="0.25">
      <c r="A244">
        <v>6</v>
      </c>
      <c r="B244" t="str">
        <f>HYPERLINK("http://www.ncbi.nlm.nih.gov/protein/NXL01257.1","NXL01257.1")</f>
        <v>NXL01257.1</v>
      </c>
      <c r="C244">
        <v>13893</v>
      </c>
      <c r="D244" t="str">
        <f>HYPERLINK("http://www.ncbi.nlm.nih.gov/Taxonomy/Browser/wwwtax.cgi?mode=Info&amp;id=1118748&amp;lvl=3&amp;lin=f&amp;keep=1&amp;srchmode=1&amp;unlock","1118748")</f>
        <v>1118748</v>
      </c>
      <c r="E244" t="s">
        <v>167</v>
      </c>
      <c r="F244" t="s">
        <v>167</v>
      </c>
      <c r="G244" t="str">
        <f>HYPERLINK("http://www.ncbi.nlm.nih.gov/Taxonomy/Browser/wwwtax.cgi?mode=Info&amp;id=1118748&amp;lvl=3&amp;lin=f&amp;keep=1&amp;srchmode=1&amp;unlock","Mesembrinibis cayennensis")</f>
        <v>Mesembrinibis cayennensis</v>
      </c>
      <c r="H244" t="s">
        <v>980</v>
      </c>
      <c r="I244" t="str">
        <f>HYPERLINK("http://www.ncbi.nlm.nih.gov/protein/NXL01257.1","ANDR protein")</f>
        <v>ANDR protein</v>
      </c>
      <c r="J244">
        <v>798.89</v>
      </c>
      <c r="K244" t="s">
        <v>25</v>
      </c>
      <c r="L244">
        <v>157</v>
      </c>
      <c r="M244">
        <v>44.41</v>
      </c>
      <c r="N244">
        <v>42.53</v>
      </c>
      <c r="O244" t="s">
        <v>20</v>
      </c>
      <c r="P244" t="s">
        <v>965</v>
      </c>
      <c r="Q244" t="s">
        <v>20</v>
      </c>
      <c r="R244" t="str">
        <f>HYPERLINK("https://cfpub.epa.gov/ecotox/explore.cfm?ncbi=1118748","Explore in ECOTOX")</f>
        <v>Explore in ECOTOX</v>
      </c>
    </row>
    <row r="245" spans="1:18" x14ac:dyDescent="0.25">
      <c r="A245">
        <v>6</v>
      </c>
      <c r="B245" t="str">
        <f>HYPERLINK("http://www.ncbi.nlm.nih.gov/protein/NXW44450.1","NXW44450.1")</f>
        <v>NXW44450.1</v>
      </c>
      <c r="C245">
        <v>13396</v>
      </c>
      <c r="D245" t="str">
        <f>HYPERLINK("http://www.ncbi.nlm.nih.gov/Taxonomy/Browser/wwwtax.cgi?mode=Info&amp;id=382315&amp;lvl=3&amp;lin=f&amp;keep=1&amp;srchmode=1&amp;unlock","382315")</f>
        <v>382315</v>
      </c>
      <c r="E245" t="s">
        <v>167</v>
      </c>
      <c r="F245" t="s">
        <v>167</v>
      </c>
      <c r="G245" t="str">
        <f>HYPERLINK("http://www.ncbi.nlm.nih.gov/Taxonomy/Browser/wwwtax.cgi?mode=Info&amp;id=382315&amp;lvl=3&amp;lin=f&amp;keep=1&amp;srchmode=1&amp;unlock","Nyctiprogne leucopyga")</f>
        <v>Nyctiprogne leucopyga</v>
      </c>
      <c r="H245" t="s">
        <v>233</v>
      </c>
      <c r="I245" t="str">
        <f>HYPERLINK("http://www.ncbi.nlm.nih.gov/protein/NXW44450.1","ANDR protein")</f>
        <v>ANDR protein</v>
      </c>
      <c r="J245">
        <v>798.89</v>
      </c>
      <c r="K245" t="s">
        <v>25</v>
      </c>
      <c r="L245">
        <v>157</v>
      </c>
      <c r="M245">
        <v>44.41</v>
      </c>
      <c r="N245">
        <v>42.53</v>
      </c>
      <c r="O245" t="s">
        <v>20</v>
      </c>
      <c r="P245" t="s">
        <v>965</v>
      </c>
      <c r="Q245" t="s">
        <v>20</v>
      </c>
      <c r="R245" t="str">
        <f>HYPERLINK("https://cfpub.epa.gov/ecotox/explore.cfm?ncbi=382315","Explore in ECOTOX")</f>
        <v>Explore in ECOTOX</v>
      </c>
    </row>
    <row r="246" spans="1:18" x14ac:dyDescent="0.25">
      <c r="A246">
        <v>6</v>
      </c>
      <c r="B246" t="str">
        <f>HYPERLINK("http://www.ncbi.nlm.nih.gov/protein/NWQ62781.1","NWQ62781.1")</f>
        <v>NWQ62781.1</v>
      </c>
      <c r="C246">
        <v>14028</v>
      </c>
      <c r="D246" t="str">
        <f>HYPERLINK("http://www.ncbi.nlm.nih.gov/Taxonomy/Browser/wwwtax.cgi?mode=Info&amp;id=456388&amp;lvl=3&amp;lin=f&amp;keep=1&amp;srchmode=1&amp;unlock","456388")</f>
        <v>456388</v>
      </c>
      <c r="E246" t="s">
        <v>167</v>
      </c>
      <c r="F246" t="s">
        <v>167</v>
      </c>
      <c r="G246" t="str">
        <f>HYPERLINK("http://www.ncbi.nlm.nih.gov/Taxonomy/Browser/wwwtax.cgi?mode=Info&amp;id=456388&amp;lvl=3&amp;lin=f&amp;keep=1&amp;srchmode=1&amp;unlock","Neopipo cinnamomea")</f>
        <v>Neopipo cinnamomea</v>
      </c>
      <c r="H246" t="s">
        <v>206</v>
      </c>
      <c r="I246" t="str">
        <f>HYPERLINK("http://www.ncbi.nlm.nih.gov/protein/NWQ62781.1","ANDR protein")</f>
        <v>ANDR protein</v>
      </c>
      <c r="J246">
        <v>798.89</v>
      </c>
      <c r="K246" t="s">
        <v>25</v>
      </c>
      <c r="L246">
        <v>157</v>
      </c>
      <c r="M246">
        <v>44.41</v>
      </c>
      <c r="N246">
        <v>42.53</v>
      </c>
      <c r="O246" t="s">
        <v>20</v>
      </c>
      <c r="P246" t="s">
        <v>965</v>
      </c>
      <c r="Q246" t="s">
        <v>20</v>
      </c>
      <c r="R246" t="str">
        <f>HYPERLINK("https://cfpub.epa.gov/ecotox/explore.cfm?ncbi=456388","Explore in ECOTOX")</f>
        <v>Explore in ECOTOX</v>
      </c>
    </row>
    <row r="247" spans="1:18" x14ac:dyDescent="0.25">
      <c r="A247">
        <v>6</v>
      </c>
      <c r="B247" t="str">
        <f>HYPERLINK("http://www.ncbi.nlm.nih.gov/protein/XP_030901415.2","XP_030901415.2")</f>
        <v>XP_030901415.2</v>
      </c>
      <c r="C247">
        <v>29316</v>
      </c>
      <c r="D247" t="str">
        <f>HYPERLINK("http://www.ncbi.nlm.nih.gov/Taxonomy/Browser/wwwtax.cgi?mode=Info&amp;id=13146&amp;lvl=3&amp;lin=f&amp;keep=1&amp;srchmode=1&amp;unlock","13146")</f>
        <v>13146</v>
      </c>
      <c r="E247" t="s">
        <v>167</v>
      </c>
      <c r="F247" t="s">
        <v>167</v>
      </c>
      <c r="G247" t="str">
        <f>HYPERLINK("http://www.ncbi.nlm.nih.gov/Taxonomy/Browser/wwwtax.cgi?mode=Info&amp;id=13146&amp;lvl=3&amp;lin=f&amp;keep=1&amp;srchmode=1&amp;unlock","Melopsittacus undulatus")</f>
        <v>Melopsittacus undulatus</v>
      </c>
      <c r="H247" t="s">
        <v>415</v>
      </c>
      <c r="I247" t="str">
        <f>HYPERLINK("http://www.ncbi.nlm.nih.gov/protein/XP_030901415.2","androgen receptor isoform X1")</f>
        <v>androgen receptor isoform X1</v>
      </c>
      <c r="J247">
        <v>798.5</v>
      </c>
      <c r="K247" t="s">
        <v>25</v>
      </c>
      <c r="L247">
        <v>157</v>
      </c>
      <c r="M247">
        <v>44.41</v>
      </c>
      <c r="N247">
        <v>42.51</v>
      </c>
      <c r="O247" t="s">
        <v>20</v>
      </c>
      <c r="P247" t="s">
        <v>965</v>
      </c>
      <c r="Q247" t="s">
        <v>20</v>
      </c>
      <c r="R247" t="str">
        <f>HYPERLINK("https://cfpub.epa.gov/ecotox/explore.cfm?ncbi=13146","Explore in ECOTOX")</f>
        <v>Explore in ECOTOX</v>
      </c>
    </row>
    <row r="248" spans="1:18" x14ac:dyDescent="0.25">
      <c r="A248">
        <v>6</v>
      </c>
      <c r="B248" t="str">
        <f>HYPERLINK("http://www.ncbi.nlm.nih.gov/protein/NXT82985.1","NXT82985.1")</f>
        <v>NXT82985.1</v>
      </c>
      <c r="C248">
        <v>13359</v>
      </c>
      <c r="D248" t="str">
        <f>HYPERLINK("http://www.ncbi.nlm.nih.gov/Taxonomy/Browser/wwwtax.cgi?mode=Info&amp;id=2585822&amp;lvl=3&amp;lin=f&amp;keep=1&amp;srchmode=1&amp;unlock","2585822")</f>
        <v>2585822</v>
      </c>
      <c r="E248" t="s">
        <v>167</v>
      </c>
      <c r="F248" t="s">
        <v>167</v>
      </c>
      <c r="G248" t="str">
        <f>HYPERLINK("http://www.ncbi.nlm.nih.gov/Taxonomy/Browser/wwwtax.cgi?mode=Info&amp;id=2585822&amp;lvl=3&amp;lin=f&amp;keep=1&amp;srchmode=1&amp;unlock","Zapornia atra")</f>
        <v>Zapornia atra</v>
      </c>
      <c r="H248" t="s">
        <v>208</v>
      </c>
      <c r="I248" t="str">
        <f>HYPERLINK("http://www.ncbi.nlm.nih.gov/protein/NXT82985.1","ANDR protein")</f>
        <v>ANDR protein</v>
      </c>
      <c r="J248">
        <v>798.5</v>
      </c>
      <c r="K248" t="s">
        <v>25</v>
      </c>
      <c r="L248">
        <v>157</v>
      </c>
      <c r="M248">
        <v>44.41</v>
      </c>
      <c r="N248">
        <v>42.51</v>
      </c>
      <c r="O248" t="s">
        <v>20</v>
      </c>
      <c r="P248" t="s">
        <v>965</v>
      </c>
      <c r="Q248" t="s">
        <v>20</v>
      </c>
      <c r="R248" t="str">
        <f>HYPERLINK("https://cfpub.epa.gov/ecotox/explore.cfm?ncbi=2585822","Explore in ECOTOX")</f>
        <v>Explore in ECOTOX</v>
      </c>
    </row>
    <row r="249" spans="1:18" x14ac:dyDescent="0.25">
      <c r="A249">
        <v>6</v>
      </c>
      <c r="B249" t="str">
        <f>HYPERLINK("http://www.ncbi.nlm.nih.gov/protein/NXA64517.1","NXA64517.1")</f>
        <v>NXA64517.1</v>
      </c>
      <c r="C249">
        <v>13619</v>
      </c>
      <c r="D249" t="str">
        <f>HYPERLINK("http://www.ncbi.nlm.nih.gov/Taxonomy/Browser/wwwtax.cgi?mode=Info&amp;id=874463&amp;lvl=3&amp;lin=f&amp;keep=1&amp;srchmode=1&amp;unlock","874463")</f>
        <v>874463</v>
      </c>
      <c r="E249" t="s">
        <v>167</v>
      </c>
      <c r="F249" t="s">
        <v>167</v>
      </c>
      <c r="G249" t="str">
        <f>HYPERLINK("http://www.ncbi.nlm.nih.gov/Taxonomy/Browser/wwwtax.cgi?mode=Info&amp;id=874463&amp;lvl=3&amp;lin=f&amp;keep=1&amp;srchmode=1&amp;unlock","Mohoua ochrocephala")</f>
        <v>Mohoua ochrocephala</v>
      </c>
      <c r="H249" t="s">
        <v>206</v>
      </c>
      <c r="I249" t="str">
        <f>HYPERLINK("http://www.ncbi.nlm.nih.gov/protein/NXA64517.1","ANDR protein")</f>
        <v>ANDR protein</v>
      </c>
      <c r="J249">
        <v>798.5</v>
      </c>
      <c r="K249" t="s">
        <v>25</v>
      </c>
      <c r="L249">
        <v>157</v>
      </c>
      <c r="M249">
        <v>44.41</v>
      </c>
      <c r="N249">
        <v>42.51</v>
      </c>
      <c r="O249" t="s">
        <v>20</v>
      </c>
      <c r="P249" t="s">
        <v>965</v>
      </c>
      <c r="Q249" t="s">
        <v>20</v>
      </c>
      <c r="R249" t="str">
        <f>HYPERLINK("https://cfpub.epa.gov/ecotox/explore.cfm?ncbi=874463","Explore in ECOTOX")</f>
        <v>Explore in ECOTOX</v>
      </c>
    </row>
    <row r="250" spans="1:18" x14ac:dyDescent="0.25">
      <c r="A250">
        <v>6</v>
      </c>
      <c r="B250" t="str">
        <f>HYPERLINK("http://www.ncbi.nlm.nih.gov/protein/NWT00953.1","NWT00953.1")</f>
        <v>NWT00953.1</v>
      </c>
      <c r="C250">
        <v>14226</v>
      </c>
      <c r="D250" t="str">
        <f>HYPERLINK("http://www.ncbi.nlm.nih.gov/Taxonomy/Browser/wwwtax.cgi?mode=Info&amp;id=254557&amp;lvl=3&amp;lin=f&amp;keep=1&amp;srchmode=1&amp;unlock","254557")</f>
        <v>254557</v>
      </c>
      <c r="E250" t="s">
        <v>167</v>
      </c>
      <c r="F250" t="s">
        <v>167</v>
      </c>
      <c r="G250" t="str">
        <f>HYPERLINK("http://www.ncbi.nlm.nih.gov/Taxonomy/Browser/wwwtax.cgi?mode=Info&amp;id=254557&amp;lvl=3&amp;lin=f&amp;keep=1&amp;srchmode=1&amp;unlock","Mionectes macconnelli")</f>
        <v>Mionectes macconnelli</v>
      </c>
      <c r="H250" t="s">
        <v>323</v>
      </c>
      <c r="I250" t="str">
        <f>HYPERLINK("http://www.ncbi.nlm.nih.gov/protein/NWT00953.1","ANDR protein")</f>
        <v>ANDR protein</v>
      </c>
      <c r="J250">
        <v>798.5</v>
      </c>
      <c r="K250" t="s">
        <v>25</v>
      </c>
      <c r="L250">
        <v>157</v>
      </c>
      <c r="M250">
        <v>44.41</v>
      </c>
      <c r="N250">
        <v>42.51</v>
      </c>
      <c r="O250" t="s">
        <v>20</v>
      </c>
      <c r="P250" t="s">
        <v>965</v>
      </c>
      <c r="Q250" t="s">
        <v>20</v>
      </c>
      <c r="R250" t="str">
        <f>HYPERLINK("https://cfpub.epa.gov/ecotox/explore.cfm?ncbi=254557","Explore in ECOTOX")</f>
        <v>Explore in ECOTOX</v>
      </c>
    </row>
    <row r="251" spans="1:18" x14ac:dyDescent="0.25">
      <c r="A251">
        <v>6</v>
      </c>
      <c r="B251" t="str">
        <f>HYPERLINK("http://www.ncbi.nlm.nih.gov/protein/KAF1486375.1","KAF1486375.1")</f>
        <v>KAF1486375.1</v>
      </c>
      <c r="C251">
        <v>15002</v>
      </c>
      <c r="D251" t="str">
        <f>HYPERLINK("http://www.ncbi.nlm.nih.gov/Taxonomy/Browser/wwwtax.cgi?mode=Info&amp;id=2052820&amp;lvl=3&amp;lin=f&amp;keep=1&amp;srchmode=1&amp;unlock","2052820")</f>
        <v>2052820</v>
      </c>
      <c r="E251" t="s">
        <v>167</v>
      </c>
      <c r="F251" t="s">
        <v>167</v>
      </c>
      <c r="G251" t="str">
        <f>HYPERLINK("http://www.ncbi.nlm.nih.gov/Taxonomy/Browser/wwwtax.cgi?mode=Info&amp;id=2052820&amp;lvl=3&amp;lin=f&amp;keep=1&amp;srchmode=1&amp;unlock","Eudyptula novaehollandiae")</f>
        <v>Eudyptula novaehollandiae</v>
      </c>
      <c r="H251" t="s">
        <v>284</v>
      </c>
      <c r="I251" t="str">
        <f>HYPERLINK("http://www.ncbi.nlm.nih.gov/protein/KAF1486375.1","Androgen receptor, partial")</f>
        <v>Androgen receptor, partial</v>
      </c>
      <c r="J251">
        <v>798.5</v>
      </c>
      <c r="K251" t="s">
        <v>25</v>
      </c>
      <c r="L251">
        <v>157</v>
      </c>
      <c r="M251">
        <v>44.41</v>
      </c>
      <c r="N251">
        <v>42.51</v>
      </c>
      <c r="O251" t="s">
        <v>20</v>
      </c>
      <c r="P251" t="s">
        <v>965</v>
      </c>
      <c r="Q251" t="s">
        <v>20</v>
      </c>
      <c r="R251" t="str">
        <f>HYPERLINK("https://cfpub.epa.gov/ecotox/explore.cfm?ncbi=2052820","Explore in ECOTOX")</f>
        <v>Explore in ECOTOX</v>
      </c>
    </row>
    <row r="252" spans="1:18" x14ac:dyDescent="0.25">
      <c r="A252">
        <v>6</v>
      </c>
      <c r="B252" t="str">
        <f>HYPERLINK("http://www.ncbi.nlm.nih.gov/protein/XP_027761078.1","XP_027761078.1")</f>
        <v>XP_027761078.1</v>
      </c>
      <c r="C252">
        <v>34050</v>
      </c>
      <c r="D252" t="str">
        <f>HYPERLINK("http://www.ncbi.nlm.nih.gov/Taxonomy/Browser/wwwtax.cgi?mode=Info&amp;id=164674&amp;lvl=3&amp;lin=f&amp;keep=1&amp;srchmode=1&amp;unlock","164674")</f>
        <v>164674</v>
      </c>
      <c r="E252" t="s">
        <v>167</v>
      </c>
      <c r="F252" t="s">
        <v>167</v>
      </c>
      <c r="G252" t="str">
        <f>HYPERLINK("http://www.ncbi.nlm.nih.gov/Taxonomy/Browser/wwwtax.cgi?mode=Info&amp;id=164674&amp;lvl=3&amp;lin=f&amp;keep=1&amp;srchmode=1&amp;unlock","Empidonax traillii")</f>
        <v>Empidonax traillii</v>
      </c>
      <c r="H252" t="s">
        <v>403</v>
      </c>
      <c r="I252" t="str">
        <f>HYPERLINK("http://www.ncbi.nlm.nih.gov/protein/XP_027761078.1","androgen receptor")</f>
        <v>androgen receptor</v>
      </c>
      <c r="J252">
        <v>798.5</v>
      </c>
      <c r="K252" t="s">
        <v>25</v>
      </c>
      <c r="L252">
        <v>157</v>
      </c>
      <c r="M252">
        <v>44.41</v>
      </c>
      <c r="N252">
        <v>42.51</v>
      </c>
      <c r="O252" t="s">
        <v>20</v>
      </c>
      <c r="P252" t="s">
        <v>965</v>
      </c>
      <c r="Q252" t="s">
        <v>20</v>
      </c>
      <c r="R252" t="str">
        <f>HYPERLINK("https://cfpub.epa.gov/ecotox/explore.cfm?ncbi=164674","Explore in ECOTOX")</f>
        <v>Explore in ECOTOX</v>
      </c>
    </row>
    <row r="253" spans="1:18" x14ac:dyDescent="0.25">
      <c r="A253">
        <v>6</v>
      </c>
      <c r="B253" t="str">
        <f>HYPERLINK("http://www.ncbi.nlm.nih.gov/protein/XP_032557749.1","XP_032557749.1")</f>
        <v>XP_032557749.1</v>
      </c>
      <c r="C253">
        <v>39420</v>
      </c>
      <c r="D253" t="str">
        <f>HYPERLINK("http://www.ncbi.nlm.nih.gov/Taxonomy/Browser/wwwtax.cgi?mode=Info&amp;id=296741&amp;lvl=3&amp;lin=f&amp;keep=1&amp;srchmode=1&amp;unlock","296741")</f>
        <v>296741</v>
      </c>
      <c r="E253" t="s">
        <v>167</v>
      </c>
      <c r="F253" t="s">
        <v>167</v>
      </c>
      <c r="G253" t="str">
        <f>HYPERLINK("http://www.ncbi.nlm.nih.gov/Taxonomy/Browser/wwwtax.cgi?mode=Info&amp;id=296741&amp;lvl=3&amp;lin=f&amp;keep=1&amp;srchmode=1&amp;unlock","Chiroxiphia lanceolata")</f>
        <v>Chiroxiphia lanceolata</v>
      </c>
      <c r="H253" t="s">
        <v>484</v>
      </c>
      <c r="I253" t="str">
        <f>HYPERLINK("http://www.ncbi.nlm.nih.gov/protein/XP_032557749.1","LOW QUALITY PROTEIN: androgen receptor")</f>
        <v>LOW QUALITY PROTEIN: androgen receptor</v>
      </c>
      <c r="J253">
        <v>798.5</v>
      </c>
      <c r="K253" t="s">
        <v>25</v>
      </c>
      <c r="L253">
        <v>157</v>
      </c>
      <c r="M253">
        <v>44.41</v>
      </c>
      <c r="N253">
        <v>42.51</v>
      </c>
      <c r="O253" t="s">
        <v>20</v>
      </c>
      <c r="P253" t="s">
        <v>965</v>
      </c>
      <c r="Q253" t="s">
        <v>20</v>
      </c>
      <c r="R253" t="str">
        <f>HYPERLINK("https://cfpub.epa.gov/ecotox/explore.cfm?ncbi=296741","Explore in ECOTOX")</f>
        <v>Explore in ECOTOX</v>
      </c>
    </row>
    <row r="254" spans="1:18" x14ac:dyDescent="0.25">
      <c r="A254">
        <v>6</v>
      </c>
      <c r="B254" t="str">
        <f>HYPERLINK("http://www.ncbi.nlm.nih.gov/protein/XP_027586750.1","XP_027586750.1")</f>
        <v>XP_027586750.1</v>
      </c>
      <c r="C254">
        <v>35867</v>
      </c>
      <c r="D254" t="str">
        <f>HYPERLINK("http://www.ncbi.nlm.nih.gov/Taxonomy/Browser/wwwtax.cgi?mode=Info&amp;id=649802&amp;lvl=3&amp;lin=f&amp;keep=1&amp;srchmode=1&amp;unlock","649802")</f>
        <v>649802</v>
      </c>
      <c r="E254" t="s">
        <v>167</v>
      </c>
      <c r="F254" t="s">
        <v>167</v>
      </c>
      <c r="G254" t="str">
        <f>HYPERLINK("http://www.ncbi.nlm.nih.gov/Taxonomy/Browser/wwwtax.cgi?mode=Info&amp;id=649802&amp;lvl=3&amp;lin=f&amp;keep=1&amp;srchmode=1&amp;unlock","Pipra filicauda")</f>
        <v>Pipra filicauda</v>
      </c>
      <c r="H254" t="s">
        <v>478</v>
      </c>
      <c r="I254" t="str">
        <f>HYPERLINK("http://www.ncbi.nlm.nih.gov/protein/XP_027586750.1","androgen receptor isoform X1")</f>
        <v>androgen receptor isoform X1</v>
      </c>
      <c r="J254">
        <v>798.12</v>
      </c>
      <c r="K254" t="s">
        <v>25</v>
      </c>
      <c r="L254">
        <v>157</v>
      </c>
      <c r="M254">
        <v>44.41</v>
      </c>
      <c r="N254">
        <v>42.48</v>
      </c>
      <c r="O254" t="s">
        <v>20</v>
      </c>
      <c r="P254" t="s">
        <v>965</v>
      </c>
      <c r="Q254" t="s">
        <v>20</v>
      </c>
      <c r="R254" t="str">
        <f>HYPERLINK("https://cfpub.epa.gov/ecotox/explore.cfm?ncbi=649802","Explore in ECOTOX")</f>
        <v>Explore in ECOTOX</v>
      </c>
    </row>
    <row r="255" spans="1:18" x14ac:dyDescent="0.25">
      <c r="A255">
        <v>6</v>
      </c>
      <c r="B255" t="str">
        <f>HYPERLINK("http://www.ncbi.nlm.nih.gov/protein/NWU83853.1","NWU83853.1")</f>
        <v>NWU83853.1</v>
      </c>
      <c r="C255">
        <v>14404</v>
      </c>
      <c r="D255" t="str">
        <f>HYPERLINK("http://www.ncbi.nlm.nih.gov/Taxonomy/Browser/wwwtax.cgi?mode=Info&amp;id=360224&amp;lvl=3&amp;lin=f&amp;keep=1&amp;srchmode=1&amp;unlock","360224")</f>
        <v>360224</v>
      </c>
      <c r="E255" t="s">
        <v>167</v>
      </c>
      <c r="F255" t="s">
        <v>167</v>
      </c>
      <c r="G255" t="str">
        <f>HYPERLINK("http://www.ncbi.nlm.nih.gov/Taxonomy/Browser/wwwtax.cgi?mode=Info&amp;id=360224&amp;lvl=3&amp;lin=f&amp;keep=1&amp;srchmode=1&amp;unlock","Onychorhynchus coronatus")</f>
        <v>Onychorhynchus coronatus</v>
      </c>
      <c r="H255" t="s">
        <v>206</v>
      </c>
      <c r="I255" t="str">
        <f>HYPERLINK("http://www.ncbi.nlm.nih.gov/protein/NWU83853.1","ANDR protein")</f>
        <v>ANDR protein</v>
      </c>
      <c r="J255">
        <v>798.12</v>
      </c>
      <c r="K255" t="s">
        <v>25</v>
      </c>
      <c r="L255">
        <v>157</v>
      </c>
      <c r="M255">
        <v>44.41</v>
      </c>
      <c r="N255">
        <v>42.48</v>
      </c>
      <c r="O255" t="s">
        <v>20</v>
      </c>
      <c r="P255" t="s">
        <v>965</v>
      </c>
      <c r="Q255" t="s">
        <v>20</v>
      </c>
      <c r="R255" t="str">
        <f>HYPERLINK("https://cfpub.epa.gov/ecotox/explore.cfm?ncbi=360224","Explore in ECOTOX")</f>
        <v>Explore in ECOTOX</v>
      </c>
    </row>
    <row r="256" spans="1:18" x14ac:dyDescent="0.25">
      <c r="A256">
        <v>6</v>
      </c>
      <c r="B256" t="str">
        <f>HYPERLINK("http://www.ncbi.nlm.nih.gov/protein/XP_032928056.1","XP_032928056.1")</f>
        <v>XP_032928056.1</v>
      </c>
      <c r="C256">
        <v>36100</v>
      </c>
      <c r="D256" t="str">
        <f>HYPERLINK("http://www.ncbi.nlm.nih.gov/Taxonomy/Browser/wwwtax.cgi?mode=Info&amp;id=91951&amp;lvl=3&amp;lin=f&amp;keep=1&amp;srchmode=1&amp;unlock","91951")</f>
        <v>91951</v>
      </c>
      <c r="E256" t="s">
        <v>167</v>
      </c>
      <c r="F256" t="s">
        <v>167</v>
      </c>
      <c r="G256" t="str">
        <f>HYPERLINK("http://www.ncbi.nlm.nih.gov/Taxonomy/Browser/wwwtax.cgi?mode=Info&amp;id=91951&amp;lvl=3&amp;lin=f&amp;keep=1&amp;srchmode=1&amp;unlock","Catharus ustulatus")</f>
        <v>Catharus ustulatus</v>
      </c>
      <c r="H256" t="s">
        <v>306</v>
      </c>
      <c r="I256" t="str">
        <f>HYPERLINK("http://www.ncbi.nlm.nih.gov/protein/XP_032928056.1","androgen receptor")</f>
        <v>androgen receptor</v>
      </c>
      <c r="J256">
        <v>798.12</v>
      </c>
      <c r="K256" t="s">
        <v>25</v>
      </c>
      <c r="L256">
        <v>157</v>
      </c>
      <c r="M256">
        <v>44.41</v>
      </c>
      <c r="N256">
        <v>42.48</v>
      </c>
      <c r="O256" t="s">
        <v>20</v>
      </c>
      <c r="P256" t="s">
        <v>965</v>
      </c>
      <c r="Q256" t="s">
        <v>20</v>
      </c>
      <c r="R256" t="str">
        <f>HYPERLINK("https://cfpub.epa.gov/ecotox/explore.cfm?ncbi=91951","Explore in ECOTOX")</f>
        <v>Explore in ECOTOX</v>
      </c>
    </row>
    <row r="257" spans="1:18" x14ac:dyDescent="0.25">
      <c r="A257">
        <v>6</v>
      </c>
      <c r="B257" t="str">
        <f>HYPERLINK("http://www.ncbi.nlm.nih.gov/protein/NXM34828.1","NXM34828.1")</f>
        <v>NXM34828.1</v>
      </c>
      <c r="C257">
        <v>14068</v>
      </c>
      <c r="D257" t="str">
        <f>HYPERLINK("http://www.ncbi.nlm.nih.gov/Taxonomy/Browser/wwwtax.cgi?mode=Info&amp;id=114331&amp;lvl=3&amp;lin=f&amp;keep=1&amp;srchmode=1&amp;unlock","114331")</f>
        <v>114331</v>
      </c>
      <c r="E257" t="s">
        <v>167</v>
      </c>
      <c r="F257" t="s">
        <v>167</v>
      </c>
      <c r="G257" t="str">
        <f>HYPERLINK("http://www.ncbi.nlm.nih.gov/Taxonomy/Browser/wwwtax.cgi?mode=Info&amp;id=114331&amp;lvl=3&amp;lin=f&amp;keep=1&amp;srchmode=1&amp;unlock","Oxyruncus cristatus")</f>
        <v>Oxyruncus cristatus</v>
      </c>
      <c r="H257" t="s">
        <v>466</v>
      </c>
      <c r="I257" t="str">
        <f>HYPERLINK("http://www.ncbi.nlm.nih.gov/protein/NXM34828.1","ANDR protein")</f>
        <v>ANDR protein</v>
      </c>
      <c r="J257">
        <v>798.12</v>
      </c>
      <c r="K257" t="s">
        <v>25</v>
      </c>
      <c r="L257">
        <v>157</v>
      </c>
      <c r="M257">
        <v>44.41</v>
      </c>
      <c r="N257">
        <v>42.48</v>
      </c>
      <c r="O257" t="s">
        <v>20</v>
      </c>
      <c r="P257" t="s">
        <v>965</v>
      </c>
      <c r="Q257" t="s">
        <v>20</v>
      </c>
      <c r="R257" t="str">
        <f>HYPERLINK("https://cfpub.epa.gov/ecotox/explore.cfm?ncbi=114331","Explore in ECOTOX")</f>
        <v>Explore in ECOTOX</v>
      </c>
    </row>
    <row r="258" spans="1:18" x14ac:dyDescent="0.25">
      <c r="A258">
        <v>6</v>
      </c>
      <c r="B258" t="str">
        <f>HYPERLINK("http://www.ncbi.nlm.nih.gov/protein/NXB31053.1","NXB31053.1")</f>
        <v>NXB31053.1</v>
      </c>
      <c r="C258">
        <v>14343</v>
      </c>
      <c r="D258" t="str">
        <f>HYPERLINK("http://www.ncbi.nlm.nih.gov/Taxonomy/Browser/wwwtax.cgi?mode=Info&amp;id=461239&amp;lvl=3&amp;lin=f&amp;keep=1&amp;srchmode=1&amp;unlock","461239")</f>
        <v>461239</v>
      </c>
      <c r="E258" t="s">
        <v>167</v>
      </c>
      <c r="F258" t="s">
        <v>167</v>
      </c>
      <c r="G258" t="str">
        <f>HYPERLINK("http://www.ncbi.nlm.nih.gov/Taxonomy/Browser/wwwtax.cgi?mode=Info&amp;id=461239&amp;lvl=3&amp;lin=f&amp;keep=1&amp;srchmode=1&amp;unlock","Eulacestoma nigropectus")</f>
        <v>Eulacestoma nigropectus</v>
      </c>
      <c r="H258" t="s">
        <v>366</v>
      </c>
      <c r="I258" t="str">
        <f>HYPERLINK("http://www.ncbi.nlm.nih.gov/protein/NXB31053.1","ANDR protein")</f>
        <v>ANDR protein</v>
      </c>
      <c r="J258">
        <v>797.73</v>
      </c>
      <c r="K258" t="s">
        <v>25</v>
      </c>
      <c r="L258">
        <v>157</v>
      </c>
      <c r="M258">
        <v>44.41</v>
      </c>
      <c r="N258">
        <v>42.46</v>
      </c>
      <c r="O258" t="s">
        <v>20</v>
      </c>
      <c r="P258" t="s">
        <v>965</v>
      </c>
      <c r="Q258" t="s">
        <v>20</v>
      </c>
      <c r="R258" t="str">
        <f>HYPERLINK("https://cfpub.epa.gov/ecotox/explore.cfm?ncbi=461239","Explore in ECOTOX")</f>
        <v>Explore in ECOTOX</v>
      </c>
    </row>
    <row r="259" spans="1:18" x14ac:dyDescent="0.25">
      <c r="A259">
        <v>6</v>
      </c>
      <c r="B259" t="str">
        <f>HYPERLINK("http://www.ncbi.nlm.nih.gov/protein/NWV62349.1","NWV62349.1")</f>
        <v>NWV62349.1</v>
      </c>
      <c r="C259">
        <v>14078</v>
      </c>
      <c r="D259" t="str">
        <f>HYPERLINK("http://www.ncbi.nlm.nih.gov/Taxonomy/Browser/wwwtax.cgi?mode=Info&amp;id=720584&amp;lvl=3&amp;lin=f&amp;keep=1&amp;srchmode=1&amp;unlock","720584")</f>
        <v>720584</v>
      </c>
      <c r="E259" t="s">
        <v>167</v>
      </c>
      <c r="F259" t="s">
        <v>167</v>
      </c>
      <c r="G259" t="str">
        <f>HYPERLINK("http://www.ncbi.nlm.nih.gov/Taxonomy/Browser/wwwtax.cgi?mode=Info&amp;id=720584&amp;lvl=3&amp;lin=f&amp;keep=1&amp;srchmode=1&amp;unlock","Malurus elegans")</f>
        <v>Malurus elegans</v>
      </c>
      <c r="H259" t="s">
        <v>548</v>
      </c>
      <c r="I259" t="str">
        <f>HYPERLINK("http://www.ncbi.nlm.nih.gov/protein/NWV62349.1","ANDR protein")</f>
        <v>ANDR protein</v>
      </c>
      <c r="J259">
        <v>797.73</v>
      </c>
      <c r="K259" t="s">
        <v>25</v>
      </c>
      <c r="L259">
        <v>157</v>
      </c>
      <c r="M259">
        <v>44.41</v>
      </c>
      <c r="N259">
        <v>42.46</v>
      </c>
      <c r="O259" t="s">
        <v>20</v>
      </c>
      <c r="P259" t="s">
        <v>965</v>
      </c>
      <c r="Q259" t="s">
        <v>20</v>
      </c>
      <c r="R259" t="str">
        <f>HYPERLINK("https://cfpub.epa.gov/ecotox/explore.cfm?ncbi=720584","Explore in ECOTOX")</f>
        <v>Explore in ECOTOX</v>
      </c>
    </row>
    <row r="260" spans="1:18" x14ac:dyDescent="0.25">
      <c r="A260">
        <v>6</v>
      </c>
      <c r="B260" t="str">
        <f>HYPERLINK("http://www.ncbi.nlm.nih.gov/protein/NXB85914.1","NXB85914.1")</f>
        <v>NXB85914.1</v>
      </c>
      <c r="C260">
        <v>14691</v>
      </c>
      <c r="D260" t="str">
        <f>HYPERLINK("http://www.ncbi.nlm.nih.gov/Taxonomy/Browser/wwwtax.cgi?mode=Info&amp;id=81927&amp;lvl=3&amp;lin=f&amp;keep=1&amp;srchmode=1&amp;unlock","81927")</f>
        <v>81927</v>
      </c>
      <c r="E260" t="s">
        <v>167</v>
      </c>
      <c r="F260" t="s">
        <v>167</v>
      </c>
      <c r="G260" t="str">
        <f>HYPERLINK("http://www.ncbi.nlm.nih.gov/Taxonomy/Browser/wwwtax.cgi?mode=Info&amp;id=81927&amp;lvl=3&amp;lin=f&amp;keep=1&amp;srchmode=1&amp;unlock","Vidua chalybeata")</f>
        <v>Vidua chalybeata</v>
      </c>
      <c r="H260" t="s">
        <v>206</v>
      </c>
      <c r="I260" t="str">
        <f>HYPERLINK("http://www.ncbi.nlm.nih.gov/protein/NXB85914.1","ANDR protein")</f>
        <v>ANDR protein</v>
      </c>
      <c r="J260">
        <v>797.73</v>
      </c>
      <c r="K260" t="s">
        <v>25</v>
      </c>
      <c r="L260">
        <v>157</v>
      </c>
      <c r="M260">
        <v>44.41</v>
      </c>
      <c r="N260">
        <v>42.46</v>
      </c>
      <c r="O260" t="s">
        <v>20</v>
      </c>
      <c r="P260" t="s">
        <v>965</v>
      </c>
      <c r="Q260" t="s">
        <v>20</v>
      </c>
      <c r="R260" t="str">
        <f>HYPERLINK("https://cfpub.epa.gov/ecotox/explore.cfm?ncbi=81927","Explore in ECOTOX")</f>
        <v>Explore in ECOTOX</v>
      </c>
    </row>
    <row r="261" spans="1:18" x14ac:dyDescent="0.25">
      <c r="A261">
        <v>6</v>
      </c>
      <c r="B261" t="str">
        <f>HYPERLINK("http://www.ncbi.nlm.nih.gov/protein/NXT61193.1","NXT61193.1")</f>
        <v>NXT61193.1</v>
      </c>
      <c r="C261">
        <v>13266</v>
      </c>
      <c r="D261" t="str">
        <f>HYPERLINK("http://www.ncbi.nlm.nih.gov/Taxonomy/Browser/wwwtax.cgi?mode=Info&amp;id=221966&amp;lvl=3&amp;lin=f&amp;keep=1&amp;srchmode=1&amp;unlock","221966")</f>
        <v>221966</v>
      </c>
      <c r="E261" t="s">
        <v>167</v>
      </c>
      <c r="F261" t="s">
        <v>167</v>
      </c>
      <c r="G261" t="str">
        <f>HYPERLINK("http://www.ncbi.nlm.nih.gov/Taxonomy/Browser/wwwtax.cgi?mode=Info&amp;id=221966&amp;lvl=3&amp;lin=f&amp;keep=1&amp;srchmode=1&amp;unlock","Chaetops frenatus")</f>
        <v>Chaetops frenatus</v>
      </c>
      <c r="H261" t="s">
        <v>438</v>
      </c>
      <c r="I261" t="str">
        <f>HYPERLINK("http://www.ncbi.nlm.nih.gov/protein/NXT61193.1","ANDR protein")</f>
        <v>ANDR protein</v>
      </c>
      <c r="J261">
        <v>797.73</v>
      </c>
      <c r="K261" t="s">
        <v>25</v>
      </c>
      <c r="L261">
        <v>157</v>
      </c>
      <c r="M261">
        <v>44.41</v>
      </c>
      <c r="N261">
        <v>42.46</v>
      </c>
      <c r="O261" t="s">
        <v>20</v>
      </c>
      <c r="P261" t="s">
        <v>965</v>
      </c>
      <c r="Q261" t="s">
        <v>20</v>
      </c>
      <c r="R261" t="str">
        <f>HYPERLINK("https://cfpub.epa.gov/ecotox/explore.cfm?ncbi=221966","Explore in ECOTOX")</f>
        <v>Explore in ECOTOX</v>
      </c>
    </row>
    <row r="262" spans="1:18" x14ac:dyDescent="0.25">
      <c r="A262">
        <v>6</v>
      </c>
      <c r="B262" t="str">
        <f>HYPERLINK("http://www.ncbi.nlm.nih.gov/protein/NXB67985.1","NXB67985.1")</f>
        <v>NXB67985.1</v>
      </c>
      <c r="C262">
        <v>14168</v>
      </c>
      <c r="D262" t="str">
        <f>HYPERLINK("http://www.ncbi.nlm.nih.gov/Taxonomy/Browser/wwwtax.cgi?mode=Info&amp;id=181839&amp;lvl=3&amp;lin=f&amp;keep=1&amp;srchmode=1&amp;unlock","181839")</f>
        <v>181839</v>
      </c>
      <c r="E262" t="s">
        <v>167</v>
      </c>
      <c r="F262" t="s">
        <v>167</v>
      </c>
      <c r="G262" t="str">
        <f>HYPERLINK("http://www.ncbi.nlm.nih.gov/Taxonomy/Browser/wwwtax.cgi?mode=Info&amp;id=181839&amp;lvl=3&amp;lin=f&amp;keep=1&amp;srchmode=1&amp;unlock","Struthidea cinerea")</f>
        <v>Struthidea cinerea</v>
      </c>
      <c r="H262" t="s">
        <v>318</v>
      </c>
      <c r="I262" t="str">
        <f>HYPERLINK("http://www.ncbi.nlm.nih.gov/protein/NXB67985.1","ANDR protein")</f>
        <v>ANDR protein</v>
      </c>
      <c r="J262">
        <v>797.73</v>
      </c>
      <c r="K262" t="s">
        <v>25</v>
      </c>
      <c r="L262">
        <v>157</v>
      </c>
      <c r="M262">
        <v>44.41</v>
      </c>
      <c r="N262">
        <v>42.46</v>
      </c>
      <c r="O262" t="s">
        <v>20</v>
      </c>
      <c r="P262" t="s">
        <v>965</v>
      </c>
      <c r="Q262" t="s">
        <v>20</v>
      </c>
      <c r="R262" t="str">
        <f>HYPERLINK("https://cfpub.epa.gov/ecotox/explore.cfm?ncbi=181839","Explore in ECOTOX")</f>
        <v>Explore in ECOTOX</v>
      </c>
    </row>
    <row r="263" spans="1:18" x14ac:dyDescent="0.25">
      <c r="A263">
        <v>6</v>
      </c>
      <c r="B263" t="str">
        <f>HYPERLINK("http://www.ncbi.nlm.nih.gov/protein/XP_015442220.1","XP_015442220.1")</f>
        <v>XP_015442220.1</v>
      </c>
      <c r="C263">
        <v>59367</v>
      </c>
      <c r="D263" t="str">
        <f>HYPERLINK("http://www.ncbi.nlm.nih.gov/Taxonomy/Browser/wwwtax.cgi?mode=Info&amp;id=9402&amp;lvl=3&amp;lin=f&amp;keep=1&amp;srchmode=1&amp;unlock","9402")</f>
        <v>9402</v>
      </c>
      <c r="E263" t="s">
        <v>18</v>
      </c>
      <c r="F263" t="s">
        <v>18</v>
      </c>
      <c r="G263" t="str">
        <f>HYPERLINK("http://www.ncbi.nlm.nih.gov/Taxonomy/Browser/wwwtax.cgi?mode=Info&amp;id=9402&amp;lvl=3&amp;lin=f&amp;keep=1&amp;srchmode=1&amp;unlock","Pteropus alecto")</f>
        <v>Pteropus alecto</v>
      </c>
      <c r="H263" t="s">
        <v>100</v>
      </c>
      <c r="I263" t="str">
        <f>HYPERLINK("http://www.ncbi.nlm.nih.gov/protein/XP_015442220.1","androgen receptor")</f>
        <v>androgen receptor</v>
      </c>
      <c r="J263">
        <v>797.35</v>
      </c>
      <c r="K263" t="s">
        <v>25</v>
      </c>
      <c r="L263">
        <v>157</v>
      </c>
      <c r="M263">
        <v>44.41</v>
      </c>
      <c r="N263">
        <v>42.44</v>
      </c>
      <c r="O263" t="s">
        <v>20</v>
      </c>
      <c r="P263" t="s">
        <v>965</v>
      </c>
      <c r="Q263" t="s">
        <v>20</v>
      </c>
      <c r="R263" t="str">
        <f>HYPERLINK("https://cfpub.epa.gov/ecotox/explore.cfm?ncbi=9402","Explore in ECOTOX")</f>
        <v>Explore in ECOTOX</v>
      </c>
    </row>
    <row r="264" spans="1:18" x14ac:dyDescent="0.25">
      <c r="A264">
        <v>6</v>
      </c>
      <c r="B264" t="str">
        <f>HYPERLINK("http://www.ncbi.nlm.nih.gov/protein/NXY24002.1","NXY24002.1")</f>
        <v>NXY24002.1</v>
      </c>
      <c r="C264">
        <v>14622</v>
      </c>
      <c r="D264" t="str">
        <f>HYPERLINK("http://www.ncbi.nlm.nih.gov/Taxonomy/Browser/wwwtax.cgi?mode=Info&amp;id=449594&amp;lvl=3&amp;lin=f&amp;keep=1&amp;srchmode=1&amp;unlock","449594")</f>
        <v>449594</v>
      </c>
      <c r="E264" t="s">
        <v>167</v>
      </c>
      <c r="F264" t="s">
        <v>167</v>
      </c>
      <c r="G264" t="str">
        <f>HYPERLINK("http://www.ncbi.nlm.nih.gov/Taxonomy/Browser/wwwtax.cgi?mode=Info&amp;id=449594&amp;lvl=3&amp;lin=f&amp;keep=1&amp;srchmode=1&amp;unlock","Atrichornis clamosus")</f>
        <v>Atrichornis clamosus</v>
      </c>
      <c r="H264" t="s">
        <v>206</v>
      </c>
      <c r="I264" t="str">
        <f>HYPERLINK("http://www.ncbi.nlm.nih.gov/protein/NXY24002.1","ANDR protein")</f>
        <v>ANDR protein</v>
      </c>
      <c r="J264">
        <v>797.35</v>
      </c>
      <c r="K264" t="s">
        <v>25</v>
      </c>
      <c r="L264">
        <v>157</v>
      </c>
      <c r="M264">
        <v>44.41</v>
      </c>
      <c r="N264">
        <v>42.44</v>
      </c>
      <c r="O264" t="s">
        <v>20</v>
      </c>
      <c r="P264" t="s">
        <v>965</v>
      </c>
      <c r="Q264" t="s">
        <v>20</v>
      </c>
      <c r="R264" t="str">
        <f>HYPERLINK("https://cfpub.epa.gov/ecotox/explore.cfm?ncbi=449594","Explore in ECOTOX")</f>
        <v>Explore in ECOTOX</v>
      </c>
    </row>
    <row r="265" spans="1:18" x14ac:dyDescent="0.25">
      <c r="A265">
        <v>6</v>
      </c>
      <c r="B265" t="str">
        <f>HYPERLINK("http://www.ncbi.nlm.nih.gov/protein/NXJ22781.1","NXJ22781.1")</f>
        <v>NXJ22781.1</v>
      </c>
      <c r="C265">
        <v>14261</v>
      </c>
      <c r="D265" t="str">
        <f>HYPERLINK("http://www.ncbi.nlm.nih.gov/Taxonomy/Browser/wwwtax.cgi?mode=Info&amp;id=450177&amp;lvl=3&amp;lin=f&amp;keep=1&amp;srchmode=1&amp;unlock","450177")</f>
        <v>450177</v>
      </c>
      <c r="E265" t="s">
        <v>167</v>
      </c>
      <c r="F265" t="s">
        <v>167</v>
      </c>
      <c r="G265" t="str">
        <f>HYPERLINK("http://www.ncbi.nlm.nih.gov/Taxonomy/Browser/wwwtax.cgi?mode=Info&amp;id=450177&amp;lvl=3&amp;lin=f&amp;keep=1&amp;srchmode=1&amp;unlock","Dicrurus megarhynchus")</f>
        <v>Dicrurus megarhynchus</v>
      </c>
      <c r="H265" t="s">
        <v>206</v>
      </c>
      <c r="I265" t="str">
        <f>HYPERLINK("http://www.ncbi.nlm.nih.gov/protein/NXJ22781.1","ANDR protein")</f>
        <v>ANDR protein</v>
      </c>
      <c r="J265">
        <v>797.35</v>
      </c>
      <c r="K265" t="s">
        <v>25</v>
      </c>
      <c r="L265">
        <v>157</v>
      </c>
      <c r="M265">
        <v>44.41</v>
      </c>
      <c r="N265">
        <v>42.44</v>
      </c>
      <c r="O265" t="s">
        <v>20</v>
      </c>
      <c r="P265" t="s">
        <v>965</v>
      </c>
      <c r="Q265" t="s">
        <v>20</v>
      </c>
      <c r="R265" t="str">
        <f>HYPERLINK("https://cfpub.epa.gov/ecotox/explore.cfm?ncbi=450177","Explore in ECOTOX")</f>
        <v>Explore in ECOTOX</v>
      </c>
    </row>
    <row r="266" spans="1:18" x14ac:dyDescent="0.25">
      <c r="A266">
        <v>6</v>
      </c>
      <c r="B266" t="str">
        <f>HYPERLINK("http://www.ncbi.nlm.nih.gov/protein/NWW26771.1","NWW26771.1")</f>
        <v>NWW26771.1</v>
      </c>
      <c r="C266">
        <v>14502</v>
      </c>
      <c r="D266" t="str">
        <f>HYPERLINK("http://www.ncbi.nlm.nih.gov/Taxonomy/Browser/wwwtax.cgi?mode=Info&amp;id=254539&amp;lvl=3&amp;lin=f&amp;keep=1&amp;srchmode=1&amp;unlock","254539")</f>
        <v>254539</v>
      </c>
      <c r="E266" t="s">
        <v>167</v>
      </c>
      <c r="F266" t="s">
        <v>167</v>
      </c>
      <c r="G266" t="str">
        <f>HYPERLINK("http://www.ncbi.nlm.nih.gov/Taxonomy/Browser/wwwtax.cgi?mode=Info&amp;id=254539&amp;lvl=3&amp;lin=f&amp;keep=1&amp;srchmode=1&amp;unlock","Falcunculus frontatus")</f>
        <v>Falcunculus frontatus</v>
      </c>
      <c r="H266" t="s">
        <v>312</v>
      </c>
      <c r="I266" t="str">
        <f>HYPERLINK("http://www.ncbi.nlm.nih.gov/protein/NWW26771.1","ANDR protein")</f>
        <v>ANDR protein</v>
      </c>
      <c r="J266">
        <v>796.96</v>
      </c>
      <c r="K266" t="s">
        <v>25</v>
      </c>
      <c r="L266">
        <v>157</v>
      </c>
      <c r="M266">
        <v>44.41</v>
      </c>
      <c r="N266">
        <v>42.42</v>
      </c>
      <c r="O266" t="s">
        <v>20</v>
      </c>
      <c r="P266" t="s">
        <v>965</v>
      </c>
      <c r="Q266" t="s">
        <v>20</v>
      </c>
      <c r="R266" t="str">
        <f>HYPERLINK("https://cfpub.epa.gov/ecotox/explore.cfm?ncbi=254539","Explore in ECOTOX")</f>
        <v>Explore in ECOTOX</v>
      </c>
    </row>
    <row r="267" spans="1:18" x14ac:dyDescent="0.25">
      <c r="A267">
        <v>6</v>
      </c>
      <c r="B267" t="str">
        <f>HYPERLINK("http://www.ncbi.nlm.nih.gov/protein/XP_017674811.1","XP_017674811.1")</f>
        <v>XP_017674811.1</v>
      </c>
      <c r="C267">
        <v>36957</v>
      </c>
      <c r="D267" t="str">
        <f>HYPERLINK("http://www.ncbi.nlm.nih.gov/Taxonomy/Browser/wwwtax.cgi?mode=Info&amp;id=321398&amp;lvl=3&amp;lin=f&amp;keep=1&amp;srchmode=1&amp;unlock","321398")</f>
        <v>321398</v>
      </c>
      <c r="E267" t="s">
        <v>167</v>
      </c>
      <c r="F267" t="s">
        <v>167</v>
      </c>
      <c r="G267" t="str">
        <f>HYPERLINK("http://www.ncbi.nlm.nih.gov/Taxonomy/Browser/wwwtax.cgi?mode=Info&amp;id=321398&amp;lvl=3&amp;lin=f&amp;keep=1&amp;srchmode=1&amp;unlock","Lepidothrix coronata")</f>
        <v>Lepidothrix coronata</v>
      </c>
      <c r="H267" t="s">
        <v>462</v>
      </c>
      <c r="I267" t="str">
        <f>HYPERLINK("http://www.ncbi.nlm.nih.gov/protein/XP_017674811.1","PREDICTED: androgen receptor")</f>
        <v>PREDICTED: androgen receptor</v>
      </c>
      <c r="J267">
        <v>796.96</v>
      </c>
      <c r="K267" t="s">
        <v>25</v>
      </c>
      <c r="L267">
        <v>157</v>
      </c>
      <c r="M267">
        <v>44.41</v>
      </c>
      <c r="N267">
        <v>42.42</v>
      </c>
      <c r="O267" t="s">
        <v>20</v>
      </c>
      <c r="P267" t="s">
        <v>965</v>
      </c>
      <c r="Q267" t="s">
        <v>20</v>
      </c>
      <c r="R267" t="str">
        <f>HYPERLINK("https://cfpub.epa.gov/ecotox/explore.cfm?ncbi=321398","Explore in ECOTOX")</f>
        <v>Explore in ECOTOX</v>
      </c>
    </row>
    <row r="268" spans="1:18" x14ac:dyDescent="0.25">
      <c r="A268">
        <v>6</v>
      </c>
      <c r="B268" t="str">
        <f>HYPERLINK("http://www.ncbi.nlm.nih.gov/protein/NXM46696.1","NXM46696.1")</f>
        <v>NXM46696.1</v>
      </c>
      <c r="C268">
        <v>14416</v>
      </c>
      <c r="D268" t="str">
        <f>HYPERLINK("http://www.ncbi.nlm.nih.gov/Taxonomy/Browser/wwwtax.cgi?mode=Info&amp;id=9132&amp;lvl=3&amp;lin=f&amp;keep=1&amp;srchmode=1&amp;unlock","9132")</f>
        <v>9132</v>
      </c>
      <c r="E268" t="s">
        <v>167</v>
      </c>
      <c r="F268" t="s">
        <v>167</v>
      </c>
      <c r="G268" t="str">
        <f>HYPERLINK("http://www.ncbi.nlm.nih.gov/Taxonomy/Browser/wwwtax.cgi?mode=Info&amp;id=9132&amp;lvl=3&amp;lin=f&amp;keep=1&amp;srchmode=1&amp;unlock","Gymnorhina tibicen")</f>
        <v>Gymnorhina tibicen</v>
      </c>
      <c r="H268" t="s">
        <v>326</v>
      </c>
      <c r="I268" t="str">
        <f>HYPERLINK("http://www.ncbi.nlm.nih.gov/protein/NXM46696.1","ANDR protein")</f>
        <v>ANDR protein</v>
      </c>
      <c r="J268">
        <v>796.96</v>
      </c>
      <c r="K268" t="s">
        <v>25</v>
      </c>
      <c r="L268">
        <v>157</v>
      </c>
      <c r="M268">
        <v>44.41</v>
      </c>
      <c r="N268">
        <v>42.42</v>
      </c>
      <c r="O268" t="s">
        <v>20</v>
      </c>
      <c r="P268" t="s">
        <v>965</v>
      </c>
      <c r="Q268" t="s">
        <v>20</v>
      </c>
      <c r="R268" t="str">
        <f>HYPERLINK("https://cfpub.epa.gov/ecotox/explore.cfm?ncbi=9132","Explore in ECOTOX")</f>
        <v>Explore in ECOTOX</v>
      </c>
    </row>
    <row r="269" spans="1:18" x14ac:dyDescent="0.25">
      <c r="A269">
        <v>6</v>
      </c>
      <c r="B269" t="str">
        <f>HYPERLINK("http://www.ncbi.nlm.nih.gov/protein/NXC80958.1","NXC80958.1")</f>
        <v>NXC80958.1</v>
      </c>
      <c r="C269">
        <v>13604</v>
      </c>
      <c r="D269" t="str">
        <f>HYPERLINK("http://www.ncbi.nlm.nih.gov/Taxonomy/Browser/wwwtax.cgi?mode=Info&amp;id=614051&amp;lvl=3&amp;lin=f&amp;keep=1&amp;srchmode=1&amp;unlock","614051")</f>
        <v>614051</v>
      </c>
      <c r="E269" t="s">
        <v>167</v>
      </c>
      <c r="F269" t="s">
        <v>167</v>
      </c>
      <c r="G269" t="str">
        <f>HYPERLINK("http://www.ncbi.nlm.nih.gov/Taxonomy/Browser/wwwtax.cgi?mode=Info&amp;id=614051&amp;lvl=3&amp;lin=f&amp;keep=1&amp;srchmode=1&amp;unlock","Cercotrichas coryphoeus")</f>
        <v>Cercotrichas coryphoeus</v>
      </c>
      <c r="H269" t="s">
        <v>373</v>
      </c>
      <c r="I269" t="str">
        <f>HYPERLINK("http://www.ncbi.nlm.nih.gov/protein/NXC80958.1","ANDR protein")</f>
        <v>ANDR protein</v>
      </c>
      <c r="J269">
        <v>796.96</v>
      </c>
      <c r="K269" t="s">
        <v>25</v>
      </c>
      <c r="L269">
        <v>157</v>
      </c>
      <c r="M269">
        <v>44.41</v>
      </c>
      <c r="N269">
        <v>42.42</v>
      </c>
      <c r="O269" t="s">
        <v>20</v>
      </c>
      <c r="P269" t="s">
        <v>965</v>
      </c>
      <c r="Q269" t="s">
        <v>20</v>
      </c>
      <c r="R269" t="str">
        <f>HYPERLINK("https://cfpub.epa.gov/ecotox/explore.cfm?ncbi=614051","Explore in ECOTOX")</f>
        <v>Explore in ECOTOX</v>
      </c>
    </row>
    <row r="270" spans="1:18" x14ac:dyDescent="0.25">
      <c r="A270">
        <v>6</v>
      </c>
      <c r="B270" t="str">
        <f>HYPERLINK("http://www.ncbi.nlm.nih.gov/protein/NXS72487.1","NXS72487.1")</f>
        <v>NXS72487.1</v>
      </c>
      <c r="C270">
        <v>12873</v>
      </c>
      <c r="D270" t="str">
        <f>HYPERLINK("http://www.ncbi.nlm.nih.gov/Taxonomy/Browser/wwwtax.cgi?mode=Info&amp;id=56262&amp;lvl=3&amp;lin=f&amp;keep=1&amp;srchmode=1&amp;unlock","56262")</f>
        <v>56262</v>
      </c>
      <c r="E270" t="s">
        <v>167</v>
      </c>
      <c r="F270" t="s">
        <v>167</v>
      </c>
      <c r="G270" t="str">
        <f>HYPERLINK("http://www.ncbi.nlm.nih.gov/Taxonomy/Browser/wwwtax.cgi?mode=Info&amp;id=56262&amp;lvl=3&amp;lin=f&amp;keep=1&amp;srchmode=1&amp;unlock","Pandion haliaetus")</f>
        <v>Pandion haliaetus</v>
      </c>
      <c r="H270" t="s">
        <v>324</v>
      </c>
      <c r="I270" t="str">
        <f>HYPERLINK("http://www.ncbi.nlm.nih.gov/protein/NXS72487.1","ANDR protein")</f>
        <v>ANDR protein</v>
      </c>
      <c r="J270">
        <v>796.58</v>
      </c>
      <c r="K270" t="s">
        <v>25</v>
      </c>
      <c r="L270">
        <v>157</v>
      </c>
      <c r="M270">
        <v>44.41</v>
      </c>
      <c r="N270">
        <v>42.4</v>
      </c>
      <c r="O270" t="s">
        <v>20</v>
      </c>
      <c r="P270" t="s">
        <v>965</v>
      </c>
      <c r="Q270" t="s">
        <v>20</v>
      </c>
      <c r="R270" t="str">
        <f>HYPERLINK("https://cfpub.epa.gov/ecotox/explore.cfm?ncbi=56262","Explore in ECOTOX")</f>
        <v>Explore in ECOTOX</v>
      </c>
    </row>
    <row r="271" spans="1:18" x14ac:dyDescent="0.25">
      <c r="A271">
        <v>6</v>
      </c>
      <c r="B271" t="str">
        <f>HYPERLINK("http://www.ncbi.nlm.nih.gov/protein/NXG80896.1","NXG80896.1")</f>
        <v>NXG80896.1</v>
      </c>
      <c r="C271">
        <v>13417</v>
      </c>
      <c r="D271" t="str">
        <f>HYPERLINK("http://www.ncbi.nlm.nih.gov/Taxonomy/Browser/wwwtax.cgi?mode=Info&amp;id=176943&amp;lvl=3&amp;lin=f&amp;keep=1&amp;srchmode=1&amp;unlock","176943")</f>
        <v>176943</v>
      </c>
      <c r="E271" t="s">
        <v>167</v>
      </c>
      <c r="F271" t="s">
        <v>167</v>
      </c>
      <c r="G271" t="str">
        <f>HYPERLINK("http://www.ncbi.nlm.nih.gov/Taxonomy/Browser/wwwtax.cgi?mode=Info&amp;id=176943&amp;lvl=3&amp;lin=f&amp;keep=1&amp;srchmode=1&amp;unlock","Baryphthengus martii")</f>
        <v>Baryphthengus martii</v>
      </c>
      <c r="H271" t="s">
        <v>238</v>
      </c>
      <c r="I271" t="str">
        <f>HYPERLINK("http://www.ncbi.nlm.nih.gov/protein/NXG80896.1","ANDR protein")</f>
        <v>ANDR protein</v>
      </c>
      <c r="J271">
        <v>796.58</v>
      </c>
      <c r="K271" t="s">
        <v>25</v>
      </c>
      <c r="L271">
        <v>157</v>
      </c>
      <c r="M271">
        <v>44.41</v>
      </c>
      <c r="N271">
        <v>42.4</v>
      </c>
      <c r="O271" t="s">
        <v>20</v>
      </c>
      <c r="P271" t="s">
        <v>965</v>
      </c>
      <c r="Q271" t="s">
        <v>20</v>
      </c>
      <c r="R271" t="str">
        <f>HYPERLINK("https://cfpub.epa.gov/ecotox/explore.cfm?ncbi=176943","Explore in ECOTOX")</f>
        <v>Explore in ECOTOX</v>
      </c>
    </row>
    <row r="272" spans="1:18" x14ac:dyDescent="0.25">
      <c r="A272">
        <v>6</v>
      </c>
      <c r="B272" t="str">
        <f>HYPERLINK("http://www.ncbi.nlm.nih.gov/protein/NWT18796.1","NWT18796.1")</f>
        <v>NWT18796.1</v>
      </c>
      <c r="C272">
        <v>14153</v>
      </c>
      <c r="D272" t="str">
        <f>HYPERLINK("http://www.ncbi.nlm.nih.gov/Taxonomy/Browser/wwwtax.cgi?mode=Info&amp;id=34956&amp;lvl=3&amp;lin=f&amp;keep=1&amp;srchmode=1&amp;unlock","34956")</f>
        <v>34956</v>
      </c>
      <c r="E272" t="s">
        <v>167</v>
      </c>
      <c r="F272" t="s">
        <v>167</v>
      </c>
      <c r="G272" t="str">
        <f>HYPERLINK("http://www.ncbi.nlm.nih.gov/Taxonomy/Browser/wwwtax.cgi?mode=Info&amp;id=34956&amp;lvl=3&amp;lin=f&amp;keep=1&amp;srchmode=1&amp;unlock","Vireo altiloquus")</f>
        <v>Vireo altiloquus</v>
      </c>
      <c r="H272" t="s">
        <v>302</v>
      </c>
      <c r="I272" t="str">
        <f>HYPERLINK("http://www.ncbi.nlm.nih.gov/protein/NWT18796.1","ANDR protein")</f>
        <v>ANDR protein</v>
      </c>
      <c r="J272">
        <v>796.58</v>
      </c>
      <c r="K272" t="s">
        <v>25</v>
      </c>
      <c r="L272">
        <v>157</v>
      </c>
      <c r="M272">
        <v>44.41</v>
      </c>
      <c r="N272">
        <v>42.4</v>
      </c>
      <c r="O272" t="s">
        <v>20</v>
      </c>
      <c r="P272" t="s">
        <v>965</v>
      </c>
      <c r="Q272" t="s">
        <v>20</v>
      </c>
      <c r="R272" t="str">
        <f>HYPERLINK("https://cfpub.epa.gov/ecotox/explore.cfm?ncbi=34956","Explore in ECOTOX")</f>
        <v>Explore in ECOTOX</v>
      </c>
    </row>
    <row r="273" spans="1:18" x14ac:dyDescent="0.25">
      <c r="A273">
        <v>6</v>
      </c>
      <c r="B273" t="str">
        <f>HYPERLINK("http://www.ncbi.nlm.nih.gov/protein/NXD90970.1","NXD90970.1")</f>
        <v>NXD90970.1</v>
      </c>
      <c r="C273">
        <v>14358</v>
      </c>
      <c r="D273" t="str">
        <f>HYPERLINK("http://www.ncbi.nlm.nih.gov/Taxonomy/Browser/wwwtax.cgi?mode=Info&amp;id=254446&amp;lvl=3&amp;lin=f&amp;keep=1&amp;srchmode=1&amp;unlock","254446")</f>
        <v>254446</v>
      </c>
      <c r="E273" t="s">
        <v>167</v>
      </c>
      <c r="F273" t="s">
        <v>167</v>
      </c>
      <c r="G273" t="str">
        <f>HYPERLINK("http://www.ncbi.nlm.nih.gov/Taxonomy/Browser/wwwtax.cgi?mode=Info&amp;id=254446&amp;lvl=3&amp;lin=f&amp;keep=1&amp;srchmode=1&amp;unlock","Chaetorhynchus papuensis")</f>
        <v>Chaetorhynchus papuensis</v>
      </c>
      <c r="H273" t="s">
        <v>264</v>
      </c>
      <c r="I273" t="str">
        <f>HYPERLINK("http://www.ncbi.nlm.nih.gov/protein/NXD90970.1","ANDR protein")</f>
        <v>ANDR protein</v>
      </c>
      <c r="J273">
        <v>796.19</v>
      </c>
      <c r="K273" t="s">
        <v>25</v>
      </c>
      <c r="L273">
        <v>157</v>
      </c>
      <c r="M273">
        <v>44.41</v>
      </c>
      <c r="N273">
        <v>42.38</v>
      </c>
      <c r="O273" t="s">
        <v>20</v>
      </c>
      <c r="P273" t="s">
        <v>965</v>
      </c>
      <c r="Q273" t="s">
        <v>20</v>
      </c>
      <c r="R273" t="str">
        <f>HYPERLINK("https://cfpub.epa.gov/ecotox/explore.cfm?ncbi=254446","Explore in ECOTOX")</f>
        <v>Explore in ECOTOX</v>
      </c>
    </row>
    <row r="274" spans="1:18" x14ac:dyDescent="0.25">
      <c r="A274">
        <v>6</v>
      </c>
      <c r="B274" t="str">
        <f>HYPERLINK("http://www.ncbi.nlm.nih.gov/protein/NWR35662.1","NWR35662.1")</f>
        <v>NWR35662.1</v>
      </c>
      <c r="C274">
        <v>14362</v>
      </c>
      <c r="D274" t="str">
        <f>HYPERLINK("http://www.ncbi.nlm.nih.gov/Taxonomy/Browser/wwwtax.cgi?mode=Info&amp;id=495162&amp;lvl=3&amp;lin=f&amp;keep=1&amp;srchmode=1&amp;unlock","495162")</f>
        <v>495162</v>
      </c>
      <c r="E274" t="s">
        <v>167</v>
      </c>
      <c r="F274" t="s">
        <v>167</v>
      </c>
      <c r="G274" t="str">
        <f>HYPERLINK("http://www.ncbi.nlm.nih.gov/Taxonomy/Browser/wwwtax.cgi?mode=Info&amp;id=495162&amp;lvl=3&amp;lin=f&amp;keep=1&amp;srchmode=1&amp;unlock","Tachuris rubrigastra")</f>
        <v>Tachuris rubrigastra</v>
      </c>
      <c r="H274" t="s">
        <v>206</v>
      </c>
      <c r="I274" t="str">
        <f>HYPERLINK("http://www.ncbi.nlm.nih.gov/protein/NWR35662.1","ANDR protein")</f>
        <v>ANDR protein</v>
      </c>
      <c r="J274">
        <v>796.19</v>
      </c>
      <c r="K274" t="s">
        <v>25</v>
      </c>
      <c r="L274">
        <v>157</v>
      </c>
      <c r="M274">
        <v>44.41</v>
      </c>
      <c r="N274">
        <v>42.38</v>
      </c>
      <c r="O274" t="s">
        <v>20</v>
      </c>
      <c r="P274" t="s">
        <v>965</v>
      </c>
      <c r="Q274" t="s">
        <v>20</v>
      </c>
      <c r="R274" t="str">
        <f>HYPERLINK("https://cfpub.epa.gov/ecotox/explore.cfm?ncbi=495162","Explore in ECOTOX")</f>
        <v>Explore in ECOTOX</v>
      </c>
    </row>
    <row r="275" spans="1:18" x14ac:dyDescent="0.25">
      <c r="A275">
        <v>6</v>
      </c>
      <c r="B275" t="str">
        <f>HYPERLINK("http://www.ncbi.nlm.nih.gov/protein/NWX35055.1","NWX35055.1")</f>
        <v>NWX35055.1</v>
      </c>
      <c r="C275">
        <v>13735</v>
      </c>
      <c r="D275" t="str">
        <f>HYPERLINK("http://www.ncbi.nlm.nih.gov/Taxonomy/Browser/wwwtax.cgi?mode=Info&amp;id=366454&amp;lvl=3&amp;lin=f&amp;keep=1&amp;srchmode=1&amp;unlock","366454")</f>
        <v>366454</v>
      </c>
      <c r="E275" t="s">
        <v>167</v>
      </c>
      <c r="F275" t="s">
        <v>167</v>
      </c>
      <c r="G275" t="str">
        <f>HYPERLINK("http://www.ncbi.nlm.nih.gov/Taxonomy/Browser/wwwtax.cgi?mode=Info&amp;id=366454&amp;lvl=3&amp;lin=f&amp;keep=1&amp;srchmode=1&amp;unlock","Notiomystis cincta")</f>
        <v>Notiomystis cincta</v>
      </c>
      <c r="H275" t="s">
        <v>369</v>
      </c>
      <c r="I275" t="str">
        <f>HYPERLINK("http://www.ncbi.nlm.nih.gov/protein/NWX35055.1","ANDR protein")</f>
        <v>ANDR protein</v>
      </c>
      <c r="J275">
        <v>795.81</v>
      </c>
      <c r="K275" t="s">
        <v>25</v>
      </c>
      <c r="L275">
        <v>157</v>
      </c>
      <c r="M275">
        <v>44.41</v>
      </c>
      <c r="N275">
        <v>42.36</v>
      </c>
      <c r="O275" t="s">
        <v>20</v>
      </c>
      <c r="P275" t="s">
        <v>965</v>
      </c>
      <c r="Q275" t="s">
        <v>20</v>
      </c>
      <c r="R275" t="str">
        <f>HYPERLINK("https://cfpub.epa.gov/ecotox/explore.cfm?ncbi=366454","Explore in ECOTOX")</f>
        <v>Explore in ECOTOX</v>
      </c>
    </row>
    <row r="276" spans="1:18" x14ac:dyDescent="0.25">
      <c r="A276">
        <v>6</v>
      </c>
      <c r="B276" t="str">
        <f>HYPERLINK("http://www.ncbi.nlm.nih.gov/protein/NWV93261.1","NWV93261.1")</f>
        <v>NWV93261.1</v>
      </c>
      <c r="C276">
        <v>13983</v>
      </c>
      <c r="D276" t="str">
        <f>HYPERLINK("http://www.ncbi.nlm.nih.gov/Taxonomy/Browser/wwwtax.cgi?mode=Info&amp;id=1160894&amp;lvl=3&amp;lin=f&amp;keep=1&amp;srchmode=1&amp;unlock","1160894")</f>
        <v>1160894</v>
      </c>
      <c r="E276" t="s">
        <v>167</v>
      </c>
      <c r="F276" t="s">
        <v>167</v>
      </c>
      <c r="G276" t="str">
        <f>HYPERLINK("http://www.ncbi.nlm.nih.gov/Taxonomy/Browser/wwwtax.cgi?mode=Info&amp;id=1160894&amp;lvl=3&amp;lin=f&amp;keep=1&amp;srchmode=1&amp;unlock","Machaerirhynchus nigripectus")</f>
        <v>Machaerirhynchus nigripectus</v>
      </c>
      <c r="H276" t="s">
        <v>206</v>
      </c>
      <c r="I276" t="str">
        <f>HYPERLINK("http://www.ncbi.nlm.nih.gov/protein/NWV93261.1","ANDR protein")</f>
        <v>ANDR protein</v>
      </c>
      <c r="J276">
        <v>795.81</v>
      </c>
      <c r="K276" t="s">
        <v>25</v>
      </c>
      <c r="L276">
        <v>157</v>
      </c>
      <c r="M276">
        <v>44.41</v>
      </c>
      <c r="N276">
        <v>42.36</v>
      </c>
      <c r="O276" t="s">
        <v>20</v>
      </c>
      <c r="P276" t="s">
        <v>965</v>
      </c>
      <c r="Q276" t="s">
        <v>20</v>
      </c>
      <c r="R276" t="str">
        <f>HYPERLINK("https://cfpub.epa.gov/ecotox/explore.cfm?ncbi=1160894","Explore in ECOTOX")</f>
        <v>Explore in ECOTOX</v>
      </c>
    </row>
    <row r="277" spans="1:18" x14ac:dyDescent="0.25">
      <c r="A277">
        <v>6</v>
      </c>
      <c r="B277" t="str">
        <f>HYPERLINK("http://www.ncbi.nlm.nih.gov/protein/NXI81581.1","NXI81581.1")</f>
        <v>NXI81581.1</v>
      </c>
      <c r="C277">
        <v>14200</v>
      </c>
      <c r="D277" t="str">
        <f>HYPERLINK("http://www.ncbi.nlm.nih.gov/Taxonomy/Browser/wwwtax.cgi?mode=Info&amp;id=667186&amp;lvl=3&amp;lin=f&amp;keep=1&amp;srchmode=1&amp;unlock","667186")</f>
        <v>667186</v>
      </c>
      <c r="E277" t="s">
        <v>167</v>
      </c>
      <c r="F277" t="s">
        <v>167</v>
      </c>
      <c r="G277" t="str">
        <f>HYPERLINK("http://www.ncbi.nlm.nih.gov/Taxonomy/Browser/wwwtax.cgi?mode=Info&amp;id=667186&amp;lvl=3&amp;lin=f&amp;keep=1&amp;srchmode=1&amp;unlock","Rhipidura dahli")</f>
        <v>Rhipidura dahli</v>
      </c>
      <c r="H277" t="s">
        <v>206</v>
      </c>
      <c r="I277" t="str">
        <f>HYPERLINK("http://www.ncbi.nlm.nih.gov/protein/NXI81581.1","ANDR protein")</f>
        <v>ANDR protein</v>
      </c>
      <c r="J277">
        <v>795.81</v>
      </c>
      <c r="K277" t="s">
        <v>25</v>
      </c>
      <c r="L277">
        <v>157</v>
      </c>
      <c r="M277">
        <v>44.41</v>
      </c>
      <c r="N277">
        <v>42.36</v>
      </c>
      <c r="O277" t="s">
        <v>20</v>
      </c>
      <c r="P277" t="s">
        <v>965</v>
      </c>
      <c r="Q277" t="s">
        <v>20</v>
      </c>
      <c r="R277" t="str">
        <f>HYPERLINK("https://cfpub.epa.gov/ecotox/explore.cfm?ncbi=667186","Explore in ECOTOX")</f>
        <v>Explore in ECOTOX</v>
      </c>
    </row>
    <row r="278" spans="1:18" x14ac:dyDescent="0.25">
      <c r="A278">
        <v>6</v>
      </c>
      <c r="B278" t="str">
        <f>HYPERLINK("http://www.ncbi.nlm.nih.gov/protein/NWY14237.1","NWY14237.1")</f>
        <v>NWY14237.1</v>
      </c>
      <c r="C278">
        <v>14632</v>
      </c>
      <c r="D278" t="str">
        <f>HYPERLINK("http://www.ncbi.nlm.nih.gov/Taxonomy/Browser/wwwtax.cgi?mode=Info&amp;id=39617&amp;lvl=3&amp;lin=f&amp;keep=1&amp;srchmode=1&amp;unlock","39617")</f>
        <v>39617</v>
      </c>
      <c r="E278" t="s">
        <v>167</v>
      </c>
      <c r="F278" t="s">
        <v>167</v>
      </c>
      <c r="G278" t="str">
        <f>HYPERLINK("http://www.ncbi.nlm.nih.gov/Taxonomy/Browser/wwwtax.cgi?mode=Info&amp;id=39617&amp;lvl=3&amp;lin=f&amp;keep=1&amp;srchmode=1&amp;unlock","Aphelocoma coerulescens")</f>
        <v>Aphelocoma coerulescens</v>
      </c>
      <c r="H278" t="s">
        <v>224</v>
      </c>
      <c r="I278" t="str">
        <f>HYPERLINK("http://www.ncbi.nlm.nih.gov/protein/NWY14237.1","ANDR protein")</f>
        <v>ANDR protein</v>
      </c>
      <c r="J278">
        <v>795.81</v>
      </c>
      <c r="K278" t="s">
        <v>25</v>
      </c>
      <c r="L278">
        <v>157</v>
      </c>
      <c r="M278">
        <v>44.41</v>
      </c>
      <c r="N278">
        <v>42.36</v>
      </c>
      <c r="O278" t="s">
        <v>20</v>
      </c>
      <c r="P278" t="s">
        <v>965</v>
      </c>
      <c r="Q278" t="s">
        <v>20</v>
      </c>
      <c r="R278" t="str">
        <f>HYPERLINK("https://cfpub.epa.gov/ecotox/explore.cfm?ncbi=39617","Explore in ECOTOX")</f>
        <v>Explore in ECOTOX</v>
      </c>
    </row>
    <row r="279" spans="1:18" x14ac:dyDescent="0.25">
      <c r="A279">
        <v>6</v>
      </c>
      <c r="B279" t="str">
        <f>HYPERLINK("http://www.ncbi.nlm.nih.gov/protein/NXL20952.1","NXL20952.1")</f>
        <v>NXL20952.1</v>
      </c>
      <c r="C279">
        <v>13919</v>
      </c>
      <c r="D279" t="str">
        <f>HYPERLINK("http://www.ncbi.nlm.nih.gov/Taxonomy/Browser/wwwtax.cgi?mode=Info&amp;id=298831&amp;lvl=3&amp;lin=f&amp;keep=1&amp;srchmode=1&amp;unlock","298831")</f>
        <v>298831</v>
      </c>
      <c r="E279" t="s">
        <v>167</v>
      </c>
      <c r="F279" t="s">
        <v>167</v>
      </c>
      <c r="G279" t="str">
        <f>HYPERLINK("http://www.ncbi.nlm.nih.gov/Taxonomy/Browser/wwwtax.cgi?mode=Info&amp;id=298831&amp;lvl=3&amp;lin=f&amp;keep=1&amp;srchmode=1&amp;unlock","Setophaga kirtlandii")</f>
        <v>Setophaga kirtlandii</v>
      </c>
      <c r="H279" t="s">
        <v>463</v>
      </c>
      <c r="I279" t="str">
        <f>HYPERLINK("http://www.ncbi.nlm.nih.gov/protein/NXL20952.1","ANDR protein")</f>
        <v>ANDR protein</v>
      </c>
      <c r="J279">
        <v>795.42</v>
      </c>
      <c r="K279" t="s">
        <v>25</v>
      </c>
      <c r="L279">
        <v>157</v>
      </c>
      <c r="M279">
        <v>44.41</v>
      </c>
      <c r="N279">
        <v>42.34</v>
      </c>
      <c r="O279" t="s">
        <v>20</v>
      </c>
      <c r="P279" t="s">
        <v>965</v>
      </c>
      <c r="Q279" t="s">
        <v>20</v>
      </c>
      <c r="R279" t="str">
        <f>HYPERLINK("https://cfpub.epa.gov/ecotox/explore.cfm?ncbi=298831","Explore in ECOTOX")</f>
        <v>Explore in ECOTOX</v>
      </c>
    </row>
    <row r="280" spans="1:18" x14ac:dyDescent="0.25">
      <c r="A280">
        <v>6</v>
      </c>
      <c r="B280" t="str">
        <f>HYPERLINK("http://www.ncbi.nlm.nih.gov/protein/NXK46303.1","NXK46303.1")</f>
        <v>NXK46303.1</v>
      </c>
      <c r="C280">
        <v>13560</v>
      </c>
      <c r="D280" t="str">
        <f>HYPERLINK("http://www.ncbi.nlm.nih.gov/Taxonomy/Browser/wwwtax.cgi?mode=Info&amp;id=30388&amp;lvl=3&amp;lin=f&amp;keep=1&amp;srchmode=1&amp;unlock","30388")</f>
        <v>30388</v>
      </c>
      <c r="E280" t="s">
        <v>167</v>
      </c>
      <c r="F280" t="s">
        <v>167</v>
      </c>
      <c r="G280" t="str">
        <f>HYPERLINK("http://www.ncbi.nlm.nih.gov/Taxonomy/Browser/wwwtax.cgi?mode=Info&amp;id=30388&amp;lvl=3&amp;lin=f&amp;keep=1&amp;srchmode=1&amp;unlock","Chauna torquata")</f>
        <v>Chauna torquata</v>
      </c>
      <c r="H280" t="s">
        <v>981</v>
      </c>
      <c r="I280" t="str">
        <f>HYPERLINK("http://www.ncbi.nlm.nih.gov/protein/NXK46303.1","ANDR protein")</f>
        <v>ANDR protein</v>
      </c>
      <c r="J280">
        <v>795.42</v>
      </c>
      <c r="K280" t="s">
        <v>25</v>
      </c>
      <c r="L280">
        <v>157</v>
      </c>
      <c r="M280">
        <v>44.41</v>
      </c>
      <c r="N280">
        <v>42.34</v>
      </c>
      <c r="O280" t="s">
        <v>20</v>
      </c>
      <c r="P280" t="s">
        <v>965</v>
      </c>
      <c r="Q280" t="s">
        <v>20</v>
      </c>
      <c r="R280" t="str">
        <f>HYPERLINK("https://cfpub.epa.gov/ecotox/explore.cfm?ncbi=30388","Explore in ECOTOX")</f>
        <v>Explore in ECOTOX</v>
      </c>
    </row>
    <row r="281" spans="1:18" x14ac:dyDescent="0.25">
      <c r="A281">
        <v>6</v>
      </c>
      <c r="B281" t="str">
        <f>HYPERLINK("http://www.ncbi.nlm.nih.gov/protein/KAF4792979.1","KAF4792979.1")</f>
        <v>KAF4792979.1</v>
      </c>
      <c r="C281">
        <v>18372</v>
      </c>
      <c r="D281" t="str">
        <f>HYPERLINK("http://www.ncbi.nlm.nih.gov/Taxonomy/Browser/wwwtax.cgi?mode=Info&amp;id=311356&amp;lvl=3&amp;lin=f&amp;keep=1&amp;srchmode=1&amp;unlock","311356")</f>
        <v>311356</v>
      </c>
      <c r="E281" t="s">
        <v>167</v>
      </c>
      <c r="F281" t="s">
        <v>167</v>
      </c>
      <c r="G281" t="str">
        <f>HYPERLINK("http://www.ncbi.nlm.nih.gov/Taxonomy/Browser/wwwtax.cgi?mode=Info&amp;id=311356&amp;lvl=3&amp;lin=f&amp;keep=1&amp;srchmode=1&amp;unlock","Turdus rufiventris")</f>
        <v>Turdus rufiventris</v>
      </c>
      <c r="H281" t="s">
        <v>668</v>
      </c>
      <c r="I281" t="str">
        <f>HYPERLINK("http://www.ncbi.nlm.nih.gov/protein/KAF4792979.1","androgen receptor")</f>
        <v>androgen receptor</v>
      </c>
      <c r="J281">
        <v>795.04</v>
      </c>
      <c r="K281" t="s">
        <v>25</v>
      </c>
      <c r="L281">
        <v>157</v>
      </c>
      <c r="M281">
        <v>44.41</v>
      </c>
      <c r="N281">
        <v>42.32</v>
      </c>
      <c r="O281" t="s">
        <v>20</v>
      </c>
      <c r="P281" t="s">
        <v>965</v>
      </c>
      <c r="Q281" t="s">
        <v>20</v>
      </c>
      <c r="R281" t="str">
        <f>HYPERLINK("https://cfpub.epa.gov/ecotox/explore.cfm?ncbi=311356","Explore in ECOTOX")</f>
        <v>Explore in ECOTOX</v>
      </c>
    </row>
    <row r="282" spans="1:18" x14ac:dyDescent="0.25">
      <c r="A282">
        <v>6</v>
      </c>
      <c r="B282" t="str">
        <f>HYPERLINK("http://www.ncbi.nlm.nih.gov/protein/XP_021404098.1","XP_021404098.1")</f>
        <v>XP_021404098.1</v>
      </c>
      <c r="C282">
        <v>43851</v>
      </c>
      <c r="D282" t="str">
        <f>HYPERLINK("http://www.ncbi.nlm.nih.gov/Taxonomy/Browser/wwwtax.cgi?mode=Info&amp;id=299123&amp;lvl=3&amp;lin=f&amp;keep=1&amp;srchmode=1&amp;unlock","299123")</f>
        <v>299123</v>
      </c>
      <c r="E282" t="s">
        <v>167</v>
      </c>
      <c r="F282" t="s">
        <v>167</v>
      </c>
      <c r="G282" t="str">
        <f>HYPERLINK("http://www.ncbi.nlm.nih.gov/Taxonomy/Browser/wwwtax.cgi?mode=Info&amp;id=299123&amp;lvl=3&amp;lin=f&amp;keep=1&amp;srchmode=1&amp;unlock","Lonchura striata domestica")</f>
        <v>Lonchura striata domestica</v>
      </c>
      <c r="H282" t="s">
        <v>447</v>
      </c>
      <c r="I282" t="str">
        <f>HYPERLINK("http://www.ncbi.nlm.nih.gov/protein/XP_021404098.1","androgen receptor")</f>
        <v>androgen receptor</v>
      </c>
      <c r="J282">
        <v>795.04</v>
      </c>
      <c r="K282" t="s">
        <v>25</v>
      </c>
      <c r="L282">
        <v>157</v>
      </c>
      <c r="M282">
        <v>44.41</v>
      </c>
      <c r="N282">
        <v>42.32</v>
      </c>
      <c r="O282" t="s">
        <v>20</v>
      </c>
      <c r="P282" t="s">
        <v>965</v>
      </c>
      <c r="Q282" t="s">
        <v>20</v>
      </c>
      <c r="R282" t="str">
        <f>HYPERLINK("https://cfpub.epa.gov/ecotox/explore.cfm?ncbi=299123","Explore in ECOTOX")</f>
        <v>Explore in ECOTOX</v>
      </c>
    </row>
    <row r="283" spans="1:18" x14ac:dyDescent="0.25">
      <c r="A283">
        <v>6</v>
      </c>
      <c r="B283" t="str">
        <f>HYPERLINK("http://www.ncbi.nlm.nih.gov/protein/NXL81394.1","NXL81394.1")</f>
        <v>NXL81394.1</v>
      </c>
      <c r="C283">
        <v>13740</v>
      </c>
      <c r="D283" t="str">
        <f>HYPERLINK("http://www.ncbi.nlm.nih.gov/Taxonomy/Browser/wwwtax.cgi?mode=Info&amp;id=2585812&amp;lvl=3&amp;lin=f&amp;keep=1&amp;srchmode=1&amp;unlock","2585812")</f>
        <v>2585812</v>
      </c>
      <c r="E283" t="s">
        <v>167</v>
      </c>
      <c r="F283" t="s">
        <v>167</v>
      </c>
      <c r="G283" t="str">
        <f>HYPERLINK("http://www.ncbi.nlm.nih.gov/Taxonomy/Browser/wwwtax.cgi?mode=Info&amp;id=2585812&amp;lvl=3&amp;lin=f&amp;keep=1&amp;srchmode=1&amp;unlock","Leptocoma aspasia")</f>
        <v>Leptocoma aspasia</v>
      </c>
      <c r="H283" t="s">
        <v>206</v>
      </c>
      <c r="I283" t="str">
        <f>HYPERLINK("http://www.ncbi.nlm.nih.gov/protein/NXL81394.1","ANDR protein")</f>
        <v>ANDR protein</v>
      </c>
      <c r="J283">
        <v>795.04</v>
      </c>
      <c r="K283" t="s">
        <v>25</v>
      </c>
      <c r="L283">
        <v>157</v>
      </c>
      <c r="M283">
        <v>44.41</v>
      </c>
      <c r="N283">
        <v>42.32</v>
      </c>
      <c r="O283" t="s">
        <v>20</v>
      </c>
      <c r="P283" t="s">
        <v>965</v>
      </c>
      <c r="Q283" t="s">
        <v>20</v>
      </c>
      <c r="R283" t="str">
        <f>HYPERLINK("https://cfpub.epa.gov/ecotox/explore.cfm?ncbi=2585812","Explore in ECOTOX")</f>
        <v>Explore in ECOTOX</v>
      </c>
    </row>
    <row r="284" spans="1:18" x14ac:dyDescent="0.25">
      <c r="A284">
        <v>6</v>
      </c>
      <c r="B284" t="str">
        <f>HYPERLINK("http://www.ncbi.nlm.nih.gov/protein/NXO37548.1","NXO37548.1")</f>
        <v>NXO37548.1</v>
      </c>
      <c r="C284">
        <v>13974</v>
      </c>
      <c r="D284" t="str">
        <f>HYPERLINK("http://www.ncbi.nlm.nih.gov/Taxonomy/Browser/wwwtax.cgi?mode=Info&amp;id=187437&amp;lvl=3&amp;lin=f&amp;keep=1&amp;srchmode=1&amp;unlock","187437")</f>
        <v>187437</v>
      </c>
      <c r="E284" t="s">
        <v>167</v>
      </c>
      <c r="F284" t="s">
        <v>167</v>
      </c>
      <c r="G284" t="str">
        <f>HYPERLINK("http://www.ncbi.nlm.nih.gov/Taxonomy/Browser/wwwtax.cgi?mode=Info&amp;id=187437&amp;lvl=3&amp;lin=f&amp;keep=1&amp;srchmode=1&amp;unlock","Locustella ochotensis")</f>
        <v>Locustella ochotensis</v>
      </c>
      <c r="H284" t="s">
        <v>402</v>
      </c>
      <c r="I284" t="str">
        <f>HYPERLINK("http://www.ncbi.nlm.nih.gov/protein/NXO37548.1","ANDR protein")</f>
        <v>ANDR protein</v>
      </c>
      <c r="J284">
        <v>795.04</v>
      </c>
      <c r="K284" t="s">
        <v>25</v>
      </c>
      <c r="L284">
        <v>157</v>
      </c>
      <c r="M284">
        <v>44.41</v>
      </c>
      <c r="N284">
        <v>42.32</v>
      </c>
      <c r="O284" t="s">
        <v>20</v>
      </c>
      <c r="P284" t="s">
        <v>965</v>
      </c>
      <c r="Q284" t="s">
        <v>20</v>
      </c>
      <c r="R284" t="str">
        <f>HYPERLINK("https://cfpub.epa.gov/ecotox/explore.cfm?ncbi=187437","Explore in ECOTOX")</f>
        <v>Explore in ECOTOX</v>
      </c>
    </row>
    <row r="285" spans="1:18" x14ac:dyDescent="0.25">
      <c r="A285">
        <v>6</v>
      </c>
      <c r="B285" t="str">
        <f>HYPERLINK("http://www.ncbi.nlm.nih.gov/protein/NWX53363.1","NWX53363.1")</f>
        <v>NWX53363.1</v>
      </c>
      <c r="C285">
        <v>14100</v>
      </c>
      <c r="D285" t="str">
        <f>HYPERLINK("http://www.ncbi.nlm.nih.gov/Taxonomy/Browser/wwwtax.cgi?mode=Info&amp;id=254652&amp;lvl=3&amp;lin=f&amp;keep=1&amp;srchmode=1&amp;unlock","254652")</f>
        <v>254652</v>
      </c>
      <c r="E285" t="s">
        <v>167</v>
      </c>
      <c r="F285" t="s">
        <v>167</v>
      </c>
      <c r="G285" t="str">
        <f>HYPERLINK("http://www.ncbi.nlm.nih.gov/Taxonomy/Browser/wwwtax.cgi?mode=Info&amp;id=254652&amp;lvl=3&amp;lin=f&amp;keep=1&amp;srchmode=1&amp;unlock","Promerops cafer")</f>
        <v>Promerops cafer</v>
      </c>
      <c r="H285" t="s">
        <v>431</v>
      </c>
      <c r="I285" t="str">
        <f>HYPERLINK("http://www.ncbi.nlm.nih.gov/protein/NWX53363.1","ANDR protein")</f>
        <v>ANDR protein</v>
      </c>
      <c r="J285">
        <v>795.04</v>
      </c>
      <c r="K285" t="s">
        <v>25</v>
      </c>
      <c r="L285">
        <v>157</v>
      </c>
      <c r="M285">
        <v>44.41</v>
      </c>
      <c r="N285">
        <v>42.32</v>
      </c>
      <c r="O285" t="s">
        <v>20</v>
      </c>
      <c r="P285" t="s">
        <v>965</v>
      </c>
      <c r="Q285" t="s">
        <v>20</v>
      </c>
      <c r="R285" t="str">
        <f>HYPERLINK("https://cfpub.epa.gov/ecotox/explore.cfm?ncbi=254652","Explore in ECOTOX")</f>
        <v>Explore in ECOTOX</v>
      </c>
    </row>
    <row r="286" spans="1:18" x14ac:dyDescent="0.25">
      <c r="A286">
        <v>6</v>
      </c>
      <c r="B286" t="str">
        <f>HYPERLINK("http://www.ncbi.nlm.nih.gov/protein/NXS28167.1","NXS28167.1")</f>
        <v>NXS28167.1</v>
      </c>
      <c r="C286">
        <v>13329</v>
      </c>
      <c r="D286" t="str">
        <f>HYPERLINK("http://www.ncbi.nlm.nih.gov/Taxonomy/Browser/wwwtax.cgi?mode=Info&amp;id=9176&amp;lvl=3&amp;lin=f&amp;keep=1&amp;srchmode=1&amp;unlock","9176")</f>
        <v>9176</v>
      </c>
      <c r="E286" t="s">
        <v>167</v>
      </c>
      <c r="F286" t="s">
        <v>167</v>
      </c>
      <c r="G286" t="str">
        <f>HYPERLINK("http://www.ncbi.nlm.nih.gov/Taxonomy/Browser/wwwtax.cgi?mode=Info&amp;id=9176&amp;lvl=3&amp;lin=f&amp;keep=1&amp;srchmode=1&amp;unlock","Pomatostomus ruficeps")</f>
        <v>Pomatostomus ruficeps</v>
      </c>
      <c r="H286" t="s">
        <v>200</v>
      </c>
      <c r="I286" t="str">
        <f>HYPERLINK("http://www.ncbi.nlm.nih.gov/protein/NXS28167.1","ANDR protein")</f>
        <v>ANDR protein</v>
      </c>
      <c r="J286">
        <v>795.04</v>
      </c>
      <c r="K286" t="s">
        <v>25</v>
      </c>
      <c r="L286">
        <v>157</v>
      </c>
      <c r="M286">
        <v>44.41</v>
      </c>
      <c r="N286">
        <v>42.32</v>
      </c>
      <c r="O286" t="s">
        <v>20</v>
      </c>
      <c r="P286" t="s">
        <v>965</v>
      </c>
      <c r="Q286" t="s">
        <v>20</v>
      </c>
      <c r="R286" t="str">
        <f>HYPERLINK("https://cfpub.epa.gov/ecotox/explore.cfm?ncbi=9176","Explore in ECOTOX")</f>
        <v>Explore in ECOTOX</v>
      </c>
    </row>
    <row r="287" spans="1:18" x14ac:dyDescent="0.25">
      <c r="A287">
        <v>6</v>
      </c>
      <c r="B287" t="str">
        <f>HYPERLINK("http://www.ncbi.nlm.nih.gov/protein/NXM82885.1","NXM82885.1")</f>
        <v>NXM82885.1</v>
      </c>
      <c r="C287">
        <v>13842</v>
      </c>
      <c r="D287" t="str">
        <f>HYPERLINK("http://www.ncbi.nlm.nih.gov/Taxonomy/Browser/wwwtax.cgi?mode=Info&amp;id=279966&amp;lvl=3&amp;lin=f&amp;keep=1&amp;srchmode=1&amp;unlock","279966")</f>
        <v>279966</v>
      </c>
      <c r="E287" t="s">
        <v>167</v>
      </c>
      <c r="F287" t="s">
        <v>167</v>
      </c>
      <c r="G287" t="str">
        <f>HYPERLINK("http://www.ncbi.nlm.nih.gov/Taxonomy/Browser/wwwtax.cgi?mode=Info&amp;id=279966&amp;lvl=3&amp;lin=f&amp;keep=1&amp;srchmode=1&amp;unlock","Oenanthe oenanthe")</f>
        <v>Oenanthe oenanthe</v>
      </c>
      <c r="H287" t="s">
        <v>413</v>
      </c>
      <c r="I287" t="str">
        <f>HYPERLINK("http://www.ncbi.nlm.nih.gov/protein/NXM82885.1","ANDR protein")</f>
        <v>ANDR protein</v>
      </c>
      <c r="J287">
        <v>794.65</v>
      </c>
      <c r="K287" t="s">
        <v>25</v>
      </c>
      <c r="L287">
        <v>157</v>
      </c>
      <c r="M287">
        <v>44.41</v>
      </c>
      <c r="N287">
        <v>42.3</v>
      </c>
      <c r="O287" t="s">
        <v>20</v>
      </c>
      <c r="P287" t="s">
        <v>965</v>
      </c>
      <c r="Q287" t="s">
        <v>20</v>
      </c>
      <c r="R287" t="str">
        <f>HYPERLINK("https://cfpub.epa.gov/ecotox/explore.cfm?ncbi=279966","Explore in ECOTOX")</f>
        <v>Explore in ECOTOX</v>
      </c>
    </row>
    <row r="288" spans="1:18" x14ac:dyDescent="0.25">
      <c r="A288">
        <v>6</v>
      </c>
      <c r="B288" t="str">
        <f>HYPERLINK("http://www.ncbi.nlm.nih.gov/protein/NXO76010.1","NXO76010.1")</f>
        <v>NXO76010.1</v>
      </c>
      <c r="C288">
        <v>13766</v>
      </c>
      <c r="D288" t="str">
        <f>HYPERLINK("http://www.ncbi.nlm.nih.gov/Taxonomy/Browser/wwwtax.cgi?mode=Info&amp;id=50251&amp;lvl=3&amp;lin=f&amp;keep=1&amp;srchmode=1&amp;unlock","50251")</f>
        <v>50251</v>
      </c>
      <c r="E288" t="s">
        <v>167</v>
      </c>
      <c r="F288" t="s">
        <v>167</v>
      </c>
      <c r="G288" t="str">
        <f>HYPERLINK("http://www.ncbi.nlm.nih.gov/Taxonomy/Browser/wwwtax.cgi?mode=Info&amp;id=50251&amp;lvl=3&amp;lin=f&amp;keep=1&amp;srchmode=1&amp;unlock","Sitta europaea")</f>
        <v>Sitta europaea</v>
      </c>
      <c r="H288" t="s">
        <v>379</v>
      </c>
      <c r="I288" t="str">
        <f>HYPERLINK("http://www.ncbi.nlm.nih.gov/protein/NXO76010.1","ANDR protein")</f>
        <v>ANDR protein</v>
      </c>
      <c r="J288">
        <v>794.65</v>
      </c>
      <c r="K288" t="s">
        <v>25</v>
      </c>
      <c r="L288">
        <v>157</v>
      </c>
      <c r="M288">
        <v>44.41</v>
      </c>
      <c r="N288">
        <v>42.3</v>
      </c>
      <c r="O288" t="s">
        <v>20</v>
      </c>
      <c r="P288" t="s">
        <v>965</v>
      </c>
      <c r="Q288" t="s">
        <v>20</v>
      </c>
      <c r="R288" t="str">
        <f>HYPERLINK("https://cfpub.epa.gov/ecotox/explore.cfm?ncbi=50251","Explore in ECOTOX")</f>
        <v>Explore in ECOTOX</v>
      </c>
    </row>
    <row r="289" spans="1:18" x14ac:dyDescent="0.25">
      <c r="A289">
        <v>6</v>
      </c>
      <c r="B289" t="str">
        <f>HYPERLINK("http://www.ncbi.nlm.nih.gov/protein/NWU01087.1","NWU01087.1")</f>
        <v>NWU01087.1</v>
      </c>
      <c r="C289">
        <v>13723</v>
      </c>
      <c r="D289" t="str">
        <f>HYPERLINK("http://www.ncbi.nlm.nih.gov/Taxonomy/Browser/wwwtax.cgi?mode=Info&amp;id=571890&amp;lvl=3&amp;lin=f&amp;keep=1&amp;srchmode=1&amp;unlock","571890")</f>
        <v>571890</v>
      </c>
      <c r="E289" t="s">
        <v>167</v>
      </c>
      <c r="F289" t="s">
        <v>167</v>
      </c>
      <c r="G289" t="str">
        <f>HYPERLINK("http://www.ncbi.nlm.nih.gov/Taxonomy/Browser/wwwtax.cgi?mode=Info&amp;id=571890&amp;lvl=3&amp;lin=f&amp;keep=1&amp;srchmode=1&amp;unlock","Urocynchramus pylzowi")</f>
        <v>Urocynchramus pylzowi</v>
      </c>
      <c r="H289" t="s">
        <v>206</v>
      </c>
      <c r="I289" t="str">
        <f>HYPERLINK("http://www.ncbi.nlm.nih.gov/protein/NWU01087.1","ANDR protein")</f>
        <v>ANDR protein</v>
      </c>
      <c r="J289">
        <v>794.65</v>
      </c>
      <c r="K289" t="s">
        <v>25</v>
      </c>
      <c r="L289">
        <v>157</v>
      </c>
      <c r="M289">
        <v>44.41</v>
      </c>
      <c r="N289">
        <v>42.3</v>
      </c>
      <c r="O289" t="s">
        <v>20</v>
      </c>
      <c r="P289" t="s">
        <v>965</v>
      </c>
      <c r="Q289" t="s">
        <v>20</v>
      </c>
      <c r="R289" t="str">
        <f>HYPERLINK("https://cfpub.epa.gov/ecotox/explore.cfm?ncbi=571890","Explore in ECOTOX")</f>
        <v>Explore in ECOTOX</v>
      </c>
    </row>
    <row r="290" spans="1:18" x14ac:dyDescent="0.25">
      <c r="A290">
        <v>6</v>
      </c>
      <c r="B290" t="str">
        <f>HYPERLINK("http://www.ncbi.nlm.nih.gov/protein/NXO94999.1","NXO94999.1")</f>
        <v>NXO94999.1</v>
      </c>
      <c r="C290">
        <v>13923</v>
      </c>
      <c r="D290" t="str">
        <f>HYPERLINK("http://www.ncbi.nlm.nih.gov/Taxonomy/Browser/wwwtax.cgi?mode=Info&amp;id=73330&amp;lvl=3&amp;lin=f&amp;keep=1&amp;srchmode=1&amp;unlock","73330")</f>
        <v>73330</v>
      </c>
      <c r="E290" t="s">
        <v>167</v>
      </c>
      <c r="F290" t="s">
        <v>167</v>
      </c>
      <c r="G290" t="str">
        <f>HYPERLINK("http://www.ncbi.nlm.nih.gov/Taxonomy/Browser/wwwtax.cgi?mode=Info&amp;id=73330&amp;lvl=3&amp;lin=f&amp;keep=1&amp;srchmode=1&amp;unlock","Certhia brachydactyla")</f>
        <v>Certhia brachydactyla</v>
      </c>
      <c r="H290" t="s">
        <v>471</v>
      </c>
      <c r="I290" t="str">
        <f>HYPERLINK("http://www.ncbi.nlm.nih.gov/protein/NXO94999.1","ANDR protein")</f>
        <v>ANDR protein</v>
      </c>
      <c r="J290">
        <v>794.27</v>
      </c>
      <c r="K290" t="s">
        <v>25</v>
      </c>
      <c r="L290">
        <v>157</v>
      </c>
      <c r="M290">
        <v>44.41</v>
      </c>
      <c r="N290">
        <v>42.28</v>
      </c>
      <c r="O290" t="s">
        <v>20</v>
      </c>
      <c r="P290" t="s">
        <v>965</v>
      </c>
      <c r="Q290" t="s">
        <v>20</v>
      </c>
      <c r="R290" t="str">
        <f>HYPERLINK("https://cfpub.epa.gov/ecotox/explore.cfm?ncbi=73330","Explore in ECOTOX")</f>
        <v>Explore in ECOTOX</v>
      </c>
    </row>
    <row r="291" spans="1:18" x14ac:dyDescent="0.25">
      <c r="A291">
        <v>6</v>
      </c>
      <c r="B291" t="str">
        <f>HYPERLINK("http://www.ncbi.nlm.nih.gov/protein/NWU10266.1","NWU10266.1")</f>
        <v>NWU10266.1</v>
      </c>
      <c r="C291">
        <v>13939</v>
      </c>
      <c r="D291" t="str">
        <f>HYPERLINK("http://www.ncbi.nlm.nih.gov/Taxonomy/Browser/wwwtax.cgi?mode=Info&amp;id=114276&amp;lvl=3&amp;lin=f&amp;keep=1&amp;srchmode=1&amp;unlock","114276")</f>
        <v>114276</v>
      </c>
      <c r="E291" t="s">
        <v>167</v>
      </c>
      <c r="F291" t="s">
        <v>167</v>
      </c>
      <c r="G291" t="str">
        <f>HYPERLINK("http://www.ncbi.nlm.nih.gov/Taxonomy/Browser/wwwtax.cgi?mode=Info&amp;id=114276&amp;lvl=3&amp;lin=f&amp;keep=1&amp;srchmode=1&amp;unlock","Cephalopterus ornatus")</f>
        <v>Cephalopterus ornatus</v>
      </c>
      <c r="H291" t="s">
        <v>346</v>
      </c>
      <c r="I291" t="str">
        <f>HYPERLINK("http://www.ncbi.nlm.nih.gov/protein/NWU10266.1","ANDR protein")</f>
        <v>ANDR protein</v>
      </c>
      <c r="J291">
        <v>794.27</v>
      </c>
      <c r="K291" t="s">
        <v>25</v>
      </c>
      <c r="L291">
        <v>157</v>
      </c>
      <c r="M291">
        <v>44.41</v>
      </c>
      <c r="N291">
        <v>42.28</v>
      </c>
      <c r="O291" t="s">
        <v>20</v>
      </c>
      <c r="P291" t="s">
        <v>965</v>
      </c>
      <c r="Q291" t="s">
        <v>20</v>
      </c>
      <c r="R291" t="str">
        <f>HYPERLINK("https://cfpub.epa.gov/ecotox/explore.cfm?ncbi=114276","Explore in ECOTOX")</f>
        <v>Explore in ECOTOX</v>
      </c>
    </row>
    <row r="292" spans="1:18" x14ac:dyDescent="0.25">
      <c r="A292">
        <v>6</v>
      </c>
      <c r="B292" t="str">
        <f>HYPERLINK("http://www.ncbi.nlm.nih.gov/protein/NXO72063.1","NXO72063.1")</f>
        <v>NXO72063.1</v>
      </c>
      <c r="C292">
        <v>13570</v>
      </c>
      <c r="D292" t="str">
        <f>HYPERLINK("http://www.ncbi.nlm.nih.gov/Taxonomy/Browser/wwwtax.cgi?mode=Info&amp;id=161653&amp;lvl=3&amp;lin=f&amp;keep=1&amp;srchmode=1&amp;unlock","161653")</f>
        <v>161653</v>
      </c>
      <c r="E292" t="s">
        <v>167</v>
      </c>
      <c r="F292" t="s">
        <v>167</v>
      </c>
      <c r="G292" t="str">
        <f>HYPERLINK("http://www.ncbi.nlm.nih.gov/Taxonomy/Browser/wwwtax.cgi?mode=Info&amp;id=161653&amp;lvl=3&amp;lin=f&amp;keep=1&amp;srchmode=1&amp;unlock","Phainopepla nitens")</f>
        <v>Phainopepla nitens</v>
      </c>
      <c r="H292" t="s">
        <v>206</v>
      </c>
      <c r="I292" t="str">
        <f>HYPERLINK("http://www.ncbi.nlm.nih.gov/protein/NXO72063.1","ANDR protein")</f>
        <v>ANDR protein</v>
      </c>
      <c r="J292">
        <v>794.27</v>
      </c>
      <c r="K292" t="s">
        <v>25</v>
      </c>
      <c r="L292">
        <v>157</v>
      </c>
      <c r="M292">
        <v>44.41</v>
      </c>
      <c r="N292">
        <v>42.28</v>
      </c>
      <c r="O292" t="s">
        <v>20</v>
      </c>
      <c r="P292" t="s">
        <v>965</v>
      </c>
      <c r="Q292" t="s">
        <v>20</v>
      </c>
      <c r="R292" t="str">
        <f>HYPERLINK("https://cfpub.epa.gov/ecotox/explore.cfm?ncbi=161653","Explore in ECOTOX")</f>
        <v>Explore in ECOTOX</v>
      </c>
    </row>
    <row r="293" spans="1:18" x14ac:dyDescent="0.25">
      <c r="A293">
        <v>6</v>
      </c>
      <c r="B293" t="str">
        <f>HYPERLINK("http://www.ncbi.nlm.nih.gov/protein/KFV73168.1","KFV73168.1")</f>
        <v>KFV73168.1</v>
      </c>
      <c r="C293">
        <v>29091</v>
      </c>
      <c r="D293" t="str">
        <f>HYPERLINK("http://www.ncbi.nlm.nih.gov/Taxonomy/Browser/wwwtax.cgi?mode=Info&amp;id=118200&amp;lvl=3&amp;lin=f&amp;keep=1&amp;srchmode=1&amp;unlock","118200")</f>
        <v>118200</v>
      </c>
      <c r="E293" t="s">
        <v>167</v>
      </c>
      <c r="F293" t="s">
        <v>167</v>
      </c>
      <c r="G293" t="str">
        <f>HYPERLINK("http://www.ncbi.nlm.nih.gov/Taxonomy/Browser/wwwtax.cgi?mode=Info&amp;id=118200&amp;lvl=3&amp;lin=f&amp;keep=1&amp;srchmode=1&amp;unlock","Dryobates pubescens")</f>
        <v>Dryobates pubescens</v>
      </c>
      <c r="H293" t="s">
        <v>982</v>
      </c>
      <c r="I293" t="str">
        <f>HYPERLINK("http://www.ncbi.nlm.nih.gov/protein/KFV73168.1","Androgen receptor, partial")</f>
        <v>Androgen receptor, partial</v>
      </c>
      <c r="J293">
        <v>794.27</v>
      </c>
      <c r="K293" t="s">
        <v>25</v>
      </c>
      <c r="L293">
        <v>157</v>
      </c>
      <c r="M293">
        <v>44.41</v>
      </c>
      <c r="N293">
        <v>42.28</v>
      </c>
      <c r="O293" t="s">
        <v>20</v>
      </c>
      <c r="P293" t="s">
        <v>965</v>
      </c>
      <c r="Q293" t="s">
        <v>20</v>
      </c>
      <c r="R293" t="str">
        <f>HYPERLINK("https://cfpub.epa.gov/ecotox/explore.cfm?ncbi=118200","Explore in ECOTOX")</f>
        <v>Explore in ECOTOX</v>
      </c>
    </row>
    <row r="294" spans="1:18" x14ac:dyDescent="0.25">
      <c r="A294">
        <v>6</v>
      </c>
      <c r="B294" t="str">
        <f>HYPERLINK("http://www.ncbi.nlm.nih.gov/protein/NXA79335.1","NXA79335.1")</f>
        <v>NXA79335.1</v>
      </c>
      <c r="C294">
        <v>13718</v>
      </c>
      <c r="D294" t="str">
        <f>HYPERLINK("http://www.ncbi.nlm.nih.gov/Taxonomy/Browser/wwwtax.cgi?mode=Info&amp;id=74200&amp;lvl=3&amp;lin=f&amp;keep=1&amp;srchmode=1&amp;unlock","74200")</f>
        <v>74200</v>
      </c>
      <c r="E294" t="s">
        <v>167</v>
      </c>
      <c r="F294" t="s">
        <v>167</v>
      </c>
      <c r="G294" t="str">
        <f>HYPERLINK("http://www.ncbi.nlm.nih.gov/Taxonomy/Browser/wwwtax.cgi?mode=Info&amp;id=74200&amp;lvl=3&amp;lin=f&amp;keep=1&amp;srchmode=1&amp;unlock","Thryothorus ludovicianus")</f>
        <v>Thryothorus ludovicianus</v>
      </c>
      <c r="H294" t="s">
        <v>487</v>
      </c>
      <c r="I294" t="str">
        <f>HYPERLINK("http://www.ncbi.nlm.nih.gov/protein/NXA79335.1","ANDR protein")</f>
        <v>ANDR protein</v>
      </c>
      <c r="J294">
        <v>794.27</v>
      </c>
      <c r="K294" t="s">
        <v>25</v>
      </c>
      <c r="L294">
        <v>157</v>
      </c>
      <c r="M294">
        <v>44.41</v>
      </c>
      <c r="N294">
        <v>42.28</v>
      </c>
      <c r="O294" t="s">
        <v>20</v>
      </c>
      <c r="P294" t="s">
        <v>965</v>
      </c>
      <c r="Q294" t="s">
        <v>20</v>
      </c>
      <c r="R294" t="str">
        <f>HYPERLINK("https://cfpub.epa.gov/ecotox/explore.cfm?ncbi=74200","Explore in ECOTOX")</f>
        <v>Explore in ECOTOX</v>
      </c>
    </row>
    <row r="295" spans="1:18" x14ac:dyDescent="0.25">
      <c r="A295">
        <v>6</v>
      </c>
      <c r="B295" t="str">
        <f>HYPERLINK("http://www.ncbi.nlm.nih.gov/protein/NXH30905.1","NXH30905.1")</f>
        <v>NXH30905.1</v>
      </c>
      <c r="C295">
        <v>13940</v>
      </c>
      <c r="D295" t="str">
        <f>HYPERLINK("http://www.ncbi.nlm.nih.gov/Taxonomy/Browser/wwwtax.cgi?mode=Info&amp;id=381031&amp;lvl=3&amp;lin=f&amp;keep=1&amp;srchmode=1&amp;unlock","381031")</f>
        <v>381031</v>
      </c>
      <c r="E295" t="s">
        <v>167</v>
      </c>
      <c r="F295" t="s">
        <v>167</v>
      </c>
      <c r="G295" t="str">
        <f>HYPERLINK("http://www.ncbi.nlm.nih.gov/Taxonomy/Browser/wwwtax.cgi?mode=Info&amp;id=381031&amp;lvl=3&amp;lin=f&amp;keep=1&amp;srchmode=1&amp;unlock","Myiagra hebetior")</f>
        <v>Myiagra hebetior</v>
      </c>
      <c r="H295" t="s">
        <v>206</v>
      </c>
      <c r="I295" t="str">
        <f>HYPERLINK("http://www.ncbi.nlm.nih.gov/protein/NXH30905.1","ANDR protein")</f>
        <v>ANDR protein</v>
      </c>
      <c r="J295">
        <v>793.88</v>
      </c>
      <c r="K295" t="s">
        <v>25</v>
      </c>
      <c r="L295">
        <v>157</v>
      </c>
      <c r="M295">
        <v>44.41</v>
      </c>
      <c r="N295">
        <v>42.26</v>
      </c>
      <c r="O295" t="s">
        <v>20</v>
      </c>
      <c r="P295" t="s">
        <v>965</v>
      </c>
      <c r="Q295" t="s">
        <v>20</v>
      </c>
      <c r="R295" t="str">
        <f>HYPERLINK("https://cfpub.epa.gov/ecotox/explore.cfm?ncbi=381031","Explore in ECOTOX")</f>
        <v>Explore in ECOTOX</v>
      </c>
    </row>
    <row r="296" spans="1:18" x14ac:dyDescent="0.25">
      <c r="A296">
        <v>6</v>
      </c>
      <c r="B296" t="str">
        <f>HYPERLINK("http://www.ncbi.nlm.nih.gov/protein/XP_027546220.1","XP_027546220.1")</f>
        <v>XP_027546220.1</v>
      </c>
      <c r="C296">
        <v>39505</v>
      </c>
      <c r="D296" t="str">
        <f>HYPERLINK("http://www.ncbi.nlm.nih.gov/Taxonomy/Browser/wwwtax.cgi?mode=Info&amp;id=114329&amp;lvl=3&amp;lin=f&amp;keep=1&amp;srchmode=1&amp;unlock","114329")</f>
        <v>114329</v>
      </c>
      <c r="E296" t="s">
        <v>167</v>
      </c>
      <c r="F296" t="s">
        <v>167</v>
      </c>
      <c r="G296" t="str">
        <f>HYPERLINK("http://www.ncbi.nlm.nih.gov/Taxonomy/Browser/wwwtax.cgi?mode=Info&amp;id=114329&amp;lvl=3&amp;lin=f&amp;keep=1&amp;srchmode=1&amp;unlock","Neopelma chrysocephalum")</f>
        <v>Neopelma chrysocephalum</v>
      </c>
      <c r="H296" t="s">
        <v>357</v>
      </c>
      <c r="I296" t="str">
        <f>HYPERLINK("http://www.ncbi.nlm.nih.gov/protein/XP_027546220.1","androgen receptor, partial")</f>
        <v>androgen receptor, partial</v>
      </c>
      <c r="J296">
        <v>793.88</v>
      </c>
      <c r="K296" t="s">
        <v>25</v>
      </c>
      <c r="L296">
        <v>157</v>
      </c>
      <c r="M296">
        <v>44.41</v>
      </c>
      <c r="N296">
        <v>42.26</v>
      </c>
      <c r="O296" t="s">
        <v>20</v>
      </c>
      <c r="P296" t="s">
        <v>965</v>
      </c>
      <c r="Q296" t="s">
        <v>20</v>
      </c>
      <c r="R296" t="str">
        <f>HYPERLINK("https://cfpub.epa.gov/ecotox/explore.cfm?ncbi=114329","Explore in ECOTOX")</f>
        <v>Explore in ECOTOX</v>
      </c>
    </row>
    <row r="297" spans="1:18" x14ac:dyDescent="0.25">
      <c r="A297">
        <v>6</v>
      </c>
      <c r="B297" t="str">
        <f>HYPERLINK("http://www.ncbi.nlm.nih.gov/protein/XP_031980337.1","XP_031980337.1")</f>
        <v>XP_031980337.1</v>
      </c>
      <c r="C297">
        <v>56759</v>
      </c>
      <c r="D297" t="str">
        <f>HYPERLINK("http://www.ncbi.nlm.nih.gov/Taxonomy/Browser/wwwtax.cgi?mode=Info&amp;id=1196302&amp;lvl=3&amp;lin=f&amp;keep=1&amp;srchmode=1&amp;unlock","1196302")</f>
        <v>1196302</v>
      </c>
      <c r="E297" t="s">
        <v>167</v>
      </c>
      <c r="F297" t="s">
        <v>167</v>
      </c>
      <c r="G297" t="str">
        <f>HYPERLINK("http://www.ncbi.nlm.nih.gov/Taxonomy/Browser/wwwtax.cgi?mode=Info&amp;id=1196302&amp;lvl=3&amp;lin=f&amp;keep=1&amp;srchmode=1&amp;unlock","Corvus moneduloides")</f>
        <v>Corvus moneduloides</v>
      </c>
      <c r="H297" t="s">
        <v>268</v>
      </c>
      <c r="I297" t="str">
        <f>HYPERLINK("http://www.ncbi.nlm.nih.gov/protein/XP_031980337.1","androgen receptor")</f>
        <v>androgen receptor</v>
      </c>
      <c r="J297">
        <v>793.88</v>
      </c>
      <c r="K297" t="s">
        <v>25</v>
      </c>
      <c r="L297">
        <v>157</v>
      </c>
      <c r="M297">
        <v>44.41</v>
      </c>
      <c r="N297">
        <v>42.26</v>
      </c>
      <c r="O297" t="s">
        <v>20</v>
      </c>
      <c r="P297" t="s">
        <v>965</v>
      </c>
      <c r="Q297" t="s">
        <v>20</v>
      </c>
      <c r="R297" t="str">
        <f>HYPERLINK("https://cfpub.epa.gov/ecotox/explore.cfm?ncbi=1196302","Explore in ECOTOX")</f>
        <v>Explore in ECOTOX</v>
      </c>
    </row>
    <row r="298" spans="1:18" x14ac:dyDescent="0.25">
      <c r="A298">
        <v>6</v>
      </c>
      <c r="B298" t="str">
        <f>HYPERLINK("http://www.ncbi.nlm.nih.gov/protein/NXY35009.1","NXY35009.1")</f>
        <v>NXY35009.1</v>
      </c>
      <c r="C298">
        <v>13354</v>
      </c>
      <c r="D298" t="str">
        <f>HYPERLINK("http://www.ncbi.nlm.nih.gov/Taxonomy/Browser/wwwtax.cgi?mode=Info&amp;id=932028&amp;lvl=3&amp;lin=f&amp;keep=1&amp;srchmode=1&amp;unlock","932028")</f>
        <v>932028</v>
      </c>
      <c r="E298" t="s">
        <v>167</v>
      </c>
      <c r="F298" t="s">
        <v>167</v>
      </c>
      <c r="G298" t="str">
        <f>HYPERLINK("http://www.ncbi.nlm.nih.gov/Taxonomy/Browser/wwwtax.cgi?mode=Info&amp;id=932028&amp;lvl=3&amp;lin=f&amp;keep=1&amp;srchmode=1&amp;unlock","Pomatorhinus ruficollis")</f>
        <v>Pomatorhinus ruficollis</v>
      </c>
      <c r="H298" t="s">
        <v>666</v>
      </c>
      <c r="I298" t="str">
        <f>HYPERLINK("http://www.ncbi.nlm.nih.gov/protein/NXY35009.1","ANDR protein")</f>
        <v>ANDR protein</v>
      </c>
      <c r="J298">
        <v>793.88</v>
      </c>
      <c r="K298" t="s">
        <v>25</v>
      </c>
      <c r="L298">
        <v>157</v>
      </c>
      <c r="M298">
        <v>44.41</v>
      </c>
      <c r="N298">
        <v>42.26</v>
      </c>
      <c r="O298" t="s">
        <v>20</v>
      </c>
      <c r="P298" t="s">
        <v>965</v>
      </c>
      <c r="Q298" t="s">
        <v>20</v>
      </c>
      <c r="R298" t="str">
        <f>HYPERLINK("https://cfpub.epa.gov/ecotox/explore.cfm?ncbi=932028","Explore in ECOTOX")</f>
        <v>Explore in ECOTOX</v>
      </c>
    </row>
    <row r="299" spans="1:18" x14ac:dyDescent="0.25">
      <c r="A299">
        <v>6</v>
      </c>
      <c r="B299" t="str">
        <f>HYPERLINK("http://www.ncbi.nlm.nih.gov/protein/NXD37465.1","NXD37465.1")</f>
        <v>NXD37465.1</v>
      </c>
      <c r="C299">
        <v>14417</v>
      </c>
      <c r="D299" t="str">
        <f>HYPERLINK("http://www.ncbi.nlm.nih.gov/Taxonomy/Browser/wwwtax.cgi?mode=Info&amp;id=797021&amp;lvl=3&amp;lin=f&amp;keep=1&amp;srchmode=1&amp;unlock","797021")</f>
        <v>797021</v>
      </c>
      <c r="E299" t="s">
        <v>167</v>
      </c>
      <c r="F299" t="s">
        <v>167</v>
      </c>
      <c r="G299" t="str">
        <f>HYPERLINK("http://www.ncbi.nlm.nih.gov/Taxonomy/Browser/wwwtax.cgi?mode=Info&amp;id=797021&amp;lvl=3&amp;lin=f&amp;keep=1&amp;srchmode=1&amp;unlock","Copsychus sechellarum")</f>
        <v>Copsychus sechellarum</v>
      </c>
      <c r="H299" t="s">
        <v>378</v>
      </c>
      <c r="I299" t="str">
        <f>HYPERLINK("http://www.ncbi.nlm.nih.gov/protein/NXD37465.1","ANDR protein")</f>
        <v>ANDR protein</v>
      </c>
      <c r="J299">
        <v>793.88</v>
      </c>
      <c r="K299" t="s">
        <v>25</v>
      </c>
      <c r="L299">
        <v>157</v>
      </c>
      <c r="M299">
        <v>44.41</v>
      </c>
      <c r="N299">
        <v>42.26</v>
      </c>
      <c r="O299" t="s">
        <v>20</v>
      </c>
      <c r="P299" t="s">
        <v>965</v>
      </c>
      <c r="Q299" t="s">
        <v>20</v>
      </c>
      <c r="R299" t="str">
        <f>HYPERLINK("https://cfpub.epa.gov/ecotox/explore.cfm?ncbi=797021","Explore in ECOTOX")</f>
        <v>Explore in ECOTOX</v>
      </c>
    </row>
    <row r="300" spans="1:18" x14ac:dyDescent="0.25">
      <c r="A300">
        <v>6</v>
      </c>
      <c r="B300" t="str">
        <f>HYPERLINK("http://www.ncbi.nlm.nih.gov/protein/NXN85644.1","NXN85644.1")</f>
        <v>NXN85644.1</v>
      </c>
      <c r="C300">
        <v>13865</v>
      </c>
      <c r="D300" t="str">
        <f>HYPERLINK("http://www.ncbi.nlm.nih.gov/Taxonomy/Browser/wwwtax.cgi?mode=Info&amp;id=125297&amp;lvl=3&amp;lin=f&amp;keep=1&amp;srchmode=1&amp;unlock","125297")</f>
        <v>125297</v>
      </c>
      <c r="E300" t="s">
        <v>167</v>
      </c>
      <c r="F300" t="s">
        <v>167</v>
      </c>
      <c r="G300" t="str">
        <f>HYPERLINK("http://www.ncbi.nlm.nih.gov/Taxonomy/Browser/wwwtax.cgi?mode=Info&amp;id=125297&amp;lvl=3&amp;lin=f&amp;keep=1&amp;srchmode=1&amp;unlock","Bombycilla garrulus")</f>
        <v>Bombycilla garrulus</v>
      </c>
      <c r="H300" t="s">
        <v>419</v>
      </c>
      <c r="I300" t="str">
        <f>HYPERLINK("http://www.ncbi.nlm.nih.gov/protein/NXN85644.1","ANDR protein")</f>
        <v>ANDR protein</v>
      </c>
      <c r="J300">
        <v>793.5</v>
      </c>
      <c r="K300" t="s">
        <v>25</v>
      </c>
      <c r="L300">
        <v>157</v>
      </c>
      <c r="M300">
        <v>44.41</v>
      </c>
      <c r="N300">
        <v>42.24</v>
      </c>
      <c r="O300" t="s">
        <v>20</v>
      </c>
      <c r="P300" t="s">
        <v>965</v>
      </c>
      <c r="Q300" t="s">
        <v>20</v>
      </c>
      <c r="R300" t="str">
        <f>HYPERLINK("https://cfpub.epa.gov/ecotox/explore.cfm?ncbi=125297","Explore in ECOTOX")</f>
        <v>Explore in ECOTOX</v>
      </c>
    </row>
    <row r="301" spans="1:18" x14ac:dyDescent="0.25">
      <c r="A301">
        <v>6</v>
      </c>
      <c r="B301" t="str">
        <f>HYPERLINK("http://www.ncbi.nlm.nih.gov/protein/XP_039428027.1","XP_039428027.1")</f>
        <v>XP_039428027.1</v>
      </c>
      <c r="C301">
        <v>42637</v>
      </c>
      <c r="D301" t="str">
        <f>HYPERLINK("http://www.ncbi.nlm.nih.gov/Taxonomy/Browser/wwwtax.cgi?mode=Info&amp;id=932674&amp;lvl=3&amp;lin=f&amp;keep=1&amp;srchmode=1&amp;unlock","932674")</f>
        <v>932674</v>
      </c>
      <c r="E301" t="s">
        <v>167</v>
      </c>
      <c r="F301" t="s">
        <v>167</v>
      </c>
      <c r="G301" t="str">
        <f>HYPERLINK("http://www.ncbi.nlm.nih.gov/Taxonomy/Browser/wwwtax.cgi?mode=Info&amp;id=932674&amp;lvl=3&amp;lin=f&amp;keep=1&amp;srchmode=1&amp;unlock","Corvus cornix cornix")</f>
        <v>Corvus cornix cornix</v>
      </c>
      <c r="H301" t="s">
        <v>298</v>
      </c>
      <c r="I301" t="str">
        <f>HYPERLINK("http://www.ncbi.nlm.nih.gov/protein/XP_039428027.1","LOW QUALITY PROTEIN: androgen receptor")</f>
        <v>LOW QUALITY PROTEIN: androgen receptor</v>
      </c>
      <c r="J301">
        <v>793.5</v>
      </c>
      <c r="K301" t="s">
        <v>25</v>
      </c>
      <c r="L301">
        <v>157</v>
      </c>
      <c r="M301">
        <v>44.41</v>
      </c>
      <c r="N301">
        <v>42.24</v>
      </c>
      <c r="O301" t="s">
        <v>20</v>
      </c>
      <c r="P301" t="s">
        <v>965</v>
      </c>
      <c r="Q301" t="s">
        <v>20</v>
      </c>
      <c r="R301" t="str">
        <f>HYPERLINK("https://cfpub.epa.gov/ecotox/explore.cfm?ncbi=932674","Explore in ECOTOX")</f>
        <v>Explore in ECOTOX</v>
      </c>
    </row>
    <row r="302" spans="1:18" x14ac:dyDescent="0.25">
      <c r="A302">
        <v>6</v>
      </c>
      <c r="B302" t="str">
        <f>HYPERLINK("http://www.ncbi.nlm.nih.gov/protein/NWT58836.1","NWT58836.1")</f>
        <v>NWT58836.1</v>
      </c>
      <c r="C302">
        <v>14073</v>
      </c>
      <c r="D302" t="str">
        <f>HYPERLINK("http://www.ncbi.nlm.nih.gov/Taxonomy/Browser/wwwtax.cgi?mode=Info&amp;id=107208&amp;lvl=3&amp;lin=f&amp;keep=1&amp;srchmode=1&amp;unlock","107208")</f>
        <v>107208</v>
      </c>
      <c r="E302" t="s">
        <v>167</v>
      </c>
      <c r="F302" t="s">
        <v>167</v>
      </c>
      <c r="G302" t="str">
        <f>HYPERLINK("http://www.ncbi.nlm.nih.gov/Taxonomy/Browser/wwwtax.cgi?mode=Info&amp;id=107208&amp;lvl=3&amp;lin=f&amp;keep=1&amp;srchmode=1&amp;unlock","Erythrocercus mccallii")</f>
        <v>Erythrocercus mccallii</v>
      </c>
      <c r="H302" t="s">
        <v>206</v>
      </c>
      <c r="I302" t="str">
        <f>HYPERLINK("http://www.ncbi.nlm.nih.gov/protein/NWT58836.1","ANDR protein")</f>
        <v>ANDR protein</v>
      </c>
      <c r="J302">
        <v>793.5</v>
      </c>
      <c r="K302" t="s">
        <v>25</v>
      </c>
      <c r="L302">
        <v>157</v>
      </c>
      <c r="M302">
        <v>44.41</v>
      </c>
      <c r="N302">
        <v>42.24</v>
      </c>
      <c r="O302" t="s">
        <v>20</v>
      </c>
      <c r="P302" t="s">
        <v>965</v>
      </c>
      <c r="Q302" t="s">
        <v>20</v>
      </c>
      <c r="R302" t="str">
        <f>HYPERLINK("https://cfpub.epa.gov/ecotox/explore.cfm?ncbi=107208","Explore in ECOTOX")</f>
        <v>Explore in ECOTOX</v>
      </c>
    </row>
    <row r="303" spans="1:18" x14ac:dyDescent="0.25">
      <c r="A303">
        <v>6</v>
      </c>
      <c r="B303" t="str">
        <f>HYPERLINK("http://www.ncbi.nlm.nih.gov/protein/NXY05797.1","NXY05797.1")</f>
        <v>NXY05797.1</v>
      </c>
      <c r="C303">
        <v>11998</v>
      </c>
      <c r="D303" t="str">
        <f>HYPERLINK("http://www.ncbi.nlm.nih.gov/Taxonomy/Browser/wwwtax.cgi?mode=Info&amp;id=357074&amp;lvl=3&amp;lin=f&amp;keep=1&amp;srchmode=1&amp;unlock","357074")</f>
        <v>357074</v>
      </c>
      <c r="E303" t="s">
        <v>167</v>
      </c>
      <c r="F303" t="s">
        <v>167</v>
      </c>
      <c r="G303" t="str">
        <f>HYPERLINK("http://www.ncbi.nlm.nih.gov/Taxonomy/Browser/wwwtax.cgi?mode=Info&amp;id=357074&amp;lvl=3&amp;lin=f&amp;keep=1&amp;srchmode=1&amp;unlock","Pteruthius melanotis")</f>
        <v>Pteruthius melanotis</v>
      </c>
      <c r="H303" t="s">
        <v>244</v>
      </c>
      <c r="I303" t="str">
        <f>HYPERLINK("http://www.ncbi.nlm.nih.gov/protein/NXY05797.1","ANDR protein")</f>
        <v>ANDR protein</v>
      </c>
      <c r="J303">
        <v>793.5</v>
      </c>
      <c r="K303" t="s">
        <v>25</v>
      </c>
      <c r="L303">
        <v>157</v>
      </c>
      <c r="M303">
        <v>44.41</v>
      </c>
      <c r="N303">
        <v>42.24</v>
      </c>
      <c r="O303" t="s">
        <v>20</v>
      </c>
      <c r="P303" t="s">
        <v>965</v>
      </c>
      <c r="Q303" t="s">
        <v>20</v>
      </c>
      <c r="R303" t="str">
        <f>HYPERLINK("https://cfpub.epa.gov/ecotox/explore.cfm?ncbi=357074","Explore in ECOTOX")</f>
        <v>Explore in ECOTOX</v>
      </c>
    </row>
    <row r="304" spans="1:18" x14ac:dyDescent="0.25">
      <c r="A304">
        <v>6</v>
      </c>
      <c r="B304" t="str">
        <f>HYPERLINK("http://www.ncbi.nlm.nih.gov/protein/NXK94210.1","NXK94210.1")</f>
        <v>NXK94210.1</v>
      </c>
      <c r="C304">
        <v>13619</v>
      </c>
      <c r="D304" t="str">
        <f>HYPERLINK("http://www.ncbi.nlm.nih.gov/Taxonomy/Browser/wwwtax.cgi?mode=Info&amp;id=1118560&amp;lvl=3&amp;lin=f&amp;keep=1&amp;srchmode=1&amp;unlock","1118560")</f>
        <v>1118560</v>
      </c>
      <c r="E304" t="s">
        <v>167</v>
      </c>
      <c r="F304" t="s">
        <v>167</v>
      </c>
      <c r="G304" t="str">
        <f>HYPERLINK("http://www.ncbi.nlm.nih.gov/Taxonomy/Browser/wwwtax.cgi?mode=Info&amp;id=1118560&amp;lvl=3&amp;lin=f&amp;keep=1&amp;srchmode=1&amp;unlock","Formicarius rufipectus")</f>
        <v>Formicarius rufipectus</v>
      </c>
      <c r="H304" t="s">
        <v>206</v>
      </c>
      <c r="I304" t="str">
        <f>HYPERLINK("http://www.ncbi.nlm.nih.gov/protein/NXK94210.1","ANDR protein")</f>
        <v>ANDR protein</v>
      </c>
      <c r="J304">
        <v>793.11</v>
      </c>
      <c r="K304" t="s">
        <v>25</v>
      </c>
      <c r="L304">
        <v>157</v>
      </c>
      <c r="M304">
        <v>44.41</v>
      </c>
      <c r="N304">
        <v>42.22</v>
      </c>
      <c r="O304" t="s">
        <v>20</v>
      </c>
      <c r="P304" t="s">
        <v>965</v>
      </c>
      <c r="Q304" t="s">
        <v>20</v>
      </c>
      <c r="R304" t="str">
        <f>HYPERLINK("https://cfpub.epa.gov/ecotox/explore.cfm?ncbi=1118560","Explore in ECOTOX")</f>
        <v>Explore in ECOTOX</v>
      </c>
    </row>
    <row r="305" spans="1:18" x14ac:dyDescent="0.25">
      <c r="A305">
        <v>6</v>
      </c>
      <c r="B305" t="str">
        <f>HYPERLINK("http://www.ncbi.nlm.nih.gov/protein/NWR43887.1","NWR43887.1")</f>
        <v>NWR43887.1</v>
      </c>
      <c r="C305">
        <v>13036</v>
      </c>
      <c r="D305" t="str">
        <f>HYPERLINK("http://www.ncbi.nlm.nih.gov/Taxonomy/Browser/wwwtax.cgi?mode=Info&amp;id=13245&amp;lvl=3&amp;lin=f&amp;keep=1&amp;srchmode=1&amp;unlock","13245")</f>
        <v>13245</v>
      </c>
      <c r="E305" t="s">
        <v>167</v>
      </c>
      <c r="F305" t="s">
        <v>167</v>
      </c>
      <c r="G305" t="str">
        <f>HYPERLINK("http://www.ncbi.nlm.nih.gov/Taxonomy/Browser/wwwtax.cgi?mode=Info&amp;id=13245&amp;lvl=3&amp;lin=f&amp;keep=1&amp;srchmode=1&amp;unlock","Regulus satrapa")</f>
        <v>Regulus satrapa</v>
      </c>
      <c r="H305" t="s">
        <v>669</v>
      </c>
      <c r="I305" t="str">
        <f>HYPERLINK("http://www.ncbi.nlm.nih.gov/protein/NWR43887.1","ANDR protein")</f>
        <v>ANDR protein</v>
      </c>
      <c r="J305">
        <v>793.11</v>
      </c>
      <c r="K305" t="s">
        <v>25</v>
      </c>
      <c r="L305">
        <v>157</v>
      </c>
      <c r="M305">
        <v>44.41</v>
      </c>
      <c r="N305">
        <v>42.22</v>
      </c>
      <c r="O305" t="s">
        <v>20</v>
      </c>
      <c r="P305" t="s">
        <v>965</v>
      </c>
      <c r="Q305" t="s">
        <v>20</v>
      </c>
      <c r="R305" t="str">
        <f>HYPERLINK("https://cfpub.epa.gov/ecotox/explore.cfm?ncbi=13245","Explore in ECOTOX")</f>
        <v>Explore in ECOTOX</v>
      </c>
    </row>
    <row r="306" spans="1:18" x14ac:dyDescent="0.25">
      <c r="A306">
        <v>6</v>
      </c>
      <c r="B306" t="str">
        <f>HYPERLINK("http://www.ncbi.nlm.nih.gov/protein/NXO21663.1","NXO21663.1")</f>
        <v>NXO21663.1</v>
      </c>
      <c r="C306">
        <v>13483</v>
      </c>
      <c r="D306" t="str">
        <f>HYPERLINK("http://www.ncbi.nlm.nih.gov/Taxonomy/Browser/wwwtax.cgi?mode=Info&amp;id=52622&amp;lvl=3&amp;lin=f&amp;keep=1&amp;srchmode=1&amp;unlock","52622")</f>
        <v>52622</v>
      </c>
      <c r="E306" t="s">
        <v>167</v>
      </c>
      <c r="F306" t="s">
        <v>167</v>
      </c>
      <c r="G306" t="str">
        <f>HYPERLINK("http://www.ncbi.nlm.nih.gov/Taxonomy/Browser/wwwtax.cgi?mode=Info&amp;id=52622&amp;lvl=3&amp;lin=f&amp;keep=1&amp;srchmode=1&amp;unlock","Cisticola juncidis")</f>
        <v>Cisticola juncidis</v>
      </c>
      <c r="H306" t="s">
        <v>206</v>
      </c>
      <c r="I306" t="str">
        <f>HYPERLINK("http://www.ncbi.nlm.nih.gov/protein/NXO21663.1","ANDR protein")</f>
        <v>ANDR protein</v>
      </c>
      <c r="J306">
        <v>793.11</v>
      </c>
      <c r="K306" t="s">
        <v>25</v>
      </c>
      <c r="L306">
        <v>157</v>
      </c>
      <c r="M306">
        <v>44.41</v>
      </c>
      <c r="N306">
        <v>42.22</v>
      </c>
      <c r="O306" t="s">
        <v>20</v>
      </c>
      <c r="P306" t="s">
        <v>965</v>
      </c>
      <c r="Q306" t="s">
        <v>20</v>
      </c>
      <c r="R306" t="str">
        <f>HYPERLINK("https://cfpub.epa.gov/ecotox/explore.cfm?ncbi=52622","Explore in ECOTOX")</f>
        <v>Explore in ECOTOX</v>
      </c>
    </row>
    <row r="307" spans="1:18" x14ac:dyDescent="0.25">
      <c r="A307">
        <v>6</v>
      </c>
      <c r="B307" t="str">
        <f>HYPERLINK("http://www.ncbi.nlm.nih.gov/protein/NWT72211.1","NWT72211.1")</f>
        <v>NWT72211.1</v>
      </c>
      <c r="C307">
        <v>13939</v>
      </c>
      <c r="D307" t="str">
        <f>HYPERLINK("http://www.ncbi.nlm.nih.gov/Taxonomy/Browser/wwwtax.cgi?mode=Info&amp;id=670356&amp;lvl=3&amp;lin=f&amp;keep=1&amp;srchmode=1&amp;unlock","670356")</f>
        <v>670356</v>
      </c>
      <c r="E307" t="s">
        <v>167</v>
      </c>
      <c r="F307" t="s">
        <v>167</v>
      </c>
      <c r="G307" t="str">
        <f>HYPERLINK("http://www.ncbi.nlm.nih.gov/Taxonomy/Browser/wwwtax.cgi?mode=Info&amp;id=670356&amp;lvl=3&amp;lin=f&amp;keep=1&amp;srchmode=1&amp;unlock","Prunella himalayana")</f>
        <v>Prunella himalayana</v>
      </c>
      <c r="H307" t="s">
        <v>467</v>
      </c>
      <c r="I307" t="str">
        <f>HYPERLINK("http://www.ncbi.nlm.nih.gov/protein/NWT72211.1","ANDR protein")</f>
        <v>ANDR protein</v>
      </c>
      <c r="J307">
        <v>793.11</v>
      </c>
      <c r="K307" t="s">
        <v>25</v>
      </c>
      <c r="L307">
        <v>157</v>
      </c>
      <c r="M307">
        <v>44.41</v>
      </c>
      <c r="N307">
        <v>42.22</v>
      </c>
      <c r="O307" t="s">
        <v>20</v>
      </c>
      <c r="P307" t="s">
        <v>965</v>
      </c>
      <c r="Q307" t="s">
        <v>20</v>
      </c>
      <c r="R307" t="str">
        <f>HYPERLINK("https://cfpub.epa.gov/ecotox/explore.cfm?ncbi=670356","Explore in ECOTOX")</f>
        <v>Explore in ECOTOX</v>
      </c>
    </row>
    <row r="308" spans="1:18" x14ac:dyDescent="0.25">
      <c r="A308">
        <v>6</v>
      </c>
      <c r="B308" t="str">
        <f>HYPERLINK("http://www.ncbi.nlm.nih.gov/protein/NXT04703.1","NXT04703.1")</f>
        <v>NXT04703.1</v>
      </c>
      <c r="C308">
        <v>13423</v>
      </c>
      <c r="D308" t="str">
        <f>HYPERLINK("http://www.ncbi.nlm.nih.gov/Taxonomy/Browser/wwwtax.cgi?mode=Info&amp;id=670355&amp;lvl=3&amp;lin=f&amp;keep=1&amp;srchmode=1&amp;unlock","670355")</f>
        <v>670355</v>
      </c>
      <c r="E308" t="s">
        <v>167</v>
      </c>
      <c r="F308" t="s">
        <v>167</v>
      </c>
      <c r="G308" t="str">
        <f>HYPERLINK("http://www.ncbi.nlm.nih.gov/Taxonomy/Browser/wwwtax.cgi?mode=Info&amp;id=670355&amp;lvl=3&amp;lin=f&amp;keep=1&amp;srchmode=1&amp;unlock","Prunella fulvescens")</f>
        <v>Prunella fulvescens</v>
      </c>
      <c r="H308" t="s">
        <v>469</v>
      </c>
      <c r="I308" t="str">
        <f>HYPERLINK("http://www.ncbi.nlm.nih.gov/protein/NXT04703.1","ANDR protein")</f>
        <v>ANDR protein</v>
      </c>
      <c r="J308">
        <v>793.11</v>
      </c>
      <c r="K308" t="s">
        <v>25</v>
      </c>
      <c r="L308">
        <v>157</v>
      </c>
      <c r="M308">
        <v>44.41</v>
      </c>
      <c r="N308">
        <v>42.22</v>
      </c>
      <c r="O308" t="s">
        <v>20</v>
      </c>
      <c r="P308" t="s">
        <v>965</v>
      </c>
      <c r="Q308" t="s">
        <v>20</v>
      </c>
      <c r="R308" t="str">
        <f>HYPERLINK("https://cfpub.epa.gov/ecotox/explore.cfm?ncbi=670355","Explore in ECOTOX")</f>
        <v>Explore in ECOTOX</v>
      </c>
    </row>
    <row r="309" spans="1:18" x14ac:dyDescent="0.25">
      <c r="A309">
        <v>6</v>
      </c>
      <c r="B309" t="str">
        <f>HYPERLINK("http://www.ncbi.nlm.nih.gov/protein/NXD22087.1","NXD22087.1")</f>
        <v>NXD22087.1</v>
      </c>
      <c r="C309">
        <v>14027</v>
      </c>
      <c r="D309" t="str">
        <f>HYPERLINK("http://www.ncbi.nlm.nih.gov/Taxonomy/Browser/wwwtax.cgi?mode=Info&amp;id=1463973&amp;lvl=3&amp;lin=f&amp;keep=1&amp;srchmode=1&amp;unlock","1463973")</f>
        <v>1463973</v>
      </c>
      <c r="E309" t="s">
        <v>167</v>
      </c>
      <c r="F309" t="s">
        <v>167</v>
      </c>
      <c r="G309" t="str">
        <f>HYPERLINK("http://www.ncbi.nlm.nih.gov/Taxonomy/Browser/wwwtax.cgi?mode=Info&amp;id=1463973&amp;lvl=3&amp;lin=f&amp;keep=1&amp;srchmode=1&amp;unlock","Elachura formosa")</f>
        <v>Elachura formosa</v>
      </c>
      <c r="H309" t="s">
        <v>390</v>
      </c>
      <c r="I309" t="str">
        <f>HYPERLINK("http://www.ncbi.nlm.nih.gov/protein/NXD22087.1","ANDR protein")</f>
        <v>ANDR protein</v>
      </c>
      <c r="J309">
        <v>793.11</v>
      </c>
      <c r="K309" t="s">
        <v>25</v>
      </c>
      <c r="L309">
        <v>157</v>
      </c>
      <c r="M309">
        <v>44.41</v>
      </c>
      <c r="N309">
        <v>42.22</v>
      </c>
      <c r="O309" t="s">
        <v>20</v>
      </c>
      <c r="P309" t="s">
        <v>965</v>
      </c>
      <c r="Q309" t="s">
        <v>20</v>
      </c>
      <c r="R309" t="str">
        <f>HYPERLINK("https://cfpub.epa.gov/ecotox/explore.cfm?ncbi=1463973","Explore in ECOTOX")</f>
        <v>Explore in ECOTOX</v>
      </c>
    </row>
    <row r="310" spans="1:18" x14ac:dyDescent="0.25">
      <c r="A310">
        <v>6</v>
      </c>
      <c r="B310" t="str">
        <f>HYPERLINK("http://www.ncbi.nlm.nih.gov/protein/XP_014743316.1","XP_014743316.1")</f>
        <v>XP_014743316.1</v>
      </c>
      <c r="C310">
        <v>26793</v>
      </c>
      <c r="D310" t="str">
        <f>HYPERLINK("http://www.ncbi.nlm.nih.gov/Taxonomy/Browser/wwwtax.cgi?mode=Info&amp;id=9172&amp;lvl=3&amp;lin=f&amp;keep=1&amp;srchmode=1&amp;unlock","9172")</f>
        <v>9172</v>
      </c>
      <c r="E310" t="s">
        <v>167</v>
      </c>
      <c r="F310" t="s">
        <v>167</v>
      </c>
      <c r="G310" t="str">
        <f>HYPERLINK("http://www.ncbi.nlm.nih.gov/Taxonomy/Browser/wwwtax.cgi?mode=Info&amp;id=9172&amp;lvl=3&amp;lin=f&amp;keep=1&amp;srchmode=1&amp;unlock","Sturnus vulgaris")</f>
        <v>Sturnus vulgaris</v>
      </c>
      <c r="H310" t="s">
        <v>341</v>
      </c>
      <c r="I310" t="str">
        <f>HYPERLINK("http://www.ncbi.nlm.nih.gov/protein/XP_014743316.1","PREDICTED: androgen receptor")</f>
        <v>PREDICTED: androgen receptor</v>
      </c>
      <c r="J310">
        <v>793.11</v>
      </c>
      <c r="K310" t="s">
        <v>25</v>
      </c>
      <c r="L310">
        <v>157</v>
      </c>
      <c r="M310">
        <v>44.41</v>
      </c>
      <c r="N310">
        <v>42.22</v>
      </c>
      <c r="O310" t="s">
        <v>20</v>
      </c>
      <c r="P310" t="s">
        <v>965</v>
      </c>
      <c r="Q310" t="s">
        <v>20</v>
      </c>
      <c r="R310" t="str">
        <f>HYPERLINK("https://cfpub.epa.gov/ecotox/explore.cfm?ncbi=9172","Explore in ECOTOX")</f>
        <v>Explore in ECOTOX</v>
      </c>
    </row>
    <row r="311" spans="1:18" x14ac:dyDescent="0.25">
      <c r="A311">
        <v>6</v>
      </c>
      <c r="B311" t="str">
        <f>HYPERLINK("http://www.ncbi.nlm.nih.gov/protein/NXH60516.1","NXH60516.1")</f>
        <v>NXH60516.1</v>
      </c>
      <c r="C311">
        <v>14389</v>
      </c>
      <c r="D311" t="str">
        <f>HYPERLINK("http://www.ncbi.nlm.nih.gov/Taxonomy/Browser/wwwtax.cgi?mode=Info&amp;id=237438&amp;lvl=3&amp;lin=f&amp;keep=1&amp;srchmode=1&amp;unlock","237438")</f>
        <v>237438</v>
      </c>
      <c r="E311" t="s">
        <v>167</v>
      </c>
      <c r="F311" t="s">
        <v>167</v>
      </c>
      <c r="G311" t="str">
        <f>HYPERLINK("http://www.ncbi.nlm.nih.gov/Taxonomy/Browser/wwwtax.cgi?mode=Info&amp;id=237438&amp;lvl=3&amp;lin=f&amp;keep=1&amp;srchmode=1&amp;unlock","Rhabdornis inornatus")</f>
        <v>Rhabdornis inornatus</v>
      </c>
      <c r="H311" t="s">
        <v>206</v>
      </c>
      <c r="I311" t="str">
        <f>HYPERLINK("http://www.ncbi.nlm.nih.gov/protein/NXH60516.1","ANDR protein")</f>
        <v>ANDR protein</v>
      </c>
      <c r="J311">
        <v>793.11</v>
      </c>
      <c r="K311" t="s">
        <v>25</v>
      </c>
      <c r="L311">
        <v>157</v>
      </c>
      <c r="M311">
        <v>44.41</v>
      </c>
      <c r="N311">
        <v>42.22</v>
      </c>
      <c r="O311" t="s">
        <v>20</v>
      </c>
      <c r="P311" t="s">
        <v>965</v>
      </c>
      <c r="Q311" t="s">
        <v>20</v>
      </c>
      <c r="R311" t="str">
        <f>HYPERLINK("https://cfpub.epa.gov/ecotox/explore.cfm?ncbi=237438","Explore in ECOTOX")</f>
        <v>Explore in ECOTOX</v>
      </c>
    </row>
    <row r="312" spans="1:18" x14ac:dyDescent="0.25">
      <c r="A312">
        <v>6</v>
      </c>
      <c r="B312" t="str">
        <f>HYPERLINK("http://www.ncbi.nlm.nih.gov/protein/NWZ06784.1","NWZ06784.1")</f>
        <v>NWZ06784.1</v>
      </c>
      <c r="C312">
        <v>14309</v>
      </c>
      <c r="D312" t="str">
        <f>HYPERLINK("http://www.ncbi.nlm.nih.gov/Taxonomy/Browser/wwwtax.cgi?mode=Info&amp;id=39638&amp;lvl=3&amp;lin=f&amp;keep=1&amp;srchmode=1&amp;unlock","39638")</f>
        <v>39638</v>
      </c>
      <c r="E312" t="s">
        <v>167</v>
      </c>
      <c r="F312" t="s">
        <v>167</v>
      </c>
      <c r="G312" t="str">
        <f>HYPERLINK("http://www.ncbi.nlm.nih.gov/Taxonomy/Browser/wwwtax.cgi?mode=Info&amp;id=39638&amp;lvl=3&amp;lin=f&amp;keep=1&amp;srchmode=1&amp;unlock","Agelaius phoeniceus")</f>
        <v>Agelaius phoeniceus</v>
      </c>
      <c r="H312" t="s">
        <v>426</v>
      </c>
      <c r="I312" t="str">
        <f>HYPERLINK("http://www.ncbi.nlm.nih.gov/protein/NWZ06784.1","ANDR protein")</f>
        <v>ANDR protein</v>
      </c>
      <c r="J312">
        <v>792.73</v>
      </c>
      <c r="K312" t="s">
        <v>25</v>
      </c>
      <c r="L312">
        <v>157</v>
      </c>
      <c r="M312">
        <v>44.41</v>
      </c>
      <c r="N312">
        <v>42.2</v>
      </c>
      <c r="O312" t="s">
        <v>20</v>
      </c>
      <c r="P312" t="s">
        <v>965</v>
      </c>
      <c r="Q312" t="s">
        <v>20</v>
      </c>
      <c r="R312" t="str">
        <f>HYPERLINK("https://cfpub.epa.gov/ecotox/explore.cfm?ncbi=39638","Explore in ECOTOX")</f>
        <v>Explore in ECOTOX</v>
      </c>
    </row>
    <row r="313" spans="1:18" x14ac:dyDescent="0.25">
      <c r="A313">
        <v>6</v>
      </c>
      <c r="B313" t="str">
        <f>HYPERLINK("http://www.ncbi.nlm.nih.gov/protein/NWH37034.1","NWH37034.1")</f>
        <v>NWH37034.1</v>
      </c>
      <c r="C313">
        <v>13554</v>
      </c>
      <c r="D313" t="str">
        <f>HYPERLINK("http://www.ncbi.nlm.nih.gov/Taxonomy/Browser/wwwtax.cgi?mode=Info&amp;id=667144&amp;lvl=3&amp;lin=f&amp;keep=1&amp;srchmode=1&amp;unlock","667144")</f>
        <v>667144</v>
      </c>
      <c r="E313" t="s">
        <v>167</v>
      </c>
      <c r="F313" t="s">
        <v>167</v>
      </c>
      <c r="G313" t="str">
        <f>HYPERLINK("http://www.ncbi.nlm.nih.gov/Taxonomy/Browser/wwwtax.cgi?mode=Info&amp;id=667144&amp;lvl=3&amp;lin=f&amp;keep=1&amp;srchmode=1&amp;unlock","Chloropsis hardwickii")</f>
        <v>Chloropsis hardwickii</v>
      </c>
      <c r="H313" t="s">
        <v>206</v>
      </c>
      <c r="I313" t="str">
        <f>HYPERLINK("http://www.ncbi.nlm.nih.gov/protein/NWH37034.1","ANDR protein")</f>
        <v>ANDR protein</v>
      </c>
      <c r="J313">
        <v>792.73</v>
      </c>
      <c r="K313" t="s">
        <v>25</v>
      </c>
      <c r="L313">
        <v>157</v>
      </c>
      <c r="M313">
        <v>44.41</v>
      </c>
      <c r="N313">
        <v>42.2</v>
      </c>
      <c r="O313" t="s">
        <v>20</v>
      </c>
      <c r="P313" t="s">
        <v>965</v>
      </c>
      <c r="Q313" t="s">
        <v>20</v>
      </c>
      <c r="R313" t="str">
        <f>HYPERLINK("https://cfpub.epa.gov/ecotox/explore.cfm?ncbi=667144","Explore in ECOTOX")</f>
        <v>Explore in ECOTOX</v>
      </c>
    </row>
    <row r="314" spans="1:18" x14ac:dyDescent="0.25">
      <c r="A314">
        <v>6</v>
      </c>
      <c r="B314" t="str">
        <f>HYPERLINK("http://www.ncbi.nlm.nih.gov/protein/NXV62008.1","NXV62008.1")</f>
        <v>NXV62008.1</v>
      </c>
      <c r="C314">
        <v>44051</v>
      </c>
      <c r="D314" t="str">
        <f>HYPERLINK("http://www.ncbi.nlm.nih.gov/Taxonomy/Browser/wwwtax.cgi?mode=Info&amp;id=84834&amp;lvl=3&amp;lin=f&amp;keep=1&amp;srchmode=1&amp;unlock","84834")</f>
        <v>84834</v>
      </c>
      <c r="E314" t="s">
        <v>167</v>
      </c>
      <c r="F314" t="s">
        <v>167</v>
      </c>
      <c r="G314" t="str">
        <f>HYPERLINK("http://www.ncbi.nlm.nih.gov/Taxonomy/Browser/wwwtax.cgi?mode=Info&amp;id=84834&amp;lvl=3&amp;lin=f&amp;keep=1&amp;srchmode=1&amp;unlock","Molothrus ater")</f>
        <v>Molothrus ater</v>
      </c>
      <c r="H314" t="s">
        <v>430</v>
      </c>
      <c r="I314" t="str">
        <f>HYPERLINK("http://www.ncbi.nlm.nih.gov/protein/NXV62008.1","ANDR protein")</f>
        <v>ANDR protein</v>
      </c>
      <c r="J314">
        <v>792.73</v>
      </c>
      <c r="K314" t="s">
        <v>25</v>
      </c>
      <c r="L314">
        <v>157</v>
      </c>
      <c r="M314">
        <v>44.41</v>
      </c>
      <c r="N314">
        <v>42.2</v>
      </c>
      <c r="O314" t="s">
        <v>20</v>
      </c>
      <c r="P314" t="s">
        <v>965</v>
      </c>
      <c r="Q314" t="s">
        <v>20</v>
      </c>
      <c r="R314" t="str">
        <f>HYPERLINK("https://cfpub.epa.gov/ecotox/explore.cfm?ncbi=84834","Explore in ECOTOX")</f>
        <v>Explore in ECOTOX</v>
      </c>
    </row>
    <row r="315" spans="1:18" x14ac:dyDescent="0.25">
      <c r="A315">
        <v>6</v>
      </c>
      <c r="B315" t="str">
        <f>HYPERLINK("http://www.ncbi.nlm.nih.gov/protein/XP_016153689.1","XP_016153689.1")</f>
        <v>XP_016153689.1</v>
      </c>
      <c r="C315">
        <v>26779</v>
      </c>
      <c r="D315" t="str">
        <f>HYPERLINK("http://www.ncbi.nlm.nih.gov/Taxonomy/Browser/wwwtax.cgi?mode=Info&amp;id=59894&amp;lvl=3&amp;lin=f&amp;keep=1&amp;srchmode=1&amp;unlock","59894")</f>
        <v>59894</v>
      </c>
      <c r="E315" t="s">
        <v>167</v>
      </c>
      <c r="F315" t="s">
        <v>167</v>
      </c>
      <c r="G315" t="str">
        <f>HYPERLINK("http://www.ncbi.nlm.nih.gov/Taxonomy/Browser/wwwtax.cgi?mode=Info&amp;id=59894&amp;lvl=3&amp;lin=f&amp;keep=1&amp;srchmode=1&amp;unlock","Ficedula albicollis")</f>
        <v>Ficedula albicollis</v>
      </c>
      <c r="H315" t="s">
        <v>394</v>
      </c>
      <c r="I315" t="str">
        <f>HYPERLINK("http://www.ncbi.nlm.nih.gov/protein/XP_016153689.1","PREDICTED: androgen receptor, partial")</f>
        <v>PREDICTED: androgen receptor, partial</v>
      </c>
      <c r="J315">
        <v>792.73</v>
      </c>
      <c r="K315" t="s">
        <v>25</v>
      </c>
      <c r="L315">
        <v>157</v>
      </c>
      <c r="M315">
        <v>44.41</v>
      </c>
      <c r="N315">
        <v>42.2</v>
      </c>
      <c r="O315" t="s">
        <v>20</v>
      </c>
      <c r="P315" t="s">
        <v>965</v>
      </c>
      <c r="Q315" t="s">
        <v>20</v>
      </c>
      <c r="R315" t="str">
        <f>HYPERLINK("https://cfpub.epa.gov/ecotox/explore.cfm?ncbi=59894","Explore in ECOTOX")</f>
        <v>Explore in ECOTOX</v>
      </c>
    </row>
    <row r="316" spans="1:18" x14ac:dyDescent="0.25">
      <c r="A316">
        <v>6</v>
      </c>
      <c r="B316" t="str">
        <f>HYPERLINK("http://www.ncbi.nlm.nih.gov/protein/XP_030823606.1","XP_030823606.1")</f>
        <v>XP_030823606.1</v>
      </c>
      <c r="C316">
        <v>28938</v>
      </c>
      <c r="D316" t="str">
        <f>HYPERLINK("http://www.ncbi.nlm.nih.gov/Taxonomy/Browser/wwwtax.cgi?mode=Info&amp;id=87175&amp;lvl=3&amp;lin=f&amp;keep=1&amp;srchmode=1&amp;unlock","87175")</f>
        <v>87175</v>
      </c>
      <c r="E316" t="s">
        <v>167</v>
      </c>
      <c r="F316" t="s">
        <v>167</v>
      </c>
      <c r="G316" t="str">
        <f>HYPERLINK("http://www.ncbi.nlm.nih.gov/Taxonomy/Browser/wwwtax.cgi?mode=Info&amp;id=87175&amp;lvl=3&amp;lin=f&amp;keep=1&amp;srchmode=1&amp;unlock","Camarhynchus parvulus")</f>
        <v>Camarhynchus parvulus</v>
      </c>
      <c r="H316" t="s">
        <v>414</v>
      </c>
      <c r="I316" t="str">
        <f>HYPERLINK("http://www.ncbi.nlm.nih.gov/protein/XP_030823606.1","androgen receptor")</f>
        <v>androgen receptor</v>
      </c>
      <c r="J316">
        <v>792.73</v>
      </c>
      <c r="K316" t="s">
        <v>25</v>
      </c>
      <c r="L316">
        <v>157</v>
      </c>
      <c r="M316">
        <v>44.41</v>
      </c>
      <c r="N316">
        <v>42.2</v>
      </c>
      <c r="O316" t="s">
        <v>20</v>
      </c>
      <c r="P316" t="s">
        <v>965</v>
      </c>
      <c r="Q316" t="s">
        <v>20</v>
      </c>
      <c r="R316" t="str">
        <f>HYPERLINK("https://cfpub.epa.gov/ecotox/explore.cfm?ncbi=87175","Explore in ECOTOX")</f>
        <v>Explore in ECOTOX</v>
      </c>
    </row>
    <row r="317" spans="1:18" x14ac:dyDescent="0.25">
      <c r="A317">
        <v>6</v>
      </c>
      <c r="B317" t="str">
        <f>HYPERLINK("http://www.ncbi.nlm.nih.gov/protein/NXB98894.1","NXB98894.1")</f>
        <v>NXB98894.1</v>
      </c>
      <c r="C317">
        <v>14308</v>
      </c>
      <c r="D317" t="str">
        <f>HYPERLINK("http://www.ncbi.nlm.nih.gov/Taxonomy/Browser/wwwtax.cgi?mode=Info&amp;id=38397&amp;lvl=3&amp;lin=f&amp;keep=1&amp;srchmode=1&amp;unlock","38397")</f>
        <v>38397</v>
      </c>
      <c r="E317" t="s">
        <v>167</v>
      </c>
      <c r="F317" t="s">
        <v>167</v>
      </c>
      <c r="G317" t="str">
        <f>HYPERLINK("http://www.ncbi.nlm.nih.gov/Taxonomy/Browser/wwwtax.cgi?mode=Info&amp;id=38397&amp;lvl=3&amp;lin=f&amp;keep=1&amp;srchmode=1&amp;unlock","Orthonyx spaldingii")</f>
        <v>Orthonyx spaldingii</v>
      </c>
      <c r="H317" t="s">
        <v>215</v>
      </c>
      <c r="I317" t="str">
        <f>HYPERLINK("http://www.ncbi.nlm.nih.gov/protein/NXB98894.1","ANDR protein")</f>
        <v>ANDR protein</v>
      </c>
      <c r="J317">
        <v>792.34</v>
      </c>
      <c r="K317" t="s">
        <v>25</v>
      </c>
      <c r="L317">
        <v>157</v>
      </c>
      <c r="M317">
        <v>44.41</v>
      </c>
      <c r="N317">
        <v>42.18</v>
      </c>
      <c r="O317" t="s">
        <v>20</v>
      </c>
      <c r="P317" t="s">
        <v>965</v>
      </c>
      <c r="Q317" t="s">
        <v>20</v>
      </c>
      <c r="R317" t="str">
        <f>HYPERLINK("https://cfpub.epa.gov/ecotox/explore.cfm?ncbi=38397","Explore in ECOTOX")</f>
        <v>Explore in ECOTOX</v>
      </c>
    </row>
    <row r="318" spans="1:18" x14ac:dyDescent="0.25">
      <c r="A318">
        <v>6</v>
      </c>
      <c r="B318" t="str">
        <f>HYPERLINK("http://www.ncbi.nlm.nih.gov/protein/NXS86641.1","NXS86641.1")</f>
        <v>NXS86641.1</v>
      </c>
      <c r="C318">
        <v>13355</v>
      </c>
      <c r="D318" t="str">
        <f>HYPERLINK("http://www.ncbi.nlm.nih.gov/Taxonomy/Browser/wwwtax.cgi?mode=Info&amp;id=1112836&amp;lvl=3&amp;lin=f&amp;keep=1&amp;srchmode=1&amp;unlock","1112836")</f>
        <v>1112836</v>
      </c>
      <c r="E318" t="s">
        <v>167</v>
      </c>
      <c r="F318" t="s">
        <v>167</v>
      </c>
      <c r="G318" t="str">
        <f>HYPERLINK("http://www.ncbi.nlm.nih.gov/Taxonomy/Browser/wwwtax.cgi?mode=Info&amp;id=1112836&amp;lvl=3&amp;lin=f&amp;keep=1&amp;srchmode=1&amp;unlock","Erpornis zantholeuca")</f>
        <v>Erpornis zantholeuca</v>
      </c>
      <c r="H318" t="s">
        <v>244</v>
      </c>
      <c r="I318" t="str">
        <f>HYPERLINK("http://www.ncbi.nlm.nih.gov/protein/NXS86641.1","ANDR protein")</f>
        <v>ANDR protein</v>
      </c>
      <c r="J318">
        <v>792.34</v>
      </c>
      <c r="K318" t="s">
        <v>25</v>
      </c>
      <c r="L318">
        <v>157</v>
      </c>
      <c r="M318">
        <v>44.41</v>
      </c>
      <c r="N318">
        <v>42.18</v>
      </c>
      <c r="O318" t="s">
        <v>20</v>
      </c>
      <c r="P318" t="s">
        <v>965</v>
      </c>
      <c r="Q318" t="s">
        <v>20</v>
      </c>
      <c r="R318" t="str">
        <f>HYPERLINK("https://cfpub.epa.gov/ecotox/explore.cfm?ncbi=1112836","Explore in ECOTOX")</f>
        <v>Explore in ECOTOX</v>
      </c>
    </row>
    <row r="319" spans="1:18" x14ac:dyDescent="0.25">
      <c r="A319">
        <v>6</v>
      </c>
      <c r="B319" t="str">
        <f>HYPERLINK("http://www.ncbi.nlm.nih.gov/protein/NWY75297.1","NWY75297.1")</f>
        <v>NWY75297.1</v>
      </c>
      <c r="C319">
        <v>13909</v>
      </c>
      <c r="D319" t="str">
        <f>HYPERLINK("http://www.ncbi.nlm.nih.gov/Taxonomy/Browser/wwwtax.cgi?mode=Info&amp;id=37610&amp;lvl=3&amp;lin=f&amp;keep=1&amp;srchmode=1&amp;unlock","37610")</f>
        <v>37610</v>
      </c>
      <c r="E319" t="s">
        <v>167</v>
      </c>
      <c r="F319" t="s">
        <v>167</v>
      </c>
      <c r="G319" t="str">
        <f>HYPERLINK("http://www.ncbi.nlm.nih.gov/Taxonomy/Browser/wwwtax.cgi?mode=Info&amp;id=37610&amp;lvl=3&amp;lin=f&amp;keep=1&amp;srchmode=1&amp;unlock","Erithacus rubecula")</f>
        <v>Erithacus rubecula</v>
      </c>
      <c r="H319" t="s">
        <v>442</v>
      </c>
      <c r="I319" t="str">
        <f>HYPERLINK("http://www.ncbi.nlm.nih.gov/protein/NWY75297.1","ANDR protein")</f>
        <v>ANDR protein</v>
      </c>
      <c r="J319">
        <v>792.34</v>
      </c>
      <c r="K319" t="s">
        <v>25</v>
      </c>
      <c r="L319">
        <v>157</v>
      </c>
      <c r="M319">
        <v>44.41</v>
      </c>
      <c r="N319">
        <v>42.18</v>
      </c>
      <c r="O319" t="s">
        <v>20</v>
      </c>
      <c r="P319" t="s">
        <v>965</v>
      </c>
      <c r="Q319" t="s">
        <v>20</v>
      </c>
      <c r="R319" t="str">
        <f>HYPERLINK("https://cfpub.epa.gov/ecotox/explore.cfm?ncbi=37610","Explore in ECOTOX")</f>
        <v>Explore in ECOTOX</v>
      </c>
    </row>
    <row r="320" spans="1:18" x14ac:dyDescent="0.25">
      <c r="A320">
        <v>6</v>
      </c>
      <c r="B320" t="str">
        <f>HYPERLINK("http://www.ncbi.nlm.nih.gov/protein/XP_036772640.1","XP_036772640.1")</f>
        <v>XP_036772640.1</v>
      </c>
      <c r="C320">
        <v>58394</v>
      </c>
      <c r="D320" t="str">
        <f>HYPERLINK("http://www.ncbi.nlm.nih.gov/Taxonomy/Browser/wwwtax.cgi?mode=Info&amp;id=143292&amp;lvl=3&amp;lin=f&amp;keep=1&amp;srchmode=1&amp;unlock","143292")</f>
        <v>143292</v>
      </c>
      <c r="E320" t="s">
        <v>18</v>
      </c>
      <c r="F320" t="s">
        <v>18</v>
      </c>
      <c r="G320" t="str">
        <f>HYPERLINK("http://www.ncbi.nlm.nih.gov/Taxonomy/Browser/wwwtax.cgi?mode=Info&amp;id=143292&amp;lvl=3&amp;lin=f&amp;keep=1&amp;srchmode=1&amp;unlock","Manis pentadactyla")</f>
        <v>Manis pentadactyla</v>
      </c>
      <c r="H320" t="s">
        <v>56</v>
      </c>
      <c r="I320" t="str">
        <f>HYPERLINK("http://www.ncbi.nlm.nih.gov/protein/XP_036772640.1","androgen receptor-like, partial")</f>
        <v>androgen receptor-like, partial</v>
      </c>
      <c r="J320">
        <v>791.96</v>
      </c>
      <c r="K320" t="s">
        <v>25</v>
      </c>
      <c r="L320">
        <v>157</v>
      </c>
      <c r="M320">
        <v>44.41</v>
      </c>
      <c r="N320">
        <v>42.16</v>
      </c>
      <c r="O320" t="s">
        <v>20</v>
      </c>
      <c r="P320" t="s">
        <v>965</v>
      </c>
      <c r="Q320" t="s">
        <v>20</v>
      </c>
      <c r="R320" t="str">
        <f>HYPERLINK("https://cfpub.epa.gov/ecotox/explore.cfm?ncbi=143292","Explore in ECOTOX")</f>
        <v>Explore in ECOTOX</v>
      </c>
    </row>
    <row r="321" spans="1:18" x14ac:dyDescent="0.25">
      <c r="A321">
        <v>6</v>
      </c>
      <c r="B321" t="str">
        <f>HYPERLINK("http://www.ncbi.nlm.nih.gov/protein/NWY98553.1","NWY98553.1")</f>
        <v>NWY98553.1</v>
      </c>
      <c r="C321">
        <v>14648</v>
      </c>
      <c r="D321" t="str">
        <f>HYPERLINK("http://www.ncbi.nlm.nih.gov/Taxonomy/Browser/wwwtax.cgi?mode=Info&amp;id=64802&amp;lvl=3&amp;lin=f&amp;keep=1&amp;srchmode=1&amp;unlock","64802")</f>
        <v>64802</v>
      </c>
      <c r="E321" t="s">
        <v>167</v>
      </c>
      <c r="F321" t="s">
        <v>167</v>
      </c>
      <c r="G321" t="str">
        <f>HYPERLINK("http://www.ncbi.nlm.nih.gov/Taxonomy/Browser/wwwtax.cgi?mode=Info&amp;id=64802&amp;lvl=3&amp;lin=f&amp;keep=1&amp;srchmode=1&amp;unlock","Loxia curvirostra")</f>
        <v>Loxia curvirostra</v>
      </c>
      <c r="H321" t="s">
        <v>457</v>
      </c>
      <c r="I321" t="str">
        <f>HYPERLINK("http://www.ncbi.nlm.nih.gov/protein/NWY98553.1","ANDR protein")</f>
        <v>ANDR protein</v>
      </c>
      <c r="J321">
        <v>791.96</v>
      </c>
      <c r="K321" t="s">
        <v>25</v>
      </c>
      <c r="L321">
        <v>157</v>
      </c>
      <c r="M321">
        <v>44.41</v>
      </c>
      <c r="N321">
        <v>42.16</v>
      </c>
      <c r="O321" t="s">
        <v>20</v>
      </c>
      <c r="P321" t="s">
        <v>965</v>
      </c>
      <c r="Q321" t="s">
        <v>20</v>
      </c>
      <c r="R321" t="str">
        <f>HYPERLINK("https://cfpub.epa.gov/ecotox/explore.cfm?ncbi=64802","Explore in ECOTOX")</f>
        <v>Explore in ECOTOX</v>
      </c>
    </row>
    <row r="322" spans="1:18" x14ac:dyDescent="0.25">
      <c r="A322">
        <v>6</v>
      </c>
      <c r="B322" t="str">
        <f>HYPERLINK("http://www.ncbi.nlm.nih.gov/protein/NWX13164.1","NWX13164.1")</f>
        <v>NWX13164.1</v>
      </c>
      <c r="C322">
        <v>13717</v>
      </c>
      <c r="D322" t="str">
        <f>HYPERLINK("http://www.ncbi.nlm.nih.gov/Taxonomy/Browser/wwwtax.cgi?mode=Info&amp;id=48278&amp;lvl=3&amp;lin=f&amp;keep=1&amp;srchmode=1&amp;unlock","48278")</f>
        <v>48278</v>
      </c>
      <c r="E322" t="s">
        <v>167</v>
      </c>
      <c r="F322" t="s">
        <v>167</v>
      </c>
      <c r="G322" t="str">
        <f>HYPERLINK("http://www.ncbi.nlm.nih.gov/Taxonomy/Browser/wwwtax.cgi?mode=Info&amp;id=48278&amp;lvl=3&amp;lin=f&amp;keep=1&amp;srchmode=1&amp;unlock","Aegotheles bennettii")</f>
        <v>Aegotheles bennettii</v>
      </c>
      <c r="H322" t="s">
        <v>233</v>
      </c>
      <c r="I322" t="str">
        <f>HYPERLINK("http://www.ncbi.nlm.nih.gov/protein/NWX13164.1","ANDR protein")</f>
        <v>ANDR protein</v>
      </c>
      <c r="J322">
        <v>791.96</v>
      </c>
      <c r="K322" t="s">
        <v>25</v>
      </c>
      <c r="L322">
        <v>157</v>
      </c>
      <c r="M322">
        <v>44.41</v>
      </c>
      <c r="N322">
        <v>42.16</v>
      </c>
      <c r="O322" t="s">
        <v>20</v>
      </c>
      <c r="P322" t="s">
        <v>965</v>
      </c>
      <c r="Q322" t="s">
        <v>20</v>
      </c>
      <c r="R322" t="str">
        <f>HYPERLINK("https://cfpub.epa.gov/ecotox/explore.cfm?ncbi=48278","Explore in ECOTOX")</f>
        <v>Explore in ECOTOX</v>
      </c>
    </row>
    <row r="323" spans="1:18" x14ac:dyDescent="0.25">
      <c r="A323">
        <v>6</v>
      </c>
      <c r="B323" t="str">
        <f>HYPERLINK("http://www.ncbi.nlm.nih.gov/protein/NWY28386.1","NWY28386.1")</f>
        <v>NWY28386.1</v>
      </c>
      <c r="C323">
        <v>12918</v>
      </c>
      <c r="D323" t="str">
        <f>HYPERLINK("http://www.ncbi.nlm.nih.gov/Taxonomy/Browser/wwwtax.cgi?mode=Info&amp;id=371919&amp;lvl=3&amp;lin=f&amp;keep=1&amp;srchmode=1&amp;unlock","371919")</f>
        <v>371919</v>
      </c>
      <c r="E323" t="s">
        <v>167</v>
      </c>
      <c r="F323" t="s">
        <v>167</v>
      </c>
      <c r="G323" t="str">
        <f>HYPERLINK("http://www.ncbi.nlm.nih.gov/Taxonomy/Browser/wwwtax.cgi?mode=Info&amp;id=371919&amp;lvl=3&amp;lin=f&amp;keep=1&amp;srchmode=1&amp;unlock","Pheucticus melanocephalus")</f>
        <v>Pheucticus melanocephalus</v>
      </c>
      <c r="H323" t="s">
        <v>206</v>
      </c>
      <c r="I323" t="str">
        <f>HYPERLINK("http://www.ncbi.nlm.nih.gov/protein/NWY28386.1","ANDR protein")</f>
        <v>ANDR protein</v>
      </c>
      <c r="J323">
        <v>791.96</v>
      </c>
      <c r="K323" t="s">
        <v>25</v>
      </c>
      <c r="L323">
        <v>157</v>
      </c>
      <c r="M323">
        <v>44.41</v>
      </c>
      <c r="N323">
        <v>42.16</v>
      </c>
      <c r="O323" t="s">
        <v>20</v>
      </c>
      <c r="P323" t="s">
        <v>965</v>
      </c>
      <c r="Q323" t="s">
        <v>20</v>
      </c>
      <c r="R323" t="str">
        <f>HYPERLINK("https://cfpub.epa.gov/ecotox/explore.cfm?ncbi=371919","Explore in ECOTOX")</f>
        <v>Explore in ECOTOX</v>
      </c>
    </row>
    <row r="324" spans="1:18" x14ac:dyDescent="0.25">
      <c r="A324">
        <v>6</v>
      </c>
      <c r="B324" t="str">
        <f>HYPERLINK("http://www.ncbi.nlm.nih.gov/protein/NXS97465.1","NXS97465.1")</f>
        <v>NXS97465.1</v>
      </c>
      <c r="C324">
        <v>13322</v>
      </c>
      <c r="D324" t="str">
        <f>HYPERLINK("http://www.ncbi.nlm.nih.gov/Taxonomy/Browser/wwwtax.cgi?mode=Info&amp;id=54508&amp;lvl=3&amp;lin=f&amp;keep=1&amp;srchmode=1&amp;unlock","54508")</f>
        <v>54508</v>
      </c>
      <c r="E324" t="s">
        <v>167</v>
      </c>
      <c r="F324" t="s">
        <v>167</v>
      </c>
      <c r="G324" t="str">
        <f>HYPERLINK("http://www.ncbi.nlm.nih.gov/Taxonomy/Browser/wwwtax.cgi?mode=Info&amp;id=54508&amp;lvl=3&amp;lin=f&amp;keep=1&amp;srchmode=1&amp;unlock","Jacana jacana")</f>
        <v>Jacana jacana</v>
      </c>
      <c r="H324" t="s">
        <v>339</v>
      </c>
      <c r="I324" t="str">
        <f>HYPERLINK("http://www.ncbi.nlm.nih.gov/protein/NXS97465.1","ANDR protein")</f>
        <v>ANDR protein</v>
      </c>
      <c r="J324">
        <v>791.96</v>
      </c>
      <c r="K324" t="s">
        <v>25</v>
      </c>
      <c r="L324">
        <v>157</v>
      </c>
      <c r="M324">
        <v>44.41</v>
      </c>
      <c r="N324">
        <v>42.16</v>
      </c>
      <c r="O324" t="s">
        <v>20</v>
      </c>
      <c r="P324" t="s">
        <v>965</v>
      </c>
      <c r="Q324" t="s">
        <v>20</v>
      </c>
      <c r="R324" t="str">
        <f>HYPERLINK("https://cfpub.epa.gov/ecotox/explore.cfm?ncbi=54508","Explore in ECOTOX")</f>
        <v>Explore in ECOTOX</v>
      </c>
    </row>
    <row r="325" spans="1:18" x14ac:dyDescent="0.25">
      <c r="A325">
        <v>6</v>
      </c>
      <c r="B325" t="str">
        <f>HYPERLINK("http://www.ncbi.nlm.nih.gov/protein/NWZ80032.1","NWZ80032.1")</f>
        <v>NWZ80032.1</v>
      </c>
      <c r="C325">
        <v>14278</v>
      </c>
      <c r="D325" t="str">
        <f>HYPERLINK("http://www.ncbi.nlm.nih.gov/Taxonomy/Browser/wwwtax.cgi?mode=Info&amp;id=48891&amp;lvl=3&amp;lin=f&amp;keep=1&amp;srchmode=1&amp;unlock","48891")</f>
        <v>48891</v>
      </c>
      <c r="E325" t="s">
        <v>167</v>
      </c>
      <c r="F325" t="s">
        <v>167</v>
      </c>
      <c r="G325" t="str">
        <f>HYPERLINK("http://www.ncbi.nlm.nih.gov/Taxonomy/Browser/wwwtax.cgi?mode=Info&amp;id=48891&amp;lvl=3&amp;lin=f&amp;keep=1&amp;srchmode=1&amp;unlock","Poecile atricapillus")</f>
        <v>Poecile atricapillus</v>
      </c>
      <c r="H325" t="s">
        <v>423</v>
      </c>
      <c r="I325" t="str">
        <f>HYPERLINK("http://www.ncbi.nlm.nih.gov/protein/NWZ80032.1","ANDR protein")</f>
        <v>ANDR protein</v>
      </c>
      <c r="J325">
        <v>791.96</v>
      </c>
      <c r="K325" t="s">
        <v>25</v>
      </c>
      <c r="L325">
        <v>157</v>
      </c>
      <c r="M325">
        <v>44.41</v>
      </c>
      <c r="N325">
        <v>42.16</v>
      </c>
      <c r="O325" t="s">
        <v>20</v>
      </c>
      <c r="P325" t="s">
        <v>965</v>
      </c>
      <c r="Q325" t="s">
        <v>20</v>
      </c>
      <c r="R325" t="str">
        <f>HYPERLINK("https://cfpub.epa.gov/ecotox/explore.cfm?ncbi=48891","Explore in ECOTOX")</f>
        <v>Explore in ECOTOX</v>
      </c>
    </row>
    <row r="326" spans="1:18" x14ac:dyDescent="0.25">
      <c r="A326">
        <v>6</v>
      </c>
      <c r="B326" t="str">
        <f>HYPERLINK("http://www.ncbi.nlm.nih.gov/protein/NXK64764.1","NXK64764.1")</f>
        <v>NXK64764.1</v>
      </c>
      <c r="C326">
        <v>13823</v>
      </c>
      <c r="D326" t="str">
        <f>HYPERLINK("http://www.ncbi.nlm.nih.gov/Taxonomy/Browser/wwwtax.cgi?mode=Info&amp;id=208069&amp;lvl=3&amp;lin=f&amp;keep=1&amp;srchmode=1&amp;unlock","208069")</f>
        <v>208069</v>
      </c>
      <c r="E326" t="s">
        <v>167</v>
      </c>
      <c r="F326" t="s">
        <v>167</v>
      </c>
      <c r="G326" t="str">
        <f>HYPERLINK("http://www.ncbi.nlm.nih.gov/Taxonomy/Browser/wwwtax.cgi?mode=Info&amp;id=208069&amp;lvl=3&amp;lin=f&amp;keep=1&amp;srchmode=1&amp;unlock","Sylvietta virens")</f>
        <v>Sylvietta virens</v>
      </c>
      <c r="H326" t="s">
        <v>434</v>
      </c>
      <c r="I326" t="str">
        <f>HYPERLINK("http://www.ncbi.nlm.nih.gov/protein/NXK64764.1","ANDR protein")</f>
        <v>ANDR protein</v>
      </c>
      <c r="J326">
        <v>791.57</v>
      </c>
      <c r="K326" t="s">
        <v>25</v>
      </c>
      <c r="L326">
        <v>157</v>
      </c>
      <c r="M326">
        <v>44.41</v>
      </c>
      <c r="N326">
        <v>42.14</v>
      </c>
      <c r="O326" t="s">
        <v>20</v>
      </c>
      <c r="P326" t="s">
        <v>965</v>
      </c>
      <c r="Q326" t="s">
        <v>20</v>
      </c>
      <c r="R326" t="str">
        <f>HYPERLINK("https://cfpub.epa.gov/ecotox/explore.cfm?ncbi=208069","Explore in ECOTOX")</f>
        <v>Explore in ECOTOX</v>
      </c>
    </row>
    <row r="327" spans="1:18" x14ac:dyDescent="0.25">
      <c r="A327">
        <v>6</v>
      </c>
      <c r="B327" t="str">
        <f>HYPERLINK("http://www.ncbi.nlm.nih.gov/protein/NWR87654.1","NWR87654.1")</f>
        <v>NWR87654.1</v>
      </c>
      <c r="C327">
        <v>13898</v>
      </c>
      <c r="D327" t="str">
        <f>HYPERLINK("http://www.ncbi.nlm.nih.gov/Taxonomy/Browser/wwwtax.cgi?mode=Info&amp;id=463165&amp;lvl=3&amp;lin=f&amp;keep=1&amp;srchmode=1&amp;unlock","463165")</f>
        <v>463165</v>
      </c>
      <c r="E327" t="s">
        <v>167</v>
      </c>
      <c r="F327" t="s">
        <v>167</v>
      </c>
      <c r="G327" t="str">
        <f>HYPERLINK("http://www.ncbi.nlm.nih.gov/Taxonomy/Browser/wwwtax.cgi?mode=Info&amp;id=463165&amp;lvl=3&amp;lin=f&amp;keep=1&amp;srchmode=1&amp;unlock","Furnarius figulus")</f>
        <v>Furnarius figulus</v>
      </c>
      <c r="H327" t="s">
        <v>206</v>
      </c>
      <c r="I327" t="str">
        <f>HYPERLINK("http://www.ncbi.nlm.nih.gov/protein/NWR87654.1","ANDR protein")</f>
        <v>ANDR protein</v>
      </c>
      <c r="J327">
        <v>791.57</v>
      </c>
      <c r="K327" t="s">
        <v>25</v>
      </c>
      <c r="L327">
        <v>157</v>
      </c>
      <c r="M327">
        <v>44.41</v>
      </c>
      <c r="N327">
        <v>42.14</v>
      </c>
      <c r="O327" t="s">
        <v>20</v>
      </c>
      <c r="P327" t="s">
        <v>965</v>
      </c>
      <c r="Q327" t="s">
        <v>20</v>
      </c>
      <c r="R327" t="str">
        <f>HYPERLINK("https://cfpub.epa.gov/ecotox/explore.cfm?ncbi=463165","Explore in ECOTOX")</f>
        <v>Explore in ECOTOX</v>
      </c>
    </row>
    <row r="328" spans="1:18" x14ac:dyDescent="0.25">
      <c r="A328">
        <v>6</v>
      </c>
      <c r="B328" t="str">
        <f>HYPERLINK("http://www.ncbi.nlm.nih.gov/protein/NXF15410.1","NXF15410.1")</f>
        <v>NXF15410.1</v>
      </c>
      <c r="C328">
        <v>14142</v>
      </c>
      <c r="D328" t="str">
        <f>HYPERLINK("http://www.ncbi.nlm.nih.gov/Taxonomy/Browser/wwwtax.cgi?mode=Info&amp;id=58203&amp;lvl=3&amp;lin=f&amp;keep=1&amp;srchmode=1&amp;unlock","58203")</f>
        <v>58203</v>
      </c>
      <c r="E328" t="s">
        <v>167</v>
      </c>
      <c r="F328" t="s">
        <v>167</v>
      </c>
      <c r="G328" t="str">
        <f>HYPERLINK("http://www.ncbi.nlm.nih.gov/Taxonomy/Browser/wwwtax.cgi?mode=Info&amp;id=58203&amp;lvl=3&amp;lin=f&amp;keep=1&amp;srchmode=1&amp;unlock","Rhodinocichla rosea")</f>
        <v>Rhodinocichla rosea</v>
      </c>
      <c r="H328" t="s">
        <v>414</v>
      </c>
      <c r="I328" t="str">
        <f>HYPERLINK("http://www.ncbi.nlm.nih.gov/protein/NXF15410.1","ANDR protein")</f>
        <v>ANDR protein</v>
      </c>
      <c r="J328">
        <v>791.57</v>
      </c>
      <c r="K328" t="s">
        <v>25</v>
      </c>
      <c r="L328">
        <v>157</v>
      </c>
      <c r="M328">
        <v>44.41</v>
      </c>
      <c r="N328">
        <v>42.14</v>
      </c>
      <c r="O328" t="s">
        <v>20</v>
      </c>
      <c r="P328" t="s">
        <v>965</v>
      </c>
      <c r="Q328" t="s">
        <v>20</v>
      </c>
      <c r="R328" t="str">
        <f>HYPERLINK("https://cfpub.epa.gov/ecotox/explore.cfm?ncbi=58203","Explore in ECOTOX")</f>
        <v>Explore in ECOTOX</v>
      </c>
    </row>
    <row r="329" spans="1:18" x14ac:dyDescent="0.25">
      <c r="A329">
        <v>6</v>
      </c>
      <c r="B329" t="str">
        <f>HYPERLINK("http://www.ncbi.nlm.nih.gov/protein/NXR27516.1","NXR27516.1")</f>
        <v>NXR27516.1</v>
      </c>
      <c r="C329">
        <v>13525</v>
      </c>
      <c r="D329" t="str">
        <f>HYPERLINK("http://www.ncbi.nlm.nih.gov/Taxonomy/Browser/wwwtax.cgi?mode=Info&amp;id=161649&amp;lvl=3&amp;lin=f&amp;keep=1&amp;srchmode=1&amp;unlock","161649")</f>
        <v>161649</v>
      </c>
      <c r="E329" t="s">
        <v>167</v>
      </c>
      <c r="F329" t="s">
        <v>167</v>
      </c>
      <c r="G329" t="str">
        <f>HYPERLINK("http://www.ncbi.nlm.nih.gov/Taxonomy/Browser/wwwtax.cgi?mode=Info&amp;id=161649&amp;lvl=3&amp;lin=f&amp;keep=1&amp;srchmode=1&amp;unlock","Cinclus mexicanus")</f>
        <v>Cinclus mexicanus</v>
      </c>
      <c r="H329" t="s">
        <v>206</v>
      </c>
      <c r="I329" t="str">
        <f>HYPERLINK("http://www.ncbi.nlm.nih.gov/protein/NXR27516.1","ANDR protein")</f>
        <v>ANDR protein</v>
      </c>
      <c r="J329">
        <v>791.57</v>
      </c>
      <c r="K329" t="s">
        <v>25</v>
      </c>
      <c r="L329">
        <v>157</v>
      </c>
      <c r="M329">
        <v>44.41</v>
      </c>
      <c r="N329">
        <v>42.14</v>
      </c>
      <c r="O329" t="s">
        <v>20</v>
      </c>
      <c r="P329" t="s">
        <v>965</v>
      </c>
      <c r="Q329" t="s">
        <v>20</v>
      </c>
      <c r="R329" t="str">
        <f>HYPERLINK("https://cfpub.epa.gov/ecotox/explore.cfm?ncbi=161649","Explore in ECOTOX")</f>
        <v>Explore in ECOTOX</v>
      </c>
    </row>
    <row r="330" spans="1:18" x14ac:dyDescent="0.25">
      <c r="A330">
        <v>6</v>
      </c>
      <c r="B330" t="str">
        <f>HYPERLINK("http://www.ncbi.nlm.nih.gov/protein/NWZ67800.1","NWZ67800.1")</f>
        <v>NWZ67800.1</v>
      </c>
      <c r="C330">
        <v>14269</v>
      </c>
      <c r="D330" t="str">
        <f>HYPERLINK("http://www.ncbi.nlm.nih.gov/Taxonomy/Browser/wwwtax.cgi?mode=Info&amp;id=39621&amp;lvl=3&amp;lin=f&amp;keep=1&amp;srchmode=1&amp;unlock","39621")</f>
        <v>39621</v>
      </c>
      <c r="E330" t="s">
        <v>167</v>
      </c>
      <c r="F330" t="s">
        <v>167</v>
      </c>
      <c r="G330" t="str">
        <f>HYPERLINK("http://www.ncbi.nlm.nih.gov/Taxonomy/Browser/wwwtax.cgi?mode=Info&amp;id=39621&amp;lvl=3&amp;lin=f&amp;keep=1&amp;srchmode=1&amp;unlock","Acrocephalus arundinaceus")</f>
        <v>Acrocephalus arundinaceus</v>
      </c>
      <c r="H330" t="s">
        <v>439</v>
      </c>
      <c r="I330" t="str">
        <f>HYPERLINK("http://www.ncbi.nlm.nih.gov/protein/NWZ67800.1","ANDR protein")</f>
        <v>ANDR protein</v>
      </c>
      <c r="J330">
        <v>791.57</v>
      </c>
      <c r="K330" t="s">
        <v>25</v>
      </c>
      <c r="L330">
        <v>157</v>
      </c>
      <c r="M330">
        <v>44.41</v>
      </c>
      <c r="N330">
        <v>42.14</v>
      </c>
      <c r="O330" t="s">
        <v>20</v>
      </c>
      <c r="P330" t="s">
        <v>965</v>
      </c>
      <c r="Q330" t="s">
        <v>20</v>
      </c>
      <c r="R330" t="str">
        <f>HYPERLINK("https://cfpub.epa.gov/ecotox/explore.cfm?ncbi=39621","Explore in ECOTOX")</f>
        <v>Explore in ECOTOX</v>
      </c>
    </row>
    <row r="331" spans="1:18" x14ac:dyDescent="0.25">
      <c r="A331">
        <v>6</v>
      </c>
      <c r="B331" t="str">
        <f>HYPERLINK("http://www.ncbi.nlm.nih.gov/protein/NWV14670.1","NWV14670.1")</f>
        <v>NWV14670.1</v>
      </c>
      <c r="C331">
        <v>14013</v>
      </c>
      <c r="D331" t="str">
        <f>HYPERLINK("http://www.ncbi.nlm.nih.gov/Taxonomy/Browser/wwwtax.cgi?mode=Info&amp;id=28724&amp;lvl=3&amp;lin=f&amp;keep=1&amp;srchmode=1&amp;unlock","28724")</f>
        <v>28724</v>
      </c>
      <c r="E331" t="s">
        <v>167</v>
      </c>
      <c r="F331" t="s">
        <v>167</v>
      </c>
      <c r="G331" t="str">
        <f>HYPERLINK("http://www.ncbi.nlm.nih.gov/Taxonomy/Browser/wwwtax.cgi?mode=Info&amp;id=28724&amp;lvl=3&amp;lin=f&amp;keep=1&amp;srchmode=1&amp;unlock","Ptilonorhynchus violaceus")</f>
        <v>Ptilonorhynchus violaceus</v>
      </c>
      <c r="H331" t="s">
        <v>293</v>
      </c>
      <c r="I331" t="str">
        <f>HYPERLINK("http://www.ncbi.nlm.nih.gov/protein/NWV14670.1","ANDR protein")</f>
        <v>ANDR protein</v>
      </c>
      <c r="J331">
        <v>791.19</v>
      </c>
      <c r="K331" t="s">
        <v>25</v>
      </c>
      <c r="L331">
        <v>157</v>
      </c>
      <c r="M331">
        <v>44.41</v>
      </c>
      <c r="N331">
        <v>42.12</v>
      </c>
      <c r="O331" t="s">
        <v>20</v>
      </c>
      <c r="P331" t="s">
        <v>965</v>
      </c>
      <c r="Q331" t="s">
        <v>20</v>
      </c>
      <c r="R331" t="str">
        <f>HYPERLINK("https://cfpub.epa.gov/ecotox/explore.cfm?ncbi=28724","Explore in ECOTOX")</f>
        <v>Explore in ECOTOX</v>
      </c>
    </row>
    <row r="332" spans="1:18" x14ac:dyDescent="0.25">
      <c r="A332">
        <v>6</v>
      </c>
      <c r="B332" t="str">
        <f>HYPERLINK("http://www.ncbi.nlm.nih.gov/protein/NXU36076.1","NXU36076.1")</f>
        <v>NXU36076.1</v>
      </c>
      <c r="C332">
        <v>13604</v>
      </c>
      <c r="D332" t="str">
        <f>HYPERLINK("http://www.ncbi.nlm.nih.gov/Taxonomy/Browser/wwwtax.cgi?mode=Info&amp;id=626378&amp;lvl=3&amp;lin=f&amp;keep=1&amp;srchmode=1&amp;unlock","626378")</f>
        <v>626378</v>
      </c>
      <c r="E332" t="s">
        <v>167</v>
      </c>
      <c r="F332" t="s">
        <v>167</v>
      </c>
      <c r="G332" t="str">
        <f>HYPERLINK("http://www.ncbi.nlm.nih.gov/Taxonomy/Browser/wwwtax.cgi?mode=Info&amp;id=626378&amp;lvl=3&amp;lin=f&amp;keep=1&amp;srchmode=1&amp;unlock","Drymodes brunneopygia")</f>
        <v>Drymodes brunneopygia</v>
      </c>
      <c r="H332" t="s">
        <v>351</v>
      </c>
      <c r="I332" t="str">
        <f>HYPERLINK("http://www.ncbi.nlm.nih.gov/protein/NXU36076.1","ANDR protein")</f>
        <v>ANDR protein</v>
      </c>
      <c r="J332">
        <v>791.19</v>
      </c>
      <c r="K332" t="s">
        <v>25</v>
      </c>
      <c r="L332">
        <v>157</v>
      </c>
      <c r="M332">
        <v>44.41</v>
      </c>
      <c r="N332">
        <v>42.12</v>
      </c>
      <c r="O332" t="s">
        <v>20</v>
      </c>
      <c r="P332" t="s">
        <v>965</v>
      </c>
      <c r="Q332" t="s">
        <v>20</v>
      </c>
      <c r="R332" t="str">
        <f>HYPERLINK("https://cfpub.epa.gov/ecotox/explore.cfm?ncbi=626378","Explore in ECOTOX")</f>
        <v>Explore in ECOTOX</v>
      </c>
    </row>
    <row r="333" spans="1:18" x14ac:dyDescent="0.25">
      <c r="A333">
        <v>6</v>
      </c>
      <c r="B333" t="str">
        <f>HYPERLINK("http://www.ncbi.nlm.nih.gov/protein/NXF79956.1","NXF79956.1")</f>
        <v>NXF79956.1</v>
      </c>
      <c r="C333">
        <v>14134</v>
      </c>
      <c r="D333" t="str">
        <f>HYPERLINK("http://www.ncbi.nlm.nih.gov/Taxonomy/Browser/wwwtax.cgi?mode=Info&amp;id=265632&amp;lvl=3&amp;lin=f&amp;keep=1&amp;srchmode=1&amp;unlock","265632")</f>
        <v>265632</v>
      </c>
      <c r="E333" t="s">
        <v>167</v>
      </c>
      <c r="F333" t="s">
        <v>167</v>
      </c>
      <c r="G333" t="str">
        <f>HYPERLINK("http://www.ncbi.nlm.nih.gov/Taxonomy/Browser/wwwtax.cgi?mode=Info&amp;id=265632&amp;lvl=3&amp;lin=f&amp;keep=1&amp;srchmode=1&amp;unlock","Sclerurus mexicanus")</f>
        <v>Sclerurus mexicanus</v>
      </c>
      <c r="H333" t="s">
        <v>436</v>
      </c>
      <c r="I333" t="str">
        <f>HYPERLINK("http://www.ncbi.nlm.nih.gov/protein/NXF79956.1","ANDR protein")</f>
        <v>ANDR protein</v>
      </c>
      <c r="J333">
        <v>790.8</v>
      </c>
      <c r="K333" t="s">
        <v>25</v>
      </c>
      <c r="L333">
        <v>157</v>
      </c>
      <c r="M333">
        <v>44.41</v>
      </c>
      <c r="N333">
        <v>42.1</v>
      </c>
      <c r="O333" t="s">
        <v>20</v>
      </c>
      <c r="P333" t="s">
        <v>965</v>
      </c>
      <c r="Q333" t="s">
        <v>20</v>
      </c>
      <c r="R333" t="str">
        <f>HYPERLINK("https://cfpub.epa.gov/ecotox/explore.cfm?ncbi=265632","Explore in ECOTOX")</f>
        <v>Explore in ECOTOX</v>
      </c>
    </row>
    <row r="334" spans="1:18" x14ac:dyDescent="0.25">
      <c r="A334">
        <v>6</v>
      </c>
      <c r="B334" t="str">
        <f>HYPERLINK("http://www.ncbi.nlm.nih.gov/protein/NXJ84563.1","NXJ84563.1")</f>
        <v>NXJ84563.1</v>
      </c>
      <c r="C334">
        <v>14194</v>
      </c>
      <c r="D334" t="str">
        <f>HYPERLINK("http://www.ncbi.nlm.nih.gov/Taxonomy/Browser/wwwtax.cgi?mode=Info&amp;id=56311&amp;lvl=3&amp;lin=f&amp;keep=1&amp;srchmode=1&amp;unlock","56311")</f>
        <v>56311</v>
      </c>
      <c r="E334" t="s">
        <v>167</v>
      </c>
      <c r="F334" t="s">
        <v>167</v>
      </c>
      <c r="G334" t="str">
        <f>HYPERLINK("http://www.ncbi.nlm.nih.gov/Taxonomy/Browser/wwwtax.cgi?mode=Info&amp;id=56311&amp;lvl=3&amp;lin=f&amp;keep=1&amp;srchmode=1&amp;unlock","Trogon melanurus")</f>
        <v>Trogon melanurus</v>
      </c>
      <c r="H334" t="s">
        <v>355</v>
      </c>
      <c r="I334" t="str">
        <f>HYPERLINK("http://www.ncbi.nlm.nih.gov/protein/NXJ84563.1","ANDR protein")</f>
        <v>ANDR protein</v>
      </c>
      <c r="J334">
        <v>790.41</v>
      </c>
      <c r="K334" t="s">
        <v>25</v>
      </c>
      <c r="L334">
        <v>157</v>
      </c>
      <c r="M334">
        <v>44.41</v>
      </c>
      <c r="N334">
        <v>42.07</v>
      </c>
      <c r="O334" t="s">
        <v>20</v>
      </c>
      <c r="P334" t="s">
        <v>965</v>
      </c>
      <c r="Q334" t="s">
        <v>20</v>
      </c>
      <c r="R334" t="str">
        <f>HYPERLINK("https://cfpub.epa.gov/ecotox/explore.cfm?ncbi=56311","Explore in ECOTOX")</f>
        <v>Explore in ECOTOX</v>
      </c>
    </row>
    <row r="335" spans="1:18" x14ac:dyDescent="0.25">
      <c r="A335">
        <v>6</v>
      </c>
      <c r="B335" t="str">
        <f>HYPERLINK("http://www.ncbi.nlm.nih.gov/protein/NWY37490.1","NWY37490.1")</f>
        <v>NWY37490.1</v>
      </c>
      <c r="C335">
        <v>13444</v>
      </c>
      <c r="D335" t="str">
        <f>HYPERLINK("http://www.ncbi.nlm.nih.gov/Taxonomy/Browser/wwwtax.cgi?mode=Info&amp;id=48155&amp;lvl=3&amp;lin=f&amp;keep=1&amp;srchmode=1&amp;unlock","48155")</f>
        <v>48155</v>
      </c>
      <c r="E335" t="s">
        <v>167</v>
      </c>
      <c r="F335" t="s">
        <v>167</v>
      </c>
      <c r="G335" t="str">
        <f>HYPERLINK("http://www.ncbi.nlm.nih.gov/Taxonomy/Browser/wwwtax.cgi?mode=Info&amp;id=48155&amp;lvl=3&amp;lin=f&amp;keep=1&amp;srchmode=1&amp;unlock","Sylvia atricapilla")</f>
        <v>Sylvia atricapilla</v>
      </c>
      <c r="H335" t="s">
        <v>459</v>
      </c>
      <c r="I335" t="str">
        <f>HYPERLINK("http://www.ncbi.nlm.nih.gov/protein/NWY37490.1","ANDR protein")</f>
        <v>ANDR protein</v>
      </c>
      <c r="J335">
        <v>790.03</v>
      </c>
      <c r="K335" t="s">
        <v>25</v>
      </c>
      <c r="L335">
        <v>157</v>
      </c>
      <c r="M335">
        <v>44.41</v>
      </c>
      <c r="N335">
        <v>42.05</v>
      </c>
      <c r="O335" t="s">
        <v>20</v>
      </c>
      <c r="P335" t="s">
        <v>965</v>
      </c>
      <c r="Q335" t="s">
        <v>20</v>
      </c>
      <c r="R335" t="str">
        <f>HYPERLINK("https://cfpub.epa.gov/ecotox/explore.cfm?ncbi=48155","Explore in ECOTOX")</f>
        <v>Explore in ECOTOX</v>
      </c>
    </row>
    <row r="336" spans="1:18" x14ac:dyDescent="0.25">
      <c r="A336">
        <v>6</v>
      </c>
      <c r="B336" t="str">
        <f>HYPERLINK("http://www.ncbi.nlm.nih.gov/protein/NXI18472.1","NXI18472.1")</f>
        <v>NXI18472.1</v>
      </c>
      <c r="C336">
        <v>14281</v>
      </c>
      <c r="D336" t="str">
        <f>HYPERLINK("http://www.ncbi.nlm.nih.gov/Taxonomy/Browser/wwwtax.cgi?mode=Info&amp;id=175120&amp;lvl=3&amp;lin=f&amp;keep=1&amp;srchmode=1&amp;unlock","175120")</f>
        <v>175120</v>
      </c>
      <c r="E336" t="s">
        <v>167</v>
      </c>
      <c r="F336" t="s">
        <v>167</v>
      </c>
      <c r="G336" t="str">
        <f>HYPERLINK("http://www.ncbi.nlm.nih.gov/Taxonomy/Browser/wwwtax.cgi?mode=Info&amp;id=175120&amp;lvl=3&amp;lin=f&amp;keep=1&amp;srchmode=1&amp;unlock","Irena cyanogastra")</f>
        <v>Irena cyanogastra</v>
      </c>
      <c r="H336" t="s">
        <v>451</v>
      </c>
      <c r="I336" t="str">
        <f>HYPERLINK("http://www.ncbi.nlm.nih.gov/protein/NXI18472.1","ANDR protein")</f>
        <v>ANDR protein</v>
      </c>
      <c r="J336">
        <v>790.03</v>
      </c>
      <c r="K336" t="s">
        <v>25</v>
      </c>
      <c r="L336">
        <v>157</v>
      </c>
      <c r="M336">
        <v>44.41</v>
      </c>
      <c r="N336">
        <v>42.05</v>
      </c>
      <c r="O336" t="s">
        <v>20</v>
      </c>
      <c r="P336" t="s">
        <v>965</v>
      </c>
      <c r="Q336" t="s">
        <v>20</v>
      </c>
      <c r="R336" t="str">
        <f>HYPERLINK("https://cfpub.epa.gov/ecotox/explore.cfm?ncbi=175120","Explore in ECOTOX")</f>
        <v>Explore in ECOTOX</v>
      </c>
    </row>
    <row r="337" spans="1:18" x14ac:dyDescent="0.25">
      <c r="A337">
        <v>6</v>
      </c>
      <c r="B337" t="str">
        <f>HYPERLINK("http://www.ncbi.nlm.nih.gov/protein/RMC08184.1","RMC08184.1")</f>
        <v>RMC08184.1</v>
      </c>
      <c r="C337">
        <v>34993</v>
      </c>
      <c r="D337" t="str">
        <f>HYPERLINK("http://www.ncbi.nlm.nih.gov/Taxonomy/Browser/wwwtax.cgi?mode=Info&amp;id=333673&amp;lvl=3&amp;lin=f&amp;keep=1&amp;srchmode=1&amp;unlock","333673")</f>
        <v>333673</v>
      </c>
      <c r="E337" t="s">
        <v>167</v>
      </c>
      <c r="F337" t="s">
        <v>167</v>
      </c>
      <c r="G337" t="str">
        <f>HYPERLINK("http://www.ncbi.nlm.nih.gov/Taxonomy/Browser/wwwtax.cgi?mode=Info&amp;id=333673&amp;lvl=3&amp;lin=f&amp;keep=1&amp;srchmode=1&amp;unlock","Hirundo rustica rustica")</f>
        <v>Hirundo rustica rustica</v>
      </c>
      <c r="H337" t="s">
        <v>421</v>
      </c>
      <c r="I337" t="str">
        <f>HYPERLINK("http://www.ncbi.nlm.nih.gov/protein/RMC08184.1","hypothetical protein DUI87_15219")</f>
        <v>hypothetical protein DUI87_15219</v>
      </c>
      <c r="J337">
        <v>789.64</v>
      </c>
      <c r="K337" t="s">
        <v>25</v>
      </c>
      <c r="L337">
        <v>157</v>
      </c>
      <c r="M337">
        <v>44.41</v>
      </c>
      <c r="N337">
        <v>42.03</v>
      </c>
      <c r="O337" t="s">
        <v>20</v>
      </c>
      <c r="P337" t="s">
        <v>965</v>
      </c>
      <c r="Q337" t="s">
        <v>20</v>
      </c>
      <c r="R337" t="str">
        <f>HYPERLINK("https://cfpub.epa.gov/ecotox/explore.cfm?ncbi=333673","Explore in ECOTOX")</f>
        <v>Explore in ECOTOX</v>
      </c>
    </row>
    <row r="338" spans="1:18" x14ac:dyDescent="0.25">
      <c r="A338">
        <v>6</v>
      </c>
      <c r="B338" t="str">
        <f>HYPERLINK("http://www.ncbi.nlm.nih.gov/protein/XP_005526207.1","XP_005526207.1")</f>
        <v>XP_005526207.1</v>
      </c>
      <c r="C338">
        <v>27658</v>
      </c>
      <c r="D338" t="str">
        <f>HYPERLINK("http://www.ncbi.nlm.nih.gov/Taxonomy/Browser/wwwtax.cgi?mode=Info&amp;id=181119&amp;lvl=3&amp;lin=f&amp;keep=1&amp;srchmode=1&amp;unlock","181119")</f>
        <v>181119</v>
      </c>
      <c r="E338" t="s">
        <v>167</v>
      </c>
      <c r="F338" t="s">
        <v>167</v>
      </c>
      <c r="G338" t="str">
        <f>HYPERLINK("http://www.ncbi.nlm.nih.gov/Taxonomy/Browser/wwwtax.cgi?mode=Info&amp;id=181119&amp;lvl=3&amp;lin=f&amp;keep=1&amp;srchmode=1&amp;unlock","Pseudopodoces humilis")</f>
        <v>Pseudopodoces humilis</v>
      </c>
      <c r="H338" t="s">
        <v>409</v>
      </c>
      <c r="I338" t="str">
        <f>HYPERLINK("http://www.ncbi.nlm.nih.gov/protein/XP_005526207.1","PREDICTED: androgen receptor")</f>
        <v>PREDICTED: androgen receptor</v>
      </c>
      <c r="J338">
        <v>789.26</v>
      </c>
      <c r="K338" t="s">
        <v>25</v>
      </c>
      <c r="L338">
        <v>157</v>
      </c>
      <c r="M338">
        <v>44.41</v>
      </c>
      <c r="N338">
        <v>42.01</v>
      </c>
      <c r="O338" t="s">
        <v>20</v>
      </c>
      <c r="P338" t="s">
        <v>965</v>
      </c>
      <c r="Q338" t="s">
        <v>20</v>
      </c>
      <c r="R338" t="str">
        <f>HYPERLINK("https://cfpub.epa.gov/ecotox/explore.cfm?ncbi=181119","Explore in ECOTOX")</f>
        <v>Explore in ECOTOX</v>
      </c>
    </row>
    <row r="339" spans="1:18" x14ac:dyDescent="0.25">
      <c r="A339">
        <v>6</v>
      </c>
      <c r="B339" t="str">
        <f>HYPERLINK("http://www.ncbi.nlm.nih.gov/protein/XP_015482175.1","XP_015482175.1")</f>
        <v>XP_015482175.1</v>
      </c>
      <c r="C339">
        <v>39858</v>
      </c>
      <c r="D339" t="str">
        <f>HYPERLINK("http://www.ncbi.nlm.nih.gov/Taxonomy/Browser/wwwtax.cgi?mode=Info&amp;id=9157&amp;lvl=3&amp;lin=f&amp;keep=1&amp;srchmode=1&amp;unlock","9157")</f>
        <v>9157</v>
      </c>
      <c r="E339" t="s">
        <v>167</v>
      </c>
      <c r="F339" t="s">
        <v>167</v>
      </c>
      <c r="G339" t="str">
        <f>HYPERLINK("http://www.ncbi.nlm.nih.gov/Taxonomy/Browser/wwwtax.cgi?mode=Info&amp;id=9157&amp;lvl=3&amp;lin=f&amp;keep=1&amp;srchmode=1&amp;unlock","Parus major")</f>
        <v>Parus major</v>
      </c>
      <c r="H339" t="s">
        <v>448</v>
      </c>
      <c r="I339" t="str">
        <f>HYPERLINK("http://www.ncbi.nlm.nih.gov/protein/XP_015482175.1","androgen receptor")</f>
        <v>androgen receptor</v>
      </c>
      <c r="J339">
        <v>789.26</v>
      </c>
      <c r="K339" t="s">
        <v>25</v>
      </c>
      <c r="L339">
        <v>157</v>
      </c>
      <c r="M339">
        <v>44.41</v>
      </c>
      <c r="N339">
        <v>42.01</v>
      </c>
      <c r="O339" t="s">
        <v>20</v>
      </c>
      <c r="P339" t="s">
        <v>965</v>
      </c>
      <c r="Q339" t="s">
        <v>20</v>
      </c>
      <c r="R339" t="str">
        <f>HYPERLINK("https://cfpub.epa.gov/ecotox/explore.cfm?ncbi=9157","Explore in ECOTOX")</f>
        <v>Explore in ECOTOX</v>
      </c>
    </row>
    <row r="340" spans="1:18" x14ac:dyDescent="0.25">
      <c r="A340">
        <v>6</v>
      </c>
      <c r="B340" t="str">
        <f>HYPERLINK("http://www.ncbi.nlm.nih.gov/protein/NXB24753.1","NXB24753.1")</f>
        <v>NXB24753.1</v>
      </c>
      <c r="C340">
        <v>14272</v>
      </c>
      <c r="D340" t="str">
        <f>HYPERLINK("http://www.ncbi.nlm.nih.gov/Taxonomy/Browser/wwwtax.cgi?mode=Info&amp;id=156170&amp;lvl=3&amp;lin=f&amp;keep=1&amp;srchmode=1&amp;unlock","156170")</f>
        <v>156170</v>
      </c>
      <c r="E340" t="s">
        <v>167</v>
      </c>
      <c r="F340" t="s">
        <v>167</v>
      </c>
      <c r="G340" t="str">
        <f>HYPERLINK("http://www.ncbi.nlm.nih.gov/Taxonomy/Browser/wwwtax.cgi?mode=Info&amp;id=156170&amp;lvl=3&amp;lin=f&amp;keep=1&amp;srchmode=1&amp;unlock","Rhagologus leucostigma")</f>
        <v>Rhagologus leucostigma</v>
      </c>
      <c r="H340" t="s">
        <v>502</v>
      </c>
      <c r="I340" t="str">
        <f>HYPERLINK("http://www.ncbi.nlm.nih.gov/protein/NXB24753.1","ANDR protein")</f>
        <v>ANDR protein</v>
      </c>
      <c r="J340">
        <v>789.26</v>
      </c>
      <c r="K340" t="s">
        <v>25</v>
      </c>
      <c r="L340">
        <v>157</v>
      </c>
      <c r="M340">
        <v>44.41</v>
      </c>
      <c r="N340">
        <v>42.01</v>
      </c>
      <c r="O340" t="s">
        <v>20</v>
      </c>
      <c r="P340" t="s">
        <v>965</v>
      </c>
      <c r="Q340" t="s">
        <v>20</v>
      </c>
      <c r="R340" t="str">
        <f>HYPERLINK("https://cfpub.epa.gov/ecotox/explore.cfm?ncbi=156170","Explore in ECOTOX")</f>
        <v>Explore in ECOTOX</v>
      </c>
    </row>
    <row r="341" spans="1:18" x14ac:dyDescent="0.25">
      <c r="A341">
        <v>6</v>
      </c>
      <c r="B341" t="str">
        <f>HYPERLINK("http://www.ncbi.nlm.nih.gov/protein/NXF10540.1","NXF10540.1")</f>
        <v>NXF10540.1</v>
      </c>
      <c r="C341">
        <v>13858</v>
      </c>
      <c r="D341" t="str">
        <f>HYPERLINK("http://www.ncbi.nlm.nih.gov/Taxonomy/Browser/wwwtax.cgi?mode=Info&amp;id=363769&amp;lvl=3&amp;lin=f&amp;keep=1&amp;srchmode=1&amp;unlock","363769")</f>
        <v>363769</v>
      </c>
      <c r="E341" t="s">
        <v>167</v>
      </c>
      <c r="F341" t="s">
        <v>167</v>
      </c>
      <c r="G341" t="str">
        <f>HYPERLINK("http://www.ncbi.nlm.nih.gov/Taxonomy/Browser/wwwtax.cgi?mode=Info&amp;id=363769&amp;lvl=3&amp;lin=f&amp;keep=1&amp;srchmode=1&amp;unlock","Smithornis capensis")</f>
        <v>Smithornis capensis</v>
      </c>
      <c r="H341" t="s">
        <v>206</v>
      </c>
      <c r="I341" t="str">
        <f>HYPERLINK("http://www.ncbi.nlm.nih.gov/protein/NXF10540.1","ANDR protein")</f>
        <v>ANDR protein</v>
      </c>
      <c r="J341">
        <v>788.88</v>
      </c>
      <c r="K341" t="s">
        <v>25</v>
      </c>
      <c r="L341">
        <v>157</v>
      </c>
      <c r="M341">
        <v>44.41</v>
      </c>
      <c r="N341">
        <v>41.99</v>
      </c>
      <c r="O341" t="s">
        <v>20</v>
      </c>
      <c r="P341" t="s">
        <v>965</v>
      </c>
      <c r="Q341" t="s">
        <v>20</v>
      </c>
      <c r="R341" t="str">
        <f>HYPERLINK("https://cfpub.epa.gov/ecotox/explore.cfm?ncbi=363769","Explore in ECOTOX")</f>
        <v>Explore in ECOTOX</v>
      </c>
    </row>
    <row r="342" spans="1:18" x14ac:dyDescent="0.25">
      <c r="A342">
        <v>6</v>
      </c>
      <c r="B342" t="str">
        <f>HYPERLINK("http://www.ncbi.nlm.nih.gov/protein/NWH98271.1","NWH98271.1")</f>
        <v>NWH98271.1</v>
      </c>
      <c r="C342">
        <v>11529</v>
      </c>
      <c r="D342" t="str">
        <f>HYPERLINK("http://www.ncbi.nlm.nih.gov/Taxonomy/Browser/wwwtax.cgi?mode=Info&amp;id=237442&amp;lvl=3&amp;lin=f&amp;keep=1&amp;srchmode=1&amp;unlock","237442")</f>
        <v>237442</v>
      </c>
      <c r="E342" t="s">
        <v>167</v>
      </c>
      <c r="F342" t="s">
        <v>167</v>
      </c>
      <c r="G342" t="str">
        <f>HYPERLINK("http://www.ncbi.nlm.nih.gov/Taxonomy/Browser/wwwtax.cgi?mode=Info&amp;id=237442&amp;lvl=3&amp;lin=f&amp;keep=1&amp;srchmode=1&amp;unlock","Tichodroma muraria")</f>
        <v>Tichodroma muraria</v>
      </c>
      <c r="H342" t="s">
        <v>206</v>
      </c>
      <c r="I342" t="str">
        <f>HYPERLINK("http://www.ncbi.nlm.nih.gov/protein/NWH98271.1","ANDR protein")</f>
        <v>ANDR protein</v>
      </c>
      <c r="J342">
        <v>788.88</v>
      </c>
      <c r="K342" t="s">
        <v>25</v>
      </c>
      <c r="L342">
        <v>157</v>
      </c>
      <c r="M342">
        <v>44.41</v>
      </c>
      <c r="N342">
        <v>41.99</v>
      </c>
      <c r="O342" t="s">
        <v>20</v>
      </c>
      <c r="P342" t="s">
        <v>965</v>
      </c>
      <c r="Q342" t="s">
        <v>20</v>
      </c>
      <c r="R342" t="str">
        <f>HYPERLINK("https://cfpub.epa.gov/ecotox/explore.cfm?ncbi=237442","Explore in ECOTOX")</f>
        <v>Explore in ECOTOX</v>
      </c>
    </row>
    <row r="343" spans="1:18" x14ac:dyDescent="0.25">
      <c r="A343">
        <v>6</v>
      </c>
      <c r="B343" t="str">
        <f>HYPERLINK("http://www.ncbi.nlm.nih.gov/protein/XP_030084849.1","XP_030084849.1")</f>
        <v>XP_030084849.1</v>
      </c>
      <c r="C343">
        <v>30512</v>
      </c>
      <c r="D343" t="str">
        <f>HYPERLINK("http://www.ncbi.nlm.nih.gov/Taxonomy/Browser/wwwtax.cgi?mode=Info&amp;id=9135&amp;lvl=3&amp;lin=f&amp;keep=1&amp;srchmode=1&amp;unlock","9135")</f>
        <v>9135</v>
      </c>
      <c r="E343" t="s">
        <v>167</v>
      </c>
      <c r="F343" t="s">
        <v>167</v>
      </c>
      <c r="G343" t="str">
        <f>HYPERLINK("http://www.ncbi.nlm.nih.gov/Taxonomy/Browser/wwwtax.cgi?mode=Info&amp;id=9135&amp;lvl=3&amp;lin=f&amp;keep=1&amp;srchmode=1&amp;unlock","Serinus canaria")</f>
        <v>Serinus canaria</v>
      </c>
      <c r="H343" t="s">
        <v>477</v>
      </c>
      <c r="I343" t="str">
        <f>HYPERLINK("http://www.ncbi.nlm.nih.gov/protein/XP_030084849.1","androgen receptor")</f>
        <v>androgen receptor</v>
      </c>
      <c r="J343">
        <v>788.88</v>
      </c>
      <c r="K343" t="s">
        <v>25</v>
      </c>
      <c r="L343">
        <v>157</v>
      </c>
      <c r="M343">
        <v>44.41</v>
      </c>
      <c r="N343">
        <v>41.99</v>
      </c>
      <c r="O343" t="s">
        <v>20</v>
      </c>
      <c r="P343" t="s">
        <v>965</v>
      </c>
      <c r="Q343" t="s">
        <v>20</v>
      </c>
      <c r="R343" t="str">
        <f>HYPERLINK("https://cfpub.epa.gov/ecotox/explore.cfm?ncbi=9135","Explore in ECOTOX")</f>
        <v>Explore in ECOTOX</v>
      </c>
    </row>
    <row r="344" spans="1:18" x14ac:dyDescent="0.25">
      <c r="A344">
        <v>6</v>
      </c>
      <c r="B344" t="str">
        <f>HYPERLINK("http://www.ncbi.nlm.nih.gov/protein/NXP25120.1","NXP25120.1")</f>
        <v>NXP25120.1</v>
      </c>
      <c r="C344">
        <v>13881</v>
      </c>
      <c r="D344" t="str">
        <f>HYPERLINK("http://www.ncbi.nlm.nih.gov/Taxonomy/Browser/wwwtax.cgi?mode=Info&amp;id=312124&amp;lvl=3&amp;lin=f&amp;keep=1&amp;srchmode=1&amp;unlock","312124")</f>
        <v>312124</v>
      </c>
      <c r="E344" t="s">
        <v>167</v>
      </c>
      <c r="F344" t="s">
        <v>167</v>
      </c>
      <c r="G344" t="str">
        <f>HYPERLINK("http://www.ncbi.nlm.nih.gov/Taxonomy/Browser/wwwtax.cgi?mode=Info&amp;id=312124&amp;lvl=3&amp;lin=f&amp;keep=1&amp;srchmode=1&amp;unlock","Scytalopus superciliaris")</f>
        <v>Scytalopus superciliaris</v>
      </c>
      <c r="H344" t="s">
        <v>418</v>
      </c>
      <c r="I344" t="str">
        <f>HYPERLINK("http://www.ncbi.nlm.nih.gov/protein/NXP25120.1","ANDR protein")</f>
        <v>ANDR protein</v>
      </c>
      <c r="J344">
        <v>788.88</v>
      </c>
      <c r="K344" t="s">
        <v>25</v>
      </c>
      <c r="L344">
        <v>157</v>
      </c>
      <c r="M344">
        <v>44.41</v>
      </c>
      <c r="N344">
        <v>41.99</v>
      </c>
      <c r="O344" t="s">
        <v>20</v>
      </c>
      <c r="P344" t="s">
        <v>965</v>
      </c>
      <c r="Q344" t="s">
        <v>20</v>
      </c>
      <c r="R344" t="str">
        <f>HYPERLINK("https://cfpub.epa.gov/ecotox/explore.cfm?ncbi=312124","Explore in ECOTOX")</f>
        <v>Explore in ECOTOX</v>
      </c>
    </row>
    <row r="345" spans="1:18" x14ac:dyDescent="0.25">
      <c r="A345">
        <v>6</v>
      </c>
      <c r="B345" t="str">
        <f>HYPERLINK("http://www.ncbi.nlm.nih.gov/protein/XP_039946290.1","XP_039946290.1")</f>
        <v>XP_039946290.1</v>
      </c>
      <c r="C345">
        <v>52023</v>
      </c>
      <c r="D345" t="str">
        <f>HYPERLINK("http://www.ncbi.nlm.nih.gov/Taxonomy/Browser/wwwtax.cgi?mode=Info&amp;id=43150&amp;lvl=3&amp;lin=f&amp;keep=1&amp;srchmode=1&amp;unlock","43150")</f>
        <v>43150</v>
      </c>
      <c r="E345" t="s">
        <v>167</v>
      </c>
      <c r="F345" t="s">
        <v>167</v>
      </c>
      <c r="G345" t="str">
        <f>HYPERLINK("http://www.ncbi.nlm.nih.gov/Taxonomy/Browser/wwwtax.cgi?mode=Info&amp;id=43150&amp;lvl=3&amp;lin=f&amp;keep=1&amp;srchmode=1&amp;unlock","Hirundo rustica")</f>
        <v>Hirundo rustica</v>
      </c>
      <c r="H345" t="s">
        <v>421</v>
      </c>
      <c r="I345" t="str">
        <f>HYPERLINK("http://www.ncbi.nlm.nih.gov/protein/XP_039946290.1","androgen receptor-like")</f>
        <v>androgen receptor-like</v>
      </c>
      <c r="J345">
        <v>788.49</v>
      </c>
      <c r="K345" t="s">
        <v>25</v>
      </c>
      <c r="L345">
        <v>157</v>
      </c>
      <c r="M345">
        <v>44.41</v>
      </c>
      <c r="N345">
        <v>41.97</v>
      </c>
      <c r="O345" t="s">
        <v>20</v>
      </c>
      <c r="P345" t="s">
        <v>965</v>
      </c>
      <c r="Q345" t="s">
        <v>20</v>
      </c>
      <c r="R345" t="str">
        <f>HYPERLINK("https://cfpub.epa.gov/ecotox/explore.cfm?ncbi=43150","Explore in ECOTOX")</f>
        <v>Explore in ECOTOX</v>
      </c>
    </row>
    <row r="346" spans="1:18" x14ac:dyDescent="0.25">
      <c r="A346">
        <v>6</v>
      </c>
      <c r="B346" t="str">
        <f>HYPERLINK("http://www.ncbi.nlm.nih.gov/protein/XP_039578559.1","XP_039578559.1")</f>
        <v>XP_039578559.1</v>
      </c>
      <c r="C346">
        <v>39374</v>
      </c>
      <c r="D346" t="str">
        <f>HYPERLINK("http://www.ncbi.nlm.nih.gov/Taxonomy/Browser/wwwtax.cgi?mode=Info&amp;id=9160&amp;lvl=3&amp;lin=f&amp;keep=1&amp;srchmode=1&amp;unlock","9160")</f>
        <v>9160</v>
      </c>
      <c r="E346" t="s">
        <v>167</v>
      </c>
      <c r="F346" t="s">
        <v>167</v>
      </c>
      <c r="G346" t="str">
        <f>HYPERLINK("http://www.ncbi.nlm.nih.gov/Taxonomy/Browser/wwwtax.cgi?mode=Info&amp;id=9160&amp;lvl=3&amp;lin=f&amp;keep=1&amp;srchmode=1&amp;unlock","Passer montanus")</f>
        <v>Passer montanus</v>
      </c>
      <c r="H346" t="s">
        <v>405</v>
      </c>
      <c r="I346" t="str">
        <f>HYPERLINK("http://www.ncbi.nlm.nih.gov/protein/XP_039578559.1","LOW QUALITY PROTEIN: androgen receptor")</f>
        <v>LOW QUALITY PROTEIN: androgen receptor</v>
      </c>
      <c r="J346">
        <v>788.49</v>
      </c>
      <c r="K346" t="s">
        <v>25</v>
      </c>
      <c r="L346">
        <v>157</v>
      </c>
      <c r="M346">
        <v>44.41</v>
      </c>
      <c r="N346">
        <v>41.97</v>
      </c>
      <c r="O346" t="s">
        <v>20</v>
      </c>
      <c r="P346" t="s">
        <v>965</v>
      </c>
      <c r="Q346" t="s">
        <v>20</v>
      </c>
      <c r="R346" t="str">
        <f>HYPERLINK("https://cfpub.epa.gov/ecotox/explore.cfm?ncbi=9160","Explore in ECOTOX")</f>
        <v>Explore in ECOTOX</v>
      </c>
    </row>
    <row r="347" spans="1:18" x14ac:dyDescent="0.25">
      <c r="A347">
        <v>6</v>
      </c>
      <c r="B347" t="str">
        <f>HYPERLINK("http://www.ncbi.nlm.nih.gov/protein/NXJ93699.1","NXJ93699.1")</f>
        <v>NXJ93699.1</v>
      </c>
      <c r="C347">
        <v>14263</v>
      </c>
      <c r="D347" t="str">
        <f>HYPERLINK("http://www.ncbi.nlm.nih.gov/Taxonomy/Browser/wwwtax.cgi?mode=Info&amp;id=103956&amp;lvl=3&amp;lin=f&amp;keep=1&amp;srchmode=1&amp;unlock","103956")</f>
        <v>103956</v>
      </c>
      <c r="E347" t="s">
        <v>167</v>
      </c>
      <c r="F347" t="s">
        <v>167</v>
      </c>
      <c r="G347" t="str">
        <f>HYPERLINK("http://www.ncbi.nlm.nih.gov/Taxonomy/Browser/wwwtax.cgi?mode=Info&amp;id=103956&amp;lvl=3&amp;lin=f&amp;keep=1&amp;srchmode=1&amp;unlock","Corythaixoides concolor")</f>
        <v>Corythaixoides concolor</v>
      </c>
      <c r="H347" t="s">
        <v>422</v>
      </c>
      <c r="I347" t="str">
        <f>HYPERLINK("http://www.ncbi.nlm.nih.gov/protein/NXJ93699.1","ANDR protein")</f>
        <v>ANDR protein</v>
      </c>
      <c r="J347">
        <v>788.1</v>
      </c>
      <c r="K347" t="s">
        <v>25</v>
      </c>
      <c r="L347">
        <v>157</v>
      </c>
      <c r="M347">
        <v>44.41</v>
      </c>
      <c r="N347">
        <v>41.95</v>
      </c>
      <c r="O347" t="s">
        <v>20</v>
      </c>
      <c r="P347" t="s">
        <v>965</v>
      </c>
      <c r="Q347" t="s">
        <v>20</v>
      </c>
      <c r="R347" t="str">
        <f>HYPERLINK("https://cfpub.epa.gov/ecotox/explore.cfm?ncbi=103956","Explore in ECOTOX")</f>
        <v>Explore in ECOTOX</v>
      </c>
    </row>
    <row r="348" spans="1:18" x14ac:dyDescent="0.25">
      <c r="A348">
        <v>6</v>
      </c>
      <c r="B348" t="str">
        <f>HYPERLINK("http://www.ncbi.nlm.nih.gov/protein/KFQ03285.1","KFQ03285.1")</f>
        <v>KFQ03285.1</v>
      </c>
      <c r="C348">
        <v>28808</v>
      </c>
      <c r="D348" t="str">
        <f>HYPERLINK("http://www.ncbi.nlm.nih.gov/Taxonomy/Browser/wwwtax.cgi?mode=Info&amp;id=188344&amp;lvl=3&amp;lin=f&amp;keep=1&amp;srchmode=1&amp;unlock","188344")</f>
        <v>188344</v>
      </c>
      <c r="E348" t="s">
        <v>167</v>
      </c>
      <c r="F348" t="s">
        <v>167</v>
      </c>
      <c r="G348" t="str">
        <f>HYPERLINK("http://www.ncbi.nlm.nih.gov/Taxonomy/Browser/wwwtax.cgi?mode=Info&amp;id=188344&amp;lvl=3&amp;lin=f&amp;keep=1&amp;srchmode=1&amp;unlock","Leptosomus discolor")</f>
        <v>Leptosomus discolor</v>
      </c>
      <c r="H348" t="s">
        <v>174</v>
      </c>
      <c r="I348" t="str">
        <f>HYPERLINK("http://www.ncbi.nlm.nih.gov/protein/KFQ03285.1","Androgen receptor, partial")</f>
        <v>Androgen receptor, partial</v>
      </c>
      <c r="J348">
        <v>788.1</v>
      </c>
      <c r="K348" t="s">
        <v>25</v>
      </c>
      <c r="L348">
        <v>157</v>
      </c>
      <c r="M348">
        <v>44.41</v>
      </c>
      <c r="N348">
        <v>41.95</v>
      </c>
      <c r="O348" t="s">
        <v>20</v>
      </c>
      <c r="P348" t="s">
        <v>965</v>
      </c>
      <c r="Q348" t="s">
        <v>20</v>
      </c>
      <c r="R348" t="str">
        <f>HYPERLINK("https://cfpub.epa.gov/ecotox/explore.cfm?ncbi=188344","Explore in ECOTOX")</f>
        <v>Explore in ECOTOX</v>
      </c>
    </row>
    <row r="349" spans="1:18" x14ac:dyDescent="0.25">
      <c r="A349">
        <v>6</v>
      </c>
      <c r="B349" t="str">
        <f>HYPERLINK("http://www.ncbi.nlm.nih.gov/protein/NXQ07008.1","NXQ07008.1")</f>
        <v>NXQ07008.1</v>
      </c>
      <c r="C349">
        <v>13115</v>
      </c>
      <c r="D349" t="str">
        <f>HYPERLINK("http://www.ncbi.nlm.nih.gov/Taxonomy/Browser/wwwtax.cgi?mode=Info&amp;id=187451&amp;lvl=3&amp;lin=f&amp;keep=1&amp;srchmode=1&amp;unlock","187451")</f>
        <v>187451</v>
      </c>
      <c r="E349" t="s">
        <v>167</v>
      </c>
      <c r="F349" t="s">
        <v>167</v>
      </c>
      <c r="G349" t="str">
        <f>HYPERLINK("http://www.ncbi.nlm.nih.gov/Taxonomy/Browser/wwwtax.cgi?mode=Info&amp;id=187451&amp;lvl=3&amp;lin=f&amp;keep=1&amp;srchmode=1&amp;unlock","Vidua macroura")</f>
        <v>Vidua macroura</v>
      </c>
      <c r="H349" t="s">
        <v>206</v>
      </c>
      <c r="I349" t="str">
        <f>HYPERLINK("http://www.ncbi.nlm.nih.gov/protein/NXQ07008.1","ANDR protein")</f>
        <v>ANDR protein</v>
      </c>
      <c r="J349">
        <v>787.72</v>
      </c>
      <c r="K349" t="s">
        <v>25</v>
      </c>
      <c r="L349">
        <v>157</v>
      </c>
      <c r="M349">
        <v>44.41</v>
      </c>
      <c r="N349">
        <v>41.93</v>
      </c>
      <c r="O349" t="s">
        <v>20</v>
      </c>
      <c r="P349" t="s">
        <v>965</v>
      </c>
      <c r="Q349" t="s">
        <v>20</v>
      </c>
      <c r="R349" t="str">
        <f>HYPERLINK("https://cfpub.epa.gov/ecotox/explore.cfm?ncbi=187451","Explore in ECOTOX")</f>
        <v>Explore in ECOTOX</v>
      </c>
    </row>
    <row r="350" spans="1:18" x14ac:dyDescent="0.25">
      <c r="A350">
        <v>6</v>
      </c>
      <c r="B350" t="str">
        <f>HYPERLINK("http://www.ncbi.nlm.nih.gov/protein/NXA05249.1","NXA05249.1")</f>
        <v>NXA05249.1</v>
      </c>
      <c r="C350">
        <v>13903</v>
      </c>
      <c r="D350" t="str">
        <f>HYPERLINK("http://www.ncbi.nlm.nih.gov/Taxonomy/Browser/wwwtax.cgi?mode=Info&amp;id=239371&amp;lvl=3&amp;lin=f&amp;keep=1&amp;srchmode=1&amp;unlock","239371")</f>
        <v>239371</v>
      </c>
      <c r="E350" t="s">
        <v>167</v>
      </c>
      <c r="F350" t="s">
        <v>167</v>
      </c>
      <c r="G350" t="str">
        <f>HYPERLINK("http://www.ncbi.nlm.nih.gov/Taxonomy/Browser/wwwtax.cgi?mode=Info&amp;id=239371&amp;lvl=3&amp;lin=f&amp;keep=1&amp;srchmode=1&amp;unlock","Sapayoa aenigma")</f>
        <v>Sapayoa aenigma</v>
      </c>
      <c r="H350" t="s">
        <v>360</v>
      </c>
      <c r="I350" t="str">
        <f>HYPERLINK("http://www.ncbi.nlm.nih.gov/protein/NXA05249.1","ANDR protein")</f>
        <v>ANDR protein</v>
      </c>
      <c r="J350">
        <v>787.72</v>
      </c>
      <c r="K350" t="s">
        <v>25</v>
      </c>
      <c r="L350">
        <v>157</v>
      </c>
      <c r="M350">
        <v>44.41</v>
      </c>
      <c r="N350">
        <v>41.93</v>
      </c>
      <c r="O350" t="s">
        <v>20</v>
      </c>
      <c r="P350" t="s">
        <v>965</v>
      </c>
      <c r="Q350" t="s">
        <v>20</v>
      </c>
      <c r="R350" t="str">
        <f>HYPERLINK("https://cfpub.epa.gov/ecotox/explore.cfm?ncbi=239371","Explore in ECOTOX")</f>
        <v>Explore in ECOTOX</v>
      </c>
    </row>
    <row r="351" spans="1:18" x14ac:dyDescent="0.25">
      <c r="A351">
        <v>6</v>
      </c>
      <c r="B351" t="str">
        <f>HYPERLINK("http://www.ncbi.nlm.nih.gov/protein/NXQ65688.1","NXQ65688.1")</f>
        <v>NXQ65688.1</v>
      </c>
      <c r="C351">
        <v>13681</v>
      </c>
      <c r="D351" t="str">
        <f>HYPERLINK("http://www.ncbi.nlm.nih.gov/Taxonomy/Browser/wwwtax.cgi?mode=Info&amp;id=64278&amp;lvl=3&amp;lin=f&amp;keep=1&amp;srchmode=1&amp;unlock","64278")</f>
        <v>64278</v>
      </c>
      <c r="E351" t="s">
        <v>167</v>
      </c>
      <c r="F351" t="s">
        <v>167</v>
      </c>
      <c r="G351" t="str">
        <f>HYPERLINK("http://www.ncbi.nlm.nih.gov/Taxonomy/Browser/wwwtax.cgi?mode=Info&amp;id=64278&amp;lvl=3&amp;lin=f&amp;keep=1&amp;srchmode=1&amp;unlock","Quiscalus mexicanus")</f>
        <v>Quiscalus mexicanus</v>
      </c>
      <c r="H351" t="s">
        <v>428</v>
      </c>
      <c r="I351" t="str">
        <f>HYPERLINK("http://www.ncbi.nlm.nih.gov/protein/NXQ65688.1","ANDR protein")</f>
        <v>ANDR protein</v>
      </c>
      <c r="J351">
        <v>787.33</v>
      </c>
      <c r="K351" t="s">
        <v>25</v>
      </c>
      <c r="L351">
        <v>157</v>
      </c>
      <c r="M351">
        <v>44.41</v>
      </c>
      <c r="N351">
        <v>41.91</v>
      </c>
      <c r="O351" t="s">
        <v>20</v>
      </c>
      <c r="P351" t="s">
        <v>965</v>
      </c>
      <c r="Q351" t="s">
        <v>20</v>
      </c>
      <c r="R351" t="str">
        <f>HYPERLINK("https://cfpub.epa.gov/ecotox/explore.cfm?ncbi=64278","Explore in ECOTOX")</f>
        <v>Explore in ECOTOX</v>
      </c>
    </row>
    <row r="352" spans="1:18" x14ac:dyDescent="0.25">
      <c r="A352">
        <v>6</v>
      </c>
      <c r="B352" t="str">
        <f>HYPERLINK("http://www.ncbi.nlm.nih.gov/protein/PKK20063.1","PKK20063.1")</f>
        <v>PKK20063.1</v>
      </c>
      <c r="C352">
        <v>50935</v>
      </c>
      <c r="D352" t="str">
        <f>HYPERLINK("http://www.ncbi.nlm.nih.gov/Taxonomy/Browser/wwwtax.cgi?mode=Info&amp;id=8932&amp;lvl=3&amp;lin=f&amp;keep=1&amp;srchmode=1&amp;unlock","8932")</f>
        <v>8932</v>
      </c>
      <c r="E352" t="s">
        <v>167</v>
      </c>
      <c r="F352" t="s">
        <v>167</v>
      </c>
      <c r="G352" t="str">
        <f>HYPERLINK("http://www.ncbi.nlm.nih.gov/Taxonomy/Browser/wwwtax.cgi?mode=Info&amp;id=8932&amp;lvl=3&amp;lin=f&amp;keep=1&amp;srchmode=1&amp;unlock","Columba livia")</f>
        <v>Columba livia</v>
      </c>
      <c r="H352" t="s">
        <v>313</v>
      </c>
      <c r="I352" t="str">
        <f>HYPERLINK("http://www.ncbi.nlm.nih.gov/protein/PKK20063.1","androgen receptor")</f>
        <v>androgen receptor</v>
      </c>
      <c r="J352">
        <v>787.33</v>
      </c>
      <c r="K352" t="s">
        <v>25</v>
      </c>
      <c r="L352">
        <v>157</v>
      </c>
      <c r="M352">
        <v>44.41</v>
      </c>
      <c r="N352">
        <v>41.91</v>
      </c>
      <c r="O352" t="s">
        <v>20</v>
      </c>
      <c r="P352" t="s">
        <v>965</v>
      </c>
      <c r="Q352" t="s">
        <v>20</v>
      </c>
      <c r="R352" t="str">
        <f>HYPERLINK("https://cfpub.epa.gov/ecotox/explore.cfm?ncbi=8932","Explore in ECOTOX")</f>
        <v>Explore in ECOTOX</v>
      </c>
    </row>
    <row r="353" spans="1:18" x14ac:dyDescent="0.25">
      <c r="A353">
        <v>6</v>
      </c>
      <c r="B353" t="str">
        <f>HYPERLINK("http://www.ncbi.nlm.nih.gov/protein/NXC43881.1","NXC43881.1")</f>
        <v>NXC43881.1</v>
      </c>
      <c r="C353">
        <v>13966</v>
      </c>
      <c r="D353" t="str">
        <f>HYPERLINK("http://www.ncbi.nlm.nih.gov/Taxonomy/Browser/wwwtax.cgi?mode=Info&amp;id=1118817&amp;lvl=3&amp;lin=f&amp;keep=1&amp;srchmode=1&amp;unlock","1118817")</f>
        <v>1118817</v>
      </c>
      <c r="E353" t="s">
        <v>167</v>
      </c>
      <c r="F353" t="s">
        <v>167</v>
      </c>
      <c r="G353" t="str">
        <f>HYPERLINK("http://www.ncbi.nlm.nih.gov/Taxonomy/Browser/wwwtax.cgi?mode=Info&amp;id=1118817&amp;lvl=3&amp;lin=f&amp;keep=1&amp;srchmode=1&amp;unlock","Penelope pileata")</f>
        <v>Penelope pileata</v>
      </c>
      <c r="H353" t="s">
        <v>267</v>
      </c>
      <c r="I353" t="str">
        <f>HYPERLINK("http://www.ncbi.nlm.nih.gov/protein/NXC43881.1","ANDR protein")</f>
        <v>ANDR protein</v>
      </c>
      <c r="J353">
        <v>786.95</v>
      </c>
      <c r="K353" t="s">
        <v>25</v>
      </c>
      <c r="L353">
        <v>157</v>
      </c>
      <c r="M353">
        <v>44.41</v>
      </c>
      <c r="N353">
        <v>41.89</v>
      </c>
      <c r="O353" t="s">
        <v>20</v>
      </c>
      <c r="P353" t="s">
        <v>965</v>
      </c>
      <c r="Q353" t="s">
        <v>20</v>
      </c>
      <c r="R353" t="str">
        <f>HYPERLINK("https://cfpub.epa.gov/ecotox/explore.cfm?ncbi=1118817","Explore in ECOTOX")</f>
        <v>Explore in ECOTOX</v>
      </c>
    </row>
    <row r="354" spans="1:18" x14ac:dyDescent="0.25">
      <c r="A354">
        <v>6</v>
      </c>
      <c r="B354" t="str">
        <f>HYPERLINK("http://www.ncbi.nlm.nih.gov/protein/NXL35044.1","NXL35044.1")</f>
        <v>NXL35044.1</v>
      </c>
      <c r="C354">
        <v>14261</v>
      </c>
      <c r="D354" t="str">
        <f>HYPERLINK("http://www.ncbi.nlm.nih.gov/Taxonomy/Browser/wwwtax.cgi?mode=Info&amp;id=78217&amp;lvl=3&amp;lin=f&amp;keep=1&amp;srchmode=1&amp;unlock","78217")</f>
        <v>78217</v>
      </c>
      <c r="E354" t="s">
        <v>167</v>
      </c>
      <c r="F354" t="s">
        <v>167</v>
      </c>
      <c r="G354" t="str">
        <f>HYPERLINK("http://www.ncbi.nlm.nih.gov/Taxonomy/Browser/wwwtax.cgi?mode=Info&amp;id=78217&amp;lvl=3&amp;lin=f&amp;keep=1&amp;srchmode=1&amp;unlock","Glaucidium brasilianum")</f>
        <v>Glaucidium brasilianum</v>
      </c>
      <c r="H354" t="s">
        <v>253</v>
      </c>
      <c r="I354" t="str">
        <f>HYPERLINK("http://www.ncbi.nlm.nih.gov/protein/NXL35044.1","ANDR protein")</f>
        <v>ANDR protein</v>
      </c>
      <c r="J354">
        <v>786.56</v>
      </c>
      <c r="K354" t="s">
        <v>25</v>
      </c>
      <c r="L354">
        <v>157</v>
      </c>
      <c r="M354">
        <v>44.41</v>
      </c>
      <c r="N354">
        <v>41.87</v>
      </c>
      <c r="O354" t="s">
        <v>20</v>
      </c>
      <c r="P354" t="s">
        <v>965</v>
      </c>
      <c r="Q354" t="s">
        <v>20</v>
      </c>
      <c r="R354" t="str">
        <f>HYPERLINK("https://cfpub.epa.gov/ecotox/explore.cfm?ncbi=78217","Explore in ECOTOX")</f>
        <v>Explore in ECOTOX</v>
      </c>
    </row>
    <row r="355" spans="1:18" x14ac:dyDescent="0.25">
      <c r="A355">
        <v>6</v>
      </c>
      <c r="B355" t="str">
        <f>HYPERLINK("http://www.ncbi.nlm.nih.gov/protein/NXD70106.1","NXD70106.1")</f>
        <v>NXD70106.1</v>
      </c>
      <c r="C355">
        <v>13476</v>
      </c>
      <c r="D355" t="str">
        <f>HYPERLINK("http://www.ncbi.nlm.nih.gov/Taxonomy/Browser/wwwtax.cgi?mode=Info&amp;id=176039&amp;lvl=3&amp;lin=f&amp;keep=1&amp;srchmode=1&amp;unlock","176039")</f>
        <v>176039</v>
      </c>
      <c r="E355" t="s">
        <v>167</v>
      </c>
      <c r="F355" t="s">
        <v>167</v>
      </c>
      <c r="G355" t="str">
        <f>HYPERLINK("http://www.ncbi.nlm.nih.gov/Taxonomy/Browser/wwwtax.cgi?mode=Info&amp;id=176039&amp;lvl=3&amp;lin=f&amp;keep=1&amp;srchmode=1&amp;unlock","Eolophus roseicapilla")</f>
        <v>Eolophus roseicapilla</v>
      </c>
      <c r="H355" t="s">
        <v>585</v>
      </c>
      <c r="I355" t="str">
        <f>HYPERLINK("http://www.ncbi.nlm.nih.gov/protein/NXD70106.1","ANDR protein")</f>
        <v>ANDR protein</v>
      </c>
      <c r="J355">
        <v>786.56</v>
      </c>
      <c r="K355" t="s">
        <v>25</v>
      </c>
      <c r="L355">
        <v>157</v>
      </c>
      <c r="M355">
        <v>44.41</v>
      </c>
      <c r="N355">
        <v>41.87</v>
      </c>
      <c r="O355" t="s">
        <v>20</v>
      </c>
      <c r="P355" t="s">
        <v>965</v>
      </c>
      <c r="Q355" t="s">
        <v>20</v>
      </c>
      <c r="R355" t="str">
        <f>HYPERLINK("https://cfpub.epa.gov/ecotox/explore.cfm?ncbi=176039","Explore in ECOTOX")</f>
        <v>Explore in ECOTOX</v>
      </c>
    </row>
    <row r="356" spans="1:18" x14ac:dyDescent="0.25">
      <c r="A356">
        <v>6</v>
      </c>
      <c r="B356" t="str">
        <f>HYPERLINK("http://www.ncbi.nlm.nih.gov/protein/NWR19752.1","NWR19752.1")</f>
        <v>NWR19752.1</v>
      </c>
      <c r="C356">
        <v>13259</v>
      </c>
      <c r="D356" t="str">
        <f>HYPERLINK("http://www.ncbi.nlm.nih.gov/Taxonomy/Browser/wwwtax.cgi?mode=Info&amp;id=337179&amp;lvl=3&amp;lin=f&amp;keep=1&amp;srchmode=1&amp;unlock","337179")</f>
        <v>337179</v>
      </c>
      <c r="E356" t="s">
        <v>167</v>
      </c>
      <c r="F356" t="s">
        <v>167</v>
      </c>
      <c r="G356" t="str">
        <f>HYPERLINK("http://www.ncbi.nlm.nih.gov/Taxonomy/Browser/wwwtax.cgi?mode=Info&amp;id=337179&amp;lvl=3&amp;lin=f&amp;keep=1&amp;srchmode=1&amp;unlock","Emberiza fucata")</f>
        <v>Emberiza fucata</v>
      </c>
      <c r="H356" t="s">
        <v>429</v>
      </c>
      <c r="I356" t="str">
        <f>HYPERLINK("http://www.ncbi.nlm.nih.gov/protein/NWR19752.1","ANDR protein")</f>
        <v>ANDR protein</v>
      </c>
      <c r="J356">
        <v>786.56</v>
      </c>
      <c r="K356" t="s">
        <v>25</v>
      </c>
      <c r="L356">
        <v>157</v>
      </c>
      <c r="M356">
        <v>44.41</v>
      </c>
      <c r="N356">
        <v>41.87</v>
      </c>
      <c r="O356" t="s">
        <v>20</v>
      </c>
      <c r="P356" t="s">
        <v>965</v>
      </c>
      <c r="Q356" t="s">
        <v>20</v>
      </c>
      <c r="R356" t="str">
        <f>HYPERLINK("https://cfpub.epa.gov/ecotox/explore.cfm?ncbi=337179","Explore in ECOTOX")</f>
        <v>Explore in ECOTOX</v>
      </c>
    </row>
    <row r="357" spans="1:18" x14ac:dyDescent="0.25">
      <c r="A357">
        <v>6</v>
      </c>
      <c r="B357" t="str">
        <f>HYPERLINK("http://www.ncbi.nlm.nih.gov/protein/NXH04935.1","NXH04935.1")</f>
        <v>NXH04935.1</v>
      </c>
      <c r="C357">
        <v>14012</v>
      </c>
      <c r="D357" t="str">
        <f>HYPERLINK("http://www.ncbi.nlm.nih.gov/Taxonomy/Browser/wwwtax.cgi?mode=Info&amp;id=96539&amp;lvl=3&amp;lin=f&amp;keep=1&amp;srchmode=1&amp;unlock","96539")</f>
        <v>96539</v>
      </c>
      <c r="E357" t="s">
        <v>167</v>
      </c>
      <c r="F357" t="s">
        <v>167</v>
      </c>
      <c r="G357" t="str">
        <f>HYPERLINK("http://www.ncbi.nlm.nih.gov/Taxonomy/Browser/wwwtax.cgi?mode=Info&amp;id=96539&amp;lvl=3&amp;lin=f&amp;keep=1&amp;srchmode=1&amp;unlock","Loxia leucoptera")</f>
        <v>Loxia leucoptera</v>
      </c>
      <c r="H357" t="s">
        <v>456</v>
      </c>
      <c r="I357" t="str">
        <f>HYPERLINK("http://www.ncbi.nlm.nih.gov/protein/NXH04935.1","ANDR protein")</f>
        <v>ANDR protein</v>
      </c>
      <c r="J357">
        <v>786.56</v>
      </c>
      <c r="K357" t="s">
        <v>25</v>
      </c>
      <c r="L357">
        <v>157</v>
      </c>
      <c r="M357">
        <v>44.41</v>
      </c>
      <c r="N357">
        <v>41.87</v>
      </c>
      <c r="O357" t="s">
        <v>20</v>
      </c>
      <c r="P357" t="s">
        <v>965</v>
      </c>
      <c r="Q357" t="s">
        <v>20</v>
      </c>
      <c r="R357" t="str">
        <f>HYPERLINK("https://cfpub.epa.gov/ecotox/explore.cfm?ncbi=96539","Explore in ECOTOX")</f>
        <v>Explore in ECOTOX</v>
      </c>
    </row>
    <row r="358" spans="1:18" x14ac:dyDescent="0.25">
      <c r="A358">
        <v>6</v>
      </c>
      <c r="B358" t="str">
        <f>HYPERLINK("http://www.ncbi.nlm.nih.gov/protein/NXL45107.1","NXL45107.1")</f>
        <v>NXL45107.1</v>
      </c>
      <c r="C358">
        <v>14232</v>
      </c>
      <c r="D358" t="str">
        <f>HYPERLINK("http://www.ncbi.nlm.nih.gov/Taxonomy/Browser/wwwtax.cgi?mode=Info&amp;id=9252&amp;lvl=3&amp;lin=f&amp;keep=1&amp;srchmode=1&amp;unlock","9252")</f>
        <v>9252</v>
      </c>
      <c r="E358" t="s">
        <v>167</v>
      </c>
      <c r="F358" t="s">
        <v>167</v>
      </c>
      <c r="G358" t="str">
        <f>HYPERLINK("http://www.ncbi.nlm.nih.gov/Taxonomy/Browser/wwwtax.cgi?mode=Info&amp;id=9252&amp;lvl=3&amp;lin=f&amp;keep=1&amp;srchmode=1&amp;unlock","Podilymbus podiceps")</f>
        <v>Podilymbus podiceps</v>
      </c>
      <c r="H358" t="s">
        <v>604</v>
      </c>
      <c r="I358" t="str">
        <f>HYPERLINK("http://www.ncbi.nlm.nih.gov/protein/NXL45107.1","ANDR protein")</f>
        <v>ANDR protein</v>
      </c>
      <c r="J358">
        <v>786.56</v>
      </c>
      <c r="K358" t="s">
        <v>25</v>
      </c>
      <c r="L358">
        <v>157</v>
      </c>
      <c r="M358">
        <v>44.41</v>
      </c>
      <c r="N358">
        <v>41.87</v>
      </c>
      <c r="O358" t="s">
        <v>20</v>
      </c>
      <c r="P358" t="s">
        <v>965</v>
      </c>
      <c r="Q358" t="s">
        <v>20</v>
      </c>
      <c r="R358" t="str">
        <f>HYPERLINK("https://cfpub.epa.gov/ecotox/explore.cfm?ncbi=9252","Explore in ECOTOX")</f>
        <v>Explore in ECOTOX</v>
      </c>
    </row>
    <row r="359" spans="1:18" x14ac:dyDescent="0.25">
      <c r="A359">
        <v>6</v>
      </c>
      <c r="B359" t="str">
        <f>HYPERLINK("http://www.ncbi.nlm.nih.gov/protein/XP_033801389.1","XP_033801389.1")</f>
        <v>XP_033801389.1</v>
      </c>
      <c r="C359">
        <v>50058</v>
      </c>
      <c r="D359" t="str">
        <f>HYPERLINK("http://www.ncbi.nlm.nih.gov/Taxonomy/Browser/wwwtax.cgi?mode=Info&amp;id=260995&amp;lvl=3&amp;lin=f&amp;keep=1&amp;srchmode=1&amp;unlock","260995")</f>
        <v>260995</v>
      </c>
      <c r="E359" t="s">
        <v>134</v>
      </c>
      <c r="F359" t="s">
        <v>134</v>
      </c>
      <c r="G359" t="str">
        <f>HYPERLINK("http://www.ncbi.nlm.nih.gov/Taxonomy/Browser/wwwtax.cgi?mode=Info&amp;id=260995&amp;lvl=3&amp;lin=f&amp;keep=1&amp;srchmode=1&amp;unlock","Geotrypetes seraphini")</f>
        <v>Geotrypetes seraphini</v>
      </c>
      <c r="H359" t="s">
        <v>649</v>
      </c>
      <c r="I359" t="str">
        <f>HYPERLINK("http://www.ncbi.nlm.nih.gov/protein/XP_033801389.1","androgen receptor")</f>
        <v>androgen receptor</v>
      </c>
      <c r="J359">
        <v>785.41</v>
      </c>
      <c r="K359" t="s">
        <v>25</v>
      </c>
      <c r="L359">
        <v>157</v>
      </c>
      <c r="M359">
        <v>44.41</v>
      </c>
      <c r="N359">
        <v>41.81</v>
      </c>
      <c r="O359" t="s">
        <v>20</v>
      </c>
      <c r="P359" t="s">
        <v>965</v>
      </c>
      <c r="Q359" t="s">
        <v>20</v>
      </c>
      <c r="R359" t="str">
        <f>HYPERLINK("https://cfpub.epa.gov/ecotox/explore.cfm?ncbi=260995","Explore in ECOTOX")</f>
        <v>Explore in ECOTOX</v>
      </c>
    </row>
    <row r="360" spans="1:18" x14ac:dyDescent="0.25">
      <c r="A360">
        <v>6</v>
      </c>
      <c r="B360" t="str">
        <f>HYPERLINK("http://www.ncbi.nlm.nih.gov/protein/XP_025910449.1","XP_025910449.1")</f>
        <v>XP_025910449.1</v>
      </c>
      <c r="C360">
        <v>21562</v>
      </c>
      <c r="D360" t="str">
        <f>HYPERLINK("http://www.ncbi.nlm.nih.gov/Taxonomy/Browser/wwwtax.cgi?mode=Info&amp;id=30464&amp;lvl=3&amp;lin=f&amp;keep=1&amp;srchmode=1&amp;unlock","30464")</f>
        <v>30464</v>
      </c>
      <c r="E360" t="s">
        <v>167</v>
      </c>
      <c r="F360" t="s">
        <v>167</v>
      </c>
      <c r="G360" t="str">
        <f>HYPERLINK("http://www.ncbi.nlm.nih.gov/Taxonomy/Browser/wwwtax.cgi?mode=Info&amp;id=30464&amp;lvl=3&amp;lin=f&amp;keep=1&amp;srchmode=1&amp;unlock","Nothoprocta perdicaria")</f>
        <v>Nothoprocta perdicaria</v>
      </c>
      <c r="H360" t="s">
        <v>196</v>
      </c>
      <c r="I360" t="str">
        <f>HYPERLINK("http://www.ncbi.nlm.nih.gov/protein/XP_025910449.1","androgen receptor isoform X2")</f>
        <v>androgen receptor isoform X2</v>
      </c>
      <c r="J360">
        <v>784.64</v>
      </c>
      <c r="K360" t="s">
        <v>25</v>
      </c>
      <c r="L360">
        <v>157</v>
      </c>
      <c r="M360">
        <v>44.41</v>
      </c>
      <c r="N360">
        <v>41.77</v>
      </c>
      <c r="O360" t="s">
        <v>20</v>
      </c>
      <c r="P360" t="s">
        <v>965</v>
      </c>
      <c r="Q360" t="s">
        <v>20</v>
      </c>
      <c r="R360" t="str">
        <f>HYPERLINK("https://cfpub.epa.gov/ecotox/explore.cfm?ncbi=30464","Explore in ECOTOX")</f>
        <v>Explore in ECOTOX</v>
      </c>
    </row>
    <row r="361" spans="1:18" x14ac:dyDescent="0.25">
      <c r="A361">
        <v>6</v>
      </c>
      <c r="B361" t="str">
        <f>HYPERLINK("http://www.ncbi.nlm.nih.gov/protein/NWI87165.1","NWI87165.1")</f>
        <v>NWI87165.1</v>
      </c>
      <c r="C361">
        <v>13920</v>
      </c>
      <c r="D361" t="str">
        <f>HYPERLINK("http://www.ncbi.nlm.nih.gov/Taxonomy/Browser/wwwtax.cgi?mode=Info&amp;id=9163&amp;lvl=3&amp;lin=f&amp;keep=1&amp;srchmode=1&amp;unlock","9163")</f>
        <v>9163</v>
      </c>
      <c r="E361" t="s">
        <v>167</v>
      </c>
      <c r="F361" t="s">
        <v>167</v>
      </c>
      <c r="G361" t="str">
        <f>HYPERLINK("http://www.ncbi.nlm.nih.gov/Taxonomy/Browser/wwwtax.cgi?mode=Info&amp;id=9163&amp;lvl=3&amp;lin=f&amp;keep=1&amp;srchmode=1&amp;unlock","Pitta sordida")</f>
        <v>Pitta sordida</v>
      </c>
      <c r="H361" t="s">
        <v>452</v>
      </c>
      <c r="I361" t="str">
        <f>HYPERLINK("http://www.ncbi.nlm.nih.gov/protein/NWI87165.1","ANDR protein")</f>
        <v>ANDR protein</v>
      </c>
      <c r="J361">
        <v>782.71</v>
      </c>
      <c r="K361" t="s">
        <v>25</v>
      </c>
      <c r="L361">
        <v>157</v>
      </c>
      <c r="M361">
        <v>44.41</v>
      </c>
      <c r="N361">
        <v>41.66</v>
      </c>
      <c r="O361" t="s">
        <v>20</v>
      </c>
      <c r="P361" t="s">
        <v>965</v>
      </c>
      <c r="Q361" t="s">
        <v>20</v>
      </c>
      <c r="R361" t="str">
        <f>HYPERLINK("https://cfpub.epa.gov/ecotox/explore.cfm?ncbi=9163","Explore in ECOTOX")</f>
        <v>Explore in ECOTOX</v>
      </c>
    </row>
    <row r="362" spans="1:18" x14ac:dyDescent="0.25">
      <c r="A362">
        <v>6</v>
      </c>
      <c r="B362" t="str">
        <f>HYPERLINK("http://www.ncbi.nlm.nih.gov/protein/NWT34258.1","NWT34258.1")</f>
        <v>NWT34258.1</v>
      </c>
      <c r="C362">
        <v>14099</v>
      </c>
      <c r="D362" t="str">
        <f>HYPERLINK("http://www.ncbi.nlm.nih.gov/Taxonomy/Browser/wwwtax.cgi?mode=Info&amp;id=98964&amp;lvl=3&amp;lin=f&amp;keep=1&amp;srchmode=1&amp;unlock","98964")</f>
        <v>98964</v>
      </c>
      <c r="E362" t="s">
        <v>167</v>
      </c>
      <c r="F362" t="s">
        <v>167</v>
      </c>
      <c r="G362" t="str">
        <f>HYPERLINK("http://www.ncbi.nlm.nih.gov/Taxonomy/Browser/wwwtax.cgi?mode=Info&amp;id=98964&amp;lvl=3&amp;lin=f&amp;keep=1&amp;srchmode=1&amp;unlock","Cardinalis cardinalis")</f>
        <v>Cardinalis cardinalis</v>
      </c>
      <c r="H362" t="s">
        <v>425</v>
      </c>
      <c r="I362" t="str">
        <f>HYPERLINK("http://www.ncbi.nlm.nih.gov/protein/NWT34258.1","ANDR protein")</f>
        <v>ANDR protein</v>
      </c>
      <c r="J362">
        <v>781.94</v>
      </c>
      <c r="K362" t="s">
        <v>25</v>
      </c>
      <c r="L362">
        <v>157</v>
      </c>
      <c r="M362">
        <v>44.41</v>
      </c>
      <c r="N362">
        <v>41.62</v>
      </c>
      <c r="O362" t="s">
        <v>20</v>
      </c>
      <c r="P362" t="s">
        <v>965</v>
      </c>
      <c r="Q362" t="s">
        <v>20</v>
      </c>
      <c r="R362" t="str">
        <f>HYPERLINK("https://cfpub.epa.gov/ecotox/explore.cfm?ncbi=98964","Explore in ECOTOX")</f>
        <v>Explore in ECOTOX</v>
      </c>
    </row>
    <row r="363" spans="1:18" x14ac:dyDescent="0.25">
      <c r="A363">
        <v>6</v>
      </c>
      <c r="B363" t="str">
        <f>HYPERLINK("http://www.ncbi.nlm.nih.gov/protein/XP_037264418.1","XP_037264418.1")</f>
        <v>XP_037264418.1</v>
      </c>
      <c r="C363">
        <v>41450</v>
      </c>
      <c r="D363" t="str">
        <f>HYPERLINK("http://www.ncbi.nlm.nih.gov/Taxonomy/Browser/wwwtax.cgi?mode=Info&amp;id=120794&amp;lvl=3&amp;lin=f&amp;keep=1&amp;srchmode=1&amp;unlock","120794")</f>
        <v>120794</v>
      </c>
      <c r="E363" t="s">
        <v>167</v>
      </c>
      <c r="F363" t="s">
        <v>167</v>
      </c>
      <c r="G363" t="str">
        <f>HYPERLINK("http://www.ncbi.nlm.nih.gov/Taxonomy/Browser/wwwtax.cgi?mode=Info&amp;id=120794&amp;lvl=3&amp;lin=f&amp;keep=1&amp;srchmode=1&amp;unlock","Falco rusticolus")</f>
        <v>Falco rusticolus</v>
      </c>
      <c r="H363" t="s">
        <v>437</v>
      </c>
      <c r="I363" t="str">
        <f>HYPERLINK("http://www.ncbi.nlm.nih.gov/protein/XP_037264418.1","androgen receptor")</f>
        <v>androgen receptor</v>
      </c>
      <c r="J363">
        <v>781.56</v>
      </c>
      <c r="K363" t="s">
        <v>25</v>
      </c>
      <c r="L363">
        <v>157</v>
      </c>
      <c r="M363">
        <v>44.41</v>
      </c>
      <c r="N363">
        <v>41.6</v>
      </c>
      <c r="O363" t="s">
        <v>20</v>
      </c>
      <c r="P363" t="s">
        <v>965</v>
      </c>
      <c r="Q363" t="s">
        <v>20</v>
      </c>
      <c r="R363" t="str">
        <f>HYPERLINK("https://cfpub.epa.gov/ecotox/explore.cfm?ncbi=120794","Explore in ECOTOX")</f>
        <v>Explore in ECOTOX</v>
      </c>
    </row>
    <row r="364" spans="1:18" x14ac:dyDescent="0.25">
      <c r="A364">
        <v>6</v>
      </c>
      <c r="B364" t="str">
        <f>HYPERLINK("http://www.ncbi.nlm.nih.gov/protein/NWH18235.1","NWH18235.1")</f>
        <v>NWH18235.1</v>
      </c>
      <c r="C364">
        <v>13830</v>
      </c>
      <c r="D364" t="str">
        <f>HYPERLINK("http://www.ncbi.nlm.nih.gov/Taxonomy/Browser/wwwtax.cgi?mode=Info&amp;id=9117&amp;lvl=3&amp;lin=f&amp;keep=1&amp;srchmode=1&amp;unlock","9117")</f>
        <v>9117</v>
      </c>
      <c r="E364" t="s">
        <v>167</v>
      </c>
      <c r="F364" t="s">
        <v>167</v>
      </c>
      <c r="G364" t="str">
        <f>HYPERLINK("http://www.ncbi.nlm.nih.gov/Taxonomy/Browser/wwwtax.cgi?mode=Info&amp;id=9117&amp;lvl=3&amp;lin=f&amp;keep=1&amp;srchmode=1&amp;unlock","Grus americana")</f>
        <v>Grus americana</v>
      </c>
      <c r="H364" t="s">
        <v>581</v>
      </c>
      <c r="I364" t="str">
        <f>HYPERLINK("http://www.ncbi.nlm.nih.gov/protein/NWH18235.1","ANDR protein")</f>
        <v>ANDR protein</v>
      </c>
      <c r="J364">
        <v>781.56</v>
      </c>
      <c r="K364" t="s">
        <v>25</v>
      </c>
      <c r="L364">
        <v>157</v>
      </c>
      <c r="M364">
        <v>44.41</v>
      </c>
      <c r="N364">
        <v>41.6</v>
      </c>
      <c r="O364" t="s">
        <v>20</v>
      </c>
      <c r="P364" t="s">
        <v>965</v>
      </c>
      <c r="Q364" t="s">
        <v>20</v>
      </c>
      <c r="R364" t="str">
        <f>HYPERLINK("https://cfpub.epa.gov/ecotox/explore.cfm?ncbi=9117","Explore in ECOTOX")</f>
        <v>Explore in ECOTOX</v>
      </c>
    </row>
    <row r="365" spans="1:18" x14ac:dyDescent="0.25">
      <c r="A365">
        <v>6</v>
      </c>
      <c r="B365" t="str">
        <f>HYPERLINK("http://www.ncbi.nlm.nih.gov/protein/XP_040470686.1","XP_040470686.1")</f>
        <v>XP_040470686.1</v>
      </c>
      <c r="C365">
        <v>41476</v>
      </c>
      <c r="D365" t="str">
        <f>HYPERLINK("http://www.ncbi.nlm.nih.gov/Taxonomy/Browser/wwwtax.cgi?mode=Info&amp;id=148594&amp;lvl=3&amp;lin=f&amp;keep=1&amp;srchmode=1&amp;unlock","148594")</f>
        <v>148594</v>
      </c>
      <c r="E365" t="s">
        <v>167</v>
      </c>
      <c r="F365" t="s">
        <v>167</v>
      </c>
      <c r="G365" t="str">
        <f>HYPERLINK("http://www.ncbi.nlm.nih.gov/Taxonomy/Browser/wwwtax.cgi?mode=Info&amp;id=148594&amp;lvl=3&amp;lin=f&amp;keep=1&amp;srchmode=1&amp;unlock","Falco naumanni")</f>
        <v>Falco naumanni</v>
      </c>
      <c r="H365" t="s">
        <v>433</v>
      </c>
      <c r="I365" t="str">
        <f>HYPERLINK("http://www.ncbi.nlm.nih.gov/protein/XP_040470686.1","androgen receptor")</f>
        <v>androgen receptor</v>
      </c>
      <c r="J365">
        <v>780.78</v>
      </c>
      <c r="K365" t="s">
        <v>25</v>
      </c>
      <c r="L365">
        <v>157</v>
      </c>
      <c r="M365">
        <v>44.41</v>
      </c>
      <c r="N365">
        <v>41.56</v>
      </c>
      <c r="O365" t="s">
        <v>20</v>
      </c>
      <c r="P365" t="s">
        <v>965</v>
      </c>
      <c r="Q365" t="s">
        <v>20</v>
      </c>
      <c r="R365" t="str">
        <f>HYPERLINK("https://cfpub.epa.gov/ecotox/explore.cfm?ncbi=148594","Explore in ECOTOX")</f>
        <v>Explore in ECOTOX</v>
      </c>
    </row>
    <row r="366" spans="1:18" x14ac:dyDescent="0.25">
      <c r="A366">
        <v>6</v>
      </c>
      <c r="B366" t="str">
        <f>HYPERLINK("http://www.ncbi.nlm.nih.gov/protein/XP_020640105.1","XP_020640105.1")</f>
        <v>XP_020640105.1</v>
      </c>
      <c r="C366">
        <v>38807</v>
      </c>
      <c r="D366" t="str">
        <f>HYPERLINK("http://www.ncbi.nlm.nih.gov/Taxonomy/Browser/wwwtax.cgi?mode=Info&amp;id=103695&amp;lvl=3&amp;lin=f&amp;keep=1&amp;srchmode=1&amp;unlock","103695")</f>
        <v>103695</v>
      </c>
      <c r="E366" t="s">
        <v>236</v>
      </c>
      <c r="F366" t="s">
        <v>236</v>
      </c>
      <c r="G366" t="str">
        <f>HYPERLINK("http://www.ncbi.nlm.nih.gov/Taxonomy/Browser/wwwtax.cgi?mode=Info&amp;id=103695&amp;lvl=3&amp;lin=f&amp;keep=1&amp;srchmode=1&amp;unlock","Pogona vitticeps")</f>
        <v>Pogona vitticeps</v>
      </c>
      <c r="H366" t="s">
        <v>618</v>
      </c>
      <c r="I366" t="str">
        <f>HYPERLINK("http://www.ncbi.nlm.nih.gov/protein/XP_020640105.1","androgen receptor-like")</f>
        <v>androgen receptor-like</v>
      </c>
      <c r="J366">
        <v>780.4</v>
      </c>
      <c r="K366" t="s">
        <v>25</v>
      </c>
      <c r="L366">
        <v>157</v>
      </c>
      <c r="M366">
        <v>44.41</v>
      </c>
      <c r="N366">
        <v>41.54</v>
      </c>
      <c r="O366" t="s">
        <v>20</v>
      </c>
      <c r="P366" t="s">
        <v>965</v>
      </c>
      <c r="Q366" t="s">
        <v>20</v>
      </c>
      <c r="R366" t="str">
        <f>HYPERLINK("https://cfpub.epa.gov/ecotox/explore.cfm?ncbi=103695","Explore in ECOTOX")</f>
        <v>Explore in ECOTOX</v>
      </c>
    </row>
    <row r="367" spans="1:18" x14ac:dyDescent="0.25">
      <c r="A367">
        <v>6</v>
      </c>
      <c r="B367" t="str">
        <f>HYPERLINK("http://www.ncbi.nlm.nih.gov/protein/NWH57317.1","NWH57317.1")</f>
        <v>NWH57317.1</v>
      </c>
      <c r="C367">
        <v>13556</v>
      </c>
      <c r="D367" t="str">
        <f>HYPERLINK("http://www.ncbi.nlm.nih.gov/Taxonomy/Browser/wwwtax.cgi?mode=Info&amp;id=8947&amp;lvl=3&amp;lin=f&amp;keep=1&amp;srchmode=1&amp;unlock","8947")</f>
        <v>8947</v>
      </c>
      <c r="E367" t="s">
        <v>167</v>
      </c>
      <c r="F367" t="s">
        <v>167</v>
      </c>
      <c r="G367" t="str">
        <f>HYPERLINK("http://www.ncbi.nlm.nih.gov/Taxonomy/Browser/wwwtax.cgi?mode=Info&amp;id=8947&amp;lvl=3&amp;lin=f&amp;keep=1&amp;srchmode=1&amp;unlock","Geococcyx californianus")</f>
        <v>Geococcyx californianus</v>
      </c>
      <c r="H367" t="s">
        <v>552</v>
      </c>
      <c r="I367" t="str">
        <f>HYPERLINK("http://www.ncbi.nlm.nih.gov/protein/NWH57317.1","ANDR protein")</f>
        <v>ANDR protein</v>
      </c>
      <c r="J367">
        <v>778.47</v>
      </c>
      <c r="K367" t="s">
        <v>25</v>
      </c>
      <c r="L367">
        <v>157</v>
      </c>
      <c r="M367">
        <v>44.41</v>
      </c>
      <c r="N367">
        <v>41.44</v>
      </c>
      <c r="O367" t="s">
        <v>20</v>
      </c>
      <c r="P367" t="s">
        <v>965</v>
      </c>
      <c r="Q367" t="s">
        <v>20</v>
      </c>
      <c r="R367" t="str">
        <f>HYPERLINK("https://cfpub.epa.gov/ecotox/explore.cfm?ncbi=8947","Explore in ECOTOX")</f>
        <v>Explore in ECOTOX</v>
      </c>
    </row>
    <row r="368" spans="1:18" x14ac:dyDescent="0.25">
      <c r="A368">
        <v>6</v>
      </c>
      <c r="B368" t="str">
        <f>HYPERLINK("http://www.ncbi.nlm.nih.gov/protein/XP_032852006.1","XP_032852006.1")</f>
        <v>XP_032852006.1</v>
      </c>
      <c r="C368">
        <v>32984</v>
      </c>
      <c r="D368" t="str">
        <f>HYPERLINK("http://www.ncbi.nlm.nih.gov/Taxonomy/Browser/wwwtax.cgi?mode=Info&amp;id=507980&amp;lvl=3&amp;lin=f&amp;keep=1&amp;srchmode=1&amp;unlock","507980")</f>
        <v>507980</v>
      </c>
      <c r="E368" t="s">
        <v>167</v>
      </c>
      <c r="F368" t="s">
        <v>167</v>
      </c>
      <c r="G368" t="str">
        <f>HYPERLINK("http://www.ncbi.nlm.nih.gov/Taxonomy/Browser/wwwtax.cgi?mode=Info&amp;id=507980&amp;lvl=3&amp;lin=f&amp;keep=1&amp;srchmode=1&amp;unlock","Tyto alba alba")</f>
        <v>Tyto alba alba</v>
      </c>
      <c r="H368" t="s">
        <v>250</v>
      </c>
      <c r="I368" t="str">
        <f>HYPERLINK("http://www.ncbi.nlm.nih.gov/protein/XP_032852006.1","LOW QUALITY PROTEIN: androgen receptor")</f>
        <v>LOW QUALITY PROTEIN: androgen receptor</v>
      </c>
      <c r="J368">
        <v>777.7</v>
      </c>
      <c r="K368" t="s">
        <v>25</v>
      </c>
      <c r="L368">
        <v>157</v>
      </c>
      <c r="M368">
        <v>44.41</v>
      </c>
      <c r="N368">
        <v>41.4</v>
      </c>
      <c r="O368" t="s">
        <v>20</v>
      </c>
      <c r="P368" t="s">
        <v>965</v>
      </c>
      <c r="Q368" t="s">
        <v>20</v>
      </c>
      <c r="R368" t="str">
        <f>HYPERLINK("https://cfpub.epa.gov/ecotox/explore.cfm?ncbi=507980","Explore in ECOTOX")</f>
        <v>Explore in ECOTOX</v>
      </c>
    </row>
    <row r="369" spans="1:18" x14ac:dyDescent="0.25">
      <c r="A369">
        <v>6</v>
      </c>
      <c r="B369" t="str">
        <f>HYPERLINK("http://www.ncbi.nlm.nih.gov/protein/NWR78491.1","NWR78491.1")</f>
        <v>NWR78491.1</v>
      </c>
      <c r="C369">
        <v>14035</v>
      </c>
      <c r="D369" t="str">
        <f>HYPERLINK("http://www.ncbi.nlm.nih.gov/Taxonomy/Browser/wwwtax.cgi?mode=Info&amp;id=1118519&amp;lvl=3&amp;lin=f&amp;keep=1&amp;srchmode=1&amp;unlock","1118519")</f>
        <v>1118519</v>
      </c>
      <c r="E369" t="s">
        <v>167</v>
      </c>
      <c r="F369" t="s">
        <v>167</v>
      </c>
      <c r="G369" t="str">
        <f>HYPERLINK("http://www.ncbi.nlm.nih.gov/Taxonomy/Browser/wwwtax.cgi?mode=Info&amp;id=1118519&amp;lvl=3&amp;lin=f&amp;keep=1&amp;srchmode=1&amp;unlock","Centropus unirufus")</f>
        <v>Centropus unirufus</v>
      </c>
      <c r="H369" t="s">
        <v>303</v>
      </c>
      <c r="I369" t="str">
        <f>HYPERLINK("http://www.ncbi.nlm.nih.gov/protein/NWR78491.1","ANDR protein")</f>
        <v>ANDR protein</v>
      </c>
      <c r="J369">
        <v>777.7</v>
      </c>
      <c r="K369" t="s">
        <v>25</v>
      </c>
      <c r="L369">
        <v>157</v>
      </c>
      <c r="M369">
        <v>44.41</v>
      </c>
      <c r="N369">
        <v>41.4</v>
      </c>
      <c r="O369" t="s">
        <v>20</v>
      </c>
      <c r="P369" t="s">
        <v>965</v>
      </c>
      <c r="Q369" t="s">
        <v>20</v>
      </c>
      <c r="R369" t="str">
        <f>HYPERLINK("https://cfpub.epa.gov/ecotox/explore.cfm?ncbi=1118519","Explore in ECOTOX")</f>
        <v>Explore in ECOTOX</v>
      </c>
    </row>
    <row r="370" spans="1:18" x14ac:dyDescent="0.25">
      <c r="A370">
        <v>6</v>
      </c>
      <c r="B370" t="str">
        <f>HYPERLINK("http://www.ncbi.nlm.nih.gov/protein/XP_015275174.1","XP_015275174.1")</f>
        <v>XP_015275174.1</v>
      </c>
      <c r="C370">
        <v>24675</v>
      </c>
      <c r="D370" t="str">
        <f>HYPERLINK("http://www.ncbi.nlm.nih.gov/Taxonomy/Browser/wwwtax.cgi?mode=Info&amp;id=146911&amp;lvl=3&amp;lin=f&amp;keep=1&amp;srchmode=1&amp;unlock","146911")</f>
        <v>146911</v>
      </c>
      <c r="E370" t="s">
        <v>236</v>
      </c>
      <c r="F370" t="s">
        <v>236</v>
      </c>
      <c r="G370" t="str">
        <f>HYPERLINK("http://www.ncbi.nlm.nih.gov/Taxonomy/Browser/wwwtax.cgi?mode=Info&amp;id=146911&amp;lvl=3&amp;lin=f&amp;keep=1&amp;srchmode=1&amp;unlock","Gekko japonicus")</f>
        <v>Gekko japonicus</v>
      </c>
      <c r="H370" t="s">
        <v>650</v>
      </c>
      <c r="I370" t="str">
        <f>HYPERLINK("http://www.ncbi.nlm.nih.gov/protein/XP_015275174.1","PREDICTED: androgen receptor")</f>
        <v>PREDICTED: androgen receptor</v>
      </c>
      <c r="J370">
        <v>775.78</v>
      </c>
      <c r="K370" t="s">
        <v>25</v>
      </c>
      <c r="L370">
        <v>157</v>
      </c>
      <c r="M370">
        <v>44.41</v>
      </c>
      <c r="N370">
        <v>41.3</v>
      </c>
      <c r="O370" t="s">
        <v>20</v>
      </c>
      <c r="P370" t="s">
        <v>965</v>
      </c>
      <c r="Q370" t="s">
        <v>20</v>
      </c>
      <c r="R370" t="str">
        <f>HYPERLINK("https://cfpub.epa.gov/ecotox/explore.cfm?ncbi=146911","Explore in ECOTOX")</f>
        <v>Explore in ECOTOX</v>
      </c>
    </row>
    <row r="371" spans="1:18" x14ac:dyDescent="0.25">
      <c r="A371">
        <v>6</v>
      </c>
      <c r="B371" t="str">
        <f>HYPERLINK("http://www.ncbi.nlm.nih.gov/protein/XP_028571620.1","XP_028571620.1")</f>
        <v>XP_028571620.1</v>
      </c>
      <c r="C371">
        <v>51243</v>
      </c>
      <c r="D371" t="str">
        <f>HYPERLINK("http://www.ncbi.nlm.nih.gov/Taxonomy/Browser/wwwtax.cgi?mode=Info&amp;id=64176&amp;lvl=3&amp;lin=f&amp;keep=1&amp;srchmode=1&amp;unlock","64176")</f>
        <v>64176</v>
      </c>
      <c r="E371" t="s">
        <v>236</v>
      </c>
      <c r="F371" t="s">
        <v>236</v>
      </c>
      <c r="G371" t="str">
        <f>HYPERLINK("http://www.ncbi.nlm.nih.gov/Taxonomy/Browser/wwwtax.cgi?mode=Info&amp;id=64176&amp;lvl=3&amp;lin=f&amp;keep=1&amp;srchmode=1&amp;unlock","Podarcis muralis")</f>
        <v>Podarcis muralis</v>
      </c>
      <c r="H371" t="s">
        <v>420</v>
      </c>
      <c r="I371" t="str">
        <f>HYPERLINK("http://www.ncbi.nlm.nih.gov/protein/XP_028571620.1","androgen receptor")</f>
        <v>androgen receptor</v>
      </c>
      <c r="J371">
        <v>775.39</v>
      </c>
      <c r="K371" t="s">
        <v>25</v>
      </c>
      <c r="L371">
        <v>157</v>
      </c>
      <c r="M371">
        <v>44.41</v>
      </c>
      <c r="N371">
        <v>41.28</v>
      </c>
      <c r="O371" t="s">
        <v>20</v>
      </c>
      <c r="P371" t="s">
        <v>965</v>
      </c>
      <c r="Q371" t="s">
        <v>20</v>
      </c>
      <c r="R371" t="str">
        <f>HYPERLINK("https://cfpub.epa.gov/ecotox/explore.cfm?ncbi=64176","Explore in ECOTOX")</f>
        <v>Explore in ECOTOX</v>
      </c>
    </row>
    <row r="372" spans="1:18" x14ac:dyDescent="0.25">
      <c r="A372">
        <v>6</v>
      </c>
      <c r="B372" t="str">
        <f>HYPERLINK("http://www.ncbi.nlm.nih.gov/protein/BAJ15431.1","BAJ15431.1")</f>
        <v>BAJ15431.1</v>
      </c>
      <c r="C372">
        <v>688</v>
      </c>
      <c r="D372" t="str">
        <f>HYPERLINK("http://www.ncbi.nlm.nih.gov/Taxonomy/Browser/wwwtax.cgi?mode=Info&amp;id=88087&amp;lvl=3&amp;lin=f&amp;keep=1&amp;srchmode=1&amp;unlock","88087")</f>
        <v>88087</v>
      </c>
      <c r="E372" t="s">
        <v>236</v>
      </c>
      <c r="F372" t="s">
        <v>236</v>
      </c>
      <c r="G372" t="str">
        <f>HYPERLINK("http://www.ncbi.nlm.nih.gov/Taxonomy/Browser/wwwtax.cgi?mode=Info&amp;id=88087&amp;lvl=3&amp;lin=f&amp;keep=1&amp;srchmode=1&amp;unlock","Protobothrops flavoviridis")</f>
        <v>Protobothrops flavoviridis</v>
      </c>
      <c r="H372" t="s">
        <v>983</v>
      </c>
      <c r="I372" t="str">
        <f>HYPERLINK("http://www.ncbi.nlm.nih.gov/protein/BAJ15431.1","androgen receptor")</f>
        <v>androgen receptor</v>
      </c>
      <c r="J372">
        <v>774.62</v>
      </c>
      <c r="K372" t="s">
        <v>25</v>
      </c>
      <c r="L372">
        <v>157</v>
      </c>
      <c r="M372">
        <v>44.41</v>
      </c>
      <c r="N372">
        <v>41.23</v>
      </c>
      <c r="O372" t="s">
        <v>20</v>
      </c>
      <c r="P372" t="s">
        <v>965</v>
      </c>
      <c r="Q372" t="s">
        <v>20</v>
      </c>
      <c r="R372" t="str">
        <f>HYPERLINK("https://cfpub.epa.gov/ecotox/explore.cfm?ncbi=88087","Explore in ECOTOX")</f>
        <v>Explore in ECOTOX</v>
      </c>
    </row>
    <row r="373" spans="1:18" x14ac:dyDescent="0.25">
      <c r="A373">
        <v>6</v>
      </c>
      <c r="B373" t="str">
        <f>HYPERLINK("http://www.ncbi.nlm.nih.gov/protein/NWS32365.1","NWS32365.1")</f>
        <v>NWS32365.1</v>
      </c>
      <c r="C373">
        <v>13635</v>
      </c>
      <c r="D373" t="str">
        <f>HYPERLINK("http://www.ncbi.nlm.nih.gov/Taxonomy/Browser/wwwtax.cgi?mode=Info&amp;id=66707&amp;lvl=3&amp;lin=f&amp;keep=1&amp;srchmode=1&amp;unlock","66707")</f>
        <v>66707</v>
      </c>
      <c r="E373" t="s">
        <v>167</v>
      </c>
      <c r="F373" t="s">
        <v>167</v>
      </c>
      <c r="G373" t="str">
        <f>HYPERLINK("http://www.ncbi.nlm.nih.gov/Taxonomy/Browser/wwwtax.cgi?mode=Info&amp;id=66707&amp;lvl=3&amp;lin=f&amp;keep=1&amp;srchmode=1&amp;unlock","Polioptila caerulea")</f>
        <v>Polioptila caerulea</v>
      </c>
      <c r="H373" t="s">
        <v>206</v>
      </c>
      <c r="I373" t="str">
        <f>HYPERLINK("http://www.ncbi.nlm.nih.gov/protein/NWS32365.1","ANDR protein")</f>
        <v>ANDR protein</v>
      </c>
      <c r="J373">
        <v>774.62</v>
      </c>
      <c r="K373" t="s">
        <v>25</v>
      </c>
      <c r="L373">
        <v>157</v>
      </c>
      <c r="M373">
        <v>44.41</v>
      </c>
      <c r="N373">
        <v>41.23</v>
      </c>
      <c r="O373" t="s">
        <v>20</v>
      </c>
      <c r="P373" t="s">
        <v>965</v>
      </c>
      <c r="Q373" t="s">
        <v>20</v>
      </c>
      <c r="R373" t="str">
        <f>HYPERLINK("https://cfpub.epa.gov/ecotox/explore.cfm?ncbi=66707","Explore in ECOTOX")</f>
        <v>Explore in ECOTOX</v>
      </c>
    </row>
    <row r="374" spans="1:18" x14ac:dyDescent="0.25">
      <c r="A374">
        <v>6</v>
      </c>
      <c r="B374" t="str">
        <f>HYPERLINK("http://www.ncbi.nlm.nih.gov/protein/XP_008118585.1","XP_008118585.1")</f>
        <v>XP_008118585.1</v>
      </c>
      <c r="C374">
        <v>35704</v>
      </c>
      <c r="D374" t="str">
        <f>HYPERLINK("http://www.ncbi.nlm.nih.gov/Taxonomy/Browser/wwwtax.cgi?mode=Info&amp;id=28377&amp;lvl=3&amp;lin=f&amp;keep=1&amp;srchmode=1&amp;unlock","28377")</f>
        <v>28377</v>
      </c>
      <c r="E374" t="s">
        <v>236</v>
      </c>
      <c r="F374" t="s">
        <v>236</v>
      </c>
      <c r="G374" t="str">
        <f>HYPERLINK("http://www.ncbi.nlm.nih.gov/Taxonomy/Browser/wwwtax.cgi?mode=Info&amp;id=28377&amp;lvl=3&amp;lin=f&amp;keep=1&amp;srchmode=1&amp;unlock","Anolis carolinensis")</f>
        <v>Anolis carolinensis</v>
      </c>
      <c r="H374" t="s">
        <v>474</v>
      </c>
      <c r="I374" t="str">
        <f>HYPERLINK("http://www.ncbi.nlm.nih.gov/protein/XP_008118585.1","PREDICTED: androgen receptor")</f>
        <v>PREDICTED: androgen receptor</v>
      </c>
      <c r="J374">
        <v>773.85</v>
      </c>
      <c r="K374" t="s">
        <v>25</v>
      </c>
      <c r="L374">
        <v>157</v>
      </c>
      <c r="M374">
        <v>44.41</v>
      </c>
      <c r="N374">
        <v>41.19</v>
      </c>
      <c r="O374" t="s">
        <v>20</v>
      </c>
      <c r="P374" t="s">
        <v>965</v>
      </c>
      <c r="Q374" t="s">
        <v>20</v>
      </c>
      <c r="R374" t="str">
        <f>HYPERLINK("https://cfpub.epa.gov/ecotox/explore.cfm?ncbi=28377","Explore in ECOTOX")</f>
        <v>Explore in ECOTOX</v>
      </c>
    </row>
    <row r="375" spans="1:18" x14ac:dyDescent="0.25">
      <c r="A375">
        <v>6</v>
      </c>
      <c r="B375" t="str">
        <f>HYPERLINK("http://www.ncbi.nlm.nih.gov/protein/KAG0124948.1","KAG0124948.1")</f>
        <v>KAG0124948.1</v>
      </c>
      <c r="C375">
        <v>14275</v>
      </c>
      <c r="D375" t="str">
        <f>HYPERLINK("http://www.ncbi.nlm.nih.gov/Taxonomy/Browser/wwwtax.cgi?mode=Info&amp;id=245042&amp;lvl=3&amp;lin=f&amp;keep=1&amp;srchmode=1&amp;unlock","245042")</f>
        <v>245042</v>
      </c>
      <c r="E375" t="s">
        <v>167</v>
      </c>
      <c r="F375" t="s">
        <v>167</v>
      </c>
      <c r="G375" t="str">
        <f>HYPERLINK("http://www.ncbi.nlm.nih.gov/Taxonomy/Browser/wwwtax.cgi?mode=Info&amp;id=245042&amp;lvl=3&amp;lin=f&amp;keep=1&amp;srchmode=1&amp;unlock","Lamprotornis superbus")</f>
        <v>Lamprotornis superbus</v>
      </c>
      <c r="H375" t="s">
        <v>984</v>
      </c>
      <c r="I375" t="str">
        <f>HYPERLINK("http://www.ncbi.nlm.nih.gov/protein/KAG0124948.1","Androgen receptor, partial")</f>
        <v>Androgen receptor, partial</v>
      </c>
      <c r="J375">
        <v>771.93</v>
      </c>
      <c r="K375" t="s">
        <v>25</v>
      </c>
      <c r="L375">
        <v>157</v>
      </c>
      <c r="M375">
        <v>44.41</v>
      </c>
      <c r="N375">
        <v>41.09</v>
      </c>
      <c r="O375" t="s">
        <v>20</v>
      </c>
      <c r="P375" t="s">
        <v>965</v>
      </c>
      <c r="Q375" t="s">
        <v>20</v>
      </c>
      <c r="R375" t="str">
        <f>HYPERLINK("https://cfpub.epa.gov/ecotox/explore.cfm?ncbi=245042","Explore in ECOTOX")</f>
        <v>Explore in ECOTOX</v>
      </c>
    </row>
    <row r="376" spans="1:18" x14ac:dyDescent="0.25">
      <c r="A376">
        <v>6</v>
      </c>
      <c r="B376" t="str">
        <f>HYPERLINK("http://www.ncbi.nlm.nih.gov/protein/XP_017728340.1","XP_017728340.1")</f>
        <v>XP_017728340.1</v>
      </c>
      <c r="C376">
        <v>49685</v>
      </c>
      <c r="D376" t="str">
        <f>HYPERLINK("http://www.ncbi.nlm.nih.gov/Taxonomy/Browser/wwwtax.cgi?mode=Info&amp;id=61621&amp;lvl=3&amp;lin=f&amp;keep=1&amp;srchmode=1&amp;unlock","61621")</f>
        <v>61621</v>
      </c>
      <c r="E376" t="s">
        <v>18</v>
      </c>
      <c r="F376" t="s">
        <v>18</v>
      </c>
      <c r="G376" t="str">
        <f>HYPERLINK("http://www.ncbi.nlm.nih.gov/Taxonomy/Browser/wwwtax.cgi?mode=Info&amp;id=61621&amp;lvl=3&amp;lin=f&amp;keep=1&amp;srchmode=1&amp;unlock","Rhinopithecus bieti")</f>
        <v>Rhinopithecus bieti</v>
      </c>
      <c r="H376" t="s">
        <v>34</v>
      </c>
      <c r="I376" t="str">
        <f>HYPERLINK("http://www.ncbi.nlm.nih.gov/protein/XP_017728340.1","PREDICTED: androgen receptor")</f>
        <v>PREDICTED: androgen receptor</v>
      </c>
      <c r="J376">
        <v>767.3</v>
      </c>
      <c r="K376" t="s">
        <v>25</v>
      </c>
      <c r="L376">
        <v>157</v>
      </c>
      <c r="M376">
        <v>44.41</v>
      </c>
      <c r="N376">
        <v>40.840000000000003</v>
      </c>
      <c r="O376" t="s">
        <v>20</v>
      </c>
      <c r="P376" t="s">
        <v>965</v>
      </c>
      <c r="Q376" t="s">
        <v>20</v>
      </c>
      <c r="R376" t="str">
        <f>HYPERLINK("https://cfpub.epa.gov/ecotox/explore.cfm?ncbi=61621","Explore in ECOTOX")</f>
        <v>Explore in ECOTOX</v>
      </c>
    </row>
    <row r="377" spans="1:18" x14ac:dyDescent="0.25">
      <c r="A377">
        <v>6</v>
      </c>
      <c r="B377" t="str">
        <f>HYPERLINK("http://www.ncbi.nlm.nih.gov/protein/AME29413.1","AME29413.1")</f>
        <v>AME29413.1</v>
      </c>
      <c r="C377">
        <v>102</v>
      </c>
      <c r="D377" t="str">
        <f>HYPERLINK("http://www.ncbi.nlm.nih.gov/Taxonomy/Browser/wwwtax.cgi?mode=Info&amp;id=57378&amp;lvl=3&amp;lin=f&amp;keep=1&amp;srchmode=1&amp;unlock","57378")</f>
        <v>57378</v>
      </c>
      <c r="E377" t="s">
        <v>18</v>
      </c>
      <c r="F377" t="s">
        <v>18</v>
      </c>
      <c r="G377" t="str">
        <f>HYPERLINK("http://www.ncbi.nlm.nih.gov/Taxonomy/Browser/wwwtax.cgi?mode=Info&amp;id=57378&amp;lvl=3&amp;lin=f&amp;keep=1&amp;srchmode=1&amp;unlock","Callithrix penicillata")</f>
        <v>Callithrix penicillata</v>
      </c>
      <c r="H377" t="s">
        <v>985</v>
      </c>
      <c r="I377" t="str">
        <f>HYPERLINK("http://www.ncbi.nlm.nih.gov/protein/AME29413.1","androgen receptor, partial")</f>
        <v>androgen receptor, partial</v>
      </c>
      <c r="J377">
        <v>763.84</v>
      </c>
      <c r="K377" t="s">
        <v>25</v>
      </c>
      <c r="L377">
        <v>157</v>
      </c>
      <c r="M377">
        <v>44.41</v>
      </c>
      <c r="N377">
        <v>40.659999999999997</v>
      </c>
      <c r="O377" t="s">
        <v>20</v>
      </c>
      <c r="P377" t="s">
        <v>965</v>
      </c>
      <c r="Q377" t="s">
        <v>20</v>
      </c>
      <c r="R377" t="str">
        <f>HYPERLINK("https://cfpub.epa.gov/ecotox/explore.cfm?ncbi=57378","Explore in ECOTOX")</f>
        <v>Explore in ECOTOX</v>
      </c>
    </row>
    <row r="378" spans="1:18" x14ac:dyDescent="0.25">
      <c r="A378">
        <v>6</v>
      </c>
      <c r="B378" t="str">
        <f>HYPERLINK("http://www.ncbi.nlm.nih.gov/protein/AME29412.1","AME29412.1")</f>
        <v>AME29412.1</v>
      </c>
      <c r="C378">
        <v>71</v>
      </c>
      <c r="D378" t="str">
        <f>HYPERLINK("http://www.ncbi.nlm.nih.gov/Taxonomy/Browser/wwwtax.cgi?mode=Info&amp;id=867363&amp;lvl=3&amp;lin=f&amp;keep=1&amp;srchmode=1&amp;unlock","867363")</f>
        <v>867363</v>
      </c>
      <c r="E378" t="s">
        <v>18</v>
      </c>
      <c r="F378" t="s">
        <v>18</v>
      </c>
      <c r="G378" t="str">
        <f>HYPERLINK("http://www.ncbi.nlm.nih.gov/Taxonomy/Browser/wwwtax.cgi?mode=Info&amp;id=867363&amp;lvl=3&amp;lin=f&amp;keep=1&amp;srchmode=1&amp;unlock","Callithrix kuhlii")</f>
        <v>Callithrix kuhlii</v>
      </c>
      <c r="H378" t="s">
        <v>986</v>
      </c>
      <c r="I378" t="str">
        <f>HYPERLINK("http://www.ncbi.nlm.nih.gov/protein/AME29412.1","androgen receptor, partial")</f>
        <v>androgen receptor, partial</v>
      </c>
      <c r="J378">
        <v>763.84</v>
      </c>
      <c r="K378" t="s">
        <v>25</v>
      </c>
      <c r="L378">
        <v>157</v>
      </c>
      <c r="M378">
        <v>44.41</v>
      </c>
      <c r="N378">
        <v>40.659999999999997</v>
      </c>
      <c r="O378" t="s">
        <v>20</v>
      </c>
      <c r="P378" t="s">
        <v>965</v>
      </c>
      <c r="Q378" t="s">
        <v>20</v>
      </c>
      <c r="R378" t="str">
        <f>HYPERLINK("https://cfpub.epa.gov/ecotox/explore.cfm?ncbi=867363","Explore in ECOTOX")</f>
        <v>Explore in ECOTOX</v>
      </c>
    </row>
    <row r="379" spans="1:18" x14ac:dyDescent="0.25">
      <c r="A379">
        <v>6</v>
      </c>
      <c r="B379" t="str">
        <f>HYPERLINK("http://www.ncbi.nlm.nih.gov/protein/NXD80889.1","NXD80889.1")</f>
        <v>NXD80889.1</v>
      </c>
      <c r="C379">
        <v>14290</v>
      </c>
      <c r="D379" t="str">
        <f>HYPERLINK("http://www.ncbi.nlm.nih.gov/Taxonomy/Browser/wwwtax.cgi?mode=Info&amp;id=342381&amp;lvl=3&amp;lin=f&amp;keep=1&amp;srchmode=1&amp;unlock","342381")</f>
        <v>342381</v>
      </c>
      <c r="E379" t="s">
        <v>167</v>
      </c>
      <c r="F379" t="s">
        <v>167</v>
      </c>
      <c r="G379" t="str">
        <f>HYPERLINK("http://www.ncbi.nlm.nih.gov/Taxonomy/Browser/wwwtax.cgi?mode=Info&amp;id=342381&amp;lvl=3&amp;lin=f&amp;keep=1&amp;srchmode=1&amp;unlock","Halcyon senegalensis")</f>
        <v>Halcyon senegalensis</v>
      </c>
      <c r="H379" t="s">
        <v>229</v>
      </c>
      <c r="I379" t="str">
        <f>HYPERLINK("http://www.ncbi.nlm.nih.gov/protein/NXD80889.1","ANDR protein")</f>
        <v>ANDR protein</v>
      </c>
      <c r="J379">
        <v>761.14</v>
      </c>
      <c r="K379" t="s">
        <v>25</v>
      </c>
      <c r="L379">
        <v>157</v>
      </c>
      <c r="M379">
        <v>44.41</v>
      </c>
      <c r="N379">
        <v>40.520000000000003</v>
      </c>
      <c r="O379" t="s">
        <v>20</v>
      </c>
      <c r="P379" t="s">
        <v>965</v>
      </c>
      <c r="Q379" t="s">
        <v>20</v>
      </c>
      <c r="R379" t="str">
        <f>HYPERLINK("https://cfpub.epa.gov/ecotox/explore.cfm?ncbi=342381","Explore in ECOTOX")</f>
        <v>Explore in ECOTOX</v>
      </c>
    </row>
    <row r="380" spans="1:18" x14ac:dyDescent="0.25">
      <c r="A380">
        <v>6</v>
      </c>
      <c r="B380" t="str">
        <f>HYPERLINK("http://www.ncbi.nlm.nih.gov/protein/NWY79368.1","NWY79368.1")</f>
        <v>NWY79368.1</v>
      </c>
      <c r="C380">
        <v>12391</v>
      </c>
      <c r="D380" t="str">
        <f>HYPERLINK("http://www.ncbi.nlm.nih.gov/Taxonomy/Browser/wwwtax.cgi?mode=Info&amp;id=468512&amp;lvl=3&amp;lin=f&amp;keep=1&amp;srchmode=1&amp;unlock","468512")</f>
        <v>468512</v>
      </c>
      <c r="E380" t="s">
        <v>167</v>
      </c>
      <c r="F380" t="s">
        <v>167</v>
      </c>
      <c r="G380" t="str">
        <f>HYPERLINK("http://www.ncbi.nlm.nih.gov/Taxonomy/Browser/wwwtax.cgi?mode=Info&amp;id=468512&amp;lvl=3&amp;lin=f&amp;keep=1&amp;srchmode=1&amp;unlock","Rhegmatorhina hoffmannsi")</f>
        <v>Rhegmatorhina hoffmannsi</v>
      </c>
      <c r="H380" t="s">
        <v>444</v>
      </c>
      <c r="I380" t="str">
        <f>HYPERLINK("http://www.ncbi.nlm.nih.gov/protein/NWY79368.1","ANDR protein")</f>
        <v>ANDR protein</v>
      </c>
      <c r="J380">
        <v>760.75</v>
      </c>
      <c r="K380" t="s">
        <v>25</v>
      </c>
      <c r="L380">
        <v>157</v>
      </c>
      <c r="M380">
        <v>44.41</v>
      </c>
      <c r="N380">
        <v>40.5</v>
      </c>
      <c r="O380" t="s">
        <v>20</v>
      </c>
      <c r="P380" t="s">
        <v>965</v>
      </c>
      <c r="Q380" t="s">
        <v>20</v>
      </c>
      <c r="R380" t="str">
        <f>HYPERLINK("https://cfpub.epa.gov/ecotox/explore.cfm?ncbi=468512","Explore in ECOTOX")</f>
        <v>Explore in ECOTOX</v>
      </c>
    </row>
    <row r="381" spans="1:18" x14ac:dyDescent="0.25">
      <c r="A381">
        <v>6</v>
      </c>
      <c r="B381" t="str">
        <f>HYPERLINK("http://www.ncbi.nlm.nih.gov/protein/KFQ63000.1","KFQ63000.1")</f>
        <v>KFQ63000.1</v>
      </c>
      <c r="C381">
        <v>28615</v>
      </c>
      <c r="D381" t="str">
        <f>HYPERLINK("http://www.ncbi.nlm.nih.gov/Taxonomy/Browser/wwwtax.cgi?mode=Info&amp;id=36300&amp;lvl=3&amp;lin=f&amp;keep=1&amp;srchmode=1&amp;unlock","36300")</f>
        <v>36300</v>
      </c>
      <c r="E381" t="s">
        <v>167</v>
      </c>
      <c r="F381" t="s">
        <v>167</v>
      </c>
      <c r="G381" t="str">
        <f>HYPERLINK("http://www.ncbi.nlm.nih.gov/Taxonomy/Browser/wwwtax.cgi?mode=Info&amp;id=36300&amp;lvl=3&amp;lin=f&amp;keep=1&amp;srchmode=1&amp;unlock","Pelecanus crispus")</f>
        <v>Pelecanus crispus</v>
      </c>
      <c r="H381" t="s">
        <v>269</v>
      </c>
      <c r="I381" t="str">
        <f>HYPERLINK("http://www.ncbi.nlm.nih.gov/protein/KFQ63000.1","Androgen receptor, partial")</f>
        <v>Androgen receptor, partial</v>
      </c>
      <c r="J381">
        <v>759.6</v>
      </c>
      <c r="K381" t="s">
        <v>25</v>
      </c>
      <c r="L381">
        <v>157</v>
      </c>
      <c r="M381">
        <v>44.41</v>
      </c>
      <c r="N381">
        <v>40.43</v>
      </c>
      <c r="O381" t="s">
        <v>20</v>
      </c>
      <c r="P381" t="s">
        <v>965</v>
      </c>
      <c r="Q381" t="s">
        <v>20</v>
      </c>
      <c r="R381" t="str">
        <f>HYPERLINK("https://cfpub.epa.gov/ecotox/explore.cfm?ncbi=36300","Explore in ECOTOX")</f>
        <v>Explore in ECOTOX</v>
      </c>
    </row>
    <row r="382" spans="1:18" x14ac:dyDescent="0.25">
      <c r="A382">
        <v>6</v>
      </c>
      <c r="B382" t="str">
        <f>HYPERLINK("http://www.ncbi.nlm.nih.gov/protein/KFW77147.1","KFW77147.1")</f>
        <v>KFW77147.1</v>
      </c>
      <c r="C382">
        <v>37258</v>
      </c>
      <c r="D382" t="str">
        <f>HYPERLINK("http://www.ncbi.nlm.nih.gov/Taxonomy/Browser/wwwtax.cgi?mode=Info&amp;id=328815&amp;lvl=3&amp;lin=f&amp;keep=1&amp;srchmode=1&amp;unlock","328815")</f>
        <v>328815</v>
      </c>
      <c r="E382" t="s">
        <v>167</v>
      </c>
      <c r="F382" t="s">
        <v>167</v>
      </c>
      <c r="G382" t="str">
        <f>HYPERLINK("http://www.ncbi.nlm.nih.gov/Taxonomy/Browser/wwwtax.cgi?mode=Info&amp;id=328815&amp;lvl=3&amp;lin=f&amp;keep=1&amp;srchmode=1&amp;unlock","Manacus vitellinus")</f>
        <v>Manacus vitellinus</v>
      </c>
      <c r="H382" t="s">
        <v>488</v>
      </c>
      <c r="I382" t="str">
        <f>HYPERLINK("http://www.ncbi.nlm.nih.gov/protein/KFW77147.1","Androgen receptor, partial")</f>
        <v>Androgen receptor, partial</v>
      </c>
      <c r="J382">
        <v>759.6</v>
      </c>
      <c r="K382" t="s">
        <v>25</v>
      </c>
      <c r="L382">
        <v>157</v>
      </c>
      <c r="M382">
        <v>44.41</v>
      </c>
      <c r="N382">
        <v>40.43</v>
      </c>
      <c r="O382" t="s">
        <v>20</v>
      </c>
      <c r="P382" t="s">
        <v>965</v>
      </c>
      <c r="Q382" t="s">
        <v>20</v>
      </c>
      <c r="R382" t="str">
        <f>HYPERLINK("https://cfpub.epa.gov/ecotox/explore.cfm?ncbi=328815","Explore in ECOTOX")</f>
        <v>Explore in ECOTOX</v>
      </c>
    </row>
    <row r="383" spans="1:18" x14ac:dyDescent="0.25">
      <c r="A383">
        <v>6</v>
      </c>
      <c r="B383" t="str">
        <f>HYPERLINK("http://www.ncbi.nlm.nih.gov/protein/NWI75478.1","NWI75478.1")</f>
        <v>NWI75478.1</v>
      </c>
      <c r="C383">
        <v>12349</v>
      </c>
      <c r="D383" t="str">
        <f>HYPERLINK("http://www.ncbi.nlm.nih.gov/Taxonomy/Browser/wwwtax.cgi?mode=Info&amp;id=85069&amp;lvl=3&amp;lin=f&amp;keep=1&amp;srchmode=1&amp;unlock","85069")</f>
        <v>85069</v>
      </c>
      <c r="E383" t="s">
        <v>167</v>
      </c>
      <c r="F383" t="s">
        <v>167</v>
      </c>
      <c r="G383" t="str">
        <f>HYPERLINK("http://www.ncbi.nlm.nih.gov/Taxonomy/Browser/wwwtax.cgi?mode=Info&amp;id=85069&amp;lvl=3&amp;lin=f&amp;keep=1&amp;srchmode=1&amp;unlock","Dryoscopus gambensis")</f>
        <v>Dryoscopus gambensis</v>
      </c>
      <c r="H383" t="s">
        <v>206</v>
      </c>
      <c r="I383" t="str">
        <f>HYPERLINK("http://www.ncbi.nlm.nih.gov/protein/NWI75478.1","ANDR protein")</f>
        <v>ANDR protein</v>
      </c>
      <c r="J383">
        <v>758.83</v>
      </c>
      <c r="K383" t="s">
        <v>25</v>
      </c>
      <c r="L383">
        <v>157</v>
      </c>
      <c r="M383">
        <v>44.41</v>
      </c>
      <c r="N383">
        <v>40.39</v>
      </c>
      <c r="O383" t="s">
        <v>20</v>
      </c>
      <c r="P383" t="s">
        <v>965</v>
      </c>
      <c r="Q383" t="s">
        <v>20</v>
      </c>
      <c r="R383" t="str">
        <f>HYPERLINK("https://cfpub.epa.gov/ecotox/explore.cfm?ncbi=85069","Explore in ECOTOX")</f>
        <v>Explore in ECOTOX</v>
      </c>
    </row>
    <row r="384" spans="1:18" x14ac:dyDescent="0.25">
      <c r="A384">
        <v>6</v>
      </c>
      <c r="B384" t="str">
        <f>HYPERLINK("http://www.ncbi.nlm.nih.gov/protein/NWH43024.1","NWH43024.1")</f>
        <v>NWH43024.1</v>
      </c>
      <c r="C384">
        <v>13301</v>
      </c>
      <c r="D384" t="str">
        <f>HYPERLINK("http://www.ncbi.nlm.nih.gov/Taxonomy/Browser/wwwtax.cgi?mode=Info&amp;id=37042&amp;lvl=3&amp;lin=f&amp;keep=1&amp;srchmode=1&amp;unlock","37042")</f>
        <v>37042</v>
      </c>
      <c r="E384" t="s">
        <v>167</v>
      </c>
      <c r="F384" t="s">
        <v>167</v>
      </c>
      <c r="G384" t="str">
        <f>HYPERLINK("http://www.ncbi.nlm.nih.gov/Taxonomy/Browser/wwwtax.cgi?mode=Info&amp;id=37042&amp;lvl=3&amp;lin=f&amp;keep=1&amp;srchmode=1&amp;unlock","Fregata magnificens")</f>
        <v>Fregata magnificens</v>
      </c>
      <c r="H384" t="s">
        <v>213</v>
      </c>
      <c r="I384" t="str">
        <f>HYPERLINK("http://www.ncbi.nlm.nih.gov/protein/NWH43024.1","ANDR protein")</f>
        <v>ANDR protein</v>
      </c>
      <c r="J384">
        <v>758.83</v>
      </c>
      <c r="K384" t="s">
        <v>25</v>
      </c>
      <c r="L384">
        <v>157</v>
      </c>
      <c r="M384">
        <v>44.41</v>
      </c>
      <c r="N384">
        <v>40.39</v>
      </c>
      <c r="O384" t="s">
        <v>20</v>
      </c>
      <c r="P384" t="s">
        <v>965</v>
      </c>
      <c r="Q384" t="s">
        <v>20</v>
      </c>
      <c r="R384" t="str">
        <f>HYPERLINK("https://cfpub.epa.gov/ecotox/explore.cfm?ncbi=37042","Explore in ECOTOX")</f>
        <v>Explore in ECOTOX</v>
      </c>
    </row>
    <row r="385" spans="1:18" x14ac:dyDescent="0.25">
      <c r="A385">
        <v>6</v>
      </c>
      <c r="B385" t="str">
        <f>HYPERLINK("http://www.ncbi.nlm.nih.gov/protein/NWT86496.1","NWT86496.1")</f>
        <v>NWT86496.1</v>
      </c>
      <c r="C385">
        <v>13729</v>
      </c>
      <c r="D385" t="str">
        <f>HYPERLINK("http://www.ncbi.nlm.nih.gov/Taxonomy/Browser/wwwtax.cgi?mode=Info&amp;id=28713&amp;lvl=3&amp;lin=f&amp;keep=1&amp;srchmode=1&amp;unlock","28713")</f>
        <v>28713</v>
      </c>
      <c r="E385" t="s">
        <v>167</v>
      </c>
      <c r="F385" t="s">
        <v>167</v>
      </c>
      <c r="G385" t="str">
        <f>HYPERLINK("http://www.ncbi.nlm.nih.gov/Taxonomy/Browser/wwwtax.cgi?mode=Info&amp;id=28713&amp;lvl=3&amp;lin=f&amp;keep=1&amp;srchmode=1&amp;unlock","Lanius ludovicianus")</f>
        <v>Lanius ludovicianus</v>
      </c>
      <c r="H385" t="s">
        <v>327</v>
      </c>
      <c r="I385" t="str">
        <f>HYPERLINK("http://www.ncbi.nlm.nih.gov/protein/NWT86496.1","ANDR protein")</f>
        <v>ANDR protein</v>
      </c>
      <c r="J385">
        <v>758.83</v>
      </c>
      <c r="K385" t="s">
        <v>25</v>
      </c>
      <c r="L385">
        <v>157</v>
      </c>
      <c r="M385">
        <v>44.41</v>
      </c>
      <c r="N385">
        <v>40.39</v>
      </c>
      <c r="O385" t="s">
        <v>20</v>
      </c>
      <c r="P385" t="s">
        <v>965</v>
      </c>
      <c r="Q385" t="s">
        <v>20</v>
      </c>
      <c r="R385" t="str">
        <f>HYPERLINK("https://cfpub.epa.gov/ecotox/explore.cfm?ncbi=28713","Explore in ECOTOX")</f>
        <v>Explore in ECOTOX</v>
      </c>
    </row>
    <row r="386" spans="1:18" x14ac:dyDescent="0.25">
      <c r="A386">
        <v>6</v>
      </c>
      <c r="B386" t="str">
        <f>HYPERLINK("http://www.ncbi.nlm.nih.gov/protein/NXH89347.1","NXH89347.1")</f>
        <v>NXH89347.1</v>
      </c>
      <c r="C386">
        <v>13686</v>
      </c>
      <c r="D386" t="str">
        <f>HYPERLINK("http://www.ncbi.nlm.nih.gov/Taxonomy/Browser/wwwtax.cgi?mode=Info&amp;id=2585810&amp;lvl=3&amp;lin=f&amp;keep=1&amp;srchmode=1&amp;unlock","2585810")</f>
        <v>2585810</v>
      </c>
      <c r="E386" t="s">
        <v>167</v>
      </c>
      <c r="F386" t="s">
        <v>167</v>
      </c>
      <c r="G386" t="str">
        <f>HYPERLINK("http://www.ncbi.nlm.nih.gov/Taxonomy/Browser/wwwtax.cgi?mode=Info&amp;id=2585810&amp;lvl=3&amp;lin=f&amp;keep=1&amp;srchmode=1&amp;unlock","Edolisoma coerulescens")</f>
        <v>Edolisoma coerulescens</v>
      </c>
      <c r="H386" t="s">
        <v>987</v>
      </c>
      <c r="I386" t="str">
        <f>HYPERLINK("http://www.ncbi.nlm.nih.gov/protein/NXH89347.1","ANDR protein")</f>
        <v>ANDR protein</v>
      </c>
      <c r="J386">
        <v>758.83</v>
      </c>
      <c r="K386" t="s">
        <v>25</v>
      </c>
      <c r="L386">
        <v>157</v>
      </c>
      <c r="M386">
        <v>44.41</v>
      </c>
      <c r="N386">
        <v>40.39</v>
      </c>
      <c r="O386" t="s">
        <v>20</v>
      </c>
      <c r="P386" t="s">
        <v>965</v>
      </c>
      <c r="Q386" t="s">
        <v>20</v>
      </c>
      <c r="R386" t="str">
        <f>HYPERLINK("https://cfpub.epa.gov/ecotox/explore.cfm?ncbi=2585810","Explore in ECOTOX")</f>
        <v>Explore in ECOTOX</v>
      </c>
    </row>
    <row r="387" spans="1:18" x14ac:dyDescent="0.25">
      <c r="A387">
        <v>6</v>
      </c>
      <c r="B387" t="str">
        <f>HYPERLINK("http://www.ncbi.nlm.nih.gov/protein/NXF44689.1","NXF44689.1")</f>
        <v>NXF44689.1</v>
      </c>
      <c r="C387">
        <v>14303</v>
      </c>
      <c r="D387" t="str">
        <f>HYPERLINK("http://www.ncbi.nlm.nih.gov/Taxonomy/Browser/wwwtax.cgi?mode=Info&amp;id=79653&amp;lvl=3&amp;lin=f&amp;keep=1&amp;srchmode=1&amp;unlock","79653")</f>
        <v>79653</v>
      </c>
      <c r="E387" t="s">
        <v>167</v>
      </c>
      <c r="F387" t="s">
        <v>167</v>
      </c>
      <c r="G387" t="str">
        <f>HYPERLINK("http://www.ncbi.nlm.nih.gov/Taxonomy/Browser/wwwtax.cgi?mode=Info&amp;id=79653&amp;lvl=3&amp;lin=f&amp;keep=1&amp;srchmode=1&amp;unlock","Oceanites oceanicus")</f>
        <v>Oceanites oceanicus</v>
      </c>
      <c r="H387" t="s">
        <v>222</v>
      </c>
      <c r="I387" t="str">
        <f>HYPERLINK("http://www.ncbi.nlm.nih.gov/protein/NXF44689.1","ANDR protein")</f>
        <v>ANDR protein</v>
      </c>
      <c r="J387">
        <v>758.44</v>
      </c>
      <c r="K387" t="s">
        <v>25</v>
      </c>
      <c r="L387">
        <v>157</v>
      </c>
      <c r="M387">
        <v>44.41</v>
      </c>
      <c r="N387">
        <v>40.369999999999997</v>
      </c>
      <c r="O387" t="s">
        <v>20</v>
      </c>
      <c r="P387" t="s">
        <v>965</v>
      </c>
      <c r="Q387" t="s">
        <v>20</v>
      </c>
      <c r="R387" t="str">
        <f>HYPERLINK("https://cfpub.epa.gov/ecotox/explore.cfm?ncbi=79653","Explore in ECOTOX")</f>
        <v>Explore in ECOTOX</v>
      </c>
    </row>
    <row r="388" spans="1:18" x14ac:dyDescent="0.25">
      <c r="A388">
        <v>6</v>
      </c>
      <c r="B388" t="str">
        <f>HYPERLINK("http://www.ncbi.nlm.nih.gov/protein/NXI90338.1","NXI90338.1")</f>
        <v>NXI90338.1</v>
      </c>
      <c r="C388">
        <v>13920</v>
      </c>
      <c r="D388" t="str">
        <f>HYPERLINK("http://www.ncbi.nlm.nih.gov/Taxonomy/Browser/wwwtax.cgi?mode=Info&amp;id=54359&amp;lvl=3&amp;lin=f&amp;keep=1&amp;srchmode=1&amp;unlock","54359")</f>
        <v>54359</v>
      </c>
      <c r="E388" t="s">
        <v>167</v>
      </c>
      <c r="F388" t="s">
        <v>167</v>
      </c>
      <c r="G388" t="str">
        <f>HYPERLINK("http://www.ncbi.nlm.nih.gov/Taxonomy/Browser/wwwtax.cgi?mode=Info&amp;id=54359&amp;lvl=3&amp;lin=f&amp;keep=1&amp;srchmode=1&amp;unlock","Psophia crepitans")</f>
        <v>Psophia crepitans</v>
      </c>
      <c r="H388" t="s">
        <v>226</v>
      </c>
      <c r="I388" t="str">
        <f>HYPERLINK("http://www.ncbi.nlm.nih.gov/protein/NXI90338.1","ANDR protein")</f>
        <v>ANDR protein</v>
      </c>
      <c r="J388">
        <v>758.44</v>
      </c>
      <c r="K388" t="s">
        <v>25</v>
      </c>
      <c r="L388">
        <v>157</v>
      </c>
      <c r="M388">
        <v>44.41</v>
      </c>
      <c r="N388">
        <v>40.369999999999997</v>
      </c>
      <c r="O388" t="s">
        <v>20</v>
      </c>
      <c r="P388" t="s">
        <v>965</v>
      </c>
      <c r="Q388" t="s">
        <v>20</v>
      </c>
      <c r="R388" t="str">
        <f>HYPERLINK("https://cfpub.epa.gov/ecotox/explore.cfm?ncbi=54359","Explore in ECOTOX")</f>
        <v>Explore in ECOTOX</v>
      </c>
    </row>
    <row r="389" spans="1:18" x14ac:dyDescent="0.25">
      <c r="A389">
        <v>6</v>
      </c>
      <c r="B389" t="str">
        <f>HYPERLINK("http://www.ncbi.nlm.nih.gov/protein/NXL92296.1","NXL92296.1")</f>
        <v>NXL92296.1</v>
      </c>
      <c r="C389">
        <v>13493</v>
      </c>
      <c r="D389" t="str">
        <f>HYPERLINK("http://www.ncbi.nlm.nih.gov/Taxonomy/Browser/wwwtax.cgi?mode=Info&amp;id=81907&amp;lvl=3&amp;lin=f&amp;keep=1&amp;srchmode=1&amp;unlock","81907")</f>
        <v>81907</v>
      </c>
      <c r="E389" t="s">
        <v>167</v>
      </c>
      <c r="F389" t="s">
        <v>167</v>
      </c>
      <c r="G389" t="str">
        <f>HYPERLINK("http://www.ncbi.nlm.nih.gov/Taxonomy/Browser/wwwtax.cgi?mode=Info&amp;id=81907&amp;lvl=3&amp;lin=f&amp;keep=1&amp;srchmode=1&amp;unlock","Alectura lathami")</f>
        <v>Alectura lathami</v>
      </c>
      <c r="H389" t="s">
        <v>988</v>
      </c>
      <c r="I389" t="str">
        <f>HYPERLINK("http://www.ncbi.nlm.nih.gov/protein/NXL92296.1","ANDR protein")</f>
        <v>ANDR protein</v>
      </c>
      <c r="J389">
        <v>758.44</v>
      </c>
      <c r="K389" t="s">
        <v>25</v>
      </c>
      <c r="L389">
        <v>157</v>
      </c>
      <c r="M389">
        <v>44.41</v>
      </c>
      <c r="N389">
        <v>40.369999999999997</v>
      </c>
      <c r="O389" t="s">
        <v>20</v>
      </c>
      <c r="P389" t="s">
        <v>965</v>
      </c>
      <c r="Q389" t="s">
        <v>20</v>
      </c>
      <c r="R389" t="str">
        <f>HYPERLINK("https://cfpub.epa.gov/ecotox/explore.cfm?ncbi=81907","Explore in ECOTOX")</f>
        <v>Explore in ECOTOX</v>
      </c>
    </row>
    <row r="390" spans="1:18" x14ac:dyDescent="0.25">
      <c r="A390">
        <v>6</v>
      </c>
      <c r="B390" t="str">
        <f>HYPERLINK("http://www.ncbi.nlm.nih.gov/protein/NXR03292.1","NXR03292.1")</f>
        <v>NXR03292.1</v>
      </c>
      <c r="C390">
        <v>12894</v>
      </c>
      <c r="D390" t="str">
        <f>HYPERLINK("http://www.ncbi.nlm.nih.gov/Taxonomy/Browser/wwwtax.cgi?mode=Info&amp;id=56258&amp;lvl=3&amp;lin=f&amp;keep=1&amp;srchmode=1&amp;unlock","56258")</f>
        <v>56258</v>
      </c>
      <c r="E390" t="s">
        <v>167</v>
      </c>
      <c r="F390" t="s">
        <v>167</v>
      </c>
      <c r="G390" t="str">
        <f>HYPERLINK("http://www.ncbi.nlm.nih.gov/Taxonomy/Browser/wwwtax.cgi?mode=Info&amp;id=56258&amp;lvl=3&amp;lin=f&amp;keep=1&amp;srchmode=1&amp;unlock","Sagittarius serpentarius")</f>
        <v>Sagittarius serpentarius</v>
      </c>
      <c r="H390" t="s">
        <v>227</v>
      </c>
      <c r="I390" t="str">
        <f>HYPERLINK("http://www.ncbi.nlm.nih.gov/protein/NXR03292.1","ANDR protein")</f>
        <v>ANDR protein</v>
      </c>
      <c r="J390">
        <v>758.44</v>
      </c>
      <c r="K390" t="s">
        <v>25</v>
      </c>
      <c r="L390">
        <v>157</v>
      </c>
      <c r="M390">
        <v>44.41</v>
      </c>
      <c r="N390">
        <v>40.369999999999997</v>
      </c>
      <c r="O390" t="s">
        <v>20</v>
      </c>
      <c r="P390" t="s">
        <v>965</v>
      </c>
      <c r="Q390" t="s">
        <v>20</v>
      </c>
      <c r="R390" t="str">
        <f>HYPERLINK("https://cfpub.epa.gov/ecotox/explore.cfm?ncbi=56258","Explore in ECOTOX")</f>
        <v>Explore in ECOTOX</v>
      </c>
    </row>
    <row r="391" spans="1:18" x14ac:dyDescent="0.25">
      <c r="A391">
        <v>6</v>
      </c>
      <c r="B391" t="str">
        <f>HYPERLINK("http://www.ncbi.nlm.nih.gov/protein/NWV41644.1","NWV41644.1")</f>
        <v>NWV41644.1</v>
      </c>
      <c r="C391">
        <v>14091</v>
      </c>
      <c r="D391" t="str">
        <f>HYPERLINK("http://www.ncbi.nlm.nih.gov/Taxonomy/Browser/wwwtax.cgi?mode=Info&amp;id=266360&amp;lvl=3&amp;lin=f&amp;keep=1&amp;srchmode=1&amp;unlock","266360")</f>
        <v>266360</v>
      </c>
      <c r="E391" t="s">
        <v>167</v>
      </c>
      <c r="F391" t="s">
        <v>167</v>
      </c>
      <c r="G391" t="str">
        <f>HYPERLINK("http://www.ncbi.nlm.nih.gov/Taxonomy/Browser/wwwtax.cgi?mode=Info&amp;id=266360&amp;lvl=3&amp;lin=f&amp;keep=1&amp;srchmode=1&amp;unlock","Grantiella picta")</f>
        <v>Grantiella picta</v>
      </c>
      <c r="H391" t="s">
        <v>369</v>
      </c>
      <c r="I391" t="str">
        <f>HYPERLINK("http://www.ncbi.nlm.nih.gov/protein/NWV41644.1","ANDR protein")</f>
        <v>ANDR protein</v>
      </c>
      <c r="J391">
        <v>758.44</v>
      </c>
      <c r="K391" t="s">
        <v>25</v>
      </c>
      <c r="L391">
        <v>157</v>
      </c>
      <c r="M391">
        <v>44.41</v>
      </c>
      <c r="N391">
        <v>40.369999999999997</v>
      </c>
      <c r="O391" t="s">
        <v>20</v>
      </c>
      <c r="P391" t="s">
        <v>965</v>
      </c>
      <c r="Q391" t="s">
        <v>20</v>
      </c>
      <c r="R391" t="str">
        <f>HYPERLINK("https://cfpub.epa.gov/ecotox/explore.cfm?ncbi=266360","Explore in ECOTOX")</f>
        <v>Explore in ECOTOX</v>
      </c>
    </row>
    <row r="392" spans="1:18" x14ac:dyDescent="0.25">
      <c r="A392">
        <v>6</v>
      </c>
      <c r="B392" t="str">
        <f>HYPERLINK("http://www.ncbi.nlm.nih.gov/protein/NWS20324.1","NWS20324.1")</f>
        <v>NWS20324.1</v>
      </c>
      <c r="C392">
        <v>13757</v>
      </c>
      <c r="D392" t="str">
        <f>HYPERLINK("http://www.ncbi.nlm.nih.gov/Taxonomy/Browser/wwwtax.cgi?mode=Info&amp;id=369605&amp;lvl=3&amp;lin=f&amp;keep=1&amp;srchmode=1&amp;unlock","369605")</f>
        <v>369605</v>
      </c>
      <c r="E392" t="s">
        <v>167</v>
      </c>
      <c r="F392" t="s">
        <v>167</v>
      </c>
      <c r="G392" t="str">
        <f>HYPERLINK("http://www.ncbi.nlm.nih.gov/Taxonomy/Browser/wwwtax.cgi?mode=Info&amp;id=369605&amp;lvl=3&amp;lin=f&amp;keep=1&amp;srchmode=1&amp;unlock","Pachyramphus minor")</f>
        <v>Pachyramphus minor</v>
      </c>
      <c r="H392" t="s">
        <v>206</v>
      </c>
      <c r="I392" t="str">
        <f>HYPERLINK("http://www.ncbi.nlm.nih.gov/protein/NWS20324.1","ANDR protein")</f>
        <v>ANDR protein</v>
      </c>
      <c r="J392">
        <v>758.06</v>
      </c>
      <c r="K392" t="s">
        <v>25</v>
      </c>
      <c r="L392">
        <v>157</v>
      </c>
      <c r="M392">
        <v>44.41</v>
      </c>
      <c r="N392">
        <v>40.35</v>
      </c>
      <c r="O392" t="s">
        <v>20</v>
      </c>
      <c r="P392" t="s">
        <v>965</v>
      </c>
      <c r="Q392" t="s">
        <v>20</v>
      </c>
      <c r="R392" t="str">
        <f>HYPERLINK("https://cfpub.epa.gov/ecotox/explore.cfm?ncbi=369605","Explore in ECOTOX")</f>
        <v>Explore in ECOTOX</v>
      </c>
    </row>
    <row r="393" spans="1:18" x14ac:dyDescent="0.25">
      <c r="A393">
        <v>6</v>
      </c>
      <c r="B393" t="str">
        <f>HYPERLINK("http://www.ncbi.nlm.nih.gov/protein/NXG18636.1","NXG18636.1")</f>
        <v>NXG18636.1</v>
      </c>
      <c r="C393">
        <v>13957</v>
      </c>
      <c r="D393" t="str">
        <f>HYPERLINK("http://www.ncbi.nlm.nih.gov/Taxonomy/Browser/wwwtax.cgi?mode=Info&amp;id=117165&amp;lvl=3&amp;lin=f&amp;keep=1&amp;srchmode=1&amp;unlock","117165")</f>
        <v>117165</v>
      </c>
      <c r="E393" t="s">
        <v>167</v>
      </c>
      <c r="F393" t="s">
        <v>167</v>
      </c>
      <c r="G393" t="str">
        <f>HYPERLINK("http://www.ncbi.nlm.nih.gov/Taxonomy/Browser/wwwtax.cgi?mode=Info&amp;id=117165&amp;lvl=3&amp;lin=f&amp;keep=1&amp;srchmode=1&amp;unlock","Grallaria varia")</f>
        <v>Grallaria varia</v>
      </c>
      <c r="H393" t="s">
        <v>400</v>
      </c>
      <c r="I393" t="str">
        <f>HYPERLINK("http://www.ncbi.nlm.nih.gov/protein/NXG18636.1","ANDR protein")</f>
        <v>ANDR protein</v>
      </c>
      <c r="J393">
        <v>758.06</v>
      </c>
      <c r="K393" t="s">
        <v>25</v>
      </c>
      <c r="L393">
        <v>157</v>
      </c>
      <c r="M393">
        <v>44.41</v>
      </c>
      <c r="N393">
        <v>40.35</v>
      </c>
      <c r="O393" t="s">
        <v>20</v>
      </c>
      <c r="P393" t="s">
        <v>965</v>
      </c>
      <c r="Q393" t="s">
        <v>20</v>
      </c>
      <c r="R393" t="str">
        <f>HYPERLINK("https://cfpub.epa.gov/ecotox/explore.cfm?ncbi=117165","Explore in ECOTOX")</f>
        <v>Explore in ECOTOX</v>
      </c>
    </row>
    <row r="394" spans="1:18" x14ac:dyDescent="0.25">
      <c r="A394">
        <v>6</v>
      </c>
      <c r="B394" t="str">
        <f>HYPERLINK("http://www.ncbi.nlm.nih.gov/protein/NWQ82911.1","NWQ82911.1")</f>
        <v>NWQ82911.1</v>
      </c>
      <c r="C394">
        <v>12327</v>
      </c>
      <c r="D394" t="str">
        <f>HYPERLINK("http://www.ncbi.nlm.nih.gov/Taxonomy/Browser/wwwtax.cgi?mode=Info&amp;id=115618&amp;lvl=3&amp;lin=f&amp;keep=1&amp;srchmode=1&amp;unlock","115618")</f>
        <v>115618</v>
      </c>
      <c r="E394" t="s">
        <v>167</v>
      </c>
      <c r="F394" t="s">
        <v>167</v>
      </c>
      <c r="G394" t="str">
        <f>HYPERLINK("http://www.ncbi.nlm.nih.gov/Taxonomy/Browser/wwwtax.cgi?mode=Info&amp;id=115618&amp;lvl=3&amp;lin=f&amp;keep=1&amp;srchmode=1&amp;unlock","Columbina picui")</f>
        <v>Columbina picui</v>
      </c>
      <c r="H394" t="s">
        <v>406</v>
      </c>
      <c r="I394" t="str">
        <f>HYPERLINK("http://www.ncbi.nlm.nih.gov/protein/NWQ82911.1","ANDR protein")</f>
        <v>ANDR protein</v>
      </c>
      <c r="J394">
        <v>758.06</v>
      </c>
      <c r="K394" t="s">
        <v>25</v>
      </c>
      <c r="L394">
        <v>157</v>
      </c>
      <c r="M394">
        <v>44.41</v>
      </c>
      <c r="N394">
        <v>40.35</v>
      </c>
      <c r="O394" t="s">
        <v>20</v>
      </c>
      <c r="P394" t="s">
        <v>965</v>
      </c>
      <c r="Q394" t="s">
        <v>20</v>
      </c>
      <c r="R394" t="str">
        <f>HYPERLINK("https://cfpub.epa.gov/ecotox/explore.cfm?ncbi=115618","Explore in ECOTOX")</f>
        <v>Explore in ECOTOX</v>
      </c>
    </row>
    <row r="395" spans="1:18" x14ac:dyDescent="0.25">
      <c r="A395">
        <v>6</v>
      </c>
      <c r="B395" t="str">
        <f>HYPERLINK("http://www.ncbi.nlm.nih.gov/protein/NXM14711.1","NXM14711.1")</f>
        <v>NXM14711.1</v>
      </c>
      <c r="C395">
        <v>13548</v>
      </c>
      <c r="D395" t="str">
        <f>HYPERLINK("http://www.ncbi.nlm.nih.gov/Taxonomy/Browser/wwwtax.cgi?mode=Info&amp;id=441696&amp;lvl=3&amp;lin=f&amp;keep=1&amp;srchmode=1&amp;unlock","441696")</f>
        <v>441696</v>
      </c>
      <c r="E395" t="s">
        <v>167</v>
      </c>
      <c r="F395" t="s">
        <v>167</v>
      </c>
      <c r="G395" t="str">
        <f>HYPERLINK("http://www.ncbi.nlm.nih.gov/Taxonomy/Browser/wwwtax.cgi?mode=Info&amp;id=441696&amp;lvl=3&amp;lin=f&amp;keep=1&amp;srchmode=1&amp;unlock","Ploceus nigricollis")</f>
        <v>Ploceus nigricollis</v>
      </c>
      <c r="H395" t="s">
        <v>206</v>
      </c>
      <c r="I395" t="str">
        <f>HYPERLINK("http://www.ncbi.nlm.nih.gov/protein/NXM14711.1","ANDR protein")</f>
        <v>ANDR protein</v>
      </c>
      <c r="J395">
        <v>757.67</v>
      </c>
      <c r="K395" t="s">
        <v>25</v>
      </c>
      <c r="L395">
        <v>157</v>
      </c>
      <c r="M395">
        <v>44.41</v>
      </c>
      <c r="N395">
        <v>40.33</v>
      </c>
      <c r="O395" t="s">
        <v>20</v>
      </c>
      <c r="P395" t="s">
        <v>965</v>
      </c>
      <c r="Q395" t="s">
        <v>20</v>
      </c>
      <c r="R395" t="str">
        <f>HYPERLINK("https://cfpub.epa.gov/ecotox/explore.cfm?ncbi=441696","Explore in ECOTOX")</f>
        <v>Explore in ECOTOX</v>
      </c>
    </row>
    <row r="396" spans="1:18" x14ac:dyDescent="0.25">
      <c r="A396">
        <v>6</v>
      </c>
      <c r="B396" t="str">
        <f>HYPERLINK("http://www.ncbi.nlm.nih.gov/protein/KFQ43923.1","KFQ43923.1")</f>
        <v>KFQ43923.1</v>
      </c>
      <c r="C396">
        <v>27832</v>
      </c>
      <c r="D396" t="str">
        <f>HYPERLINK("http://www.ncbi.nlm.nih.gov/Taxonomy/Browser/wwwtax.cgi?mode=Info&amp;id=176057&amp;lvl=3&amp;lin=f&amp;keep=1&amp;srchmode=1&amp;unlock","176057")</f>
        <v>176057</v>
      </c>
      <c r="E396" t="s">
        <v>167</v>
      </c>
      <c r="F396" t="s">
        <v>167</v>
      </c>
      <c r="G396" t="str">
        <f>HYPERLINK("http://www.ncbi.nlm.nih.gov/Taxonomy/Browser/wwwtax.cgi?mode=Info&amp;id=176057&amp;lvl=3&amp;lin=f&amp;keep=1&amp;srchmode=1&amp;unlock","Nestor notabilis")</f>
        <v>Nestor notabilis</v>
      </c>
      <c r="H396" t="s">
        <v>230</v>
      </c>
      <c r="I396" t="str">
        <f>HYPERLINK("http://www.ncbi.nlm.nih.gov/protein/KFQ43923.1","Androgen receptor, partial")</f>
        <v>Androgen receptor, partial</v>
      </c>
      <c r="J396">
        <v>757.67</v>
      </c>
      <c r="K396" t="s">
        <v>25</v>
      </c>
      <c r="L396">
        <v>157</v>
      </c>
      <c r="M396">
        <v>44.41</v>
      </c>
      <c r="N396">
        <v>40.33</v>
      </c>
      <c r="O396" t="s">
        <v>20</v>
      </c>
      <c r="P396" t="s">
        <v>965</v>
      </c>
      <c r="Q396" t="s">
        <v>20</v>
      </c>
      <c r="R396" t="str">
        <f>HYPERLINK("https://cfpub.epa.gov/ecotox/explore.cfm?ncbi=176057","Explore in ECOTOX")</f>
        <v>Explore in ECOTOX</v>
      </c>
    </row>
    <row r="397" spans="1:18" x14ac:dyDescent="0.25">
      <c r="A397">
        <v>6</v>
      </c>
      <c r="B397" t="str">
        <f>HYPERLINK("http://www.ncbi.nlm.nih.gov/protein/NWR08977.1","NWR08977.1")</f>
        <v>NWR08977.1</v>
      </c>
      <c r="C397">
        <v>14772</v>
      </c>
      <c r="D397" t="str">
        <f>HYPERLINK("http://www.ncbi.nlm.nih.gov/Taxonomy/Browser/wwwtax.cgi?mode=Info&amp;id=337173&amp;lvl=3&amp;lin=f&amp;keep=1&amp;srchmode=1&amp;unlock","337173")</f>
        <v>337173</v>
      </c>
      <c r="E397" t="s">
        <v>167</v>
      </c>
      <c r="F397" t="s">
        <v>167</v>
      </c>
      <c r="G397" t="str">
        <f>HYPERLINK("http://www.ncbi.nlm.nih.gov/Taxonomy/Browser/wwwtax.cgi?mode=Info&amp;id=337173&amp;lvl=3&amp;lin=f&amp;keep=1&amp;srchmode=1&amp;unlock","Sinosuthora webbiana")</f>
        <v>Sinosuthora webbiana</v>
      </c>
      <c r="H397" t="s">
        <v>503</v>
      </c>
      <c r="I397" t="str">
        <f>HYPERLINK("http://www.ncbi.nlm.nih.gov/protein/NWR08977.1","ANDR protein")</f>
        <v>ANDR protein</v>
      </c>
      <c r="J397">
        <v>757.67</v>
      </c>
      <c r="K397" t="s">
        <v>25</v>
      </c>
      <c r="L397">
        <v>157</v>
      </c>
      <c r="M397">
        <v>44.41</v>
      </c>
      <c r="N397">
        <v>40.33</v>
      </c>
      <c r="O397" t="s">
        <v>20</v>
      </c>
      <c r="P397" t="s">
        <v>965</v>
      </c>
      <c r="Q397" t="s">
        <v>20</v>
      </c>
      <c r="R397" t="str">
        <f>HYPERLINK("https://cfpub.epa.gov/ecotox/explore.cfm?ncbi=337173","Explore in ECOTOX")</f>
        <v>Explore in ECOTOX</v>
      </c>
    </row>
    <row r="398" spans="1:18" x14ac:dyDescent="0.25">
      <c r="A398">
        <v>6</v>
      </c>
      <c r="B398" t="str">
        <f>HYPERLINK("http://www.ncbi.nlm.nih.gov/protein/NXV05165.1","NXV05165.1")</f>
        <v>NXV05165.1</v>
      </c>
      <c r="C398">
        <v>14925</v>
      </c>
      <c r="D398" t="str">
        <f>HYPERLINK("http://www.ncbi.nlm.nih.gov/Taxonomy/Browser/wwwtax.cgi?mode=Info&amp;id=68486&amp;lvl=3&amp;lin=f&amp;keep=1&amp;srchmode=1&amp;unlock","68486")</f>
        <v>68486</v>
      </c>
      <c r="E398" t="s">
        <v>167</v>
      </c>
      <c r="F398" t="s">
        <v>167</v>
      </c>
      <c r="G398" t="str">
        <f>HYPERLINK("http://www.ncbi.nlm.nih.gov/Taxonomy/Browser/wwwtax.cgi?mode=Info&amp;id=68486&amp;lvl=3&amp;lin=f&amp;keep=1&amp;srchmode=1&amp;unlock","Cettia cetti")</f>
        <v>Cettia cetti</v>
      </c>
      <c r="H398" t="s">
        <v>395</v>
      </c>
      <c r="I398" t="str">
        <f>HYPERLINK("http://www.ncbi.nlm.nih.gov/protein/NXV05165.1","ANDR protein")</f>
        <v>ANDR protein</v>
      </c>
      <c r="J398">
        <v>757.67</v>
      </c>
      <c r="K398" t="s">
        <v>25</v>
      </c>
      <c r="L398">
        <v>157</v>
      </c>
      <c r="M398">
        <v>44.41</v>
      </c>
      <c r="N398">
        <v>40.33</v>
      </c>
      <c r="O398" t="s">
        <v>20</v>
      </c>
      <c r="P398" t="s">
        <v>965</v>
      </c>
      <c r="Q398" t="s">
        <v>20</v>
      </c>
      <c r="R398" t="str">
        <f>HYPERLINK("https://cfpub.epa.gov/ecotox/explore.cfm?ncbi=68486","Explore in ECOTOX")</f>
        <v>Explore in ECOTOX</v>
      </c>
    </row>
    <row r="399" spans="1:18" x14ac:dyDescent="0.25">
      <c r="A399">
        <v>6</v>
      </c>
      <c r="B399" t="str">
        <f>HYPERLINK("http://www.ncbi.nlm.nih.gov/protein/NXT34331.1","NXT34331.1")</f>
        <v>NXT34331.1</v>
      </c>
      <c r="C399">
        <v>14805</v>
      </c>
      <c r="D399" t="str">
        <f>HYPERLINK("http://www.ncbi.nlm.nih.gov/Taxonomy/Browser/wwwtax.cgi?mode=Info&amp;id=37079&amp;lvl=3&amp;lin=f&amp;keep=1&amp;srchmode=1&amp;unlock","37079")</f>
        <v>37079</v>
      </c>
      <c r="E399" t="s">
        <v>167</v>
      </c>
      <c r="F399" t="s">
        <v>167</v>
      </c>
      <c r="G399" t="str">
        <f>HYPERLINK("http://www.ncbi.nlm.nih.gov/Taxonomy/Browser/wwwtax.cgi?mode=Info&amp;id=37079&amp;lvl=3&amp;lin=f&amp;keep=1&amp;srchmode=1&amp;unlock","Pelecanoides urinatrix")</f>
        <v>Pelecanoides urinatrix</v>
      </c>
      <c r="H399" t="s">
        <v>179</v>
      </c>
      <c r="I399" t="str">
        <f>HYPERLINK("http://www.ncbi.nlm.nih.gov/protein/NXT34331.1","ANDR protein")</f>
        <v>ANDR protein</v>
      </c>
      <c r="J399">
        <v>757.29</v>
      </c>
      <c r="K399" t="s">
        <v>25</v>
      </c>
      <c r="L399">
        <v>157</v>
      </c>
      <c r="M399">
        <v>44.41</v>
      </c>
      <c r="N399">
        <v>40.31</v>
      </c>
      <c r="O399" t="s">
        <v>20</v>
      </c>
      <c r="P399" t="s">
        <v>965</v>
      </c>
      <c r="Q399" t="s">
        <v>20</v>
      </c>
      <c r="R399" t="str">
        <f>HYPERLINK("https://cfpub.epa.gov/ecotox/explore.cfm?ncbi=37079","Explore in ECOTOX")</f>
        <v>Explore in ECOTOX</v>
      </c>
    </row>
    <row r="400" spans="1:18" x14ac:dyDescent="0.25">
      <c r="A400">
        <v>6</v>
      </c>
      <c r="B400" t="str">
        <f>HYPERLINK("http://www.ncbi.nlm.nih.gov/protein/NWS71072.1","NWS71072.1")</f>
        <v>NWS71072.1</v>
      </c>
      <c r="C400">
        <v>13919</v>
      </c>
      <c r="D400" t="str">
        <f>HYPERLINK("http://www.ncbi.nlm.nih.gov/Taxonomy/Browser/wwwtax.cgi?mode=Info&amp;id=33598&amp;lvl=3&amp;lin=f&amp;keep=1&amp;srchmode=1&amp;unlock","33598")</f>
        <v>33598</v>
      </c>
      <c r="E400" t="s">
        <v>167</v>
      </c>
      <c r="F400" t="s">
        <v>167</v>
      </c>
      <c r="G400" t="str">
        <f>HYPERLINK("http://www.ncbi.nlm.nih.gov/Taxonomy/Browser/wwwtax.cgi?mode=Info&amp;id=33598&amp;lvl=3&amp;lin=f&amp;keep=1&amp;srchmode=1&amp;unlock","Crotophaga sulcirostris")</f>
        <v>Crotophaga sulcirostris</v>
      </c>
      <c r="H400" t="s">
        <v>559</v>
      </c>
      <c r="I400" t="str">
        <f>HYPERLINK("http://www.ncbi.nlm.nih.gov/protein/NWS71072.1","ANDR protein")</f>
        <v>ANDR protein</v>
      </c>
      <c r="J400">
        <v>757.29</v>
      </c>
      <c r="K400" t="s">
        <v>25</v>
      </c>
      <c r="L400">
        <v>157</v>
      </c>
      <c r="M400">
        <v>44.41</v>
      </c>
      <c r="N400">
        <v>40.31</v>
      </c>
      <c r="O400" t="s">
        <v>20</v>
      </c>
      <c r="P400" t="s">
        <v>965</v>
      </c>
      <c r="Q400" t="s">
        <v>20</v>
      </c>
      <c r="R400" t="str">
        <f>HYPERLINK("https://cfpub.epa.gov/ecotox/explore.cfm?ncbi=33598","Explore in ECOTOX")</f>
        <v>Explore in ECOTOX</v>
      </c>
    </row>
    <row r="401" spans="1:18" x14ac:dyDescent="0.25">
      <c r="A401">
        <v>6</v>
      </c>
      <c r="B401" t="str">
        <f>HYPERLINK("http://www.ncbi.nlm.nih.gov/protein/NXU90185.1","NXU90185.1")</f>
        <v>NXU90185.1</v>
      </c>
      <c r="C401">
        <v>13565</v>
      </c>
      <c r="D401" t="str">
        <f>HYPERLINK("http://www.ncbi.nlm.nih.gov/Taxonomy/Browser/wwwtax.cgi?mode=Info&amp;id=269412&amp;lvl=3&amp;lin=f&amp;keep=1&amp;srchmode=1&amp;unlock","269412")</f>
        <v>269412</v>
      </c>
      <c r="E401" t="s">
        <v>167</v>
      </c>
      <c r="F401" t="s">
        <v>167</v>
      </c>
      <c r="G401" t="str">
        <f>HYPERLINK("http://www.ncbi.nlm.nih.gov/Taxonomy/Browser/wwwtax.cgi?mode=Info&amp;id=269412&amp;lvl=3&amp;lin=f&amp;keep=1&amp;srchmode=1&amp;unlock","Xiphorhynchus elegans")</f>
        <v>Xiphorhynchus elegans</v>
      </c>
      <c r="H401" t="s">
        <v>404</v>
      </c>
      <c r="I401" t="str">
        <f>HYPERLINK("http://www.ncbi.nlm.nih.gov/protein/NXU90185.1","ANDR protein")</f>
        <v>ANDR protein</v>
      </c>
      <c r="J401">
        <v>757.29</v>
      </c>
      <c r="K401" t="s">
        <v>25</v>
      </c>
      <c r="L401">
        <v>157</v>
      </c>
      <c r="M401">
        <v>44.41</v>
      </c>
      <c r="N401">
        <v>40.31</v>
      </c>
      <c r="O401" t="s">
        <v>20</v>
      </c>
      <c r="P401" t="s">
        <v>965</v>
      </c>
      <c r="Q401" t="s">
        <v>20</v>
      </c>
      <c r="R401" t="str">
        <f>HYPERLINK("https://cfpub.epa.gov/ecotox/explore.cfm?ncbi=269412","Explore in ECOTOX")</f>
        <v>Explore in ECOTOX</v>
      </c>
    </row>
    <row r="402" spans="1:18" x14ac:dyDescent="0.25">
      <c r="A402">
        <v>6</v>
      </c>
      <c r="B402" t="str">
        <f>HYPERLINK("http://www.ncbi.nlm.nih.gov/protein/NXI52087.1","NXI52087.1")</f>
        <v>NXI52087.1</v>
      </c>
      <c r="C402">
        <v>12275</v>
      </c>
      <c r="D402" t="str">
        <f>HYPERLINK("http://www.ncbi.nlm.nih.gov/Taxonomy/Browser/wwwtax.cgi?mode=Info&amp;id=176938&amp;lvl=3&amp;lin=f&amp;keep=1&amp;srchmode=1&amp;unlock","176938")</f>
        <v>176938</v>
      </c>
      <c r="E402" t="s">
        <v>167</v>
      </c>
      <c r="F402" t="s">
        <v>167</v>
      </c>
      <c r="G402" t="str">
        <f>HYPERLINK("http://www.ncbi.nlm.nih.gov/Taxonomy/Browser/wwwtax.cgi?mode=Info&amp;id=176938&amp;lvl=3&amp;lin=f&amp;keep=1&amp;srchmode=1&amp;unlock","Chloroceryle aenea")</f>
        <v>Chloroceryle aenea</v>
      </c>
      <c r="H402" t="s">
        <v>225</v>
      </c>
      <c r="I402" t="str">
        <f>HYPERLINK("http://www.ncbi.nlm.nih.gov/protein/NXI52087.1","ANDR protein")</f>
        <v>ANDR protein</v>
      </c>
      <c r="J402">
        <v>757.29</v>
      </c>
      <c r="K402" t="s">
        <v>25</v>
      </c>
      <c r="L402">
        <v>157</v>
      </c>
      <c r="M402">
        <v>44.41</v>
      </c>
      <c r="N402">
        <v>40.31</v>
      </c>
      <c r="O402" t="s">
        <v>20</v>
      </c>
      <c r="P402" t="s">
        <v>965</v>
      </c>
      <c r="Q402" t="s">
        <v>20</v>
      </c>
      <c r="R402" t="str">
        <f>HYPERLINK("https://cfpub.epa.gov/ecotox/explore.cfm?ncbi=176938","Explore in ECOTOX")</f>
        <v>Explore in ECOTOX</v>
      </c>
    </row>
    <row r="403" spans="1:18" x14ac:dyDescent="0.25">
      <c r="A403">
        <v>6</v>
      </c>
      <c r="B403" t="str">
        <f>HYPERLINK("http://www.ncbi.nlm.nih.gov/protein/KFR12888.1","KFR12888.1")</f>
        <v>KFR12888.1</v>
      </c>
      <c r="C403">
        <v>27858</v>
      </c>
      <c r="D403" t="str">
        <f>HYPERLINK("http://www.ncbi.nlm.nih.gov/Taxonomy/Browser/wwwtax.cgi?mode=Info&amp;id=30419&amp;lvl=3&amp;lin=f&amp;keep=1&amp;srchmode=1&amp;unlock","30419")</f>
        <v>30419</v>
      </c>
      <c r="E403" t="s">
        <v>167</v>
      </c>
      <c r="F403" t="s">
        <v>167</v>
      </c>
      <c r="G403" t="str">
        <f>HYPERLINK("http://www.ncbi.nlm.nih.gov/Taxonomy/Browser/wwwtax.cgi?mode=Info&amp;id=30419&amp;lvl=3&amp;lin=f&amp;keep=1&amp;srchmode=1&amp;unlock","Opisthocomus hoazin")</f>
        <v>Opisthocomus hoazin</v>
      </c>
      <c r="H403" t="s">
        <v>377</v>
      </c>
      <c r="I403" t="str">
        <f>HYPERLINK("http://www.ncbi.nlm.nih.gov/protein/KFR12888.1","Androgen receptor, partial")</f>
        <v>Androgen receptor, partial</v>
      </c>
      <c r="J403">
        <v>756.9</v>
      </c>
      <c r="K403" t="s">
        <v>25</v>
      </c>
      <c r="L403">
        <v>157</v>
      </c>
      <c r="M403">
        <v>44.41</v>
      </c>
      <c r="N403">
        <v>40.29</v>
      </c>
      <c r="O403" t="s">
        <v>20</v>
      </c>
      <c r="P403" t="s">
        <v>965</v>
      </c>
      <c r="Q403" t="s">
        <v>20</v>
      </c>
      <c r="R403" t="str">
        <f>HYPERLINK("https://cfpub.epa.gov/ecotox/explore.cfm?ncbi=30419","Explore in ECOTOX")</f>
        <v>Explore in ECOTOX</v>
      </c>
    </row>
    <row r="404" spans="1:18" x14ac:dyDescent="0.25">
      <c r="A404">
        <v>6</v>
      </c>
      <c r="B404" t="str">
        <f>HYPERLINK("http://www.ncbi.nlm.nih.gov/protein/XP_009878987.1","XP_009878987.1")</f>
        <v>XP_009878987.1</v>
      </c>
      <c r="C404">
        <v>30700</v>
      </c>
      <c r="D404" t="str">
        <f>HYPERLINK("http://www.ncbi.nlm.nih.gov/Taxonomy/Browser/wwwtax.cgi?mode=Info&amp;id=50402&amp;lvl=3&amp;lin=f&amp;keep=1&amp;srchmode=1&amp;unlock","50402")</f>
        <v>50402</v>
      </c>
      <c r="E404" t="s">
        <v>167</v>
      </c>
      <c r="F404" t="s">
        <v>167</v>
      </c>
      <c r="G404" t="str">
        <f>HYPERLINK("http://www.ncbi.nlm.nih.gov/Taxonomy/Browser/wwwtax.cgi?mode=Info&amp;id=50402&amp;lvl=3&amp;lin=f&amp;keep=1&amp;srchmode=1&amp;unlock","Charadrius vociferus")</f>
        <v>Charadrius vociferus</v>
      </c>
      <c r="H404" t="s">
        <v>258</v>
      </c>
      <c r="I404" t="str">
        <f>HYPERLINK("http://www.ncbi.nlm.nih.gov/protein/XP_009878987.1","PREDICTED: androgen receptor")</f>
        <v>PREDICTED: androgen receptor</v>
      </c>
      <c r="J404">
        <v>756.9</v>
      </c>
      <c r="K404" t="s">
        <v>25</v>
      </c>
      <c r="L404">
        <v>157</v>
      </c>
      <c r="M404">
        <v>44.41</v>
      </c>
      <c r="N404">
        <v>40.29</v>
      </c>
      <c r="O404" t="s">
        <v>20</v>
      </c>
      <c r="P404" t="s">
        <v>965</v>
      </c>
      <c r="Q404" t="s">
        <v>20</v>
      </c>
      <c r="R404" t="str">
        <f>HYPERLINK("https://cfpub.epa.gov/ecotox/explore.cfm?ncbi=50402","Explore in ECOTOX")</f>
        <v>Explore in ECOTOX</v>
      </c>
    </row>
    <row r="405" spans="1:18" x14ac:dyDescent="0.25">
      <c r="A405">
        <v>6</v>
      </c>
      <c r="B405" t="str">
        <f>HYPERLINK("http://www.ncbi.nlm.nih.gov/protein/NXP75223.1","NXP75223.1")</f>
        <v>NXP75223.1</v>
      </c>
      <c r="C405">
        <v>14056</v>
      </c>
      <c r="D405" t="str">
        <f>HYPERLINK("http://www.ncbi.nlm.nih.gov/Taxonomy/Browser/wwwtax.cgi?mode=Info&amp;id=322582&amp;lvl=3&amp;lin=f&amp;keep=1&amp;srchmode=1&amp;unlock","322582")</f>
        <v>322582</v>
      </c>
      <c r="E405" t="s">
        <v>167</v>
      </c>
      <c r="F405" t="s">
        <v>167</v>
      </c>
      <c r="G405" t="str">
        <f>HYPERLINK("http://www.ncbi.nlm.nih.gov/Taxonomy/Browser/wwwtax.cgi?mode=Info&amp;id=322582&amp;lvl=3&amp;lin=f&amp;keep=1&amp;srchmode=1&amp;unlock","Ramphastos sulfuratus")</f>
        <v>Ramphastos sulfuratus</v>
      </c>
      <c r="H405" t="s">
        <v>262</v>
      </c>
      <c r="I405" t="str">
        <f>HYPERLINK("http://www.ncbi.nlm.nih.gov/protein/NXP75223.1","ANDR protein")</f>
        <v>ANDR protein</v>
      </c>
      <c r="J405">
        <v>756.9</v>
      </c>
      <c r="K405" t="s">
        <v>25</v>
      </c>
      <c r="L405">
        <v>157</v>
      </c>
      <c r="M405">
        <v>44.41</v>
      </c>
      <c r="N405">
        <v>40.29</v>
      </c>
      <c r="O405" t="s">
        <v>20</v>
      </c>
      <c r="P405" t="s">
        <v>965</v>
      </c>
      <c r="Q405" t="s">
        <v>20</v>
      </c>
      <c r="R405" t="str">
        <f>HYPERLINK("https://cfpub.epa.gov/ecotox/explore.cfm?ncbi=322582","Explore in ECOTOX")</f>
        <v>Explore in ECOTOX</v>
      </c>
    </row>
    <row r="406" spans="1:18" x14ac:dyDescent="0.25">
      <c r="A406">
        <v>6</v>
      </c>
      <c r="B406" t="str">
        <f>HYPERLINK("http://www.ncbi.nlm.nih.gov/protein/NWS59470.1","NWS59470.1")</f>
        <v>NWS59470.1</v>
      </c>
      <c r="C406">
        <v>14433</v>
      </c>
      <c r="D406" t="str">
        <f>HYPERLINK("http://www.ncbi.nlm.nih.gov/Taxonomy/Browser/wwwtax.cgi?mode=Info&amp;id=1352770&amp;lvl=3&amp;lin=f&amp;keep=1&amp;srchmode=1&amp;unlock","1352770")</f>
        <v>1352770</v>
      </c>
      <c r="E406" t="s">
        <v>167</v>
      </c>
      <c r="F406" t="s">
        <v>167</v>
      </c>
      <c r="G406" t="str">
        <f>HYPERLINK("http://www.ncbi.nlm.nih.gov/Taxonomy/Browser/wwwtax.cgi?mode=Info&amp;id=1352770&amp;lvl=3&amp;lin=f&amp;keep=1&amp;srchmode=1&amp;unlock","Chunga burmeisteri")</f>
        <v>Chunga burmeisteri</v>
      </c>
      <c r="H406" t="s">
        <v>279</v>
      </c>
      <c r="I406" t="str">
        <f>HYPERLINK("http://www.ncbi.nlm.nih.gov/protein/NWS59470.1","ANDR protein")</f>
        <v>ANDR protein</v>
      </c>
      <c r="J406">
        <v>756.52</v>
      </c>
      <c r="K406" t="s">
        <v>25</v>
      </c>
      <c r="L406">
        <v>157</v>
      </c>
      <c r="M406">
        <v>44.41</v>
      </c>
      <c r="N406">
        <v>40.270000000000003</v>
      </c>
      <c r="O406" t="s">
        <v>20</v>
      </c>
      <c r="P406" t="s">
        <v>965</v>
      </c>
      <c r="Q406" t="s">
        <v>20</v>
      </c>
      <c r="R406" t="str">
        <f>HYPERLINK("https://cfpub.epa.gov/ecotox/explore.cfm?ncbi=1352770","Explore in ECOTOX")</f>
        <v>Explore in ECOTOX</v>
      </c>
    </row>
    <row r="407" spans="1:18" x14ac:dyDescent="0.25">
      <c r="A407">
        <v>6</v>
      </c>
      <c r="B407" t="str">
        <f>HYPERLINK("http://www.ncbi.nlm.nih.gov/protein/NXX93605.1","NXX93605.1")</f>
        <v>NXX93605.1</v>
      </c>
      <c r="C407">
        <v>13206</v>
      </c>
      <c r="D407" t="str">
        <f>HYPERLINK("http://www.ncbi.nlm.nih.gov/Taxonomy/Browser/wwwtax.cgi?mode=Info&amp;id=1463675&amp;lvl=3&amp;lin=f&amp;keep=1&amp;srchmode=1&amp;unlock","1463675")</f>
        <v>1463675</v>
      </c>
      <c r="E407" t="s">
        <v>167</v>
      </c>
      <c r="F407" t="s">
        <v>167</v>
      </c>
      <c r="G407" t="str">
        <f>HYPERLINK("http://www.ncbi.nlm.nih.gov/Taxonomy/Browser/wwwtax.cgi?mode=Info&amp;id=1463675&amp;lvl=3&amp;lin=f&amp;keep=1&amp;srchmode=1&amp;unlock","Centropus bengalensis")</f>
        <v>Centropus bengalensis</v>
      </c>
      <c r="H407" t="s">
        <v>254</v>
      </c>
      <c r="I407" t="str">
        <f>HYPERLINK("http://www.ncbi.nlm.nih.gov/protein/NXX93605.1","ANDR protein")</f>
        <v>ANDR protein</v>
      </c>
      <c r="J407">
        <v>756.52</v>
      </c>
      <c r="K407" t="s">
        <v>25</v>
      </c>
      <c r="L407">
        <v>157</v>
      </c>
      <c r="M407">
        <v>44.41</v>
      </c>
      <c r="N407">
        <v>40.270000000000003</v>
      </c>
      <c r="O407" t="s">
        <v>20</v>
      </c>
      <c r="P407" t="s">
        <v>965</v>
      </c>
      <c r="Q407" t="s">
        <v>20</v>
      </c>
      <c r="R407" t="str">
        <f>HYPERLINK("https://cfpub.epa.gov/ecotox/explore.cfm?ncbi=1463675","Explore in ECOTOX")</f>
        <v>Explore in ECOTOX</v>
      </c>
    </row>
    <row r="408" spans="1:18" x14ac:dyDescent="0.25">
      <c r="A408">
        <v>6</v>
      </c>
      <c r="B408" t="str">
        <f>HYPERLINK("http://www.ncbi.nlm.nih.gov/protein/NXF57059.1","NXF57059.1")</f>
        <v>NXF57059.1</v>
      </c>
      <c r="C408">
        <v>13848</v>
      </c>
      <c r="D408" t="str">
        <f>HYPERLINK("http://www.ncbi.nlm.nih.gov/Taxonomy/Browser/wwwtax.cgi?mode=Info&amp;id=1118524&amp;lvl=3&amp;lin=f&amp;keep=1&amp;srchmode=1&amp;unlock","1118524")</f>
        <v>1118524</v>
      </c>
      <c r="E408" t="s">
        <v>167</v>
      </c>
      <c r="F408" t="s">
        <v>167</v>
      </c>
      <c r="G408" t="str">
        <f>HYPERLINK("http://www.ncbi.nlm.nih.gov/Taxonomy/Browser/wwwtax.cgi?mode=Info&amp;id=1118524&amp;lvl=3&amp;lin=f&amp;keep=1&amp;srchmode=1&amp;unlock","Ciccaba nigrolineata")</f>
        <v>Ciccaba nigrolineata</v>
      </c>
      <c r="H408" t="s">
        <v>240</v>
      </c>
      <c r="I408" t="str">
        <f>HYPERLINK("http://www.ncbi.nlm.nih.gov/protein/NXF57059.1","ANDR protein")</f>
        <v>ANDR protein</v>
      </c>
      <c r="J408">
        <v>756.52</v>
      </c>
      <c r="K408" t="s">
        <v>25</v>
      </c>
      <c r="L408">
        <v>157</v>
      </c>
      <c r="M408">
        <v>44.41</v>
      </c>
      <c r="N408">
        <v>40.270000000000003</v>
      </c>
      <c r="O408" t="s">
        <v>20</v>
      </c>
      <c r="P408" t="s">
        <v>965</v>
      </c>
      <c r="Q408" t="s">
        <v>20</v>
      </c>
      <c r="R408" t="str">
        <f>HYPERLINK("https://cfpub.epa.gov/ecotox/explore.cfm?ncbi=1118524","Explore in ECOTOX")</f>
        <v>Explore in ECOTOX</v>
      </c>
    </row>
    <row r="409" spans="1:18" x14ac:dyDescent="0.25">
      <c r="A409">
        <v>6</v>
      </c>
      <c r="B409" t="str">
        <f>HYPERLINK("http://www.ncbi.nlm.nih.gov/protein/NXC25413.1","NXC25413.1")</f>
        <v>NXC25413.1</v>
      </c>
      <c r="C409">
        <v>14152</v>
      </c>
      <c r="D409" t="str">
        <f>HYPERLINK("http://www.ncbi.nlm.nih.gov/Taxonomy/Browser/wwwtax.cgi?mode=Info&amp;id=190295&amp;lvl=3&amp;lin=f&amp;keep=1&amp;srchmode=1&amp;unlock","190295")</f>
        <v>190295</v>
      </c>
      <c r="E409" t="s">
        <v>167</v>
      </c>
      <c r="F409" t="s">
        <v>167</v>
      </c>
      <c r="G409" t="str">
        <f>HYPERLINK("http://www.ncbi.nlm.nih.gov/Taxonomy/Browser/wwwtax.cgi?mode=Info&amp;id=190295&amp;lvl=3&amp;lin=f&amp;keep=1&amp;srchmode=1&amp;unlock","Campylorhamphus procurvoides")</f>
        <v>Campylorhamphus procurvoides</v>
      </c>
      <c r="H409" t="s">
        <v>206</v>
      </c>
      <c r="I409" t="str">
        <f>HYPERLINK("http://www.ncbi.nlm.nih.gov/protein/NXC25413.1","ANDR protein")</f>
        <v>ANDR protein</v>
      </c>
      <c r="J409">
        <v>756.52</v>
      </c>
      <c r="K409" t="s">
        <v>25</v>
      </c>
      <c r="L409">
        <v>157</v>
      </c>
      <c r="M409">
        <v>44.41</v>
      </c>
      <c r="N409">
        <v>40.270000000000003</v>
      </c>
      <c r="O409" t="s">
        <v>20</v>
      </c>
      <c r="P409" t="s">
        <v>965</v>
      </c>
      <c r="Q409" t="s">
        <v>20</v>
      </c>
      <c r="R409" t="str">
        <f>HYPERLINK("https://cfpub.epa.gov/ecotox/explore.cfm?ncbi=190295","Explore in ECOTOX")</f>
        <v>Explore in ECOTOX</v>
      </c>
    </row>
    <row r="410" spans="1:18" x14ac:dyDescent="0.25">
      <c r="A410">
        <v>6</v>
      </c>
      <c r="B410" t="str">
        <f>HYPERLINK("http://www.ncbi.nlm.nih.gov/protein/NXB49906.1","NXB49906.1")</f>
        <v>NXB49906.1</v>
      </c>
      <c r="C410">
        <v>13491</v>
      </c>
      <c r="D410" t="str">
        <f>HYPERLINK("http://www.ncbi.nlm.nih.gov/Taxonomy/Browser/wwwtax.cgi?mode=Info&amp;id=127929&amp;lvl=3&amp;lin=f&amp;keep=1&amp;srchmode=1&amp;unlock","127929")</f>
        <v>127929</v>
      </c>
      <c r="E410" t="s">
        <v>167</v>
      </c>
      <c r="F410" t="s">
        <v>167</v>
      </c>
      <c r="G410" t="str">
        <f>HYPERLINK("http://www.ncbi.nlm.nih.gov/Taxonomy/Browser/wwwtax.cgi?mode=Info&amp;id=127929&amp;lvl=3&amp;lin=f&amp;keep=1&amp;srchmode=1&amp;unlock","Leucopsar rothschildi")</f>
        <v>Leucopsar rothschildi</v>
      </c>
      <c r="H410" t="s">
        <v>354</v>
      </c>
      <c r="I410" t="str">
        <f>HYPERLINK("http://www.ncbi.nlm.nih.gov/protein/NXB49906.1","ANDR protein")</f>
        <v>ANDR protein</v>
      </c>
      <c r="J410">
        <v>756.13</v>
      </c>
      <c r="K410" t="s">
        <v>25</v>
      </c>
      <c r="L410">
        <v>157</v>
      </c>
      <c r="M410">
        <v>44.41</v>
      </c>
      <c r="N410">
        <v>40.25</v>
      </c>
      <c r="O410" t="s">
        <v>20</v>
      </c>
      <c r="P410" t="s">
        <v>965</v>
      </c>
      <c r="Q410" t="s">
        <v>20</v>
      </c>
      <c r="R410" t="str">
        <f>HYPERLINK("https://cfpub.epa.gov/ecotox/explore.cfm?ncbi=127929","Explore in ECOTOX")</f>
        <v>Explore in ECOTOX</v>
      </c>
    </row>
    <row r="411" spans="1:18" x14ac:dyDescent="0.25">
      <c r="A411">
        <v>6</v>
      </c>
      <c r="B411" t="str">
        <f>HYPERLINK("http://www.ncbi.nlm.nih.gov/protein/KFZ58156.1","KFZ58156.1")</f>
        <v>KFZ58156.1</v>
      </c>
      <c r="C411">
        <v>29268</v>
      </c>
      <c r="D411" t="str">
        <f>HYPERLINK("http://www.ncbi.nlm.nih.gov/Taxonomy/Browser/wwwtax.cgi?mode=Info&amp;id=279965&amp;lvl=3&amp;lin=f&amp;keep=1&amp;srchmode=1&amp;unlock","279965")</f>
        <v>279965</v>
      </c>
      <c r="E411" t="s">
        <v>167</v>
      </c>
      <c r="F411" t="s">
        <v>167</v>
      </c>
      <c r="G411" t="str">
        <f>HYPERLINK("http://www.ncbi.nlm.nih.gov/Taxonomy/Browser/wwwtax.cgi?mode=Info&amp;id=279965&amp;lvl=3&amp;lin=f&amp;keep=1&amp;srchmode=1&amp;unlock","Antrostomus carolinensis")</f>
        <v>Antrostomus carolinensis</v>
      </c>
      <c r="H411" t="s">
        <v>300</v>
      </c>
      <c r="I411" t="str">
        <f>HYPERLINK("http://www.ncbi.nlm.nih.gov/protein/KFZ58156.1","Androgen receptor, partial")</f>
        <v>Androgen receptor, partial</v>
      </c>
      <c r="J411">
        <v>756.13</v>
      </c>
      <c r="K411" t="s">
        <v>25</v>
      </c>
      <c r="L411">
        <v>157</v>
      </c>
      <c r="M411">
        <v>44.41</v>
      </c>
      <c r="N411">
        <v>40.25</v>
      </c>
      <c r="O411" t="s">
        <v>20</v>
      </c>
      <c r="P411" t="s">
        <v>965</v>
      </c>
      <c r="Q411" t="s">
        <v>20</v>
      </c>
      <c r="R411" t="str">
        <f>HYPERLINK("https://cfpub.epa.gov/ecotox/explore.cfm?ncbi=279965","Explore in ECOTOX")</f>
        <v>Explore in ECOTOX</v>
      </c>
    </row>
    <row r="412" spans="1:18" x14ac:dyDescent="0.25">
      <c r="A412">
        <v>6</v>
      </c>
      <c r="B412" t="str">
        <f>HYPERLINK("http://www.ncbi.nlm.nih.gov/protein/XP_013151847.2","XP_013151847.2")</f>
        <v>XP_013151847.2</v>
      </c>
      <c r="C412">
        <v>31321</v>
      </c>
      <c r="D412" t="str">
        <f>HYPERLINK("http://www.ncbi.nlm.nih.gov/Taxonomy/Browser/wwwtax.cgi?mode=Info&amp;id=8954&amp;lvl=3&amp;lin=f&amp;keep=1&amp;srchmode=1&amp;unlock","8954")</f>
        <v>8954</v>
      </c>
      <c r="E412" t="s">
        <v>167</v>
      </c>
      <c r="F412" t="s">
        <v>167</v>
      </c>
      <c r="G412" t="str">
        <f>HYPERLINK("http://www.ncbi.nlm.nih.gov/Taxonomy/Browser/wwwtax.cgi?mode=Info&amp;id=8954&amp;lvl=3&amp;lin=f&amp;keep=1&amp;srchmode=1&amp;unlock","Falco peregrinus")</f>
        <v>Falco peregrinus</v>
      </c>
      <c r="H412" t="s">
        <v>435</v>
      </c>
      <c r="I412" t="str">
        <f>HYPERLINK("http://www.ncbi.nlm.nih.gov/protein/XP_013151847.2","androgen receptor")</f>
        <v>androgen receptor</v>
      </c>
      <c r="J412">
        <v>755.75</v>
      </c>
      <c r="K412" t="s">
        <v>25</v>
      </c>
      <c r="L412">
        <v>157</v>
      </c>
      <c r="M412">
        <v>44.41</v>
      </c>
      <c r="N412">
        <v>40.229999999999997</v>
      </c>
      <c r="O412" t="s">
        <v>20</v>
      </c>
      <c r="P412" t="s">
        <v>965</v>
      </c>
      <c r="Q412" t="s">
        <v>20</v>
      </c>
      <c r="R412" t="str">
        <f>HYPERLINK("https://cfpub.epa.gov/ecotox/explore.cfm?ncbi=8954","Explore in ECOTOX")</f>
        <v>Explore in ECOTOX</v>
      </c>
    </row>
    <row r="413" spans="1:18" x14ac:dyDescent="0.25">
      <c r="A413">
        <v>6</v>
      </c>
      <c r="B413" t="str">
        <f>HYPERLINK("http://www.ncbi.nlm.nih.gov/protein/NXQ40065.1","NXQ40065.1")</f>
        <v>NXQ40065.1</v>
      </c>
      <c r="C413">
        <v>13978</v>
      </c>
      <c r="D413" t="str">
        <f>HYPERLINK("http://www.ncbi.nlm.nih.gov/Taxonomy/Browser/wwwtax.cgi?mode=Info&amp;id=159581&amp;lvl=3&amp;lin=f&amp;keep=1&amp;srchmode=1&amp;unlock","159581")</f>
        <v>159581</v>
      </c>
      <c r="E413" t="s">
        <v>167</v>
      </c>
      <c r="F413" t="s">
        <v>167</v>
      </c>
      <c r="G413" t="str">
        <f>HYPERLINK("http://www.ncbi.nlm.nih.gov/Taxonomy/Browser/wwwtax.cgi?mode=Info&amp;id=159581&amp;lvl=3&amp;lin=f&amp;keep=1&amp;srchmode=1&amp;unlock","Catharus fuscescens")</f>
        <v>Catharus fuscescens</v>
      </c>
      <c r="H413" t="s">
        <v>661</v>
      </c>
      <c r="I413" t="str">
        <f>HYPERLINK("http://www.ncbi.nlm.nih.gov/protein/NXQ40065.1","ANDR protein")</f>
        <v>ANDR protein</v>
      </c>
      <c r="J413">
        <v>755.75</v>
      </c>
      <c r="K413" t="s">
        <v>25</v>
      </c>
      <c r="L413">
        <v>157</v>
      </c>
      <c r="M413">
        <v>44.41</v>
      </c>
      <c r="N413">
        <v>40.229999999999997</v>
      </c>
      <c r="O413" t="s">
        <v>20</v>
      </c>
      <c r="P413" t="s">
        <v>965</v>
      </c>
      <c r="Q413" t="s">
        <v>20</v>
      </c>
      <c r="R413" t="str">
        <f>HYPERLINK("https://cfpub.epa.gov/ecotox/explore.cfm?ncbi=159581","Explore in ECOTOX")</f>
        <v>Explore in ECOTOX</v>
      </c>
    </row>
    <row r="414" spans="1:18" x14ac:dyDescent="0.25">
      <c r="A414">
        <v>6</v>
      </c>
      <c r="B414" t="str">
        <f>HYPERLINK("http://www.ncbi.nlm.nih.gov/protein/XP_009994935.1","XP_009994935.1")</f>
        <v>XP_009994935.1</v>
      </c>
      <c r="C414">
        <v>29258</v>
      </c>
      <c r="D414" t="str">
        <f>HYPERLINK("http://www.ncbi.nlm.nih.gov/Taxonomy/Browser/wwwtax.cgi?mode=Info&amp;id=8897&amp;lvl=3&amp;lin=f&amp;keep=1&amp;srchmode=1&amp;unlock","8897")</f>
        <v>8897</v>
      </c>
      <c r="E414" t="s">
        <v>167</v>
      </c>
      <c r="F414" t="s">
        <v>167</v>
      </c>
      <c r="G414" t="str">
        <f>HYPERLINK("http://www.ncbi.nlm.nih.gov/Taxonomy/Browser/wwwtax.cgi?mode=Info&amp;id=8897&amp;lvl=3&amp;lin=f&amp;keep=1&amp;srchmode=1&amp;unlock","Chaetura pelagica")</f>
        <v>Chaetura pelagica</v>
      </c>
      <c r="H414" t="s">
        <v>299</v>
      </c>
      <c r="I414" t="str">
        <f>HYPERLINK("http://www.ncbi.nlm.nih.gov/protein/XP_009994935.1","PREDICTED: androgen receptor")</f>
        <v>PREDICTED: androgen receptor</v>
      </c>
      <c r="J414">
        <v>755.75</v>
      </c>
      <c r="K414" t="s">
        <v>25</v>
      </c>
      <c r="L414">
        <v>157</v>
      </c>
      <c r="M414">
        <v>44.41</v>
      </c>
      <c r="N414">
        <v>40.229999999999997</v>
      </c>
      <c r="O414" t="s">
        <v>20</v>
      </c>
      <c r="P414" t="s">
        <v>965</v>
      </c>
      <c r="Q414" t="s">
        <v>20</v>
      </c>
      <c r="R414" t="str">
        <f>HYPERLINK("https://cfpub.epa.gov/ecotox/explore.cfm?ncbi=8897","Explore in ECOTOX")</f>
        <v>Explore in ECOTOX</v>
      </c>
    </row>
    <row r="415" spans="1:18" x14ac:dyDescent="0.25">
      <c r="A415">
        <v>6</v>
      </c>
      <c r="B415" t="str">
        <f>HYPERLINK("http://www.ncbi.nlm.nih.gov/protein/XP_005441058.1","XP_005441058.1")</f>
        <v>XP_005441058.1</v>
      </c>
      <c r="C415">
        <v>30432</v>
      </c>
      <c r="D415" t="str">
        <f>HYPERLINK("http://www.ncbi.nlm.nih.gov/Taxonomy/Browser/wwwtax.cgi?mode=Info&amp;id=345164&amp;lvl=3&amp;lin=f&amp;keep=1&amp;srchmode=1&amp;unlock","345164")</f>
        <v>345164</v>
      </c>
      <c r="E415" t="s">
        <v>167</v>
      </c>
      <c r="F415" t="s">
        <v>167</v>
      </c>
      <c r="G415" t="str">
        <f>HYPERLINK("http://www.ncbi.nlm.nih.gov/Taxonomy/Browser/wwwtax.cgi?mode=Info&amp;id=345164&amp;lvl=3&amp;lin=f&amp;keep=1&amp;srchmode=1&amp;unlock","Falco cherrug")</f>
        <v>Falco cherrug</v>
      </c>
      <c r="H415" t="s">
        <v>432</v>
      </c>
      <c r="I415" t="str">
        <f>HYPERLINK("http://www.ncbi.nlm.nih.gov/protein/XP_005441058.1","androgen receptor")</f>
        <v>androgen receptor</v>
      </c>
      <c r="J415">
        <v>755.75</v>
      </c>
      <c r="K415" t="s">
        <v>25</v>
      </c>
      <c r="L415">
        <v>157</v>
      </c>
      <c r="M415">
        <v>44.41</v>
      </c>
      <c r="N415">
        <v>40.229999999999997</v>
      </c>
      <c r="O415" t="s">
        <v>20</v>
      </c>
      <c r="P415" t="s">
        <v>965</v>
      </c>
      <c r="Q415" t="s">
        <v>20</v>
      </c>
      <c r="R415" t="str">
        <f>HYPERLINK("https://cfpub.epa.gov/ecotox/explore.cfm?ncbi=345164","Explore in ECOTOX")</f>
        <v>Explore in ECOTOX</v>
      </c>
    </row>
    <row r="416" spans="1:18" x14ac:dyDescent="0.25">
      <c r="A416">
        <v>6</v>
      </c>
      <c r="B416" t="str">
        <f>HYPERLINK("http://www.ncbi.nlm.nih.gov/protein/NXP57137.1","NXP57137.1")</f>
        <v>NXP57137.1</v>
      </c>
      <c r="C416">
        <v>12587</v>
      </c>
      <c r="D416" t="str">
        <f>HYPERLINK("http://www.ncbi.nlm.nih.gov/Taxonomy/Browser/wwwtax.cgi?mode=Info&amp;id=1218682&amp;lvl=3&amp;lin=f&amp;keep=1&amp;srchmode=1&amp;unlock","1218682")</f>
        <v>1218682</v>
      </c>
      <c r="E416" t="s">
        <v>167</v>
      </c>
      <c r="F416" t="s">
        <v>167</v>
      </c>
      <c r="G416" t="str">
        <f>HYPERLINK("http://www.ncbi.nlm.nih.gov/Taxonomy/Browser/wwwtax.cgi?mode=Info&amp;id=1218682&amp;lvl=3&amp;lin=f&amp;keep=1&amp;srchmode=1&amp;unlock","Chloropsis cyanopogon")</f>
        <v>Chloropsis cyanopogon</v>
      </c>
      <c r="H416" t="s">
        <v>206</v>
      </c>
      <c r="I416" t="str">
        <f>HYPERLINK("http://www.ncbi.nlm.nih.gov/protein/NXP57137.1","ANDR protein")</f>
        <v>ANDR protein</v>
      </c>
      <c r="J416">
        <v>755.75</v>
      </c>
      <c r="K416" t="s">
        <v>25</v>
      </c>
      <c r="L416">
        <v>157</v>
      </c>
      <c r="M416">
        <v>44.41</v>
      </c>
      <c r="N416">
        <v>40.229999999999997</v>
      </c>
      <c r="O416" t="s">
        <v>20</v>
      </c>
      <c r="P416" t="s">
        <v>965</v>
      </c>
      <c r="Q416" t="s">
        <v>20</v>
      </c>
      <c r="R416" t="str">
        <f>HYPERLINK("https://cfpub.epa.gov/ecotox/explore.cfm?ncbi=1218682","Explore in ECOTOX")</f>
        <v>Explore in ECOTOX</v>
      </c>
    </row>
    <row r="417" spans="1:18" x14ac:dyDescent="0.25">
      <c r="A417">
        <v>6</v>
      </c>
      <c r="B417" t="str">
        <f>HYPERLINK("http://www.ncbi.nlm.nih.gov/protein/KFP90518.1","KFP90518.1")</f>
        <v>KFP90518.1</v>
      </c>
      <c r="C417">
        <v>26533</v>
      </c>
      <c r="D417" t="str">
        <f>HYPERLINK("http://www.ncbi.nlm.nih.gov/Taxonomy/Browser/wwwtax.cgi?mode=Info&amp;id=57397&amp;lvl=3&amp;lin=f&amp;keep=1&amp;srchmode=1&amp;unlock","57397")</f>
        <v>57397</v>
      </c>
      <c r="E417" t="s">
        <v>167</v>
      </c>
      <c r="F417" t="s">
        <v>167</v>
      </c>
      <c r="G417" t="str">
        <f>HYPERLINK("http://www.ncbi.nlm.nih.gov/Taxonomy/Browser/wwwtax.cgi?mode=Info&amp;id=57397&amp;lvl=3&amp;lin=f&amp;keep=1&amp;srchmode=1&amp;unlock","Apaloderma vittatum")</f>
        <v>Apaloderma vittatum</v>
      </c>
      <c r="H417" t="s">
        <v>340</v>
      </c>
      <c r="I417" t="str">
        <f>HYPERLINK("http://www.ncbi.nlm.nih.gov/protein/KFP90518.1","Androgen receptor, partial")</f>
        <v>Androgen receptor, partial</v>
      </c>
      <c r="J417">
        <v>755.36</v>
      </c>
      <c r="K417" t="s">
        <v>25</v>
      </c>
      <c r="L417">
        <v>157</v>
      </c>
      <c r="M417">
        <v>44.41</v>
      </c>
      <c r="N417">
        <v>40.21</v>
      </c>
      <c r="O417" t="s">
        <v>20</v>
      </c>
      <c r="P417" t="s">
        <v>965</v>
      </c>
      <c r="Q417" t="s">
        <v>20</v>
      </c>
      <c r="R417" t="str">
        <f>HYPERLINK("https://cfpub.epa.gov/ecotox/explore.cfm?ncbi=57397","Explore in ECOTOX")</f>
        <v>Explore in ECOTOX</v>
      </c>
    </row>
    <row r="418" spans="1:18" x14ac:dyDescent="0.25">
      <c r="A418">
        <v>6</v>
      </c>
      <c r="B418" t="str">
        <f>HYPERLINK("http://www.ncbi.nlm.nih.gov/protein/NXE26420.1","NXE26420.1")</f>
        <v>NXE26420.1</v>
      </c>
      <c r="C418">
        <v>13745</v>
      </c>
      <c r="D418" t="str">
        <f>HYPERLINK("http://www.ncbi.nlm.nih.gov/Taxonomy/Browser/wwwtax.cgi?mode=Info&amp;id=89386&amp;lvl=3&amp;lin=f&amp;keep=1&amp;srchmode=1&amp;unlock","89386")</f>
        <v>89386</v>
      </c>
      <c r="E418" t="s">
        <v>167</v>
      </c>
      <c r="F418" t="s">
        <v>167</v>
      </c>
      <c r="G418" t="str">
        <f>HYPERLINK("http://www.ncbi.nlm.nih.gov/Taxonomy/Browser/wwwtax.cgi?mode=Info&amp;id=89386&amp;lvl=3&amp;lin=f&amp;keep=1&amp;srchmode=1&amp;unlock","Ardeotis kori")</f>
        <v>Ardeotis kori</v>
      </c>
      <c r="H418" t="s">
        <v>182</v>
      </c>
      <c r="I418" t="str">
        <f>HYPERLINK("http://www.ncbi.nlm.nih.gov/protein/NXE26420.1","ANDR protein")</f>
        <v>ANDR protein</v>
      </c>
      <c r="J418">
        <v>755.36</v>
      </c>
      <c r="K418" t="s">
        <v>25</v>
      </c>
      <c r="L418">
        <v>157</v>
      </c>
      <c r="M418">
        <v>44.41</v>
      </c>
      <c r="N418">
        <v>40.21</v>
      </c>
      <c r="O418" t="s">
        <v>20</v>
      </c>
      <c r="P418" t="s">
        <v>965</v>
      </c>
      <c r="Q418" t="s">
        <v>20</v>
      </c>
      <c r="R418" t="str">
        <f>HYPERLINK("https://cfpub.epa.gov/ecotox/explore.cfm?ncbi=89386","Explore in ECOTOX")</f>
        <v>Explore in ECOTOX</v>
      </c>
    </row>
    <row r="419" spans="1:18" x14ac:dyDescent="0.25">
      <c r="A419">
        <v>6</v>
      </c>
      <c r="B419" t="str">
        <f>HYPERLINK("http://www.ncbi.nlm.nih.gov/protein/KFW62480.1","KFW62480.1")</f>
        <v>KFW62480.1</v>
      </c>
      <c r="C419">
        <v>29751</v>
      </c>
      <c r="D419" t="str">
        <f>HYPERLINK("http://www.ncbi.nlm.nih.gov/Taxonomy/Browser/wwwtax.cgi?mode=Info&amp;id=9238&amp;lvl=3&amp;lin=f&amp;keep=1&amp;srchmode=1&amp;unlock","9238")</f>
        <v>9238</v>
      </c>
      <c r="E419" t="s">
        <v>167</v>
      </c>
      <c r="F419" t="s">
        <v>167</v>
      </c>
      <c r="G419" t="str">
        <f>HYPERLINK("http://www.ncbi.nlm.nih.gov/Taxonomy/Browser/wwwtax.cgi?mode=Info&amp;id=9238&amp;lvl=3&amp;lin=f&amp;keep=1&amp;srchmode=1&amp;unlock","Pygoscelis adeliae")</f>
        <v>Pygoscelis adeliae</v>
      </c>
      <c r="H419" t="s">
        <v>211</v>
      </c>
      <c r="I419" t="str">
        <f>HYPERLINK("http://www.ncbi.nlm.nih.gov/protein/KFW62480.1","Androgen receptor, partial")</f>
        <v>Androgen receptor, partial</v>
      </c>
      <c r="J419">
        <v>755.36</v>
      </c>
      <c r="K419" t="s">
        <v>25</v>
      </c>
      <c r="L419">
        <v>157</v>
      </c>
      <c r="M419">
        <v>44.41</v>
      </c>
      <c r="N419">
        <v>40.21</v>
      </c>
      <c r="O419" t="s">
        <v>20</v>
      </c>
      <c r="P419" t="s">
        <v>965</v>
      </c>
      <c r="Q419" t="s">
        <v>20</v>
      </c>
      <c r="R419" t="str">
        <f>HYPERLINK("https://cfpub.epa.gov/ecotox/explore.cfm?ncbi=9238","Explore in ECOTOX")</f>
        <v>Explore in ECOTOX</v>
      </c>
    </row>
    <row r="420" spans="1:18" x14ac:dyDescent="0.25">
      <c r="A420">
        <v>6</v>
      </c>
      <c r="B420" t="str">
        <f>HYPERLINK("http://www.ncbi.nlm.nih.gov/protein/KFQ97104.1","KFQ97104.1")</f>
        <v>KFQ97104.1</v>
      </c>
      <c r="C420">
        <v>31423</v>
      </c>
      <c r="D420" t="str">
        <f>HYPERLINK("http://www.ncbi.nlm.nih.gov/Taxonomy/Browser/wwwtax.cgi?mode=Info&amp;id=128390&amp;lvl=3&amp;lin=f&amp;keep=1&amp;srchmode=1&amp;unlock","128390")</f>
        <v>128390</v>
      </c>
      <c r="E420" t="s">
        <v>167</v>
      </c>
      <c r="F420" t="s">
        <v>167</v>
      </c>
      <c r="G420" t="str">
        <f>HYPERLINK("http://www.ncbi.nlm.nih.gov/Taxonomy/Browser/wwwtax.cgi?mode=Info&amp;id=128390&amp;lvl=3&amp;lin=f&amp;keep=1&amp;srchmode=1&amp;unlock","Nipponia nippon")</f>
        <v>Nipponia nippon</v>
      </c>
      <c r="H420" t="s">
        <v>220</v>
      </c>
      <c r="I420" t="str">
        <f>HYPERLINK("http://www.ncbi.nlm.nih.gov/protein/KFQ97104.1","Androgen receptor, partial")</f>
        <v>Androgen receptor, partial</v>
      </c>
      <c r="J420">
        <v>755.36</v>
      </c>
      <c r="K420" t="s">
        <v>25</v>
      </c>
      <c r="L420">
        <v>157</v>
      </c>
      <c r="M420">
        <v>44.41</v>
      </c>
      <c r="N420">
        <v>40.21</v>
      </c>
      <c r="O420" t="s">
        <v>20</v>
      </c>
      <c r="P420" t="s">
        <v>965</v>
      </c>
      <c r="Q420" t="s">
        <v>20</v>
      </c>
      <c r="R420" t="str">
        <f>HYPERLINK("https://cfpub.epa.gov/ecotox/explore.cfm?ncbi=128390","Explore in ECOTOX")</f>
        <v>Explore in ECOTOX</v>
      </c>
    </row>
    <row r="421" spans="1:18" x14ac:dyDescent="0.25">
      <c r="A421">
        <v>6</v>
      </c>
      <c r="B421" t="str">
        <f>HYPERLINK("http://www.ncbi.nlm.nih.gov/protein/NWV56669.1","NWV56669.1")</f>
        <v>NWV56669.1</v>
      </c>
      <c r="C421">
        <v>13977</v>
      </c>
      <c r="D421" t="str">
        <f>HYPERLINK("http://www.ncbi.nlm.nih.gov/Taxonomy/Browser/wwwtax.cgi?mode=Info&amp;id=254528&amp;lvl=3&amp;lin=f&amp;keep=1&amp;srchmode=1&amp;unlock","254528")</f>
        <v>254528</v>
      </c>
      <c r="E421" t="s">
        <v>167</v>
      </c>
      <c r="F421" t="s">
        <v>167</v>
      </c>
      <c r="G421" t="str">
        <f>HYPERLINK("http://www.ncbi.nlm.nih.gov/Taxonomy/Browser/wwwtax.cgi?mode=Info&amp;id=254528&amp;lvl=3&amp;lin=f&amp;keep=1&amp;srchmode=1&amp;unlock","Daphoenositta chrysoptera")</f>
        <v>Daphoenositta chrysoptera</v>
      </c>
      <c r="H421" t="s">
        <v>280</v>
      </c>
      <c r="I421" t="str">
        <f>HYPERLINK("http://www.ncbi.nlm.nih.gov/protein/NWV56669.1","ANDR protein")</f>
        <v>ANDR protein</v>
      </c>
      <c r="J421">
        <v>754.98</v>
      </c>
      <c r="K421" t="s">
        <v>25</v>
      </c>
      <c r="L421">
        <v>157</v>
      </c>
      <c r="M421">
        <v>44.41</v>
      </c>
      <c r="N421">
        <v>40.19</v>
      </c>
      <c r="O421" t="s">
        <v>20</v>
      </c>
      <c r="P421" t="s">
        <v>965</v>
      </c>
      <c r="Q421" t="s">
        <v>20</v>
      </c>
      <c r="R421" t="str">
        <f>HYPERLINK("https://cfpub.epa.gov/ecotox/explore.cfm?ncbi=254528","Explore in ECOTOX")</f>
        <v>Explore in ECOTOX</v>
      </c>
    </row>
    <row r="422" spans="1:18" x14ac:dyDescent="0.25">
      <c r="A422">
        <v>6</v>
      </c>
      <c r="B422" t="str">
        <f>HYPERLINK("http://www.ncbi.nlm.nih.gov/protein/KAF2985417.1","KAF2985417.1")</f>
        <v>KAF2985417.1</v>
      </c>
      <c r="C422">
        <v>15084</v>
      </c>
      <c r="D422" t="str">
        <f>HYPERLINK("http://www.ncbi.nlm.nih.gov/Taxonomy/Browser/wwwtax.cgi?mode=Info&amp;id=2498840&amp;lvl=3&amp;lin=f&amp;keep=1&amp;srchmode=1&amp;unlock","2498840")</f>
        <v>2498840</v>
      </c>
      <c r="E422" t="s">
        <v>167</v>
      </c>
      <c r="F422" t="s">
        <v>167</v>
      </c>
      <c r="G422" t="str">
        <f>HYPERLINK("http://www.ncbi.nlm.nih.gov/Taxonomy/Browser/wwwtax.cgi?mode=Info&amp;id=2498840&amp;lvl=3&amp;lin=f&amp;keep=1&amp;srchmode=1&amp;unlock","Melospiza melodia maxima")</f>
        <v>Melospiza melodia maxima</v>
      </c>
      <c r="H422" t="s">
        <v>380</v>
      </c>
      <c r="I422" t="str">
        <f>HYPERLINK("http://www.ncbi.nlm.nih.gov/protein/KAF2985417.1","hypothetical protein EK904_002061, partial")</f>
        <v>hypothetical protein EK904_002061, partial</v>
      </c>
      <c r="J422">
        <v>754.98</v>
      </c>
      <c r="K422" t="s">
        <v>25</v>
      </c>
      <c r="L422">
        <v>157</v>
      </c>
      <c r="M422">
        <v>44.41</v>
      </c>
      <c r="N422">
        <v>40.19</v>
      </c>
      <c r="O422" t="s">
        <v>20</v>
      </c>
      <c r="P422" t="s">
        <v>965</v>
      </c>
      <c r="Q422" t="s">
        <v>20</v>
      </c>
      <c r="R422" t="str">
        <f>HYPERLINK("https://cfpub.epa.gov/ecotox/explore.cfm?ncbi=2498840","Explore in ECOTOX")</f>
        <v>Explore in ECOTOX</v>
      </c>
    </row>
    <row r="423" spans="1:18" x14ac:dyDescent="0.25">
      <c r="A423">
        <v>6</v>
      </c>
      <c r="B423" t="str">
        <f>HYPERLINK("http://www.ncbi.nlm.nih.gov/protein/NWI54587.1","NWI54587.1")</f>
        <v>NWI54587.1</v>
      </c>
      <c r="C423">
        <v>13255</v>
      </c>
      <c r="D423" t="str">
        <f>HYPERLINK("http://www.ncbi.nlm.nih.gov/Taxonomy/Browser/wwwtax.cgi?mode=Info&amp;id=135972&amp;lvl=3&amp;lin=f&amp;keep=1&amp;srchmode=1&amp;unlock","135972")</f>
        <v>135972</v>
      </c>
      <c r="E423" t="s">
        <v>167</v>
      </c>
      <c r="F423" t="s">
        <v>167</v>
      </c>
      <c r="G423" t="str">
        <f>HYPERLINK("http://www.ncbi.nlm.nih.gov/Taxonomy/Browser/wwwtax.cgi?mode=Info&amp;id=135972&amp;lvl=3&amp;lin=f&amp;keep=1&amp;srchmode=1&amp;unlock","Calyptomena viridis")</f>
        <v>Calyptomena viridis</v>
      </c>
      <c r="H423" t="s">
        <v>441</v>
      </c>
      <c r="I423" t="str">
        <f>HYPERLINK("http://www.ncbi.nlm.nih.gov/protein/NWI54587.1","ANDR protein")</f>
        <v>ANDR protein</v>
      </c>
      <c r="J423">
        <v>754.98</v>
      </c>
      <c r="K423" t="s">
        <v>25</v>
      </c>
      <c r="L423">
        <v>157</v>
      </c>
      <c r="M423">
        <v>44.41</v>
      </c>
      <c r="N423">
        <v>40.19</v>
      </c>
      <c r="O423" t="s">
        <v>20</v>
      </c>
      <c r="P423" t="s">
        <v>965</v>
      </c>
      <c r="Q423" t="s">
        <v>20</v>
      </c>
      <c r="R423" t="str">
        <f>HYPERLINK("https://cfpub.epa.gov/ecotox/explore.cfm?ncbi=135972","Explore in ECOTOX")</f>
        <v>Explore in ECOTOX</v>
      </c>
    </row>
    <row r="424" spans="1:18" x14ac:dyDescent="0.25">
      <c r="A424">
        <v>6</v>
      </c>
      <c r="B424" t="str">
        <f>HYPERLINK("http://www.ncbi.nlm.nih.gov/protein/XP_013051573.1","XP_013051573.1")</f>
        <v>XP_013051573.1</v>
      </c>
      <c r="C424">
        <v>31837</v>
      </c>
      <c r="D424" t="str">
        <f>HYPERLINK("http://www.ncbi.nlm.nih.gov/Taxonomy/Browser/wwwtax.cgi?mode=Info&amp;id=381198&amp;lvl=3&amp;lin=f&amp;keep=1&amp;srchmode=1&amp;unlock","381198")</f>
        <v>381198</v>
      </c>
      <c r="E424" t="s">
        <v>167</v>
      </c>
      <c r="F424" t="s">
        <v>167</v>
      </c>
      <c r="G424" t="str">
        <f>HYPERLINK("http://www.ncbi.nlm.nih.gov/Taxonomy/Browser/wwwtax.cgi?mode=Info&amp;id=381198&amp;lvl=3&amp;lin=f&amp;keep=1&amp;srchmode=1&amp;unlock","Anser cygnoides domesticus")</f>
        <v>Anser cygnoides domesticus</v>
      </c>
      <c r="H424" t="s">
        <v>276</v>
      </c>
      <c r="I424" t="str">
        <f>HYPERLINK("http://www.ncbi.nlm.nih.gov/protein/XP_013051573.1","PREDICTED: androgen receptor")</f>
        <v>PREDICTED: androgen receptor</v>
      </c>
      <c r="J424">
        <v>754.98</v>
      </c>
      <c r="K424" t="s">
        <v>25</v>
      </c>
      <c r="L424">
        <v>157</v>
      </c>
      <c r="M424">
        <v>44.41</v>
      </c>
      <c r="N424">
        <v>40.19</v>
      </c>
      <c r="O424" t="s">
        <v>20</v>
      </c>
      <c r="P424" t="s">
        <v>965</v>
      </c>
      <c r="Q424" t="s">
        <v>20</v>
      </c>
      <c r="R424" t="str">
        <f>HYPERLINK("https://cfpub.epa.gov/ecotox/explore.cfm?ncbi=381198","Explore in ECOTOX")</f>
        <v>Explore in ECOTOX</v>
      </c>
    </row>
    <row r="425" spans="1:18" x14ac:dyDescent="0.25">
      <c r="A425">
        <v>6</v>
      </c>
      <c r="B425" t="str">
        <f>HYPERLINK("http://www.ncbi.nlm.nih.gov/protein/NXU22430.1","NXU22430.1")</f>
        <v>NXU22430.1</v>
      </c>
      <c r="C425">
        <v>11831</v>
      </c>
      <c r="D425" t="str">
        <f>HYPERLINK("http://www.ncbi.nlm.nih.gov/Taxonomy/Browser/wwwtax.cgi?mode=Info&amp;id=54017&amp;lvl=3&amp;lin=f&amp;keep=1&amp;srchmode=1&amp;unlock","54017")</f>
        <v>54017</v>
      </c>
      <c r="E425" t="s">
        <v>167</v>
      </c>
      <c r="F425" t="s">
        <v>167</v>
      </c>
      <c r="G425" t="str">
        <f>HYPERLINK("http://www.ncbi.nlm.nih.gov/Taxonomy/Browser/wwwtax.cgi?mode=Info&amp;id=54017&amp;lvl=3&amp;lin=f&amp;keep=1&amp;srchmode=1&amp;unlock","Thalassarche chlororhynchos")</f>
        <v>Thalassarche chlororhynchos</v>
      </c>
      <c r="H425" t="s">
        <v>287</v>
      </c>
      <c r="I425" t="str">
        <f>HYPERLINK("http://www.ncbi.nlm.nih.gov/protein/NXU22430.1","ANDR protein")</f>
        <v>ANDR protein</v>
      </c>
      <c r="J425">
        <v>754.98</v>
      </c>
      <c r="K425" t="s">
        <v>25</v>
      </c>
      <c r="L425">
        <v>157</v>
      </c>
      <c r="M425">
        <v>44.41</v>
      </c>
      <c r="N425">
        <v>40.19</v>
      </c>
      <c r="O425" t="s">
        <v>20</v>
      </c>
      <c r="P425" t="s">
        <v>965</v>
      </c>
      <c r="Q425" t="s">
        <v>20</v>
      </c>
      <c r="R425" t="str">
        <f>HYPERLINK("https://cfpub.epa.gov/ecotox/explore.cfm?ncbi=54017","Explore in ECOTOX")</f>
        <v>Explore in ECOTOX</v>
      </c>
    </row>
    <row r="426" spans="1:18" x14ac:dyDescent="0.25">
      <c r="A426">
        <v>6</v>
      </c>
      <c r="B426" t="str">
        <f>HYPERLINK("http://www.ncbi.nlm.nih.gov/protein/XP_023781741.1","XP_023781741.1")</f>
        <v>XP_023781741.1</v>
      </c>
      <c r="C426">
        <v>31627</v>
      </c>
      <c r="D426" t="str">
        <f>HYPERLINK("http://www.ncbi.nlm.nih.gov/Taxonomy/Browser/wwwtax.cgi?mode=Info&amp;id=156563&amp;lvl=3&amp;lin=f&amp;keep=1&amp;srchmode=1&amp;unlock","156563")</f>
        <v>156563</v>
      </c>
      <c r="E426" t="s">
        <v>167</v>
      </c>
      <c r="F426" t="s">
        <v>167</v>
      </c>
      <c r="G426" t="str">
        <f>HYPERLINK("http://www.ncbi.nlm.nih.gov/Taxonomy/Browser/wwwtax.cgi?mode=Info&amp;id=156563&amp;lvl=3&amp;lin=f&amp;keep=1&amp;srchmode=1&amp;unlock","Cyanistes caeruleus")</f>
        <v>Cyanistes caeruleus</v>
      </c>
      <c r="H426" t="s">
        <v>455</v>
      </c>
      <c r="I426" t="str">
        <f>HYPERLINK("http://www.ncbi.nlm.nih.gov/protein/XP_023781741.1","androgen receptor")</f>
        <v>androgen receptor</v>
      </c>
      <c r="J426">
        <v>754.59</v>
      </c>
      <c r="K426" t="s">
        <v>25</v>
      </c>
      <c r="L426">
        <v>157</v>
      </c>
      <c r="M426">
        <v>44.41</v>
      </c>
      <c r="N426">
        <v>40.17</v>
      </c>
      <c r="O426" t="s">
        <v>20</v>
      </c>
      <c r="P426" t="s">
        <v>965</v>
      </c>
      <c r="Q426" t="s">
        <v>20</v>
      </c>
      <c r="R426" t="str">
        <f>HYPERLINK("https://cfpub.epa.gov/ecotox/explore.cfm?ncbi=156563","Explore in ECOTOX")</f>
        <v>Explore in ECOTOX</v>
      </c>
    </row>
    <row r="427" spans="1:18" x14ac:dyDescent="0.25">
      <c r="A427">
        <v>6</v>
      </c>
      <c r="B427" t="str">
        <f>HYPERLINK("http://www.ncbi.nlm.nih.gov/protein/NXJ51229.1","NXJ51229.1")</f>
        <v>NXJ51229.1</v>
      </c>
      <c r="C427">
        <v>14391</v>
      </c>
      <c r="D427" t="str">
        <f>HYPERLINK("http://www.ncbi.nlm.nih.gov/Taxonomy/Browser/wwwtax.cgi?mode=Info&amp;id=252798&amp;lvl=3&amp;lin=f&amp;keep=1&amp;srchmode=1&amp;unlock","252798")</f>
        <v>252798</v>
      </c>
      <c r="E427" t="s">
        <v>167</v>
      </c>
      <c r="F427" t="s">
        <v>167</v>
      </c>
      <c r="G427" t="str">
        <f>HYPERLINK("http://www.ncbi.nlm.nih.gov/Taxonomy/Browser/wwwtax.cgi?mode=Info&amp;id=252798&amp;lvl=3&amp;lin=f&amp;keep=1&amp;srchmode=1&amp;unlock","Spizaetus tyrannus")</f>
        <v>Spizaetus tyrannus</v>
      </c>
      <c r="H427" t="s">
        <v>292</v>
      </c>
      <c r="I427" t="str">
        <f>HYPERLINK("http://www.ncbi.nlm.nih.gov/protein/NXJ51229.1","ANDR protein")</f>
        <v>ANDR protein</v>
      </c>
      <c r="J427">
        <v>754.59</v>
      </c>
      <c r="K427" t="s">
        <v>25</v>
      </c>
      <c r="L427">
        <v>157</v>
      </c>
      <c r="M427">
        <v>44.41</v>
      </c>
      <c r="N427">
        <v>40.17</v>
      </c>
      <c r="O427" t="s">
        <v>20</v>
      </c>
      <c r="P427" t="s">
        <v>965</v>
      </c>
      <c r="Q427" t="s">
        <v>20</v>
      </c>
      <c r="R427" t="str">
        <f>HYPERLINK("https://cfpub.epa.gov/ecotox/explore.cfm?ncbi=252798","Explore in ECOTOX")</f>
        <v>Explore in ECOTOX</v>
      </c>
    </row>
    <row r="428" spans="1:18" x14ac:dyDescent="0.25">
      <c r="A428">
        <v>6</v>
      </c>
      <c r="B428" t="str">
        <f>HYPERLINK("http://www.ncbi.nlm.nih.gov/protein/NXN04548.1","NXN04548.1")</f>
        <v>NXN04548.1</v>
      </c>
      <c r="C428">
        <v>13617</v>
      </c>
      <c r="D428" t="str">
        <f>HYPERLINK("http://www.ncbi.nlm.nih.gov/Taxonomy/Browser/wwwtax.cgi?mode=Info&amp;id=73324&amp;lvl=3&amp;lin=f&amp;keep=1&amp;srchmode=1&amp;unlock","73324")</f>
        <v>73324</v>
      </c>
      <c r="E428" t="s">
        <v>167</v>
      </c>
      <c r="F428" t="s">
        <v>167</v>
      </c>
      <c r="G428" t="str">
        <f>HYPERLINK("http://www.ncbi.nlm.nih.gov/Taxonomy/Browser/wwwtax.cgi?mode=Info&amp;id=73324&amp;lvl=3&amp;lin=f&amp;keep=1&amp;srchmode=1&amp;unlock","Sylvia borin")</f>
        <v>Sylvia borin</v>
      </c>
      <c r="H428" t="s">
        <v>989</v>
      </c>
      <c r="I428" t="str">
        <f>HYPERLINK("http://www.ncbi.nlm.nih.gov/protein/NXN04548.1","ANDR protein")</f>
        <v>ANDR protein</v>
      </c>
      <c r="J428">
        <v>754.59</v>
      </c>
      <c r="K428" t="s">
        <v>25</v>
      </c>
      <c r="L428">
        <v>157</v>
      </c>
      <c r="M428">
        <v>44.41</v>
      </c>
      <c r="N428">
        <v>40.17</v>
      </c>
      <c r="O428" t="s">
        <v>20</v>
      </c>
      <c r="P428" t="s">
        <v>965</v>
      </c>
      <c r="Q428" t="s">
        <v>20</v>
      </c>
      <c r="R428" t="str">
        <f>HYPERLINK("https://cfpub.epa.gov/ecotox/explore.cfm?ncbi=73324","Explore in ECOTOX")</f>
        <v>Explore in ECOTOX</v>
      </c>
    </row>
    <row r="429" spans="1:18" x14ac:dyDescent="0.25">
      <c r="A429">
        <v>6</v>
      </c>
      <c r="B429" t="str">
        <f>HYPERLINK("http://www.ncbi.nlm.nih.gov/protein/NXM03331.1","NXM03331.1")</f>
        <v>NXM03331.1</v>
      </c>
      <c r="C429">
        <v>13608</v>
      </c>
      <c r="D429" t="str">
        <f>HYPERLINK("http://www.ncbi.nlm.nih.gov/Taxonomy/Browser/wwwtax.cgi?mode=Info&amp;id=137541&amp;lvl=3&amp;lin=f&amp;keep=1&amp;srchmode=1&amp;unlock","137541")</f>
        <v>137541</v>
      </c>
      <c r="E429" t="s">
        <v>167</v>
      </c>
      <c r="F429" t="s">
        <v>167</v>
      </c>
      <c r="G429" t="str">
        <f>HYPERLINK("http://www.ncbi.nlm.nih.gov/Taxonomy/Browser/wwwtax.cgi?mode=Info&amp;id=137541&amp;lvl=3&amp;lin=f&amp;keep=1&amp;srchmode=1&amp;unlock","Tyrannus savana")</f>
        <v>Tyrannus savana</v>
      </c>
      <c r="H429" t="s">
        <v>364</v>
      </c>
      <c r="I429" t="str">
        <f>HYPERLINK("http://www.ncbi.nlm.nih.gov/protein/NXM03331.1","ANDR protein")</f>
        <v>ANDR protein</v>
      </c>
      <c r="J429">
        <v>754.21</v>
      </c>
      <c r="K429" t="s">
        <v>25</v>
      </c>
      <c r="L429">
        <v>157</v>
      </c>
      <c r="M429">
        <v>44.41</v>
      </c>
      <c r="N429">
        <v>40.15</v>
      </c>
      <c r="O429" t="s">
        <v>20</v>
      </c>
      <c r="P429" t="s">
        <v>965</v>
      </c>
      <c r="Q429" t="s">
        <v>20</v>
      </c>
      <c r="R429" t="str">
        <f>HYPERLINK("https://cfpub.epa.gov/ecotox/explore.cfm?ncbi=137541","Explore in ECOTOX")</f>
        <v>Explore in ECOTOX</v>
      </c>
    </row>
    <row r="430" spans="1:18" x14ac:dyDescent="0.25">
      <c r="A430">
        <v>6</v>
      </c>
      <c r="B430" t="str">
        <f>HYPERLINK("http://www.ncbi.nlm.nih.gov/protein/NXA26693.1","NXA26693.1")</f>
        <v>NXA26693.1</v>
      </c>
      <c r="C430">
        <v>13860</v>
      </c>
      <c r="D430" t="str">
        <f>HYPERLINK("http://www.ncbi.nlm.nih.gov/Taxonomy/Browser/wwwtax.cgi?mode=Info&amp;id=425643&amp;lvl=3&amp;lin=f&amp;keep=1&amp;srchmode=1&amp;unlock","425643")</f>
        <v>425643</v>
      </c>
      <c r="E430" t="s">
        <v>167</v>
      </c>
      <c r="F430" t="s">
        <v>167</v>
      </c>
      <c r="G430" t="str">
        <f>HYPERLINK("http://www.ncbi.nlm.nih.gov/Taxonomy/Browser/wwwtax.cgi?mode=Info&amp;id=425643&amp;lvl=3&amp;lin=f&amp;keep=1&amp;srchmode=1&amp;unlock","Ibidorhyncha struthersii")</f>
        <v>Ibidorhyncha struthersii</v>
      </c>
      <c r="H430" t="s">
        <v>185</v>
      </c>
      <c r="I430" t="str">
        <f>HYPERLINK("http://www.ncbi.nlm.nih.gov/protein/NXA26693.1","ANDR protein")</f>
        <v>ANDR protein</v>
      </c>
      <c r="J430">
        <v>754.21</v>
      </c>
      <c r="K430" t="s">
        <v>25</v>
      </c>
      <c r="L430">
        <v>157</v>
      </c>
      <c r="M430">
        <v>44.41</v>
      </c>
      <c r="N430">
        <v>40.15</v>
      </c>
      <c r="O430" t="s">
        <v>20</v>
      </c>
      <c r="P430" t="s">
        <v>965</v>
      </c>
      <c r="Q430" t="s">
        <v>20</v>
      </c>
      <c r="R430" t="str">
        <f>HYPERLINK("https://cfpub.epa.gov/ecotox/explore.cfm?ncbi=425643","Explore in ECOTOX")</f>
        <v>Explore in ECOTOX</v>
      </c>
    </row>
    <row r="431" spans="1:18" x14ac:dyDescent="0.25">
      <c r="A431">
        <v>6</v>
      </c>
      <c r="B431" t="str">
        <f>HYPERLINK("http://www.ncbi.nlm.nih.gov/protein/NWU59399.1","NWU59399.1")</f>
        <v>NWU59399.1</v>
      </c>
      <c r="C431">
        <v>13926</v>
      </c>
      <c r="D431" t="str">
        <f>HYPERLINK("http://www.ncbi.nlm.nih.gov/Taxonomy/Browser/wwwtax.cgi?mode=Info&amp;id=458190&amp;lvl=3&amp;lin=f&amp;keep=1&amp;srchmode=1&amp;unlock","458190")</f>
        <v>458190</v>
      </c>
      <c r="E431" t="s">
        <v>167</v>
      </c>
      <c r="F431" t="s">
        <v>167</v>
      </c>
      <c r="G431" t="str">
        <f>HYPERLINK("http://www.ncbi.nlm.nih.gov/Taxonomy/Browser/wwwtax.cgi?mode=Info&amp;id=458190&amp;lvl=3&amp;lin=f&amp;keep=1&amp;srchmode=1&amp;unlock","Dromas ardeola")</f>
        <v>Dromas ardeola</v>
      </c>
      <c r="H431" t="s">
        <v>185</v>
      </c>
      <c r="I431" t="str">
        <f>HYPERLINK("http://www.ncbi.nlm.nih.gov/protein/NWU59399.1","ANDR protein")</f>
        <v>ANDR protein</v>
      </c>
      <c r="J431">
        <v>754.21</v>
      </c>
      <c r="K431" t="s">
        <v>25</v>
      </c>
      <c r="L431">
        <v>157</v>
      </c>
      <c r="M431">
        <v>44.41</v>
      </c>
      <c r="N431">
        <v>40.15</v>
      </c>
      <c r="O431" t="s">
        <v>20</v>
      </c>
      <c r="P431" t="s">
        <v>965</v>
      </c>
      <c r="Q431" t="s">
        <v>20</v>
      </c>
      <c r="R431" t="str">
        <f>HYPERLINK("https://cfpub.epa.gov/ecotox/explore.cfm?ncbi=458190","Explore in ECOTOX")</f>
        <v>Explore in ECOTOX</v>
      </c>
    </row>
    <row r="432" spans="1:18" x14ac:dyDescent="0.25">
      <c r="A432">
        <v>6</v>
      </c>
      <c r="B432" t="str">
        <f>HYPERLINK("http://www.ncbi.nlm.nih.gov/protein/BAJ15432.1","BAJ15432.1")</f>
        <v>BAJ15432.1</v>
      </c>
      <c r="C432">
        <v>216</v>
      </c>
      <c r="D432" t="str">
        <f>HYPERLINK("http://www.ncbi.nlm.nih.gov/Taxonomy/Browser/wwwtax.cgi?mode=Info&amp;id=86195&amp;lvl=3&amp;lin=f&amp;keep=1&amp;srchmode=1&amp;unlock","86195")</f>
        <v>86195</v>
      </c>
      <c r="E432" t="s">
        <v>236</v>
      </c>
      <c r="F432" t="s">
        <v>236</v>
      </c>
      <c r="G432" t="str">
        <f>HYPERLINK("http://www.ncbi.nlm.nih.gov/Taxonomy/Browser/wwwtax.cgi?mode=Info&amp;id=86195&amp;lvl=3&amp;lin=f&amp;keep=1&amp;srchmode=1&amp;unlock","Elaphe quadrivirgata")</f>
        <v>Elaphe quadrivirgata</v>
      </c>
      <c r="H432" t="s">
        <v>990</v>
      </c>
      <c r="I432" t="str">
        <f>HYPERLINK("http://www.ncbi.nlm.nih.gov/protein/BAJ15432.1","androgen receptor")</f>
        <v>androgen receptor</v>
      </c>
      <c r="J432">
        <v>754.21</v>
      </c>
      <c r="K432" t="s">
        <v>25</v>
      </c>
      <c r="L432">
        <v>157</v>
      </c>
      <c r="M432">
        <v>44.41</v>
      </c>
      <c r="N432">
        <v>40.15</v>
      </c>
      <c r="O432" t="s">
        <v>20</v>
      </c>
      <c r="P432" t="s">
        <v>965</v>
      </c>
      <c r="Q432" t="s">
        <v>20</v>
      </c>
      <c r="R432" t="str">
        <f>HYPERLINK("https://cfpub.epa.gov/ecotox/explore.cfm?ncbi=86195","Explore in ECOTOX")</f>
        <v>Explore in ECOTOX</v>
      </c>
    </row>
    <row r="433" spans="1:18" x14ac:dyDescent="0.25">
      <c r="A433">
        <v>6</v>
      </c>
      <c r="B433" t="str">
        <f>HYPERLINK("http://www.ncbi.nlm.nih.gov/protein/NWQ91554.1","NWQ91554.1")</f>
        <v>NWQ91554.1</v>
      </c>
      <c r="C433">
        <v>14023</v>
      </c>
      <c r="D433" t="str">
        <f>HYPERLINK("http://www.ncbi.nlm.nih.gov/Taxonomy/Browser/wwwtax.cgi?mode=Info&amp;id=240201&amp;lvl=3&amp;lin=f&amp;keep=1&amp;srchmode=1&amp;unlock","240201")</f>
        <v>240201</v>
      </c>
      <c r="E433" t="s">
        <v>167</v>
      </c>
      <c r="F433" t="s">
        <v>167</v>
      </c>
      <c r="G433" t="str">
        <f>HYPERLINK("http://www.ncbi.nlm.nih.gov/Taxonomy/Browser/wwwtax.cgi?mode=Info&amp;id=240201&amp;lvl=3&amp;lin=f&amp;keep=1&amp;srchmode=1&amp;unlock","Burhinus bistriatus")</f>
        <v>Burhinus bistriatus</v>
      </c>
      <c r="H433" t="s">
        <v>185</v>
      </c>
      <c r="I433" t="str">
        <f>HYPERLINK("http://www.ncbi.nlm.nih.gov/protein/NWQ91554.1","ANDR protein")</f>
        <v>ANDR protein</v>
      </c>
      <c r="J433">
        <v>754.21</v>
      </c>
      <c r="K433" t="s">
        <v>25</v>
      </c>
      <c r="L433">
        <v>157</v>
      </c>
      <c r="M433">
        <v>44.41</v>
      </c>
      <c r="N433">
        <v>40.15</v>
      </c>
      <c r="O433" t="s">
        <v>20</v>
      </c>
      <c r="P433" t="s">
        <v>965</v>
      </c>
      <c r="Q433" t="s">
        <v>20</v>
      </c>
      <c r="R433" t="str">
        <f>HYPERLINK("https://cfpub.epa.gov/ecotox/explore.cfm?ncbi=240201","Explore in ECOTOX")</f>
        <v>Explore in ECOTOX</v>
      </c>
    </row>
    <row r="434" spans="1:18" x14ac:dyDescent="0.25">
      <c r="A434">
        <v>6</v>
      </c>
      <c r="B434" t="str">
        <f>HYPERLINK("http://www.ncbi.nlm.nih.gov/protein/NWU71276.1","NWU71276.1")</f>
        <v>NWU71276.1</v>
      </c>
      <c r="C434">
        <v>13883</v>
      </c>
      <c r="D434" t="str">
        <f>HYPERLINK("http://www.ncbi.nlm.nih.gov/Taxonomy/Browser/wwwtax.cgi?mode=Info&amp;id=2585816&amp;lvl=3&amp;lin=f&amp;keep=1&amp;srchmode=1&amp;unlock","2585816")</f>
        <v>2585816</v>
      </c>
      <c r="E434" t="s">
        <v>167</v>
      </c>
      <c r="F434" t="s">
        <v>167</v>
      </c>
      <c r="G434" t="str">
        <f>HYPERLINK("http://www.ncbi.nlm.nih.gov/Taxonomy/Browser/wwwtax.cgi?mode=Info&amp;id=2585816&amp;lvl=3&amp;lin=f&amp;keep=1&amp;srchmode=1&amp;unlock","Pterocles burchelli")</f>
        <v>Pterocles burchelli</v>
      </c>
      <c r="H434" t="s">
        <v>217</v>
      </c>
      <c r="I434" t="str">
        <f>HYPERLINK("http://www.ncbi.nlm.nih.gov/protein/NWU71276.1","ANDR protein")</f>
        <v>ANDR protein</v>
      </c>
      <c r="J434">
        <v>754.21</v>
      </c>
      <c r="K434" t="s">
        <v>25</v>
      </c>
      <c r="L434">
        <v>157</v>
      </c>
      <c r="M434">
        <v>44.41</v>
      </c>
      <c r="N434">
        <v>40.15</v>
      </c>
      <c r="O434" t="s">
        <v>20</v>
      </c>
      <c r="P434" t="s">
        <v>965</v>
      </c>
      <c r="Q434" t="s">
        <v>20</v>
      </c>
      <c r="R434" t="str">
        <f>HYPERLINK("https://cfpub.epa.gov/ecotox/explore.cfm?ncbi=2585816","Explore in ECOTOX")</f>
        <v>Explore in ECOTOX</v>
      </c>
    </row>
    <row r="435" spans="1:18" x14ac:dyDescent="0.25">
      <c r="A435">
        <v>6</v>
      </c>
      <c r="B435" t="str">
        <f>HYPERLINK("http://www.ncbi.nlm.nih.gov/protein/NWW41366.1","NWW41366.1")</f>
        <v>NWW41366.1</v>
      </c>
      <c r="C435">
        <v>12841</v>
      </c>
      <c r="D435" t="str">
        <f>HYPERLINK("http://www.ncbi.nlm.nih.gov/Taxonomy/Browser/wwwtax.cgi?mode=Info&amp;id=181101&amp;lvl=3&amp;lin=f&amp;keep=1&amp;srchmode=1&amp;unlock","181101")</f>
        <v>181101</v>
      </c>
      <c r="E435" t="s">
        <v>167</v>
      </c>
      <c r="F435" t="s">
        <v>167</v>
      </c>
      <c r="G435" t="str">
        <f>HYPERLINK("http://www.ncbi.nlm.nih.gov/Taxonomy/Browser/wwwtax.cgi?mode=Info&amp;id=181101&amp;lvl=3&amp;lin=f&amp;keep=1&amp;srchmode=1&amp;unlock","Panurus biarmicus")</f>
        <v>Panurus biarmicus</v>
      </c>
      <c r="H435" t="s">
        <v>395</v>
      </c>
      <c r="I435" t="str">
        <f>HYPERLINK("http://www.ncbi.nlm.nih.gov/protein/NWW41366.1","ANDR protein")</f>
        <v>ANDR protein</v>
      </c>
      <c r="J435">
        <v>753.82</v>
      </c>
      <c r="K435" t="s">
        <v>25</v>
      </c>
      <c r="L435">
        <v>157</v>
      </c>
      <c r="M435">
        <v>44.41</v>
      </c>
      <c r="N435">
        <v>40.130000000000003</v>
      </c>
      <c r="O435" t="s">
        <v>20</v>
      </c>
      <c r="P435" t="s">
        <v>965</v>
      </c>
      <c r="Q435" t="s">
        <v>20</v>
      </c>
      <c r="R435" t="str">
        <f>HYPERLINK("https://cfpub.epa.gov/ecotox/explore.cfm?ncbi=181101","Explore in ECOTOX")</f>
        <v>Explore in ECOTOX</v>
      </c>
    </row>
    <row r="436" spans="1:18" x14ac:dyDescent="0.25">
      <c r="A436">
        <v>6</v>
      </c>
      <c r="B436" t="str">
        <f>HYPERLINK("http://www.ncbi.nlm.nih.gov/protein/XP_026650071.1","XP_026650071.1")</f>
        <v>XP_026650071.1</v>
      </c>
      <c r="C436">
        <v>26699</v>
      </c>
      <c r="D436" t="str">
        <f>HYPERLINK("http://www.ncbi.nlm.nih.gov/Taxonomy/Browser/wwwtax.cgi?mode=Info&amp;id=44394&amp;lvl=3&amp;lin=f&amp;keep=1&amp;srchmode=1&amp;unlock","44394")</f>
        <v>44394</v>
      </c>
      <c r="E436" t="s">
        <v>167</v>
      </c>
      <c r="F436" t="s">
        <v>167</v>
      </c>
      <c r="G436" t="str">
        <f>HYPERLINK("http://www.ncbi.nlm.nih.gov/Taxonomy/Browser/wwwtax.cgi?mode=Info&amp;id=44394&amp;lvl=3&amp;lin=f&amp;keep=1&amp;srchmode=1&amp;unlock","Zonotrichia albicollis")</f>
        <v>Zonotrichia albicollis</v>
      </c>
      <c r="H436" t="s">
        <v>465</v>
      </c>
      <c r="I436" t="str">
        <f>HYPERLINK("http://www.ncbi.nlm.nih.gov/protein/XP_026650071.1","androgen receptor")</f>
        <v>androgen receptor</v>
      </c>
      <c r="J436">
        <v>753.82</v>
      </c>
      <c r="K436" t="s">
        <v>25</v>
      </c>
      <c r="L436">
        <v>157</v>
      </c>
      <c r="M436">
        <v>44.41</v>
      </c>
      <c r="N436">
        <v>40.130000000000003</v>
      </c>
      <c r="O436" t="s">
        <v>20</v>
      </c>
      <c r="P436" t="s">
        <v>965</v>
      </c>
      <c r="Q436" t="s">
        <v>20</v>
      </c>
      <c r="R436" t="str">
        <f>HYPERLINK("https://cfpub.epa.gov/ecotox/explore.cfm?ncbi=44394","Explore in ECOTOX")</f>
        <v>Explore in ECOTOX</v>
      </c>
    </row>
    <row r="437" spans="1:18" x14ac:dyDescent="0.25">
      <c r="A437">
        <v>6</v>
      </c>
      <c r="B437" t="str">
        <f>HYPERLINK("http://www.ncbi.nlm.nih.gov/protein/NXE09334.1","NXE09334.1")</f>
        <v>NXE09334.1</v>
      </c>
      <c r="C437">
        <v>13942</v>
      </c>
      <c r="D437" t="str">
        <f>HYPERLINK("http://www.ncbi.nlm.nih.gov/Taxonomy/Browser/wwwtax.cgi?mode=Info&amp;id=172689&amp;lvl=3&amp;lin=f&amp;keep=1&amp;srchmode=1&amp;unlock","172689")</f>
        <v>172689</v>
      </c>
      <c r="E437" t="s">
        <v>167</v>
      </c>
      <c r="F437" t="s">
        <v>167</v>
      </c>
      <c r="G437" t="str">
        <f>HYPERLINK("http://www.ncbi.nlm.nih.gov/Taxonomy/Browser/wwwtax.cgi?mode=Info&amp;id=172689&amp;lvl=3&amp;lin=f&amp;keep=1&amp;srchmode=1&amp;unlock","Lophotis ruficrista")</f>
        <v>Lophotis ruficrista</v>
      </c>
      <c r="H437" t="s">
        <v>182</v>
      </c>
      <c r="I437" t="str">
        <f>HYPERLINK("http://www.ncbi.nlm.nih.gov/protein/NXE09334.1","ANDR protein")</f>
        <v>ANDR protein</v>
      </c>
      <c r="J437">
        <v>753.44</v>
      </c>
      <c r="K437" t="s">
        <v>25</v>
      </c>
      <c r="L437">
        <v>157</v>
      </c>
      <c r="M437">
        <v>44.41</v>
      </c>
      <c r="N437">
        <v>40.11</v>
      </c>
      <c r="O437" t="s">
        <v>20</v>
      </c>
      <c r="P437" t="s">
        <v>965</v>
      </c>
      <c r="Q437" t="s">
        <v>20</v>
      </c>
      <c r="R437" t="str">
        <f>HYPERLINK("https://cfpub.epa.gov/ecotox/explore.cfm?ncbi=172689","Explore in ECOTOX")</f>
        <v>Explore in ECOTOX</v>
      </c>
    </row>
    <row r="438" spans="1:18" x14ac:dyDescent="0.25">
      <c r="A438">
        <v>6</v>
      </c>
      <c r="B438" t="str">
        <f>HYPERLINK("http://www.ncbi.nlm.nih.gov/protein/NXY61431.1","NXY61431.1")</f>
        <v>NXY61431.1</v>
      </c>
      <c r="C438">
        <v>14612</v>
      </c>
      <c r="D438" t="str">
        <f>HYPERLINK("http://www.ncbi.nlm.nih.gov/Taxonomy/Browser/wwwtax.cgi?mode=Info&amp;id=1347786&amp;lvl=3&amp;lin=f&amp;keep=1&amp;srchmode=1&amp;unlock","1347786")</f>
        <v>1347786</v>
      </c>
      <c r="E438" t="s">
        <v>167</v>
      </c>
      <c r="F438" t="s">
        <v>167</v>
      </c>
      <c r="G438" t="str">
        <f>HYPERLINK("http://www.ncbi.nlm.nih.gov/Taxonomy/Browser/wwwtax.cgi?mode=Info&amp;id=1347786&amp;lvl=3&amp;lin=f&amp;keep=1&amp;srchmode=1&amp;unlock","Callaeas wilsoni")</f>
        <v>Callaeas wilsoni</v>
      </c>
      <c r="H438" t="s">
        <v>335</v>
      </c>
      <c r="I438" t="str">
        <f>HYPERLINK("http://www.ncbi.nlm.nih.gov/protein/NXY61431.1","ANDR protein")</f>
        <v>ANDR protein</v>
      </c>
      <c r="J438">
        <v>753.44</v>
      </c>
      <c r="K438" t="s">
        <v>25</v>
      </c>
      <c r="L438">
        <v>157</v>
      </c>
      <c r="M438">
        <v>44.41</v>
      </c>
      <c r="N438">
        <v>40.11</v>
      </c>
      <c r="O438" t="s">
        <v>20</v>
      </c>
      <c r="P438" t="s">
        <v>965</v>
      </c>
      <c r="Q438" t="s">
        <v>20</v>
      </c>
      <c r="R438" t="str">
        <f>HYPERLINK("https://cfpub.epa.gov/ecotox/explore.cfm?ncbi=1347786","Explore in ECOTOX")</f>
        <v>Explore in ECOTOX</v>
      </c>
    </row>
    <row r="439" spans="1:18" x14ac:dyDescent="0.25">
      <c r="A439">
        <v>6</v>
      </c>
      <c r="B439" t="str">
        <f>HYPERLINK("http://www.ncbi.nlm.nih.gov/protein/AME29415.1","AME29415.1")</f>
        <v>AME29415.1</v>
      </c>
      <c r="C439">
        <v>114</v>
      </c>
      <c r="D439" t="str">
        <f>HYPERLINK("http://www.ncbi.nlm.nih.gov/Taxonomy/Browser/wwwtax.cgi?mode=Info&amp;id=30588&amp;lvl=3&amp;lin=f&amp;keep=1&amp;srchmode=1&amp;unlock","30588")</f>
        <v>30588</v>
      </c>
      <c r="E439" t="s">
        <v>18</v>
      </c>
      <c r="F439" t="s">
        <v>18</v>
      </c>
      <c r="G439" t="str">
        <f>HYPERLINK("http://www.ncbi.nlm.nih.gov/Taxonomy/Browser/wwwtax.cgi?mode=Info&amp;id=30588&amp;lvl=3&amp;lin=f&amp;keep=1&amp;srchmode=1&amp;unlock","Leontopithecus rosalia")</f>
        <v>Leontopithecus rosalia</v>
      </c>
      <c r="H439" t="s">
        <v>991</v>
      </c>
      <c r="I439" t="str">
        <f>HYPERLINK("http://www.ncbi.nlm.nih.gov/protein/AME29415.1","androgen receptor, partial")</f>
        <v>androgen receptor, partial</v>
      </c>
      <c r="J439">
        <v>753.05</v>
      </c>
      <c r="K439" t="s">
        <v>25</v>
      </c>
      <c r="L439">
        <v>157</v>
      </c>
      <c r="M439">
        <v>44.41</v>
      </c>
      <c r="N439">
        <v>40.090000000000003</v>
      </c>
      <c r="O439" t="s">
        <v>20</v>
      </c>
      <c r="P439" t="s">
        <v>965</v>
      </c>
      <c r="Q439" t="s">
        <v>20</v>
      </c>
      <c r="R439" t="str">
        <f>HYPERLINK("https://cfpub.epa.gov/ecotox/explore.cfm?ncbi=30588","Explore in ECOTOX")</f>
        <v>Explore in ECOTOX</v>
      </c>
    </row>
    <row r="440" spans="1:18" x14ac:dyDescent="0.25">
      <c r="A440">
        <v>6</v>
      </c>
      <c r="B440" t="str">
        <f>HYPERLINK("http://www.ncbi.nlm.nih.gov/protein/NXH77487.1","NXH77487.1")</f>
        <v>NXH77487.1</v>
      </c>
      <c r="C440">
        <v>14052</v>
      </c>
      <c r="D440" t="str">
        <f>HYPERLINK("http://www.ncbi.nlm.nih.gov/Taxonomy/Browser/wwwtax.cgi?mode=Info&amp;id=79633&amp;lvl=3&amp;lin=f&amp;keep=1&amp;srchmode=1&amp;unlock","79633")</f>
        <v>79633</v>
      </c>
      <c r="E440" t="s">
        <v>167</v>
      </c>
      <c r="F440" t="s">
        <v>167</v>
      </c>
      <c r="G440" t="str">
        <f>HYPERLINK("http://www.ncbi.nlm.nih.gov/Taxonomy/Browser/wwwtax.cgi?mode=Info&amp;id=79633&amp;lvl=3&amp;lin=f&amp;keep=1&amp;srchmode=1&amp;unlock","Oceanodroma tethys")</f>
        <v>Oceanodroma tethys</v>
      </c>
      <c r="H440" t="s">
        <v>173</v>
      </c>
      <c r="I440" t="str">
        <f>HYPERLINK("http://www.ncbi.nlm.nih.gov/protein/NXH77487.1","ANDR protein")</f>
        <v>ANDR protein</v>
      </c>
      <c r="J440">
        <v>753.05</v>
      </c>
      <c r="K440" t="s">
        <v>25</v>
      </c>
      <c r="L440">
        <v>157</v>
      </c>
      <c r="M440">
        <v>44.41</v>
      </c>
      <c r="N440">
        <v>40.090000000000003</v>
      </c>
      <c r="O440" t="s">
        <v>20</v>
      </c>
      <c r="P440" t="s">
        <v>965</v>
      </c>
      <c r="Q440" t="s">
        <v>20</v>
      </c>
      <c r="R440" t="str">
        <f>HYPERLINK("https://cfpub.epa.gov/ecotox/explore.cfm?ncbi=79633","Explore in ECOTOX")</f>
        <v>Explore in ECOTOX</v>
      </c>
    </row>
    <row r="441" spans="1:18" x14ac:dyDescent="0.25">
      <c r="A441">
        <v>6</v>
      </c>
      <c r="B441" t="str">
        <f>HYPERLINK("http://www.ncbi.nlm.nih.gov/protein/NWX79862.1","NWX79862.1")</f>
        <v>NWX79862.1</v>
      </c>
      <c r="C441">
        <v>14034</v>
      </c>
      <c r="D441" t="str">
        <f>HYPERLINK("http://www.ncbi.nlm.nih.gov/Taxonomy/Browser/wwwtax.cgi?mode=Info&amp;id=28689&amp;lvl=3&amp;lin=f&amp;keep=1&amp;srchmode=1&amp;unlock","28689")</f>
        <v>28689</v>
      </c>
      <c r="E441" t="s">
        <v>167</v>
      </c>
      <c r="F441" t="s">
        <v>167</v>
      </c>
      <c r="G441" t="str">
        <f>HYPERLINK("http://www.ncbi.nlm.nih.gov/Taxonomy/Browser/wwwtax.cgi?mode=Info&amp;id=28689&amp;lvl=3&amp;lin=f&amp;keep=1&amp;srchmode=1&amp;unlock","Alca torda")</f>
        <v>Alca torda</v>
      </c>
      <c r="H441" t="s">
        <v>202</v>
      </c>
      <c r="I441" t="str">
        <f>HYPERLINK("http://www.ncbi.nlm.nih.gov/protein/NWX79862.1","ANDR protein")</f>
        <v>ANDR protein</v>
      </c>
      <c r="J441">
        <v>753.05</v>
      </c>
      <c r="K441" t="s">
        <v>25</v>
      </c>
      <c r="L441">
        <v>157</v>
      </c>
      <c r="M441">
        <v>44.41</v>
      </c>
      <c r="N441">
        <v>40.090000000000003</v>
      </c>
      <c r="O441" t="s">
        <v>20</v>
      </c>
      <c r="P441" t="s">
        <v>965</v>
      </c>
      <c r="Q441" t="s">
        <v>20</v>
      </c>
      <c r="R441" t="str">
        <f>HYPERLINK("https://cfpub.epa.gov/ecotox/explore.cfm?ncbi=28689","Explore in ECOTOX")</f>
        <v>Explore in ECOTOX</v>
      </c>
    </row>
    <row r="442" spans="1:18" x14ac:dyDescent="0.25">
      <c r="A442">
        <v>6</v>
      </c>
      <c r="B442" t="str">
        <f>HYPERLINK("http://www.ncbi.nlm.nih.gov/protein/NXK08670.1","NXK08670.1")</f>
        <v>NXK08670.1</v>
      </c>
      <c r="C442">
        <v>14398</v>
      </c>
      <c r="D442" t="str">
        <f>HYPERLINK("http://www.ncbi.nlm.nih.gov/Taxonomy/Browser/wwwtax.cgi?mode=Info&amp;id=56343&amp;lvl=3&amp;lin=f&amp;keep=1&amp;srchmode=1&amp;unlock","56343")</f>
        <v>56343</v>
      </c>
      <c r="E442" t="s">
        <v>167</v>
      </c>
      <c r="F442" t="s">
        <v>167</v>
      </c>
      <c r="G442" t="str">
        <f>HYPERLINK("http://www.ncbi.nlm.nih.gov/Taxonomy/Browser/wwwtax.cgi?mode=Info&amp;id=56343&amp;lvl=3&amp;lin=f&amp;keep=1&amp;srchmode=1&amp;unlock","Herpetotheres cachinnans")</f>
        <v>Herpetotheres cachinnans</v>
      </c>
      <c r="H442" t="s">
        <v>239</v>
      </c>
      <c r="I442" t="str">
        <f>HYPERLINK("http://www.ncbi.nlm.nih.gov/protein/NXK08670.1","ANDR protein")</f>
        <v>ANDR protein</v>
      </c>
      <c r="J442">
        <v>753.05</v>
      </c>
      <c r="K442" t="s">
        <v>25</v>
      </c>
      <c r="L442">
        <v>157</v>
      </c>
      <c r="M442">
        <v>44.41</v>
      </c>
      <c r="N442">
        <v>40.090000000000003</v>
      </c>
      <c r="O442" t="s">
        <v>20</v>
      </c>
      <c r="P442" t="s">
        <v>965</v>
      </c>
      <c r="Q442" t="s">
        <v>20</v>
      </c>
      <c r="R442" t="str">
        <f>HYPERLINK("https://cfpub.epa.gov/ecotox/explore.cfm?ncbi=56343","Explore in ECOTOX")</f>
        <v>Explore in ECOTOX</v>
      </c>
    </row>
    <row r="443" spans="1:18" x14ac:dyDescent="0.25">
      <c r="A443">
        <v>6</v>
      </c>
      <c r="B443" t="str">
        <f>HYPERLINK("http://www.ncbi.nlm.nih.gov/protein/KAF1642272.1","KAF1642272.1")</f>
        <v>KAF1642272.1</v>
      </c>
      <c r="C443">
        <v>12903</v>
      </c>
      <c r="D443" t="str">
        <f>HYPERLINK("http://www.ncbi.nlm.nih.gov/Taxonomy/Browser/wwwtax.cgi?mode=Info&amp;id=79626&amp;lvl=3&amp;lin=f&amp;keep=1&amp;srchmode=1&amp;unlock","79626")</f>
        <v>79626</v>
      </c>
      <c r="E443" t="s">
        <v>167</v>
      </c>
      <c r="F443" t="s">
        <v>167</v>
      </c>
      <c r="G443" t="str">
        <f>HYPERLINK("http://www.ncbi.nlm.nih.gov/Taxonomy/Browser/wwwtax.cgi?mode=Info&amp;id=79626&amp;lvl=3&amp;lin=f&amp;keep=1&amp;srchmode=1&amp;unlock","Eudyptes chrysocome")</f>
        <v>Eudyptes chrysocome</v>
      </c>
      <c r="H443" t="s">
        <v>249</v>
      </c>
      <c r="I443" t="str">
        <f>HYPERLINK("http://www.ncbi.nlm.nih.gov/protein/KAF1642272.1","Androgen receptor, partial")</f>
        <v>Androgen receptor, partial</v>
      </c>
      <c r="J443">
        <v>752.67</v>
      </c>
      <c r="K443" t="s">
        <v>25</v>
      </c>
      <c r="L443">
        <v>157</v>
      </c>
      <c r="M443">
        <v>44.41</v>
      </c>
      <c r="N443">
        <v>40.07</v>
      </c>
      <c r="O443" t="s">
        <v>20</v>
      </c>
      <c r="P443" t="s">
        <v>965</v>
      </c>
      <c r="Q443" t="s">
        <v>20</v>
      </c>
      <c r="R443" t="str">
        <f>HYPERLINK("https://cfpub.epa.gov/ecotox/explore.cfm?ncbi=79626","Explore in ECOTOX")</f>
        <v>Explore in ECOTOX</v>
      </c>
    </row>
    <row r="444" spans="1:18" x14ac:dyDescent="0.25">
      <c r="A444">
        <v>6</v>
      </c>
      <c r="B444" t="str">
        <f>HYPERLINK("http://www.ncbi.nlm.nih.gov/protein/KFM13400.1","KFM13400.1")</f>
        <v>KFM13400.1</v>
      </c>
      <c r="C444">
        <v>32672</v>
      </c>
      <c r="D444" t="str">
        <f>HYPERLINK("http://www.ncbi.nlm.nih.gov/Taxonomy/Browser/wwwtax.cgi?mode=Info&amp;id=9233&amp;lvl=3&amp;lin=f&amp;keep=1&amp;srchmode=1&amp;unlock","9233")</f>
        <v>9233</v>
      </c>
      <c r="E444" t="s">
        <v>167</v>
      </c>
      <c r="F444" t="s">
        <v>167</v>
      </c>
      <c r="G444" t="str">
        <f>HYPERLINK("http://www.ncbi.nlm.nih.gov/Taxonomy/Browser/wwwtax.cgi?mode=Info&amp;id=9233&amp;lvl=3&amp;lin=f&amp;keep=1&amp;srchmode=1&amp;unlock","Aptenodytes forsteri")</f>
        <v>Aptenodytes forsteri</v>
      </c>
      <c r="H444" t="s">
        <v>194</v>
      </c>
      <c r="I444" t="str">
        <f>HYPERLINK("http://www.ncbi.nlm.nih.gov/protein/KFM13400.1","Androgen receptor, partial")</f>
        <v>Androgen receptor, partial</v>
      </c>
      <c r="J444">
        <v>752.67</v>
      </c>
      <c r="K444" t="s">
        <v>25</v>
      </c>
      <c r="L444">
        <v>157</v>
      </c>
      <c r="M444">
        <v>44.41</v>
      </c>
      <c r="N444">
        <v>40.07</v>
      </c>
      <c r="O444" t="s">
        <v>20</v>
      </c>
      <c r="P444" t="s">
        <v>965</v>
      </c>
      <c r="Q444" t="s">
        <v>20</v>
      </c>
      <c r="R444" t="str">
        <f>HYPERLINK("https://cfpub.epa.gov/ecotox/explore.cfm?ncbi=9233","Explore in ECOTOX")</f>
        <v>Explore in ECOTOX</v>
      </c>
    </row>
    <row r="445" spans="1:18" x14ac:dyDescent="0.25">
      <c r="A445">
        <v>6</v>
      </c>
      <c r="B445" t="str">
        <f>HYPERLINK("http://www.ncbi.nlm.nih.gov/protein/KAF1533857.1","KAF1533857.1")</f>
        <v>KAF1533857.1</v>
      </c>
      <c r="C445">
        <v>15140</v>
      </c>
      <c r="D445" t="str">
        <f>HYPERLINK("http://www.ncbi.nlm.nih.gov/Taxonomy/Browser/wwwtax.cgi?mode=Info&amp;id=345258&amp;lvl=3&amp;lin=f&amp;keep=1&amp;srchmode=1&amp;unlock","345258")</f>
        <v>345258</v>
      </c>
      <c r="E445" t="s">
        <v>167</v>
      </c>
      <c r="F445" t="s">
        <v>167</v>
      </c>
      <c r="G445" t="str">
        <f>HYPERLINK("http://www.ncbi.nlm.nih.gov/Taxonomy/Browser/wwwtax.cgi?mode=Info&amp;id=345258&amp;lvl=3&amp;lin=f&amp;keep=1&amp;srchmode=1&amp;unlock","Eudyptula albosignata")</f>
        <v>Eudyptula albosignata</v>
      </c>
      <c r="H445" t="s">
        <v>289</v>
      </c>
      <c r="I445" t="str">
        <f>HYPERLINK("http://www.ncbi.nlm.nih.gov/protein/KAF1533857.1","Androgen receptor, partial")</f>
        <v>Androgen receptor, partial</v>
      </c>
      <c r="J445">
        <v>752.67</v>
      </c>
      <c r="K445" t="s">
        <v>25</v>
      </c>
      <c r="L445">
        <v>157</v>
      </c>
      <c r="M445">
        <v>44.41</v>
      </c>
      <c r="N445">
        <v>40.07</v>
      </c>
      <c r="O445" t="s">
        <v>20</v>
      </c>
      <c r="P445" t="s">
        <v>965</v>
      </c>
      <c r="Q445" t="s">
        <v>20</v>
      </c>
      <c r="R445" t="str">
        <f>HYPERLINK("https://cfpub.epa.gov/ecotox/explore.cfm?ncbi=345258","Explore in ECOTOX")</f>
        <v>Explore in ECOTOX</v>
      </c>
    </row>
    <row r="446" spans="1:18" x14ac:dyDescent="0.25">
      <c r="A446">
        <v>6</v>
      </c>
      <c r="B446" t="str">
        <f>HYPERLINK("http://www.ncbi.nlm.nih.gov/protein/KAF1453100.1","KAF1453100.1")</f>
        <v>KAF1453100.1</v>
      </c>
      <c r="C446">
        <v>14289</v>
      </c>
      <c r="D446" t="str">
        <f>HYPERLINK("http://www.ncbi.nlm.nih.gov/Taxonomy/Browser/wwwtax.cgi?mode=Info&amp;id=92683&amp;lvl=3&amp;lin=f&amp;keep=1&amp;srchmode=1&amp;unlock","92683")</f>
        <v>92683</v>
      </c>
      <c r="E446" t="s">
        <v>167</v>
      </c>
      <c r="F446" t="s">
        <v>167</v>
      </c>
      <c r="G446" t="str">
        <f>HYPERLINK("http://www.ncbi.nlm.nih.gov/Taxonomy/Browser/wwwtax.cgi?mode=Info&amp;id=92683&amp;lvl=3&amp;lin=f&amp;keep=1&amp;srchmode=1&amp;unlock","Spheniscus demersus")</f>
        <v>Spheniscus demersus</v>
      </c>
      <c r="H446" t="s">
        <v>251</v>
      </c>
      <c r="I446" t="str">
        <f>HYPERLINK("http://www.ncbi.nlm.nih.gov/protein/KAF1453100.1","Androgen receptor, partial")</f>
        <v>Androgen receptor, partial</v>
      </c>
      <c r="J446">
        <v>752.67</v>
      </c>
      <c r="K446" t="s">
        <v>25</v>
      </c>
      <c r="L446">
        <v>157</v>
      </c>
      <c r="M446">
        <v>44.41</v>
      </c>
      <c r="N446">
        <v>40.07</v>
      </c>
      <c r="O446" t="s">
        <v>20</v>
      </c>
      <c r="P446" t="s">
        <v>965</v>
      </c>
      <c r="Q446" t="s">
        <v>20</v>
      </c>
      <c r="R446" t="str">
        <f>HYPERLINK("https://cfpub.epa.gov/ecotox/explore.cfm?ncbi=92683","Explore in ECOTOX")</f>
        <v>Explore in ECOTOX</v>
      </c>
    </row>
    <row r="447" spans="1:18" x14ac:dyDescent="0.25">
      <c r="A447">
        <v>6</v>
      </c>
      <c r="B447" t="str">
        <f>HYPERLINK("http://www.ncbi.nlm.nih.gov/protein/KAF1600035.1","KAF1600035.1")</f>
        <v>KAF1600035.1</v>
      </c>
      <c r="C447">
        <v>14662</v>
      </c>
      <c r="D447" t="str">
        <f>HYPERLINK("http://www.ncbi.nlm.nih.gov/Taxonomy/Browser/wwwtax.cgi?mode=Info&amp;id=79627&amp;lvl=3&amp;lin=f&amp;keep=1&amp;srchmode=1&amp;unlock","79627")</f>
        <v>79627</v>
      </c>
      <c r="E447" t="s">
        <v>167</v>
      </c>
      <c r="F447" t="s">
        <v>167</v>
      </c>
      <c r="G447" t="str">
        <f>HYPERLINK("http://www.ncbi.nlm.nih.gov/Taxonomy/Browser/wwwtax.cgi?mode=Info&amp;id=79627&amp;lvl=3&amp;lin=f&amp;keep=1&amp;srchmode=1&amp;unlock","Eudyptes chrysolophus")</f>
        <v>Eudyptes chrysolophus</v>
      </c>
      <c r="H447" t="s">
        <v>272</v>
      </c>
      <c r="I447" t="str">
        <f>HYPERLINK("http://www.ncbi.nlm.nih.gov/protein/KAF1600035.1","Androgen receptor, partial")</f>
        <v>Androgen receptor, partial</v>
      </c>
      <c r="J447">
        <v>752.67</v>
      </c>
      <c r="K447" t="s">
        <v>25</v>
      </c>
      <c r="L447">
        <v>157</v>
      </c>
      <c r="M447">
        <v>44.41</v>
      </c>
      <c r="N447">
        <v>40.07</v>
      </c>
      <c r="O447" t="s">
        <v>20</v>
      </c>
      <c r="P447" t="s">
        <v>965</v>
      </c>
      <c r="Q447" t="s">
        <v>20</v>
      </c>
      <c r="R447" t="str">
        <f>HYPERLINK("https://cfpub.epa.gov/ecotox/explore.cfm?ncbi=79627","Explore in ECOTOX")</f>
        <v>Explore in ECOTOX</v>
      </c>
    </row>
    <row r="448" spans="1:18" x14ac:dyDescent="0.25">
      <c r="A448">
        <v>6</v>
      </c>
      <c r="B448" t="str">
        <f>HYPERLINK("http://www.ncbi.nlm.nih.gov/protein/KAF1395903.1","KAF1395903.1")</f>
        <v>KAF1395903.1</v>
      </c>
      <c r="C448">
        <v>14628</v>
      </c>
      <c r="D448" t="str">
        <f>HYPERLINK("http://www.ncbi.nlm.nih.gov/Taxonomy/Browser/wwwtax.cgi?mode=Info&amp;id=156760&amp;lvl=3&amp;lin=f&amp;keep=1&amp;srchmode=1&amp;unlock","156760")</f>
        <v>156760</v>
      </c>
      <c r="E448" t="s">
        <v>167</v>
      </c>
      <c r="F448" t="s">
        <v>167</v>
      </c>
      <c r="G448" t="str">
        <f>HYPERLINK("http://www.ncbi.nlm.nih.gov/Taxonomy/Browser/wwwtax.cgi?mode=Info&amp;id=156760&amp;lvl=3&amp;lin=f&amp;keep=1&amp;srchmode=1&amp;unlock","Spheniscus mendiculus")</f>
        <v>Spheniscus mendiculus</v>
      </c>
      <c r="H448" t="s">
        <v>260</v>
      </c>
      <c r="I448" t="str">
        <f>HYPERLINK("http://www.ncbi.nlm.nih.gov/protein/KAF1395903.1","Androgen receptor, partial")</f>
        <v>Androgen receptor, partial</v>
      </c>
      <c r="J448">
        <v>752.67</v>
      </c>
      <c r="K448" t="s">
        <v>25</v>
      </c>
      <c r="L448">
        <v>157</v>
      </c>
      <c r="M448">
        <v>44.41</v>
      </c>
      <c r="N448">
        <v>40.07</v>
      </c>
      <c r="O448" t="s">
        <v>20</v>
      </c>
      <c r="P448" t="s">
        <v>965</v>
      </c>
      <c r="Q448" t="s">
        <v>20</v>
      </c>
      <c r="R448" t="str">
        <f>HYPERLINK("https://cfpub.epa.gov/ecotox/explore.cfm?ncbi=156760","Explore in ECOTOX")</f>
        <v>Explore in ECOTOX</v>
      </c>
    </row>
    <row r="449" spans="1:18" x14ac:dyDescent="0.25">
      <c r="A449">
        <v>6</v>
      </c>
      <c r="B449" t="str">
        <f>HYPERLINK("http://www.ncbi.nlm.nih.gov/protein/KAF1660980.1","KAF1660980.1")</f>
        <v>KAF1660980.1</v>
      </c>
      <c r="C449">
        <v>13994</v>
      </c>
      <c r="D449" t="str">
        <f>HYPERLINK("http://www.ncbi.nlm.nih.gov/Taxonomy/Browser/wwwtax.cgi?mode=Info&amp;id=9234&amp;lvl=3&amp;lin=f&amp;keep=1&amp;srchmode=1&amp;unlock","9234")</f>
        <v>9234</v>
      </c>
      <c r="E449" t="s">
        <v>167</v>
      </c>
      <c r="F449" t="s">
        <v>167</v>
      </c>
      <c r="G449" t="str">
        <f>HYPERLINK("http://www.ncbi.nlm.nih.gov/Taxonomy/Browser/wwwtax.cgi?mode=Info&amp;id=9234&amp;lvl=3&amp;lin=f&amp;keep=1&amp;srchmode=1&amp;unlock","Aptenodytes patagonicus")</f>
        <v>Aptenodytes patagonicus</v>
      </c>
      <c r="H449" t="s">
        <v>188</v>
      </c>
      <c r="I449" t="str">
        <f>HYPERLINK("http://www.ncbi.nlm.nih.gov/protein/KAF1660980.1","Androgen receptor, partial")</f>
        <v>Androgen receptor, partial</v>
      </c>
      <c r="J449">
        <v>752.67</v>
      </c>
      <c r="K449" t="s">
        <v>25</v>
      </c>
      <c r="L449">
        <v>157</v>
      </c>
      <c r="M449">
        <v>44.41</v>
      </c>
      <c r="N449">
        <v>40.07</v>
      </c>
      <c r="O449" t="s">
        <v>20</v>
      </c>
      <c r="P449" t="s">
        <v>965</v>
      </c>
      <c r="Q449" t="s">
        <v>20</v>
      </c>
      <c r="R449" t="str">
        <f>HYPERLINK("https://cfpub.epa.gov/ecotox/explore.cfm?ncbi=9234","Explore in ECOTOX")</f>
        <v>Explore in ECOTOX</v>
      </c>
    </row>
    <row r="450" spans="1:18" x14ac:dyDescent="0.25">
      <c r="A450">
        <v>6</v>
      </c>
      <c r="B450" t="str">
        <f>HYPERLINK("http://www.ncbi.nlm.nih.gov/protein/KAF1540212.1","KAF1540212.1")</f>
        <v>KAF1540212.1</v>
      </c>
      <c r="C450">
        <v>15479</v>
      </c>
      <c r="D450" t="str">
        <f>HYPERLINK("http://www.ncbi.nlm.nih.gov/Taxonomy/Browser/wwwtax.cgi?mode=Info&amp;id=37083&amp;lvl=3&amp;lin=f&amp;keep=1&amp;srchmode=1&amp;unlock","37083")</f>
        <v>37083</v>
      </c>
      <c r="E450" t="s">
        <v>167</v>
      </c>
      <c r="F450" t="s">
        <v>167</v>
      </c>
      <c r="G450" t="str">
        <f>HYPERLINK("http://www.ncbi.nlm.nih.gov/Taxonomy/Browser/wwwtax.cgi?mode=Info&amp;id=37083&amp;lvl=3&amp;lin=f&amp;keep=1&amp;srchmode=1&amp;unlock","Eudyptula minor")</f>
        <v>Eudyptula minor</v>
      </c>
      <c r="H450" t="s">
        <v>281</v>
      </c>
      <c r="I450" t="str">
        <f>HYPERLINK("http://www.ncbi.nlm.nih.gov/protein/KAF1540212.1","Androgen receptor, partial")</f>
        <v>Androgen receptor, partial</v>
      </c>
      <c r="J450">
        <v>752.67</v>
      </c>
      <c r="K450" t="s">
        <v>25</v>
      </c>
      <c r="L450">
        <v>157</v>
      </c>
      <c r="M450">
        <v>44.41</v>
      </c>
      <c r="N450">
        <v>40.07</v>
      </c>
      <c r="O450" t="s">
        <v>20</v>
      </c>
      <c r="P450" t="s">
        <v>965</v>
      </c>
      <c r="Q450" t="s">
        <v>20</v>
      </c>
      <c r="R450" t="str">
        <f>HYPERLINK("https://cfpub.epa.gov/ecotox/explore.cfm?ncbi=37083","Explore in ECOTOX")</f>
        <v>Explore in ECOTOX</v>
      </c>
    </row>
    <row r="451" spans="1:18" x14ac:dyDescent="0.25">
      <c r="A451">
        <v>6</v>
      </c>
      <c r="B451" t="str">
        <f>HYPERLINK("http://www.ncbi.nlm.nih.gov/protein/KAF1471802.1","KAF1471802.1")</f>
        <v>KAF1471802.1</v>
      </c>
      <c r="C451">
        <v>14555</v>
      </c>
      <c r="D451" t="str">
        <f>HYPERLINK("http://www.ncbi.nlm.nih.gov/Taxonomy/Browser/wwwtax.cgi?mode=Info&amp;id=2517240&amp;lvl=3&amp;lin=f&amp;keep=1&amp;srchmode=1&amp;unlock","2517240")</f>
        <v>2517240</v>
      </c>
      <c r="E451" t="s">
        <v>167</v>
      </c>
      <c r="F451" t="s">
        <v>167</v>
      </c>
      <c r="G451" t="str">
        <f>HYPERLINK("http://www.ncbi.nlm.nih.gov/Taxonomy/Browser/wwwtax.cgi?mode=Info&amp;id=2517240&amp;lvl=3&amp;lin=f&amp;keep=1&amp;srchmode=1&amp;unlock","Megadyptes antipodes antipodes")</f>
        <v>Megadyptes antipodes antipodes</v>
      </c>
      <c r="H451" t="s">
        <v>277</v>
      </c>
      <c r="I451" t="str">
        <f>HYPERLINK("http://www.ncbi.nlm.nih.gov/protein/KAF1471802.1","Androgen receptor, partial")</f>
        <v>Androgen receptor, partial</v>
      </c>
      <c r="J451">
        <v>752.67</v>
      </c>
      <c r="K451" t="s">
        <v>25</v>
      </c>
      <c r="L451">
        <v>157</v>
      </c>
      <c r="M451">
        <v>44.41</v>
      </c>
      <c r="N451">
        <v>40.07</v>
      </c>
      <c r="O451" t="s">
        <v>20</v>
      </c>
      <c r="P451" t="s">
        <v>965</v>
      </c>
      <c r="Q451" t="s">
        <v>20</v>
      </c>
      <c r="R451" t="str">
        <f>HYPERLINK("https://cfpub.epa.gov/ecotox/explore.cfm?ncbi=2517240","Explore in ECOTOX")</f>
        <v>Explore in ECOTOX</v>
      </c>
    </row>
    <row r="452" spans="1:18" x14ac:dyDescent="0.25">
      <c r="A452">
        <v>6</v>
      </c>
      <c r="B452" t="str">
        <f>HYPERLINK("http://www.ncbi.nlm.nih.gov/protein/KAF1521076.1","KAF1521076.1")</f>
        <v>KAF1521076.1</v>
      </c>
      <c r="C452">
        <v>12822</v>
      </c>
      <c r="D452" t="str">
        <f>HYPERLINK("http://www.ncbi.nlm.nih.gov/Taxonomy/Browser/wwwtax.cgi?mode=Info&amp;id=92688&amp;lvl=3&amp;lin=f&amp;keep=1&amp;srchmode=1&amp;unlock","92688")</f>
        <v>92688</v>
      </c>
      <c r="E452" t="s">
        <v>167</v>
      </c>
      <c r="F452" t="s">
        <v>167</v>
      </c>
      <c r="G452" t="str">
        <f>HYPERLINK("http://www.ncbi.nlm.nih.gov/Taxonomy/Browser/wwwtax.cgi?mode=Info&amp;id=92688&amp;lvl=3&amp;lin=f&amp;keep=1&amp;srchmode=1&amp;unlock","Eudyptes sclateri")</f>
        <v>Eudyptes sclateri</v>
      </c>
      <c r="H452" t="s">
        <v>247</v>
      </c>
      <c r="I452" t="str">
        <f>HYPERLINK("http://www.ncbi.nlm.nih.gov/protein/KAF1521076.1","Androgen receptor, partial")</f>
        <v>Androgen receptor, partial</v>
      </c>
      <c r="J452">
        <v>752.67</v>
      </c>
      <c r="K452" t="s">
        <v>25</v>
      </c>
      <c r="L452">
        <v>157</v>
      </c>
      <c r="M452">
        <v>44.41</v>
      </c>
      <c r="N452">
        <v>40.07</v>
      </c>
      <c r="O452" t="s">
        <v>20</v>
      </c>
      <c r="P452" t="s">
        <v>965</v>
      </c>
      <c r="Q452" t="s">
        <v>20</v>
      </c>
      <c r="R452" t="str">
        <f>HYPERLINK("https://cfpub.epa.gov/ecotox/explore.cfm?ncbi=92688","Explore in ECOTOX")</f>
        <v>Explore in ECOTOX</v>
      </c>
    </row>
    <row r="453" spans="1:18" x14ac:dyDescent="0.25">
      <c r="A453">
        <v>6</v>
      </c>
      <c r="B453" t="str">
        <f>HYPERLINK("http://www.ncbi.nlm.nih.gov/protein/KAF1629317.1","KAF1629317.1")</f>
        <v>KAF1629317.1</v>
      </c>
      <c r="C453">
        <v>12989</v>
      </c>
      <c r="D453" t="str">
        <f>HYPERLINK("http://www.ncbi.nlm.nih.gov/Taxonomy/Browser/wwwtax.cgi?mode=Info&amp;id=1419345&amp;lvl=3&amp;lin=f&amp;keep=1&amp;srchmode=1&amp;unlock","1419345")</f>
        <v>1419345</v>
      </c>
      <c r="E453" t="s">
        <v>167</v>
      </c>
      <c r="F453" t="s">
        <v>167</v>
      </c>
      <c r="G453" t="str">
        <f>HYPERLINK("http://www.ncbi.nlm.nih.gov/Taxonomy/Browser/wwwtax.cgi?mode=Info&amp;id=1419345&amp;lvl=3&amp;lin=f&amp;keep=1&amp;srchmode=1&amp;unlock","Eudyptes filholi")</f>
        <v>Eudyptes filholi</v>
      </c>
      <c r="H453" t="s">
        <v>259</v>
      </c>
      <c r="I453" t="str">
        <f>HYPERLINK("http://www.ncbi.nlm.nih.gov/protein/KAF1629317.1","Androgen receptor, partial")</f>
        <v>Androgen receptor, partial</v>
      </c>
      <c r="J453">
        <v>752.67</v>
      </c>
      <c r="K453" t="s">
        <v>25</v>
      </c>
      <c r="L453">
        <v>157</v>
      </c>
      <c r="M453">
        <v>44.41</v>
      </c>
      <c r="N453">
        <v>40.07</v>
      </c>
      <c r="O453" t="s">
        <v>20</v>
      </c>
      <c r="P453" t="s">
        <v>965</v>
      </c>
      <c r="Q453" t="s">
        <v>20</v>
      </c>
      <c r="R453" t="str">
        <f>HYPERLINK("https://cfpub.epa.gov/ecotox/explore.cfm?ncbi=1419345","Explore in ECOTOX")</f>
        <v>Explore in ECOTOX</v>
      </c>
    </row>
    <row r="454" spans="1:18" x14ac:dyDescent="0.25">
      <c r="A454">
        <v>6</v>
      </c>
      <c r="B454" t="str">
        <f>HYPERLINK("http://www.ncbi.nlm.nih.gov/protein/KAF1415482.1","KAF1415482.1")</f>
        <v>KAF1415482.1</v>
      </c>
      <c r="C454">
        <v>15600</v>
      </c>
      <c r="D454" t="str">
        <f>HYPERLINK("http://www.ncbi.nlm.nih.gov/Taxonomy/Browser/wwwtax.cgi?mode=Info&amp;id=37081&amp;lvl=3&amp;lin=f&amp;keep=1&amp;srchmode=1&amp;unlock","37081")</f>
        <v>37081</v>
      </c>
      <c r="E454" t="s">
        <v>167</v>
      </c>
      <c r="F454" t="s">
        <v>167</v>
      </c>
      <c r="G454" t="str">
        <f>HYPERLINK("http://www.ncbi.nlm.nih.gov/Taxonomy/Browser/wwwtax.cgi?mode=Info&amp;id=37081&amp;lvl=3&amp;lin=f&amp;keep=1&amp;srchmode=1&amp;unlock","Spheniscus magellanicus")</f>
        <v>Spheniscus magellanicus</v>
      </c>
      <c r="H454" t="s">
        <v>255</v>
      </c>
      <c r="I454" t="str">
        <f>HYPERLINK("http://www.ncbi.nlm.nih.gov/protein/KAF1415482.1","Androgen receptor, partial")</f>
        <v>Androgen receptor, partial</v>
      </c>
      <c r="J454">
        <v>752.67</v>
      </c>
      <c r="K454" t="s">
        <v>25</v>
      </c>
      <c r="L454">
        <v>157</v>
      </c>
      <c r="M454">
        <v>44.41</v>
      </c>
      <c r="N454">
        <v>40.07</v>
      </c>
      <c r="O454" t="s">
        <v>20</v>
      </c>
      <c r="P454" t="s">
        <v>965</v>
      </c>
      <c r="Q454" t="s">
        <v>20</v>
      </c>
      <c r="R454" t="str">
        <f>HYPERLINK("https://cfpub.epa.gov/ecotox/explore.cfm?ncbi=37081","Explore in ECOTOX")</f>
        <v>Explore in ECOTOX</v>
      </c>
    </row>
    <row r="455" spans="1:18" x14ac:dyDescent="0.25">
      <c r="A455">
        <v>6</v>
      </c>
      <c r="B455" t="str">
        <f>HYPERLINK("http://www.ncbi.nlm.nih.gov/protein/NXI74886.1","NXI74886.1")</f>
        <v>NXI74886.1</v>
      </c>
      <c r="C455">
        <v>14308</v>
      </c>
      <c r="D455" t="str">
        <f>HYPERLINK("http://www.ncbi.nlm.nih.gov/Taxonomy/Browser/wwwtax.cgi?mode=Info&amp;id=8851&amp;lvl=3&amp;lin=f&amp;keep=1&amp;srchmode=1&amp;unlock","8851")</f>
        <v>8851</v>
      </c>
      <c r="E455" t="s">
        <v>167</v>
      </c>
      <c r="F455" t="s">
        <v>167</v>
      </c>
      <c r="G455" t="str">
        <f>HYPERLINK("http://www.ncbi.nlm.nih.gov/Taxonomy/Browser/wwwtax.cgi?mode=Info&amp;id=8851&amp;lvl=3&amp;lin=f&amp;keep=1&amp;srchmode=1&amp;unlock","Anseranas semipalmata")</f>
        <v>Anseranas semipalmata</v>
      </c>
      <c r="H455" t="s">
        <v>345</v>
      </c>
      <c r="I455" t="str">
        <f>HYPERLINK("http://www.ncbi.nlm.nih.gov/protein/NXI74886.1","ANDR protein")</f>
        <v>ANDR protein</v>
      </c>
      <c r="J455">
        <v>752.67</v>
      </c>
      <c r="K455" t="s">
        <v>25</v>
      </c>
      <c r="L455">
        <v>157</v>
      </c>
      <c r="M455">
        <v>44.41</v>
      </c>
      <c r="N455">
        <v>40.07</v>
      </c>
      <c r="O455" t="s">
        <v>20</v>
      </c>
      <c r="P455" t="s">
        <v>965</v>
      </c>
      <c r="Q455" t="s">
        <v>20</v>
      </c>
      <c r="R455" t="str">
        <f>HYPERLINK("https://cfpub.epa.gov/ecotox/explore.cfm?ncbi=8851","Explore in ECOTOX")</f>
        <v>Explore in ECOTOX</v>
      </c>
    </row>
    <row r="456" spans="1:18" x14ac:dyDescent="0.25">
      <c r="A456">
        <v>6</v>
      </c>
      <c r="B456" t="str">
        <f>HYPERLINK("http://www.ncbi.nlm.nih.gov/protein/NXU71634.1","NXU71634.1")</f>
        <v>NXU71634.1</v>
      </c>
      <c r="C456">
        <v>12185</v>
      </c>
      <c r="D456" t="str">
        <f>HYPERLINK("http://www.ncbi.nlm.nih.gov/Taxonomy/Browser/wwwtax.cgi?mode=Info&amp;id=689266&amp;lvl=3&amp;lin=f&amp;keep=1&amp;srchmode=1&amp;unlock","689266")</f>
        <v>689266</v>
      </c>
      <c r="E456" t="s">
        <v>167</v>
      </c>
      <c r="F456" t="s">
        <v>167</v>
      </c>
      <c r="G456" t="str">
        <f>HYPERLINK("http://www.ncbi.nlm.nih.gov/Taxonomy/Browser/wwwtax.cgi?mode=Info&amp;id=689266&amp;lvl=3&amp;lin=f&amp;keep=1&amp;srchmode=1&amp;unlock","Oreotrochilus melanogaster")</f>
        <v>Oreotrochilus melanogaster</v>
      </c>
      <c r="H456" t="s">
        <v>242</v>
      </c>
      <c r="I456" t="str">
        <f>HYPERLINK("http://www.ncbi.nlm.nih.gov/protein/NXU71634.1","ANDR protein")</f>
        <v>ANDR protein</v>
      </c>
      <c r="J456">
        <v>752.28</v>
      </c>
      <c r="K456" t="s">
        <v>25</v>
      </c>
      <c r="L456">
        <v>157</v>
      </c>
      <c r="M456">
        <v>44.41</v>
      </c>
      <c r="N456">
        <v>40.04</v>
      </c>
      <c r="O456" t="s">
        <v>20</v>
      </c>
      <c r="P456" t="s">
        <v>965</v>
      </c>
      <c r="Q456" t="s">
        <v>20</v>
      </c>
      <c r="R456" t="str">
        <f>HYPERLINK("https://cfpub.epa.gov/ecotox/explore.cfm?ncbi=689266","Explore in ECOTOX")</f>
        <v>Explore in ECOTOX</v>
      </c>
    </row>
    <row r="457" spans="1:18" x14ac:dyDescent="0.25">
      <c r="A457">
        <v>6</v>
      </c>
      <c r="B457" t="str">
        <f>HYPERLINK("http://www.ncbi.nlm.nih.gov/protein/NXH42391.1","NXH42391.1")</f>
        <v>NXH42391.1</v>
      </c>
      <c r="C457">
        <v>13663</v>
      </c>
      <c r="D457" t="str">
        <f>HYPERLINK("http://www.ncbi.nlm.nih.gov/Taxonomy/Browser/wwwtax.cgi?mode=Info&amp;id=667154&amp;lvl=3&amp;lin=f&amp;keep=1&amp;srchmode=1&amp;unlock","667154")</f>
        <v>667154</v>
      </c>
      <c r="E457" t="s">
        <v>167</v>
      </c>
      <c r="F457" t="s">
        <v>167</v>
      </c>
      <c r="G457" t="str">
        <f>HYPERLINK("http://www.ncbi.nlm.nih.gov/Taxonomy/Browser/wwwtax.cgi?mode=Info&amp;id=667154&amp;lvl=3&amp;lin=f&amp;keep=1&amp;srchmode=1&amp;unlock","Dicaeum eximium")</f>
        <v>Dicaeum eximium</v>
      </c>
      <c r="H457" t="s">
        <v>206</v>
      </c>
      <c r="I457" t="str">
        <f>HYPERLINK("http://www.ncbi.nlm.nih.gov/protein/NXH42391.1","ANDR protein")</f>
        <v>ANDR protein</v>
      </c>
      <c r="J457">
        <v>752.28</v>
      </c>
      <c r="K457" t="s">
        <v>25</v>
      </c>
      <c r="L457">
        <v>157</v>
      </c>
      <c r="M457">
        <v>44.41</v>
      </c>
      <c r="N457">
        <v>40.04</v>
      </c>
      <c r="O457" t="s">
        <v>20</v>
      </c>
      <c r="P457" t="s">
        <v>965</v>
      </c>
      <c r="Q457" t="s">
        <v>20</v>
      </c>
      <c r="R457" t="str">
        <f>HYPERLINK("https://cfpub.epa.gov/ecotox/explore.cfm?ncbi=667154","Explore in ECOTOX")</f>
        <v>Explore in ECOTOX</v>
      </c>
    </row>
    <row r="458" spans="1:18" x14ac:dyDescent="0.25">
      <c r="A458">
        <v>6</v>
      </c>
      <c r="B458" t="str">
        <f>HYPERLINK("http://www.ncbi.nlm.nih.gov/protein/NXT22234.1","NXT22234.1")</f>
        <v>NXT22234.1</v>
      </c>
      <c r="C458">
        <v>13562</v>
      </c>
      <c r="D458" t="str">
        <f>HYPERLINK("http://www.ncbi.nlm.nih.gov/Taxonomy/Browser/wwwtax.cgi?mode=Info&amp;id=302527&amp;lvl=3&amp;lin=f&amp;keep=1&amp;srchmode=1&amp;unlock","302527")</f>
        <v>302527</v>
      </c>
      <c r="E458" t="s">
        <v>167</v>
      </c>
      <c r="F458" t="s">
        <v>167</v>
      </c>
      <c r="G458" t="str">
        <f>HYPERLINK("http://www.ncbi.nlm.nih.gov/Taxonomy/Browser/wwwtax.cgi?mode=Info&amp;id=302527&amp;lvl=3&amp;lin=f&amp;keep=1&amp;srchmode=1&amp;unlock","Syrrhaptes paradoxus")</f>
        <v>Syrrhaptes paradoxus</v>
      </c>
      <c r="H458" t="s">
        <v>509</v>
      </c>
      <c r="I458" t="str">
        <f>HYPERLINK("http://www.ncbi.nlm.nih.gov/protein/NXT22234.1","ANDR protein")</f>
        <v>ANDR protein</v>
      </c>
      <c r="J458">
        <v>752.28</v>
      </c>
      <c r="K458" t="s">
        <v>25</v>
      </c>
      <c r="L458">
        <v>157</v>
      </c>
      <c r="M458">
        <v>44.41</v>
      </c>
      <c r="N458">
        <v>40.04</v>
      </c>
      <c r="O458" t="s">
        <v>20</v>
      </c>
      <c r="P458" t="s">
        <v>965</v>
      </c>
      <c r="Q458" t="s">
        <v>20</v>
      </c>
      <c r="R458" t="str">
        <f>HYPERLINK("https://cfpub.epa.gov/ecotox/explore.cfm?ncbi=302527","Explore in ECOTOX")</f>
        <v>Explore in ECOTOX</v>
      </c>
    </row>
    <row r="459" spans="1:18" x14ac:dyDescent="0.25">
      <c r="A459">
        <v>6</v>
      </c>
      <c r="B459" t="str">
        <f>HYPERLINK("http://www.ncbi.nlm.nih.gov/protein/NXY76413.1","NXY76413.1")</f>
        <v>NXY76413.1</v>
      </c>
      <c r="C459">
        <v>13804</v>
      </c>
      <c r="D459" t="str">
        <f>HYPERLINK("http://www.ncbi.nlm.nih.gov/Taxonomy/Browser/wwwtax.cgi?mode=Info&amp;id=43316&amp;lvl=3&amp;lin=f&amp;keep=1&amp;srchmode=1&amp;unlock","43316")</f>
        <v>43316</v>
      </c>
      <c r="E459" t="s">
        <v>167</v>
      </c>
      <c r="F459" t="s">
        <v>167</v>
      </c>
      <c r="G459" t="str">
        <f>HYPERLINK("http://www.ncbi.nlm.nih.gov/Taxonomy/Browser/wwwtax.cgi?mode=Info&amp;id=43316&amp;lvl=3&amp;lin=f&amp;keep=1&amp;srchmode=1&amp;unlock","Glareola pratincola")</f>
        <v>Glareola pratincola</v>
      </c>
      <c r="H459" t="s">
        <v>185</v>
      </c>
      <c r="I459" t="str">
        <f>HYPERLINK("http://www.ncbi.nlm.nih.gov/protein/NXY76413.1","ANDR protein")</f>
        <v>ANDR protein</v>
      </c>
      <c r="J459">
        <v>752.28</v>
      </c>
      <c r="K459" t="s">
        <v>25</v>
      </c>
      <c r="L459">
        <v>157</v>
      </c>
      <c r="M459">
        <v>44.41</v>
      </c>
      <c r="N459">
        <v>40.04</v>
      </c>
      <c r="O459" t="s">
        <v>20</v>
      </c>
      <c r="P459" t="s">
        <v>965</v>
      </c>
      <c r="Q459" t="s">
        <v>20</v>
      </c>
      <c r="R459" t="str">
        <f>HYPERLINK("https://cfpub.epa.gov/ecotox/explore.cfm?ncbi=43316","Explore in ECOTOX")</f>
        <v>Explore in ECOTOX</v>
      </c>
    </row>
    <row r="460" spans="1:18" x14ac:dyDescent="0.25">
      <c r="A460">
        <v>6</v>
      </c>
      <c r="B460" t="str">
        <f>HYPERLINK("http://www.ncbi.nlm.nih.gov/protein/KAF1674193.1","KAF1674193.1")</f>
        <v>KAF1674193.1</v>
      </c>
      <c r="C460">
        <v>15105</v>
      </c>
      <c r="D460" t="str">
        <f>HYPERLINK("http://www.ncbi.nlm.nih.gov/Taxonomy/Browser/wwwtax.cgi?mode=Info&amp;id=30457&amp;lvl=3&amp;lin=f&amp;keep=1&amp;srchmode=1&amp;unlock","30457")</f>
        <v>30457</v>
      </c>
      <c r="E460" t="s">
        <v>167</v>
      </c>
      <c r="F460" t="s">
        <v>167</v>
      </c>
      <c r="G460" t="str">
        <f>HYPERLINK("http://www.ncbi.nlm.nih.gov/Taxonomy/Browser/wwwtax.cgi?mode=Info&amp;id=30457&amp;lvl=3&amp;lin=f&amp;keep=1&amp;srchmode=1&amp;unlock","Pygoscelis papua")</f>
        <v>Pygoscelis papua</v>
      </c>
      <c r="H460" t="s">
        <v>288</v>
      </c>
      <c r="I460" t="str">
        <f>HYPERLINK("http://www.ncbi.nlm.nih.gov/protein/KAF1674193.1","Androgen receptor, partial")</f>
        <v>Androgen receptor, partial</v>
      </c>
      <c r="J460">
        <v>751.89</v>
      </c>
      <c r="K460" t="s">
        <v>25</v>
      </c>
      <c r="L460">
        <v>157</v>
      </c>
      <c r="M460">
        <v>44.41</v>
      </c>
      <c r="N460">
        <v>40.020000000000003</v>
      </c>
      <c r="O460" t="s">
        <v>20</v>
      </c>
      <c r="P460" t="s">
        <v>965</v>
      </c>
      <c r="Q460" t="s">
        <v>20</v>
      </c>
      <c r="R460" t="str">
        <f>HYPERLINK("https://cfpub.epa.gov/ecotox/explore.cfm?ncbi=30457","Explore in ECOTOX")</f>
        <v>Explore in ECOTOX</v>
      </c>
    </row>
    <row r="461" spans="1:18" x14ac:dyDescent="0.25">
      <c r="A461">
        <v>6</v>
      </c>
      <c r="B461" t="str">
        <f>HYPERLINK("http://www.ncbi.nlm.nih.gov/protein/KAF1473077.1","KAF1473077.1")</f>
        <v>KAF1473077.1</v>
      </c>
      <c r="C461">
        <v>14369</v>
      </c>
      <c r="D461" t="str">
        <f>HYPERLINK("http://www.ncbi.nlm.nih.gov/Taxonomy/Browser/wwwtax.cgi?mode=Info&amp;id=79643&amp;lvl=3&amp;lin=f&amp;keep=1&amp;srchmode=1&amp;unlock","79643")</f>
        <v>79643</v>
      </c>
      <c r="E461" t="s">
        <v>167</v>
      </c>
      <c r="F461" t="s">
        <v>167</v>
      </c>
      <c r="G461" t="str">
        <f>HYPERLINK("http://www.ncbi.nlm.nih.gov/Taxonomy/Browser/wwwtax.cgi?mode=Info&amp;id=79643&amp;lvl=3&amp;lin=f&amp;keep=1&amp;srchmode=1&amp;unlock","Pygoscelis antarcticus")</f>
        <v>Pygoscelis antarcticus</v>
      </c>
      <c r="H461" t="s">
        <v>283</v>
      </c>
      <c r="I461" t="str">
        <f>HYPERLINK("http://www.ncbi.nlm.nih.gov/protein/KAF1473077.1","Androgen receptor, partial")</f>
        <v>Androgen receptor, partial</v>
      </c>
      <c r="J461">
        <v>751.89</v>
      </c>
      <c r="K461" t="s">
        <v>25</v>
      </c>
      <c r="L461">
        <v>157</v>
      </c>
      <c r="M461">
        <v>44.41</v>
      </c>
      <c r="N461">
        <v>40.020000000000003</v>
      </c>
      <c r="O461" t="s">
        <v>20</v>
      </c>
      <c r="P461" t="s">
        <v>965</v>
      </c>
      <c r="Q461" t="s">
        <v>20</v>
      </c>
      <c r="R461" t="str">
        <f>HYPERLINK("https://cfpub.epa.gov/ecotox/explore.cfm?ncbi=79643","Explore in ECOTOX")</f>
        <v>Explore in ECOTOX</v>
      </c>
    </row>
    <row r="462" spans="1:18" x14ac:dyDescent="0.25">
      <c r="A462">
        <v>6</v>
      </c>
      <c r="B462" t="str">
        <f>HYPERLINK("http://www.ncbi.nlm.nih.gov/protein/NXK18727.1","NXK18727.1")</f>
        <v>NXK18727.1</v>
      </c>
      <c r="C462">
        <v>13971</v>
      </c>
      <c r="D462" t="str">
        <f>HYPERLINK("http://www.ncbi.nlm.nih.gov/Taxonomy/Browser/wwwtax.cgi?mode=Info&amp;id=54971&amp;lvl=3&amp;lin=f&amp;keep=1&amp;srchmode=1&amp;unlock","54971")</f>
        <v>54971</v>
      </c>
      <c r="E462" t="s">
        <v>167</v>
      </c>
      <c r="F462" t="s">
        <v>167</v>
      </c>
      <c r="G462" t="str">
        <f>HYPERLINK("http://www.ncbi.nlm.nih.gov/Taxonomy/Browser/wwwtax.cgi?mode=Info&amp;id=54971&amp;lvl=3&amp;lin=f&amp;keep=1&amp;srchmode=1&amp;unlock","Arenaria interpres")</f>
        <v>Arenaria interpres</v>
      </c>
      <c r="H462" t="s">
        <v>187</v>
      </c>
      <c r="I462" t="str">
        <f>HYPERLINK("http://www.ncbi.nlm.nih.gov/protein/NXK18727.1","ANDR protein")</f>
        <v>ANDR protein</v>
      </c>
      <c r="J462">
        <v>751.89</v>
      </c>
      <c r="K462" t="s">
        <v>25</v>
      </c>
      <c r="L462">
        <v>157</v>
      </c>
      <c r="M462">
        <v>44.41</v>
      </c>
      <c r="N462">
        <v>40.020000000000003</v>
      </c>
      <c r="O462" t="s">
        <v>20</v>
      </c>
      <c r="P462" t="s">
        <v>965</v>
      </c>
      <c r="Q462" t="s">
        <v>20</v>
      </c>
      <c r="R462" t="str">
        <f>HYPERLINK("https://cfpub.epa.gov/ecotox/explore.cfm?ncbi=54971","Explore in ECOTOX")</f>
        <v>Explore in ECOTOX</v>
      </c>
    </row>
    <row r="463" spans="1:18" x14ac:dyDescent="0.25">
      <c r="A463">
        <v>6</v>
      </c>
      <c r="B463" t="str">
        <f>HYPERLINK("http://www.ncbi.nlm.nih.gov/protein/KFQ36661.1","KFQ36661.1")</f>
        <v>KFQ36661.1</v>
      </c>
      <c r="C463">
        <v>29408</v>
      </c>
      <c r="D463" t="str">
        <f>HYPERLINK("http://www.ncbi.nlm.nih.gov/Taxonomy/Browser/wwwtax.cgi?mode=Info&amp;id=54374&amp;lvl=3&amp;lin=f&amp;keep=1&amp;srchmode=1&amp;unlock","54374")</f>
        <v>54374</v>
      </c>
      <c r="E463" t="s">
        <v>167</v>
      </c>
      <c r="F463" t="s">
        <v>167</v>
      </c>
      <c r="G463" t="str">
        <f>HYPERLINK("http://www.ncbi.nlm.nih.gov/Taxonomy/Browser/wwwtax.cgi?mode=Info&amp;id=54374&amp;lvl=3&amp;lin=f&amp;keep=1&amp;srchmode=1&amp;unlock","Mesitornis unicolor")</f>
        <v>Mesitornis unicolor</v>
      </c>
      <c r="H463" t="s">
        <v>197</v>
      </c>
      <c r="I463" t="str">
        <f>HYPERLINK("http://www.ncbi.nlm.nih.gov/protein/KFQ36661.1","Androgen receptor, partial")</f>
        <v>Androgen receptor, partial</v>
      </c>
      <c r="J463">
        <v>751.89</v>
      </c>
      <c r="K463" t="s">
        <v>25</v>
      </c>
      <c r="L463">
        <v>157</v>
      </c>
      <c r="M463">
        <v>44.41</v>
      </c>
      <c r="N463">
        <v>40.020000000000003</v>
      </c>
      <c r="O463" t="s">
        <v>20</v>
      </c>
      <c r="P463" t="s">
        <v>965</v>
      </c>
      <c r="Q463" t="s">
        <v>20</v>
      </c>
      <c r="R463" t="str">
        <f>HYPERLINK("https://cfpub.epa.gov/ecotox/explore.cfm?ncbi=54374","Explore in ECOTOX")</f>
        <v>Explore in ECOTOX</v>
      </c>
    </row>
    <row r="464" spans="1:18" x14ac:dyDescent="0.25">
      <c r="A464">
        <v>6</v>
      </c>
      <c r="B464" t="str">
        <f>HYPERLINK("http://www.ncbi.nlm.nih.gov/protein/XP_010217956.1","XP_010217956.1")</f>
        <v>XP_010217956.1</v>
      </c>
      <c r="C464">
        <v>31346</v>
      </c>
      <c r="D464" t="str">
        <f>HYPERLINK("http://www.ncbi.nlm.nih.gov/Taxonomy/Browser/wwwtax.cgi?mode=Info&amp;id=94827&amp;lvl=3&amp;lin=f&amp;keep=1&amp;srchmode=1&amp;unlock","94827")</f>
        <v>94827</v>
      </c>
      <c r="E464" t="s">
        <v>167</v>
      </c>
      <c r="F464" t="s">
        <v>167</v>
      </c>
      <c r="G464" t="str">
        <f>HYPERLINK("http://www.ncbi.nlm.nih.gov/Taxonomy/Browser/wwwtax.cgi?mode=Info&amp;id=94827&amp;lvl=3&amp;lin=f&amp;keep=1&amp;srchmode=1&amp;unlock","Tinamus guttatus")</f>
        <v>Tinamus guttatus</v>
      </c>
      <c r="H464" t="s">
        <v>412</v>
      </c>
      <c r="I464" t="str">
        <f>HYPERLINK("http://www.ncbi.nlm.nih.gov/protein/XP_010217956.1","PREDICTED: androgen receptor")</f>
        <v>PREDICTED: androgen receptor</v>
      </c>
      <c r="J464">
        <v>751.51</v>
      </c>
      <c r="K464" t="s">
        <v>25</v>
      </c>
      <c r="L464">
        <v>157</v>
      </c>
      <c r="M464">
        <v>44.41</v>
      </c>
      <c r="N464">
        <v>40</v>
      </c>
      <c r="O464" t="s">
        <v>20</v>
      </c>
      <c r="P464" t="s">
        <v>965</v>
      </c>
      <c r="Q464" t="s">
        <v>20</v>
      </c>
      <c r="R464" t="str">
        <f>HYPERLINK("https://cfpub.epa.gov/ecotox/explore.cfm?ncbi=94827","Explore in ECOTOX")</f>
        <v>Explore in ECOTOX</v>
      </c>
    </row>
    <row r="465" spans="1:18" x14ac:dyDescent="0.25">
      <c r="A465">
        <v>6</v>
      </c>
      <c r="B465" t="str">
        <f>HYPERLINK("http://www.ncbi.nlm.nih.gov/protein/KFO72045.1","KFO72045.1")</f>
        <v>KFO72045.1</v>
      </c>
      <c r="C465">
        <v>30502</v>
      </c>
      <c r="D465" t="str">
        <f>HYPERLINK("http://www.ncbi.nlm.nih.gov/Taxonomy/Browser/wwwtax.cgi?mode=Info&amp;id=55661&amp;lvl=3&amp;lin=f&amp;keep=1&amp;srchmode=1&amp;unlock","55661")</f>
        <v>55661</v>
      </c>
      <c r="E465" t="s">
        <v>167</v>
      </c>
      <c r="F465" t="s">
        <v>167</v>
      </c>
      <c r="G465" t="str">
        <f>HYPERLINK("http://www.ncbi.nlm.nih.gov/Taxonomy/Browser/wwwtax.cgi?mode=Info&amp;id=55661&amp;lvl=3&amp;lin=f&amp;keep=1&amp;srchmode=1&amp;unlock","Cuculus canorus")</f>
        <v>Cuculus canorus</v>
      </c>
      <c r="H465" t="s">
        <v>246</v>
      </c>
      <c r="I465" t="str">
        <f>HYPERLINK("http://www.ncbi.nlm.nih.gov/protein/KFO72045.1","Androgen receptor, partial")</f>
        <v>Androgen receptor, partial</v>
      </c>
      <c r="J465">
        <v>751.51</v>
      </c>
      <c r="K465" t="s">
        <v>25</v>
      </c>
      <c r="L465">
        <v>157</v>
      </c>
      <c r="M465">
        <v>44.41</v>
      </c>
      <c r="N465">
        <v>40</v>
      </c>
      <c r="O465" t="s">
        <v>20</v>
      </c>
      <c r="P465" t="s">
        <v>965</v>
      </c>
      <c r="Q465" t="s">
        <v>20</v>
      </c>
      <c r="R465" t="str">
        <f>HYPERLINK("https://cfpub.epa.gov/ecotox/explore.cfm?ncbi=55661","Explore in ECOTOX")</f>
        <v>Explore in ECOTOX</v>
      </c>
    </row>
    <row r="466" spans="1:18" x14ac:dyDescent="0.25">
      <c r="A466">
        <v>6</v>
      </c>
      <c r="B466" t="str">
        <f>HYPERLINK("http://www.ncbi.nlm.nih.gov/protein/KFV08368.1","KFV08368.1")</f>
        <v>KFV08368.1</v>
      </c>
      <c r="C466">
        <v>27073</v>
      </c>
      <c r="D466" t="str">
        <f>HYPERLINK("http://www.ncbi.nlm.nih.gov/Taxonomy/Browser/wwwtax.cgi?mode=Info&amp;id=240206&amp;lvl=3&amp;lin=f&amp;keep=1&amp;srchmode=1&amp;unlock","240206")</f>
        <v>240206</v>
      </c>
      <c r="E466" t="s">
        <v>167</v>
      </c>
      <c r="F466" t="s">
        <v>167</v>
      </c>
      <c r="G466" t="str">
        <f>HYPERLINK("http://www.ncbi.nlm.nih.gov/Taxonomy/Browser/wwwtax.cgi?mode=Info&amp;id=240206&amp;lvl=3&amp;lin=f&amp;keep=1&amp;srchmode=1&amp;unlock","Pterocles gutturalis")</f>
        <v>Pterocles gutturalis</v>
      </c>
      <c r="H466" t="s">
        <v>504</v>
      </c>
      <c r="I466" t="str">
        <f>HYPERLINK("http://www.ncbi.nlm.nih.gov/protein/KFV08368.1","Androgen receptor, partial")</f>
        <v>Androgen receptor, partial</v>
      </c>
      <c r="J466">
        <v>751.12</v>
      </c>
      <c r="K466" t="s">
        <v>25</v>
      </c>
      <c r="L466">
        <v>157</v>
      </c>
      <c r="M466">
        <v>44.41</v>
      </c>
      <c r="N466">
        <v>39.979999999999997</v>
      </c>
      <c r="O466" t="s">
        <v>20</v>
      </c>
      <c r="P466" t="s">
        <v>965</v>
      </c>
      <c r="Q466" t="s">
        <v>20</v>
      </c>
      <c r="R466" t="str">
        <f>HYPERLINK("https://cfpub.epa.gov/ecotox/explore.cfm?ncbi=240206","Explore in ECOTOX")</f>
        <v>Explore in ECOTOX</v>
      </c>
    </row>
    <row r="467" spans="1:18" x14ac:dyDescent="0.25">
      <c r="A467">
        <v>6</v>
      </c>
      <c r="B467" t="str">
        <f>HYPERLINK("http://www.ncbi.nlm.nih.gov/protein/NWU88844.1","NWU88844.1")</f>
        <v>NWU88844.1</v>
      </c>
      <c r="C467">
        <v>13878</v>
      </c>
      <c r="D467" t="str">
        <f>HYPERLINK("http://www.ncbi.nlm.nih.gov/Taxonomy/Browser/wwwtax.cgi?mode=Info&amp;id=57439&amp;lvl=3&amp;lin=f&amp;keep=1&amp;srchmode=1&amp;unlock","57439")</f>
        <v>57439</v>
      </c>
      <c r="E467" t="s">
        <v>167</v>
      </c>
      <c r="F467" t="s">
        <v>167</v>
      </c>
      <c r="G467" t="str">
        <f>HYPERLINK("http://www.ncbi.nlm.nih.gov/Taxonomy/Browser/wwwtax.cgi?mode=Info&amp;id=57439&amp;lvl=3&amp;lin=f&amp;keep=1&amp;srchmode=1&amp;unlock","Upupa epops")</f>
        <v>Upupa epops</v>
      </c>
      <c r="H467" t="s">
        <v>234</v>
      </c>
      <c r="I467" t="str">
        <f>HYPERLINK("http://www.ncbi.nlm.nih.gov/protein/NWU88844.1","ANDR protein")</f>
        <v>ANDR protein</v>
      </c>
      <c r="J467">
        <v>750.74</v>
      </c>
      <c r="K467" t="s">
        <v>25</v>
      </c>
      <c r="L467">
        <v>157</v>
      </c>
      <c r="M467">
        <v>44.41</v>
      </c>
      <c r="N467">
        <v>39.96</v>
      </c>
      <c r="O467" t="s">
        <v>20</v>
      </c>
      <c r="P467" t="s">
        <v>965</v>
      </c>
      <c r="Q467" t="s">
        <v>20</v>
      </c>
      <c r="R467" t="str">
        <f>HYPERLINK("https://cfpub.epa.gov/ecotox/explore.cfm?ncbi=57439","Explore in ECOTOX")</f>
        <v>Explore in ECOTOX</v>
      </c>
    </row>
    <row r="468" spans="1:18" x14ac:dyDescent="0.25">
      <c r="A468">
        <v>6</v>
      </c>
      <c r="B468" t="str">
        <f>HYPERLINK("http://www.ncbi.nlm.nih.gov/protein/XP_010570824.1","XP_010570824.1")</f>
        <v>XP_010570824.1</v>
      </c>
      <c r="C468">
        <v>25384</v>
      </c>
      <c r="D468" t="str">
        <f>HYPERLINK("http://www.ncbi.nlm.nih.gov/Taxonomy/Browser/wwwtax.cgi?mode=Info&amp;id=52644&amp;lvl=3&amp;lin=f&amp;keep=1&amp;srchmode=1&amp;unlock","52644")</f>
        <v>52644</v>
      </c>
      <c r="E468" t="s">
        <v>167</v>
      </c>
      <c r="F468" t="s">
        <v>167</v>
      </c>
      <c r="G468" t="str">
        <f>HYPERLINK("http://www.ncbi.nlm.nih.gov/Taxonomy/Browser/wwwtax.cgi?mode=Info&amp;id=52644&amp;lvl=3&amp;lin=f&amp;keep=1&amp;srchmode=1&amp;unlock","Haliaeetus leucocephalus")</f>
        <v>Haliaeetus leucocephalus</v>
      </c>
      <c r="H468" t="s">
        <v>334</v>
      </c>
      <c r="I468" t="str">
        <f>HYPERLINK("http://www.ncbi.nlm.nih.gov/protein/XP_010570824.1","PREDICTED: androgen receptor")</f>
        <v>PREDICTED: androgen receptor</v>
      </c>
      <c r="J468">
        <v>750.36</v>
      </c>
      <c r="K468" t="s">
        <v>25</v>
      </c>
      <c r="L468">
        <v>157</v>
      </c>
      <c r="M468">
        <v>44.41</v>
      </c>
      <c r="N468">
        <v>39.94</v>
      </c>
      <c r="O468" t="s">
        <v>20</v>
      </c>
      <c r="P468" t="s">
        <v>965</v>
      </c>
      <c r="Q468" t="s">
        <v>20</v>
      </c>
      <c r="R468" t="str">
        <f>HYPERLINK("https://cfpub.epa.gov/ecotox/explore.cfm?ncbi=52644","Explore in ECOTOX")</f>
        <v>Explore in ECOTOX</v>
      </c>
    </row>
    <row r="469" spans="1:18" x14ac:dyDescent="0.25">
      <c r="A469">
        <v>6</v>
      </c>
      <c r="B469" t="str">
        <f>HYPERLINK("http://www.ncbi.nlm.nih.gov/protein/NXG35170.1","NXG35170.1")</f>
        <v>NXG35170.1</v>
      </c>
      <c r="C469">
        <v>45135</v>
      </c>
      <c r="D469" t="str">
        <f>HYPERLINK("http://www.ncbi.nlm.nih.gov/Taxonomy/Browser/wwwtax.cgi?mode=Info&amp;id=8790&amp;lvl=3&amp;lin=f&amp;keep=1&amp;srchmode=1&amp;unlock","8790")</f>
        <v>8790</v>
      </c>
      <c r="E469" t="s">
        <v>167</v>
      </c>
      <c r="F469" t="s">
        <v>167</v>
      </c>
      <c r="G469" t="str">
        <f>HYPERLINK("http://www.ncbi.nlm.nih.gov/Taxonomy/Browser/wwwtax.cgi?mode=Info&amp;id=8790&amp;lvl=3&amp;lin=f&amp;keep=1&amp;srchmode=1&amp;unlock","Dromaius novaehollandiae")</f>
        <v>Dromaius novaehollandiae</v>
      </c>
      <c r="H469" t="s">
        <v>336</v>
      </c>
      <c r="I469" t="str">
        <f>HYPERLINK("http://www.ncbi.nlm.nih.gov/protein/NXG35170.1","ANDR protein")</f>
        <v>ANDR protein</v>
      </c>
      <c r="J469">
        <v>750.36</v>
      </c>
      <c r="K469" t="s">
        <v>25</v>
      </c>
      <c r="L469">
        <v>157</v>
      </c>
      <c r="M469">
        <v>44.41</v>
      </c>
      <c r="N469">
        <v>39.94</v>
      </c>
      <c r="O469" t="s">
        <v>20</v>
      </c>
      <c r="P469" t="s">
        <v>965</v>
      </c>
      <c r="Q469" t="s">
        <v>20</v>
      </c>
      <c r="R469" t="str">
        <f>HYPERLINK("https://cfpub.epa.gov/ecotox/explore.cfm?ncbi=8790","Explore in ECOTOX")</f>
        <v>Explore in ECOTOX</v>
      </c>
    </row>
    <row r="470" spans="1:18" x14ac:dyDescent="0.25">
      <c r="A470">
        <v>6</v>
      </c>
      <c r="B470" t="str">
        <f>HYPERLINK("http://www.ncbi.nlm.nih.gov/protein/XP_007435613.1","XP_007435613.1")</f>
        <v>XP_007435613.1</v>
      </c>
      <c r="C470">
        <v>32860</v>
      </c>
      <c r="D470" t="str">
        <f>HYPERLINK("http://www.ncbi.nlm.nih.gov/Taxonomy/Browser/wwwtax.cgi?mode=Info&amp;id=176946&amp;lvl=3&amp;lin=f&amp;keep=1&amp;srchmode=1&amp;unlock","176946")</f>
        <v>176946</v>
      </c>
      <c r="E470" t="s">
        <v>236</v>
      </c>
      <c r="F470" t="s">
        <v>236</v>
      </c>
      <c r="G470" t="str">
        <f>HYPERLINK("http://www.ncbi.nlm.nih.gov/Taxonomy/Browser/wwwtax.cgi?mode=Info&amp;id=176946&amp;lvl=3&amp;lin=f&amp;keep=1&amp;srchmode=1&amp;unlock","Python bivittatus")</f>
        <v>Python bivittatus</v>
      </c>
      <c r="H470" t="s">
        <v>237</v>
      </c>
      <c r="I470" t="str">
        <f>HYPERLINK("http://www.ncbi.nlm.nih.gov/protein/XP_007435613.1","androgen receptor")</f>
        <v>androgen receptor</v>
      </c>
      <c r="J470">
        <v>750.36</v>
      </c>
      <c r="K470" t="s">
        <v>25</v>
      </c>
      <c r="L470">
        <v>157</v>
      </c>
      <c r="M470">
        <v>44.41</v>
      </c>
      <c r="N470">
        <v>39.94</v>
      </c>
      <c r="O470" t="s">
        <v>20</v>
      </c>
      <c r="P470" t="s">
        <v>965</v>
      </c>
      <c r="Q470" t="s">
        <v>20</v>
      </c>
      <c r="R470" t="str">
        <f>HYPERLINK("https://cfpub.epa.gov/ecotox/explore.cfm?ncbi=176946","Explore in ECOTOX")</f>
        <v>Explore in ECOTOX</v>
      </c>
    </row>
    <row r="471" spans="1:18" x14ac:dyDescent="0.25">
      <c r="A471">
        <v>6</v>
      </c>
      <c r="B471" t="str">
        <f>HYPERLINK("http://www.ncbi.nlm.nih.gov/protein/NXE52890.1","NXE52890.1")</f>
        <v>NXE52890.1</v>
      </c>
      <c r="C471">
        <v>13811</v>
      </c>
      <c r="D471" t="str">
        <f>HYPERLINK("http://www.ncbi.nlm.nih.gov/Taxonomy/Browser/wwwtax.cgi?mode=Info&amp;id=8787&amp;lvl=3&amp;lin=f&amp;keep=1&amp;srchmode=1&amp;unlock","8787")</f>
        <v>8787</v>
      </c>
      <c r="E471" t="s">
        <v>167</v>
      </c>
      <c r="F471" t="s">
        <v>167</v>
      </c>
      <c r="G471" t="str">
        <f>HYPERLINK("http://www.ncbi.nlm.nih.gov/Taxonomy/Browser/wwwtax.cgi?mode=Info&amp;id=8787&amp;lvl=3&amp;lin=f&amp;keep=1&amp;srchmode=1&amp;unlock","Casuarius casuarius")</f>
        <v>Casuarius casuarius</v>
      </c>
      <c r="H471" t="s">
        <v>574</v>
      </c>
      <c r="I471" t="str">
        <f>HYPERLINK("http://www.ncbi.nlm.nih.gov/protein/NXE52890.1","ANDR protein")</f>
        <v>ANDR protein</v>
      </c>
      <c r="J471">
        <v>750.36</v>
      </c>
      <c r="K471" t="s">
        <v>25</v>
      </c>
      <c r="L471">
        <v>157</v>
      </c>
      <c r="M471">
        <v>44.41</v>
      </c>
      <c r="N471">
        <v>39.94</v>
      </c>
      <c r="O471" t="s">
        <v>20</v>
      </c>
      <c r="P471" t="s">
        <v>965</v>
      </c>
      <c r="Q471" t="s">
        <v>20</v>
      </c>
      <c r="R471" t="str">
        <f>HYPERLINK("https://cfpub.epa.gov/ecotox/explore.cfm?ncbi=8787","Explore in ECOTOX")</f>
        <v>Explore in ECOTOX</v>
      </c>
    </row>
    <row r="472" spans="1:18" x14ac:dyDescent="0.25">
      <c r="A472">
        <v>6</v>
      </c>
      <c r="B472" t="str">
        <f>HYPERLINK("http://www.ncbi.nlm.nih.gov/protein/NWI28193.1","NWI28193.1")</f>
        <v>NWI28193.1</v>
      </c>
      <c r="C472">
        <v>12998</v>
      </c>
      <c r="D472" t="str">
        <f>HYPERLINK("http://www.ncbi.nlm.nih.gov/Taxonomy/Browser/wwwtax.cgi?mode=Info&amp;id=56068&amp;lvl=3&amp;lin=f&amp;keep=1&amp;srchmode=1&amp;unlock","56068")</f>
        <v>56068</v>
      </c>
      <c r="E472" t="s">
        <v>167</v>
      </c>
      <c r="F472" t="s">
        <v>167</v>
      </c>
      <c r="G472" t="str">
        <f>HYPERLINK("http://www.ncbi.nlm.nih.gov/Taxonomy/Browser/wwwtax.cgi?mode=Info&amp;id=56068&amp;lvl=3&amp;lin=f&amp;keep=1&amp;srchmode=1&amp;unlock","Sula dactylatra")</f>
        <v>Sula dactylatra</v>
      </c>
      <c r="H472" t="s">
        <v>266</v>
      </c>
      <c r="I472" t="str">
        <f>HYPERLINK("http://www.ncbi.nlm.nih.gov/protein/NWI28193.1","ANDR protein")</f>
        <v>ANDR protein</v>
      </c>
      <c r="J472">
        <v>749.97</v>
      </c>
      <c r="K472" t="s">
        <v>25</v>
      </c>
      <c r="L472">
        <v>157</v>
      </c>
      <c r="M472">
        <v>44.41</v>
      </c>
      <c r="N472">
        <v>39.92</v>
      </c>
      <c r="O472" t="s">
        <v>20</v>
      </c>
      <c r="P472" t="s">
        <v>965</v>
      </c>
      <c r="Q472" t="s">
        <v>20</v>
      </c>
      <c r="R472" t="str">
        <f>HYPERLINK("https://cfpub.epa.gov/ecotox/explore.cfm?ncbi=56068","Explore in ECOTOX")</f>
        <v>Explore in ECOTOX</v>
      </c>
    </row>
    <row r="473" spans="1:18" x14ac:dyDescent="0.25">
      <c r="A473">
        <v>6</v>
      </c>
      <c r="B473" t="str">
        <f>HYPERLINK("http://www.ncbi.nlm.nih.gov/protein/NXJ37054.1","NXJ37054.1")</f>
        <v>NXJ37054.1</v>
      </c>
      <c r="C473">
        <v>13317</v>
      </c>
      <c r="D473" t="str">
        <f>HYPERLINK("http://www.ncbi.nlm.nih.gov/Taxonomy/Browser/wwwtax.cgi?mode=Info&amp;id=52777&amp;lvl=3&amp;lin=f&amp;keep=1&amp;srchmode=1&amp;unlock","52777")</f>
        <v>52777</v>
      </c>
      <c r="E473" t="s">
        <v>167</v>
      </c>
      <c r="F473" t="s">
        <v>167</v>
      </c>
      <c r="G473" t="str">
        <f>HYPERLINK("http://www.ncbi.nlm.nih.gov/Taxonomy/Browser/wwwtax.cgi?mode=Info&amp;id=52777&amp;lvl=3&amp;lin=f&amp;keep=1&amp;srchmode=1&amp;unlock","Ciconia maguari")</f>
        <v>Ciconia maguari</v>
      </c>
      <c r="H473" t="s">
        <v>514</v>
      </c>
      <c r="I473" t="str">
        <f>HYPERLINK("http://www.ncbi.nlm.nih.gov/protein/NXJ37054.1","ANDR protein")</f>
        <v>ANDR protein</v>
      </c>
      <c r="J473">
        <v>749.97</v>
      </c>
      <c r="K473" t="s">
        <v>25</v>
      </c>
      <c r="L473">
        <v>157</v>
      </c>
      <c r="M473">
        <v>44.41</v>
      </c>
      <c r="N473">
        <v>39.92</v>
      </c>
      <c r="O473" t="s">
        <v>20</v>
      </c>
      <c r="P473" t="s">
        <v>965</v>
      </c>
      <c r="Q473" t="s">
        <v>20</v>
      </c>
      <c r="R473" t="str">
        <f>HYPERLINK("https://cfpub.epa.gov/ecotox/explore.cfm?ncbi=52777","Explore in ECOTOX")</f>
        <v>Explore in ECOTOX</v>
      </c>
    </row>
    <row r="474" spans="1:18" x14ac:dyDescent="0.25">
      <c r="A474">
        <v>6</v>
      </c>
      <c r="B474" t="str">
        <f>HYPERLINK("http://www.ncbi.nlm.nih.gov/protein/KFO15478.1","KFO15478.1")</f>
        <v>KFO15478.1</v>
      </c>
      <c r="C474">
        <v>27939</v>
      </c>
      <c r="D474" t="str">
        <f>HYPERLINK("http://www.ncbi.nlm.nih.gov/Taxonomy/Browser/wwwtax.cgi?mode=Info&amp;id=100784&amp;lvl=3&amp;lin=f&amp;keep=1&amp;srchmode=1&amp;unlock","100784")</f>
        <v>100784</v>
      </c>
      <c r="E474" t="s">
        <v>167</v>
      </c>
      <c r="F474" t="s">
        <v>167</v>
      </c>
      <c r="G474" t="str">
        <f>HYPERLINK("http://www.ncbi.nlm.nih.gov/Taxonomy/Browser/wwwtax.cgi?mode=Info&amp;id=100784&amp;lvl=3&amp;lin=f&amp;keep=1&amp;srchmode=1&amp;unlock","Balearica regulorum gibbericeps")</f>
        <v>Balearica regulorum gibbericeps</v>
      </c>
      <c r="H474" t="s">
        <v>307</v>
      </c>
      <c r="I474" t="str">
        <f>HYPERLINK("http://www.ncbi.nlm.nih.gov/protein/KFO15478.1","Androgen receptor, partial")</f>
        <v>Androgen receptor, partial</v>
      </c>
      <c r="J474">
        <v>749.58</v>
      </c>
      <c r="K474" t="s">
        <v>25</v>
      </c>
      <c r="L474">
        <v>157</v>
      </c>
      <c r="M474">
        <v>44.41</v>
      </c>
      <c r="N474">
        <v>39.9</v>
      </c>
      <c r="O474" t="s">
        <v>20</v>
      </c>
      <c r="P474" t="s">
        <v>965</v>
      </c>
      <c r="Q474" t="s">
        <v>20</v>
      </c>
      <c r="R474" t="str">
        <f>HYPERLINK("https://cfpub.epa.gov/ecotox/explore.cfm?ncbi=100784","Explore in ECOTOX")</f>
        <v>Explore in ECOTOX</v>
      </c>
    </row>
    <row r="475" spans="1:18" x14ac:dyDescent="0.25">
      <c r="A475">
        <v>6</v>
      </c>
      <c r="B475" t="str">
        <f>HYPERLINK("http://www.ncbi.nlm.nih.gov/protein/NXD11944.1","NXD11944.1")</f>
        <v>NXD11944.1</v>
      </c>
      <c r="C475">
        <v>13147</v>
      </c>
      <c r="D475" t="str">
        <f>HYPERLINK("http://www.ncbi.nlm.nih.gov/Taxonomy/Browser/wwwtax.cgi?mode=Info&amp;id=1977171&amp;lvl=3&amp;lin=f&amp;keep=1&amp;srchmode=1&amp;unlock","1977171")</f>
        <v>1977171</v>
      </c>
      <c r="E475" t="s">
        <v>167</v>
      </c>
      <c r="F475" t="s">
        <v>167</v>
      </c>
      <c r="G475" t="str">
        <f>HYPERLINK("http://www.ncbi.nlm.nih.gov/Taxonomy/Browser/wwwtax.cgi?mode=Info&amp;id=1977171&amp;lvl=3&amp;lin=f&amp;keep=1&amp;srchmode=1&amp;unlock","Nothocercus nigrocapillus")</f>
        <v>Nothocercus nigrocapillus</v>
      </c>
      <c r="H475" t="s">
        <v>196</v>
      </c>
      <c r="I475" t="str">
        <f>HYPERLINK("http://www.ncbi.nlm.nih.gov/protein/NXD11944.1","ANDR protein")</f>
        <v>ANDR protein</v>
      </c>
      <c r="J475">
        <v>749.2</v>
      </c>
      <c r="K475" t="s">
        <v>25</v>
      </c>
      <c r="L475">
        <v>157</v>
      </c>
      <c r="M475">
        <v>44.41</v>
      </c>
      <c r="N475">
        <v>39.880000000000003</v>
      </c>
      <c r="O475" t="s">
        <v>20</v>
      </c>
      <c r="P475" t="s">
        <v>965</v>
      </c>
      <c r="Q475" t="s">
        <v>20</v>
      </c>
      <c r="R475" t="str">
        <f>HYPERLINK("https://cfpub.epa.gov/ecotox/explore.cfm?ncbi=1977171","Explore in ECOTOX")</f>
        <v>Explore in ECOTOX</v>
      </c>
    </row>
    <row r="476" spans="1:18" x14ac:dyDescent="0.25">
      <c r="A476">
        <v>6</v>
      </c>
      <c r="B476" t="str">
        <f>HYPERLINK("http://www.ncbi.nlm.nih.gov/protein/XP_025922078.1","XP_025922078.1")</f>
        <v>XP_025922078.1</v>
      </c>
      <c r="C476">
        <v>37692</v>
      </c>
      <c r="D476" t="str">
        <f>HYPERLINK("http://www.ncbi.nlm.nih.gov/Taxonomy/Browser/wwwtax.cgi?mode=Info&amp;id=308060&amp;lvl=3&amp;lin=f&amp;keep=1&amp;srchmode=1&amp;unlock","308060")</f>
        <v>308060</v>
      </c>
      <c r="E476" t="s">
        <v>167</v>
      </c>
      <c r="F476" t="s">
        <v>167</v>
      </c>
      <c r="G476" t="str">
        <f>HYPERLINK("http://www.ncbi.nlm.nih.gov/Taxonomy/Browser/wwwtax.cgi?mode=Info&amp;id=308060&amp;lvl=3&amp;lin=f&amp;keep=1&amp;srchmode=1&amp;unlock","Apteryx rowi")</f>
        <v>Apteryx rowi</v>
      </c>
      <c r="H476" t="s">
        <v>214</v>
      </c>
      <c r="I476" t="str">
        <f>HYPERLINK("http://www.ncbi.nlm.nih.gov/protein/XP_025922078.1","androgen receptor")</f>
        <v>androgen receptor</v>
      </c>
      <c r="J476">
        <v>749.2</v>
      </c>
      <c r="K476" t="s">
        <v>25</v>
      </c>
      <c r="L476">
        <v>157</v>
      </c>
      <c r="M476">
        <v>44.41</v>
      </c>
      <c r="N476">
        <v>39.880000000000003</v>
      </c>
      <c r="O476" t="s">
        <v>20</v>
      </c>
      <c r="P476" t="s">
        <v>965</v>
      </c>
      <c r="Q476" t="s">
        <v>20</v>
      </c>
      <c r="R476" t="str">
        <f>HYPERLINK("https://cfpub.epa.gov/ecotox/explore.cfm?ncbi=308060","Explore in ECOTOX")</f>
        <v>Explore in ECOTOX</v>
      </c>
    </row>
    <row r="477" spans="1:18" x14ac:dyDescent="0.25">
      <c r="A477">
        <v>6</v>
      </c>
      <c r="B477" t="str">
        <f>HYPERLINK("http://www.ncbi.nlm.nih.gov/protein/XP_030918538.1","XP_030918538.1")</f>
        <v>XP_030918538.1</v>
      </c>
      <c r="C477">
        <v>20687</v>
      </c>
      <c r="D477" t="str">
        <f>HYPERLINK("http://www.ncbi.nlm.nih.gov/Taxonomy/Browser/wwwtax.cgi?mode=Info&amp;id=48883&amp;lvl=3&amp;lin=f&amp;keep=1&amp;srchmode=1&amp;unlock","48883")</f>
        <v>48883</v>
      </c>
      <c r="E477" t="s">
        <v>167</v>
      </c>
      <c r="F477" t="s">
        <v>167</v>
      </c>
      <c r="G477" t="str">
        <f>HYPERLINK("http://www.ncbi.nlm.nih.gov/Taxonomy/Browser/wwwtax.cgi?mode=Info&amp;id=48883&amp;lvl=3&amp;lin=f&amp;keep=1&amp;srchmode=1&amp;unlock","Geospiza fortis")</f>
        <v>Geospiza fortis</v>
      </c>
      <c r="H477" t="s">
        <v>411</v>
      </c>
      <c r="I477" t="str">
        <f>HYPERLINK("http://www.ncbi.nlm.nih.gov/protein/XP_030918538.1","androgen receptor")</f>
        <v>androgen receptor</v>
      </c>
      <c r="J477">
        <v>749.2</v>
      </c>
      <c r="K477" t="s">
        <v>25</v>
      </c>
      <c r="L477">
        <v>157</v>
      </c>
      <c r="M477">
        <v>44.41</v>
      </c>
      <c r="N477">
        <v>39.880000000000003</v>
      </c>
      <c r="O477" t="s">
        <v>20</v>
      </c>
      <c r="P477" t="s">
        <v>965</v>
      </c>
      <c r="Q477" t="s">
        <v>20</v>
      </c>
      <c r="R477" t="str">
        <f>HYPERLINK("https://cfpub.epa.gov/ecotox/explore.cfm?ncbi=48883","Explore in ECOTOX")</f>
        <v>Explore in ECOTOX</v>
      </c>
    </row>
    <row r="478" spans="1:18" x14ac:dyDescent="0.25">
      <c r="A478">
        <v>6</v>
      </c>
      <c r="B478" t="str">
        <f>HYPERLINK("http://www.ncbi.nlm.nih.gov/protein/NWW47350.1","NWW47350.1")</f>
        <v>NWW47350.1</v>
      </c>
      <c r="C478">
        <v>13358</v>
      </c>
      <c r="D478" t="str">
        <f>HYPERLINK("http://www.ncbi.nlm.nih.gov/Taxonomy/Browser/wwwtax.cgi?mode=Info&amp;id=227192&amp;lvl=3&amp;lin=f&amp;keep=1&amp;srchmode=1&amp;unlock","227192")</f>
        <v>227192</v>
      </c>
      <c r="E478" t="s">
        <v>167</v>
      </c>
      <c r="F478" t="s">
        <v>167</v>
      </c>
      <c r="G478" t="str">
        <f>HYPERLINK("http://www.ncbi.nlm.nih.gov/Taxonomy/Browser/wwwtax.cgi?mode=Info&amp;id=227192&amp;lvl=3&amp;lin=f&amp;keep=1&amp;srchmode=1&amp;unlock","Pedionomus torquatus")</f>
        <v>Pedionomus torquatus</v>
      </c>
      <c r="H478" t="s">
        <v>286</v>
      </c>
      <c r="I478" t="str">
        <f>HYPERLINK("http://www.ncbi.nlm.nih.gov/protein/NWW47350.1","ANDR protein")</f>
        <v>ANDR protein</v>
      </c>
      <c r="J478">
        <v>749.2</v>
      </c>
      <c r="K478" t="s">
        <v>25</v>
      </c>
      <c r="L478">
        <v>157</v>
      </c>
      <c r="M478">
        <v>44.41</v>
      </c>
      <c r="N478">
        <v>39.880000000000003</v>
      </c>
      <c r="O478" t="s">
        <v>20</v>
      </c>
      <c r="P478" t="s">
        <v>965</v>
      </c>
      <c r="Q478" t="s">
        <v>20</v>
      </c>
      <c r="R478" t="str">
        <f>HYPERLINK("https://cfpub.epa.gov/ecotox/explore.cfm?ncbi=227192","Explore in ECOTOX")</f>
        <v>Explore in ECOTOX</v>
      </c>
    </row>
    <row r="479" spans="1:18" x14ac:dyDescent="0.25">
      <c r="A479">
        <v>6</v>
      </c>
      <c r="B479" t="str">
        <f>HYPERLINK("http://www.ncbi.nlm.nih.gov/protein/NWX97377.1","NWX97377.1")</f>
        <v>NWX97377.1</v>
      </c>
      <c r="C479">
        <v>13754</v>
      </c>
      <c r="D479" t="str">
        <f>HYPERLINK("http://www.ncbi.nlm.nih.gov/Taxonomy/Browser/wwwtax.cgi?mode=Info&amp;id=83376&amp;lvl=3&amp;lin=f&amp;keep=1&amp;srchmode=1&amp;unlock","83376")</f>
        <v>83376</v>
      </c>
      <c r="E479" t="s">
        <v>167</v>
      </c>
      <c r="F479" t="s">
        <v>167</v>
      </c>
      <c r="G479" t="str">
        <f>HYPERLINK("http://www.ncbi.nlm.nih.gov/Taxonomy/Browser/wwwtax.cgi?mode=Info&amp;id=83376&amp;lvl=3&amp;lin=f&amp;keep=1&amp;srchmode=1&amp;unlock","Nothoprocta ornata")</f>
        <v>Nothoprocta ornata</v>
      </c>
      <c r="H479" t="s">
        <v>196</v>
      </c>
      <c r="I479" t="str">
        <f>HYPERLINK("http://www.ncbi.nlm.nih.gov/protein/NWX97377.1","ANDR protein")</f>
        <v>ANDR protein</v>
      </c>
      <c r="J479">
        <v>748.81</v>
      </c>
      <c r="K479" t="s">
        <v>25</v>
      </c>
      <c r="L479">
        <v>157</v>
      </c>
      <c r="M479">
        <v>44.41</v>
      </c>
      <c r="N479">
        <v>39.86</v>
      </c>
      <c r="O479" t="s">
        <v>20</v>
      </c>
      <c r="P479" t="s">
        <v>965</v>
      </c>
      <c r="Q479" t="s">
        <v>20</v>
      </c>
      <c r="R479" t="str">
        <f>HYPERLINK("https://cfpub.epa.gov/ecotox/explore.cfm?ncbi=83376","Explore in ECOTOX")</f>
        <v>Explore in ECOTOX</v>
      </c>
    </row>
    <row r="480" spans="1:18" x14ac:dyDescent="0.25">
      <c r="A480">
        <v>6</v>
      </c>
      <c r="B480" t="str">
        <f>HYPERLINK("http://www.ncbi.nlm.nih.gov/protein/NWW76724.1","NWW76724.1")</f>
        <v>NWW76724.1</v>
      </c>
      <c r="C480">
        <v>14135</v>
      </c>
      <c r="D480" t="str">
        <f>HYPERLINK("http://www.ncbi.nlm.nih.gov/Taxonomy/Browser/wwwtax.cgi?mode=Info&amp;id=47695&amp;lvl=3&amp;lin=f&amp;keep=1&amp;srchmode=1&amp;unlock","47695")</f>
        <v>47695</v>
      </c>
      <c r="E480" t="s">
        <v>167</v>
      </c>
      <c r="F480" t="s">
        <v>167</v>
      </c>
      <c r="G480" t="str">
        <f>HYPERLINK("http://www.ncbi.nlm.nih.gov/Taxonomy/Browser/wwwtax.cgi?mode=Info&amp;id=47695&amp;lvl=3&amp;lin=f&amp;keep=1&amp;srchmode=1&amp;unlock","Climacteris rufus")</f>
        <v>Climacteris rufus</v>
      </c>
      <c r="H480" t="s">
        <v>495</v>
      </c>
      <c r="I480" t="str">
        <f>HYPERLINK("http://www.ncbi.nlm.nih.gov/protein/NWW76724.1","ANDR protein")</f>
        <v>ANDR protein</v>
      </c>
      <c r="J480">
        <v>748.81</v>
      </c>
      <c r="K480" t="s">
        <v>25</v>
      </c>
      <c r="L480">
        <v>157</v>
      </c>
      <c r="M480">
        <v>44.41</v>
      </c>
      <c r="N480">
        <v>39.86</v>
      </c>
      <c r="O480" t="s">
        <v>20</v>
      </c>
      <c r="P480" t="s">
        <v>965</v>
      </c>
      <c r="Q480" t="s">
        <v>20</v>
      </c>
      <c r="R480" t="str">
        <f>HYPERLINK("https://cfpub.epa.gov/ecotox/explore.cfm?ncbi=47695","Explore in ECOTOX")</f>
        <v>Explore in ECOTOX</v>
      </c>
    </row>
    <row r="481" spans="1:18" x14ac:dyDescent="0.25">
      <c r="A481">
        <v>6</v>
      </c>
      <c r="B481" t="str">
        <f>HYPERLINK("http://www.ncbi.nlm.nih.gov/protein/NXJ67296.1","NXJ67296.1")</f>
        <v>NXJ67296.1</v>
      </c>
      <c r="C481">
        <v>14258</v>
      </c>
      <c r="D481" t="str">
        <f>HYPERLINK("http://www.ncbi.nlm.nih.gov/Taxonomy/Browser/wwwtax.cgi?mode=Info&amp;id=118793&amp;lvl=3&amp;lin=f&amp;keep=1&amp;srchmode=1&amp;unlock","118793")</f>
        <v>118793</v>
      </c>
      <c r="E481" t="s">
        <v>167</v>
      </c>
      <c r="F481" t="s">
        <v>167</v>
      </c>
      <c r="G481" t="str">
        <f>HYPERLINK("http://www.ncbi.nlm.nih.gov/Taxonomy/Browser/wwwtax.cgi?mode=Info&amp;id=118793&amp;lvl=3&amp;lin=f&amp;keep=1&amp;srchmode=1&amp;unlock","Rostratula benghalensis")</f>
        <v>Rostratula benghalensis</v>
      </c>
      <c r="H481" t="s">
        <v>316</v>
      </c>
      <c r="I481" t="str">
        <f>HYPERLINK("http://www.ncbi.nlm.nih.gov/protein/NXJ67296.1","ANDR protein")</f>
        <v>ANDR protein</v>
      </c>
      <c r="J481">
        <v>748.81</v>
      </c>
      <c r="K481" t="s">
        <v>25</v>
      </c>
      <c r="L481">
        <v>157</v>
      </c>
      <c r="M481">
        <v>44.41</v>
      </c>
      <c r="N481">
        <v>39.86</v>
      </c>
      <c r="O481" t="s">
        <v>20</v>
      </c>
      <c r="P481" t="s">
        <v>965</v>
      </c>
      <c r="Q481" t="s">
        <v>20</v>
      </c>
      <c r="R481" t="str">
        <f>HYPERLINK("https://cfpub.epa.gov/ecotox/explore.cfm?ncbi=118793","Explore in ECOTOX")</f>
        <v>Explore in ECOTOX</v>
      </c>
    </row>
    <row r="482" spans="1:18" x14ac:dyDescent="0.25">
      <c r="A482">
        <v>6</v>
      </c>
      <c r="B482" t="str">
        <f>HYPERLINK("http://www.ncbi.nlm.nih.gov/protein/NWX86836.1","NWX86836.1")</f>
        <v>NWX86836.1</v>
      </c>
      <c r="C482">
        <v>13431</v>
      </c>
      <c r="D482" t="str">
        <f>HYPERLINK("http://www.ncbi.nlm.nih.gov/Taxonomy/Browser/wwwtax.cgi?mode=Info&amp;id=2585814&amp;lvl=3&amp;lin=f&amp;keep=1&amp;srchmode=1&amp;unlock","2585814")</f>
        <v>2585814</v>
      </c>
      <c r="E482" t="s">
        <v>167</v>
      </c>
      <c r="F482" t="s">
        <v>167</v>
      </c>
      <c r="G482" t="str">
        <f>HYPERLINK("http://www.ncbi.nlm.nih.gov/Taxonomy/Browser/wwwtax.cgi?mode=Info&amp;id=2585814&amp;lvl=3&amp;lin=f&amp;keep=1&amp;srchmode=1&amp;unlock","Nothoprocta pentlandii")</f>
        <v>Nothoprocta pentlandii</v>
      </c>
      <c r="H482" t="s">
        <v>196</v>
      </c>
      <c r="I482" t="str">
        <f>HYPERLINK("http://www.ncbi.nlm.nih.gov/protein/NWX86836.1","ANDR protein")</f>
        <v>ANDR protein</v>
      </c>
      <c r="J482">
        <v>748.81</v>
      </c>
      <c r="K482" t="s">
        <v>25</v>
      </c>
      <c r="L482">
        <v>157</v>
      </c>
      <c r="M482">
        <v>44.41</v>
      </c>
      <c r="N482">
        <v>39.86</v>
      </c>
      <c r="O482" t="s">
        <v>20</v>
      </c>
      <c r="P482" t="s">
        <v>965</v>
      </c>
      <c r="Q482" t="s">
        <v>20</v>
      </c>
      <c r="R482" t="str">
        <f>HYPERLINK("https://cfpub.epa.gov/ecotox/explore.cfm?ncbi=2585814","Explore in ECOTOX")</f>
        <v>Explore in ECOTOX</v>
      </c>
    </row>
    <row r="483" spans="1:18" x14ac:dyDescent="0.25">
      <c r="A483">
        <v>6</v>
      </c>
      <c r="B483" t="str">
        <f>HYPERLINK("http://www.ncbi.nlm.nih.gov/protein/NXA45752.1","NXA45752.1")</f>
        <v>NXA45752.1</v>
      </c>
      <c r="C483">
        <v>13387</v>
      </c>
      <c r="D483" t="str">
        <f>HYPERLINK("http://www.ncbi.nlm.nih.gov/Taxonomy/Browser/wwwtax.cgi?mode=Info&amp;id=2585813&amp;lvl=3&amp;lin=f&amp;keep=1&amp;srchmode=1&amp;unlock","2585813")</f>
        <v>2585813</v>
      </c>
      <c r="E483" t="s">
        <v>167</v>
      </c>
      <c r="F483" t="s">
        <v>167</v>
      </c>
      <c r="G483" t="str">
        <f>HYPERLINK("http://www.ncbi.nlm.nih.gov/Taxonomy/Browser/wwwtax.cgi?mode=Info&amp;id=2585813&amp;lvl=3&amp;lin=f&amp;keep=1&amp;srchmode=1&amp;unlock","Nothocercus julius")</f>
        <v>Nothocercus julius</v>
      </c>
      <c r="H483" t="s">
        <v>196</v>
      </c>
      <c r="I483" t="str">
        <f>HYPERLINK("http://www.ncbi.nlm.nih.gov/protein/NXA45752.1","ANDR protein")</f>
        <v>ANDR protein</v>
      </c>
      <c r="J483">
        <v>748.81</v>
      </c>
      <c r="K483" t="s">
        <v>25</v>
      </c>
      <c r="L483">
        <v>157</v>
      </c>
      <c r="M483">
        <v>44.41</v>
      </c>
      <c r="N483">
        <v>39.86</v>
      </c>
      <c r="O483" t="s">
        <v>20</v>
      </c>
      <c r="P483" t="s">
        <v>965</v>
      </c>
      <c r="Q483" t="s">
        <v>20</v>
      </c>
      <c r="R483" t="str">
        <f>HYPERLINK("https://cfpub.epa.gov/ecotox/explore.cfm?ncbi=2585813","Explore in ECOTOX")</f>
        <v>Explore in ECOTOX</v>
      </c>
    </row>
    <row r="484" spans="1:18" x14ac:dyDescent="0.25">
      <c r="A484">
        <v>6</v>
      </c>
      <c r="B484" t="str">
        <f>HYPERLINK("http://www.ncbi.nlm.nih.gov/protein/NXO49100.1","NXO49100.1")</f>
        <v>NXO49100.1</v>
      </c>
      <c r="C484">
        <v>14352</v>
      </c>
      <c r="D484" t="str">
        <f>HYPERLINK("http://www.ncbi.nlm.nih.gov/Taxonomy/Browser/wwwtax.cgi?mode=Info&amp;id=54356&amp;lvl=3&amp;lin=f&amp;keep=1&amp;srchmode=1&amp;unlock","54356")</f>
        <v>54356</v>
      </c>
      <c r="E484" t="s">
        <v>167</v>
      </c>
      <c r="F484" t="s">
        <v>167</v>
      </c>
      <c r="G484" t="str">
        <f>HYPERLINK("http://www.ncbi.nlm.nih.gov/Taxonomy/Browser/wwwtax.cgi?mode=Info&amp;id=54356&amp;lvl=3&amp;lin=f&amp;keep=1&amp;srchmode=1&amp;unlock","Aramus guarauna")</f>
        <v>Aramus guarauna</v>
      </c>
      <c r="H484" t="s">
        <v>344</v>
      </c>
      <c r="I484" t="str">
        <f>HYPERLINK("http://www.ncbi.nlm.nih.gov/protein/NXO49100.1","ANDR protein")</f>
        <v>ANDR protein</v>
      </c>
      <c r="J484">
        <v>748.43</v>
      </c>
      <c r="K484" t="s">
        <v>25</v>
      </c>
      <c r="L484">
        <v>157</v>
      </c>
      <c r="M484">
        <v>44.41</v>
      </c>
      <c r="N484">
        <v>39.840000000000003</v>
      </c>
      <c r="O484" t="s">
        <v>20</v>
      </c>
      <c r="P484" t="s">
        <v>965</v>
      </c>
      <c r="Q484" t="s">
        <v>20</v>
      </c>
      <c r="R484" t="str">
        <f>HYPERLINK("https://cfpub.epa.gov/ecotox/explore.cfm?ncbi=54356","Explore in ECOTOX")</f>
        <v>Explore in ECOTOX</v>
      </c>
    </row>
    <row r="485" spans="1:18" x14ac:dyDescent="0.25">
      <c r="A485">
        <v>6</v>
      </c>
      <c r="B485" t="str">
        <f>HYPERLINK("http://www.ncbi.nlm.nih.gov/protein/NXA36954.1","NXA36954.1")</f>
        <v>NXA36954.1</v>
      </c>
      <c r="C485">
        <v>13771</v>
      </c>
      <c r="D485" t="str">
        <f>HYPERLINK("http://www.ncbi.nlm.nih.gov/Taxonomy/Browser/wwwtax.cgi?mode=Info&amp;id=8805&amp;lvl=3&amp;lin=f&amp;keep=1&amp;srchmode=1&amp;unlock","8805")</f>
        <v>8805</v>
      </c>
      <c r="E485" t="s">
        <v>167</v>
      </c>
      <c r="F485" t="s">
        <v>167</v>
      </c>
      <c r="G485" t="str">
        <f>HYPERLINK("http://www.ncbi.nlm.nih.gov/Taxonomy/Browser/wwwtax.cgi?mode=Info&amp;id=8805&amp;lvl=3&amp;lin=f&amp;keep=1&amp;srchmode=1&amp;unlock","Eudromia elegans")</f>
        <v>Eudromia elegans</v>
      </c>
      <c r="H485" t="s">
        <v>485</v>
      </c>
      <c r="I485" t="str">
        <f>HYPERLINK("http://www.ncbi.nlm.nih.gov/protein/NXA36954.1","ANDR protein")</f>
        <v>ANDR protein</v>
      </c>
      <c r="J485">
        <v>747.66</v>
      </c>
      <c r="K485" t="s">
        <v>25</v>
      </c>
      <c r="L485">
        <v>157</v>
      </c>
      <c r="M485">
        <v>44.41</v>
      </c>
      <c r="N485">
        <v>39.799999999999997</v>
      </c>
      <c r="O485" t="s">
        <v>20</v>
      </c>
      <c r="P485" t="s">
        <v>965</v>
      </c>
      <c r="Q485" t="s">
        <v>20</v>
      </c>
      <c r="R485" t="str">
        <f>HYPERLINK("https://cfpub.epa.gov/ecotox/explore.cfm?ncbi=8805","Explore in ECOTOX")</f>
        <v>Explore in ECOTOX</v>
      </c>
    </row>
    <row r="486" spans="1:18" x14ac:dyDescent="0.25">
      <c r="A486">
        <v>6</v>
      </c>
      <c r="B486" t="str">
        <f>HYPERLINK("http://www.ncbi.nlm.nih.gov/protein/XP_013809075.1","XP_013809075.1")</f>
        <v>XP_013809075.1</v>
      </c>
      <c r="C486">
        <v>22840</v>
      </c>
      <c r="D486" t="str">
        <f>HYPERLINK("http://www.ncbi.nlm.nih.gov/Taxonomy/Browser/wwwtax.cgi?mode=Info&amp;id=202946&amp;lvl=3&amp;lin=f&amp;keep=1&amp;srchmode=1&amp;unlock","202946")</f>
        <v>202946</v>
      </c>
      <c r="E486" t="s">
        <v>167</v>
      </c>
      <c r="F486" t="s">
        <v>167</v>
      </c>
      <c r="G486" t="str">
        <f>HYPERLINK("http://www.ncbi.nlm.nih.gov/Taxonomy/Browser/wwwtax.cgi?mode=Info&amp;id=202946&amp;lvl=3&amp;lin=f&amp;keep=1&amp;srchmode=1&amp;unlock","Apteryx mantelli mantelli")</f>
        <v>Apteryx mantelli mantelli</v>
      </c>
      <c r="H486" t="s">
        <v>209</v>
      </c>
      <c r="I486" t="str">
        <f>HYPERLINK("http://www.ncbi.nlm.nih.gov/protein/XP_013809075.1","PREDICTED: androgen receptor")</f>
        <v>PREDICTED: androgen receptor</v>
      </c>
      <c r="J486">
        <v>747.27</v>
      </c>
      <c r="K486" t="s">
        <v>25</v>
      </c>
      <c r="L486">
        <v>157</v>
      </c>
      <c r="M486">
        <v>44.41</v>
      </c>
      <c r="N486">
        <v>39.78</v>
      </c>
      <c r="O486" t="s">
        <v>20</v>
      </c>
      <c r="P486" t="s">
        <v>965</v>
      </c>
      <c r="Q486" t="s">
        <v>20</v>
      </c>
      <c r="R486" t="str">
        <f>HYPERLINK("https://cfpub.epa.gov/ecotox/explore.cfm?ncbi=202946","Explore in ECOTOX")</f>
        <v>Explore in ECOTOX</v>
      </c>
    </row>
    <row r="487" spans="1:18" x14ac:dyDescent="0.25">
      <c r="A487">
        <v>6</v>
      </c>
      <c r="B487" t="str">
        <f>HYPERLINK("http://www.ncbi.nlm.nih.gov/protein/NWX53097.1","NWX53097.1")</f>
        <v>NWX53097.1</v>
      </c>
      <c r="C487">
        <v>14617</v>
      </c>
      <c r="D487" t="str">
        <f>HYPERLINK("http://www.ncbi.nlm.nih.gov/Taxonomy/Browser/wwwtax.cgi?mode=Info&amp;id=48435&amp;lvl=3&amp;lin=f&amp;keep=1&amp;srchmode=1&amp;unlock","48435")</f>
        <v>48435</v>
      </c>
      <c r="E487" t="s">
        <v>167</v>
      </c>
      <c r="F487" t="s">
        <v>167</v>
      </c>
      <c r="G487" t="str">
        <f>HYPERLINK("http://www.ncbi.nlm.nih.gov/Taxonomy/Browser/wwwtax.cgi?mode=Info&amp;id=48435&amp;lvl=3&amp;lin=f&amp;keep=1&amp;srchmode=1&amp;unlock","Steatornis caripensis")</f>
        <v>Steatornis caripensis</v>
      </c>
      <c r="H487" t="s">
        <v>263</v>
      </c>
      <c r="I487" t="str">
        <f>HYPERLINK("http://www.ncbi.nlm.nih.gov/protein/NWX53097.1","ANDR protein")</f>
        <v>ANDR protein</v>
      </c>
      <c r="J487">
        <v>746.12</v>
      </c>
      <c r="K487" t="s">
        <v>25</v>
      </c>
      <c r="L487">
        <v>157</v>
      </c>
      <c r="M487">
        <v>44.41</v>
      </c>
      <c r="N487">
        <v>39.72</v>
      </c>
      <c r="O487" t="s">
        <v>20</v>
      </c>
      <c r="P487" t="s">
        <v>965</v>
      </c>
      <c r="Q487" t="s">
        <v>20</v>
      </c>
      <c r="R487" t="str">
        <f>HYPERLINK("https://cfpub.epa.gov/ecotox/explore.cfm?ncbi=48435","Explore in ECOTOX")</f>
        <v>Explore in ECOTOX</v>
      </c>
    </row>
    <row r="488" spans="1:18" x14ac:dyDescent="0.25">
      <c r="A488">
        <v>6</v>
      </c>
      <c r="B488" t="str">
        <f>HYPERLINK("http://www.ncbi.nlm.nih.gov/protein/NXT94797.1","NXT94797.1")</f>
        <v>NXT94797.1</v>
      </c>
      <c r="C488">
        <v>10510</v>
      </c>
      <c r="D488" t="str">
        <f>HYPERLINK("http://www.ncbi.nlm.nih.gov/Taxonomy/Browser/wwwtax.cgi?mode=Info&amp;id=317792&amp;lvl=3&amp;lin=f&amp;keep=1&amp;srchmode=1&amp;unlock","317792")</f>
        <v>317792</v>
      </c>
      <c r="E488" t="s">
        <v>167</v>
      </c>
      <c r="F488" t="s">
        <v>167</v>
      </c>
      <c r="G488" t="str">
        <f>HYPERLINK("http://www.ncbi.nlm.nih.gov/Taxonomy/Browser/wwwtax.cgi?mode=Info&amp;id=317792&amp;lvl=3&amp;lin=f&amp;keep=1&amp;srchmode=1&amp;unlock","Anhinga rufa")</f>
        <v>Anhinga rufa</v>
      </c>
      <c r="H488" t="s">
        <v>347</v>
      </c>
      <c r="I488" t="str">
        <f>HYPERLINK("http://www.ncbi.nlm.nih.gov/protein/NXT94797.1","ANDR protein")</f>
        <v>ANDR protein</v>
      </c>
      <c r="J488">
        <v>746.12</v>
      </c>
      <c r="K488" t="s">
        <v>25</v>
      </c>
      <c r="L488">
        <v>157</v>
      </c>
      <c r="M488">
        <v>44.41</v>
      </c>
      <c r="N488">
        <v>39.72</v>
      </c>
      <c r="O488" t="s">
        <v>20</v>
      </c>
      <c r="P488" t="s">
        <v>965</v>
      </c>
      <c r="Q488" t="s">
        <v>20</v>
      </c>
      <c r="R488" t="str">
        <f>HYPERLINK("https://cfpub.epa.gov/ecotox/explore.cfm?ncbi=317792","Explore in ECOTOX")</f>
        <v>Explore in ECOTOX</v>
      </c>
    </row>
    <row r="489" spans="1:18" x14ac:dyDescent="0.25">
      <c r="A489">
        <v>6</v>
      </c>
      <c r="B489" t="str">
        <f>HYPERLINK("http://www.ncbi.nlm.nih.gov/protein/NXC68749.1","NXC68749.1")</f>
        <v>NXC68749.1</v>
      </c>
      <c r="C489">
        <v>13634</v>
      </c>
      <c r="D489" t="str">
        <f>HYPERLINK("http://www.ncbi.nlm.nih.gov/Taxonomy/Browser/wwwtax.cgi?mode=Info&amp;id=56067&amp;lvl=3&amp;lin=f&amp;keep=1&amp;srchmode=1&amp;unlock","56067")</f>
        <v>56067</v>
      </c>
      <c r="E489" t="s">
        <v>167</v>
      </c>
      <c r="F489" t="s">
        <v>167</v>
      </c>
      <c r="G489" t="str">
        <f>HYPERLINK("http://www.ncbi.nlm.nih.gov/Taxonomy/Browser/wwwtax.cgi?mode=Info&amp;id=56067&amp;lvl=3&amp;lin=f&amp;keep=1&amp;srchmode=1&amp;unlock","Anhinga anhinga")</f>
        <v>Anhinga anhinga</v>
      </c>
      <c r="H489" t="s">
        <v>297</v>
      </c>
      <c r="I489" t="str">
        <f>HYPERLINK("http://www.ncbi.nlm.nih.gov/protein/NXC68749.1","ANDR protein")</f>
        <v>ANDR protein</v>
      </c>
      <c r="J489">
        <v>745.73</v>
      </c>
      <c r="K489" t="s">
        <v>25</v>
      </c>
      <c r="L489">
        <v>157</v>
      </c>
      <c r="M489">
        <v>44.41</v>
      </c>
      <c r="N489">
        <v>39.700000000000003</v>
      </c>
      <c r="O489" t="s">
        <v>20</v>
      </c>
      <c r="P489" t="s">
        <v>965</v>
      </c>
      <c r="Q489" t="s">
        <v>20</v>
      </c>
      <c r="R489" t="str">
        <f>HYPERLINK("https://cfpub.epa.gov/ecotox/explore.cfm?ncbi=56067","Explore in ECOTOX")</f>
        <v>Explore in ECOTOX</v>
      </c>
    </row>
    <row r="490" spans="1:18" x14ac:dyDescent="0.25">
      <c r="A490">
        <v>6</v>
      </c>
      <c r="B490" t="str">
        <f>HYPERLINK("http://www.ncbi.nlm.nih.gov/protein/NXM75698.1","NXM75698.1")</f>
        <v>NXM75698.1</v>
      </c>
      <c r="C490">
        <v>14138</v>
      </c>
      <c r="D490" t="str">
        <f>HYPERLINK("http://www.ncbi.nlm.nih.gov/Taxonomy/Browser/wwwtax.cgi?mode=Info&amp;id=239386&amp;lvl=3&amp;lin=f&amp;keep=1&amp;srchmode=1&amp;unlock","239386")</f>
        <v>239386</v>
      </c>
      <c r="E490" t="s">
        <v>167</v>
      </c>
      <c r="F490" t="s">
        <v>167</v>
      </c>
      <c r="G490" t="str">
        <f>HYPERLINK("http://www.ncbi.nlm.nih.gov/Taxonomy/Browser/wwwtax.cgi?mode=Info&amp;id=239386&amp;lvl=3&amp;lin=f&amp;keep=1&amp;srchmode=1&amp;unlock","Serilophus lunatus")</f>
        <v>Serilophus lunatus</v>
      </c>
      <c r="H490" t="s">
        <v>443</v>
      </c>
      <c r="I490" t="str">
        <f>HYPERLINK("http://www.ncbi.nlm.nih.gov/protein/NXM75698.1","ANDR protein")</f>
        <v>ANDR protein</v>
      </c>
      <c r="J490">
        <v>744.19</v>
      </c>
      <c r="K490" t="s">
        <v>25</v>
      </c>
      <c r="L490">
        <v>157</v>
      </c>
      <c r="M490">
        <v>44.41</v>
      </c>
      <c r="N490">
        <v>39.61</v>
      </c>
      <c r="O490" t="s">
        <v>20</v>
      </c>
      <c r="P490" t="s">
        <v>965</v>
      </c>
      <c r="Q490" t="s">
        <v>20</v>
      </c>
      <c r="R490" t="str">
        <f>HYPERLINK("https://cfpub.epa.gov/ecotox/explore.cfm?ncbi=239386","Explore in ECOTOX")</f>
        <v>Explore in ECOTOX</v>
      </c>
    </row>
    <row r="491" spans="1:18" x14ac:dyDescent="0.25">
      <c r="A491">
        <v>6</v>
      </c>
      <c r="B491" t="str">
        <f>HYPERLINK("http://www.ncbi.nlm.nih.gov/protein/XP_009675620.1","XP_009675620.1")</f>
        <v>XP_009675620.1</v>
      </c>
      <c r="C491">
        <v>39498</v>
      </c>
      <c r="D491" t="str">
        <f>HYPERLINK("http://www.ncbi.nlm.nih.gov/Taxonomy/Browser/wwwtax.cgi?mode=Info&amp;id=441894&amp;lvl=3&amp;lin=f&amp;keep=1&amp;srchmode=1&amp;unlock","441894")</f>
        <v>441894</v>
      </c>
      <c r="E491" t="s">
        <v>167</v>
      </c>
      <c r="F491" t="s">
        <v>167</v>
      </c>
      <c r="G491" t="str">
        <f>HYPERLINK("http://www.ncbi.nlm.nih.gov/Taxonomy/Browser/wwwtax.cgi?mode=Info&amp;id=441894&amp;lvl=3&amp;lin=f&amp;keep=1&amp;srchmode=1&amp;unlock","Struthio camelus australis")</f>
        <v>Struthio camelus australis</v>
      </c>
      <c r="H491" t="s">
        <v>370</v>
      </c>
      <c r="I491" t="str">
        <f>HYPERLINK("http://www.ncbi.nlm.nih.gov/protein/XP_009675620.1","PREDICTED: androgen receptor")</f>
        <v>PREDICTED: androgen receptor</v>
      </c>
      <c r="J491">
        <v>742.65</v>
      </c>
      <c r="K491" t="s">
        <v>25</v>
      </c>
      <c r="L491">
        <v>157</v>
      </c>
      <c r="M491">
        <v>44.41</v>
      </c>
      <c r="N491">
        <v>39.53</v>
      </c>
      <c r="O491" t="s">
        <v>20</v>
      </c>
      <c r="P491" t="s">
        <v>965</v>
      </c>
      <c r="Q491" t="s">
        <v>20</v>
      </c>
      <c r="R491" t="str">
        <f>HYPERLINK("https://cfpub.epa.gov/ecotox/explore.cfm?ncbi=441894","Explore in ECOTOX")</f>
        <v>Explore in ECOTOX</v>
      </c>
    </row>
    <row r="492" spans="1:18" x14ac:dyDescent="0.25">
      <c r="A492">
        <v>6</v>
      </c>
      <c r="B492" t="str">
        <f>HYPERLINK("http://www.ncbi.nlm.nih.gov/protein/Q7T1K4.1","Q7T1K4.1")</f>
        <v>Q7T1K4.1</v>
      </c>
      <c r="C492">
        <v>30167</v>
      </c>
      <c r="D492" t="str">
        <f>HYPERLINK("http://www.ncbi.nlm.nih.gov/Taxonomy/Browser/wwwtax.cgi?mode=Info&amp;id=8400&amp;lvl=3&amp;lin=f&amp;keep=1&amp;srchmode=1&amp;unlock","8400")</f>
        <v>8400</v>
      </c>
      <c r="E492" t="s">
        <v>134</v>
      </c>
      <c r="F492" t="s">
        <v>134</v>
      </c>
      <c r="G492" t="str">
        <f>HYPERLINK("http://www.ncbi.nlm.nih.gov/Taxonomy/Browser/wwwtax.cgi?mode=Info&amp;id=8400&amp;lvl=3&amp;lin=f&amp;keep=1&amp;srchmode=1&amp;unlock","Lithobates catesbeianus")</f>
        <v>Lithobates catesbeianus</v>
      </c>
      <c r="H492" t="s">
        <v>578</v>
      </c>
      <c r="I492" t="str">
        <f>HYPERLINK("http://www.ncbi.nlm.nih.gov/protein/Q7T1K4.1","RecName: Full=Androgen receptor; Short=bfAR; AltName: Full=Dihydrotestosterone receptor; AltName: Full=Nuclear receptor subfamily 3 group C member 4")</f>
        <v>RecName: Full=Androgen receptor; Short=bfAR; AltName: Full=Dihydrotestosterone receptor; AltName: Full=Nuclear receptor subfamily 3 group C member 4</v>
      </c>
      <c r="J492">
        <v>740.34</v>
      </c>
      <c r="K492" t="s">
        <v>25</v>
      </c>
      <c r="L492">
        <v>157</v>
      </c>
      <c r="M492">
        <v>44.41</v>
      </c>
      <c r="N492">
        <v>39.409999999999997</v>
      </c>
      <c r="O492" t="s">
        <v>20</v>
      </c>
      <c r="P492" t="s">
        <v>965</v>
      </c>
      <c r="Q492" t="s">
        <v>20</v>
      </c>
      <c r="R492" t="str">
        <f>HYPERLINK("https://cfpub.epa.gov/ecotox/explore.cfm?ncbi=8400","Explore in ECOTOX")</f>
        <v>Explore in ECOTOX</v>
      </c>
    </row>
    <row r="493" spans="1:18" x14ac:dyDescent="0.25">
      <c r="A493">
        <v>6</v>
      </c>
      <c r="B493" t="str">
        <f>HYPERLINK("http://www.ncbi.nlm.nih.gov/protein/XP_031410502.1","XP_031410502.1")</f>
        <v>XP_031410502.1</v>
      </c>
      <c r="C493">
        <v>30542</v>
      </c>
      <c r="D493" t="str">
        <f>HYPERLINK("http://www.ncbi.nlm.nih.gov/Taxonomy/Browser/wwwtax.cgi?mode=Info&amp;id=9103&amp;lvl=3&amp;lin=f&amp;keep=1&amp;srchmode=1&amp;unlock","9103")</f>
        <v>9103</v>
      </c>
      <c r="E493" t="s">
        <v>167</v>
      </c>
      <c r="F493" t="s">
        <v>167</v>
      </c>
      <c r="G493" t="str">
        <f>HYPERLINK("http://www.ncbi.nlm.nih.gov/Taxonomy/Browser/wwwtax.cgi?mode=Info&amp;id=9103&amp;lvl=3&amp;lin=f&amp;keep=1&amp;srchmode=1&amp;unlock","Meleagris gallopavo")</f>
        <v>Meleagris gallopavo</v>
      </c>
      <c r="H493" t="s">
        <v>590</v>
      </c>
      <c r="I493" t="str">
        <f>HYPERLINK("http://www.ncbi.nlm.nih.gov/protein/XP_031410502.1","androgen receptor")</f>
        <v>androgen receptor</v>
      </c>
      <c r="J493">
        <v>739.57</v>
      </c>
      <c r="K493" t="s">
        <v>25</v>
      </c>
      <c r="L493">
        <v>157</v>
      </c>
      <c r="M493">
        <v>44.41</v>
      </c>
      <c r="N493">
        <v>39.369999999999997</v>
      </c>
      <c r="O493" t="s">
        <v>20</v>
      </c>
      <c r="P493" t="s">
        <v>965</v>
      </c>
      <c r="Q493" t="s">
        <v>20</v>
      </c>
      <c r="R493" t="str">
        <f>HYPERLINK("https://cfpub.epa.gov/ecotox/explore.cfm?ncbi=9103","Explore in ECOTOX")</f>
        <v>Explore in ECOTOX</v>
      </c>
    </row>
    <row r="494" spans="1:18" x14ac:dyDescent="0.25">
      <c r="A494">
        <v>6</v>
      </c>
      <c r="B494" t="str">
        <f>HYPERLINK("http://www.ncbi.nlm.nih.gov/protein/ETE65931.1","ETE65931.1")</f>
        <v>ETE65931.1</v>
      </c>
      <c r="C494">
        <v>18733</v>
      </c>
      <c r="D494" t="str">
        <f>HYPERLINK("http://www.ncbi.nlm.nih.gov/Taxonomy/Browser/wwwtax.cgi?mode=Info&amp;id=8665&amp;lvl=3&amp;lin=f&amp;keep=1&amp;srchmode=1&amp;unlock","8665")</f>
        <v>8665</v>
      </c>
      <c r="E494" t="s">
        <v>236</v>
      </c>
      <c r="F494" t="s">
        <v>236</v>
      </c>
      <c r="G494" t="str">
        <f>HYPERLINK("http://www.ncbi.nlm.nih.gov/Taxonomy/Browser/wwwtax.cgi?mode=Info&amp;id=8665&amp;lvl=3&amp;lin=f&amp;keep=1&amp;srchmode=1&amp;unlock","Ophiophagus hannah")</f>
        <v>Ophiophagus hannah</v>
      </c>
      <c r="H494" t="s">
        <v>890</v>
      </c>
      <c r="I494" t="str">
        <f>HYPERLINK("http://www.ncbi.nlm.nih.gov/protein/ETE65931.1","Androgen receptor, partial")</f>
        <v>Androgen receptor, partial</v>
      </c>
      <c r="J494">
        <v>731.87</v>
      </c>
      <c r="K494" t="s">
        <v>25</v>
      </c>
      <c r="L494">
        <v>157</v>
      </c>
      <c r="M494">
        <v>44.41</v>
      </c>
      <c r="N494">
        <v>38.96</v>
      </c>
      <c r="O494" t="s">
        <v>20</v>
      </c>
      <c r="P494" t="s">
        <v>965</v>
      </c>
      <c r="Q494" t="s">
        <v>20</v>
      </c>
      <c r="R494" t="str">
        <f>HYPERLINK("https://cfpub.epa.gov/ecotox/explore.cfm?ncbi=8665","Explore in ECOTOX")</f>
        <v>Explore in ECOTOX</v>
      </c>
    </row>
    <row r="495" spans="1:18" x14ac:dyDescent="0.25">
      <c r="A495">
        <v>6</v>
      </c>
      <c r="B495" t="str">
        <f>HYPERLINK("http://www.ncbi.nlm.nih.gov/protein/NXW56789.1","NXW56789.1")</f>
        <v>NXW56789.1</v>
      </c>
      <c r="C495">
        <v>13972</v>
      </c>
      <c r="D495" t="str">
        <f>HYPERLINK("http://www.ncbi.nlm.nih.gov/Taxonomy/Browser/wwwtax.cgi?mode=Info&amp;id=325343&amp;lvl=3&amp;lin=f&amp;keep=1&amp;srchmode=1&amp;unlock","325343")</f>
        <v>325343</v>
      </c>
      <c r="E495" t="s">
        <v>167</v>
      </c>
      <c r="F495" t="s">
        <v>167</v>
      </c>
      <c r="G495" t="str">
        <f>HYPERLINK("http://www.ncbi.nlm.nih.gov/Taxonomy/Browser/wwwtax.cgi?mode=Info&amp;id=325343&amp;lvl=3&amp;lin=f&amp;keep=1&amp;srchmode=1&amp;unlock","Eurystomus gularis")</f>
        <v>Eurystomus gularis</v>
      </c>
      <c r="H495" t="s">
        <v>238</v>
      </c>
      <c r="I495" t="str">
        <f>HYPERLINK("http://www.ncbi.nlm.nih.gov/protein/NXW56789.1","ANDR protein")</f>
        <v>ANDR protein</v>
      </c>
      <c r="J495">
        <v>730.32</v>
      </c>
      <c r="K495" t="s">
        <v>25</v>
      </c>
      <c r="L495">
        <v>157</v>
      </c>
      <c r="M495">
        <v>44.41</v>
      </c>
      <c r="N495">
        <v>38.880000000000003</v>
      </c>
      <c r="O495" t="s">
        <v>20</v>
      </c>
      <c r="P495" t="s">
        <v>965</v>
      </c>
      <c r="Q495" t="s">
        <v>20</v>
      </c>
      <c r="R495" t="str">
        <f>HYPERLINK("https://cfpub.epa.gov/ecotox/explore.cfm?ncbi=325343","Explore in ECOTOX")</f>
        <v>Explore in ECOTOX</v>
      </c>
    </row>
    <row r="496" spans="1:18" x14ac:dyDescent="0.25">
      <c r="A496">
        <v>6</v>
      </c>
      <c r="B496" t="str">
        <f>HYPERLINK("http://www.ncbi.nlm.nih.gov/protein/AME29416.1","AME29416.1")</f>
        <v>AME29416.1</v>
      </c>
      <c r="C496">
        <v>139</v>
      </c>
      <c r="D496" t="str">
        <f>HYPERLINK("http://www.ncbi.nlm.nih.gov/Taxonomy/Browser/wwwtax.cgi?mode=Info&amp;id=9495&amp;lvl=3&amp;lin=f&amp;keep=1&amp;srchmode=1&amp;unlock","9495")</f>
        <v>9495</v>
      </c>
      <c r="E496" t="s">
        <v>18</v>
      </c>
      <c r="F496" t="s">
        <v>18</v>
      </c>
      <c r="G496" t="str">
        <f>HYPERLINK("http://www.ncbi.nlm.nih.gov/Taxonomy/Browser/wwwtax.cgi?mode=Info&amp;id=9495&amp;lvl=3&amp;lin=f&amp;keep=1&amp;srchmode=1&amp;unlock","Callimico goeldii")</f>
        <v>Callimico goeldii</v>
      </c>
      <c r="H496" t="s">
        <v>992</v>
      </c>
      <c r="I496" t="str">
        <f>HYPERLINK("http://www.ncbi.nlm.nih.gov/protein/AME29416.1","androgen receptor, partial")</f>
        <v>androgen receptor, partial</v>
      </c>
      <c r="J496">
        <v>729.94</v>
      </c>
      <c r="K496" t="s">
        <v>25</v>
      </c>
      <c r="L496">
        <v>157</v>
      </c>
      <c r="M496">
        <v>44.41</v>
      </c>
      <c r="N496">
        <v>38.86</v>
      </c>
      <c r="O496" t="s">
        <v>20</v>
      </c>
      <c r="P496" t="s">
        <v>965</v>
      </c>
      <c r="Q496" t="s">
        <v>20</v>
      </c>
      <c r="R496" t="str">
        <f>HYPERLINK("https://cfpub.epa.gov/ecotox/explore.cfm?ncbi=9495","Explore in ECOTOX")</f>
        <v>Explore in ECOTOX</v>
      </c>
    </row>
    <row r="497" spans="1:18" x14ac:dyDescent="0.25">
      <c r="A497">
        <v>6</v>
      </c>
      <c r="B497" t="str">
        <f>HYPERLINK("http://www.ncbi.nlm.nih.gov/protein/AME29414.1","AME29414.1")</f>
        <v>AME29414.1</v>
      </c>
      <c r="C497">
        <v>63</v>
      </c>
      <c r="D497" t="str">
        <f>HYPERLINK("http://www.ncbi.nlm.nih.gov/Taxonomy/Browser/wwwtax.cgi?mode=Info&amp;id=30586&amp;lvl=3&amp;lin=f&amp;keep=1&amp;srchmode=1&amp;unlock","30586")</f>
        <v>30586</v>
      </c>
      <c r="E497" t="s">
        <v>18</v>
      </c>
      <c r="F497" t="s">
        <v>18</v>
      </c>
      <c r="G497" t="str">
        <f>HYPERLINK("http://www.ncbi.nlm.nih.gov/Taxonomy/Browser/wwwtax.cgi?mode=Info&amp;id=30586&amp;lvl=3&amp;lin=f&amp;keep=1&amp;srchmode=1&amp;unlock","Saguinus midas")</f>
        <v>Saguinus midas</v>
      </c>
      <c r="H497" t="s">
        <v>993</v>
      </c>
      <c r="I497" t="str">
        <f>HYPERLINK("http://www.ncbi.nlm.nih.gov/protein/AME29414.1","androgen receptor, partial")</f>
        <v>androgen receptor, partial</v>
      </c>
      <c r="J497">
        <v>729.94</v>
      </c>
      <c r="K497" t="s">
        <v>25</v>
      </c>
      <c r="L497">
        <v>157</v>
      </c>
      <c r="M497">
        <v>44.41</v>
      </c>
      <c r="N497">
        <v>38.86</v>
      </c>
      <c r="O497" t="s">
        <v>20</v>
      </c>
      <c r="P497" t="s">
        <v>965</v>
      </c>
      <c r="Q497" t="s">
        <v>20</v>
      </c>
      <c r="R497" t="str">
        <f>HYPERLINK("https://cfpub.epa.gov/ecotox/explore.cfm?ncbi=30586","Explore in ECOTOX")</f>
        <v>Explore in ECOTOX</v>
      </c>
    </row>
    <row r="498" spans="1:18" x14ac:dyDescent="0.25">
      <c r="A498">
        <v>6</v>
      </c>
      <c r="B498" t="str">
        <f>HYPERLINK("http://www.ncbi.nlm.nih.gov/protein/XP_037368210.1","XP_037368210.1")</f>
        <v>XP_037368210.1</v>
      </c>
      <c r="C498">
        <v>39570</v>
      </c>
      <c r="D498" t="str">
        <f>HYPERLINK("http://www.ncbi.nlm.nih.gov/Taxonomy/Browser/wwwtax.cgi?mode=Info&amp;id=50954&amp;lvl=3&amp;lin=f&amp;keep=1&amp;srchmode=1&amp;unlock","50954")</f>
        <v>50954</v>
      </c>
      <c r="E498" t="s">
        <v>18</v>
      </c>
      <c r="F498" t="s">
        <v>18</v>
      </c>
      <c r="G498" t="str">
        <f>HYPERLINK("http://www.ncbi.nlm.nih.gov/Taxonomy/Browser/wwwtax.cgi?mode=Info&amp;id=50954&amp;lvl=3&amp;lin=f&amp;keep=1&amp;srchmode=1&amp;unlock","Talpa occidentalis")</f>
        <v>Talpa occidentalis</v>
      </c>
      <c r="H498" t="s">
        <v>143</v>
      </c>
      <c r="I498" t="str">
        <f>HYPERLINK("http://www.ncbi.nlm.nih.gov/protein/XP_037368210.1","androgen receptor-like")</f>
        <v>androgen receptor-like</v>
      </c>
      <c r="J498">
        <v>718.38</v>
      </c>
      <c r="K498" t="s">
        <v>25</v>
      </c>
      <c r="L498">
        <v>157</v>
      </c>
      <c r="M498">
        <v>44.41</v>
      </c>
      <c r="N498">
        <v>38.24</v>
      </c>
      <c r="O498" t="s">
        <v>20</v>
      </c>
      <c r="P498" t="s">
        <v>965</v>
      </c>
      <c r="Q498" t="s">
        <v>20</v>
      </c>
      <c r="R498" t="str">
        <f>HYPERLINK("https://cfpub.epa.gov/ecotox/explore.cfm?ncbi=50954","Explore in ECOTOX")</f>
        <v>Explore in ECOTOX</v>
      </c>
    </row>
    <row r="499" spans="1:18" x14ac:dyDescent="0.25">
      <c r="A499">
        <v>6</v>
      </c>
      <c r="B499" t="str">
        <f>HYPERLINK("http://www.ncbi.nlm.nih.gov/protein/XP_035960286.1","XP_035960286.1")</f>
        <v>XP_035960286.1</v>
      </c>
      <c r="C499">
        <v>60330</v>
      </c>
      <c r="D499" t="str">
        <f>HYPERLINK("http://www.ncbi.nlm.nih.gov/Taxonomy/Browser/wwwtax.cgi?mode=Info&amp;id=9711&amp;lvl=3&amp;lin=f&amp;keep=1&amp;srchmode=1&amp;unlock","9711")</f>
        <v>9711</v>
      </c>
      <c r="E499" t="s">
        <v>18</v>
      </c>
      <c r="F499" t="s">
        <v>18</v>
      </c>
      <c r="G499" t="str">
        <f>HYPERLINK("http://www.ncbi.nlm.nih.gov/Taxonomy/Browser/wwwtax.cgi?mode=Info&amp;id=9711&amp;lvl=3&amp;lin=f&amp;keep=1&amp;srchmode=1&amp;unlock","Halichoerus grypus")</f>
        <v>Halichoerus grypus</v>
      </c>
      <c r="H499" t="s">
        <v>68</v>
      </c>
      <c r="I499" t="str">
        <f>HYPERLINK("http://www.ncbi.nlm.nih.gov/protein/XP_035960286.1","androgen receptor-like")</f>
        <v>androgen receptor-like</v>
      </c>
      <c r="J499">
        <v>712.61</v>
      </c>
      <c r="K499" t="s">
        <v>25</v>
      </c>
      <c r="L499">
        <v>157</v>
      </c>
      <c r="M499">
        <v>44.41</v>
      </c>
      <c r="N499">
        <v>37.93</v>
      </c>
      <c r="O499" t="s">
        <v>20</v>
      </c>
      <c r="P499" t="s">
        <v>965</v>
      </c>
      <c r="Q499" t="s">
        <v>20</v>
      </c>
      <c r="R499" t="str">
        <f>HYPERLINK("https://cfpub.epa.gov/ecotox/explore.cfm?ncbi=9711","Explore in ECOTOX")</f>
        <v>Explore in ECOTOX</v>
      </c>
    </row>
    <row r="500" spans="1:18" x14ac:dyDescent="0.25">
      <c r="A500">
        <v>6</v>
      </c>
      <c r="B500" t="str">
        <f>HYPERLINK("http://www.ncbi.nlm.nih.gov/protein/NXI03838.1","NXI03838.1")</f>
        <v>NXI03838.1</v>
      </c>
      <c r="C500">
        <v>13430</v>
      </c>
      <c r="D500" t="str">
        <f>HYPERLINK("http://www.ncbi.nlm.nih.gov/Taxonomy/Browser/wwwtax.cgi?mode=Info&amp;id=449367&amp;lvl=3&amp;lin=f&amp;keep=1&amp;srchmode=1&amp;unlock","449367")</f>
        <v>449367</v>
      </c>
      <c r="E500" t="s">
        <v>167</v>
      </c>
      <c r="F500" t="s">
        <v>167</v>
      </c>
      <c r="G500" t="str">
        <f>HYPERLINK("http://www.ncbi.nlm.nih.gov/Taxonomy/Browser/wwwtax.cgi?mode=Info&amp;id=449367&amp;lvl=3&amp;lin=f&amp;keep=1&amp;srchmode=1&amp;unlock","Pachycephala philippinensis")</f>
        <v>Pachycephala philippinensis</v>
      </c>
      <c r="H500" t="s">
        <v>309</v>
      </c>
      <c r="I500" t="str">
        <f>HYPERLINK("http://www.ncbi.nlm.nih.gov/protein/NXI03838.1","ANDR protein")</f>
        <v>ANDR protein</v>
      </c>
      <c r="J500">
        <v>711.06</v>
      </c>
      <c r="K500" t="s">
        <v>25</v>
      </c>
      <c r="L500">
        <v>157</v>
      </c>
      <c r="M500">
        <v>44.41</v>
      </c>
      <c r="N500">
        <v>37.85</v>
      </c>
      <c r="O500" t="s">
        <v>20</v>
      </c>
      <c r="P500" t="s">
        <v>965</v>
      </c>
      <c r="Q500" t="s">
        <v>20</v>
      </c>
      <c r="R500" t="str">
        <f>HYPERLINK("https://cfpub.epa.gov/ecotox/explore.cfm?ncbi=449367","Explore in ECOTOX")</f>
        <v>Explore in ECOTOX</v>
      </c>
    </row>
    <row r="501" spans="1:18" x14ac:dyDescent="0.25">
      <c r="A501">
        <v>6</v>
      </c>
      <c r="B501" t="str">
        <f>HYPERLINK("http://www.ncbi.nlm.nih.gov/protein/XP_008526172.1","XP_008526172.1")</f>
        <v>XP_008526172.1</v>
      </c>
      <c r="C501">
        <v>38543</v>
      </c>
      <c r="D501" t="str">
        <f>HYPERLINK("http://www.ncbi.nlm.nih.gov/Taxonomy/Browser/wwwtax.cgi?mode=Info&amp;id=9798&amp;lvl=3&amp;lin=f&amp;keep=1&amp;srchmode=1&amp;unlock","9798")</f>
        <v>9798</v>
      </c>
      <c r="E501" t="s">
        <v>18</v>
      </c>
      <c r="F501" t="s">
        <v>18</v>
      </c>
      <c r="G501" t="str">
        <f>HYPERLINK("http://www.ncbi.nlm.nih.gov/Taxonomy/Browser/wwwtax.cgi?mode=Info&amp;id=9798&amp;lvl=3&amp;lin=f&amp;keep=1&amp;srchmode=1&amp;unlock","Equus przewalskii")</f>
        <v>Equus przewalskii</v>
      </c>
      <c r="H501" t="s">
        <v>382</v>
      </c>
      <c r="I501" t="str">
        <f>HYPERLINK("http://www.ncbi.nlm.nih.gov/protein/XP_008526172.1","PREDICTED: androgen receptor-like")</f>
        <v>PREDICTED: androgen receptor-like</v>
      </c>
      <c r="J501">
        <v>709.52</v>
      </c>
      <c r="K501" t="s">
        <v>25</v>
      </c>
      <c r="L501">
        <v>157</v>
      </c>
      <c r="M501">
        <v>44.41</v>
      </c>
      <c r="N501">
        <v>37.770000000000003</v>
      </c>
      <c r="O501" t="s">
        <v>20</v>
      </c>
      <c r="P501" t="s">
        <v>965</v>
      </c>
      <c r="Q501" t="s">
        <v>20</v>
      </c>
      <c r="R501" t="str">
        <f>HYPERLINK("https://cfpub.epa.gov/ecotox/explore.cfm?ncbi=9798","Explore in ECOTOX")</f>
        <v>Explore in ECOTOX</v>
      </c>
    </row>
    <row r="502" spans="1:18" x14ac:dyDescent="0.25">
      <c r="A502">
        <v>6</v>
      </c>
      <c r="B502" t="str">
        <f>HYPERLINK("http://www.ncbi.nlm.nih.gov/protein/TRZ08387.1","TRZ08387.1")</f>
        <v>TRZ08387.1</v>
      </c>
      <c r="C502">
        <v>22654</v>
      </c>
      <c r="D502" t="str">
        <f>HYPERLINK("http://www.ncbi.nlm.nih.gov/Taxonomy/Browser/wwwtax.cgi?mode=Info&amp;id=364589&amp;lvl=3&amp;lin=f&amp;keep=1&amp;srchmode=1&amp;unlock","364589")</f>
        <v>364589</v>
      </c>
      <c r="E502" t="s">
        <v>167</v>
      </c>
      <c r="F502" t="s">
        <v>167</v>
      </c>
      <c r="G502" t="str">
        <f>HYPERLINK("http://www.ncbi.nlm.nih.gov/Taxonomy/Browser/wwwtax.cgi?mode=Info&amp;id=364589&amp;lvl=3&amp;lin=f&amp;keep=1&amp;srchmode=1&amp;unlock","Zosterops borbonicus")</f>
        <v>Zosterops borbonicus</v>
      </c>
      <c r="H502" t="s">
        <v>449</v>
      </c>
      <c r="I502" t="str">
        <f>HYPERLINK("http://www.ncbi.nlm.nih.gov/protein/TRZ08387.1","hypothetical protein HGM15179_018721, partial")</f>
        <v>hypothetical protein HGM15179_018721, partial</v>
      </c>
      <c r="J502">
        <v>698.35</v>
      </c>
      <c r="K502" t="s">
        <v>25</v>
      </c>
      <c r="L502">
        <v>157</v>
      </c>
      <c r="M502">
        <v>44.41</v>
      </c>
      <c r="N502">
        <v>37.17</v>
      </c>
      <c r="O502" t="s">
        <v>20</v>
      </c>
      <c r="P502" t="s">
        <v>965</v>
      </c>
      <c r="Q502" t="s">
        <v>20</v>
      </c>
      <c r="R502" t="str">
        <f>HYPERLINK("https://cfpub.epa.gov/ecotox/explore.cfm?ncbi=364589","Explore in ECOTOX")</f>
        <v>Explore in ECOTOX</v>
      </c>
    </row>
    <row r="503" spans="1:18" x14ac:dyDescent="0.25">
      <c r="A503">
        <v>6</v>
      </c>
      <c r="B503" t="str">
        <f>HYPERLINK("http://www.ncbi.nlm.nih.gov/protein/NXP93640.1","NXP93640.1")</f>
        <v>NXP93640.1</v>
      </c>
      <c r="C503">
        <v>13042</v>
      </c>
      <c r="D503" t="str">
        <f>HYPERLINK("http://www.ncbi.nlm.nih.gov/Taxonomy/Browser/wwwtax.cgi?mode=Info&amp;id=142471&amp;lvl=3&amp;lin=f&amp;keep=1&amp;srchmode=1&amp;unlock","142471")</f>
        <v>142471</v>
      </c>
      <c r="E503" t="s">
        <v>167</v>
      </c>
      <c r="F503" t="s">
        <v>167</v>
      </c>
      <c r="G503" t="str">
        <f>HYPERLINK("http://www.ncbi.nlm.nih.gov/Taxonomy/Browser/wwwtax.cgi?mode=Info&amp;id=142471&amp;lvl=3&amp;lin=f&amp;keep=1&amp;srchmode=1&amp;unlock","Passerina amoena")</f>
        <v>Passerina amoena</v>
      </c>
      <c r="H503" t="s">
        <v>206</v>
      </c>
      <c r="I503" t="str">
        <f>HYPERLINK("http://www.ncbi.nlm.nih.gov/protein/NXP93640.1","ANDR protein")</f>
        <v>ANDR protein</v>
      </c>
      <c r="J503">
        <v>696.04</v>
      </c>
      <c r="K503" t="s">
        <v>25</v>
      </c>
      <c r="L503">
        <v>157</v>
      </c>
      <c r="M503">
        <v>44.41</v>
      </c>
      <c r="N503">
        <v>37.049999999999997</v>
      </c>
      <c r="O503" t="s">
        <v>20</v>
      </c>
      <c r="P503" t="s">
        <v>965</v>
      </c>
      <c r="Q503" t="s">
        <v>20</v>
      </c>
      <c r="R503" t="str">
        <f>HYPERLINK("https://cfpub.epa.gov/ecotox/explore.cfm?ncbi=142471","Explore in ECOTOX")</f>
        <v>Explore in ECOTOX</v>
      </c>
    </row>
    <row r="504" spans="1:18" x14ac:dyDescent="0.25">
      <c r="A504">
        <v>6</v>
      </c>
      <c r="B504" t="str">
        <f>HYPERLINK("http://www.ncbi.nlm.nih.gov/protein/XP_021482974.1","XP_021482974.1")</f>
        <v>XP_021482974.1</v>
      </c>
      <c r="C504">
        <v>39125</v>
      </c>
      <c r="D504" t="str">
        <f>HYPERLINK("http://www.ncbi.nlm.nih.gov/Taxonomy/Browser/wwwtax.cgi?mode=Info&amp;id=10047&amp;lvl=3&amp;lin=f&amp;keep=1&amp;srchmode=1&amp;unlock","10047")</f>
        <v>10047</v>
      </c>
      <c r="E504" t="s">
        <v>18</v>
      </c>
      <c r="F504" t="s">
        <v>18</v>
      </c>
      <c r="G504" t="str">
        <f>HYPERLINK("http://www.ncbi.nlm.nih.gov/Taxonomy/Browser/wwwtax.cgi?mode=Info&amp;id=10047&amp;lvl=3&amp;lin=f&amp;keep=1&amp;srchmode=1&amp;unlock","Meriones unguiculatus")</f>
        <v>Meriones unguiculatus</v>
      </c>
      <c r="H504" t="s">
        <v>148</v>
      </c>
      <c r="I504" t="str">
        <f>HYPERLINK("http://www.ncbi.nlm.nih.gov/protein/XP_021482974.1","androgen receptor, partial")</f>
        <v>androgen receptor, partial</v>
      </c>
      <c r="J504">
        <v>687.95</v>
      </c>
      <c r="K504" t="s">
        <v>25</v>
      </c>
      <c r="L504">
        <v>157</v>
      </c>
      <c r="M504">
        <v>44.41</v>
      </c>
      <c r="N504">
        <v>36.619999999999997</v>
      </c>
      <c r="O504" t="s">
        <v>20</v>
      </c>
      <c r="P504" t="s">
        <v>965</v>
      </c>
      <c r="Q504" t="s">
        <v>20</v>
      </c>
      <c r="R504" t="str">
        <f>HYPERLINK("https://cfpub.epa.gov/ecotox/explore.cfm?ncbi=10047","Explore in ECOTOX")</f>
        <v>Explore in ECOTOX</v>
      </c>
    </row>
    <row r="505" spans="1:18" x14ac:dyDescent="0.25">
      <c r="A505">
        <v>6</v>
      </c>
      <c r="B505" t="str">
        <f>HYPERLINK("http://www.ncbi.nlm.nih.gov/protein/CAF5214857.1","CAF5214857.1")</f>
        <v>CAF5214857.1</v>
      </c>
      <c r="C505">
        <v>52243</v>
      </c>
      <c r="D505" t="str">
        <f>HYPERLINK("http://www.ncbi.nlm.nih.gov/Taxonomy/Browser/wwwtax.cgi?mode=Info&amp;id=111125&amp;lvl=3&amp;lin=f&amp;keep=1&amp;srchmode=1&amp;unlock","111125")</f>
        <v>111125</v>
      </c>
      <c r="E505" t="s">
        <v>134</v>
      </c>
      <c r="F505" t="s">
        <v>134</v>
      </c>
      <c r="G505" t="str">
        <f>HYPERLINK("http://www.ncbi.nlm.nih.gov/Taxonomy/Browser/wwwtax.cgi?mode=Info&amp;id=111125&amp;lvl=3&amp;lin=f&amp;keep=1&amp;srchmode=1&amp;unlock","Ranitomeya imitator")</f>
        <v>Ranitomeya imitator</v>
      </c>
      <c r="H505" t="s">
        <v>135</v>
      </c>
      <c r="I505" t="str">
        <f>HYPERLINK("http://www.ncbi.nlm.nih.gov/protein/CAF5214857.1","unnamed protein product")</f>
        <v>unnamed protein product</v>
      </c>
      <c r="J505">
        <v>683.72</v>
      </c>
      <c r="K505" t="s">
        <v>25</v>
      </c>
      <c r="L505">
        <v>157</v>
      </c>
      <c r="M505">
        <v>44.41</v>
      </c>
      <c r="N505">
        <v>36.39</v>
      </c>
      <c r="O505" t="s">
        <v>20</v>
      </c>
      <c r="P505" t="s">
        <v>965</v>
      </c>
      <c r="Q505" t="s">
        <v>20</v>
      </c>
      <c r="R505" t="str">
        <f>HYPERLINK("https://cfpub.epa.gov/ecotox/explore.cfm?ncbi=111125","Explore in ECOTOX")</f>
        <v>Explore in ECOTOX</v>
      </c>
    </row>
    <row r="506" spans="1:18" x14ac:dyDescent="0.25">
      <c r="A506">
        <v>6</v>
      </c>
      <c r="B506" t="str">
        <f>HYPERLINK("http://www.ncbi.nlm.nih.gov/protein/KAF7478673.1","KAF7478673.1")</f>
        <v>KAF7478673.1</v>
      </c>
      <c r="C506">
        <v>69383</v>
      </c>
      <c r="D506" t="str">
        <f>HYPERLINK("http://www.ncbi.nlm.nih.gov/Taxonomy/Browser/wwwtax.cgi?mode=Info&amp;id=9995&amp;lvl=3&amp;lin=f&amp;keep=1&amp;srchmode=1&amp;unlock","9995")</f>
        <v>9995</v>
      </c>
      <c r="E506" t="s">
        <v>18</v>
      </c>
      <c r="F506" t="s">
        <v>18</v>
      </c>
      <c r="G506" t="str">
        <f>HYPERLINK("http://www.ncbi.nlm.nih.gov/Taxonomy/Browser/wwwtax.cgi?mode=Info&amp;id=9995&amp;lvl=3&amp;lin=f&amp;keep=1&amp;srchmode=1&amp;unlock","Marmota monax")</f>
        <v>Marmota monax</v>
      </c>
      <c r="H506" t="s">
        <v>80</v>
      </c>
      <c r="I506" t="str">
        <f>HYPERLINK("http://www.ncbi.nlm.nih.gov/protein/KAF7478673.1","hypothetical protein GHT09_010161")</f>
        <v>hypothetical protein GHT09_010161</v>
      </c>
      <c r="J506">
        <v>679.48</v>
      </c>
      <c r="K506" t="s">
        <v>25</v>
      </c>
      <c r="L506">
        <v>157</v>
      </c>
      <c r="M506">
        <v>44.41</v>
      </c>
      <c r="N506">
        <v>36.17</v>
      </c>
      <c r="O506" t="s">
        <v>20</v>
      </c>
      <c r="P506" t="s">
        <v>965</v>
      </c>
      <c r="Q506" t="s">
        <v>20</v>
      </c>
      <c r="R506" t="str">
        <f>HYPERLINK("https://cfpub.epa.gov/ecotox/explore.cfm?ncbi=9995","Explore in ECOTOX")</f>
        <v>Explore in ECOTOX</v>
      </c>
    </row>
    <row r="507" spans="1:18" x14ac:dyDescent="0.25">
      <c r="A507">
        <v>6</v>
      </c>
      <c r="B507" t="str">
        <f>HYPERLINK("http://www.ncbi.nlm.nih.gov/protein/CCP19126.1","CCP19126.1")</f>
        <v>CCP19126.1</v>
      </c>
      <c r="C507">
        <v>237</v>
      </c>
      <c r="D507" t="str">
        <f>HYPERLINK("http://www.ncbi.nlm.nih.gov/Taxonomy/Browser/wwwtax.cgi?mode=Info&amp;id=106881&amp;lvl=3&amp;lin=f&amp;keep=1&amp;srchmode=1&amp;unlock","106881")</f>
        <v>106881</v>
      </c>
      <c r="E507" t="s">
        <v>646</v>
      </c>
      <c r="F507" t="s">
        <v>646</v>
      </c>
      <c r="G507" t="str">
        <f>HYPERLINK("http://www.ncbi.nlm.nih.gov/Taxonomy/Browser/wwwtax.cgi?mode=Info&amp;id=106881&amp;lvl=3&amp;lin=f&amp;keep=1&amp;srchmode=1&amp;unlock","Latimeria menadoensis")</f>
        <v>Latimeria menadoensis</v>
      </c>
      <c r="H507" t="s">
        <v>994</v>
      </c>
      <c r="I507" t="str">
        <f>HYPERLINK("http://www.ncbi.nlm.nih.gov/protein/CCP19126.1","androgen receptor, partial")</f>
        <v>androgen receptor, partial</v>
      </c>
      <c r="J507">
        <v>674.47</v>
      </c>
      <c r="K507" t="s">
        <v>25</v>
      </c>
      <c r="L507">
        <v>157</v>
      </c>
      <c r="M507">
        <v>44.41</v>
      </c>
      <c r="N507">
        <v>35.9</v>
      </c>
      <c r="O507" t="s">
        <v>25</v>
      </c>
      <c r="P507" t="s">
        <v>965</v>
      </c>
      <c r="Q507" t="s">
        <v>20</v>
      </c>
      <c r="R507" t="str">
        <f>HYPERLINK("https://cfpub.epa.gov/ecotox/explore.cfm?ncbi=106881","Explore in ECOTOX")</f>
        <v>Explore in ECOTOX</v>
      </c>
    </row>
    <row r="508" spans="1:18" x14ac:dyDescent="0.25">
      <c r="A508">
        <v>6</v>
      </c>
      <c r="B508" t="str">
        <f>HYPERLINK("http://www.ncbi.nlm.nih.gov/protein/BAM10999.1","BAM10999.1")</f>
        <v>BAM10999.1</v>
      </c>
      <c r="C508">
        <v>137</v>
      </c>
      <c r="D508" t="str">
        <f>HYPERLINK("http://www.ncbi.nlm.nih.gov/Taxonomy/Browser/wwwtax.cgi?mode=Info&amp;id=191197&amp;lvl=3&amp;lin=f&amp;keep=1&amp;srchmode=1&amp;unlock","191197")</f>
        <v>191197</v>
      </c>
      <c r="E508" t="s">
        <v>134</v>
      </c>
      <c r="F508" t="s">
        <v>134</v>
      </c>
      <c r="G508" t="str">
        <f>HYPERLINK("http://www.ncbi.nlm.nih.gov/Taxonomy/Browser/wwwtax.cgi?mode=Info&amp;id=191197&amp;lvl=3&amp;lin=f&amp;keep=1&amp;srchmode=1&amp;unlock","Buergeria buergeri")</f>
        <v>Buergeria buergeri</v>
      </c>
      <c r="H508" t="s">
        <v>995</v>
      </c>
      <c r="I508" t="str">
        <f>HYPERLINK("http://www.ncbi.nlm.nih.gov/protein/BAM10999.1","androgen receptor, partial")</f>
        <v>androgen receptor, partial</v>
      </c>
      <c r="J508">
        <v>667.54</v>
      </c>
      <c r="K508" t="s">
        <v>25</v>
      </c>
      <c r="L508">
        <v>157</v>
      </c>
      <c r="M508">
        <v>44.41</v>
      </c>
      <c r="N508">
        <v>35.53</v>
      </c>
      <c r="O508" t="s">
        <v>20</v>
      </c>
      <c r="P508" t="s">
        <v>965</v>
      </c>
      <c r="Q508" t="s">
        <v>20</v>
      </c>
      <c r="R508" t="str">
        <f>HYPERLINK("https://cfpub.epa.gov/ecotox/explore.cfm?ncbi=191197","Explore in ECOTOX")</f>
        <v>Explore in ECOTOX</v>
      </c>
    </row>
    <row r="509" spans="1:18" x14ac:dyDescent="0.25">
      <c r="A509">
        <v>6</v>
      </c>
      <c r="B509" t="str">
        <f>HYPERLINK("http://www.ncbi.nlm.nih.gov/protein/XP_009638408.1","XP_009638408.1")</f>
        <v>XP_009638408.1</v>
      </c>
      <c r="C509">
        <v>37431</v>
      </c>
      <c r="D509" t="str">
        <f>HYPERLINK("http://www.ncbi.nlm.nih.gov/Taxonomy/Browser/wwwtax.cgi?mode=Info&amp;id=188379&amp;lvl=3&amp;lin=f&amp;keep=1&amp;srchmode=1&amp;unlock","188379")</f>
        <v>188379</v>
      </c>
      <c r="E509" t="s">
        <v>167</v>
      </c>
      <c r="F509" t="s">
        <v>167</v>
      </c>
      <c r="G509" t="str">
        <f>HYPERLINK("http://www.ncbi.nlm.nih.gov/Taxonomy/Browser/wwwtax.cgi?mode=Info&amp;id=188379&amp;lvl=3&amp;lin=f&amp;keep=1&amp;srchmode=1&amp;unlock","Egretta garzetta")</f>
        <v>Egretta garzetta</v>
      </c>
      <c r="H509" t="s">
        <v>285</v>
      </c>
      <c r="I509" t="str">
        <f>HYPERLINK("http://www.ncbi.nlm.nih.gov/protein/XP_009638408.1","LOW QUALITY PROTEIN: androgen receptor")</f>
        <v>LOW QUALITY PROTEIN: androgen receptor</v>
      </c>
      <c r="J509">
        <v>661.76</v>
      </c>
      <c r="K509" t="s">
        <v>25</v>
      </c>
      <c r="L509">
        <v>157</v>
      </c>
      <c r="M509">
        <v>44.41</v>
      </c>
      <c r="N509">
        <v>35.229999999999997</v>
      </c>
      <c r="O509" t="s">
        <v>20</v>
      </c>
      <c r="P509" t="s">
        <v>965</v>
      </c>
      <c r="Q509" t="s">
        <v>20</v>
      </c>
      <c r="R509" t="str">
        <f>HYPERLINK("https://cfpub.epa.gov/ecotox/explore.cfm?ncbi=188379","Explore in ECOTOX")</f>
        <v>Explore in ECOTOX</v>
      </c>
    </row>
    <row r="510" spans="1:18" x14ac:dyDescent="0.25">
      <c r="A510">
        <v>6</v>
      </c>
      <c r="B510" t="str">
        <f>HYPERLINK("http://www.ncbi.nlm.nih.gov/protein/MBN3318739.1","MBN3318739.1")</f>
        <v>MBN3318739.1</v>
      </c>
      <c r="C510">
        <v>15567</v>
      </c>
      <c r="D510" t="str">
        <f>HYPERLINK("http://www.ncbi.nlm.nih.gov/Taxonomy/Browser/wwwtax.cgi?mode=Info&amp;id=7917&amp;lvl=3&amp;lin=f&amp;keep=1&amp;srchmode=1&amp;unlock","7917")</f>
        <v>7917</v>
      </c>
      <c r="E510" t="s">
        <v>384</v>
      </c>
      <c r="F510" t="s">
        <v>384</v>
      </c>
      <c r="G510" t="str">
        <f>HYPERLINK("http://www.ncbi.nlm.nih.gov/Taxonomy/Browser/wwwtax.cgi?mode=Info&amp;id=7917&amp;lvl=3&amp;lin=f&amp;keep=1&amp;srchmode=1&amp;unlock","Atractosteus spatula")</f>
        <v>Atractosteus spatula</v>
      </c>
      <c r="H510" t="s">
        <v>632</v>
      </c>
      <c r="I510" t="str">
        <f>HYPERLINK("http://www.ncbi.nlm.nih.gov/protein/MBN3318739.1","ANDR protein")</f>
        <v>ANDR protein</v>
      </c>
      <c r="J510">
        <v>656.37</v>
      </c>
      <c r="K510" t="s">
        <v>25</v>
      </c>
      <c r="L510">
        <v>157</v>
      </c>
      <c r="M510">
        <v>44.41</v>
      </c>
      <c r="N510">
        <v>34.94</v>
      </c>
      <c r="O510" t="s">
        <v>25</v>
      </c>
      <c r="P510" t="s">
        <v>965</v>
      </c>
      <c r="Q510" t="s">
        <v>20</v>
      </c>
      <c r="R510" t="str">
        <f>HYPERLINK("https://cfpub.epa.gov/ecotox/explore.cfm?ncbi=7917","Explore in ECOTOX")</f>
        <v>Explore in ECOTOX</v>
      </c>
    </row>
    <row r="511" spans="1:18" x14ac:dyDescent="0.25">
      <c r="A511">
        <v>6</v>
      </c>
      <c r="B511" t="str">
        <f>HYPERLINK("http://www.ncbi.nlm.nih.gov/protein/XP_037978951.1","XP_037978951.1")</f>
        <v>XP_037978951.1</v>
      </c>
      <c r="C511">
        <v>42237</v>
      </c>
      <c r="D511" t="str">
        <f>HYPERLINK("http://www.ncbi.nlm.nih.gov/Taxonomy/Browser/wwwtax.cgi?mode=Info&amp;id=1094192&amp;lvl=3&amp;lin=f&amp;keep=1&amp;srchmode=1&amp;unlock","1094192")</f>
        <v>1094192</v>
      </c>
      <c r="E511" t="s">
        <v>167</v>
      </c>
      <c r="F511" t="s">
        <v>167</v>
      </c>
      <c r="G511" t="str">
        <f>HYPERLINK("http://www.ncbi.nlm.nih.gov/Taxonomy/Browser/wwwtax.cgi?mode=Info&amp;id=1094192&amp;lvl=3&amp;lin=f&amp;keep=1&amp;srchmode=1&amp;unlock","Motacilla alba alba")</f>
        <v>Motacilla alba alba</v>
      </c>
      <c r="H511" t="s">
        <v>450</v>
      </c>
      <c r="I511" t="str">
        <f>HYPERLINK("http://www.ncbi.nlm.nih.gov/protein/XP_037978951.1","androgen receptor-like, partial")</f>
        <v>androgen receptor-like, partial</v>
      </c>
      <c r="J511">
        <v>649.82000000000005</v>
      </c>
      <c r="K511" t="s">
        <v>25</v>
      </c>
      <c r="L511">
        <v>157</v>
      </c>
      <c r="M511">
        <v>44.41</v>
      </c>
      <c r="N511">
        <v>34.590000000000003</v>
      </c>
      <c r="O511" t="s">
        <v>20</v>
      </c>
      <c r="P511" t="s">
        <v>965</v>
      </c>
      <c r="Q511" t="s">
        <v>20</v>
      </c>
      <c r="R511" t="str">
        <f>HYPERLINK("https://cfpub.epa.gov/ecotox/explore.cfm?ncbi=1094192","Explore in ECOTOX")</f>
        <v>Explore in ECOTOX</v>
      </c>
    </row>
    <row r="512" spans="1:18" x14ac:dyDescent="0.25">
      <c r="A512">
        <v>6</v>
      </c>
      <c r="B512" t="str">
        <f>HYPERLINK("http://www.ncbi.nlm.nih.gov/protein/OXB79573.1","OXB79573.1")</f>
        <v>OXB79573.1</v>
      </c>
      <c r="C512">
        <v>17233</v>
      </c>
      <c r="D512" t="str">
        <f>HYPERLINK("http://www.ncbi.nlm.nih.gov/Taxonomy/Browser/wwwtax.cgi?mode=Info&amp;id=9014&amp;lvl=3&amp;lin=f&amp;keep=1&amp;srchmode=1&amp;unlock","9014")</f>
        <v>9014</v>
      </c>
      <c r="E512" t="s">
        <v>167</v>
      </c>
      <c r="F512" t="s">
        <v>167</v>
      </c>
      <c r="G512" t="str">
        <f>HYPERLINK("http://www.ncbi.nlm.nih.gov/Taxonomy/Browser/wwwtax.cgi?mode=Info&amp;id=9014&amp;lvl=3&amp;lin=f&amp;keep=1&amp;srchmode=1&amp;unlock","Colinus virginianus")</f>
        <v>Colinus virginianus</v>
      </c>
      <c r="H512" t="s">
        <v>634</v>
      </c>
      <c r="I512" t="str">
        <f>HYPERLINK("http://www.ncbi.nlm.nih.gov/protein/OXB79573.1","hypothetical protein H355_010959")</f>
        <v>hypothetical protein H355_010959</v>
      </c>
      <c r="J512">
        <v>648.28</v>
      </c>
      <c r="K512" t="s">
        <v>25</v>
      </c>
      <c r="L512">
        <v>157</v>
      </c>
      <c r="M512">
        <v>44.41</v>
      </c>
      <c r="N512">
        <v>34.51</v>
      </c>
      <c r="O512" t="s">
        <v>20</v>
      </c>
      <c r="P512" t="s">
        <v>965</v>
      </c>
      <c r="Q512" t="s">
        <v>20</v>
      </c>
      <c r="R512" t="str">
        <f>HYPERLINK("https://cfpub.epa.gov/ecotox/explore.cfm?ncbi=9014","Explore in ECOTOX")</f>
        <v>Explore in ECOTOX</v>
      </c>
    </row>
    <row r="513" spans="1:18" x14ac:dyDescent="0.25">
      <c r="A513">
        <v>6</v>
      </c>
      <c r="B513" t="str">
        <f>HYPERLINK("http://www.ncbi.nlm.nih.gov/protein/XP_009502702.1","XP_009502702.1")</f>
        <v>XP_009502702.1</v>
      </c>
      <c r="C513">
        <v>26157</v>
      </c>
      <c r="D513" t="str">
        <f>HYPERLINK("http://www.ncbi.nlm.nih.gov/Taxonomy/Browser/wwwtax.cgi?mode=Info&amp;id=9209&amp;lvl=3&amp;lin=f&amp;keep=1&amp;srchmode=1&amp;unlock","9209")</f>
        <v>9209</v>
      </c>
      <c r="E513" t="s">
        <v>167</v>
      </c>
      <c r="F513" t="s">
        <v>167</v>
      </c>
      <c r="G513" t="str">
        <f>HYPERLINK("http://www.ncbi.nlm.nih.gov/Taxonomy/Browser/wwwtax.cgi?mode=Info&amp;id=9209&amp;lvl=3&amp;lin=f&amp;keep=1&amp;srchmode=1&amp;unlock","Phalacrocorax carbo")</f>
        <v>Phalacrocorax carbo</v>
      </c>
      <c r="H513" t="s">
        <v>353</v>
      </c>
      <c r="I513" t="str">
        <f>HYPERLINK("http://www.ncbi.nlm.nih.gov/protein/XP_009502702.1","PREDICTED: androgen receptor, partial")</f>
        <v>PREDICTED: androgen receptor, partial</v>
      </c>
      <c r="J513">
        <v>647.89</v>
      </c>
      <c r="K513" t="s">
        <v>25</v>
      </c>
      <c r="L513">
        <v>157</v>
      </c>
      <c r="M513">
        <v>44.41</v>
      </c>
      <c r="N513">
        <v>34.49</v>
      </c>
      <c r="O513" t="s">
        <v>20</v>
      </c>
      <c r="P513" t="s">
        <v>965</v>
      </c>
      <c r="Q513" t="s">
        <v>20</v>
      </c>
      <c r="R513" t="str">
        <f>HYPERLINK("https://cfpub.epa.gov/ecotox/explore.cfm?ncbi=9209","Explore in ECOTOX")</f>
        <v>Explore in ECOTOX</v>
      </c>
    </row>
    <row r="514" spans="1:18" x14ac:dyDescent="0.25">
      <c r="A514">
        <v>6</v>
      </c>
      <c r="B514" t="str">
        <f>HYPERLINK("http://www.ncbi.nlm.nih.gov/protein/XP_006632826.1","XP_006632826.1")</f>
        <v>XP_006632826.1</v>
      </c>
      <c r="C514">
        <v>41863</v>
      </c>
      <c r="D514" t="str">
        <f>HYPERLINK("http://www.ncbi.nlm.nih.gov/Taxonomy/Browser/wwwtax.cgi?mode=Info&amp;id=7918&amp;lvl=3&amp;lin=f&amp;keep=1&amp;srchmode=1&amp;unlock","7918")</f>
        <v>7918</v>
      </c>
      <c r="E514" t="s">
        <v>384</v>
      </c>
      <c r="F514" t="s">
        <v>384</v>
      </c>
      <c r="G514" t="str">
        <f>HYPERLINK("http://www.ncbi.nlm.nih.gov/Taxonomy/Browser/wwwtax.cgi?mode=Info&amp;id=7918&amp;lvl=3&amp;lin=f&amp;keep=1&amp;srchmode=1&amp;unlock","Lepisosteus oculatus")</f>
        <v>Lepisosteus oculatus</v>
      </c>
      <c r="H514" t="s">
        <v>537</v>
      </c>
      <c r="I514" t="str">
        <f>HYPERLINK("http://www.ncbi.nlm.nih.gov/protein/XP_006632826.1","PREDICTED: androgen receptor")</f>
        <v>PREDICTED: androgen receptor</v>
      </c>
      <c r="J514">
        <v>642.88</v>
      </c>
      <c r="K514" t="s">
        <v>25</v>
      </c>
      <c r="L514">
        <v>157</v>
      </c>
      <c r="M514">
        <v>44.41</v>
      </c>
      <c r="N514">
        <v>34.22</v>
      </c>
      <c r="O514" t="s">
        <v>25</v>
      </c>
      <c r="P514" t="s">
        <v>965</v>
      </c>
      <c r="Q514" t="s">
        <v>20</v>
      </c>
      <c r="R514" t="str">
        <f>HYPERLINK("https://cfpub.epa.gov/ecotox/explore.cfm?ncbi=7918","Explore in ECOTOX")</f>
        <v>Explore in ECOTOX</v>
      </c>
    </row>
    <row r="515" spans="1:18" x14ac:dyDescent="0.25">
      <c r="A515">
        <v>6</v>
      </c>
      <c r="B515" t="str">
        <f>HYPERLINK("http://www.ncbi.nlm.nih.gov/protein/NXC18930.1","NXC18930.1")</f>
        <v>NXC18930.1</v>
      </c>
      <c r="C515">
        <v>11553</v>
      </c>
      <c r="D515" t="str">
        <f>HYPERLINK("http://www.ncbi.nlm.nih.gov/Taxonomy/Browser/wwwtax.cgi?mode=Info&amp;id=103954&amp;lvl=3&amp;lin=f&amp;keep=1&amp;srchmode=1&amp;unlock","103954")</f>
        <v>103954</v>
      </c>
      <c r="E515" t="s">
        <v>167</v>
      </c>
      <c r="F515" t="s">
        <v>167</v>
      </c>
      <c r="G515" t="str">
        <f>HYPERLINK("http://www.ncbi.nlm.nih.gov/Taxonomy/Browser/wwwtax.cgi?mode=Info&amp;id=103954&amp;lvl=3&amp;lin=f&amp;keep=1&amp;srchmode=1&amp;unlock","Corythaeola cristata")</f>
        <v>Corythaeola cristata</v>
      </c>
      <c r="H515" t="s">
        <v>996</v>
      </c>
      <c r="I515" t="str">
        <f>HYPERLINK("http://www.ncbi.nlm.nih.gov/protein/NXC18930.1","ANDR protein")</f>
        <v>ANDR protein</v>
      </c>
      <c r="J515">
        <v>638.26</v>
      </c>
      <c r="K515" t="s">
        <v>25</v>
      </c>
      <c r="L515">
        <v>157</v>
      </c>
      <c r="M515">
        <v>44.41</v>
      </c>
      <c r="N515">
        <v>33.979999999999997</v>
      </c>
      <c r="O515" t="s">
        <v>20</v>
      </c>
      <c r="P515" t="s">
        <v>965</v>
      </c>
      <c r="Q515" t="s">
        <v>20</v>
      </c>
      <c r="R515" t="str">
        <f>HYPERLINK("https://cfpub.epa.gov/ecotox/explore.cfm?ncbi=103954","Explore in ECOTOX")</f>
        <v>Explore in ECOTOX</v>
      </c>
    </row>
    <row r="516" spans="1:18" x14ac:dyDescent="0.25">
      <c r="A516">
        <v>6</v>
      </c>
      <c r="B516" t="str">
        <f>HYPERLINK("http://www.ncbi.nlm.nih.gov/protein/XP_026704635.1","XP_026704635.1")</f>
        <v>XP_026704635.1</v>
      </c>
      <c r="C516">
        <v>27794</v>
      </c>
      <c r="D516" t="str">
        <f>HYPERLINK("http://www.ncbi.nlm.nih.gov/Taxonomy/Browser/wwwtax.cgi?mode=Info&amp;id=194338&amp;lvl=3&amp;lin=f&amp;keep=1&amp;srchmode=1&amp;unlock","194338")</f>
        <v>194338</v>
      </c>
      <c r="E516" t="s">
        <v>167</v>
      </c>
      <c r="F516" t="s">
        <v>167</v>
      </c>
      <c r="G516" t="str">
        <f>HYPERLINK("http://www.ncbi.nlm.nih.gov/Taxonomy/Browser/wwwtax.cgi?mode=Info&amp;id=194338&amp;lvl=3&amp;lin=f&amp;keep=1&amp;srchmode=1&amp;unlock","Athene cunicularia")</f>
        <v>Athene cunicularia</v>
      </c>
      <c r="H516" t="s">
        <v>275</v>
      </c>
      <c r="I516" t="str">
        <f>HYPERLINK("http://www.ncbi.nlm.nih.gov/protein/XP_026704635.1","androgen receptor")</f>
        <v>androgen receptor</v>
      </c>
      <c r="J516">
        <v>632.48</v>
      </c>
      <c r="K516" t="s">
        <v>25</v>
      </c>
      <c r="L516">
        <v>157</v>
      </c>
      <c r="M516">
        <v>44.41</v>
      </c>
      <c r="N516">
        <v>33.67</v>
      </c>
      <c r="O516" t="s">
        <v>20</v>
      </c>
      <c r="P516" t="s">
        <v>965</v>
      </c>
      <c r="Q516" t="s">
        <v>20</v>
      </c>
      <c r="R516" t="str">
        <f>HYPERLINK("https://cfpub.epa.gov/ecotox/explore.cfm?ncbi=194338","Explore in ECOTOX")</f>
        <v>Explore in ECOTOX</v>
      </c>
    </row>
    <row r="517" spans="1:18" x14ac:dyDescent="0.25">
      <c r="A517">
        <v>6</v>
      </c>
      <c r="B517" t="str">
        <f>HYPERLINK("http://www.ncbi.nlm.nih.gov/protein/MBN3301371.1","MBN3301371.1")</f>
        <v>MBN3301371.1</v>
      </c>
      <c r="C517">
        <v>16713</v>
      </c>
      <c r="D517" t="str">
        <f>HYPERLINK("http://www.ncbi.nlm.nih.gov/Taxonomy/Browser/wwwtax.cgi?mode=Info&amp;id=7924&amp;lvl=3&amp;lin=f&amp;keep=1&amp;srchmode=1&amp;unlock","7924")</f>
        <v>7924</v>
      </c>
      <c r="E517" t="s">
        <v>384</v>
      </c>
      <c r="F517" t="s">
        <v>384</v>
      </c>
      <c r="G517" t="str">
        <f>HYPERLINK("http://www.ncbi.nlm.nih.gov/Taxonomy/Browser/wwwtax.cgi?mode=Info&amp;id=7924&amp;lvl=3&amp;lin=f&amp;keep=1&amp;srchmode=1&amp;unlock","Amia calva")</f>
        <v>Amia calva</v>
      </c>
      <c r="H517" t="s">
        <v>997</v>
      </c>
      <c r="I517" t="str">
        <f>HYPERLINK("http://www.ncbi.nlm.nih.gov/protein/MBN3301371.1","ANDR protein")</f>
        <v>ANDR protein</v>
      </c>
      <c r="J517">
        <v>631.71</v>
      </c>
      <c r="K517" t="s">
        <v>25</v>
      </c>
      <c r="L517">
        <v>157</v>
      </c>
      <c r="M517">
        <v>44.41</v>
      </c>
      <c r="N517">
        <v>33.630000000000003</v>
      </c>
      <c r="O517" t="s">
        <v>25</v>
      </c>
      <c r="P517" t="s">
        <v>965</v>
      </c>
      <c r="Q517" t="s">
        <v>20</v>
      </c>
      <c r="R517" t="str">
        <f>HYPERLINK("https://cfpub.epa.gov/ecotox/explore.cfm?ncbi=7924","Explore in ECOTOX")</f>
        <v>Explore in ECOTOX</v>
      </c>
    </row>
    <row r="518" spans="1:18" x14ac:dyDescent="0.25">
      <c r="A518">
        <v>6</v>
      </c>
      <c r="B518" t="str">
        <f>HYPERLINK("http://www.ncbi.nlm.nih.gov/protein/XP_010893698.1","XP_010893698.1")</f>
        <v>XP_010893698.1</v>
      </c>
      <c r="C518">
        <v>59853</v>
      </c>
      <c r="D518" t="str">
        <f>HYPERLINK("http://www.ncbi.nlm.nih.gov/Taxonomy/Browser/wwwtax.cgi?mode=Info&amp;id=8010&amp;lvl=3&amp;lin=f&amp;keep=1&amp;srchmode=1&amp;unlock","8010")</f>
        <v>8010</v>
      </c>
      <c r="E518" t="s">
        <v>384</v>
      </c>
      <c r="F518" t="s">
        <v>384</v>
      </c>
      <c r="G518" t="str">
        <f>HYPERLINK("http://www.ncbi.nlm.nih.gov/Taxonomy/Browser/wwwtax.cgi?mode=Info&amp;id=8010&amp;lvl=3&amp;lin=f&amp;keep=1&amp;srchmode=1&amp;unlock","Esox lucius")</f>
        <v>Esox lucius</v>
      </c>
      <c r="H518" t="s">
        <v>489</v>
      </c>
      <c r="I518" t="str">
        <f>HYPERLINK("http://www.ncbi.nlm.nih.gov/protein/XP_010893698.1","androgen receptor isoform X1")</f>
        <v>androgen receptor isoform X1</v>
      </c>
      <c r="J518">
        <v>626.32000000000005</v>
      </c>
      <c r="K518" t="s">
        <v>25</v>
      </c>
      <c r="L518">
        <v>157</v>
      </c>
      <c r="M518">
        <v>44.41</v>
      </c>
      <c r="N518">
        <v>33.340000000000003</v>
      </c>
      <c r="O518" t="s">
        <v>25</v>
      </c>
      <c r="P518" t="s">
        <v>965</v>
      </c>
      <c r="Q518" t="s">
        <v>20</v>
      </c>
      <c r="R518" t="str">
        <f>HYPERLINK("https://cfpub.epa.gov/ecotox/explore.cfm?ncbi=8010","Explore in ECOTOX")</f>
        <v>Explore in ECOTOX</v>
      </c>
    </row>
    <row r="519" spans="1:18" x14ac:dyDescent="0.25">
      <c r="A519">
        <v>6</v>
      </c>
      <c r="B519" t="str">
        <f>HYPERLINK("http://www.ncbi.nlm.nih.gov/protein/XP_039622287.1","XP_039622287.1")</f>
        <v>XP_039622287.1</v>
      </c>
      <c r="C519">
        <v>64388</v>
      </c>
      <c r="D519" t="str">
        <f>HYPERLINK("http://www.ncbi.nlm.nih.gov/Taxonomy/Browser/wwwtax.cgi?mode=Info&amp;id=55291&amp;lvl=3&amp;lin=f&amp;keep=1&amp;srchmode=1&amp;unlock","55291")</f>
        <v>55291</v>
      </c>
      <c r="E519" t="s">
        <v>522</v>
      </c>
      <c r="F519" t="s">
        <v>522</v>
      </c>
      <c r="G519" t="str">
        <f>HYPERLINK("http://www.ncbi.nlm.nih.gov/Taxonomy/Browser/wwwtax.cgi?mode=Info&amp;id=55291&amp;lvl=3&amp;lin=f&amp;keep=1&amp;srchmode=1&amp;unlock","Polypterus senegalus")</f>
        <v>Polypterus senegalus</v>
      </c>
      <c r="H519" t="s">
        <v>554</v>
      </c>
      <c r="I519" t="str">
        <f>HYPERLINK("http://www.ncbi.nlm.nih.gov/protein/XP_039622287.1","androgen receptor")</f>
        <v>androgen receptor</v>
      </c>
      <c r="J519">
        <v>625.16</v>
      </c>
      <c r="K519" t="s">
        <v>25</v>
      </c>
      <c r="L519">
        <v>157</v>
      </c>
      <c r="M519">
        <v>44.41</v>
      </c>
      <c r="N519">
        <v>33.28</v>
      </c>
      <c r="O519" t="s">
        <v>25</v>
      </c>
      <c r="P519" t="s">
        <v>965</v>
      </c>
      <c r="Q519" t="s">
        <v>20</v>
      </c>
      <c r="R519" t="str">
        <f>HYPERLINK("https://cfpub.epa.gov/ecotox/explore.cfm?ncbi=55291","Explore in ECOTOX")</f>
        <v>Explore in ECOTOX</v>
      </c>
    </row>
    <row r="520" spans="1:18" x14ac:dyDescent="0.25">
      <c r="A520">
        <v>6</v>
      </c>
      <c r="B520" t="str">
        <f>HYPERLINK("http://www.ncbi.nlm.nih.gov/protein/XP_028671330.1","XP_028671330.1")</f>
        <v>XP_028671330.1</v>
      </c>
      <c r="C520">
        <v>35768</v>
      </c>
      <c r="D520" t="str">
        <f>HYPERLINK("http://www.ncbi.nlm.nih.gov/Taxonomy/Browser/wwwtax.cgi?mode=Info&amp;id=27687&amp;lvl=3&amp;lin=f&amp;keep=1&amp;srchmode=1&amp;unlock","27687")</f>
        <v>27687</v>
      </c>
      <c r="E520" t="s">
        <v>522</v>
      </c>
      <c r="F520" t="s">
        <v>522</v>
      </c>
      <c r="G520" t="str">
        <f>HYPERLINK("http://www.ncbi.nlm.nih.gov/Taxonomy/Browser/wwwtax.cgi?mode=Info&amp;id=27687&amp;lvl=3&amp;lin=f&amp;keep=1&amp;srchmode=1&amp;unlock","Erpetoichthys calabaricus")</f>
        <v>Erpetoichthys calabaricus</v>
      </c>
      <c r="H520" t="s">
        <v>523</v>
      </c>
      <c r="I520" t="str">
        <f>HYPERLINK("http://www.ncbi.nlm.nih.gov/protein/XP_028671330.1","androgen receptor")</f>
        <v>androgen receptor</v>
      </c>
      <c r="J520">
        <v>622.08000000000004</v>
      </c>
      <c r="K520" t="s">
        <v>25</v>
      </c>
      <c r="L520">
        <v>157</v>
      </c>
      <c r="M520">
        <v>44.41</v>
      </c>
      <c r="N520">
        <v>33.11</v>
      </c>
      <c r="O520" t="s">
        <v>25</v>
      </c>
      <c r="P520" t="s">
        <v>965</v>
      </c>
      <c r="Q520" t="s">
        <v>20</v>
      </c>
      <c r="R520" t="str">
        <f>HYPERLINK("https://cfpub.epa.gov/ecotox/explore.cfm?ncbi=27687","Explore in ECOTOX")</f>
        <v>Explore in ECOTOX</v>
      </c>
    </row>
    <row r="521" spans="1:18" x14ac:dyDescent="0.25">
      <c r="A521">
        <v>6</v>
      </c>
      <c r="B521" t="str">
        <f>HYPERLINK("http://www.ncbi.nlm.nih.gov/protein/XP_028838042.1","XP_028838042.1")</f>
        <v>XP_028838042.1</v>
      </c>
      <c r="C521">
        <v>50098</v>
      </c>
      <c r="D521" t="str">
        <f>HYPERLINK("http://www.ncbi.nlm.nih.gov/Taxonomy/Browser/wwwtax.cgi?mode=Info&amp;id=299321&amp;lvl=3&amp;lin=f&amp;keep=1&amp;srchmode=1&amp;unlock","299321")</f>
        <v>299321</v>
      </c>
      <c r="E521" t="s">
        <v>384</v>
      </c>
      <c r="F521" t="s">
        <v>384</v>
      </c>
      <c r="G521" t="str">
        <f>HYPERLINK("http://www.ncbi.nlm.nih.gov/Taxonomy/Browser/wwwtax.cgi?mode=Info&amp;id=299321&amp;lvl=3&amp;lin=f&amp;keep=1&amp;srchmode=1&amp;unlock","Denticeps clupeoides")</f>
        <v>Denticeps clupeoides</v>
      </c>
      <c r="H521" t="s">
        <v>506</v>
      </c>
      <c r="I521" t="str">
        <f>HYPERLINK("http://www.ncbi.nlm.nih.gov/protein/XP_028838042.1","androgen receptor-like")</f>
        <v>androgen receptor-like</v>
      </c>
      <c r="J521">
        <v>620.92999999999995</v>
      </c>
      <c r="K521" t="s">
        <v>25</v>
      </c>
      <c r="L521">
        <v>157</v>
      </c>
      <c r="M521">
        <v>44.41</v>
      </c>
      <c r="N521">
        <v>33.049999999999997</v>
      </c>
      <c r="O521" t="s">
        <v>25</v>
      </c>
      <c r="P521" t="s">
        <v>965</v>
      </c>
      <c r="Q521" t="s">
        <v>20</v>
      </c>
      <c r="R521" t="str">
        <f>HYPERLINK("https://cfpub.epa.gov/ecotox/explore.cfm?ncbi=299321","Explore in ECOTOX")</f>
        <v>Explore in ECOTOX</v>
      </c>
    </row>
    <row r="522" spans="1:18" x14ac:dyDescent="0.25">
      <c r="A522">
        <v>6</v>
      </c>
      <c r="B522" t="str">
        <f>HYPERLINK("http://www.ncbi.nlm.nih.gov/protein/XP_023689872.1","XP_023689872.1")</f>
        <v>XP_023689872.1</v>
      </c>
      <c r="C522">
        <v>55296</v>
      </c>
      <c r="D522" t="str">
        <f>HYPERLINK("http://www.ncbi.nlm.nih.gov/Taxonomy/Browser/wwwtax.cgi?mode=Info&amp;id=1676925&amp;lvl=3&amp;lin=f&amp;keep=1&amp;srchmode=1&amp;unlock","1676925")</f>
        <v>1676925</v>
      </c>
      <c r="E522" t="s">
        <v>384</v>
      </c>
      <c r="F522" t="s">
        <v>384</v>
      </c>
      <c r="G522" t="str">
        <f>HYPERLINK("http://www.ncbi.nlm.nih.gov/Taxonomy/Browser/wwwtax.cgi?mode=Info&amp;id=1676925&amp;lvl=3&amp;lin=f&amp;keep=1&amp;srchmode=1&amp;unlock","Paramormyrops kingsleyae")</f>
        <v>Paramormyrops kingsleyae</v>
      </c>
      <c r="H522" t="s">
        <v>651</v>
      </c>
      <c r="I522" t="str">
        <f>HYPERLINK("http://www.ncbi.nlm.nih.gov/protein/XP_023689872.1","androgen receptor-like")</f>
        <v>androgen receptor-like</v>
      </c>
      <c r="J522">
        <v>618.23</v>
      </c>
      <c r="K522" t="s">
        <v>25</v>
      </c>
      <c r="L522">
        <v>157</v>
      </c>
      <c r="M522">
        <v>44.41</v>
      </c>
      <c r="N522">
        <v>32.909999999999997</v>
      </c>
      <c r="O522" t="s">
        <v>25</v>
      </c>
      <c r="P522" t="s">
        <v>965</v>
      </c>
      <c r="Q522" t="s">
        <v>20</v>
      </c>
      <c r="R522" t="str">
        <f>HYPERLINK("https://cfpub.epa.gov/ecotox/explore.cfm?ncbi=1676925","Explore in ECOTOX")</f>
        <v>Explore in ECOTOX</v>
      </c>
    </row>
    <row r="523" spans="1:18" x14ac:dyDescent="0.25">
      <c r="A523">
        <v>6</v>
      </c>
      <c r="B523" t="str">
        <f>HYPERLINK("http://www.ncbi.nlm.nih.gov/protein/XP_035289658.1","XP_035289658.1")</f>
        <v>XP_035289658.1</v>
      </c>
      <c r="C523">
        <v>58879</v>
      </c>
      <c r="D523" t="str">
        <f>HYPERLINK("http://www.ncbi.nlm.nih.gov/Taxonomy/Browser/wwwtax.cgi?mode=Info&amp;id=7936&amp;lvl=3&amp;lin=f&amp;keep=1&amp;srchmode=1&amp;unlock","7936")</f>
        <v>7936</v>
      </c>
      <c r="E523" t="s">
        <v>384</v>
      </c>
      <c r="F523" t="s">
        <v>384</v>
      </c>
      <c r="G523" t="str">
        <f>HYPERLINK("http://www.ncbi.nlm.nih.gov/Taxonomy/Browser/wwwtax.cgi?mode=Info&amp;id=7936&amp;lvl=3&amp;lin=f&amp;keep=1&amp;srchmode=1&amp;unlock","Anguilla anguilla")</f>
        <v>Anguilla anguilla</v>
      </c>
      <c r="H523" t="s">
        <v>619</v>
      </c>
      <c r="I523" t="str">
        <f>HYPERLINK("http://www.ncbi.nlm.nih.gov/protein/XP_035289658.1","androgen receptor-like")</f>
        <v>androgen receptor-like</v>
      </c>
      <c r="J523">
        <v>617.85</v>
      </c>
      <c r="K523" t="s">
        <v>25</v>
      </c>
      <c r="L523">
        <v>157</v>
      </c>
      <c r="M523">
        <v>44.41</v>
      </c>
      <c r="N523">
        <v>32.89</v>
      </c>
      <c r="O523" t="s">
        <v>25</v>
      </c>
      <c r="P523" t="s">
        <v>965</v>
      </c>
      <c r="Q523" t="s">
        <v>20</v>
      </c>
      <c r="R523" t="str">
        <f>HYPERLINK("https://cfpub.epa.gov/ecotox/explore.cfm?ncbi=7936","Explore in ECOTOX")</f>
        <v>Explore in ECOTOX</v>
      </c>
    </row>
    <row r="524" spans="1:18" x14ac:dyDescent="0.25">
      <c r="A524">
        <v>6</v>
      </c>
      <c r="B524" t="str">
        <f>HYPERLINK("http://www.ncbi.nlm.nih.gov/protein/KAA0717190.1","KAA0717190.1")</f>
        <v>KAA0717190.1</v>
      </c>
      <c r="C524">
        <v>24328</v>
      </c>
      <c r="D524" t="str">
        <f>HYPERLINK("http://www.ncbi.nlm.nih.gov/Taxonomy/Browser/wwwtax.cgi?mode=Info&amp;id=1572043&amp;lvl=3&amp;lin=f&amp;keep=1&amp;srchmode=1&amp;unlock","1572043")</f>
        <v>1572043</v>
      </c>
      <c r="E524" t="s">
        <v>384</v>
      </c>
      <c r="F524" t="s">
        <v>384</v>
      </c>
      <c r="G524" t="str">
        <f>HYPERLINK("http://www.ncbi.nlm.nih.gov/Taxonomy/Browser/wwwtax.cgi?mode=Info&amp;id=1572043&amp;lvl=3&amp;lin=f&amp;keep=1&amp;srchmode=1&amp;unlock","Triplophysa tibetana")</f>
        <v>Triplophysa tibetana</v>
      </c>
      <c r="H524" t="s">
        <v>612</v>
      </c>
      <c r="I524" t="str">
        <f>HYPERLINK("http://www.ncbi.nlm.nih.gov/protein/KAA0717190.1","Androgen receptor")</f>
        <v>Androgen receptor</v>
      </c>
      <c r="J524">
        <v>616.29999999999995</v>
      </c>
      <c r="K524" t="s">
        <v>25</v>
      </c>
      <c r="L524">
        <v>157</v>
      </c>
      <c r="M524">
        <v>44.41</v>
      </c>
      <c r="N524">
        <v>32.81</v>
      </c>
      <c r="O524" t="s">
        <v>25</v>
      </c>
      <c r="P524" t="s">
        <v>965</v>
      </c>
      <c r="Q524" t="s">
        <v>20</v>
      </c>
      <c r="R524" t="str">
        <f>HYPERLINK("https://cfpub.epa.gov/ecotox/explore.cfm?ncbi=1572043","Explore in ECOTOX")</f>
        <v>Explore in ECOTOX</v>
      </c>
    </row>
    <row r="525" spans="1:18" x14ac:dyDescent="0.25">
      <c r="A525">
        <v>6</v>
      </c>
      <c r="B525" t="str">
        <f>HYPERLINK("http://www.ncbi.nlm.nih.gov/protein/XP_023823693.1","XP_023823693.1")</f>
        <v>XP_023823693.1</v>
      </c>
      <c r="C525">
        <v>60779</v>
      </c>
      <c r="D525" t="str">
        <f>HYPERLINK("http://www.ncbi.nlm.nih.gov/Taxonomy/Browser/wwwtax.cgi?mode=Info&amp;id=8036&amp;lvl=3&amp;lin=f&amp;keep=1&amp;srchmode=1&amp;unlock","8036")</f>
        <v>8036</v>
      </c>
      <c r="E525" t="s">
        <v>384</v>
      </c>
      <c r="F525" t="s">
        <v>384</v>
      </c>
      <c r="G525" t="str">
        <f>HYPERLINK("http://www.ncbi.nlm.nih.gov/Taxonomy/Browser/wwwtax.cgi?mode=Info&amp;id=8036&amp;lvl=3&amp;lin=f&amp;keep=1&amp;srchmode=1&amp;unlock","Salvelinus alpinus")</f>
        <v>Salvelinus alpinus</v>
      </c>
      <c r="H525" t="s">
        <v>483</v>
      </c>
      <c r="I525" t="str">
        <f>HYPERLINK("http://www.ncbi.nlm.nih.gov/protein/XP_023823693.1","androgen receptor")</f>
        <v>androgen receptor</v>
      </c>
      <c r="J525">
        <v>616.29999999999995</v>
      </c>
      <c r="K525" t="s">
        <v>25</v>
      </c>
      <c r="L525">
        <v>157</v>
      </c>
      <c r="M525">
        <v>44.41</v>
      </c>
      <c r="N525">
        <v>32.81</v>
      </c>
      <c r="O525" t="s">
        <v>25</v>
      </c>
      <c r="P525" t="s">
        <v>965</v>
      </c>
      <c r="Q525" t="s">
        <v>20</v>
      </c>
      <c r="R525" t="str">
        <f>HYPERLINK("https://cfpub.epa.gov/ecotox/explore.cfm?ncbi=8036","Explore in ECOTOX")</f>
        <v>Explore in ECOTOX</v>
      </c>
    </row>
    <row r="526" spans="1:18" x14ac:dyDescent="0.25">
      <c r="A526">
        <v>6</v>
      </c>
      <c r="B526" t="str">
        <f>HYPERLINK("http://www.ncbi.nlm.nih.gov/protein/BAA83805.1","BAA83805.1")</f>
        <v>BAA83805.1</v>
      </c>
      <c r="C526">
        <v>702</v>
      </c>
      <c r="D526" t="str">
        <f>HYPERLINK("http://www.ncbi.nlm.nih.gov/Taxonomy/Browser/wwwtax.cgi?mode=Info&amp;id=7937&amp;lvl=3&amp;lin=f&amp;keep=1&amp;srchmode=1&amp;unlock","7937")</f>
        <v>7937</v>
      </c>
      <c r="E526" t="s">
        <v>384</v>
      </c>
      <c r="F526" t="s">
        <v>384</v>
      </c>
      <c r="G526" t="str">
        <f>HYPERLINK("http://www.ncbi.nlm.nih.gov/Taxonomy/Browser/wwwtax.cgi?mode=Info&amp;id=7937&amp;lvl=3&amp;lin=f&amp;keep=1&amp;srchmode=1&amp;unlock","Anguilla japonica")</f>
        <v>Anguilla japonica</v>
      </c>
      <c r="H526" t="s">
        <v>886</v>
      </c>
      <c r="I526" t="str">
        <f>HYPERLINK("http://www.ncbi.nlm.nih.gov/protein/BAA83805.1","androgen receptor-beta")</f>
        <v>androgen receptor-beta</v>
      </c>
      <c r="J526">
        <v>616.29999999999995</v>
      </c>
      <c r="K526" t="s">
        <v>25</v>
      </c>
      <c r="L526">
        <v>157</v>
      </c>
      <c r="M526">
        <v>44.41</v>
      </c>
      <c r="N526">
        <v>32.81</v>
      </c>
      <c r="O526" t="s">
        <v>25</v>
      </c>
      <c r="P526" t="s">
        <v>965</v>
      </c>
      <c r="Q526" t="s">
        <v>20</v>
      </c>
      <c r="R526" t="str">
        <f>HYPERLINK("https://cfpub.epa.gov/ecotox/explore.cfm?ncbi=7937","Explore in ECOTOX")</f>
        <v>Explore in ECOTOX</v>
      </c>
    </row>
    <row r="527" spans="1:18" x14ac:dyDescent="0.25">
      <c r="A527">
        <v>6</v>
      </c>
      <c r="B527" t="str">
        <f>HYPERLINK("http://www.ncbi.nlm.nih.gov/protein/XP_024250063.1","XP_024250063.1")</f>
        <v>XP_024250063.1</v>
      </c>
      <c r="C527">
        <v>73759</v>
      </c>
      <c r="D527" t="str">
        <f>HYPERLINK("http://www.ncbi.nlm.nih.gov/Taxonomy/Browser/wwwtax.cgi?mode=Info&amp;id=74940&amp;lvl=3&amp;lin=f&amp;keep=1&amp;srchmode=1&amp;unlock","74940")</f>
        <v>74940</v>
      </c>
      <c r="E527" t="s">
        <v>384</v>
      </c>
      <c r="F527" t="s">
        <v>384</v>
      </c>
      <c r="G527" t="str">
        <f>HYPERLINK("http://www.ncbi.nlm.nih.gov/Taxonomy/Browser/wwwtax.cgi?mode=Info&amp;id=74940&amp;lvl=3&amp;lin=f&amp;keep=1&amp;srchmode=1&amp;unlock","Oncorhynchus tshawytscha")</f>
        <v>Oncorhynchus tshawytscha</v>
      </c>
      <c r="H527" t="s">
        <v>500</v>
      </c>
      <c r="I527" t="str">
        <f>HYPERLINK("http://www.ncbi.nlm.nih.gov/protein/XP_024250063.1","androgen receptor-like isoform X1")</f>
        <v>androgen receptor-like isoform X1</v>
      </c>
      <c r="J527">
        <v>616.29999999999995</v>
      </c>
      <c r="K527" t="s">
        <v>25</v>
      </c>
      <c r="L527">
        <v>157</v>
      </c>
      <c r="M527">
        <v>44.41</v>
      </c>
      <c r="N527">
        <v>32.81</v>
      </c>
      <c r="O527" t="s">
        <v>25</v>
      </c>
      <c r="P527" t="s">
        <v>965</v>
      </c>
      <c r="Q527" t="s">
        <v>20</v>
      </c>
      <c r="R527" t="str">
        <f>HYPERLINK("https://cfpub.epa.gov/ecotox/explore.cfm?ncbi=74940","Explore in ECOTOX")</f>
        <v>Explore in ECOTOX</v>
      </c>
    </row>
    <row r="528" spans="1:18" x14ac:dyDescent="0.25">
      <c r="A528">
        <v>6</v>
      </c>
      <c r="B528" t="str">
        <f>HYPERLINK("http://www.ncbi.nlm.nih.gov/protein/XP_008301461.1","XP_008301461.1")</f>
        <v>XP_008301461.1</v>
      </c>
      <c r="C528">
        <v>31743</v>
      </c>
      <c r="D528" t="str">
        <f>HYPERLINK("http://www.ncbi.nlm.nih.gov/Taxonomy/Browser/wwwtax.cgi?mode=Info&amp;id=144197&amp;lvl=3&amp;lin=f&amp;keep=1&amp;srchmode=1&amp;unlock","144197")</f>
        <v>144197</v>
      </c>
      <c r="E528" t="s">
        <v>384</v>
      </c>
      <c r="F528" t="s">
        <v>384</v>
      </c>
      <c r="G528" t="str">
        <f>HYPERLINK("http://www.ncbi.nlm.nih.gov/Taxonomy/Browser/wwwtax.cgi?mode=Info&amp;id=144197&amp;lvl=3&amp;lin=f&amp;keep=1&amp;srchmode=1&amp;unlock","Stegastes partitus")</f>
        <v>Stegastes partitus</v>
      </c>
      <c r="H528" t="s">
        <v>546</v>
      </c>
      <c r="I528" t="str">
        <f>HYPERLINK("http://www.ncbi.nlm.nih.gov/protein/XP_008301461.1","PREDICTED: androgen receptor-like isoform X2")</f>
        <v>PREDICTED: androgen receptor-like isoform X2</v>
      </c>
      <c r="J528">
        <v>615.91999999999996</v>
      </c>
      <c r="K528" t="s">
        <v>25</v>
      </c>
      <c r="L528">
        <v>157</v>
      </c>
      <c r="M528">
        <v>44.41</v>
      </c>
      <c r="N528">
        <v>32.79</v>
      </c>
      <c r="O528" t="s">
        <v>25</v>
      </c>
      <c r="P528" t="s">
        <v>965</v>
      </c>
      <c r="Q528" t="s">
        <v>20</v>
      </c>
      <c r="R528" t="str">
        <f>HYPERLINK("https://cfpub.epa.gov/ecotox/explore.cfm?ncbi=144197","Explore in ECOTOX")</f>
        <v>Explore in ECOTOX</v>
      </c>
    </row>
    <row r="529" spans="1:18" x14ac:dyDescent="0.25">
      <c r="A529">
        <v>6</v>
      </c>
      <c r="B529" t="str">
        <f>HYPERLINK("http://www.ncbi.nlm.nih.gov/protein/NP_001117657.1","NP_001117657.1")</f>
        <v>NP_001117657.1</v>
      </c>
      <c r="C529">
        <v>150751</v>
      </c>
      <c r="D529" t="str">
        <f>HYPERLINK("http://www.ncbi.nlm.nih.gov/Taxonomy/Browser/wwwtax.cgi?mode=Info&amp;id=8022&amp;lvl=3&amp;lin=f&amp;keep=1&amp;srchmode=1&amp;unlock","8022")</f>
        <v>8022</v>
      </c>
      <c r="E529" t="s">
        <v>384</v>
      </c>
      <c r="F529" t="s">
        <v>384</v>
      </c>
      <c r="G529" t="str">
        <f>HYPERLINK("http://www.ncbi.nlm.nih.gov/Taxonomy/Browser/wwwtax.cgi?mode=Info&amp;id=8022&amp;lvl=3&amp;lin=f&amp;keep=1&amp;srchmode=1&amp;unlock","Oncorhynchus mykiss")</f>
        <v>Oncorhynchus mykiss</v>
      </c>
      <c r="H529" t="s">
        <v>482</v>
      </c>
      <c r="I529" t="str">
        <f>HYPERLINK("http://www.ncbi.nlm.nih.gov/protein/NP_001117657.1","androgen receptor beta")</f>
        <v>androgen receptor beta</v>
      </c>
      <c r="J529">
        <v>615.91999999999996</v>
      </c>
      <c r="K529" t="s">
        <v>25</v>
      </c>
      <c r="L529">
        <v>157</v>
      </c>
      <c r="M529">
        <v>44.41</v>
      </c>
      <c r="N529">
        <v>32.79</v>
      </c>
      <c r="O529" t="s">
        <v>25</v>
      </c>
      <c r="P529" t="s">
        <v>965</v>
      </c>
      <c r="Q529" t="s">
        <v>20</v>
      </c>
      <c r="R529" t="str">
        <f>HYPERLINK("https://cfpub.epa.gov/ecotox/explore.cfm?ncbi=8022","Explore in ECOTOX")</f>
        <v>Explore in ECOTOX</v>
      </c>
    </row>
    <row r="530" spans="1:18" x14ac:dyDescent="0.25">
      <c r="A530">
        <v>6</v>
      </c>
      <c r="B530" t="str">
        <f>HYPERLINK("http://www.ncbi.nlm.nih.gov/protein/XP_029526655.1","XP_029526655.1")</f>
        <v>XP_029526655.1</v>
      </c>
      <c r="C530">
        <v>69382</v>
      </c>
      <c r="D530" t="str">
        <f>HYPERLINK("http://www.ncbi.nlm.nih.gov/Taxonomy/Browser/wwwtax.cgi?mode=Info&amp;id=8023&amp;lvl=3&amp;lin=f&amp;keep=1&amp;srchmode=1&amp;unlock","8023")</f>
        <v>8023</v>
      </c>
      <c r="E530" t="s">
        <v>384</v>
      </c>
      <c r="F530" t="s">
        <v>384</v>
      </c>
      <c r="G530" t="str">
        <f>HYPERLINK("http://www.ncbi.nlm.nih.gov/Taxonomy/Browser/wwwtax.cgi?mode=Info&amp;id=8023&amp;lvl=3&amp;lin=f&amp;keep=1&amp;srchmode=1&amp;unlock","Oncorhynchus nerka")</f>
        <v>Oncorhynchus nerka</v>
      </c>
      <c r="H530" t="s">
        <v>479</v>
      </c>
      <c r="I530" t="str">
        <f>HYPERLINK("http://www.ncbi.nlm.nih.gov/protein/XP_029526655.1","androgen receptor-like isoform X1")</f>
        <v>androgen receptor-like isoform X1</v>
      </c>
      <c r="J530">
        <v>615.53</v>
      </c>
      <c r="K530" t="s">
        <v>25</v>
      </c>
      <c r="L530">
        <v>157</v>
      </c>
      <c r="M530">
        <v>44.41</v>
      </c>
      <c r="N530">
        <v>32.770000000000003</v>
      </c>
      <c r="O530" t="s">
        <v>25</v>
      </c>
      <c r="P530" t="s">
        <v>965</v>
      </c>
      <c r="Q530" t="s">
        <v>20</v>
      </c>
      <c r="R530" t="str">
        <f>HYPERLINK("https://cfpub.epa.gov/ecotox/explore.cfm?ncbi=8023","Explore in ECOTOX")</f>
        <v>Explore in ECOTOX</v>
      </c>
    </row>
    <row r="531" spans="1:18" x14ac:dyDescent="0.25">
      <c r="A531">
        <v>6</v>
      </c>
      <c r="B531" t="str">
        <f>HYPERLINK("http://www.ncbi.nlm.nih.gov/protein/XP_026104666.1","XP_026104666.1")</f>
        <v>XP_026104666.1</v>
      </c>
      <c r="C531">
        <v>98599</v>
      </c>
      <c r="D531" t="str">
        <f>HYPERLINK("http://www.ncbi.nlm.nih.gov/Taxonomy/Browser/wwwtax.cgi?mode=Info&amp;id=7957&amp;lvl=3&amp;lin=f&amp;keep=1&amp;srchmode=1&amp;unlock","7957")</f>
        <v>7957</v>
      </c>
      <c r="E531" t="s">
        <v>384</v>
      </c>
      <c r="F531" t="s">
        <v>384</v>
      </c>
      <c r="G531" t="str">
        <f>HYPERLINK("http://www.ncbi.nlm.nih.gov/Taxonomy/Browser/wwwtax.cgi?mode=Info&amp;id=7957&amp;lvl=3&amp;lin=f&amp;keep=1&amp;srchmode=1&amp;unlock","Carassius auratus")</f>
        <v>Carassius auratus</v>
      </c>
      <c r="H531" t="s">
        <v>518</v>
      </c>
      <c r="I531" t="str">
        <f>HYPERLINK("http://www.ncbi.nlm.nih.gov/protein/XP_026104666.1","androgen receptor-like")</f>
        <v>androgen receptor-like</v>
      </c>
      <c r="J531">
        <v>615.53</v>
      </c>
      <c r="K531" t="s">
        <v>25</v>
      </c>
      <c r="L531">
        <v>157</v>
      </c>
      <c r="M531">
        <v>44.41</v>
      </c>
      <c r="N531">
        <v>32.770000000000003</v>
      </c>
      <c r="O531" t="s">
        <v>25</v>
      </c>
      <c r="P531" t="s">
        <v>965</v>
      </c>
      <c r="Q531" t="s">
        <v>20</v>
      </c>
      <c r="R531" t="str">
        <f>HYPERLINK("https://cfpub.epa.gov/ecotox/explore.cfm?ncbi=7957","Explore in ECOTOX")</f>
        <v>Explore in ECOTOX</v>
      </c>
    </row>
    <row r="532" spans="1:18" x14ac:dyDescent="0.25">
      <c r="A532">
        <v>6</v>
      </c>
      <c r="B532" t="str">
        <f>HYPERLINK("http://www.ncbi.nlm.nih.gov/protein/XP_035636547.1","XP_035636547.1")</f>
        <v>XP_035636547.1</v>
      </c>
      <c r="C532">
        <v>67512</v>
      </c>
      <c r="D532" t="str">
        <f>HYPERLINK("http://www.ncbi.nlm.nih.gov/Taxonomy/Browser/wwwtax.cgi?mode=Info&amp;id=8018&amp;lvl=3&amp;lin=f&amp;keep=1&amp;srchmode=1&amp;unlock","8018")</f>
        <v>8018</v>
      </c>
      <c r="E532" t="s">
        <v>384</v>
      </c>
      <c r="F532" t="s">
        <v>384</v>
      </c>
      <c r="G532" t="str">
        <f>HYPERLINK("http://www.ncbi.nlm.nih.gov/Taxonomy/Browser/wwwtax.cgi?mode=Info&amp;id=8018&amp;lvl=3&amp;lin=f&amp;keep=1&amp;srchmode=1&amp;unlock","Oncorhynchus keta")</f>
        <v>Oncorhynchus keta</v>
      </c>
      <c r="H532" t="s">
        <v>492</v>
      </c>
      <c r="I532" t="str">
        <f>HYPERLINK("http://www.ncbi.nlm.nih.gov/protein/XP_035636547.1","androgen receptor-like isoform X1")</f>
        <v>androgen receptor-like isoform X1</v>
      </c>
      <c r="J532">
        <v>615.15</v>
      </c>
      <c r="K532" t="s">
        <v>25</v>
      </c>
      <c r="L532">
        <v>157</v>
      </c>
      <c r="M532">
        <v>44.41</v>
      </c>
      <c r="N532">
        <v>32.75</v>
      </c>
      <c r="O532" t="s">
        <v>25</v>
      </c>
      <c r="P532" t="s">
        <v>965</v>
      </c>
      <c r="Q532" t="s">
        <v>20</v>
      </c>
      <c r="R532" t="str">
        <f>HYPERLINK("https://cfpub.epa.gov/ecotox/explore.cfm?ncbi=8018","Explore in ECOTOX")</f>
        <v>Explore in ECOTOX</v>
      </c>
    </row>
    <row r="533" spans="1:18" x14ac:dyDescent="0.25">
      <c r="A533">
        <v>6</v>
      </c>
      <c r="B533" t="str">
        <f>HYPERLINK("http://www.ncbi.nlm.nih.gov/protein/XP_038861580.1","XP_038861580.1")</f>
        <v>XP_038861580.1</v>
      </c>
      <c r="C533">
        <v>58413</v>
      </c>
      <c r="D533" t="str">
        <f>HYPERLINK("http://www.ncbi.nlm.nih.gov/Taxonomy/Browser/wwwtax.cgi?mode=Info&amp;id=8040&amp;lvl=3&amp;lin=f&amp;keep=1&amp;srchmode=1&amp;unlock","8040")</f>
        <v>8040</v>
      </c>
      <c r="E533" t="s">
        <v>384</v>
      </c>
      <c r="F533" t="s">
        <v>384</v>
      </c>
      <c r="G533" t="str">
        <f>HYPERLINK("http://www.ncbi.nlm.nih.gov/Taxonomy/Browser/wwwtax.cgi?mode=Info&amp;id=8040&amp;lvl=3&amp;lin=f&amp;keep=1&amp;srchmode=1&amp;unlock","Salvelinus namaycush")</f>
        <v>Salvelinus namaycush</v>
      </c>
      <c r="H533" t="s">
        <v>480</v>
      </c>
      <c r="I533" t="str">
        <f>HYPERLINK("http://www.ncbi.nlm.nih.gov/protein/XP_038861580.1","androgen receptor-like isoform X1")</f>
        <v>androgen receptor-like isoform X1</v>
      </c>
      <c r="J533">
        <v>613.99</v>
      </c>
      <c r="K533" t="s">
        <v>25</v>
      </c>
      <c r="L533">
        <v>157</v>
      </c>
      <c r="M533">
        <v>44.41</v>
      </c>
      <c r="N533">
        <v>32.68</v>
      </c>
      <c r="O533" t="s">
        <v>25</v>
      </c>
      <c r="P533" t="s">
        <v>965</v>
      </c>
      <c r="Q533" t="s">
        <v>20</v>
      </c>
      <c r="R533" t="str">
        <f>HYPERLINK("https://cfpub.epa.gov/ecotox/explore.cfm?ncbi=8040","Explore in ECOTOX")</f>
        <v>Explore in ECOTOX</v>
      </c>
    </row>
    <row r="534" spans="1:18" x14ac:dyDescent="0.25">
      <c r="A534">
        <v>6</v>
      </c>
      <c r="B534" t="str">
        <f>HYPERLINK("http://www.ncbi.nlm.nih.gov/protein/XP_020319720.1","XP_020319720.1")</f>
        <v>XP_020319720.1</v>
      </c>
      <c r="C534">
        <v>89590</v>
      </c>
      <c r="D534" t="str">
        <f>HYPERLINK("http://www.ncbi.nlm.nih.gov/Taxonomy/Browser/wwwtax.cgi?mode=Info&amp;id=8019&amp;lvl=3&amp;lin=f&amp;keep=1&amp;srchmode=1&amp;unlock","8019")</f>
        <v>8019</v>
      </c>
      <c r="E534" t="s">
        <v>384</v>
      </c>
      <c r="F534" t="s">
        <v>384</v>
      </c>
      <c r="G534" t="str">
        <f>HYPERLINK("http://www.ncbi.nlm.nih.gov/Taxonomy/Browser/wwwtax.cgi?mode=Info&amp;id=8019&amp;lvl=3&amp;lin=f&amp;keep=1&amp;srchmode=1&amp;unlock","Oncorhynchus kisutch")</f>
        <v>Oncorhynchus kisutch</v>
      </c>
      <c r="H534" t="s">
        <v>501</v>
      </c>
      <c r="I534" t="str">
        <f>HYPERLINK("http://www.ncbi.nlm.nih.gov/protein/XP_020319720.1","androgen receptor-like isoform X1")</f>
        <v>androgen receptor-like isoform X1</v>
      </c>
      <c r="J534">
        <v>613.99</v>
      </c>
      <c r="K534" t="s">
        <v>25</v>
      </c>
      <c r="L534">
        <v>157</v>
      </c>
      <c r="M534">
        <v>44.41</v>
      </c>
      <c r="N534">
        <v>32.68</v>
      </c>
      <c r="O534" t="s">
        <v>25</v>
      </c>
      <c r="P534" t="s">
        <v>965</v>
      </c>
      <c r="Q534" t="s">
        <v>20</v>
      </c>
      <c r="R534" t="str">
        <f>HYPERLINK("https://cfpub.epa.gov/ecotox/explore.cfm?ncbi=8019","Explore in ECOTOX")</f>
        <v>Explore in ECOTOX</v>
      </c>
    </row>
    <row r="535" spans="1:18" x14ac:dyDescent="0.25">
      <c r="A535">
        <v>6</v>
      </c>
      <c r="B535" t="str">
        <f>HYPERLINK("http://www.ncbi.nlm.nih.gov/protein/XP_014052302.1","XP_014052302.1")</f>
        <v>XP_014052302.1</v>
      </c>
      <c r="C535">
        <v>111579</v>
      </c>
      <c r="D535" t="str">
        <f>HYPERLINK("http://www.ncbi.nlm.nih.gov/Taxonomy/Browser/wwwtax.cgi?mode=Info&amp;id=8030&amp;lvl=3&amp;lin=f&amp;keep=1&amp;srchmode=1&amp;unlock","8030")</f>
        <v>8030</v>
      </c>
      <c r="E535" t="s">
        <v>384</v>
      </c>
      <c r="F535" t="s">
        <v>384</v>
      </c>
      <c r="G535" t="str">
        <f>HYPERLINK("http://www.ncbi.nlm.nih.gov/Taxonomy/Browser/wwwtax.cgi?mode=Info&amp;id=8030&amp;lvl=3&amp;lin=f&amp;keep=1&amp;srchmode=1&amp;unlock","Salmo salar")</f>
        <v>Salmo salar</v>
      </c>
      <c r="H535" t="s">
        <v>490</v>
      </c>
      <c r="I535" t="str">
        <f>HYPERLINK("http://www.ncbi.nlm.nih.gov/protein/XP_014052302.1","PREDICTED: androgen receptor isoform X1")</f>
        <v>PREDICTED: androgen receptor isoform X1</v>
      </c>
      <c r="J535">
        <v>613.61</v>
      </c>
      <c r="K535" t="s">
        <v>25</v>
      </c>
      <c r="L535">
        <v>157</v>
      </c>
      <c r="M535">
        <v>44.41</v>
      </c>
      <c r="N535">
        <v>32.659999999999997</v>
      </c>
      <c r="O535" t="s">
        <v>25</v>
      </c>
      <c r="P535" t="s">
        <v>965</v>
      </c>
      <c r="Q535" t="s">
        <v>20</v>
      </c>
      <c r="R535" t="str">
        <f>HYPERLINK("https://cfpub.epa.gov/ecotox/explore.cfm?ncbi=8030","Explore in ECOTOX")</f>
        <v>Explore in ECOTOX</v>
      </c>
    </row>
    <row r="536" spans="1:18" x14ac:dyDescent="0.25">
      <c r="A536">
        <v>6</v>
      </c>
      <c r="B536" t="str">
        <f>HYPERLINK("http://www.ncbi.nlm.nih.gov/protein/XP_029556707.1","XP_029556707.1")</f>
        <v>XP_029556707.1</v>
      </c>
      <c r="C536">
        <v>88634</v>
      </c>
      <c r="D536" t="str">
        <f>HYPERLINK("http://www.ncbi.nlm.nih.gov/Taxonomy/Browser/wwwtax.cgi?mode=Info&amp;id=8032&amp;lvl=3&amp;lin=f&amp;keep=1&amp;srchmode=1&amp;unlock","8032")</f>
        <v>8032</v>
      </c>
      <c r="E536" t="s">
        <v>384</v>
      </c>
      <c r="F536" t="s">
        <v>384</v>
      </c>
      <c r="G536" t="str">
        <f>HYPERLINK("http://www.ncbi.nlm.nih.gov/Taxonomy/Browser/wwwtax.cgi?mode=Info&amp;id=8032&amp;lvl=3&amp;lin=f&amp;keep=1&amp;srchmode=1&amp;unlock","Salmo trutta")</f>
        <v>Salmo trutta</v>
      </c>
      <c r="H536" t="s">
        <v>491</v>
      </c>
      <c r="I536" t="str">
        <f>HYPERLINK("http://www.ncbi.nlm.nih.gov/protein/XP_029556707.1","androgen receptor-like isoform X1")</f>
        <v>androgen receptor-like isoform X1</v>
      </c>
      <c r="J536">
        <v>613.61</v>
      </c>
      <c r="K536" t="s">
        <v>25</v>
      </c>
      <c r="L536">
        <v>157</v>
      </c>
      <c r="M536">
        <v>44.41</v>
      </c>
      <c r="N536">
        <v>32.659999999999997</v>
      </c>
      <c r="O536" t="s">
        <v>25</v>
      </c>
      <c r="P536" t="s">
        <v>965</v>
      </c>
      <c r="Q536" t="s">
        <v>20</v>
      </c>
      <c r="R536" t="str">
        <f>HYPERLINK("https://cfpub.epa.gov/ecotox/explore.cfm?ncbi=8032","Explore in ECOTOX")</f>
        <v>Explore in ECOTOX</v>
      </c>
    </row>
    <row r="537" spans="1:18" x14ac:dyDescent="0.25">
      <c r="A537">
        <v>6</v>
      </c>
      <c r="B537" t="str">
        <f>HYPERLINK("http://www.ncbi.nlm.nih.gov/protein/AIQ77651.1","AIQ77651.1")</f>
        <v>AIQ77651.1</v>
      </c>
      <c r="C537">
        <v>89392</v>
      </c>
      <c r="D537" t="str">
        <f>HYPERLINK("http://www.ncbi.nlm.nih.gov/Taxonomy/Browser/wwwtax.cgi?mode=Info&amp;id=7906&amp;lvl=3&amp;lin=f&amp;keep=1&amp;srchmode=1&amp;unlock","7906")</f>
        <v>7906</v>
      </c>
      <c r="E537" t="s">
        <v>384</v>
      </c>
      <c r="F537" t="s">
        <v>384</v>
      </c>
      <c r="G537" t="str">
        <f>HYPERLINK("http://www.ncbi.nlm.nih.gov/Taxonomy/Browser/wwwtax.cgi?mode=Info&amp;id=7906&amp;lvl=3&amp;lin=f&amp;keep=1&amp;srchmode=1&amp;unlock","Acipenser ruthenus")</f>
        <v>Acipenser ruthenus</v>
      </c>
      <c r="H537" t="s">
        <v>512</v>
      </c>
      <c r="I537" t="str">
        <f>HYPERLINK("http://www.ncbi.nlm.nih.gov/protein/AIQ77651.1","androgen receptor")</f>
        <v>androgen receptor</v>
      </c>
      <c r="J537">
        <v>612.45000000000005</v>
      </c>
      <c r="K537" t="s">
        <v>25</v>
      </c>
      <c r="L537">
        <v>157</v>
      </c>
      <c r="M537">
        <v>44.41</v>
      </c>
      <c r="N537">
        <v>32.6</v>
      </c>
      <c r="O537" t="s">
        <v>25</v>
      </c>
      <c r="P537" t="s">
        <v>965</v>
      </c>
      <c r="Q537" t="s">
        <v>20</v>
      </c>
      <c r="R537" t="str">
        <f>HYPERLINK("https://cfpub.epa.gov/ecotox/explore.cfm?ncbi=7906","Explore in ECOTOX")</f>
        <v>Explore in ECOTOX</v>
      </c>
    </row>
    <row r="538" spans="1:18" x14ac:dyDescent="0.25">
      <c r="A538">
        <v>6</v>
      </c>
      <c r="B538" t="str">
        <f>HYPERLINK("http://www.ncbi.nlm.nih.gov/protein/BAM48919.1","BAM48919.1")</f>
        <v>BAM48919.1</v>
      </c>
      <c r="C538">
        <v>42</v>
      </c>
      <c r="D538" t="str">
        <f>HYPERLINK("http://www.ncbi.nlm.nih.gov/Taxonomy/Browser/wwwtax.cgi?mode=Info&amp;id=7940&amp;lvl=3&amp;lin=f&amp;keep=1&amp;srchmode=1&amp;unlock","7940")</f>
        <v>7940</v>
      </c>
      <c r="E538" t="s">
        <v>384</v>
      </c>
      <c r="F538" t="s">
        <v>384</v>
      </c>
      <c r="G538" t="str">
        <f>HYPERLINK("http://www.ncbi.nlm.nih.gov/Taxonomy/Browser/wwwtax.cgi?mode=Info&amp;id=7940&amp;lvl=3&amp;lin=f&amp;keep=1&amp;srchmode=1&amp;unlock","Anguilla australis")</f>
        <v>Anguilla australis</v>
      </c>
      <c r="H538" t="s">
        <v>998</v>
      </c>
      <c r="I538" t="str">
        <f>HYPERLINK("http://www.ncbi.nlm.nih.gov/protein/BAM48919.1","androgen receptor beta, partial")</f>
        <v>androgen receptor beta, partial</v>
      </c>
      <c r="J538">
        <v>612.45000000000005</v>
      </c>
      <c r="K538" t="s">
        <v>25</v>
      </c>
      <c r="L538">
        <v>157</v>
      </c>
      <c r="M538">
        <v>44.41</v>
      </c>
      <c r="N538">
        <v>32.6</v>
      </c>
      <c r="O538" t="s">
        <v>25</v>
      </c>
      <c r="P538" t="s">
        <v>965</v>
      </c>
      <c r="Q538" t="s">
        <v>20</v>
      </c>
      <c r="R538" t="str">
        <f>HYPERLINK("https://cfpub.epa.gov/ecotox/explore.cfm?ncbi=7940","Explore in ECOTOX")</f>
        <v>Explore in ECOTOX</v>
      </c>
    </row>
    <row r="539" spans="1:18" x14ac:dyDescent="0.25">
      <c r="A539">
        <v>6</v>
      </c>
      <c r="B539" t="str">
        <f>HYPERLINK("http://www.ncbi.nlm.nih.gov/protein/XP_023153051.1","XP_023153051.1")</f>
        <v>XP_023153051.1</v>
      </c>
      <c r="C539">
        <v>48634</v>
      </c>
      <c r="D539" t="str">
        <f>HYPERLINK("http://www.ncbi.nlm.nih.gov/Taxonomy/Browser/wwwtax.cgi?mode=Info&amp;id=80972&amp;lvl=3&amp;lin=f&amp;keep=1&amp;srchmode=1&amp;unlock","80972")</f>
        <v>80972</v>
      </c>
      <c r="E539" t="s">
        <v>384</v>
      </c>
      <c r="F539" t="s">
        <v>384</v>
      </c>
      <c r="G539" t="str">
        <f>HYPERLINK("http://www.ncbi.nlm.nih.gov/Taxonomy/Browser/wwwtax.cgi?mode=Info&amp;id=80972&amp;lvl=3&amp;lin=f&amp;keep=1&amp;srchmode=1&amp;unlock","Amphiprion ocellaris")</f>
        <v>Amphiprion ocellaris</v>
      </c>
      <c r="H539" t="s">
        <v>525</v>
      </c>
      <c r="I539" t="str">
        <f>HYPERLINK("http://www.ncbi.nlm.nih.gov/protein/XP_023153051.1","androgen receptor isoform X1")</f>
        <v>androgen receptor isoform X1</v>
      </c>
      <c r="J539">
        <v>611.67999999999995</v>
      </c>
      <c r="K539" t="s">
        <v>25</v>
      </c>
      <c r="L539">
        <v>157</v>
      </c>
      <c r="M539">
        <v>44.41</v>
      </c>
      <c r="N539">
        <v>32.56</v>
      </c>
      <c r="O539" t="s">
        <v>25</v>
      </c>
      <c r="P539" t="s">
        <v>965</v>
      </c>
      <c r="Q539" t="s">
        <v>20</v>
      </c>
      <c r="R539" t="str">
        <f>HYPERLINK("https://cfpub.epa.gov/ecotox/explore.cfm?ncbi=80972","Explore in ECOTOX")</f>
        <v>Explore in ECOTOX</v>
      </c>
    </row>
    <row r="540" spans="1:18" x14ac:dyDescent="0.25">
      <c r="A540">
        <v>6</v>
      </c>
      <c r="B540" t="str">
        <f>HYPERLINK("http://www.ncbi.nlm.nih.gov/protein/XP_029113724.1","XP_029113724.1")</f>
        <v>XP_029113724.1</v>
      </c>
      <c r="C540">
        <v>72416</v>
      </c>
      <c r="D540" t="str">
        <f>HYPERLINK("http://www.ncbi.nlm.nih.gov/Taxonomy/Browser/wwwtax.cgi?mode=Info&amp;id=113540&amp;lvl=3&amp;lin=f&amp;keep=1&amp;srchmode=1&amp;unlock","113540")</f>
        <v>113540</v>
      </c>
      <c r="E540" t="s">
        <v>384</v>
      </c>
      <c r="F540" t="s">
        <v>384</v>
      </c>
      <c r="G540" t="str">
        <f>HYPERLINK("http://www.ncbi.nlm.nih.gov/Taxonomy/Browser/wwwtax.cgi?mode=Info&amp;id=113540&amp;lvl=3&amp;lin=f&amp;keep=1&amp;srchmode=1&amp;unlock","Scleropages formosus")</f>
        <v>Scleropages formosus</v>
      </c>
      <c r="H540" t="s">
        <v>627</v>
      </c>
      <c r="I540" t="str">
        <f>HYPERLINK("http://www.ncbi.nlm.nih.gov/protein/XP_029113724.1","androgen receptor")</f>
        <v>androgen receptor</v>
      </c>
      <c r="J540">
        <v>611.67999999999995</v>
      </c>
      <c r="K540" t="s">
        <v>25</v>
      </c>
      <c r="L540">
        <v>157</v>
      </c>
      <c r="M540">
        <v>44.41</v>
      </c>
      <c r="N540">
        <v>32.56</v>
      </c>
      <c r="O540" t="s">
        <v>25</v>
      </c>
      <c r="P540" t="s">
        <v>965</v>
      </c>
      <c r="Q540" t="s">
        <v>20</v>
      </c>
      <c r="R540" t="str">
        <f>HYPERLINK("https://cfpub.epa.gov/ecotox/explore.cfm?ncbi=113540","Explore in ECOTOX")</f>
        <v>Explore in ECOTOX</v>
      </c>
    </row>
    <row r="541" spans="1:18" x14ac:dyDescent="0.25">
      <c r="A541">
        <v>6</v>
      </c>
      <c r="B541" t="str">
        <f>HYPERLINK("http://www.ncbi.nlm.nih.gov/protein/XP_012678441.2","XP_012678441.2")</f>
        <v>XP_012678441.2</v>
      </c>
      <c r="C541">
        <v>43045</v>
      </c>
      <c r="D541" t="str">
        <f>HYPERLINK("http://www.ncbi.nlm.nih.gov/Taxonomy/Browser/wwwtax.cgi?mode=Info&amp;id=7950&amp;lvl=3&amp;lin=f&amp;keep=1&amp;srchmode=1&amp;unlock","7950")</f>
        <v>7950</v>
      </c>
      <c r="E541" t="s">
        <v>384</v>
      </c>
      <c r="F541" t="s">
        <v>384</v>
      </c>
      <c r="G541" t="str">
        <f>HYPERLINK("http://www.ncbi.nlm.nih.gov/Taxonomy/Browser/wwwtax.cgi?mode=Info&amp;id=7950&amp;lvl=3&amp;lin=f&amp;keep=1&amp;srchmode=1&amp;unlock","Clupea harengus")</f>
        <v>Clupea harengus</v>
      </c>
      <c r="H541" t="s">
        <v>385</v>
      </c>
      <c r="I541" t="str">
        <f>HYPERLINK("http://www.ncbi.nlm.nih.gov/protein/XP_012678441.2","androgen receptor")</f>
        <v>androgen receptor</v>
      </c>
      <c r="J541">
        <v>611.29999999999995</v>
      </c>
      <c r="K541" t="s">
        <v>25</v>
      </c>
      <c r="L541">
        <v>157</v>
      </c>
      <c r="M541">
        <v>44.41</v>
      </c>
      <c r="N541">
        <v>32.54</v>
      </c>
      <c r="O541" t="s">
        <v>25</v>
      </c>
      <c r="P541" t="s">
        <v>965</v>
      </c>
      <c r="Q541" t="s">
        <v>20</v>
      </c>
      <c r="R541" t="str">
        <f>HYPERLINK("https://cfpub.epa.gov/ecotox/explore.cfm?ncbi=7950","Explore in ECOTOX")</f>
        <v>Explore in ECOTOX</v>
      </c>
    </row>
    <row r="542" spans="1:18" x14ac:dyDescent="0.25">
      <c r="A542">
        <v>6</v>
      </c>
      <c r="B542" t="str">
        <f>HYPERLINK("http://www.ncbi.nlm.nih.gov/protein/XP_014340971.1","XP_014340971.1")</f>
        <v>XP_014340971.1</v>
      </c>
      <c r="C542">
        <v>34479</v>
      </c>
      <c r="D542" t="str">
        <f>HYPERLINK("http://www.ncbi.nlm.nih.gov/Taxonomy/Browser/wwwtax.cgi?mode=Info&amp;id=7897&amp;lvl=3&amp;lin=f&amp;keep=1&amp;srchmode=1&amp;unlock","7897")</f>
        <v>7897</v>
      </c>
      <c r="E542" t="s">
        <v>646</v>
      </c>
      <c r="F542" t="s">
        <v>646</v>
      </c>
      <c r="G542" t="str">
        <f>HYPERLINK("http://www.ncbi.nlm.nih.gov/Taxonomy/Browser/wwwtax.cgi?mode=Info&amp;id=7897&amp;lvl=3&amp;lin=f&amp;keep=1&amp;srchmode=1&amp;unlock","Latimeria chalumnae")</f>
        <v>Latimeria chalumnae</v>
      </c>
      <c r="H542" t="s">
        <v>647</v>
      </c>
      <c r="I542" t="str">
        <f>HYPERLINK("http://www.ncbi.nlm.nih.gov/protein/XP_014340971.1","PREDICTED: androgen receptor")</f>
        <v>PREDICTED: androgen receptor</v>
      </c>
      <c r="J542">
        <v>610.91</v>
      </c>
      <c r="K542" t="s">
        <v>25</v>
      </c>
      <c r="L542">
        <v>157</v>
      </c>
      <c r="M542">
        <v>44.41</v>
      </c>
      <c r="N542">
        <v>32.520000000000003</v>
      </c>
      <c r="O542" t="s">
        <v>25</v>
      </c>
      <c r="P542" t="s">
        <v>965</v>
      </c>
      <c r="Q542" t="s">
        <v>20</v>
      </c>
      <c r="R542" t="str">
        <f>HYPERLINK("https://cfpub.epa.gov/ecotox/explore.cfm?ncbi=7897","Explore in ECOTOX")</f>
        <v>Explore in ECOTOX</v>
      </c>
    </row>
    <row r="543" spans="1:18" x14ac:dyDescent="0.25">
      <c r="A543">
        <v>6</v>
      </c>
      <c r="B543" t="str">
        <f>HYPERLINK("http://www.ncbi.nlm.nih.gov/protein/AKP99415.1","AKP99415.1")</f>
        <v>AKP99415.1</v>
      </c>
      <c r="C543">
        <v>606</v>
      </c>
      <c r="D543" t="str">
        <f>HYPERLINK("http://www.ncbi.nlm.nih.gov/Taxonomy/Browser/wwwtax.cgi?mode=Info&amp;id=101364&amp;lvl=3&amp;lin=f&amp;keep=1&amp;srchmode=1&amp;unlock","101364")</f>
        <v>101364</v>
      </c>
      <c r="E543" t="s">
        <v>384</v>
      </c>
      <c r="F543" t="s">
        <v>384</v>
      </c>
      <c r="G543" t="str">
        <f>HYPERLINK("http://www.ncbi.nlm.nih.gov/Taxonomy/Browser/wwwtax.cgi?mode=Info&amp;id=101364&amp;lvl=3&amp;lin=f&amp;keep=1&amp;srchmode=1&amp;unlock","Carassius gibelio")</f>
        <v>Carassius gibelio</v>
      </c>
      <c r="H543" t="s">
        <v>999</v>
      </c>
      <c r="I543" t="str">
        <f>HYPERLINK("http://www.ncbi.nlm.nih.gov/protein/AKP99415.1","androgen receptor")</f>
        <v>androgen receptor</v>
      </c>
      <c r="J543">
        <v>609.76</v>
      </c>
      <c r="K543" t="s">
        <v>25</v>
      </c>
      <c r="L543">
        <v>157</v>
      </c>
      <c r="M543">
        <v>44.41</v>
      </c>
      <c r="N543">
        <v>32.46</v>
      </c>
      <c r="O543" t="s">
        <v>25</v>
      </c>
      <c r="P543" t="s">
        <v>965</v>
      </c>
      <c r="Q543" t="s">
        <v>20</v>
      </c>
      <c r="R543" t="str">
        <f>HYPERLINK("https://cfpub.epa.gov/ecotox/explore.cfm?ncbi=101364","Explore in ECOTOX")</f>
        <v>Explore in ECOTOX</v>
      </c>
    </row>
    <row r="544" spans="1:18" x14ac:dyDescent="0.25">
      <c r="A544">
        <v>6</v>
      </c>
      <c r="B544" t="str">
        <f>HYPERLINK("http://www.ncbi.nlm.nih.gov/protein/ADC35724.1","ADC35724.1")</f>
        <v>ADC35724.1</v>
      </c>
      <c r="C544">
        <v>371</v>
      </c>
      <c r="D544" t="str">
        <f>HYPERLINK("http://www.ncbi.nlm.nih.gov/Taxonomy/Browser/wwwtax.cgi?mode=Info&amp;id=143606&amp;lvl=3&amp;lin=f&amp;keep=1&amp;srchmode=1&amp;unlock","143606")</f>
        <v>143606</v>
      </c>
      <c r="E544" t="s">
        <v>384</v>
      </c>
      <c r="F544" t="s">
        <v>384</v>
      </c>
      <c r="G544" t="str">
        <f>HYPERLINK("http://www.ncbi.nlm.nih.gov/Taxonomy/Browser/wwwtax.cgi?mode=Info&amp;id=143606&amp;lvl=3&amp;lin=f&amp;keep=1&amp;srchmode=1&amp;unlock","Gobiocypris rarus")</f>
        <v>Gobiocypris rarus</v>
      </c>
      <c r="H544" t="s">
        <v>529</v>
      </c>
      <c r="I544" t="str">
        <f>HYPERLINK("http://www.ncbi.nlm.nih.gov/protein/ADC35724.1","androgen receptor")</f>
        <v>androgen receptor</v>
      </c>
      <c r="J544">
        <v>609.76</v>
      </c>
      <c r="K544" t="s">
        <v>25</v>
      </c>
      <c r="L544">
        <v>157</v>
      </c>
      <c r="M544">
        <v>44.41</v>
      </c>
      <c r="N544">
        <v>32.46</v>
      </c>
      <c r="O544" t="s">
        <v>25</v>
      </c>
      <c r="P544" t="s">
        <v>965</v>
      </c>
      <c r="Q544" t="s">
        <v>20</v>
      </c>
      <c r="R544" t="str">
        <f>HYPERLINK("https://cfpub.epa.gov/ecotox/explore.cfm?ncbi=143606","Explore in ECOTOX")</f>
        <v>Explore in ECOTOX</v>
      </c>
    </row>
    <row r="545" spans="1:18" x14ac:dyDescent="0.25">
      <c r="A545">
        <v>6</v>
      </c>
      <c r="B545" t="str">
        <f>HYPERLINK("http://www.ncbi.nlm.nih.gov/protein/XP_035522133.1","XP_035522133.1")</f>
        <v>XP_035522133.1</v>
      </c>
      <c r="C545">
        <v>31138</v>
      </c>
      <c r="D545" t="str">
        <f>HYPERLINK("http://www.ncbi.nlm.nih.gov/Taxonomy/Browser/wwwtax.cgi?mode=Info&amp;id=34816&amp;lvl=3&amp;lin=f&amp;keep=1&amp;srchmode=1&amp;unlock","34816")</f>
        <v>34816</v>
      </c>
      <c r="E545" t="s">
        <v>384</v>
      </c>
      <c r="F545" t="s">
        <v>384</v>
      </c>
      <c r="G545" t="str">
        <f>HYPERLINK("http://www.ncbi.nlm.nih.gov/Taxonomy/Browser/wwwtax.cgi?mode=Info&amp;id=34816&amp;lvl=3&amp;lin=f&amp;keep=1&amp;srchmode=1&amp;unlock","Morone saxatilis")</f>
        <v>Morone saxatilis</v>
      </c>
      <c r="H545" t="s">
        <v>555</v>
      </c>
      <c r="I545" t="str">
        <f>HYPERLINK("http://www.ncbi.nlm.nih.gov/protein/XP_035522133.1","androgen receptor-like")</f>
        <v>androgen receptor-like</v>
      </c>
      <c r="J545">
        <v>609.37</v>
      </c>
      <c r="K545" t="s">
        <v>25</v>
      </c>
      <c r="L545">
        <v>157</v>
      </c>
      <c r="M545">
        <v>44.41</v>
      </c>
      <c r="N545">
        <v>32.44</v>
      </c>
      <c r="O545" t="s">
        <v>25</v>
      </c>
      <c r="P545" t="s">
        <v>965</v>
      </c>
      <c r="Q545" t="s">
        <v>20</v>
      </c>
      <c r="R545" t="str">
        <f>HYPERLINK("https://cfpub.epa.gov/ecotox/explore.cfm?ncbi=34816","Explore in ECOTOX")</f>
        <v>Explore in ECOTOX</v>
      </c>
    </row>
    <row r="546" spans="1:18" x14ac:dyDescent="0.25">
      <c r="A546">
        <v>6</v>
      </c>
      <c r="B546" t="str">
        <f>HYPERLINK("http://www.ncbi.nlm.nih.gov/protein/ACA96518.1","ACA96518.1")</f>
        <v>ACA96518.1</v>
      </c>
      <c r="C546">
        <v>70</v>
      </c>
      <c r="D546" t="str">
        <f>HYPERLINK("http://www.ncbi.nlm.nih.gov/Taxonomy/Browser/wwwtax.cgi?mode=Info&amp;id=75369&amp;lvl=3&amp;lin=f&amp;keep=1&amp;srchmode=1&amp;unlock","75369")</f>
        <v>75369</v>
      </c>
      <c r="E546" t="s">
        <v>384</v>
      </c>
      <c r="F546" t="s">
        <v>384</v>
      </c>
      <c r="G546" t="str">
        <f>HYPERLINK("http://www.ncbi.nlm.nih.gov/Taxonomy/Browser/wwwtax.cgi?mode=Info&amp;id=75369&amp;lvl=3&amp;lin=f&amp;keep=1&amp;srchmode=1&amp;unlock","Spinibarbus denticulatus")</f>
        <v>Spinibarbus denticulatus</v>
      </c>
      <c r="H546" t="s">
        <v>529</v>
      </c>
      <c r="I546" t="str">
        <f>HYPERLINK("http://www.ncbi.nlm.nih.gov/protein/ACA96518.1","androgen receptor protein")</f>
        <v>androgen receptor protein</v>
      </c>
      <c r="J546">
        <v>608.99</v>
      </c>
      <c r="K546" t="s">
        <v>25</v>
      </c>
      <c r="L546">
        <v>157</v>
      </c>
      <c r="M546">
        <v>44.41</v>
      </c>
      <c r="N546">
        <v>32.42</v>
      </c>
      <c r="O546" t="s">
        <v>25</v>
      </c>
      <c r="P546" t="s">
        <v>965</v>
      </c>
      <c r="Q546" t="s">
        <v>20</v>
      </c>
      <c r="R546" t="str">
        <f>HYPERLINK("https://cfpub.epa.gov/ecotox/explore.cfm?ncbi=75369","Explore in ECOTOX")</f>
        <v>Explore in ECOTOX</v>
      </c>
    </row>
    <row r="547" spans="1:18" x14ac:dyDescent="0.25">
      <c r="A547">
        <v>6</v>
      </c>
      <c r="B547" t="str">
        <f>HYPERLINK("http://www.ncbi.nlm.nih.gov/protein/KAF4113183.1","KAF4113183.1")</f>
        <v>KAF4113183.1</v>
      </c>
      <c r="C547">
        <v>24833</v>
      </c>
      <c r="D547" t="str">
        <f>HYPERLINK("http://www.ncbi.nlm.nih.gov/Taxonomy/Browser/wwwtax.cgi?mode=Info&amp;id=369639&amp;lvl=3&amp;lin=f&amp;keep=1&amp;srchmode=1&amp;unlock","369639")</f>
        <v>369639</v>
      </c>
      <c r="E547" t="s">
        <v>384</v>
      </c>
      <c r="F547" t="s">
        <v>384</v>
      </c>
      <c r="G547" t="str">
        <f>HYPERLINK("http://www.ncbi.nlm.nih.gov/Taxonomy/Browser/wwwtax.cgi?mode=Info&amp;id=369639&amp;lvl=3&amp;lin=f&amp;keep=1&amp;srchmode=1&amp;unlock","Onychostoma macrolepis")</f>
        <v>Onychostoma macrolepis</v>
      </c>
      <c r="H547" t="s">
        <v>529</v>
      </c>
      <c r="I547" t="str">
        <f>HYPERLINK("http://www.ncbi.nlm.nih.gov/protein/KAF4113183.1","hypothetical protein G5714_005728")</f>
        <v>hypothetical protein G5714_005728</v>
      </c>
      <c r="J547">
        <v>608.6</v>
      </c>
      <c r="K547" t="s">
        <v>25</v>
      </c>
      <c r="L547">
        <v>157</v>
      </c>
      <c r="M547">
        <v>44.41</v>
      </c>
      <c r="N547">
        <v>32.4</v>
      </c>
      <c r="O547" t="s">
        <v>25</v>
      </c>
      <c r="P547" t="s">
        <v>965</v>
      </c>
      <c r="Q547" t="s">
        <v>20</v>
      </c>
      <c r="R547" t="str">
        <f>HYPERLINK("https://cfpub.epa.gov/ecotox/explore.cfm?ncbi=369639","Explore in ECOTOX")</f>
        <v>Explore in ECOTOX</v>
      </c>
    </row>
    <row r="548" spans="1:18" x14ac:dyDescent="0.25">
      <c r="A548">
        <v>6</v>
      </c>
      <c r="B548" t="str">
        <f>HYPERLINK("http://www.ncbi.nlm.nih.gov/protein/KAF7664194.1","KAF7664194.1")</f>
        <v>KAF7664194.1</v>
      </c>
      <c r="C548">
        <v>29676</v>
      </c>
      <c r="D548" t="str">
        <f>HYPERLINK("http://www.ncbi.nlm.nih.gov/Taxonomy/Browser/wwwtax.cgi?mode=Info&amp;id=670423&amp;lvl=3&amp;lin=f&amp;keep=1&amp;srchmode=1&amp;unlock","670423")</f>
        <v>670423</v>
      </c>
      <c r="E548" t="s">
        <v>384</v>
      </c>
      <c r="F548" t="s">
        <v>384</v>
      </c>
      <c r="G548" t="str">
        <f>HYPERLINK("http://www.ncbi.nlm.nih.gov/Taxonomy/Browser/wwwtax.cgi?mode=Info&amp;id=670423&amp;lvl=3&amp;lin=f&amp;keep=1&amp;srchmode=1&amp;unlock","Lucifuga dentata")</f>
        <v>Lucifuga dentata</v>
      </c>
      <c r="H548" t="s">
        <v>1000</v>
      </c>
      <c r="I548" t="str">
        <f>HYPERLINK("http://www.ncbi.nlm.nih.gov/protein/KAF7664194.1","hypothetical protein LDENG_00185350")</f>
        <v>hypothetical protein LDENG_00185350</v>
      </c>
      <c r="J548">
        <v>608.22</v>
      </c>
      <c r="K548" t="s">
        <v>25</v>
      </c>
      <c r="L548">
        <v>157</v>
      </c>
      <c r="M548">
        <v>44.41</v>
      </c>
      <c r="N548">
        <v>32.380000000000003</v>
      </c>
      <c r="O548" t="s">
        <v>25</v>
      </c>
      <c r="P548" t="s">
        <v>965</v>
      </c>
      <c r="Q548" t="s">
        <v>20</v>
      </c>
      <c r="R548" t="str">
        <f>HYPERLINK("https://cfpub.epa.gov/ecotox/explore.cfm?ncbi=670423","Explore in ECOTOX")</f>
        <v>Explore in ECOTOX</v>
      </c>
    </row>
    <row r="549" spans="1:18" x14ac:dyDescent="0.25">
      <c r="A549">
        <v>6</v>
      </c>
      <c r="B549" t="str">
        <f>HYPERLINK("http://www.ncbi.nlm.nih.gov/protein/XP_030648983.1","XP_030648983.1")</f>
        <v>XP_030648983.1</v>
      </c>
      <c r="C549">
        <v>30173</v>
      </c>
      <c r="D549" t="str">
        <f>HYPERLINK("http://www.ncbi.nlm.nih.gov/Taxonomy/Browser/wwwtax.cgi?mode=Info&amp;id=29144&amp;lvl=3&amp;lin=f&amp;keep=1&amp;srchmode=1&amp;unlock","29144")</f>
        <v>29144</v>
      </c>
      <c r="E549" t="s">
        <v>384</v>
      </c>
      <c r="F549" t="s">
        <v>384</v>
      </c>
      <c r="G549" t="str">
        <f>HYPERLINK("http://www.ncbi.nlm.nih.gov/Taxonomy/Browser/wwwtax.cgi?mode=Info&amp;id=29144&amp;lvl=3&amp;lin=f&amp;keep=1&amp;srchmode=1&amp;unlock","Chanos chanos")</f>
        <v>Chanos chanos</v>
      </c>
      <c r="H549" t="s">
        <v>658</v>
      </c>
      <c r="I549" t="str">
        <f>HYPERLINK("http://www.ncbi.nlm.nih.gov/protein/XP_030648983.1","androgen receptor")</f>
        <v>androgen receptor</v>
      </c>
      <c r="J549">
        <v>608.22</v>
      </c>
      <c r="K549" t="s">
        <v>25</v>
      </c>
      <c r="L549">
        <v>157</v>
      </c>
      <c r="M549">
        <v>44.41</v>
      </c>
      <c r="N549">
        <v>32.380000000000003</v>
      </c>
      <c r="O549" t="s">
        <v>25</v>
      </c>
      <c r="P549" t="s">
        <v>965</v>
      </c>
      <c r="Q549" t="s">
        <v>20</v>
      </c>
      <c r="R549" t="str">
        <f>HYPERLINK("https://cfpub.epa.gov/ecotox/explore.cfm?ncbi=29144","Explore in ECOTOX")</f>
        <v>Explore in ECOTOX</v>
      </c>
    </row>
    <row r="550" spans="1:18" x14ac:dyDescent="0.25">
      <c r="A550">
        <v>6</v>
      </c>
      <c r="B550" t="str">
        <f>HYPERLINK("http://www.ncbi.nlm.nih.gov/protein/XP_029925114.1","XP_029925114.1")</f>
        <v>XP_029925114.1</v>
      </c>
      <c r="C550">
        <v>38165</v>
      </c>
      <c r="D550" t="str">
        <f>HYPERLINK("http://www.ncbi.nlm.nih.gov/Taxonomy/Browser/wwwtax.cgi?mode=Info&amp;id=586833&amp;lvl=3&amp;lin=f&amp;keep=1&amp;srchmode=1&amp;unlock","586833")</f>
        <v>586833</v>
      </c>
      <c r="E550" t="s">
        <v>384</v>
      </c>
      <c r="F550" t="s">
        <v>384</v>
      </c>
      <c r="G550" t="str">
        <f>HYPERLINK("http://www.ncbi.nlm.nih.gov/Taxonomy/Browser/wwwtax.cgi?mode=Info&amp;id=586833&amp;lvl=3&amp;lin=f&amp;keep=1&amp;srchmode=1&amp;unlock","Myripristis murdjan")</f>
        <v>Myripristis murdjan</v>
      </c>
      <c r="H550" t="s">
        <v>533</v>
      </c>
      <c r="I550" t="str">
        <f>HYPERLINK("http://www.ncbi.nlm.nih.gov/protein/XP_029925114.1","androgen receptor-like")</f>
        <v>androgen receptor-like</v>
      </c>
      <c r="J550">
        <v>607.45000000000005</v>
      </c>
      <c r="K550" t="s">
        <v>25</v>
      </c>
      <c r="L550">
        <v>157</v>
      </c>
      <c r="M550">
        <v>44.41</v>
      </c>
      <c r="N550">
        <v>32.340000000000003</v>
      </c>
      <c r="O550" t="s">
        <v>25</v>
      </c>
      <c r="P550" t="s">
        <v>965</v>
      </c>
      <c r="Q550" t="s">
        <v>20</v>
      </c>
      <c r="R550" t="str">
        <f>HYPERLINK("https://cfpub.epa.gov/ecotox/explore.cfm?ncbi=586833","Explore in ECOTOX")</f>
        <v>Explore in ECOTOX</v>
      </c>
    </row>
    <row r="551" spans="1:18" x14ac:dyDescent="0.25">
      <c r="A551">
        <v>6</v>
      </c>
      <c r="B551" t="str">
        <f>HYPERLINK("http://www.ncbi.nlm.nih.gov/protein/AFU35774.1","AFU35774.1")</f>
        <v>AFU35774.1</v>
      </c>
      <c r="C551">
        <v>57</v>
      </c>
      <c r="D551" t="str">
        <f>HYPERLINK("http://www.ncbi.nlm.nih.gov/Taxonomy/Browser/wwwtax.cgi?mode=Info&amp;id=564874&amp;lvl=3&amp;lin=f&amp;keep=1&amp;srchmode=1&amp;unlock","564874")</f>
        <v>564874</v>
      </c>
      <c r="E551" t="s">
        <v>384</v>
      </c>
      <c r="F551" t="s">
        <v>384</v>
      </c>
      <c r="G551" t="str">
        <f>HYPERLINK("http://www.ncbi.nlm.nih.gov/Taxonomy/Browser/wwwtax.cgi?mode=Info&amp;id=564874&amp;lvl=3&amp;lin=f&amp;keep=1&amp;srchmode=1&amp;unlock","Carassius auratus ssp. 'Pengze'")</f>
        <v>Carassius auratus ssp. 'Pengze'</v>
      </c>
      <c r="H551" t="s">
        <v>1001</v>
      </c>
      <c r="I551" t="str">
        <f>HYPERLINK("http://www.ncbi.nlm.nih.gov/protein/AFU35774.1","androgen receptor")</f>
        <v>androgen receptor</v>
      </c>
      <c r="J551">
        <v>606.66999999999996</v>
      </c>
      <c r="K551" t="s">
        <v>25</v>
      </c>
      <c r="L551">
        <v>157</v>
      </c>
      <c r="M551">
        <v>44.41</v>
      </c>
      <c r="N551">
        <v>32.29</v>
      </c>
      <c r="O551" t="s">
        <v>25</v>
      </c>
      <c r="P551" t="s">
        <v>965</v>
      </c>
      <c r="Q551" t="s">
        <v>20</v>
      </c>
      <c r="R551" t="str">
        <f>HYPERLINK("https://cfpub.epa.gov/ecotox/explore.cfm?ncbi=564874","Explore in ECOTOX")</f>
        <v>Explore in ECOTOX</v>
      </c>
    </row>
    <row r="552" spans="1:18" x14ac:dyDescent="0.25">
      <c r="A552">
        <v>6</v>
      </c>
      <c r="B552" t="str">
        <f>HYPERLINK("http://www.ncbi.nlm.nih.gov/protein/XP_038630283.1","XP_038630283.1")</f>
        <v>XP_038630283.1</v>
      </c>
      <c r="C552">
        <v>50056</v>
      </c>
      <c r="D552" t="str">
        <f>HYPERLINK("http://www.ncbi.nlm.nih.gov/Taxonomy/Browser/wwwtax.cgi?mode=Info&amp;id=7830&amp;lvl=3&amp;lin=f&amp;keep=1&amp;srchmode=1&amp;unlock","7830")</f>
        <v>7830</v>
      </c>
      <c r="E552" t="s">
        <v>550</v>
      </c>
      <c r="F552" t="s">
        <v>550</v>
      </c>
      <c r="G552" t="str">
        <f>HYPERLINK("http://www.ncbi.nlm.nih.gov/Taxonomy/Browser/wwwtax.cgi?mode=Info&amp;id=7830&amp;lvl=3&amp;lin=f&amp;keep=1&amp;srchmode=1&amp;unlock","Scyliorhinus canicula")</f>
        <v>Scyliorhinus canicula</v>
      </c>
      <c r="H552" t="s">
        <v>614</v>
      </c>
      <c r="I552" t="str">
        <f>HYPERLINK("http://www.ncbi.nlm.nih.gov/protein/XP_038630283.1","androgen receptor isoform X1")</f>
        <v>androgen receptor isoform X1</v>
      </c>
      <c r="J552">
        <v>606.29</v>
      </c>
      <c r="K552" t="s">
        <v>25</v>
      </c>
      <c r="L552">
        <v>157</v>
      </c>
      <c r="M552">
        <v>44.41</v>
      </c>
      <c r="N552">
        <v>32.270000000000003</v>
      </c>
      <c r="O552" t="s">
        <v>25</v>
      </c>
      <c r="P552" t="s">
        <v>965</v>
      </c>
      <c r="Q552" t="s">
        <v>20</v>
      </c>
      <c r="R552" t="str">
        <f>HYPERLINK("https://cfpub.epa.gov/ecotox/explore.cfm?ncbi=7830","Explore in ECOTOX")</f>
        <v>Explore in ECOTOX</v>
      </c>
    </row>
    <row r="553" spans="1:18" x14ac:dyDescent="0.25">
      <c r="A553">
        <v>6</v>
      </c>
      <c r="B553" t="str">
        <f>HYPERLINK("http://www.ncbi.nlm.nih.gov/protein/XP_016430523.1","XP_016430523.1")</f>
        <v>XP_016430523.1</v>
      </c>
      <c r="C553">
        <v>68583</v>
      </c>
      <c r="D553" t="str">
        <f>HYPERLINK("http://www.ncbi.nlm.nih.gov/Taxonomy/Browser/wwwtax.cgi?mode=Info&amp;id=307959&amp;lvl=3&amp;lin=f&amp;keep=1&amp;srchmode=1&amp;unlock","307959")</f>
        <v>307959</v>
      </c>
      <c r="E553" t="s">
        <v>384</v>
      </c>
      <c r="F553" t="s">
        <v>384</v>
      </c>
      <c r="G553" t="str">
        <f>HYPERLINK("http://www.ncbi.nlm.nih.gov/Taxonomy/Browser/wwwtax.cgi?mode=Info&amp;id=307959&amp;lvl=3&amp;lin=f&amp;keep=1&amp;srchmode=1&amp;unlock","Sinocyclocheilus rhinocerous")</f>
        <v>Sinocyclocheilus rhinocerous</v>
      </c>
      <c r="H553" t="s">
        <v>529</v>
      </c>
      <c r="I553" t="str">
        <f>HYPERLINK("http://www.ncbi.nlm.nih.gov/protein/XP_016430523.1","PREDICTED: androgen receptor-like")</f>
        <v>PREDICTED: androgen receptor-like</v>
      </c>
      <c r="J553">
        <v>605.9</v>
      </c>
      <c r="K553" t="s">
        <v>25</v>
      </c>
      <c r="L553">
        <v>157</v>
      </c>
      <c r="M553">
        <v>44.41</v>
      </c>
      <c r="N553">
        <v>32.25</v>
      </c>
      <c r="O553" t="s">
        <v>25</v>
      </c>
      <c r="P553" t="s">
        <v>965</v>
      </c>
      <c r="Q553" t="s">
        <v>20</v>
      </c>
      <c r="R553" t="str">
        <f>HYPERLINK("https://cfpub.epa.gov/ecotox/explore.cfm?ncbi=307959","Explore in ECOTOX")</f>
        <v>Explore in ECOTOX</v>
      </c>
    </row>
    <row r="554" spans="1:18" x14ac:dyDescent="0.25">
      <c r="A554">
        <v>6</v>
      </c>
      <c r="B554" t="str">
        <f>HYPERLINK("http://www.ncbi.nlm.nih.gov/protein/XP_022067774.1","XP_022067774.1")</f>
        <v>XP_022067774.1</v>
      </c>
      <c r="C554">
        <v>36648</v>
      </c>
      <c r="D554" t="str">
        <f>HYPERLINK("http://www.ncbi.nlm.nih.gov/Taxonomy/Browser/wwwtax.cgi?mode=Info&amp;id=80966&amp;lvl=3&amp;lin=f&amp;keep=1&amp;srchmode=1&amp;unlock","80966")</f>
        <v>80966</v>
      </c>
      <c r="E554" t="s">
        <v>384</v>
      </c>
      <c r="F554" t="s">
        <v>384</v>
      </c>
      <c r="G554" t="str">
        <f>HYPERLINK("http://www.ncbi.nlm.nih.gov/Taxonomy/Browser/wwwtax.cgi?mode=Info&amp;id=80966&amp;lvl=3&amp;lin=f&amp;keep=1&amp;srchmode=1&amp;unlock","Acanthochromis polyacanthus")</f>
        <v>Acanthochromis polyacanthus</v>
      </c>
      <c r="H554" t="s">
        <v>1002</v>
      </c>
      <c r="I554" t="str">
        <f>HYPERLINK("http://www.ncbi.nlm.nih.gov/protein/XP_022067774.1","androgen receptor")</f>
        <v>androgen receptor</v>
      </c>
      <c r="J554">
        <v>605.52</v>
      </c>
      <c r="K554" t="s">
        <v>25</v>
      </c>
      <c r="L554">
        <v>157</v>
      </c>
      <c r="M554">
        <v>44.41</v>
      </c>
      <c r="N554">
        <v>32.229999999999997</v>
      </c>
      <c r="O554" t="s">
        <v>25</v>
      </c>
      <c r="P554" t="s">
        <v>965</v>
      </c>
      <c r="Q554" t="s">
        <v>20</v>
      </c>
      <c r="R554" t="str">
        <f>HYPERLINK("https://cfpub.epa.gov/ecotox/explore.cfm?ncbi=80966","Explore in ECOTOX")</f>
        <v>Explore in ECOTOX</v>
      </c>
    </row>
    <row r="555" spans="1:18" x14ac:dyDescent="0.25">
      <c r="A555">
        <v>6</v>
      </c>
      <c r="B555" t="str">
        <f>HYPERLINK("http://www.ncbi.nlm.nih.gov/protein/ANA50341.1","ANA50341.1")</f>
        <v>ANA50341.1</v>
      </c>
      <c r="C555">
        <v>5</v>
      </c>
      <c r="D555" t="str">
        <f>HYPERLINK("http://www.ncbi.nlm.nih.gov/Taxonomy/Browser/wwwtax.cgi?mode=Info&amp;id=749193&amp;lvl=3&amp;lin=f&amp;keep=1&amp;srchmode=1&amp;unlock","749193")</f>
        <v>749193</v>
      </c>
      <c r="E555" t="s">
        <v>384</v>
      </c>
      <c r="F555" t="s">
        <v>384</v>
      </c>
      <c r="G555" t="str">
        <f>HYPERLINK("http://www.ncbi.nlm.nih.gov/Taxonomy/Browser/wwwtax.cgi?mode=Info&amp;id=749193&amp;lvl=3&amp;lin=f&amp;keep=1&amp;srchmode=1&amp;unlock","Cyprinus carpio 'singuonensis'")</f>
        <v>Cyprinus carpio 'singuonensis'</v>
      </c>
      <c r="H555" t="s">
        <v>625</v>
      </c>
      <c r="I555" t="str">
        <f>HYPERLINK("http://www.ncbi.nlm.nih.gov/protein/ANA50341.1","androgen receptor")</f>
        <v>androgen receptor</v>
      </c>
      <c r="J555">
        <v>604.75</v>
      </c>
      <c r="K555" t="s">
        <v>25</v>
      </c>
      <c r="L555">
        <v>157</v>
      </c>
      <c r="M555">
        <v>44.41</v>
      </c>
      <c r="N555">
        <v>32.19</v>
      </c>
      <c r="O555" t="s">
        <v>25</v>
      </c>
      <c r="P555" t="s">
        <v>965</v>
      </c>
      <c r="Q555" t="s">
        <v>20</v>
      </c>
      <c r="R555" t="str">
        <f>HYPERLINK("https://cfpub.epa.gov/ecotox/explore.cfm?ncbi=749193","Explore in ECOTOX")</f>
        <v>Explore in ECOTOX</v>
      </c>
    </row>
    <row r="556" spans="1:18" x14ac:dyDescent="0.25">
      <c r="A556">
        <v>6</v>
      </c>
      <c r="B556" t="str">
        <f>HYPERLINK("http://www.ncbi.nlm.nih.gov/protein/ABW79801.1","ABW79801.1")</f>
        <v>ABW79801.1</v>
      </c>
      <c r="C556">
        <v>316</v>
      </c>
      <c r="D556" t="str">
        <f>HYPERLINK("http://www.ncbi.nlm.nih.gov/Taxonomy/Browser/wwwtax.cgi?mode=Info&amp;id=7782&amp;lvl=3&amp;lin=f&amp;keep=1&amp;srchmode=1&amp;unlock","7782")</f>
        <v>7782</v>
      </c>
      <c r="E556" t="s">
        <v>550</v>
      </c>
      <c r="F556" t="s">
        <v>550</v>
      </c>
      <c r="G556" t="str">
        <f>HYPERLINK("http://www.ncbi.nlm.nih.gov/Taxonomy/Browser/wwwtax.cgi?mode=Info&amp;id=7782&amp;lvl=3&amp;lin=f&amp;keep=1&amp;srchmode=1&amp;unlock","Leucoraja erinacea")</f>
        <v>Leucoraja erinacea</v>
      </c>
      <c r="H556" t="s">
        <v>1003</v>
      </c>
      <c r="I556" t="str">
        <f>HYPERLINK("http://www.ncbi.nlm.nih.gov/protein/ABW79801.1","testicular androgen receptor, partial")</f>
        <v>testicular androgen receptor, partial</v>
      </c>
      <c r="J556">
        <v>604.36</v>
      </c>
      <c r="K556" t="s">
        <v>25</v>
      </c>
      <c r="L556">
        <v>157</v>
      </c>
      <c r="M556">
        <v>44.41</v>
      </c>
      <c r="N556">
        <v>32.17</v>
      </c>
      <c r="O556" t="s">
        <v>25</v>
      </c>
      <c r="P556" t="s">
        <v>965</v>
      </c>
      <c r="Q556" t="s">
        <v>20</v>
      </c>
      <c r="R556" t="str">
        <f>HYPERLINK("https://cfpub.epa.gov/ecotox/explore.cfm?ncbi=7782","Explore in ECOTOX")</f>
        <v>Explore in ECOTOX</v>
      </c>
    </row>
    <row r="557" spans="1:18" x14ac:dyDescent="0.25">
      <c r="A557">
        <v>6</v>
      </c>
      <c r="B557" t="str">
        <f>HYPERLINK("http://www.ncbi.nlm.nih.gov/protein/AGN52747.1","AGN52747.1")</f>
        <v>AGN52747.1</v>
      </c>
      <c r="C557">
        <v>250</v>
      </c>
      <c r="D557" t="str">
        <f>HYPERLINK("http://www.ncbi.nlm.nih.gov/Taxonomy/Browser/wwwtax.cgi?mode=Info&amp;id=111304&amp;lvl=3&amp;lin=f&amp;keep=1&amp;srchmode=1&amp;unlock","111304")</f>
        <v>111304</v>
      </c>
      <c r="E557" t="s">
        <v>384</v>
      </c>
      <c r="F557" t="s">
        <v>384</v>
      </c>
      <c r="G557" t="str">
        <f>HYPERLINK("http://www.ncbi.nlm.nih.gov/Taxonomy/Browser/wwwtax.cgi?mode=Info&amp;id=111304&amp;lvl=3&amp;lin=f&amp;keep=1&amp;srchmode=1&amp;unlock","Acipenser schrenckii")</f>
        <v>Acipenser schrenckii</v>
      </c>
      <c r="H557" t="s">
        <v>1004</v>
      </c>
      <c r="I557" t="str">
        <f>HYPERLINK("http://www.ncbi.nlm.nih.gov/protein/AGN52747.1","androgen receptor")</f>
        <v>androgen receptor</v>
      </c>
      <c r="J557">
        <v>603.59</v>
      </c>
      <c r="K557" t="s">
        <v>25</v>
      </c>
      <c r="L557">
        <v>157</v>
      </c>
      <c r="M557">
        <v>44.41</v>
      </c>
      <c r="N557">
        <v>32.130000000000003</v>
      </c>
      <c r="O557" t="s">
        <v>25</v>
      </c>
      <c r="P557" t="s">
        <v>965</v>
      </c>
      <c r="Q557" t="s">
        <v>20</v>
      </c>
      <c r="R557" t="str">
        <f>HYPERLINK("https://cfpub.epa.gov/ecotox/explore.cfm?ncbi=111304","Explore in ECOTOX")</f>
        <v>Explore in ECOTOX</v>
      </c>
    </row>
    <row r="558" spans="1:18" x14ac:dyDescent="0.25">
      <c r="A558">
        <v>6</v>
      </c>
      <c r="B558" t="str">
        <f>HYPERLINK("http://www.ncbi.nlm.nih.gov/protein/AAU09477.1","AAU09477.1")</f>
        <v>AAU09477.1</v>
      </c>
      <c r="C558">
        <v>92</v>
      </c>
      <c r="D558" t="str">
        <f>HYPERLINK("http://www.ncbi.nlm.nih.gov/Taxonomy/Browser/wwwtax.cgi?mode=Info&amp;id=29154&amp;lvl=3&amp;lin=f&amp;keep=1&amp;srchmode=1&amp;unlock","29154")</f>
        <v>29154</v>
      </c>
      <c r="E558" t="s">
        <v>384</v>
      </c>
      <c r="F558" t="s">
        <v>384</v>
      </c>
      <c r="G558" t="str">
        <f>HYPERLINK("http://www.ncbi.nlm.nih.gov/Taxonomy/Browser/wwwtax.cgi?mode=Info&amp;id=29154&amp;lvl=3&amp;lin=f&amp;keep=1&amp;srchmode=1&amp;unlock","Micropogonias undulatus")</f>
        <v>Micropogonias undulatus</v>
      </c>
      <c r="H558" t="s">
        <v>1005</v>
      </c>
      <c r="I558" t="str">
        <f>HYPERLINK("http://www.ncbi.nlm.nih.gov/protein/AAU09477.1","nuclear androgen receptor")</f>
        <v>nuclear androgen receptor</v>
      </c>
      <c r="J558">
        <v>602.82000000000005</v>
      </c>
      <c r="K558" t="s">
        <v>25</v>
      </c>
      <c r="L558">
        <v>157</v>
      </c>
      <c r="M558">
        <v>44.41</v>
      </c>
      <c r="N558">
        <v>32.090000000000003</v>
      </c>
      <c r="O558" t="s">
        <v>25</v>
      </c>
      <c r="P558" t="s">
        <v>965</v>
      </c>
      <c r="Q558" t="s">
        <v>20</v>
      </c>
      <c r="R558" t="str">
        <f>HYPERLINK("https://cfpub.epa.gov/ecotox/explore.cfm?ncbi=29154","Explore in ECOTOX")</f>
        <v>Explore in ECOTOX</v>
      </c>
    </row>
    <row r="559" spans="1:18" x14ac:dyDescent="0.25">
      <c r="A559">
        <v>6</v>
      </c>
      <c r="B559" t="str">
        <f>HYPERLINK("http://www.ncbi.nlm.nih.gov/protein/XP_028276724.1","XP_028276724.1")</f>
        <v>XP_028276724.1</v>
      </c>
      <c r="C559">
        <v>41035</v>
      </c>
      <c r="D559" t="str">
        <f>HYPERLINK("http://www.ncbi.nlm.nih.gov/Taxonomy/Browser/wwwtax.cgi?mode=Info&amp;id=210632&amp;lvl=3&amp;lin=f&amp;keep=1&amp;srchmode=1&amp;unlock","210632")</f>
        <v>210632</v>
      </c>
      <c r="E559" t="s">
        <v>384</v>
      </c>
      <c r="F559" t="s">
        <v>384</v>
      </c>
      <c r="G559" t="str">
        <f>HYPERLINK("http://www.ncbi.nlm.nih.gov/Taxonomy/Browser/wwwtax.cgi?mode=Info&amp;id=210632&amp;lvl=3&amp;lin=f&amp;keep=1&amp;srchmode=1&amp;unlock","Parambassis ranga")</f>
        <v>Parambassis ranga</v>
      </c>
      <c r="H559" t="s">
        <v>549</v>
      </c>
      <c r="I559" t="str">
        <f>HYPERLINK("http://www.ncbi.nlm.nih.gov/protein/XP_028276724.1","androgen receptor")</f>
        <v>androgen receptor</v>
      </c>
      <c r="J559">
        <v>602.82000000000005</v>
      </c>
      <c r="K559" t="s">
        <v>25</v>
      </c>
      <c r="L559">
        <v>157</v>
      </c>
      <c r="M559">
        <v>44.41</v>
      </c>
      <c r="N559">
        <v>32.090000000000003</v>
      </c>
      <c r="O559" t="s">
        <v>25</v>
      </c>
      <c r="P559" t="s">
        <v>965</v>
      </c>
      <c r="Q559" t="s">
        <v>20</v>
      </c>
      <c r="R559" t="str">
        <f>HYPERLINK("https://cfpub.epa.gov/ecotox/explore.cfm?ncbi=210632","Explore in ECOTOX")</f>
        <v>Explore in ECOTOX</v>
      </c>
    </row>
    <row r="560" spans="1:18" x14ac:dyDescent="0.25">
      <c r="A560">
        <v>6</v>
      </c>
      <c r="B560" t="str">
        <f>HYPERLINK("http://www.ncbi.nlm.nih.gov/protein/XP_030009492.1","XP_030009492.1")</f>
        <v>XP_030009492.1</v>
      </c>
      <c r="C560">
        <v>42352</v>
      </c>
      <c r="D560" t="str">
        <f>HYPERLINK("http://www.ncbi.nlm.nih.gov/Taxonomy/Browser/wwwtax.cgi?mode=Info&amp;id=375764&amp;lvl=3&amp;lin=f&amp;keep=1&amp;srchmode=1&amp;unlock","375764")</f>
        <v>375764</v>
      </c>
      <c r="E560" t="s">
        <v>384</v>
      </c>
      <c r="F560" t="s">
        <v>384</v>
      </c>
      <c r="G560" t="str">
        <f>HYPERLINK("http://www.ncbi.nlm.nih.gov/Taxonomy/Browser/wwwtax.cgi?mode=Info&amp;id=375764&amp;lvl=3&amp;lin=f&amp;keep=1&amp;srchmode=1&amp;unlock","Sphaeramia orbicularis")</f>
        <v>Sphaeramia orbicularis</v>
      </c>
      <c r="H560" t="s">
        <v>561</v>
      </c>
      <c r="I560" t="str">
        <f>HYPERLINK("http://www.ncbi.nlm.nih.gov/protein/XP_030009492.1","androgen receptor-like")</f>
        <v>androgen receptor-like</v>
      </c>
      <c r="J560">
        <v>602.44000000000005</v>
      </c>
      <c r="K560" t="s">
        <v>25</v>
      </c>
      <c r="L560">
        <v>157</v>
      </c>
      <c r="M560">
        <v>44.41</v>
      </c>
      <c r="N560">
        <v>32.07</v>
      </c>
      <c r="O560" t="s">
        <v>25</v>
      </c>
      <c r="P560" t="s">
        <v>965</v>
      </c>
      <c r="Q560" t="s">
        <v>20</v>
      </c>
      <c r="R560" t="str">
        <f>HYPERLINK("https://cfpub.epa.gov/ecotox/explore.cfm?ncbi=375764","Explore in ECOTOX")</f>
        <v>Explore in ECOTOX</v>
      </c>
    </row>
    <row r="561" spans="1:18" x14ac:dyDescent="0.25">
      <c r="A561">
        <v>6</v>
      </c>
      <c r="B561" t="str">
        <f>HYPERLINK("http://www.ncbi.nlm.nih.gov/protein/XP_034461725.1","XP_034461725.1")</f>
        <v>XP_034461725.1</v>
      </c>
      <c r="C561">
        <v>47299</v>
      </c>
      <c r="D561" t="str">
        <f>HYPERLINK("http://www.ncbi.nlm.nih.gov/Taxonomy/Browser/wwwtax.cgi?mode=Info&amp;id=8267&amp;lvl=3&amp;lin=f&amp;keep=1&amp;srchmode=1&amp;unlock","8267")</f>
        <v>8267</v>
      </c>
      <c r="E561" t="s">
        <v>384</v>
      </c>
      <c r="F561" t="s">
        <v>384</v>
      </c>
      <c r="G561" t="str">
        <f>HYPERLINK("http://www.ncbi.nlm.nih.gov/Taxonomy/Browser/wwwtax.cgi?mode=Info&amp;id=8267&amp;lvl=3&amp;lin=f&amp;keep=1&amp;srchmode=1&amp;unlock","Hippoglossus hippoglossus")</f>
        <v>Hippoglossus hippoglossus</v>
      </c>
      <c r="H561" t="s">
        <v>538</v>
      </c>
      <c r="I561" t="str">
        <f>HYPERLINK("http://www.ncbi.nlm.nih.gov/protein/XP_034461725.1","androgen receptor-like isoform X6")</f>
        <v>androgen receptor-like isoform X6</v>
      </c>
      <c r="J561">
        <v>602.44000000000005</v>
      </c>
      <c r="K561" t="s">
        <v>25</v>
      </c>
      <c r="L561">
        <v>157</v>
      </c>
      <c r="M561">
        <v>44.41</v>
      </c>
      <c r="N561">
        <v>32.07</v>
      </c>
      <c r="O561" t="s">
        <v>25</v>
      </c>
      <c r="P561" t="s">
        <v>965</v>
      </c>
      <c r="Q561" t="s">
        <v>20</v>
      </c>
      <c r="R561" t="str">
        <f>HYPERLINK("https://cfpub.epa.gov/ecotox/explore.cfm?ncbi=8267","Explore in ECOTOX")</f>
        <v>Explore in ECOTOX</v>
      </c>
    </row>
    <row r="562" spans="1:18" x14ac:dyDescent="0.25">
      <c r="A562">
        <v>6</v>
      </c>
      <c r="B562" t="str">
        <f>HYPERLINK("http://www.ncbi.nlm.nih.gov/protein/XP_039505961.1","XP_039505961.1")</f>
        <v>XP_039505961.1</v>
      </c>
      <c r="C562">
        <v>96106</v>
      </c>
      <c r="D562" t="str">
        <f>HYPERLINK("http://www.ncbi.nlm.nih.gov/Taxonomy/Browser/wwwtax.cgi?mode=Info&amp;id=90988&amp;lvl=3&amp;lin=f&amp;keep=1&amp;srchmode=1&amp;unlock","90988")</f>
        <v>90988</v>
      </c>
      <c r="E562" t="s">
        <v>384</v>
      </c>
      <c r="F562" t="s">
        <v>384</v>
      </c>
      <c r="G562" t="str">
        <f>HYPERLINK("http://www.ncbi.nlm.nih.gov/Taxonomy/Browser/wwwtax.cgi?mode=Info&amp;id=90988&amp;lvl=3&amp;lin=f&amp;keep=1&amp;srchmode=1&amp;unlock","Pimephales promelas")</f>
        <v>Pimephales promelas</v>
      </c>
      <c r="H562" t="s">
        <v>513</v>
      </c>
      <c r="I562" t="str">
        <f>HYPERLINK("http://www.ncbi.nlm.nih.gov/protein/XP_039505961.1","androgen receptor")</f>
        <v>androgen receptor</v>
      </c>
      <c r="J562">
        <v>602.44000000000005</v>
      </c>
      <c r="K562" t="s">
        <v>25</v>
      </c>
      <c r="L562">
        <v>157</v>
      </c>
      <c r="M562">
        <v>44.41</v>
      </c>
      <c r="N562">
        <v>32.07</v>
      </c>
      <c r="O562" t="s">
        <v>25</v>
      </c>
      <c r="P562" t="s">
        <v>965</v>
      </c>
      <c r="Q562" t="s">
        <v>20</v>
      </c>
      <c r="R562" t="str">
        <f>HYPERLINK("https://cfpub.epa.gov/ecotox/explore.cfm?ncbi=90988","Explore in ECOTOX")</f>
        <v>Explore in ECOTOX</v>
      </c>
    </row>
    <row r="563" spans="1:18" x14ac:dyDescent="0.25">
      <c r="A563">
        <v>6</v>
      </c>
      <c r="B563" t="str">
        <f>HYPERLINK("http://www.ncbi.nlm.nih.gov/protein/XP_035034996.1","XP_035034996.1")</f>
        <v>XP_035034996.1</v>
      </c>
      <c r="C563">
        <v>65062</v>
      </c>
      <c r="D563" t="str">
        <f>HYPERLINK("http://www.ncbi.nlm.nih.gov/Taxonomy/Browser/wwwtax.cgi?mode=Info&amp;id=195615&amp;lvl=3&amp;lin=f&amp;keep=1&amp;srchmode=1&amp;unlock","195615")</f>
        <v>195615</v>
      </c>
      <c r="E563" t="s">
        <v>384</v>
      </c>
      <c r="F563" t="s">
        <v>384</v>
      </c>
      <c r="G563" t="str">
        <f>HYPERLINK("http://www.ncbi.nlm.nih.gov/Taxonomy/Browser/wwwtax.cgi?mode=Info&amp;id=195615&amp;lvl=3&amp;lin=f&amp;keep=1&amp;srchmode=1&amp;unlock","Hippoglossus stenolepis")</f>
        <v>Hippoglossus stenolepis</v>
      </c>
      <c r="H563" t="s">
        <v>524</v>
      </c>
      <c r="I563" t="str">
        <f>HYPERLINK("http://www.ncbi.nlm.nih.gov/protein/XP_035034996.1","androgen receptor-like isoform X6")</f>
        <v>androgen receptor-like isoform X6</v>
      </c>
      <c r="J563">
        <v>602.04999999999995</v>
      </c>
      <c r="K563" t="s">
        <v>25</v>
      </c>
      <c r="L563">
        <v>157</v>
      </c>
      <c r="M563">
        <v>44.41</v>
      </c>
      <c r="N563">
        <v>32.049999999999997</v>
      </c>
      <c r="O563" t="s">
        <v>25</v>
      </c>
      <c r="P563" t="s">
        <v>965</v>
      </c>
      <c r="Q563" t="s">
        <v>20</v>
      </c>
      <c r="R563" t="str">
        <f>HYPERLINK("https://cfpub.epa.gov/ecotox/explore.cfm?ncbi=195615","Explore in ECOTOX")</f>
        <v>Explore in ECOTOX</v>
      </c>
    </row>
    <row r="564" spans="1:18" x14ac:dyDescent="0.25">
      <c r="A564">
        <v>6</v>
      </c>
      <c r="B564" t="str">
        <f>HYPERLINK("http://www.ncbi.nlm.nih.gov/protein/AGV29986.1","AGV29986.1")</f>
        <v>AGV29986.1</v>
      </c>
      <c r="C564">
        <v>37796</v>
      </c>
      <c r="D564" t="str">
        <f>HYPERLINK("http://www.ncbi.nlm.nih.gov/Taxonomy/Browser/wwwtax.cgi?mode=Info&amp;id=8255&amp;lvl=3&amp;lin=f&amp;keep=1&amp;srchmode=1&amp;unlock","8255")</f>
        <v>8255</v>
      </c>
      <c r="E564" t="s">
        <v>384</v>
      </c>
      <c r="F564" t="s">
        <v>384</v>
      </c>
      <c r="G564" t="str">
        <f>HYPERLINK("http://www.ncbi.nlm.nih.gov/Taxonomy/Browser/wwwtax.cgi?mode=Info&amp;id=8255&amp;lvl=3&amp;lin=f&amp;keep=1&amp;srchmode=1&amp;unlock","Paralichthys olivaceus")</f>
        <v>Paralichthys olivaceus</v>
      </c>
      <c r="H564" t="s">
        <v>563</v>
      </c>
      <c r="I564" t="str">
        <f>HYPERLINK("http://www.ncbi.nlm.nih.gov/protein/AGV29986.1","androgen receptor beta")</f>
        <v>androgen receptor beta</v>
      </c>
      <c r="J564">
        <v>602.04999999999995</v>
      </c>
      <c r="K564" t="s">
        <v>25</v>
      </c>
      <c r="L564">
        <v>157</v>
      </c>
      <c r="M564">
        <v>44.41</v>
      </c>
      <c r="N564">
        <v>32.049999999999997</v>
      </c>
      <c r="O564" t="s">
        <v>25</v>
      </c>
      <c r="P564" t="s">
        <v>965</v>
      </c>
      <c r="Q564" t="s">
        <v>20</v>
      </c>
      <c r="R564" t="str">
        <f>HYPERLINK("https://cfpub.epa.gov/ecotox/explore.cfm?ncbi=8255","Explore in ECOTOX")</f>
        <v>Explore in ECOTOX</v>
      </c>
    </row>
    <row r="565" spans="1:18" x14ac:dyDescent="0.25">
      <c r="A565">
        <v>6</v>
      </c>
      <c r="B565" t="str">
        <f>HYPERLINK("http://www.ncbi.nlm.nih.gov/protein/XP_030601688.1","XP_030601688.1")</f>
        <v>XP_030601688.1</v>
      </c>
      <c r="C565">
        <v>41125</v>
      </c>
      <c r="D565" t="str">
        <f>HYPERLINK("http://www.ncbi.nlm.nih.gov/Taxonomy/Browser/wwwtax.cgi?mode=Info&amp;id=63155&amp;lvl=3&amp;lin=f&amp;keep=1&amp;srchmode=1&amp;unlock","63155")</f>
        <v>63155</v>
      </c>
      <c r="E565" t="s">
        <v>384</v>
      </c>
      <c r="F565" t="s">
        <v>384</v>
      </c>
      <c r="G565" t="str">
        <f>HYPERLINK("http://www.ncbi.nlm.nih.gov/Taxonomy/Browser/wwwtax.cgi?mode=Info&amp;id=63155&amp;lvl=3&amp;lin=f&amp;keep=1&amp;srchmode=1&amp;unlock","Archocentrus centrarchus")</f>
        <v>Archocentrus centrarchus</v>
      </c>
      <c r="H565" t="s">
        <v>622</v>
      </c>
      <c r="I565" t="str">
        <f>HYPERLINK("http://www.ncbi.nlm.nih.gov/protein/XP_030601688.1","androgen receptor-like")</f>
        <v>androgen receptor-like</v>
      </c>
      <c r="J565">
        <v>601.66999999999996</v>
      </c>
      <c r="K565" t="s">
        <v>25</v>
      </c>
      <c r="L565">
        <v>157</v>
      </c>
      <c r="M565">
        <v>44.41</v>
      </c>
      <c r="N565">
        <v>32.03</v>
      </c>
      <c r="O565" t="s">
        <v>25</v>
      </c>
      <c r="P565" t="s">
        <v>965</v>
      </c>
      <c r="Q565" t="s">
        <v>20</v>
      </c>
      <c r="R565" t="str">
        <f>HYPERLINK("https://cfpub.epa.gov/ecotox/explore.cfm?ncbi=63155","Explore in ECOTOX")</f>
        <v>Explore in ECOTOX</v>
      </c>
    </row>
    <row r="566" spans="1:18" x14ac:dyDescent="0.25">
      <c r="A566">
        <v>6</v>
      </c>
      <c r="B566" t="str">
        <f>HYPERLINK("http://www.ncbi.nlm.nih.gov/protein/XP_032885987.1","XP_032885987.1")</f>
        <v>XP_032885987.1</v>
      </c>
      <c r="C566">
        <v>38961</v>
      </c>
      <c r="D566" t="str">
        <f>HYPERLINK("http://www.ncbi.nlm.nih.gov/Taxonomy/Browser/wwwtax.cgi?mode=Info&amp;id=386614&amp;lvl=3&amp;lin=f&amp;keep=1&amp;srchmode=1&amp;unlock","386614")</f>
        <v>386614</v>
      </c>
      <c r="E566" t="s">
        <v>550</v>
      </c>
      <c r="F566" t="s">
        <v>550</v>
      </c>
      <c r="G566" t="str">
        <f>HYPERLINK("http://www.ncbi.nlm.nih.gov/Taxonomy/Browser/wwwtax.cgi?mode=Info&amp;id=386614&amp;lvl=3&amp;lin=f&amp;keep=1&amp;srchmode=1&amp;unlock","Amblyraja radiata")</f>
        <v>Amblyraja radiata</v>
      </c>
      <c r="H566" t="s">
        <v>633</v>
      </c>
      <c r="I566" t="str">
        <f>HYPERLINK("http://www.ncbi.nlm.nih.gov/protein/XP_032885987.1","LOW QUALITY PROTEIN: androgen receptor")</f>
        <v>LOW QUALITY PROTEIN: androgen receptor</v>
      </c>
      <c r="J566">
        <v>600.9</v>
      </c>
      <c r="K566" t="s">
        <v>25</v>
      </c>
      <c r="L566">
        <v>157</v>
      </c>
      <c r="M566">
        <v>44.41</v>
      </c>
      <c r="N566">
        <v>31.99</v>
      </c>
      <c r="O566" t="s">
        <v>25</v>
      </c>
      <c r="P566" t="s">
        <v>965</v>
      </c>
      <c r="Q566" t="s">
        <v>20</v>
      </c>
      <c r="R566" t="str">
        <f>HYPERLINK("https://cfpub.epa.gov/ecotox/explore.cfm?ncbi=386614","Explore in ECOTOX")</f>
        <v>Explore in ECOTOX</v>
      </c>
    </row>
    <row r="567" spans="1:18" x14ac:dyDescent="0.25">
      <c r="A567">
        <v>6</v>
      </c>
      <c r="B567" t="str">
        <f>HYPERLINK("http://www.ncbi.nlm.nih.gov/protein/XP_016358255.1","XP_016358255.1")</f>
        <v>XP_016358255.1</v>
      </c>
      <c r="C567">
        <v>68489</v>
      </c>
      <c r="D567" t="str">
        <f>HYPERLINK("http://www.ncbi.nlm.nih.gov/Taxonomy/Browser/wwwtax.cgi?mode=Info&amp;id=1608454&amp;lvl=3&amp;lin=f&amp;keep=1&amp;srchmode=1&amp;unlock","1608454")</f>
        <v>1608454</v>
      </c>
      <c r="E567" t="s">
        <v>384</v>
      </c>
      <c r="F567" t="s">
        <v>384</v>
      </c>
      <c r="G567" t="str">
        <f>HYPERLINK("http://www.ncbi.nlm.nih.gov/Taxonomy/Browser/wwwtax.cgi?mode=Info&amp;id=1608454&amp;lvl=3&amp;lin=f&amp;keep=1&amp;srchmode=1&amp;unlock","Sinocyclocheilus anshuiensis")</f>
        <v>Sinocyclocheilus anshuiensis</v>
      </c>
      <c r="H567" t="s">
        <v>529</v>
      </c>
      <c r="I567" t="str">
        <f>HYPERLINK("http://www.ncbi.nlm.nih.gov/protein/XP_016358255.1","PREDICTED: androgen receptor-like")</f>
        <v>PREDICTED: androgen receptor-like</v>
      </c>
      <c r="J567">
        <v>600.13</v>
      </c>
      <c r="K567" t="s">
        <v>25</v>
      </c>
      <c r="L567">
        <v>157</v>
      </c>
      <c r="M567">
        <v>44.41</v>
      </c>
      <c r="N567">
        <v>31.95</v>
      </c>
      <c r="O567" t="s">
        <v>25</v>
      </c>
      <c r="P567" t="s">
        <v>965</v>
      </c>
      <c r="Q567" t="s">
        <v>20</v>
      </c>
      <c r="R567" t="str">
        <f>HYPERLINK("https://cfpub.epa.gov/ecotox/explore.cfm?ncbi=1608454","Explore in ECOTOX")</f>
        <v>Explore in ECOTOX</v>
      </c>
    </row>
    <row r="568" spans="1:18" x14ac:dyDescent="0.25">
      <c r="A568">
        <v>6</v>
      </c>
      <c r="B568" t="str">
        <f>HYPERLINK("http://www.ncbi.nlm.nih.gov/protein/AMQ81677.1","AMQ81677.1")</f>
        <v>AMQ81677.1</v>
      </c>
      <c r="C568">
        <v>75</v>
      </c>
      <c r="D568" t="str">
        <f>HYPERLINK("http://www.ncbi.nlm.nih.gov/Taxonomy/Browser/wwwtax.cgi?mode=Info&amp;id=77794&amp;lvl=3&amp;lin=f&amp;keep=1&amp;srchmode=1&amp;unlock","77794")</f>
        <v>77794</v>
      </c>
      <c r="E568" t="s">
        <v>384</v>
      </c>
      <c r="F568" t="s">
        <v>384</v>
      </c>
      <c r="G568" t="str">
        <f>HYPERLINK("http://www.ncbi.nlm.nih.gov/Taxonomy/Browser/wwwtax.cgi?mode=Info&amp;id=77794&amp;lvl=3&amp;lin=f&amp;keep=1&amp;srchmode=1&amp;unlock","Luciobarbus capito")</f>
        <v>Luciobarbus capito</v>
      </c>
      <c r="H568" t="s">
        <v>1006</v>
      </c>
      <c r="I568" t="str">
        <f>HYPERLINK("http://www.ncbi.nlm.nih.gov/protein/AMQ81677.1","androgen receptor protein")</f>
        <v>androgen receptor protein</v>
      </c>
      <c r="J568">
        <v>600.13</v>
      </c>
      <c r="K568" t="s">
        <v>25</v>
      </c>
      <c r="L568">
        <v>157</v>
      </c>
      <c r="M568">
        <v>44.41</v>
      </c>
      <c r="N568">
        <v>31.95</v>
      </c>
      <c r="O568" t="s">
        <v>25</v>
      </c>
      <c r="P568" t="s">
        <v>965</v>
      </c>
      <c r="Q568" t="s">
        <v>20</v>
      </c>
      <c r="R568" t="str">
        <f>HYPERLINK("https://cfpub.epa.gov/ecotox/explore.cfm?ncbi=77794","Explore in ECOTOX")</f>
        <v>Explore in ECOTOX</v>
      </c>
    </row>
    <row r="569" spans="1:18" x14ac:dyDescent="0.25">
      <c r="A569">
        <v>6</v>
      </c>
      <c r="B569" t="str">
        <f>HYPERLINK("http://www.ncbi.nlm.nih.gov/protein/ABO21344.1","ABO21344.1")</f>
        <v>ABO21344.1</v>
      </c>
      <c r="C569">
        <v>87653</v>
      </c>
      <c r="D569" t="str">
        <f>HYPERLINK("http://www.ncbi.nlm.nih.gov/Taxonomy/Browser/wwwtax.cgi?mode=Info&amp;id=7955&amp;lvl=3&amp;lin=f&amp;keep=1&amp;srchmode=1&amp;unlock","7955")</f>
        <v>7955</v>
      </c>
      <c r="E569" t="s">
        <v>384</v>
      </c>
      <c r="F569" t="s">
        <v>384</v>
      </c>
      <c r="G569" t="str">
        <f>HYPERLINK("http://www.ncbi.nlm.nih.gov/Taxonomy/Browser/wwwtax.cgi?mode=Info&amp;id=7955&amp;lvl=3&amp;lin=f&amp;keep=1&amp;srchmode=1&amp;unlock","Danio rerio")</f>
        <v>Danio rerio</v>
      </c>
      <c r="H569" t="s">
        <v>535</v>
      </c>
      <c r="I569" t="str">
        <f>HYPERLINK("http://www.ncbi.nlm.nih.gov/protein/ABO21344.1","androgen receptor")</f>
        <v>androgen receptor</v>
      </c>
      <c r="J569">
        <v>600.13</v>
      </c>
      <c r="K569" t="s">
        <v>25</v>
      </c>
      <c r="L569">
        <v>157</v>
      </c>
      <c r="M569">
        <v>44.41</v>
      </c>
      <c r="N569">
        <v>31.95</v>
      </c>
      <c r="O569" t="s">
        <v>25</v>
      </c>
      <c r="P569" t="s">
        <v>965</v>
      </c>
      <c r="Q569" t="s">
        <v>20</v>
      </c>
      <c r="R569" t="str">
        <f>HYPERLINK("https://cfpub.epa.gov/ecotox/explore.cfm?ncbi=7955","Explore in ECOTOX")</f>
        <v>Explore in ECOTOX</v>
      </c>
    </row>
    <row r="570" spans="1:18" x14ac:dyDescent="0.25">
      <c r="A570">
        <v>6</v>
      </c>
      <c r="B570" t="str">
        <f>HYPERLINK("http://www.ncbi.nlm.nih.gov/protein/RXN28713.1","RXN28713.1")</f>
        <v>RXN28713.1</v>
      </c>
      <c r="C570">
        <v>37718</v>
      </c>
      <c r="D570" t="str">
        <f>HYPERLINK("http://www.ncbi.nlm.nih.gov/Taxonomy/Browser/wwwtax.cgi?mode=Info&amp;id=84645&amp;lvl=3&amp;lin=f&amp;keep=1&amp;srchmode=1&amp;unlock","84645")</f>
        <v>84645</v>
      </c>
      <c r="E570" t="s">
        <v>384</v>
      </c>
      <c r="F570" t="s">
        <v>384</v>
      </c>
      <c r="G570" t="str">
        <f>HYPERLINK("http://www.ncbi.nlm.nih.gov/Taxonomy/Browser/wwwtax.cgi?mode=Info&amp;id=84645&amp;lvl=3&amp;lin=f&amp;keep=1&amp;srchmode=1&amp;unlock","Labeo rohita")</f>
        <v>Labeo rohita</v>
      </c>
      <c r="H570" t="s">
        <v>516</v>
      </c>
      <c r="I570" t="str">
        <f>HYPERLINK("http://www.ncbi.nlm.nih.gov/protein/RXN28713.1","androgen receptor")</f>
        <v>androgen receptor</v>
      </c>
      <c r="J570">
        <v>599.74</v>
      </c>
      <c r="K570" t="s">
        <v>25</v>
      </c>
      <c r="L570">
        <v>157</v>
      </c>
      <c r="M570">
        <v>44.41</v>
      </c>
      <c r="N570">
        <v>31.92</v>
      </c>
      <c r="O570" t="s">
        <v>25</v>
      </c>
      <c r="P570" t="s">
        <v>965</v>
      </c>
      <c r="Q570" t="s">
        <v>20</v>
      </c>
      <c r="R570" t="str">
        <f>HYPERLINK("https://cfpub.epa.gov/ecotox/explore.cfm?ncbi=84645","Explore in ECOTOX")</f>
        <v>Explore in ECOTOX</v>
      </c>
    </row>
    <row r="571" spans="1:18" x14ac:dyDescent="0.25">
      <c r="A571">
        <v>6</v>
      </c>
      <c r="B571" t="str">
        <f>HYPERLINK("http://www.ncbi.nlm.nih.gov/protein/AEO13404.1","AEO13404.1")</f>
        <v>AEO13404.1</v>
      </c>
      <c r="C571">
        <v>54133</v>
      </c>
      <c r="D571" t="str">
        <f>HYPERLINK("http://www.ncbi.nlm.nih.gov/Taxonomy/Browser/wwwtax.cgi?mode=Info&amp;id=8175&amp;lvl=3&amp;lin=f&amp;keep=1&amp;srchmode=1&amp;unlock","8175")</f>
        <v>8175</v>
      </c>
      <c r="E571" t="s">
        <v>384</v>
      </c>
      <c r="F571" t="s">
        <v>384</v>
      </c>
      <c r="G571" t="str">
        <f>HYPERLINK("http://www.ncbi.nlm.nih.gov/Taxonomy/Browser/wwwtax.cgi?mode=Info&amp;id=8175&amp;lvl=3&amp;lin=f&amp;keep=1&amp;srchmode=1&amp;unlock","Sparus aurata")</f>
        <v>Sparus aurata</v>
      </c>
      <c r="H571" t="s">
        <v>567</v>
      </c>
      <c r="I571" t="str">
        <f>HYPERLINK("http://www.ncbi.nlm.nih.gov/protein/AEO13404.1","androgen receptor")</f>
        <v>androgen receptor</v>
      </c>
      <c r="J571">
        <v>599.74</v>
      </c>
      <c r="K571" t="s">
        <v>25</v>
      </c>
      <c r="L571">
        <v>157</v>
      </c>
      <c r="M571">
        <v>44.41</v>
      </c>
      <c r="N571">
        <v>31.92</v>
      </c>
      <c r="O571" t="s">
        <v>25</v>
      </c>
      <c r="P571" t="s">
        <v>965</v>
      </c>
      <c r="Q571" t="s">
        <v>20</v>
      </c>
      <c r="R571" t="str">
        <f>HYPERLINK("https://cfpub.epa.gov/ecotox/explore.cfm?ncbi=8175","Explore in ECOTOX")</f>
        <v>Explore in ECOTOX</v>
      </c>
    </row>
    <row r="572" spans="1:18" x14ac:dyDescent="0.25">
      <c r="A572">
        <v>6</v>
      </c>
      <c r="B572" t="str">
        <f>HYPERLINK("http://www.ncbi.nlm.nih.gov/protein/AAT76433.1","AAT76433.1")</f>
        <v>AAT76433.1</v>
      </c>
      <c r="C572">
        <v>2729</v>
      </c>
      <c r="D572" t="str">
        <f>HYPERLINK("http://www.ncbi.nlm.nih.gov/Taxonomy/Browser/wwwtax.cgi?mode=Info&amp;id=13489&amp;lvl=3&amp;lin=f&amp;keep=1&amp;srchmode=1&amp;unlock","13489")</f>
        <v>13489</v>
      </c>
      <c r="E572" t="s">
        <v>384</v>
      </c>
      <c r="F572" t="s">
        <v>384</v>
      </c>
      <c r="G572" t="str">
        <f>HYPERLINK("http://www.ncbi.nlm.nih.gov/Taxonomy/Browser/wwwtax.cgi?mode=Info&amp;id=13489&amp;lvl=3&amp;lin=f&amp;keep=1&amp;srchmode=1&amp;unlock","Dicentrarchus labrax")</f>
        <v>Dicentrarchus labrax</v>
      </c>
      <c r="H572" t="s">
        <v>840</v>
      </c>
      <c r="I572" t="str">
        <f>HYPERLINK("http://www.ncbi.nlm.nih.gov/protein/AAT76433.1","androgen receptor")</f>
        <v>androgen receptor</v>
      </c>
      <c r="J572">
        <v>599.36</v>
      </c>
      <c r="K572" t="s">
        <v>25</v>
      </c>
      <c r="L572">
        <v>157</v>
      </c>
      <c r="M572">
        <v>44.41</v>
      </c>
      <c r="N572">
        <v>31.9</v>
      </c>
      <c r="O572" t="s">
        <v>25</v>
      </c>
      <c r="P572" t="s">
        <v>965</v>
      </c>
      <c r="Q572" t="s">
        <v>20</v>
      </c>
      <c r="R572" t="str">
        <f>HYPERLINK("https://cfpub.epa.gov/ecotox/explore.cfm?ncbi=13489","Explore in ECOTOX")</f>
        <v>Explore in ECOTOX</v>
      </c>
    </row>
    <row r="573" spans="1:18" x14ac:dyDescent="0.25">
      <c r="A573">
        <v>6</v>
      </c>
      <c r="B573" t="str">
        <f>HYPERLINK("http://www.ncbi.nlm.nih.gov/protein/AAP55843.2","AAP55843.2")</f>
        <v>AAP55843.2</v>
      </c>
      <c r="C573">
        <v>517</v>
      </c>
      <c r="D573" t="str">
        <f>HYPERLINK("http://www.ncbi.nlm.nih.gov/Taxonomy/Browser/wwwtax.cgi?mode=Info&amp;id=7797&amp;lvl=3&amp;lin=f&amp;keep=1&amp;srchmode=1&amp;unlock","7797")</f>
        <v>7797</v>
      </c>
      <c r="E573" t="s">
        <v>550</v>
      </c>
      <c r="F573" t="s">
        <v>550</v>
      </c>
      <c r="G573" t="str">
        <f>HYPERLINK("http://www.ncbi.nlm.nih.gov/Taxonomy/Browser/wwwtax.cgi?mode=Info&amp;id=7797&amp;lvl=3&amp;lin=f&amp;keep=1&amp;srchmode=1&amp;unlock","Squalus acanthias")</f>
        <v>Squalus acanthias</v>
      </c>
      <c r="H573" t="s">
        <v>1007</v>
      </c>
      <c r="I573" t="str">
        <f>HYPERLINK("http://www.ncbi.nlm.nih.gov/protein/AAP55843.2","androgen receptor, partial")</f>
        <v>androgen receptor, partial</v>
      </c>
      <c r="J573">
        <v>598.59</v>
      </c>
      <c r="K573" t="s">
        <v>25</v>
      </c>
      <c r="L573">
        <v>157</v>
      </c>
      <c r="M573">
        <v>44.41</v>
      </c>
      <c r="N573">
        <v>31.86</v>
      </c>
      <c r="O573" t="s">
        <v>25</v>
      </c>
      <c r="P573" t="s">
        <v>965</v>
      </c>
      <c r="Q573" t="s">
        <v>20</v>
      </c>
      <c r="R573" t="str">
        <f>HYPERLINK("https://cfpub.epa.gov/ecotox/explore.cfm?ncbi=7797","Explore in ECOTOX")</f>
        <v>Explore in ECOTOX</v>
      </c>
    </row>
    <row r="574" spans="1:18" x14ac:dyDescent="0.25">
      <c r="A574">
        <v>6</v>
      </c>
      <c r="B574" t="str">
        <f>HYPERLINK("http://www.ncbi.nlm.nih.gov/protein/BAA33451.1","BAA33451.1")</f>
        <v>BAA33451.1</v>
      </c>
      <c r="C574">
        <v>337</v>
      </c>
      <c r="D574" t="str">
        <f>HYPERLINK("http://www.ncbi.nlm.nih.gov/Taxonomy/Browser/wwwtax.cgi?mode=Info&amp;id=143350&amp;lvl=3&amp;lin=f&amp;keep=1&amp;srchmode=1&amp;unlock","143350")</f>
        <v>143350</v>
      </c>
      <c r="E574" t="s">
        <v>384</v>
      </c>
      <c r="F574" t="s">
        <v>384</v>
      </c>
      <c r="G574" t="str">
        <f>HYPERLINK("http://www.ncbi.nlm.nih.gov/Taxonomy/Browser/wwwtax.cgi?mode=Info&amp;id=143350&amp;lvl=3&amp;lin=f&amp;keep=1&amp;srchmode=1&amp;unlock","Pagrus major")</f>
        <v>Pagrus major</v>
      </c>
      <c r="H574" t="s">
        <v>955</v>
      </c>
      <c r="I574" t="str">
        <f>HYPERLINK("http://www.ncbi.nlm.nih.gov/protein/BAA33451.1","androgen receptor")</f>
        <v>androgen receptor</v>
      </c>
      <c r="J574">
        <v>598.59</v>
      </c>
      <c r="K574" t="s">
        <v>25</v>
      </c>
      <c r="L574">
        <v>157</v>
      </c>
      <c r="M574">
        <v>44.41</v>
      </c>
      <c r="N574">
        <v>31.86</v>
      </c>
      <c r="O574" t="s">
        <v>25</v>
      </c>
      <c r="P574" t="s">
        <v>965</v>
      </c>
      <c r="Q574" t="s">
        <v>20</v>
      </c>
      <c r="R574" t="str">
        <f>HYPERLINK("https://cfpub.epa.gov/ecotox/explore.cfm?ncbi=143350","Explore in ECOTOX")</f>
        <v>Explore in ECOTOX</v>
      </c>
    </row>
    <row r="575" spans="1:18" x14ac:dyDescent="0.25">
      <c r="A575">
        <v>6</v>
      </c>
      <c r="B575" t="str">
        <f>HYPERLINK("http://www.ncbi.nlm.nih.gov/protein/AXZ78408.1","AXZ78408.1")</f>
        <v>AXZ78408.1</v>
      </c>
      <c r="C575">
        <v>166</v>
      </c>
      <c r="D575" t="str">
        <f>HYPERLINK("http://www.ncbi.nlm.nih.gov/Taxonomy/Browser/wwwtax.cgi?mode=Info&amp;id=241271&amp;lvl=3&amp;lin=f&amp;keep=1&amp;srchmode=1&amp;unlock","241271")</f>
        <v>241271</v>
      </c>
      <c r="E575" t="s">
        <v>384</v>
      </c>
      <c r="F575" t="s">
        <v>384</v>
      </c>
      <c r="G575" t="str">
        <f>HYPERLINK("http://www.ncbi.nlm.nih.gov/Taxonomy/Browser/wwwtax.cgi?mode=Info&amp;id=241271&amp;lvl=3&amp;lin=f&amp;keep=1&amp;srchmode=1&amp;unlock","Cheilinus undulatus")</f>
        <v>Cheilinus undulatus</v>
      </c>
      <c r="H575" t="s">
        <v>1008</v>
      </c>
      <c r="I575" t="str">
        <f>HYPERLINK("http://www.ncbi.nlm.nih.gov/protein/AXZ78408.1","androgen receptor")</f>
        <v>androgen receptor</v>
      </c>
      <c r="J575">
        <v>598.20000000000005</v>
      </c>
      <c r="K575" t="s">
        <v>25</v>
      </c>
      <c r="L575">
        <v>157</v>
      </c>
      <c r="M575">
        <v>44.41</v>
      </c>
      <c r="N575">
        <v>31.84</v>
      </c>
      <c r="O575" t="s">
        <v>25</v>
      </c>
      <c r="P575" t="s">
        <v>965</v>
      </c>
      <c r="Q575" t="s">
        <v>20</v>
      </c>
      <c r="R575" t="str">
        <f>HYPERLINK("https://cfpub.epa.gov/ecotox/explore.cfm?ncbi=241271","Explore in ECOTOX")</f>
        <v>Explore in ECOTOX</v>
      </c>
    </row>
    <row r="576" spans="1:18" x14ac:dyDescent="0.25">
      <c r="A576">
        <v>6</v>
      </c>
      <c r="B576" t="str">
        <f>HYPERLINK("http://www.ncbi.nlm.nih.gov/protein/XP_016142988.1","XP_016142988.1")</f>
        <v>XP_016142988.1</v>
      </c>
      <c r="C576">
        <v>67440</v>
      </c>
      <c r="D576" t="str">
        <f>HYPERLINK("http://www.ncbi.nlm.nih.gov/Taxonomy/Browser/wwwtax.cgi?mode=Info&amp;id=75366&amp;lvl=3&amp;lin=f&amp;keep=1&amp;srchmode=1&amp;unlock","75366")</f>
        <v>75366</v>
      </c>
      <c r="E576" t="s">
        <v>384</v>
      </c>
      <c r="F576" t="s">
        <v>384</v>
      </c>
      <c r="G576" t="str">
        <f>HYPERLINK("http://www.ncbi.nlm.nih.gov/Taxonomy/Browser/wwwtax.cgi?mode=Info&amp;id=75366&amp;lvl=3&amp;lin=f&amp;keep=1&amp;srchmode=1&amp;unlock","Sinocyclocheilus grahami")</f>
        <v>Sinocyclocheilus grahami</v>
      </c>
      <c r="H576" t="s">
        <v>529</v>
      </c>
      <c r="I576" t="str">
        <f>HYPERLINK("http://www.ncbi.nlm.nih.gov/protein/XP_016142988.1","PREDICTED: androgen receptor-like")</f>
        <v>PREDICTED: androgen receptor-like</v>
      </c>
      <c r="J576">
        <v>598.20000000000005</v>
      </c>
      <c r="K576" t="s">
        <v>25</v>
      </c>
      <c r="L576">
        <v>157</v>
      </c>
      <c r="M576">
        <v>44.41</v>
      </c>
      <c r="N576">
        <v>31.84</v>
      </c>
      <c r="O576" t="s">
        <v>25</v>
      </c>
      <c r="P576" t="s">
        <v>965</v>
      </c>
      <c r="Q576" t="s">
        <v>20</v>
      </c>
      <c r="R576" t="str">
        <f>HYPERLINK("https://cfpub.epa.gov/ecotox/explore.cfm?ncbi=75366","Explore in ECOTOX")</f>
        <v>Explore in ECOTOX</v>
      </c>
    </row>
    <row r="577" spans="1:18" x14ac:dyDescent="0.25">
      <c r="A577">
        <v>6</v>
      </c>
      <c r="B577" t="str">
        <f>HYPERLINK("http://www.ncbi.nlm.nih.gov/protein/XP_034539180.1","XP_034539180.1")</f>
        <v>XP_034539180.1</v>
      </c>
      <c r="C577">
        <v>39441</v>
      </c>
      <c r="D577" t="str">
        <f>HYPERLINK("http://www.ncbi.nlm.nih.gov/Taxonomy/Browser/wwwtax.cgi?mode=Info&amp;id=1203425&amp;lvl=3&amp;lin=f&amp;keep=1&amp;srchmode=1&amp;unlock","1203425")</f>
        <v>1203425</v>
      </c>
      <c r="E577" t="s">
        <v>384</v>
      </c>
      <c r="F577" t="s">
        <v>384</v>
      </c>
      <c r="G577" t="str">
        <f>HYPERLINK("http://www.ncbi.nlm.nih.gov/Taxonomy/Browser/wwwtax.cgi?mode=Info&amp;id=1203425&amp;lvl=3&amp;lin=f&amp;keep=1&amp;srchmode=1&amp;unlock","Notolabrus celidotus")</f>
        <v>Notolabrus celidotus</v>
      </c>
      <c r="H577" t="s">
        <v>572</v>
      </c>
      <c r="I577" t="str">
        <f>HYPERLINK("http://www.ncbi.nlm.nih.gov/protein/XP_034539180.1","androgen receptor isoform X2")</f>
        <v>androgen receptor isoform X2</v>
      </c>
      <c r="J577">
        <v>598.20000000000005</v>
      </c>
      <c r="K577" t="s">
        <v>25</v>
      </c>
      <c r="L577">
        <v>157</v>
      </c>
      <c r="M577">
        <v>44.41</v>
      </c>
      <c r="N577">
        <v>31.84</v>
      </c>
      <c r="O577" t="s">
        <v>25</v>
      </c>
      <c r="P577" t="s">
        <v>965</v>
      </c>
      <c r="Q577" t="s">
        <v>20</v>
      </c>
      <c r="R577" t="str">
        <f>HYPERLINK("https://cfpub.epa.gov/ecotox/explore.cfm?ncbi=1203425","Explore in ECOTOX")</f>
        <v>Explore in ECOTOX</v>
      </c>
    </row>
    <row r="578" spans="1:18" x14ac:dyDescent="0.25">
      <c r="A578">
        <v>6</v>
      </c>
      <c r="B578" t="str">
        <f>HYPERLINK("http://www.ncbi.nlm.nih.gov/protein/GCC22146.1","GCC22146.1")</f>
        <v>GCC22146.1</v>
      </c>
      <c r="C578">
        <v>33621</v>
      </c>
      <c r="D578" t="str">
        <f>HYPERLINK("http://www.ncbi.nlm.nih.gov/Taxonomy/Browser/wwwtax.cgi?mode=Info&amp;id=137246&amp;lvl=3&amp;lin=f&amp;keep=1&amp;srchmode=1&amp;unlock","137246")</f>
        <v>137246</v>
      </c>
      <c r="E578" t="s">
        <v>550</v>
      </c>
      <c r="F578" t="s">
        <v>550</v>
      </c>
      <c r="G578" t="str">
        <f>HYPERLINK("http://www.ncbi.nlm.nih.gov/Taxonomy/Browser/wwwtax.cgi?mode=Info&amp;id=137246&amp;lvl=3&amp;lin=f&amp;keep=1&amp;srchmode=1&amp;unlock","Chiloscyllium punctatum")</f>
        <v>Chiloscyllium punctatum</v>
      </c>
      <c r="H578" t="s">
        <v>551</v>
      </c>
      <c r="I578" t="str">
        <f>HYPERLINK("http://www.ncbi.nlm.nih.gov/protein/GCC22146.1","hypothetical protein")</f>
        <v>hypothetical protein</v>
      </c>
      <c r="J578">
        <v>597.82000000000005</v>
      </c>
      <c r="K578" t="s">
        <v>25</v>
      </c>
      <c r="L578">
        <v>157</v>
      </c>
      <c r="M578">
        <v>44.41</v>
      </c>
      <c r="N578">
        <v>31.82</v>
      </c>
      <c r="O578" t="s">
        <v>25</v>
      </c>
      <c r="P578" t="s">
        <v>965</v>
      </c>
      <c r="Q578" t="s">
        <v>20</v>
      </c>
      <c r="R578" t="str">
        <f>HYPERLINK("https://cfpub.epa.gov/ecotox/explore.cfm?ncbi=137246","Explore in ECOTOX")</f>
        <v>Explore in ECOTOX</v>
      </c>
    </row>
    <row r="579" spans="1:18" x14ac:dyDescent="0.25">
      <c r="A579">
        <v>6</v>
      </c>
      <c r="B579" t="str">
        <f>HYPERLINK("http://www.ncbi.nlm.nih.gov/protein/XP_004557452.2","XP_004557452.2")</f>
        <v>XP_004557452.2</v>
      </c>
      <c r="C579">
        <v>46437</v>
      </c>
      <c r="D579" t="str">
        <f>HYPERLINK("http://www.ncbi.nlm.nih.gov/Taxonomy/Browser/wwwtax.cgi?mode=Info&amp;id=106582&amp;lvl=3&amp;lin=f&amp;keep=1&amp;srchmode=1&amp;unlock","106582")</f>
        <v>106582</v>
      </c>
      <c r="E579" t="s">
        <v>384</v>
      </c>
      <c r="F579" t="s">
        <v>384</v>
      </c>
      <c r="G579" t="str">
        <f>HYPERLINK("http://www.ncbi.nlm.nih.gov/Taxonomy/Browser/wwwtax.cgi?mode=Info&amp;id=106582&amp;lvl=3&amp;lin=f&amp;keep=1&amp;srchmode=1&amp;unlock","Maylandia zebra")</f>
        <v>Maylandia zebra</v>
      </c>
      <c r="H579" t="s">
        <v>641</v>
      </c>
      <c r="I579" t="str">
        <f>HYPERLINK("http://www.ncbi.nlm.nih.gov/protein/XP_004557452.2","androgen receptor")</f>
        <v>androgen receptor</v>
      </c>
      <c r="J579">
        <v>597.82000000000005</v>
      </c>
      <c r="K579" t="s">
        <v>25</v>
      </c>
      <c r="L579">
        <v>157</v>
      </c>
      <c r="M579">
        <v>44.41</v>
      </c>
      <c r="N579">
        <v>31.82</v>
      </c>
      <c r="O579" t="s">
        <v>25</v>
      </c>
      <c r="P579" t="s">
        <v>965</v>
      </c>
      <c r="Q579" t="s">
        <v>20</v>
      </c>
      <c r="R579" t="str">
        <f>HYPERLINK("https://cfpub.epa.gov/ecotox/explore.cfm?ncbi=106582","Explore in ECOTOX")</f>
        <v>Explore in ECOTOX</v>
      </c>
    </row>
    <row r="580" spans="1:18" x14ac:dyDescent="0.25">
      <c r="A580">
        <v>6</v>
      </c>
      <c r="B580" t="str">
        <f>HYPERLINK("http://www.ncbi.nlm.nih.gov/protein/XP_031610595.1","XP_031610595.1")</f>
        <v>XP_031610595.1</v>
      </c>
      <c r="C580">
        <v>49810</v>
      </c>
      <c r="D580" t="str">
        <f>HYPERLINK("http://www.ncbi.nlm.nih.gov/Taxonomy/Browser/wwwtax.cgi?mode=Info&amp;id=47969&amp;lvl=3&amp;lin=f&amp;keep=1&amp;srchmode=1&amp;unlock","47969")</f>
        <v>47969</v>
      </c>
      <c r="E580" t="s">
        <v>384</v>
      </c>
      <c r="F580" t="s">
        <v>384</v>
      </c>
      <c r="G580" t="str">
        <f>HYPERLINK("http://www.ncbi.nlm.nih.gov/Taxonomy/Browser/wwwtax.cgi?mode=Info&amp;id=47969&amp;lvl=3&amp;lin=f&amp;keep=1&amp;srchmode=1&amp;unlock","Oreochromis aureus")</f>
        <v>Oreochromis aureus</v>
      </c>
      <c r="H580" t="s">
        <v>626</v>
      </c>
      <c r="I580" t="str">
        <f>HYPERLINK("http://www.ncbi.nlm.nih.gov/protein/XP_031610595.1","androgen receptor")</f>
        <v>androgen receptor</v>
      </c>
      <c r="J580">
        <v>597.82000000000005</v>
      </c>
      <c r="K580" t="s">
        <v>25</v>
      </c>
      <c r="L580">
        <v>157</v>
      </c>
      <c r="M580">
        <v>44.41</v>
      </c>
      <c r="N580">
        <v>31.82</v>
      </c>
      <c r="O580" t="s">
        <v>25</v>
      </c>
      <c r="P580" t="s">
        <v>965</v>
      </c>
      <c r="Q580" t="s">
        <v>20</v>
      </c>
      <c r="R580" t="str">
        <f>HYPERLINK("https://cfpub.epa.gov/ecotox/explore.cfm?ncbi=47969","Explore in ECOTOX")</f>
        <v>Explore in ECOTOX</v>
      </c>
    </row>
    <row r="581" spans="1:18" x14ac:dyDescent="0.25">
      <c r="A581">
        <v>6</v>
      </c>
      <c r="B581" t="str">
        <f>HYPERLINK("http://www.ncbi.nlm.nih.gov/protein/XP_026227849.1","XP_026227849.1")</f>
        <v>XP_026227849.1</v>
      </c>
      <c r="C581">
        <v>40631</v>
      </c>
      <c r="D581" t="str">
        <f>HYPERLINK("http://www.ncbi.nlm.nih.gov/Taxonomy/Browser/wwwtax.cgi?mode=Info&amp;id=64144&amp;lvl=3&amp;lin=f&amp;keep=1&amp;srchmode=1&amp;unlock","64144")</f>
        <v>64144</v>
      </c>
      <c r="E581" t="s">
        <v>384</v>
      </c>
      <c r="F581" t="s">
        <v>384</v>
      </c>
      <c r="G581" t="str">
        <f>HYPERLINK("http://www.ncbi.nlm.nih.gov/Taxonomy/Browser/wwwtax.cgi?mode=Info&amp;id=64144&amp;lvl=3&amp;lin=f&amp;keep=1&amp;srchmode=1&amp;unlock","Anabas testudineus")</f>
        <v>Anabas testudineus</v>
      </c>
      <c r="H581" t="s">
        <v>553</v>
      </c>
      <c r="I581" t="str">
        <f>HYPERLINK("http://www.ncbi.nlm.nih.gov/protein/XP_026227849.1","androgen receptor")</f>
        <v>androgen receptor</v>
      </c>
      <c r="J581">
        <v>597.82000000000005</v>
      </c>
      <c r="K581" t="s">
        <v>25</v>
      </c>
      <c r="L581">
        <v>157</v>
      </c>
      <c r="M581">
        <v>44.41</v>
      </c>
      <c r="N581">
        <v>31.82</v>
      </c>
      <c r="O581" t="s">
        <v>25</v>
      </c>
      <c r="P581" t="s">
        <v>965</v>
      </c>
      <c r="Q581" t="s">
        <v>20</v>
      </c>
      <c r="R581" t="str">
        <f>HYPERLINK("https://cfpub.epa.gov/ecotox/explore.cfm?ncbi=64144","Explore in ECOTOX")</f>
        <v>Explore in ECOTOX</v>
      </c>
    </row>
    <row r="582" spans="1:18" x14ac:dyDescent="0.25">
      <c r="A582">
        <v>6</v>
      </c>
      <c r="B582" t="str">
        <f>HYPERLINK("http://www.ncbi.nlm.nih.gov/protein/NP_001290296.1","NP_001290296.1")</f>
        <v>NP_001290296.1</v>
      </c>
      <c r="C582">
        <v>94451</v>
      </c>
      <c r="D582" t="str">
        <f>HYPERLINK("http://www.ncbi.nlm.nih.gov/Taxonomy/Browser/wwwtax.cgi?mode=Info&amp;id=215358&amp;lvl=3&amp;lin=f&amp;keep=1&amp;srchmode=1&amp;unlock","215358")</f>
        <v>215358</v>
      </c>
      <c r="E582" t="s">
        <v>384</v>
      </c>
      <c r="F582" t="s">
        <v>384</v>
      </c>
      <c r="G582" t="str">
        <f>HYPERLINK("http://www.ncbi.nlm.nih.gov/Taxonomy/Browser/wwwtax.cgi?mode=Info&amp;id=215358&amp;lvl=3&amp;lin=f&amp;keep=1&amp;srchmode=1&amp;unlock","Larimichthys crocea")</f>
        <v>Larimichthys crocea</v>
      </c>
      <c r="H582" t="s">
        <v>557</v>
      </c>
      <c r="I582" t="str">
        <f>HYPERLINK("http://www.ncbi.nlm.nih.gov/protein/NP_001290296.1","androgen receptor")</f>
        <v>androgen receptor</v>
      </c>
      <c r="J582">
        <v>597.42999999999995</v>
      </c>
      <c r="K582" t="s">
        <v>25</v>
      </c>
      <c r="L582">
        <v>157</v>
      </c>
      <c r="M582">
        <v>44.41</v>
      </c>
      <c r="N582">
        <v>31.8</v>
      </c>
      <c r="O582" t="s">
        <v>25</v>
      </c>
      <c r="P582" t="s">
        <v>965</v>
      </c>
      <c r="Q582" t="s">
        <v>20</v>
      </c>
      <c r="R582" t="str">
        <f>HYPERLINK("https://cfpub.epa.gov/ecotox/explore.cfm?ncbi=215358","Explore in ECOTOX")</f>
        <v>Explore in ECOTOX</v>
      </c>
    </row>
    <row r="583" spans="1:18" x14ac:dyDescent="0.25">
      <c r="A583">
        <v>6</v>
      </c>
      <c r="B583" t="str">
        <f>HYPERLINK("http://www.ncbi.nlm.nih.gov/protein/KAG5284682.1","KAG5284682.1")</f>
        <v>KAG5284682.1</v>
      </c>
      <c r="C583">
        <v>26424</v>
      </c>
      <c r="D583" t="str">
        <f>HYPERLINK("http://www.ncbi.nlm.nih.gov/Taxonomy/Browser/wwwtax.cgi?mode=Info&amp;id=278164&amp;lvl=3&amp;lin=f&amp;keep=1&amp;srchmode=1&amp;unlock","278164")</f>
        <v>278164</v>
      </c>
      <c r="E583" t="s">
        <v>384</v>
      </c>
      <c r="F583" t="s">
        <v>384</v>
      </c>
      <c r="G583" t="str">
        <f>HYPERLINK("http://www.ncbi.nlm.nih.gov/Taxonomy/Browser/wwwtax.cgi?mode=Info&amp;id=278164&amp;lvl=3&amp;lin=f&amp;keep=1&amp;srchmode=1&amp;unlock","Alosa alosa")</f>
        <v>Alosa alosa</v>
      </c>
      <c r="H583" t="s">
        <v>498</v>
      </c>
      <c r="I583" t="str">
        <f>HYPERLINK("http://www.ncbi.nlm.nih.gov/protein/KAG5284682.1","hypothetical protein AALO_G00029320")</f>
        <v>hypothetical protein AALO_G00029320</v>
      </c>
      <c r="J583">
        <v>597.04</v>
      </c>
      <c r="K583" t="s">
        <v>25</v>
      </c>
      <c r="L583">
        <v>157</v>
      </c>
      <c r="M583">
        <v>44.41</v>
      </c>
      <c r="N583">
        <v>31.78</v>
      </c>
      <c r="O583" t="s">
        <v>25</v>
      </c>
      <c r="P583" t="s">
        <v>965</v>
      </c>
      <c r="Q583" t="s">
        <v>20</v>
      </c>
      <c r="R583" t="str">
        <f>HYPERLINK("https://cfpub.epa.gov/ecotox/explore.cfm?ncbi=278164","Explore in ECOTOX")</f>
        <v>Explore in ECOTOX</v>
      </c>
    </row>
    <row r="584" spans="1:18" x14ac:dyDescent="0.25">
      <c r="A584">
        <v>6</v>
      </c>
      <c r="B584" t="str">
        <f>HYPERLINK("http://www.ncbi.nlm.nih.gov/protein/XP_036378850.1","XP_036378850.1")</f>
        <v>XP_036378850.1</v>
      </c>
      <c r="C584">
        <v>40209</v>
      </c>
      <c r="D584" t="str">
        <f>HYPERLINK("http://www.ncbi.nlm.nih.gov/Taxonomy/Browser/wwwtax.cgi?mode=Info&amp;id=118141&amp;lvl=3&amp;lin=f&amp;keep=1&amp;srchmode=1&amp;unlock","118141")</f>
        <v>118141</v>
      </c>
      <c r="E584" t="s">
        <v>384</v>
      </c>
      <c r="F584" t="s">
        <v>384</v>
      </c>
      <c r="G584" t="str">
        <f>HYPERLINK("http://www.ncbi.nlm.nih.gov/Taxonomy/Browser/wwwtax.cgi?mode=Info&amp;id=118141&amp;lvl=3&amp;lin=f&amp;keep=1&amp;srchmode=1&amp;unlock","Megalops cyprinoides")</f>
        <v>Megalops cyprinoides</v>
      </c>
      <c r="H584" t="s">
        <v>564</v>
      </c>
      <c r="I584" t="str">
        <f>HYPERLINK("http://www.ncbi.nlm.nih.gov/protein/XP_036378850.1","androgen receptor")</f>
        <v>androgen receptor</v>
      </c>
      <c r="J584">
        <v>596.66</v>
      </c>
      <c r="K584" t="s">
        <v>25</v>
      </c>
      <c r="L584">
        <v>157</v>
      </c>
      <c r="M584">
        <v>44.41</v>
      </c>
      <c r="N584">
        <v>31.76</v>
      </c>
      <c r="O584" t="s">
        <v>25</v>
      </c>
      <c r="P584" t="s">
        <v>965</v>
      </c>
      <c r="Q584" t="s">
        <v>20</v>
      </c>
      <c r="R584" t="str">
        <f>HYPERLINK("https://cfpub.epa.gov/ecotox/explore.cfm?ncbi=118141","Explore in ECOTOX")</f>
        <v>Explore in ECOTOX</v>
      </c>
    </row>
    <row r="585" spans="1:18" x14ac:dyDescent="0.25">
      <c r="A585">
        <v>6</v>
      </c>
      <c r="B585" t="str">
        <f>HYPERLINK("http://www.ncbi.nlm.nih.gov/protein/XP_035481930.1","XP_035481930.1")</f>
        <v>XP_035481930.1</v>
      </c>
      <c r="C585">
        <v>101851</v>
      </c>
      <c r="D585" t="str">
        <f>HYPERLINK("http://www.ncbi.nlm.nih.gov/Taxonomy/Browser/wwwtax.cgi?mode=Info&amp;id=52904&amp;lvl=3&amp;lin=f&amp;keep=1&amp;srchmode=1&amp;unlock","52904")</f>
        <v>52904</v>
      </c>
      <c r="E585" t="s">
        <v>384</v>
      </c>
      <c r="F585" t="s">
        <v>384</v>
      </c>
      <c r="G585" t="str">
        <f>HYPERLINK("http://www.ncbi.nlm.nih.gov/Taxonomy/Browser/wwwtax.cgi?mode=Info&amp;id=52904&amp;lvl=3&amp;lin=f&amp;keep=1&amp;srchmode=1&amp;unlock","Scophthalmus maximus")</f>
        <v>Scophthalmus maximus</v>
      </c>
      <c r="H585" t="s">
        <v>595</v>
      </c>
      <c r="I585" t="str">
        <f>HYPERLINK("http://www.ncbi.nlm.nih.gov/protein/XP_035481930.1","androgen receptor-like isoform X2")</f>
        <v>androgen receptor-like isoform X2</v>
      </c>
      <c r="J585">
        <v>596.27</v>
      </c>
      <c r="K585" t="s">
        <v>25</v>
      </c>
      <c r="L585">
        <v>157</v>
      </c>
      <c r="M585">
        <v>44.41</v>
      </c>
      <c r="N585">
        <v>31.74</v>
      </c>
      <c r="O585" t="s">
        <v>25</v>
      </c>
      <c r="P585" t="s">
        <v>965</v>
      </c>
      <c r="Q585" t="s">
        <v>20</v>
      </c>
      <c r="R585" t="str">
        <f>HYPERLINK("https://cfpub.epa.gov/ecotox/explore.cfm?ncbi=52904","Explore in ECOTOX")</f>
        <v>Explore in ECOTOX</v>
      </c>
    </row>
    <row r="586" spans="1:18" x14ac:dyDescent="0.25">
      <c r="A586">
        <v>6</v>
      </c>
      <c r="B586" t="str">
        <f>HYPERLINK("http://www.ncbi.nlm.nih.gov/protein/XP_035382924.1","XP_035382924.1")</f>
        <v>XP_035382924.1</v>
      </c>
      <c r="C586">
        <v>45368</v>
      </c>
      <c r="D586" t="str">
        <f>HYPERLINK("http://www.ncbi.nlm.nih.gov/Taxonomy/Browser/wwwtax.cgi?mode=Info&amp;id=8005&amp;lvl=3&amp;lin=f&amp;keep=1&amp;srchmode=1&amp;unlock","8005")</f>
        <v>8005</v>
      </c>
      <c r="E586" t="s">
        <v>384</v>
      </c>
      <c r="F586" t="s">
        <v>384</v>
      </c>
      <c r="G586" t="str">
        <f>HYPERLINK("http://www.ncbi.nlm.nih.gov/Taxonomy/Browser/wwwtax.cgi?mode=Info&amp;id=8005&amp;lvl=3&amp;lin=f&amp;keep=1&amp;srchmode=1&amp;unlock","Electrophorus electricus")</f>
        <v>Electrophorus electricus</v>
      </c>
      <c r="H586" t="s">
        <v>606</v>
      </c>
      <c r="I586" t="str">
        <f>HYPERLINK("http://www.ncbi.nlm.nih.gov/protein/XP_035382924.1","androgen receptor isoform X1")</f>
        <v>androgen receptor isoform X1</v>
      </c>
      <c r="J586">
        <v>596.27</v>
      </c>
      <c r="K586" t="s">
        <v>25</v>
      </c>
      <c r="L586">
        <v>157</v>
      </c>
      <c r="M586">
        <v>44.41</v>
      </c>
      <c r="N586">
        <v>31.74</v>
      </c>
      <c r="O586" t="s">
        <v>25</v>
      </c>
      <c r="P586" t="s">
        <v>965</v>
      </c>
      <c r="Q586" t="s">
        <v>20</v>
      </c>
      <c r="R586" t="str">
        <f>HYPERLINK("https://cfpub.epa.gov/ecotox/explore.cfm?ncbi=8005","Explore in ECOTOX")</f>
        <v>Explore in ECOTOX</v>
      </c>
    </row>
    <row r="587" spans="1:18" x14ac:dyDescent="0.25">
      <c r="A587">
        <v>6</v>
      </c>
      <c r="B587" t="str">
        <f>HYPERLINK("http://www.ncbi.nlm.nih.gov/protein/TKS83515.1","TKS83515.1")</f>
        <v>TKS83515.1</v>
      </c>
      <c r="C587">
        <v>28569</v>
      </c>
      <c r="D587" t="str">
        <f>HYPERLINK("http://www.ncbi.nlm.nih.gov/Taxonomy/Browser/wwwtax.cgi?mode=Info&amp;id=240159&amp;lvl=3&amp;lin=f&amp;keep=1&amp;srchmode=1&amp;unlock","240159")</f>
        <v>240159</v>
      </c>
      <c r="E587" t="s">
        <v>384</v>
      </c>
      <c r="F587" t="s">
        <v>384</v>
      </c>
      <c r="G587" t="str">
        <f>HYPERLINK("http://www.ncbi.nlm.nih.gov/Taxonomy/Browser/wwwtax.cgi?mode=Info&amp;id=240159&amp;lvl=3&amp;lin=f&amp;keep=1&amp;srchmode=1&amp;unlock","Collichthys lucidus")</f>
        <v>Collichthys lucidus</v>
      </c>
      <c r="H587" t="s">
        <v>528</v>
      </c>
      <c r="I587" t="str">
        <f>HYPERLINK("http://www.ncbi.nlm.nih.gov/protein/TKS83515.1","Androgen receptor")</f>
        <v>Androgen receptor</v>
      </c>
      <c r="J587">
        <v>595.89</v>
      </c>
      <c r="K587" t="s">
        <v>25</v>
      </c>
      <c r="L587">
        <v>157</v>
      </c>
      <c r="M587">
        <v>44.41</v>
      </c>
      <c r="N587">
        <v>31.72</v>
      </c>
      <c r="O587" t="s">
        <v>25</v>
      </c>
      <c r="P587" t="s">
        <v>965</v>
      </c>
      <c r="Q587" t="s">
        <v>20</v>
      </c>
      <c r="R587" t="str">
        <f>HYPERLINK("https://cfpub.epa.gov/ecotox/explore.cfm?ncbi=240159","Explore in ECOTOX")</f>
        <v>Explore in ECOTOX</v>
      </c>
    </row>
    <row r="588" spans="1:18" x14ac:dyDescent="0.25">
      <c r="A588">
        <v>6</v>
      </c>
      <c r="B588" t="str">
        <f>HYPERLINK("http://www.ncbi.nlm.nih.gov/protein/ALK16305.1","ALK16305.1")</f>
        <v>ALK16305.1</v>
      </c>
      <c r="C588">
        <v>25404</v>
      </c>
      <c r="D588" t="str">
        <f>HYPERLINK("http://www.ncbi.nlm.nih.gov/Taxonomy/Browser/wwwtax.cgi?mode=Info&amp;id=150288&amp;lvl=3&amp;lin=f&amp;keep=1&amp;srchmode=1&amp;unlock","150288")</f>
        <v>150288</v>
      </c>
      <c r="E588" t="s">
        <v>384</v>
      </c>
      <c r="F588" t="s">
        <v>384</v>
      </c>
      <c r="G588" t="str">
        <f>HYPERLINK("http://www.ncbi.nlm.nih.gov/Taxonomy/Browser/wwwtax.cgi?mode=Info&amp;id=150288&amp;lvl=3&amp;lin=f&amp;keep=1&amp;srchmode=1&amp;unlock","Boleophthalmus pectinirostris")</f>
        <v>Boleophthalmus pectinirostris</v>
      </c>
      <c r="H588" t="s">
        <v>521</v>
      </c>
      <c r="I588" t="str">
        <f>HYPERLINK("http://www.ncbi.nlm.nih.gov/protein/ALK16305.1","androgen receptor")</f>
        <v>androgen receptor</v>
      </c>
      <c r="J588">
        <v>595.89</v>
      </c>
      <c r="K588" t="s">
        <v>25</v>
      </c>
      <c r="L588">
        <v>157</v>
      </c>
      <c r="M588">
        <v>44.41</v>
      </c>
      <c r="N588">
        <v>31.72</v>
      </c>
      <c r="O588" t="s">
        <v>25</v>
      </c>
      <c r="P588" t="s">
        <v>965</v>
      </c>
      <c r="Q588" t="s">
        <v>20</v>
      </c>
      <c r="R588" t="str">
        <f>HYPERLINK("https://cfpub.epa.gov/ecotox/explore.cfm?ncbi=150288","Explore in ECOTOX")</f>
        <v>Explore in ECOTOX</v>
      </c>
    </row>
    <row r="589" spans="1:18" x14ac:dyDescent="0.25">
      <c r="A589">
        <v>6</v>
      </c>
      <c r="B589" t="str">
        <f>HYPERLINK("http://www.ncbi.nlm.nih.gov/protein/XP_040907264.1","XP_040907264.1")</f>
        <v>XP_040907264.1</v>
      </c>
      <c r="C589">
        <v>38442</v>
      </c>
      <c r="D589" t="str">
        <f>HYPERLINK("http://www.ncbi.nlm.nih.gov/Taxonomy/Browser/wwwtax.cgi?mode=Info&amp;id=941984&amp;lvl=3&amp;lin=f&amp;keep=1&amp;srchmode=1&amp;unlock","941984")</f>
        <v>941984</v>
      </c>
      <c r="E589" t="s">
        <v>384</v>
      </c>
      <c r="F589" t="s">
        <v>384</v>
      </c>
      <c r="G589" t="str">
        <f>HYPERLINK("http://www.ncbi.nlm.nih.gov/Taxonomy/Browser/wwwtax.cgi?mode=Info&amp;id=941984&amp;lvl=3&amp;lin=f&amp;keep=1&amp;srchmode=1&amp;unlock","Toxotes jaculatrix")</f>
        <v>Toxotes jaculatrix</v>
      </c>
      <c r="H589" t="s">
        <v>531</v>
      </c>
      <c r="I589" t="str">
        <f>HYPERLINK("http://www.ncbi.nlm.nih.gov/protein/XP_040907264.1","androgen receptor isoform X1")</f>
        <v>androgen receptor isoform X1</v>
      </c>
      <c r="J589">
        <v>595.12</v>
      </c>
      <c r="K589" t="s">
        <v>25</v>
      </c>
      <c r="L589">
        <v>157</v>
      </c>
      <c r="M589">
        <v>44.41</v>
      </c>
      <c r="N589">
        <v>31.68</v>
      </c>
      <c r="O589" t="s">
        <v>25</v>
      </c>
      <c r="P589" t="s">
        <v>965</v>
      </c>
      <c r="Q589" t="s">
        <v>20</v>
      </c>
      <c r="R589" t="str">
        <f>HYPERLINK("https://cfpub.epa.gov/ecotox/explore.cfm?ncbi=941984","Explore in ECOTOX")</f>
        <v>Explore in ECOTOX</v>
      </c>
    </row>
    <row r="590" spans="1:18" x14ac:dyDescent="0.25">
      <c r="A590">
        <v>6</v>
      </c>
      <c r="B590" t="str">
        <f>HYPERLINK("http://www.ncbi.nlm.nih.gov/protein/ADI24924.1","ADI24924.1")</f>
        <v>ADI24924.1</v>
      </c>
      <c r="C590">
        <v>54</v>
      </c>
      <c r="D590" t="str">
        <f>HYPERLINK("http://www.ncbi.nlm.nih.gov/Taxonomy/Browser/wwwtax.cgi?mode=Info&amp;id=98377&amp;lvl=3&amp;lin=f&amp;keep=1&amp;srchmode=1&amp;unlock","98377")</f>
        <v>98377</v>
      </c>
      <c r="E590" t="s">
        <v>384</v>
      </c>
      <c r="F590" t="s">
        <v>384</v>
      </c>
      <c r="G590" t="str">
        <f>HYPERLINK("http://www.ncbi.nlm.nih.gov/Taxonomy/Browser/wwwtax.cgi?mode=Info&amp;id=98377&amp;lvl=3&amp;lin=f&amp;keep=1&amp;srchmode=1&amp;unlock","Pseudolabrus sieboldi")</f>
        <v>Pseudolabrus sieboldi</v>
      </c>
      <c r="H590" t="s">
        <v>1009</v>
      </c>
      <c r="I590" t="str">
        <f>HYPERLINK("http://www.ncbi.nlm.nih.gov/protein/ADI24924.1","androgen receptor")</f>
        <v>androgen receptor</v>
      </c>
      <c r="J590">
        <v>595.12</v>
      </c>
      <c r="K590" t="s">
        <v>25</v>
      </c>
      <c r="L590">
        <v>157</v>
      </c>
      <c r="M590">
        <v>44.41</v>
      </c>
      <c r="N590">
        <v>31.68</v>
      </c>
      <c r="O590" t="s">
        <v>25</v>
      </c>
      <c r="P590" t="s">
        <v>965</v>
      </c>
      <c r="Q590" t="s">
        <v>20</v>
      </c>
      <c r="R590" t="str">
        <f>HYPERLINK("https://cfpub.epa.gov/ecotox/explore.cfm?ncbi=98377","Explore in ECOTOX")</f>
        <v>Explore in ECOTOX</v>
      </c>
    </row>
    <row r="591" spans="1:18" x14ac:dyDescent="0.25">
      <c r="A591">
        <v>6</v>
      </c>
      <c r="B591" t="str">
        <f>HYPERLINK("http://www.ncbi.nlm.nih.gov/protein/BAI58984.1","BAI58984.1")</f>
        <v>BAI58984.1</v>
      </c>
      <c r="C591">
        <v>47310</v>
      </c>
      <c r="D591" t="str">
        <f>HYPERLINK("http://www.ncbi.nlm.nih.gov/Taxonomy/Browser/wwwtax.cgi?mode=Info&amp;id=8090&amp;lvl=3&amp;lin=f&amp;keep=1&amp;srchmode=1&amp;unlock","8090")</f>
        <v>8090</v>
      </c>
      <c r="E591" t="s">
        <v>384</v>
      </c>
      <c r="F591" t="s">
        <v>384</v>
      </c>
      <c r="G591" t="str">
        <f>HYPERLINK("http://www.ncbi.nlm.nih.gov/Taxonomy/Browser/wwwtax.cgi?mode=Info&amp;id=8090&amp;lvl=3&amp;lin=f&amp;keep=1&amp;srchmode=1&amp;unlock","Oryzias latipes")</f>
        <v>Oryzias latipes</v>
      </c>
      <c r="H591" t="s">
        <v>644</v>
      </c>
      <c r="I591" t="str">
        <f>HYPERLINK("http://www.ncbi.nlm.nih.gov/protein/BAI58984.1","androgen receptor beta subtype")</f>
        <v>androgen receptor beta subtype</v>
      </c>
      <c r="J591">
        <v>595.12</v>
      </c>
      <c r="K591" t="s">
        <v>25</v>
      </c>
      <c r="L591">
        <v>157</v>
      </c>
      <c r="M591">
        <v>44.41</v>
      </c>
      <c r="N591">
        <v>31.68</v>
      </c>
      <c r="O591" t="s">
        <v>25</v>
      </c>
      <c r="P591" t="s">
        <v>965</v>
      </c>
      <c r="Q591" t="s">
        <v>20</v>
      </c>
      <c r="R591" t="str">
        <f>HYPERLINK("https://cfpub.epa.gov/ecotox/explore.cfm?ncbi=8090","Explore in ECOTOX")</f>
        <v>Explore in ECOTOX</v>
      </c>
    </row>
    <row r="592" spans="1:18" x14ac:dyDescent="0.25">
      <c r="A592">
        <v>6</v>
      </c>
      <c r="B592" t="str">
        <f>HYPERLINK("http://www.ncbi.nlm.nih.gov/protein/AWT24623.1","AWT24623.1")</f>
        <v>AWT24623.1</v>
      </c>
      <c r="C592">
        <v>351</v>
      </c>
      <c r="D592" t="str">
        <f>HYPERLINK("http://www.ncbi.nlm.nih.gov/Taxonomy/Browser/wwwtax.cgi?mode=Info&amp;id=7888&amp;lvl=3&amp;lin=f&amp;keep=1&amp;srchmode=1&amp;unlock","7888")</f>
        <v>7888</v>
      </c>
      <c r="E592" t="s">
        <v>687</v>
      </c>
      <c r="F592" t="s">
        <v>687</v>
      </c>
      <c r="G592" t="str">
        <f>HYPERLINK("http://www.ncbi.nlm.nih.gov/Taxonomy/Browser/wwwtax.cgi?mode=Info&amp;id=7888&amp;lvl=3&amp;lin=f&amp;keep=1&amp;srchmode=1&amp;unlock","Protopterus annectens")</f>
        <v>Protopterus annectens</v>
      </c>
      <c r="H592" t="s">
        <v>1010</v>
      </c>
      <c r="I592" t="str">
        <f>HYPERLINK("http://www.ncbi.nlm.nih.gov/protein/AWT24623.1","AR")</f>
        <v>AR</v>
      </c>
      <c r="J592">
        <v>594.73</v>
      </c>
      <c r="K592" t="s">
        <v>25</v>
      </c>
      <c r="L592">
        <v>157</v>
      </c>
      <c r="M592">
        <v>44.41</v>
      </c>
      <c r="N592">
        <v>31.66</v>
      </c>
      <c r="O592" t="s">
        <v>25</v>
      </c>
      <c r="P592" t="s">
        <v>965</v>
      </c>
      <c r="Q592" t="s">
        <v>20</v>
      </c>
      <c r="R592" t="str">
        <f>HYPERLINK("https://cfpub.epa.gov/ecotox/explore.cfm?ncbi=7888","Explore in ECOTOX")</f>
        <v>Explore in ECOTOX</v>
      </c>
    </row>
    <row r="593" spans="1:18" x14ac:dyDescent="0.25">
      <c r="A593">
        <v>6</v>
      </c>
      <c r="B593" t="str">
        <f>HYPERLINK("http://www.ncbi.nlm.nih.gov/protein/XP_026039080.1","XP_026039080.1")</f>
        <v>XP_026039080.1</v>
      </c>
      <c r="C593">
        <v>52755</v>
      </c>
      <c r="D593" t="str">
        <f>HYPERLINK("http://www.ncbi.nlm.nih.gov/Taxonomy/Browser/wwwtax.cgi?mode=Info&amp;id=8154&amp;lvl=3&amp;lin=f&amp;keep=1&amp;srchmode=1&amp;unlock","8154")</f>
        <v>8154</v>
      </c>
      <c r="E593" t="s">
        <v>384</v>
      </c>
      <c r="F593" t="s">
        <v>384</v>
      </c>
      <c r="G593" t="str">
        <f>HYPERLINK("http://www.ncbi.nlm.nih.gov/Taxonomy/Browser/wwwtax.cgi?mode=Info&amp;id=8154&amp;lvl=3&amp;lin=f&amp;keep=1&amp;srchmode=1&amp;unlock","Astatotilapia calliptera")</f>
        <v>Astatotilapia calliptera</v>
      </c>
      <c r="H593" t="s">
        <v>640</v>
      </c>
      <c r="I593" t="str">
        <f>HYPERLINK("http://www.ncbi.nlm.nih.gov/protein/XP_026039080.1","androgen receptor-like")</f>
        <v>androgen receptor-like</v>
      </c>
      <c r="J593">
        <v>594.35</v>
      </c>
      <c r="K593" t="s">
        <v>25</v>
      </c>
      <c r="L593">
        <v>157</v>
      </c>
      <c r="M593">
        <v>44.41</v>
      </c>
      <c r="N593">
        <v>31.64</v>
      </c>
      <c r="O593" t="s">
        <v>25</v>
      </c>
      <c r="P593" t="s">
        <v>965</v>
      </c>
      <c r="Q593" t="s">
        <v>20</v>
      </c>
      <c r="R593" t="str">
        <f>HYPERLINK("https://cfpub.epa.gov/ecotox/explore.cfm?ncbi=8154","Explore in ECOTOX")</f>
        <v>Explore in ECOTOX</v>
      </c>
    </row>
    <row r="594" spans="1:18" x14ac:dyDescent="0.25">
      <c r="A594">
        <v>6</v>
      </c>
      <c r="B594" t="str">
        <f>HYPERLINK("http://www.ncbi.nlm.nih.gov/protein/AYM51328.1","AYM51328.1")</f>
        <v>AYM51328.1</v>
      </c>
      <c r="C594">
        <v>49355</v>
      </c>
      <c r="D594" t="str">
        <f>HYPERLINK("http://www.ncbi.nlm.nih.gov/Taxonomy/Browser/wwwtax.cgi?mode=Info&amp;id=158456&amp;lvl=3&amp;lin=f&amp;keep=1&amp;srchmode=1&amp;unlock","158456")</f>
        <v>158456</v>
      </c>
      <c r="E594" t="s">
        <v>384</v>
      </c>
      <c r="F594" t="s">
        <v>384</v>
      </c>
      <c r="G594" t="str">
        <f>HYPERLINK("http://www.ncbi.nlm.nih.gov/Taxonomy/Browser/wwwtax.cgi?mode=Info&amp;id=158456&amp;lvl=3&amp;lin=f&amp;keep=1&amp;srchmode=1&amp;unlock","Betta splendens")</f>
        <v>Betta splendens</v>
      </c>
      <c r="H594" t="s">
        <v>592</v>
      </c>
      <c r="I594" t="str">
        <f>HYPERLINK("http://www.ncbi.nlm.nih.gov/protein/AYM51328.1","androgen receptor ARb")</f>
        <v>androgen receptor ARb</v>
      </c>
      <c r="J594">
        <v>594.35</v>
      </c>
      <c r="K594" t="s">
        <v>25</v>
      </c>
      <c r="L594">
        <v>157</v>
      </c>
      <c r="M594">
        <v>44.41</v>
      </c>
      <c r="N594">
        <v>31.64</v>
      </c>
      <c r="O594" t="s">
        <v>25</v>
      </c>
      <c r="P594" t="s">
        <v>965</v>
      </c>
      <c r="Q594" t="s">
        <v>20</v>
      </c>
      <c r="R594" t="str">
        <f>HYPERLINK("https://cfpub.epa.gov/ecotox/explore.cfm?ncbi=158456","Explore in ECOTOX")</f>
        <v>Explore in ECOTOX</v>
      </c>
    </row>
    <row r="595" spans="1:18" x14ac:dyDescent="0.25">
      <c r="A595">
        <v>6</v>
      </c>
      <c r="B595" t="str">
        <f>HYPERLINK("http://www.ncbi.nlm.nih.gov/protein/XP_037605001.1","XP_037605001.1")</f>
        <v>XP_037605001.1</v>
      </c>
      <c r="C595">
        <v>50721</v>
      </c>
      <c r="D595" t="str">
        <f>HYPERLINK("http://www.ncbi.nlm.nih.gov/Taxonomy/Browser/wwwtax.cgi?mode=Info&amp;id=72105&amp;lvl=3&amp;lin=f&amp;keep=1&amp;srchmode=1&amp;unlock","72105")</f>
        <v>72105</v>
      </c>
      <c r="E595" t="s">
        <v>384</v>
      </c>
      <c r="F595" t="s">
        <v>384</v>
      </c>
      <c r="G595" t="str">
        <f>HYPERLINK("http://www.ncbi.nlm.nih.gov/Taxonomy/Browser/wwwtax.cgi?mode=Info&amp;id=72105&amp;lvl=3&amp;lin=f&amp;keep=1&amp;srchmode=1&amp;unlock","Sebastes umbrosus")</f>
        <v>Sebastes umbrosus</v>
      </c>
      <c r="H595" t="s">
        <v>611</v>
      </c>
      <c r="I595" t="str">
        <f>HYPERLINK("http://www.ncbi.nlm.nih.gov/protein/XP_037605001.1","androgen receptor-like isoform X2")</f>
        <v>androgen receptor-like isoform X2</v>
      </c>
      <c r="J595">
        <v>593.96</v>
      </c>
      <c r="K595" t="s">
        <v>25</v>
      </c>
      <c r="L595">
        <v>157</v>
      </c>
      <c r="M595">
        <v>44.41</v>
      </c>
      <c r="N595">
        <v>31.62</v>
      </c>
      <c r="O595" t="s">
        <v>25</v>
      </c>
      <c r="P595" t="s">
        <v>965</v>
      </c>
      <c r="Q595" t="s">
        <v>20</v>
      </c>
      <c r="R595" t="str">
        <f>HYPERLINK("https://cfpub.epa.gov/ecotox/explore.cfm?ncbi=72105","Explore in ECOTOX")</f>
        <v>Explore in ECOTOX</v>
      </c>
    </row>
    <row r="596" spans="1:18" x14ac:dyDescent="0.25">
      <c r="A596">
        <v>6</v>
      </c>
      <c r="B596" t="str">
        <f>HYPERLINK("http://www.ncbi.nlm.nih.gov/protein/XP_015816533.1","XP_015816533.1")</f>
        <v>XP_015816533.1</v>
      </c>
      <c r="C596">
        <v>70065</v>
      </c>
      <c r="D596" t="str">
        <f>HYPERLINK("http://www.ncbi.nlm.nih.gov/Taxonomy/Browser/wwwtax.cgi?mode=Info&amp;id=105023&amp;lvl=3&amp;lin=f&amp;keep=1&amp;srchmode=1&amp;unlock","105023")</f>
        <v>105023</v>
      </c>
      <c r="E596" t="s">
        <v>384</v>
      </c>
      <c r="F596" t="s">
        <v>384</v>
      </c>
      <c r="G596" t="str">
        <f>HYPERLINK("http://www.ncbi.nlm.nih.gov/Taxonomy/Browser/wwwtax.cgi?mode=Info&amp;id=105023&amp;lvl=3&amp;lin=f&amp;keep=1&amp;srchmode=1&amp;unlock","Nothobranchius furzeri")</f>
        <v>Nothobranchius furzeri</v>
      </c>
      <c r="H596" t="s">
        <v>556</v>
      </c>
      <c r="I596" t="str">
        <f>HYPERLINK("http://www.ncbi.nlm.nih.gov/protein/XP_015816533.1","PREDICTED: androgen receptor")</f>
        <v>PREDICTED: androgen receptor</v>
      </c>
      <c r="J596">
        <v>593.96</v>
      </c>
      <c r="K596" t="s">
        <v>25</v>
      </c>
      <c r="L596">
        <v>157</v>
      </c>
      <c r="M596">
        <v>44.41</v>
      </c>
      <c r="N596">
        <v>31.62</v>
      </c>
      <c r="O596" t="s">
        <v>25</v>
      </c>
      <c r="P596" t="s">
        <v>965</v>
      </c>
      <c r="Q596" t="s">
        <v>20</v>
      </c>
      <c r="R596" t="str">
        <f>HYPERLINK("https://cfpub.epa.gov/ecotox/explore.cfm?ncbi=105023","Explore in ECOTOX")</f>
        <v>Explore in ECOTOX</v>
      </c>
    </row>
    <row r="597" spans="1:18" x14ac:dyDescent="0.25">
      <c r="A597">
        <v>6</v>
      </c>
      <c r="B597" t="str">
        <f>HYPERLINK("http://www.ncbi.nlm.nih.gov/protein/XP_031175918.1","XP_031175918.1")</f>
        <v>XP_031175918.1</v>
      </c>
      <c r="C597">
        <v>56683</v>
      </c>
      <c r="D597" t="str">
        <f>HYPERLINK("http://www.ncbi.nlm.nih.gov/Taxonomy/Browser/wwwtax.cgi?mode=Info&amp;id=283035&amp;lvl=3&amp;lin=f&amp;keep=1&amp;srchmode=1&amp;unlock","283035")</f>
        <v>283035</v>
      </c>
      <c r="E597" t="s">
        <v>384</v>
      </c>
      <c r="F597" t="s">
        <v>384</v>
      </c>
      <c r="G597" t="str">
        <f>HYPERLINK("http://www.ncbi.nlm.nih.gov/Taxonomy/Browser/wwwtax.cgi?mode=Info&amp;id=283035&amp;lvl=3&amp;lin=f&amp;keep=1&amp;srchmode=1&amp;unlock","Sander lucioperca")</f>
        <v>Sander lucioperca</v>
      </c>
      <c r="H597" t="s">
        <v>539</v>
      </c>
      <c r="I597" t="str">
        <f>HYPERLINK("http://www.ncbi.nlm.nih.gov/protein/XP_031175918.1","androgen receptor-like isoform X2")</f>
        <v>androgen receptor-like isoform X2</v>
      </c>
      <c r="J597">
        <v>593.58000000000004</v>
      </c>
      <c r="K597" t="s">
        <v>25</v>
      </c>
      <c r="L597">
        <v>157</v>
      </c>
      <c r="M597">
        <v>44.41</v>
      </c>
      <c r="N597">
        <v>31.6</v>
      </c>
      <c r="O597" t="s">
        <v>25</v>
      </c>
      <c r="P597" t="s">
        <v>965</v>
      </c>
      <c r="Q597" t="s">
        <v>20</v>
      </c>
      <c r="R597" t="str">
        <f>HYPERLINK("https://cfpub.epa.gov/ecotox/explore.cfm?ncbi=283035","Explore in ECOTOX")</f>
        <v>Explore in ECOTOX</v>
      </c>
    </row>
    <row r="598" spans="1:18" x14ac:dyDescent="0.25">
      <c r="A598">
        <v>6</v>
      </c>
      <c r="B598" t="str">
        <f>HYPERLINK("http://www.ncbi.nlm.nih.gov/protein/XP_034034639.1","XP_034034639.1")</f>
        <v>XP_034034639.1</v>
      </c>
      <c r="C598">
        <v>36364</v>
      </c>
      <c r="D598" t="str">
        <f>HYPERLINK("http://www.ncbi.nlm.nih.gov/Taxonomy/Browser/wwwtax.cgi?mode=Info&amp;id=390379&amp;lvl=3&amp;lin=f&amp;keep=1&amp;srchmode=1&amp;unlock","390379")</f>
        <v>390379</v>
      </c>
      <c r="E598" t="s">
        <v>384</v>
      </c>
      <c r="F598" t="s">
        <v>384</v>
      </c>
      <c r="G598" t="str">
        <f>HYPERLINK("http://www.ncbi.nlm.nih.gov/Taxonomy/Browser/wwwtax.cgi?mode=Info&amp;id=390379&amp;lvl=3&amp;lin=f&amp;keep=1&amp;srchmode=1&amp;unlock","Thalassophryne amazonica")</f>
        <v>Thalassophryne amazonica</v>
      </c>
      <c r="H598" t="s">
        <v>609</v>
      </c>
      <c r="I598" t="str">
        <f>HYPERLINK("http://www.ncbi.nlm.nih.gov/protein/XP_034034639.1","androgen receptor-like isoform X1")</f>
        <v>androgen receptor-like isoform X1</v>
      </c>
      <c r="J598">
        <v>593.19000000000005</v>
      </c>
      <c r="K598" t="s">
        <v>25</v>
      </c>
      <c r="L598">
        <v>157</v>
      </c>
      <c r="M598">
        <v>44.41</v>
      </c>
      <c r="N598">
        <v>31.58</v>
      </c>
      <c r="O598" t="s">
        <v>25</v>
      </c>
      <c r="P598" t="s">
        <v>965</v>
      </c>
      <c r="Q598" t="s">
        <v>20</v>
      </c>
      <c r="R598" t="str">
        <f>HYPERLINK("https://cfpub.epa.gov/ecotox/explore.cfm?ncbi=390379","Explore in ECOTOX")</f>
        <v>Explore in ECOTOX</v>
      </c>
    </row>
    <row r="599" spans="1:18" x14ac:dyDescent="0.25">
      <c r="A599">
        <v>6</v>
      </c>
      <c r="B599" t="str">
        <f>HYPERLINK("http://www.ncbi.nlm.nih.gov/protein/XP_040005544.1","XP_040005544.1")</f>
        <v>XP_040005544.1</v>
      </c>
      <c r="C599">
        <v>44807</v>
      </c>
      <c r="D599" t="str">
        <f>HYPERLINK("http://www.ncbi.nlm.nih.gov/Taxonomy/Browser/wwwtax.cgi?mode=Info&amp;id=8245&amp;lvl=3&amp;lin=f&amp;keep=1&amp;srchmode=1&amp;unlock","8245")</f>
        <v>8245</v>
      </c>
      <c r="E599" t="s">
        <v>384</v>
      </c>
      <c r="F599" t="s">
        <v>384</v>
      </c>
      <c r="G599" t="str">
        <f>HYPERLINK("http://www.ncbi.nlm.nih.gov/Taxonomy/Browser/wwwtax.cgi?mode=Info&amp;id=8245&amp;lvl=3&amp;lin=f&amp;keep=1&amp;srchmode=1&amp;unlock","Xiphias gladius")</f>
        <v>Xiphias gladius</v>
      </c>
      <c r="H599" t="s">
        <v>573</v>
      </c>
      <c r="I599" t="str">
        <f>HYPERLINK("http://www.ncbi.nlm.nih.gov/protein/XP_040005544.1","androgen receptor-like isoform X3")</f>
        <v>androgen receptor-like isoform X3</v>
      </c>
      <c r="J599">
        <v>593.19000000000005</v>
      </c>
      <c r="K599" t="s">
        <v>25</v>
      </c>
      <c r="L599">
        <v>157</v>
      </c>
      <c r="M599">
        <v>44.41</v>
      </c>
      <c r="N599">
        <v>31.58</v>
      </c>
      <c r="O599" t="s">
        <v>25</v>
      </c>
      <c r="P599" t="s">
        <v>965</v>
      </c>
      <c r="Q599" t="s">
        <v>20</v>
      </c>
      <c r="R599" t="str">
        <f>HYPERLINK("https://cfpub.epa.gov/ecotox/explore.cfm?ncbi=8245","Explore in ECOTOX")</f>
        <v>Explore in ECOTOX</v>
      </c>
    </row>
    <row r="600" spans="1:18" x14ac:dyDescent="0.25">
      <c r="A600">
        <v>6</v>
      </c>
      <c r="B600" t="str">
        <f>HYPERLINK("http://www.ncbi.nlm.nih.gov/protein/XP_037323699.1","XP_037323699.1")</f>
        <v>XP_037323699.1</v>
      </c>
      <c r="C600">
        <v>43840</v>
      </c>
      <c r="D600" t="str">
        <f>HYPERLINK("http://www.ncbi.nlm.nih.gov/Taxonomy/Browser/wwwtax.cgi?mode=Info&amp;id=134920&amp;lvl=3&amp;lin=f&amp;keep=1&amp;srchmode=1&amp;unlock","134920")</f>
        <v>134920</v>
      </c>
      <c r="E600" t="s">
        <v>384</v>
      </c>
      <c r="F600" t="s">
        <v>384</v>
      </c>
      <c r="G600" t="str">
        <f>HYPERLINK("http://www.ncbi.nlm.nih.gov/Taxonomy/Browser/wwwtax.cgi?mode=Info&amp;id=134920&amp;lvl=3&amp;lin=f&amp;keep=1&amp;srchmode=1&amp;unlock","Pungitius pungitius")</f>
        <v>Pungitius pungitius</v>
      </c>
      <c r="H600" t="s">
        <v>617</v>
      </c>
      <c r="I600" t="str">
        <f>HYPERLINK("http://www.ncbi.nlm.nih.gov/protein/XP_037323699.1","androgen receptor-like")</f>
        <v>androgen receptor-like</v>
      </c>
      <c r="J600">
        <v>592.80999999999995</v>
      </c>
      <c r="K600" t="s">
        <v>25</v>
      </c>
      <c r="L600">
        <v>157</v>
      </c>
      <c r="M600">
        <v>44.41</v>
      </c>
      <c r="N600">
        <v>31.56</v>
      </c>
      <c r="O600" t="s">
        <v>25</v>
      </c>
      <c r="P600" t="s">
        <v>965</v>
      </c>
      <c r="Q600" t="s">
        <v>20</v>
      </c>
      <c r="R600" t="str">
        <f>HYPERLINK("https://cfpub.epa.gov/ecotox/explore.cfm?ncbi=134920","Explore in ECOTOX")</f>
        <v>Explore in ECOTOX</v>
      </c>
    </row>
    <row r="601" spans="1:18" x14ac:dyDescent="0.25">
      <c r="A601">
        <v>6</v>
      </c>
      <c r="B601" t="str">
        <f>HYPERLINK("http://www.ncbi.nlm.nih.gov/protein/AAO83572.1","AAO83572.1")</f>
        <v>AAO83572.1</v>
      </c>
      <c r="C601">
        <v>2306</v>
      </c>
      <c r="D601" t="str">
        <f>HYPERLINK("http://www.ncbi.nlm.nih.gov/Taxonomy/Browser/wwwtax.cgi?mode=Info&amp;id=69293&amp;lvl=3&amp;lin=f&amp;keep=1&amp;srchmode=1&amp;unlock","69293")</f>
        <v>69293</v>
      </c>
      <c r="E601" t="s">
        <v>384</v>
      </c>
      <c r="F601" t="s">
        <v>384</v>
      </c>
      <c r="G601" t="str">
        <f>HYPERLINK("http://www.ncbi.nlm.nih.gov/Taxonomy/Browser/wwwtax.cgi?mode=Info&amp;id=69293&amp;lvl=3&amp;lin=f&amp;keep=1&amp;srchmode=1&amp;unlock","Gasterosteus aculeatus")</f>
        <v>Gasterosteus aculeatus</v>
      </c>
      <c r="H601" t="s">
        <v>605</v>
      </c>
      <c r="I601" t="str">
        <f>HYPERLINK("http://www.ncbi.nlm.nih.gov/protein/AAO83572.1","androgen receptor beta 2, partial")</f>
        <v>androgen receptor beta 2, partial</v>
      </c>
      <c r="J601">
        <v>592.80999999999995</v>
      </c>
      <c r="K601" t="s">
        <v>25</v>
      </c>
      <c r="L601">
        <v>157</v>
      </c>
      <c r="M601">
        <v>44.41</v>
      </c>
      <c r="N601">
        <v>31.56</v>
      </c>
      <c r="O601" t="s">
        <v>25</v>
      </c>
      <c r="P601" t="s">
        <v>965</v>
      </c>
      <c r="Q601" t="s">
        <v>20</v>
      </c>
      <c r="R601" t="str">
        <f>HYPERLINK("https://cfpub.epa.gov/ecotox/explore.cfm?ncbi=69293","Explore in ECOTOX")</f>
        <v>Explore in ECOTOX</v>
      </c>
    </row>
    <row r="602" spans="1:18" x14ac:dyDescent="0.25">
      <c r="A602">
        <v>6</v>
      </c>
      <c r="B602" t="str">
        <f>HYPERLINK("http://www.ncbi.nlm.nih.gov/protein/XP_032389182.1","XP_032389182.1")</f>
        <v>XP_032389182.1</v>
      </c>
      <c r="C602">
        <v>64531</v>
      </c>
      <c r="D602" t="str">
        <f>HYPERLINK("http://www.ncbi.nlm.nih.gov/Taxonomy/Browser/wwwtax.cgi?mode=Info&amp;id=54343&amp;lvl=3&amp;lin=f&amp;keep=1&amp;srchmode=1&amp;unlock","54343")</f>
        <v>54343</v>
      </c>
      <c r="E602" t="s">
        <v>384</v>
      </c>
      <c r="F602" t="s">
        <v>384</v>
      </c>
      <c r="G602" t="str">
        <f>HYPERLINK("http://www.ncbi.nlm.nih.gov/Taxonomy/Browser/wwwtax.cgi?mode=Info&amp;id=54343&amp;lvl=3&amp;lin=f&amp;keep=1&amp;srchmode=1&amp;unlock","Etheostoma spectabile")</f>
        <v>Etheostoma spectabile</v>
      </c>
      <c r="H602" t="s">
        <v>568</v>
      </c>
      <c r="I602" t="str">
        <f>HYPERLINK("http://www.ncbi.nlm.nih.gov/protein/XP_032389182.1","androgen receptor-like isoform X2")</f>
        <v>androgen receptor-like isoform X2</v>
      </c>
      <c r="J602">
        <v>592.80999999999995</v>
      </c>
      <c r="K602" t="s">
        <v>25</v>
      </c>
      <c r="L602">
        <v>157</v>
      </c>
      <c r="M602">
        <v>44.41</v>
      </c>
      <c r="N602">
        <v>31.56</v>
      </c>
      <c r="O602" t="s">
        <v>25</v>
      </c>
      <c r="P602" t="s">
        <v>965</v>
      </c>
      <c r="Q602" t="s">
        <v>20</v>
      </c>
      <c r="R602" t="str">
        <f>HYPERLINK("https://cfpub.epa.gov/ecotox/explore.cfm?ncbi=54343","Explore in ECOTOX")</f>
        <v>Explore in ECOTOX</v>
      </c>
    </row>
    <row r="603" spans="1:18" x14ac:dyDescent="0.25">
      <c r="A603">
        <v>6</v>
      </c>
      <c r="B603" t="str">
        <f>HYPERLINK("http://www.ncbi.nlm.nih.gov/protein/XP_005737903.1","XP_005737903.1")</f>
        <v>XP_005737903.1</v>
      </c>
      <c r="C603">
        <v>38743</v>
      </c>
      <c r="D603" t="str">
        <f>HYPERLINK("http://www.ncbi.nlm.nih.gov/Taxonomy/Browser/wwwtax.cgi?mode=Info&amp;id=303518&amp;lvl=3&amp;lin=f&amp;keep=1&amp;srchmode=1&amp;unlock","303518")</f>
        <v>303518</v>
      </c>
      <c r="E603" t="s">
        <v>384</v>
      </c>
      <c r="F603" t="s">
        <v>384</v>
      </c>
      <c r="G603" t="str">
        <f>HYPERLINK("http://www.ncbi.nlm.nih.gov/Taxonomy/Browser/wwwtax.cgi?mode=Info&amp;id=303518&amp;lvl=3&amp;lin=f&amp;keep=1&amp;srchmode=1&amp;unlock","Pundamilia nyererei")</f>
        <v>Pundamilia nyererei</v>
      </c>
      <c r="H603" t="s">
        <v>637</v>
      </c>
      <c r="I603" t="str">
        <f>HYPERLINK("http://www.ncbi.nlm.nih.gov/protein/XP_005737903.1","PREDICTED: androgen receptor")</f>
        <v>PREDICTED: androgen receptor</v>
      </c>
      <c r="J603">
        <v>592.04</v>
      </c>
      <c r="K603" t="s">
        <v>25</v>
      </c>
      <c r="L603">
        <v>157</v>
      </c>
      <c r="M603">
        <v>44.41</v>
      </c>
      <c r="N603">
        <v>31.51</v>
      </c>
      <c r="O603" t="s">
        <v>25</v>
      </c>
      <c r="P603" t="s">
        <v>965</v>
      </c>
      <c r="Q603" t="s">
        <v>20</v>
      </c>
      <c r="R603" t="str">
        <f>HYPERLINK("https://cfpub.epa.gov/ecotox/explore.cfm?ncbi=303518","Explore in ECOTOX")</f>
        <v>Explore in ECOTOX</v>
      </c>
    </row>
    <row r="604" spans="1:18" x14ac:dyDescent="0.25">
      <c r="A604">
        <v>6</v>
      </c>
      <c r="B604" t="str">
        <f>HYPERLINK("http://www.ncbi.nlm.nih.gov/protein/XP_018547304.1","XP_018547304.1")</f>
        <v>XP_018547304.1</v>
      </c>
      <c r="C604">
        <v>45628</v>
      </c>
      <c r="D604" t="str">
        <f>HYPERLINK("http://www.ncbi.nlm.nih.gov/Taxonomy/Browser/wwwtax.cgi?mode=Info&amp;id=8187&amp;lvl=3&amp;lin=f&amp;keep=1&amp;srchmode=1&amp;unlock","8187")</f>
        <v>8187</v>
      </c>
      <c r="E604" t="s">
        <v>384</v>
      </c>
      <c r="F604" t="s">
        <v>384</v>
      </c>
      <c r="G604" t="str">
        <f>HYPERLINK("http://www.ncbi.nlm.nih.gov/Taxonomy/Browser/wwwtax.cgi?mode=Info&amp;id=8187&amp;lvl=3&amp;lin=f&amp;keep=1&amp;srchmode=1&amp;unlock","Lates calcarifer")</f>
        <v>Lates calcarifer</v>
      </c>
      <c r="H604" t="s">
        <v>532</v>
      </c>
      <c r="I604" t="str">
        <f>HYPERLINK("http://www.ncbi.nlm.nih.gov/protein/XP_018547304.1","PREDICTED: androgen receptor-like")</f>
        <v>PREDICTED: androgen receptor-like</v>
      </c>
      <c r="J604">
        <v>592.04</v>
      </c>
      <c r="K604" t="s">
        <v>25</v>
      </c>
      <c r="L604">
        <v>157</v>
      </c>
      <c r="M604">
        <v>44.41</v>
      </c>
      <c r="N604">
        <v>31.51</v>
      </c>
      <c r="O604" t="s">
        <v>25</v>
      </c>
      <c r="P604" t="s">
        <v>965</v>
      </c>
      <c r="Q604" t="s">
        <v>20</v>
      </c>
      <c r="R604" t="str">
        <f>HYPERLINK("https://cfpub.epa.gov/ecotox/explore.cfm?ncbi=8187","Explore in ECOTOX")</f>
        <v>Explore in ECOTOX</v>
      </c>
    </row>
    <row r="605" spans="1:18" x14ac:dyDescent="0.25">
      <c r="A605">
        <v>6</v>
      </c>
      <c r="B605" t="str">
        <f>HYPERLINK("http://www.ncbi.nlm.nih.gov/protein/XP_033834092.1","XP_033834092.1")</f>
        <v>XP_033834092.1</v>
      </c>
      <c r="C605">
        <v>27762</v>
      </c>
      <c r="D605" t="str">
        <f>HYPERLINK("http://www.ncbi.nlm.nih.gov/Taxonomy/Browser/wwwtax.cgi?mode=Info&amp;id=409849&amp;lvl=3&amp;lin=f&amp;keep=1&amp;srchmode=1&amp;unlock","409849")</f>
        <v>409849</v>
      </c>
      <c r="E605" t="s">
        <v>384</v>
      </c>
      <c r="F605" t="s">
        <v>384</v>
      </c>
      <c r="G605" t="str">
        <f>HYPERLINK("http://www.ncbi.nlm.nih.gov/Taxonomy/Browser/wwwtax.cgi?mode=Info&amp;id=409849&amp;lvl=3&amp;lin=f&amp;keep=1&amp;srchmode=1&amp;unlock","Periophthalmus magnuspinnatus")</f>
        <v>Periophthalmus magnuspinnatus</v>
      </c>
      <c r="H605" t="s">
        <v>594</v>
      </c>
      <c r="I605" t="str">
        <f>HYPERLINK("http://www.ncbi.nlm.nih.gov/protein/XP_033834092.1","androgen receptor isoform X1")</f>
        <v>androgen receptor isoform X1</v>
      </c>
      <c r="J605">
        <v>591.65</v>
      </c>
      <c r="K605" t="s">
        <v>25</v>
      </c>
      <c r="L605">
        <v>157</v>
      </c>
      <c r="M605">
        <v>44.41</v>
      </c>
      <c r="N605">
        <v>31.49</v>
      </c>
      <c r="O605" t="s">
        <v>25</v>
      </c>
      <c r="P605" t="s">
        <v>965</v>
      </c>
      <c r="Q605" t="s">
        <v>20</v>
      </c>
      <c r="R605" t="str">
        <f>HYPERLINK("https://cfpub.epa.gov/ecotox/explore.cfm?ncbi=409849","Explore in ECOTOX")</f>
        <v>Explore in ECOTOX</v>
      </c>
    </row>
    <row r="606" spans="1:18" x14ac:dyDescent="0.25">
      <c r="A606">
        <v>6</v>
      </c>
      <c r="B606" t="str">
        <f>HYPERLINK("http://www.ncbi.nlm.nih.gov/protein/XP_017315035.1","XP_017315035.1")</f>
        <v>XP_017315035.1</v>
      </c>
      <c r="C606">
        <v>51410</v>
      </c>
      <c r="D606" t="str">
        <f>HYPERLINK("http://www.ncbi.nlm.nih.gov/Taxonomy/Browser/wwwtax.cgi?mode=Info&amp;id=7998&amp;lvl=3&amp;lin=f&amp;keep=1&amp;srchmode=1&amp;unlock","7998")</f>
        <v>7998</v>
      </c>
      <c r="E606" t="s">
        <v>384</v>
      </c>
      <c r="F606" t="s">
        <v>384</v>
      </c>
      <c r="G606" t="str">
        <f>HYPERLINK("http://www.ncbi.nlm.nih.gov/Taxonomy/Browser/wwwtax.cgi?mode=Info&amp;id=7998&amp;lvl=3&amp;lin=f&amp;keep=1&amp;srchmode=1&amp;unlock","Ictalurus punctatus")</f>
        <v>Ictalurus punctatus</v>
      </c>
      <c r="H606" t="s">
        <v>593</v>
      </c>
      <c r="I606" t="str">
        <f>HYPERLINK("http://www.ncbi.nlm.nih.gov/protein/XP_017315035.1","PREDICTED: androgen receptor")</f>
        <v>PREDICTED: androgen receptor</v>
      </c>
      <c r="J606">
        <v>591.65</v>
      </c>
      <c r="K606" t="s">
        <v>25</v>
      </c>
      <c r="L606">
        <v>157</v>
      </c>
      <c r="M606">
        <v>44.41</v>
      </c>
      <c r="N606">
        <v>31.49</v>
      </c>
      <c r="O606" t="s">
        <v>25</v>
      </c>
      <c r="P606" t="s">
        <v>965</v>
      </c>
      <c r="Q606" t="s">
        <v>20</v>
      </c>
      <c r="R606" t="str">
        <f>HYPERLINK("https://cfpub.epa.gov/ecotox/explore.cfm?ncbi=7998","Explore in ECOTOX")</f>
        <v>Explore in ECOTOX</v>
      </c>
    </row>
    <row r="607" spans="1:18" x14ac:dyDescent="0.25">
      <c r="A607">
        <v>6</v>
      </c>
      <c r="B607" t="str">
        <f>HYPERLINK("http://www.ncbi.nlm.nih.gov/protein/QIA46600.1","QIA46600.1")</f>
        <v>QIA46600.1</v>
      </c>
      <c r="C607">
        <v>90</v>
      </c>
      <c r="D607" t="str">
        <f>HYPERLINK("http://www.ncbi.nlm.nih.gov/Taxonomy/Browser/wwwtax.cgi?mode=Info&amp;id=104658&amp;lvl=3&amp;lin=f&amp;keep=1&amp;srchmode=1&amp;unlock","104658")</f>
        <v>104658</v>
      </c>
      <c r="E607" t="s">
        <v>384</v>
      </c>
      <c r="F607" t="s">
        <v>384</v>
      </c>
      <c r="G607" t="str">
        <f>HYPERLINK("http://www.ncbi.nlm.nih.gov/Taxonomy/Browser/wwwtax.cgi?mode=Info&amp;id=104658&amp;lvl=3&amp;lin=f&amp;keep=1&amp;srchmode=1&amp;unlock","Oryzias curvinotus")</f>
        <v>Oryzias curvinotus</v>
      </c>
      <c r="H607" t="s">
        <v>1011</v>
      </c>
      <c r="I607" t="str">
        <f>HYPERLINK("http://www.ncbi.nlm.nih.gov/protein/QIA46600.1","androgen receptor beta")</f>
        <v>androgen receptor beta</v>
      </c>
      <c r="J607">
        <v>591.65</v>
      </c>
      <c r="K607" t="s">
        <v>25</v>
      </c>
      <c r="L607">
        <v>157</v>
      </c>
      <c r="M607">
        <v>44.41</v>
      </c>
      <c r="N607">
        <v>31.49</v>
      </c>
      <c r="O607" t="s">
        <v>25</v>
      </c>
      <c r="P607" t="s">
        <v>965</v>
      </c>
      <c r="Q607" t="s">
        <v>20</v>
      </c>
      <c r="R607" t="str">
        <f>HYPERLINK("https://cfpub.epa.gov/ecotox/explore.cfm?ncbi=104658","Explore in ECOTOX")</f>
        <v>Explore in ECOTOX</v>
      </c>
    </row>
    <row r="608" spans="1:18" x14ac:dyDescent="0.25">
      <c r="A608">
        <v>6</v>
      </c>
      <c r="B608" t="str">
        <f>HYPERLINK("http://www.ncbi.nlm.nih.gov/protein/XP_024118528.1","XP_024118528.1")</f>
        <v>XP_024118528.1</v>
      </c>
      <c r="C608">
        <v>69259</v>
      </c>
      <c r="D608" t="str">
        <f>HYPERLINK("http://www.ncbi.nlm.nih.gov/Taxonomy/Browser/wwwtax.cgi?mode=Info&amp;id=30732&amp;lvl=3&amp;lin=f&amp;keep=1&amp;srchmode=1&amp;unlock","30732")</f>
        <v>30732</v>
      </c>
      <c r="E608" t="s">
        <v>384</v>
      </c>
      <c r="F608" t="s">
        <v>384</v>
      </c>
      <c r="G608" t="str">
        <f>HYPERLINK("http://www.ncbi.nlm.nih.gov/Taxonomy/Browser/wwwtax.cgi?mode=Info&amp;id=30732&amp;lvl=3&amp;lin=f&amp;keep=1&amp;srchmode=1&amp;unlock","Oryzias melastigma")</f>
        <v>Oryzias melastigma</v>
      </c>
      <c r="H608" t="s">
        <v>645</v>
      </c>
      <c r="I608" t="str">
        <f>HYPERLINK("http://www.ncbi.nlm.nih.gov/protein/XP_024118528.1","androgen receptor isoform X2")</f>
        <v>androgen receptor isoform X2</v>
      </c>
      <c r="J608">
        <v>591.27</v>
      </c>
      <c r="K608" t="s">
        <v>25</v>
      </c>
      <c r="L608">
        <v>157</v>
      </c>
      <c r="M608">
        <v>44.41</v>
      </c>
      <c r="N608">
        <v>31.47</v>
      </c>
      <c r="O608" t="s">
        <v>25</v>
      </c>
      <c r="P608" t="s">
        <v>965</v>
      </c>
      <c r="Q608" t="s">
        <v>20</v>
      </c>
      <c r="R608" t="str">
        <f>HYPERLINK("https://cfpub.epa.gov/ecotox/explore.cfm?ncbi=30732","Explore in ECOTOX")</f>
        <v>Explore in ECOTOX</v>
      </c>
    </row>
    <row r="609" spans="1:18" x14ac:dyDescent="0.25">
      <c r="A609">
        <v>6</v>
      </c>
      <c r="B609" t="str">
        <f>HYPERLINK("http://www.ncbi.nlm.nih.gov/protein/XP_031712793.1","XP_031712793.1")</f>
        <v>XP_031712793.1</v>
      </c>
      <c r="C609">
        <v>41911</v>
      </c>
      <c r="D609" t="str">
        <f>HYPERLINK("http://www.ncbi.nlm.nih.gov/Taxonomy/Browser/wwwtax.cgi?mode=Info&amp;id=433405&amp;lvl=3&amp;lin=f&amp;keep=1&amp;srchmode=1&amp;unlock","433405")</f>
        <v>433405</v>
      </c>
      <c r="E609" t="s">
        <v>384</v>
      </c>
      <c r="F609" t="s">
        <v>384</v>
      </c>
      <c r="G609" t="str">
        <f>HYPERLINK("http://www.ncbi.nlm.nih.gov/Taxonomy/Browser/wwwtax.cgi?mode=Info&amp;id=433405&amp;lvl=3&amp;lin=f&amp;keep=1&amp;srchmode=1&amp;unlock","Anarrhichthys ocellatus")</f>
        <v>Anarrhichthys ocellatus</v>
      </c>
      <c r="H609" t="s">
        <v>536</v>
      </c>
      <c r="I609" t="str">
        <f>HYPERLINK("http://www.ncbi.nlm.nih.gov/protein/XP_031712793.1","androgen receptor-like")</f>
        <v>androgen receptor-like</v>
      </c>
      <c r="J609">
        <v>591.27</v>
      </c>
      <c r="K609" t="s">
        <v>25</v>
      </c>
      <c r="L609">
        <v>157</v>
      </c>
      <c r="M609">
        <v>44.41</v>
      </c>
      <c r="N609">
        <v>31.47</v>
      </c>
      <c r="O609" t="s">
        <v>25</v>
      </c>
      <c r="P609" t="s">
        <v>965</v>
      </c>
      <c r="Q609" t="s">
        <v>20</v>
      </c>
      <c r="R609" t="str">
        <f>HYPERLINK("https://cfpub.epa.gov/ecotox/explore.cfm?ncbi=433405","Explore in ECOTOX")</f>
        <v>Explore in ECOTOX</v>
      </c>
    </row>
    <row r="610" spans="1:18" x14ac:dyDescent="0.25">
      <c r="A610">
        <v>6</v>
      </c>
      <c r="B610" t="str">
        <f>HYPERLINK("http://www.ncbi.nlm.nih.gov/protein/XP_034407052.1","XP_034407052.1")</f>
        <v>XP_034407052.1</v>
      </c>
      <c r="C610">
        <v>38712</v>
      </c>
      <c r="D610" t="str">
        <f>HYPERLINK("http://www.ncbi.nlm.nih.gov/Taxonomy/Browser/wwwtax.cgi?mode=Info&amp;id=8103&amp;lvl=3&amp;lin=f&amp;keep=1&amp;srchmode=1&amp;unlock","8103")</f>
        <v>8103</v>
      </c>
      <c r="E610" t="s">
        <v>384</v>
      </c>
      <c r="F610" t="s">
        <v>384</v>
      </c>
      <c r="G610" t="str">
        <f>HYPERLINK("http://www.ncbi.nlm.nih.gov/Taxonomy/Browser/wwwtax.cgi?mode=Info&amp;id=8103&amp;lvl=3&amp;lin=f&amp;keep=1&amp;srchmode=1&amp;unlock","Cyclopterus lumpus")</f>
        <v>Cyclopterus lumpus</v>
      </c>
      <c r="H610" t="s">
        <v>481</v>
      </c>
      <c r="I610" t="str">
        <f>HYPERLINK("http://www.ncbi.nlm.nih.gov/protein/XP_034407052.1","androgen receptor-like isoform X1")</f>
        <v>androgen receptor-like isoform X1</v>
      </c>
      <c r="J610">
        <v>591.27</v>
      </c>
      <c r="K610" t="s">
        <v>25</v>
      </c>
      <c r="L610">
        <v>157</v>
      </c>
      <c r="M610">
        <v>44.41</v>
      </c>
      <c r="N610">
        <v>31.47</v>
      </c>
      <c r="O610" t="s">
        <v>25</v>
      </c>
      <c r="P610" t="s">
        <v>965</v>
      </c>
      <c r="Q610" t="s">
        <v>20</v>
      </c>
      <c r="R610" t="str">
        <f>HYPERLINK("https://cfpub.epa.gov/ecotox/explore.cfm?ncbi=8103","Explore in ECOTOX")</f>
        <v>Explore in ECOTOX</v>
      </c>
    </row>
    <row r="611" spans="1:18" x14ac:dyDescent="0.25">
      <c r="A611">
        <v>6</v>
      </c>
      <c r="B611" t="str">
        <f>HYPERLINK("http://www.ncbi.nlm.nih.gov/protein/XP_028451343.1","XP_028451343.1")</f>
        <v>XP_028451343.1</v>
      </c>
      <c r="C611">
        <v>65039</v>
      </c>
      <c r="D611" t="str">
        <f>HYPERLINK("http://www.ncbi.nlm.nih.gov/Taxonomy/Browser/wwwtax.cgi?mode=Info&amp;id=8167&amp;lvl=3&amp;lin=f&amp;keep=1&amp;srchmode=1&amp;unlock","8167")</f>
        <v>8167</v>
      </c>
      <c r="E611" t="s">
        <v>384</v>
      </c>
      <c r="F611" t="s">
        <v>384</v>
      </c>
      <c r="G611" t="str">
        <f>HYPERLINK("http://www.ncbi.nlm.nih.gov/Taxonomy/Browser/wwwtax.cgi?mode=Info&amp;id=8167&amp;lvl=3&amp;lin=f&amp;keep=1&amp;srchmode=1&amp;unlock","Perca flavescens")</f>
        <v>Perca flavescens</v>
      </c>
      <c r="H611" t="s">
        <v>545</v>
      </c>
      <c r="I611" t="str">
        <f>HYPERLINK("http://www.ncbi.nlm.nih.gov/protein/XP_028451343.1","androgen receptor-like isoform X2")</f>
        <v>androgen receptor-like isoform X2</v>
      </c>
      <c r="J611">
        <v>591.27</v>
      </c>
      <c r="K611" t="s">
        <v>25</v>
      </c>
      <c r="L611">
        <v>157</v>
      </c>
      <c r="M611">
        <v>44.41</v>
      </c>
      <c r="N611">
        <v>31.47</v>
      </c>
      <c r="O611" t="s">
        <v>25</v>
      </c>
      <c r="P611" t="s">
        <v>965</v>
      </c>
      <c r="Q611" t="s">
        <v>20</v>
      </c>
      <c r="R611" t="str">
        <f>HYPERLINK("https://cfpub.epa.gov/ecotox/explore.cfm?ncbi=8167","Explore in ECOTOX")</f>
        <v>Explore in ECOTOX</v>
      </c>
    </row>
    <row r="612" spans="1:18" x14ac:dyDescent="0.25">
      <c r="A612">
        <v>6</v>
      </c>
      <c r="B612" t="str">
        <f>HYPERLINK("http://www.ncbi.nlm.nih.gov/protein/XP_022601703.1","XP_022601703.1")</f>
        <v>XP_022601703.1</v>
      </c>
      <c r="C612">
        <v>32883</v>
      </c>
      <c r="D612" t="str">
        <f>HYPERLINK("http://www.ncbi.nlm.nih.gov/Taxonomy/Browser/wwwtax.cgi?mode=Info&amp;id=41447&amp;lvl=3&amp;lin=f&amp;keep=1&amp;srchmode=1&amp;unlock","41447")</f>
        <v>41447</v>
      </c>
      <c r="E612" t="s">
        <v>384</v>
      </c>
      <c r="F612" t="s">
        <v>384</v>
      </c>
      <c r="G612" t="str">
        <f>HYPERLINK("http://www.ncbi.nlm.nih.gov/Taxonomy/Browser/wwwtax.cgi?mode=Info&amp;id=41447&amp;lvl=3&amp;lin=f&amp;keep=1&amp;srchmode=1&amp;unlock","Seriola dumerili")</f>
        <v>Seriola dumerili</v>
      </c>
      <c r="H612" t="s">
        <v>584</v>
      </c>
      <c r="I612" t="str">
        <f>HYPERLINK("http://www.ncbi.nlm.nih.gov/protein/XP_022601703.1","androgen receptor-like isoform X2")</f>
        <v>androgen receptor-like isoform X2</v>
      </c>
      <c r="J612">
        <v>590.88</v>
      </c>
      <c r="K612" t="s">
        <v>25</v>
      </c>
      <c r="L612">
        <v>157</v>
      </c>
      <c r="M612">
        <v>44.41</v>
      </c>
      <c r="N612">
        <v>31.45</v>
      </c>
      <c r="O612" t="s">
        <v>25</v>
      </c>
      <c r="P612" t="s">
        <v>965</v>
      </c>
      <c r="Q612" t="s">
        <v>20</v>
      </c>
      <c r="R612" t="str">
        <f>HYPERLINK("https://cfpub.epa.gov/ecotox/explore.cfm?ncbi=41447","Explore in ECOTOX")</f>
        <v>Explore in ECOTOX</v>
      </c>
    </row>
    <row r="613" spans="1:18" x14ac:dyDescent="0.25">
      <c r="A613">
        <v>6</v>
      </c>
      <c r="B613" t="str">
        <f>HYPERLINK("http://www.ncbi.nlm.nih.gov/protein/BAI49424.1","BAI49424.1")</f>
        <v>BAI49424.1</v>
      </c>
      <c r="C613">
        <v>6</v>
      </c>
      <c r="D613" t="str">
        <f>HYPERLINK("http://www.ncbi.nlm.nih.gov/Taxonomy/Browser/wwwtax.cgi?mode=Info&amp;id=328639&amp;lvl=3&amp;lin=f&amp;keep=1&amp;srchmode=1&amp;unlock","328639")</f>
        <v>328639</v>
      </c>
      <c r="E613" t="s">
        <v>384</v>
      </c>
      <c r="F613" t="s">
        <v>384</v>
      </c>
      <c r="G613" t="str">
        <f>HYPERLINK("http://www.ncbi.nlm.nih.gov/Taxonomy/Browser/wwwtax.cgi?mode=Info&amp;id=328639&amp;lvl=3&amp;lin=f&amp;keep=1&amp;srchmode=1&amp;unlock","Acipenser ruthenus x Huso huso")</f>
        <v>Acipenser ruthenus x Huso huso</v>
      </c>
      <c r="H613" t="s">
        <v>1012</v>
      </c>
      <c r="I613" t="str">
        <f>HYPERLINK("http://www.ncbi.nlm.nih.gov/protein/BAI49424.1","androgen receptor")</f>
        <v>androgen receptor</v>
      </c>
      <c r="J613">
        <v>590.88</v>
      </c>
      <c r="K613" t="s">
        <v>25</v>
      </c>
      <c r="L613">
        <v>157</v>
      </c>
      <c r="M613">
        <v>44.41</v>
      </c>
      <c r="N613">
        <v>31.45</v>
      </c>
      <c r="O613" t="s">
        <v>25</v>
      </c>
      <c r="P613" t="s">
        <v>965</v>
      </c>
      <c r="Q613" t="s">
        <v>20</v>
      </c>
      <c r="R613" t="str">
        <f>HYPERLINK("https://cfpub.epa.gov/ecotox/explore.cfm?ncbi=328639","Explore in ECOTOX")</f>
        <v>Explore in ECOTOX</v>
      </c>
    </row>
    <row r="614" spans="1:18" x14ac:dyDescent="0.25">
      <c r="A614">
        <v>6</v>
      </c>
      <c r="B614" t="str">
        <f>HYPERLINK("http://www.ncbi.nlm.nih.gov/protein/XP_025766635.1","XP_025766635.1")</f>
        <v>XP_025766635.1</v>
      </c>
      <c r="C614">
        <v>63394</v>
      </c>
      <c r="D614" t="str">
        <f>HYPERLINK("http://www.ncbi.nlm.nih.gov/Taxonomy/Browser/wwwtax.cgi?mode=Info&amp;id=8128&amp;lvl=3&amp;lin=f&amp;keep=1&amp;srchmode=1&amp;unlock","8128")</f>
        <v>8128</v>
      </c>
      <c r="E614" t="s">
        <v>384</v>
      </c>
      <c r="F614" t="s">
        <v>384</v>
      </c>
      <c r="G614" t="str">
        <f>HYPERLINK("http://www.ncbi.nlm.nih.gov/Taxonomy/Browser/wwwtax.cgi?mode=Info&amp;id=8128&amp;lvl=3&amp;lin=f&amp;keep=1&amp;srchmode=1&amp;unlock","Oreochromis niloticus")</f>
        <v>Oreochromis niloticus</v>
      </c>
      <c r="H614" t="s">
        <v>628</v>
      </c>
      <c r="I614" t="str">
        <f>HYPERLINK("http://www.ncbi.nlm.nih.gov/protein/XP_025766635.1","androgen receptor-like")</f>
        <v>androgen receptor-like</v>
      </c>
      <c r="J614">
        <v>590.88</v>
      </c>
      <c r="K614" t="s">
        <v>25</v>
      </c>
      <c r="L614">
        <v>157</v>
      </c>
      <c r="M614">
        <v>44.41</v>
      </c>
      <c r="N614">
        <v>31.45</v>
      </c>
      <c r="O614" t="s">
        <v>25</v>
      </c>
      <c r="P614" t="s">
        <v>965</v>
      </c>
      <c r="Q614" t="s">
        <v>20</v>
      </c>
      <c r="R614" t="str">
        <f>HYPERLINK("https://cfpub.epa.gov/ecotox/explore.cfm?ncbi=8128","Explore in ECOTOX")</f>
        <v>Explore in ECOTOX</v>
      </c>
    </row>
    <row r="615" spans="1:18" x14ac:dyDescent="0.25">
      <c r="A615">
        <v>6</v>
      </c>
      <c r="B615" t="str">
        <f>HYPERLINK("http://www.ncbi.nlm.nih.gov/protein/XP_036974842.1","XP_036974842.1")</f>
        <v>XP_036974842.1</v>
      </c>
      <c r="C615">
        <v>54695</v>
      </c>
      <c r="D615" t="str">
        <f>HYPERLINK("http://www.ncbi.nlm.nih.gov/Taxonomy/Browser/wwwtax.cgi?mode=Info&amp;id=8177&amp;lvl=3&amp;lin=f&amp;keep=1&amp;srchmode=1&amp;unlock","8177")</f>
        <v>8177</v>
      </c>
      <c r="E615" t="s">
        <v>384</v>
      </c>
      <c r="F615" t="s">
        <v>384</v>
      </c>
      <c r="G615" t="str">
        <f>HYPERLINK("http://www.ncbi.nlm.nih.gov/Taxonomy/Browser/wwwtax.cgi?mode=Info&amp;id=8177&amp;lvl=3&amp;lin=f&amp;keep=1&amp;srchmode=1&amp;unlock","Acanthopagrus latus")</f>
        <v>Acanthopagrus latus</v>
      </c>
      <c r="H615" t="s">
        <v>570</v>
      </c>
      <c r="I615" t="str">
        <f>HYPERLINK("http://www.ncbi.nlm.nih.gov/protein/XP_036974842.1","androgen receptor-like")</f>
        <v>androgen receptor-like</v>
      </c>
      <c r="J615">
        <v>590.11</v>
      </c>
      <c r="K615" t="s">
        <v>25</v>
      </c>
      <c r="L615">
        <v>157</v>
      </c>
      <c r="M615">
        <v>44.41</v>
      </c>
      <c r="N615">
        <v>31.41</v>
      </c>
      <c r="O615" t="s">
        <v>25</v>
      </c>
      <c r="P615" t="s">
        <v>965</v>
      </c>
      <c r="Q615" t="s">
        <v>20</v>
      </c>
      <c r="R615" t="str">
        <f>HYPERLINK("https://cfpub.epa.gov/ecotox/explore.cfm?ncbi=8177","Explore in ECOTOX")</f>
        <v>Explore in ECOTOX</v>
      </c>
    </row>
    <row r="616" spans="1:18" x14ac:dyDescent="0.25">
      <c r="A616">
        <v>6</v>
      </c>
      <c r="B616" t="str">
        <f>HYPERLINK("http://www.ncbi.nlm.nih.gov/protein/XP_039633383.1","XP_039633383.1")</f>
        <v>XP_039633383.1</v>
      </c>
      <c r="C616">
        <v>74410</v>
      </c>
      <c r="D616" t="str">
        <f>HYPERLINK("http://www.ncbi.nlm.nih.gov/Taxonomy/Browser/wwwtax.cgi?mode=Info&amp;id=8168&amp;lvl=3&amp;lin=f&amp;keep=1&amp;srchmode=1&amp;unlock","8168")</f>
        <v>8168</v>
      </c>
      <c r="E616" t="s">
        <v>384</v>
      </c>
      <c r="F616" t="s">
        <v>384</v>
      </c>
      <c r="G616" t="str">
        <f>HYPERLINK("http://www.ncbi.nlm.nih.gov/Taxonomy/Browser/wwwtax.cgi?mode=Info&amp;id=8168&amp;lvl=3&amp;lin=f&amp;keep=1&amp;srchmode=1&amp;unlock","Perca fluviatilis")</f>
        <v>Perca fluviatilis</v>
      </c>
      <c r="H616" t="s">
        <v>582</v>
      </c>
      <c r="I616" t="str">
        <f>HYPERLINK("http://www.ncbi.nlm.nih.gov/protein/XP_039633383.1","androgen receptor-like isoform X2")</f>
        <v>androgen receptor-like isoform X2</v>
      </c>
      <c r="J616">
        <v>590.11</v>
      </c>
      <c r="K616" t="s">
        <v>25</v>
      </c>
      <c r="L616">
        <v>157</v>
      </c>
      <c r="M616">
        <v>44.41</v>
      </c>
      <c r="N616">
        <v>31.41</v>
      </c>
      <c r="O616" t="s">
        <v>25</v>
      </c>
      <c r="P616" t="s">
        <v>965</v>
      </c>
      <c r="Q616" t="s">
        <v>20</v>
      </c>
      <c r="R616" t="str">
        <f>HYPERLINK("https://cfpub.epa.gov/ecotox/explore.cfm?ncbi=8168","Explore in ECOTOX")</f>
        <v>Explore in ECOTOX</v>
      </c>
    </row>
    <row r="617" spans="1:18" x14ac:dyDescent="0.25">
      <c r="A617">
        <v>6</v>
      </c>
      <c r="B617" t="str">
        <f>HYPERLINK("http://www.ncbi.nlm.nih.gov/protein/QAV54758.1","QAV54758.1")</f>
        <v>QAV54758.1</v>
      </c>
      <c r="C617">
        <v>272</v>
      </c>
      <c r="D617" t="str">
        <f>HYPERLINK("http://www.ncbi.nlm.nih.gov/Taxonomy/Browser/wwwtax.cgi?mode=Info&amp;id=86224&amp;lvl=3&amp;lin=f&amp;keep=1&amp;srchmode=1&amp;unlock","86224")</f>
        <v>86224</v>
      </c>
      <c r="E617" t="s">
        <v>384</v>
      </c>
      <c r="F617" t="s">
        <v>384</v>
      </c>
      <c r="G617" t="str">
        <f>HYPERLINK("http://www.ncbi.nlm.nih.gov/Taxonomy/Browser/wwwtax.cgi?mode=Info&amp;id=86224&amp;lvl=3&amp;lin=f&amp;keep=1&amp;srchmode=1&amp;unlock","Bostrychus sinensis")</f>
        <v>Bostrychus sinensis</v>
      </c>
      <c r="H617" t="s">
        <v>1013</v>
      </c>
      <c r="I617" t="str">
        <f>HYPERLINK("http://www.ncbi.nlm.nih.gov/protein/QAV54758.1","androgen receptor beta")</f>
        <v>androgen receptor beta</v>
      </c>
      <c r="J617">
        <v>589.73</v>
      </c>
      <c r="K617" t="s">
        <v>25</v>
      </c>
      <c r="L617">
        <v>157</v>
      </c>
      <c r="M617">
        <v>44.41</v>
      </c>
      <c r="N617">
        <v>31.39</v>
      </c>
      <c r="O617" t="s">
        <v>25</v>
      </c>
      <c r="P617" t="s">
        <v>965</v>
      </c>
      <c r="Q617" t="s">
        <v>20</v>
      </c>
      <c r="R617" t="str">
        <f>HYPERLINK("https://cfpub.epa.gov/ecotox/explore.cfm?ncbi=86224","Explore in ECOTOX")</f>
        <v>Explore in ECOTOX</v>
      </c>
    </row>
    <row r="618" spans="1:18" x14ac:dyDescent="0.25">
      <c r="A618">
        <v>6</v>
      </c>
      <c r="B618" t="str">
        <f>HYPERLINK("http://www.ncbi.nlm.nih.gov/protein/XP_023266520.1","XP_023266520.1")</f>
        <v>XP_023266520.1</v>
      </c>
      <c r="C618">
        <v>38822</v>
      </c>
      <c r="D618" t="str">
        <f>HYPERLINK("http://www.ncbi.nlm.nih.gov/Taxonomy/Browser/wwwtax.cgi?mode=Info&amp;id=1841481&amp;lvl=3&amp;lin=f&amp;keep=1&amp;srchmode=1&amp;unlock","1841481")</f>
        <v>1841481</v>
      </c>
      <c r="E618" t="s">
        <v>384</v>
      </c>
      <c r="F618" t="s">
        <v>384</v>
      </c>
      <c r="G618" t="str">
        <f>HYPERLINK("http://www.ncbi.nlm.nih.gov/Taxonomy/Browser/wwwtax.cgi?mode=Info&amp;id=1841481&amp;lvl=3&amp;lin=f&amp;keep=1&amp;srchmode=1&amp;unlock","Seriola lalandi dorsalis")</f>
        <v>Seriola lalandi dorsalis</v>
      </c>
      <c r="H618" t="s">
        <v>591</v>
      </c>
      <c r="I618" t="str">
        <f>HYPERLINK("http://www.ncbi.nlm.nih.gov/protein/XP_023266520.1","androgen receptor")</f>
        <v>androgen receptor</v>
      </c>
      <c r="J618">
        <v>589.73</v>
      </c>
      <c r="K618" t="s">
        <v>25</v>
      </c>
      <c r="L618">
        <v>157</v>
      </c>
      <c r="M618">
        <v>44.41</v>
      </c>
      <c r="N618">
        <v>31.39</v>
      </c>
      <c r="O618" t="s">
        <v>25</v>
      </c>
      <c r="P618" t="s">
        <v>965</v>
      </c>
      <c r="Q618" t="s">
        <v>20</v>
      </c>
      <c r="R618" t="str">
        <f>HYPERLINK("https://cfpub.epa.gov/ecotox/explore.cfm?ncbi=1841481","Explore in ECOTOX")</f>
        <v>Explore in ECOTOX</v>
      </c>
    </row>
    <row r="619" spans="1:18" x14ac:dyDescent="0.25">
      <c r="A619">
        <v>6</v>
      </c>
      <c r="B619" t="str">
        <f>HYPERLINK("http://www.ncbi.nlm.nih.gov/protein/BAI50383.1","BAI50383.1")</f>
        <v>BAI50383.1</v>
      </c>
      <c r="C619">
        <v>77</v>
      </c>
      <c r="D619" t="str">
        <f>HYPERLINK("http://www.ncbi.nlm.nih.gov/Taxonomy/Browser/wwwtax.cgi?mode=Info&amp;id=596103&amp;lvl=3&amp;lin=f&amp;keep=1&amp;srchmode=1&amp;unlock","596103")</f>
        <v>596103</v>
      </c>
      <c r="E619" t="s">
        <v>236</v>
      </c>
      <c r="F619" t="s">
        <v>236</v>
      </c>
      <c r="G619" t="str">
        <f>HYPERLINK("http://www.ncbi.nlm.nih.gov/Taxonomy/Browser/wwwtax.cgi?mode=Info&amp;id=596103&amp;lvl=3&amp;lin=f&amp;keep=1&amp;srchmode=1&amp;unlock","Leiolepis reevesii rubritaeniata")</f>
        <v>Leiolepis reevesii rubritaeniata</v>
      </c>
      <c r="H619" t="s">
        <v>1014</v>
      </c>
      <c r="I619" t="str">
        <f>HYPERLINK("http://www.ncbi.nlm.nih.gov/protein/BAI50383.1","androgen receptor, partial")</f>
        <v>androgen receptor, partial</v>
      </c>
      <c r="J619">
        <v>589.73</v>
      </c>
      <c r="K619" t="s">
        <v>25</v>
      </c>
      <c r="L619">
        <v>157</v>
      </c>
      <c r="M619">
        <v>44.41</v>
      </c>
      <c r="N619">
        <v>31.39</v>
      </c>
      <c r="O619" t="s">
        <v>20</v>
      </c>
      <c r="P619" t="s">
        <v>965</v>
      </c>
      <c r="Q619" t="s">
        <v>20</v>
      </c>
      <c r="R619" t="str">
        <f>HYPERLINK("https://cfpub.epa.gov/ecotox/explore.cfm?ncbi=596103","Explore in ECOTOX")</f>
        <v>Explore in ECOTOX</v>
      </c>
    </row>
    <row r="620" spans="1:18" x14ac:dyDescent="0.25">
      <c r="A620">
        <v>6</v>
      </c>
      <c r="B620" t="str">
        <f>HYPERLINK("http://www.ncbi.nlm.nih.gov/protein/AAO61694.1","AAO61694.1")</f>
        <v>AAO61694.1</v>
      </c>
      <c r="C620">
        <v>282</v>
      </c>
      <c r="D620" t="str">
        <f>HYPERLINK("http://www.ncbi.nlm.nih.gov/Taxonomy/Browser/wwwtax.cgi?mode=Info&amp;id=72011&amp;lvl=3&amp;lin=f&amp;keep=1&amp;srchmode=1&amp;unlock","72011")</f>
        <v>72011</v>
      </c>
      <c r="E620" t="s">
        <v>384</v>
      </c>
      <c r="F620" t="s">
        <v>384</v>
      </c>
      <c r="G620" t="str">
        <f>HYPERLINK("http://www.ncbi.nlm.nih.gov/Taxonomy/Browser/wwwtax.cgi?mode=Info&amp;id=72011&amp;lvl=3&amp;lin=f&amp;keep=1&amp;srchmode=1&amp;unlock","Acanthopagrus schlegelii")</f>
        <v>Acanthopagrus schlegelii</v>
      </c>
      <c r="H620" t="s">
        <v>690</v>
      </c>
      <c r="I620" t="str">
        <f>HYPERLINK("http://www.ncbi.nlm.nih.gov/protein/AAO61694.1","androgen receptor")</f>
        <v>androgen receptor</v>
      </c>
      <c r="J620">
        <v>589.73</v>
      </c>
      <c r="K620" t="s">
        <v>25</v>
      </c>
      <c r="L620">
        <v>157</v>
      </c>
      <c r="M620">
        <v>44.41</v>
      </c>
      <c r="N620">
        <v>31.39</v>
      </c>
      <c r="O620" t="s">
        <v>25</v>
      </c>
      <c r="P620" t="s">
        <v>965</v>
      </c>
      <c r="Q620" t="s">
        <v>20</v>
      </c>
      <c r="R620" t="str">
        <f>HYPERLINK("https://cfpub.epa.gov/ecotox/explore.cfm?ncbi=72011","Explore in ECOTOX")</f>
        <v>Explore in ECOTOX</v>
      </c>
    </row>
    <row r="621" spans="1:18" x14ac:dyDescent="0.25">
      <c r="A621">
        <v>6</v>
      </c>
      <c r="B621" t="str">
        <f>HYPERLINK("http://www.ncbi.nlm.nih.gov/protein/XP_012720156.2","XP_012720156.2")</f>
        <v>XP_012720156.2</v>
      </c>
      <c r="C621">
        <v>50120</v>
      </c>
      <c r="D621" t="str">
        <f>HYPERLINK("http://www.ncbi.nlm.nih.gov/Taxonomy/Browser/wwwtax.cgi?mode=Info&amp;id=8078&amp;lvl=3&amp;lin=f&amp;keep=1&amp;srchmode=1&amp;unlock","8078")</f>
        <v>8078</v>
      </c>
      <c r="E621" t="s">
        <v>384</v>
      </c>
      <c r="F621" t="s">
        <v>384</v>
      </c>
      <c r="G621" t="str">
        <f>HYPERLINK("http://www.ncbi.nlm.nih.gov/Taxonomy/Browser/wwwtax.cgi?mode=Info&amp;id=8078&amp;lvl=3&amp;lin=f&amp;keep=1&amp;srchmode=1&amp;unlock","Fundulus heteroclitus")</f>
        <v>Fundulus heteroclitus</v>
      </c>
      <c r="H621" t="s">
        <v>571</v>
      </c>
      <c r="I621" t="str">
        <f>HYPERLINK("http://www.ncbi.nlm.nih.gov/protein/XP_012720156.2","androgen receptor")</f>
        <v>androgen receptor</v>
      </c>
      <c r="J621">
        <v>589.73</v>
      </c>
      <c r="K621" t="s">
        <v>25</v>
      </c>
      <c r="L621">
        <v>157</v>
      </c>
      <c r="M621">
        <v>44.41</v>
      </c>
      <c r="N621">
        <v>31.39</v>
      </c>
      <c r="O621" t="s">
        <v>25</v>
      </c>
      <c r="P621" t="s">
        <v>965</v>
      </c>
      <c r="Q621" t="s">
        <v>20</v>
      </c>
      <c r="R621" t="str">
        <f>HYPERLINK("https://cfpub.epa.gov/ecotox/explore.cfm?ncbi=8078","Explore in ECOTOX")</f>
        <v>Explore in ECOTOX</v>
      </c>
    </row>
    <row r="622" spans="1:18" x14ac:dyDescent="0.25">
      <c r="A622">
        <v>6</v>
      </c>
      <c r="B622" t="str">
        <f>HYPERLINK("http://www.ncbi.nlm.nih.gov/protein/AKJ74871.1","AKJ74871.1")</f>
        <v>AKJ74871.1</v>
      </c>
      <c r="C622">
        <v>47232</v>
      </c>
      <c r="D622" t="str">
        <f>HYPERLINK("http://www.ncbi.nlm.nih.gov/Taxonomy/Browser/wwwtax.cgi?mode=Info&amp;id=48699&amp;lvl=3&amp;lin=f&amp;keep=1&amp;srchmode=1&amp;unlock","48699")</f>
        <v>48699</v>
      </c>
      <c r="E622" t="s">
        <v>384</v>
      </c>
      <c r="F622" t="s">
        <v>384</v>
      </c>
      <c r="G622" t="str">
        <f>HYPERLINK("http://www.ncbi.nlm.nih.gov/Taxonomy/Browser/wwwtax.cgi?mode=Info&amp;id=48699&amp;lvl=3&amp;lin=f&amp;keep=1&amp;srchmode=1&amp;unlock","Poecilia latipinna")</f>
        <v>Poecilia latipinna</v>
      </c>
      <c r="H622" t="s">
        <v>600</v>
      </c>
      <c r="I622" t="str">
        <f>HYPERLINK("http://www.ncbi.nlm.nih.gov/protein/AKJ74871.1","androgen receptor beta")</f>
        <v>androgen receptor beta</v>
      </c>
      <c r="J622">
        <v>589.34</v>
      </c>
      <c r="K622" t="s">
        <v>25</v>
      </c>
      <c r="L622">
        <v>157</v>
      </c>
      <c r="M622">
        <v>44.41</v>
      </c>
      <c r="N622">
        <v>31.37</v>
      </c>
      <c r="O622" t="s">
        <v>25</v>
      </c>
      <c r="P622" t="s">
        <v>965</v>
      </c>
      <c r="Q622" t="s">
        <v>20</v>
      </c>
      <c r="R622" t="str">
        <f>HYPERLINK("https://cfpub.epa.gov/ecotox/explore.cfm?ncbi=48699","Explore in ECOTOX")</f>
        <v>Explore in ECOTOX</v>
      </c>
    </row>
    <row r="623" spans="1:18" x14ac:dyDescent="0.25">
      <c r="A623">
        <v>6</v>
      </c>
      <c r="B623" t="str">
        <f>HYPERLINK("http://www.ncbi.nlm.nih.gov/protein/ANN14185.1","ANN14185.1")</f>
        <v>ANN14185.1</v>
      </c>
      <c r="C623">
        <v>49656</v>
      </c>
      <c r="D623" t="str">
        <f>HYPERLINK("http://www.ncbi.nlm.nih.gov/Taxonomy/Browser/wwwtax.cgi?mode=Info&amp;id=48698&amp;lvl=3&amp;lin=f&amp;keep=1&amp;srchmode=1&amp;unlock","48698")</f>
        <v>48698</v>
      </c>
      <c r="E623" t="s">
        <v>384</v>
      </c>
      <c r="F623" t="s">
        <v>384</v>
      </c>
      <c r="G623" t="str">
        <f>HYPERLINK("http://www.ncbi.nlm.nih.gov/Taxonomy/Browser/wwwtax.cgi?mode=Info&amp;id=48698&amp;lvl=3&amp;lin=f&amp;keep=1&amp;srchmode=1&amp;unlock","Poecilia formosa")</f>
        <v>Poecilia formosa</v>
      </c>
      <c r="H623" t="s">
        <v>613</v>
      </c>
      <c r="I623" t="str">
        <f>HYPERLINK("http://www.ncbi.nlm.nih.gov/protein/ANN14185.1","androgen receptor beta")</f>
        <v>androgen receptor beta</v>
      </c>
      <c r="J623">
        <v>589.34</v>
      </c>
      <c r="K623" t="s">
        <v>25</v>
      </c>
      <c r="L623">
        <v>157</v>
      </c>
      <c r="M623">
        <v>44.41</v>
      </c>
      <c r="N623">
        <v>31.37</v>
      </c>
      <c r="O623" t="s">
        <v>25</v>
      </c>
      <c r="P623" t="s">
        <v>965</v>
      </c>
      <c r="Q623" t="s">
        <v>20</v>
      </c>
      <c r="R623" t="str">
        <f>HYPERLINK("https://cfpub.epa.gov/ecotox/explore.cfm?ncbi=48698","Explore in ECOTOX")</f>
        <v>Explore in ECOTOX</v>
      </c>
    </row>
    <row r="624" spans="1:18" x14ac:dyDescent="0.25">
      <c r="A624">
        <v>6</v>
      </c>
      <c r="B624" t="str">
        <f>HYPERLINK("http://www.ncbi.nlm.nih.gov/protein/XP_014822347.1","XP_014822347.1")</f>
        <v>XP_014822347.1</v>
      </c>
      <c r="C624">
        <v>47807</v>
      </c>
      <c r="D624" t="str">
        <f>HYPERLINK("http://www.ncbi.nlm.nih.gov/Taxonomy/Browser/wwwtax.cgi?mode=Info&amp;id=48701&amp;lvl=3&amp;lin=f&amp;keep=1&amp;srchmode=1&amp;unlock","48701")</f>
        <v>48701</v>
      </c>
      <c r="E624" t="s">
        <v>384</v>
      </c>
      <c r="F624" t="s">
        <v>384</v>
      </c>
      <c r="G624" t="str">
        <f>HYPERLINK("http://www.ncbi.nlm.nih.gov/Taxonomy/Browser/wwwtax.cgi?mode=Info&amp;id=48701&amp;lvl=3&amp;lin=f&amp;keep=1&amp;srchmode=1&amp;unlock","Poecilia mexicana")</f>
        <v>Poecilia mexicana</v>
      </c>
      <c r="H624" t="s">
        <v>615</v>
      </c>
      <c r="I624" t="str">
        <f>HYPERLINK("http://www.ncbi.nlm.nih.gov/protein/XP_014822347.1","PREDICTED: androgen receptor-like")</f>
        <v>PREDICTED: androgen receptor-like</v>
      </c>
      <c r="J624">
        <v>588.96</v>
      </c>
      <c r="K624" t="s">
        <v>25</v>
      </c>
      <c r="L624">
        <v>157</v>
      </c>
      <c r="M624">
        <v>44.41</v>
      </c>
      <c r="N624">
        <v>31.35</v>
      </c>
      <c r="O624" t="s">
        <v>25</v>
      </c>
      <c r="P624" t="s">
        <v>965</v>
      </c>
      <c r="Q624" t="s">
        <v>20</v>
      </c>
      <c r="R624" t="str">
        <f>HYPERLINK("https://cfpub.epa.gov/ecotox/explore.cfm?ncbi=48701","Explore in ECOTOX")</f>
        <v>Explore in ECOTOX</v>
      </c>
    </row>
    <row r="625" spans="1:18" x14ac:dyDescent="0.25">
      <c r="A625">
        <v>6</v>
      </c>
      <c r="B625" t="str">
        <f>HYPERLINK("http://www.ncbi.nlm.nih.gov/protein/XP_027887592.1","XP_027887592.1")</f>
        <v>XP_027887592.1</v>
      </c>
      <c r="C625">
        <v>47115</v>
      </c>
      <c r="D625" t="str">
        <f>HYPERLINK("http://www.ncbi.nlm.nih.gov/Taxonomy/Browser/wwwtax.cgi?mode=Info&amp;id=32473&amp;lvl=3&amp;lin=f&amp;keep=1&amp;srchmode=1&amp;unlock","32473")</f>
        <v>32473</v>
      </c>
      <c r="E625" t="s">
        <v>384</v>
      </c>
      <c r="F625" t="s">
        <v>384</v>
      </c>
      <c r="G625" t="str">
        <f>HYPERLINK("http://www.ncbi.nlm.nih.gov/Taxonomy/Browser/wwwtax.cgi?mode=Info&amp;id=32473&amp;lvl=3&amp;lin=f&amp;keep=1&amp;srchmode=1&amp;unlock","Xiphophorus couchianus")</f>
        <v>Xiphophorus couchianus</v>
      </c>
      <c r="H625" t="s">
        <v>621</v>
      </c>
      <c r="I625" t="str">
        <f>HYPERLINK("http://www.ncbi.nlm.nih.gov/protein/XP_027887592.1","androgen receptor-like")</f>
        <v>androgen receptor-like</v>
      </c>
      <c r="J625">
        <v>588.96</v>
      </c>
      <c r="K625" t="s">
        <v>25</v>
      </c>
      <c r="L625">
        <v>157</v>
      </c>
      <c r="M625">
        <v>44.41</v>
      </c>
      <c r="N625">
        <v>31.35</v>
      </c>
      <c r="O625" t="s">
        <v>25</v>
      </c>
      <c r="P625" t="s">
        <v>965</v>
      </c>
      <c r="Q625" t="s">
        <v>20</v>
      </c>
      <c r="R625" t="str">
        <f>HYPERLINK("https://cfpub.epa.gov/ecotox/explore.cfm?ncbi=32473","Explore in ECOTOX")</f>
        <v>Explore in ECOTOX</v>
      </c>
    </row>
    <row r="626" spans="1:18" x14ac:dyDescent="0.25">
      <c r="A626">
        <v>6</v>
      </c>
      <c r="B626" t="str">
        <f>HYPERLINK("http://www.ncbi.nlm.nih.gov/protein/XP_005806705.1","XP_005806705.1")</f>
        <v>XP_005806705.1</v>
      </c>
      <c r="C626">
        <v>43734</v>
      </c>
      <c r="D626" t="str">
        <f>HYPERLINK("http://www.ncbi.nlm.nih.gov/Taxonomy/Browser/wwwtax.cgi?mode=Info&amp;id=8083&amp;lvl=3&amp;lin=f&amp;keep=1&amp;srchmode=1&amp;unlock","8083")</f>
        <v>8083</v>
      </c>
      <c r="E626" t="s">
        <v>384</v>
      </c>
      <c r="F626" t="s">
        <v>384</v>
      </c>
      <c r="G626" t="str">
        <f>HYPERLINK("http://www.ncbi.nlm.nih.gov/Taxonomy/Browser/wwwtax.cgi?mode=Info&amp;id=8083&amp;lvl=3&amp;lin=f&amp;keep=1&amp;srchmode=1&amp;unlock","Xiphophorus maculatus")</f>
        <v>Xiphophorus maculatus</v>
      </c>
      <c r="H626" t="s">
        <v>624</v>
      </c>
      <c r="I626" t="str">
        <f>HYPERLINK("http://www.ncbi.nlm.nih.gov/protein/XP_005806705.1","androgen receptor")</f>
        <v>androgen receptor</v>
      </c>
      <c r="J626">
        <v>588.96</v>
      </c>
      <c r="K626" t="s">
        <v>25</v>
      </c>
      <c r="L626">
        <v>157</v>
      </c>
      <c r="M626">
        <v>44.41</v>
      </c>
      <c r="N626">
        <v>31.35</v>
      </c>
      <c r="O626" t="s">
        <v>25</v>
      </c>
      <c r="P626" t="s">
        <v>965</v>
      </c>
      <c r="Q626" t="s">
        <v>20</v>
      </c>
      <c r="R626" t="str">
        <f>HYPERLINK("https://cfpub.epa.gov/ecotox/explore.cfm?ncbi=8083","Explore in ECOTOX")</f>
        <v>Explore in ECOTOX</v>
      </c>
    </row>
    <row r="627" spans="1:18" x14ac:dyDescent="0.25">
      <c r="A627">
        <v>6</v>
      </c>
      <c r="B627" t="str">
        <f>HYPERLINK("http://www.ncbi.nlm.nih.gov/protein/BAD52084.1","BAD52084.1")</f>
        <v>BAD52084.1</v>
      </c>
      <c r="C627">
        <v>19610</v>
      </c>
      <c r="D627" t="str">
        <f>HYPERLINK("http://www.ncbi.nlm.nih.gov/Taxonomy/Browser/wwwtax.cgi?mode=Info&amp;id=33528&amp;lvl=3&amp;lin=f&amp;keep=1&amp;srchmode=1&amp;unlock","33528")</f>
        <v>33528</v>
      </c>
      <c r="E627" t="s">
        <v>384</v>
      </c>
      <c r="F627" t="s">
        <v>384</v>
      </c>
      <c r="G627" t="str">
        <f>HYPERLINK("http://www.ncbi.nlm.nih.gov/Taxonomy/Browser/wwwtax.cgi?mode=Info&amp;id=33528&amp;lvl=3&amp;lin=f&amp;keep=1&amp;srchmode=1&amp;unlock","Gambusia affinis")</f>
        <v>Gambusia affinis</v>
      </c>
      <c r="H627" t="s">
        <v>569</v>
      </c>
      <c r="I627" t="str">
        <f>HYPERLINK("http://www.ncbi.nlm.nih.gov/protein/BAD52084.1","androgen receptor")</f>
        <v>androgen receptor</v>
      </c>
      <c r="J627">
        <v>588.96</v>
      </c>
      <c r="K627" t="s">
        <v>25</v>
      </c>
      <c r="L627">
        <v>157</v>
      </c>
      <c r="M627">
        <v>44.41</v>
      </c>
      <c r="N627">
        <v>31.35</v>
      </c>
      <c r="O627" t="s">
        <v>25</v>
      </c>
      <c r="P627" t="s">
        <v>965</v>
      </c>
      <c r="Q627" t="s">
        <v>20</v>
      </c>
      <c r="R627" t="str">
        <f>HYPERLINK("https://cfpub.epa.gov/ecotox/explore.cfm?ncbi=33528","Explore in ECOTOX")</f>
        <v>Explore in ECOTOX</v>
      </c>
    </row>
    <row r="628" spans="1:18" x14ac:dyDescent="0.25">
      <c r="A628">
        <v>6</v>
      </c>
      <c r="B628" t="str">
        <f>HYPERLINK("http://www.ncbi.nlm.nih.gov/protein/XP_032432731.1","XP_032432731.1")</f>
        <v>XP_032432731.1</v>
      </c>
      <c r="C628">
        <v>46452</v>
      </c>
      <c r="D628" t="str">
        <f>HYPERLINK("http://www.ncbi.nlm.nih.gov/Taxonomy/Browser/wwwtax.cgi?mode=Info&amp;id=8084&amp;lvl=3&amp;lin=f&amp;keep=1&amp;srchmode=1&amp;unlock","8084")</f>
        <v>8084</v>
      </c>
      <c r="E628" t="s">
        <v>384</v>
      </c>
      <c r="F628" t="s">
        <v>384</v>
      </c>
      <c r="G628" t="str">
        <f>HYPERLINK("http://www.ncbi.nlm.nih.gov/Taxonomy/Browser/wwwtax.cgi?mode=Info&amp;id=8084&amp;lvl=3&amp;lin=f&amp;keep=1&amp;srchmode=1&amp;unlock","Xiphophorus hellerii")</f>
        <v>Xiphophorus hellerii</v>
      </c>
      <c r="H628" t="s">
        <v>620</v>
      </c>
      <c r="I628" t="str">
        <f>HYPERLINK("http://www.ncbi.nlm.nih.gov/protein/XP_032432731.1","androgen receptor-like")</f>
        <v>androgen receptor-like</v>
      </c>
      <c r="J628">
        <v>588.57000000000005</v>
      </c>
      <c r="K628" t="s">
        <v>25</v>
      </c>
      <c r="L628">
        <v>157</v>
      </c>
      <c r="M628">
        <v>44.41</v>
      </c>
      <c r="N628">
        <v>31.33</v>
      </c>
      <c r="O628" t="s">
        <v>25</v>
      </c>
      <c r="P628" t="s">
        <v>965</v>
      </c>
      <c r="Q628" t="s">
        <v>20</v>
      </c>
      <c r="R628" t="str">
        <f>HYPERLINK("https://cfpub.epa.gov/ecotox/explore.cfm?ncbi=8084","Explore in ECOTOX")</f>
        <v>Explore in ECOTOX</v>
      </c>
    </row>
    <row r="629" spans="1:18" x14ac:dyDescent="0.25">
      <c r="A629">
        <v>6</v>
      </c>
      <c r="B629" t="str">
        <f>HYPERLINK("http://www.ncbi.nlm.nih.gov/protein/AIZ00467.1","AIZ00467.1")</f>
        <v>AIZ00467.1</v>
      </c>
      <c r="C629">
        <v>24</v>
      </c>
      <c r="D629" t="str">
        <f>HYPERLINK("http://www.ncbi.nlm.nih.gov/Taxonomy/Browser/wwwtax.cgi?mode=Info&amp;id=120844&amp;lvl=3&amp;lin=f&amp;keep=1&amp;srchmode=1&amp;unlock","120844")</f>
        <v>120844</v>
      </c>
      <c r="E629" t="s">
        <v>384</v>
      </c>
      <c r="F629" t="s">
        <v>384</v>
      </c>
      <c r="G629" t="str">
        <f>HYPERLINK("http://www.ncbi.nlm.nih.gov/Taxonomy/Browser/wwwtax.cgi?mode=Info&amp;id=120844&amp;lvl=3&amp;lin=f&amp;keep=1&amp;srchmode=1&amp;unlock","Melanotaenia fluviatilis")</f>
        <v>Melanotaenia fluviatilis</v>
      </c>
      <c r="H629" t="s">
        <v>1015</v>
      </c>
      <c r="I629" t="str">
        <f>HYPERLINK("http://www.ncbi.nlm.nih.gov/protein/AIZ00467.1","androgen receptor beta")</f>
        <v>androgen receptor beta</v>
      </c>
      <c r="J629">
        <v>588.57000000000005</v>
      </c>
      <c r="K629" t="s">
        <v>25</v>
      </c>
      <c r="L629">
        <v>157</v>
      </c>
      <c r="M629">
        <v>44.41</v>
      </c>
      <c r="N629">
        <v>31.33</v>
      </c>
      <c r="O629" t="s">
        <v>25</v>
      </c>
      <c r="P629" t="s">
        <v>965</v>
      </c>
      <c r="Q629" t="s">
        <v>20</v>
      </c>
      <c r="R629" t="str">
        <f>HYPERLINK("https://cfpub.epa.gov/ecotox/explore.cfm?ncbi=120844","Explore in ECOTOX")</f>
        <v>Explore in ECOTOX</v>
      </c>
    </row>
    <row r="630" spans="1:18" x14ac:dyDescent="0.25">
      <c r="A630">
        <v>6</v>
      </c>
      <c r="B630" t="str">
        <f>HYPERLINK("http://www.ncbi.nlm.nih.gov/protein/XP_008425737.1","XP_008425737.1")</f>
        <v>XP_008425737.1</v>
      </c>
      <c r="C630">
        <v>45406</v>
      </c>
      <c r="D630" t="str">
        <f>HYPERLINK("http://www.ncbi.nlm.nih.gov/Taxonomy/Browser/wwwtax.cgi?mode=Info&amp;id=8081&amp;lvl=3&amp;lin=f&amp;keep=1&amp;srchmode=1&amp;unlock","8081")</f>
        <v>8081</v>
      </c>
      <c r="E630" t="s">
        <v>384</v>
      </c>
      <c r="F630" t="s">
        <v>384</v>
      </c>
      <c r="G630" t="str">
        <f>HYPERLINK("http://www.ncbi.nlm.nih.gov/Taxonomy/Browser/wwwtax.cgi?mode=Info&amp;id=8081&amp;lvl=3&amp;lin=f&amp;keep=1&amp;srchmode=1&amp;unlock","Poecilia reticulata")</f>
        <v>Poecilia reticulata</v>
      </c>
      <c r="H630" t="s">
        <v>631</v>
      </c>
      <c r="I630" t="str">
        <f>HYPERLINK("http://www.ncbi.nlm.nih.gov/protein/XP_008425737.1","PREDICTED: androgen receptor-like isoform X1")</f>
        <v>PREDICTED: androgen receptor-like isoform X1</v>
      </c>
      <c r="J630">
        <v>588.19000000000005</v>
      </c>
      <c r="K630" t="s">
        <v>25</v>
      </c>
      <c r="L630">
        <v>157</v>
      </c>
      <c r="M630">
        <v>44.41</v>
      </c>
      <c r="N630">
        <v>31.31</v>
      </c>
      <c r="O630" t="s">
        <v>25</v>
      </c>
      <c r="P630" t="s">
        <v>965</v>
      </c>
      <c r="Q630" t="s">
        <v>20</v>
      </c>
      <c r="R630" t="str">
        <f>HYPERLINK("https://cfpub.epa.gov/ecotox/explore.cfm?ncbi=8081","Explore in ECOTOX")</f>
        <v>Explore in ECOTOX</v>
      </c>
    </row>
    <row r="631" spans="1:18" x14ac:dyDescent="0.25">
      <c r="A631">
        <v>6</v>
      </c>
      <c r="B631" t="str">
        <f>HYPERLINK("http://www.ncbi.nlm.nih.gov/protein/KAF4073461.1","KAF4073461.1")</f>
        <v>KAF4073461.1</v>
      </c>
      <c r="C631">
        <v>24478</v>
      </c>
      <c r="D631" t="str">
        <f>HYPERLINK("http://www.ncbi.nlm.nih.gov/Taxonomy/Browser/wwwtax.cgi?mode=Info&amp;id=219545&amp;lvl=3&amp;lin=f&amp;keep=1&amp;srchmode=1&amp;unlock","219545")</f>
        <v>219545</v>
      </c>
      <c r="E631" t="s">
        <v>384</v>
      </c>
      <c r="F631" t="s">
        <v>384</v>
      </c>
      <c r="G631" t="str">
        <f>HYPERLINK("http://www.ncbi.nlm.nih.gov/Taxonomy/Browser/wwwtax.cgi?mode=Info&amp;id=219545&amp;lvl=3&amp;lin=f&amp;keep=1&amp;srchmode=1&amp;unlock","Ameiurus melas")</f>
        <v>Ameiurus melas</v>
      </c>
      <c r="H631" t="s">
        <v>663</v>
      </c>
      <c r="I631" t="str">
        <f>HYPERLINK("http://www.ncbi.nlm.nih.gov/protein/KAF4073461.1","hypothetical protein AMELA_G00258820, partial")</f>
        <v>hypothetical protein AMELA_G00258820, partial</v>
      </c>
      <c r="J631">
        <v>588.19000000000005</v>
      </c>
      <c r="K631" t="s">
        <v>25</v>
      </c>
      <c r="L631">
        <v>157</v>
      </c>
      <c r="M631">
        <v>44.41</v>
      </c>
      <c r="N631">
        <v>31.31</v>
      </c>
      <c r="O631" t="s">
        <v>25</v>
      </c>
      <c r="P631" t="s">
        <v>965</v>
      </c>
      <c r="Q631" t="s">
        <v>20</v>
      </c>
      <c r="R631" t="str">
        <f>HYPERLINK("https://cfpub.epa.gov/ecotox/explore.cfm?ncbi=219545","Explore in ECOTOX")</f>
        <v>Explore in ECOTOX</v>
      </c>
    </row>
    <row r="632" spans="1:18" x14ac:dyDescent="0.25">
      <c r="A632">
        <v>6</v>
      </c>
      <c r="B632" t="str">
        <f>HYPERLINK("http://www.ncbi.nlm.nih.gov/protein/XP_038564523.1","XP_038564523.1")</f>
        <v>XP_038564523.1</v>
      </c>
      <c r="C632">
        <v>48256</v>
      </c>
      <c r="D632" t="str">
        <f>HYPERLINK("http://www.ncbi.nlm.nih.gov/Taxonomy/Browser/wwwtax.cgi?mode=Info&amp;id=27706&amp;lvl=3&amp;lin=f&amp;keep=1&amp;srchmode=1&amp;unlock","27706")</f>
        <v>27706</v>
      </c>
      <c r="E632" t="s">
        <v>384</v>
      </c>
      <c r="F632" t="s">
        <v>384</v>
      </c>
      <c r="G632" t="str">
        <f>HYPERLINK("http://www.ncbi.nlm.nih.gov/Taxonomy/Browser/wwwtax.cgi?mode=Info&amp;id=27706&amp;lvl=3&amp;lin=f&amp;keep=1&amp;srchmode=1&amp;unlock","Micropterus salmoides")</f>
        <v>Micropterus salmoides</v>
      </c>
      <c r="H632" t="s">
        <v>541</v>
      </c>
      <c r="I632" t="str">
        <f>HYPERLINK("http://www.ncbi.nlm.nih.gov/protein/XP_038564523.1","androgen receptor-like isoform X5")</f>
        <v>androgen receptor-like isoform X5</v>
      </c>
      <c r="J632">
        <v>588.19000000000005</v>
      </c>
      <c r="K632" t="s">
        <v>25</v>
      </c>
      <c r="L632">
        <v>157</v>
      </c>
      <c r="M632">
        <v>44.41</v>
      </c>
      <c r="N632">
        <v>31.31</v>
      </c>
      <c r="O632" t="s">
        <v>25</v>
      </c>
      <c r="P632" t="s">
        <v>965</v>
      </c>
      <c r="Q632" t="s">
        <v>20</v>
      </c>
      <c r="R632" t="str">
        <f>HYPERLINK("https://cfpub.epa.gov/ecotox/explore.cfm?ncbi=27706","Explore in ECOTOX")</f>
        <v>Explore in ECOTOX</v>
      </c>
    </row>
    <row r="633" spans="1:18" x14ac:dyDescent="0.25">
      <c r="A633">
        <v>6</v>
      </c>
      <c r="B633" t="str">
        <f>HYPERLINK("http://www.ncbi.nlm.nih.gov/protein/XP_030217061.1","XP_030217061.1")</f>
        <v>XP_030217061.1</v>
      </c>
      <c r="C633">
        <v>47233</v>
      </c>
      <c r="D633" t="str">
        <f>HYPERLINK("http://www.ncbi.nlm.nih.gov/Taxonomy/Browser/wwwtax.cgi?mode=Info&amp;id=8049&amp;lvl=3&amp;lin=f&amp;keep=1&amp;srchmode=1&amp;unlock","8049")</f>
        <v>8049</v>
      </c>
      <c r="E633" t="s">
        <v>384</v>
      </c>
      <c r="F633" t="s">
        <v>384</v>
      </c>
      <c r="G633" t="str">
        <f>HYPERLINK("http://www.ncbi.nlm.nih.gov/Taxonomy/Browser/wwwtax.cgi?mode=Info&amp;id=8049&amp;lvl=3&amp;lin=f&amp;keep=1&amp;srchmode=1&amp;unlock","Gadus morhua")</f>
        <v>Gadus morhua</v>
      </c>
      <c r="H633" t="s">
        <v>566</v>
      </c>
      <c r="I633" t="str">
        <f>HYPERLINK("http://www.ncbi.nlm.nih.gov/protein/XP_030217061.1","androgen receptor-like")</f>
        <v>androgen receptor-like</v>
      </c>
      <c r="J633">
        <v>588.19000000000005</v>
      </c>
      <c r="K633" t="s">
        <v>25</v>
      </c>
      <c r="L633">
        <v>157</v>
      </c>
      <c r="M633">
        <v>44.41</v>
      </c>
      <c r="N633">
        <v>31.31</v>
      </c>
      <c r="O633" t="s">
        <v>25</v>
      </c>
      <c r="P633" t="s">
        <v>965</v>
      </c>
      <c r="Q633" t="s">
        <v>20</v>
      </c>
      <c r="R633" t="str">
        <f>HYPERLINK("https://cfpub.epa.gov/ecotox/explore.cfm?ncbi=8049","Explore in ECOTOX")</f>
        <v>Explore in ECOTOX</v>
      </c>
    </row>
    <row r="634" spans="1:18" x14ac:dyDescent="0.25">
      <c r="A634">
        <v>6</v>
      </c>
      <c r="B634" t="str">
        <f>HYPERLINK("http://www.ncbi.nlm.nih.gov/protein/XP_034745283.1","XP_034745283.1")</f>
        <v>XP_034745283.1</v>
      </c>
      <c r="C634">
        <v>45233</v>
      </c>
      <c r="D634" t="str">
        <f>HYPERLINK("http://www.ncbi.nlm.nih.gov/Taxonomy/Browser/wwwtax.cgi?mode=Info&amp;id=417921&amp;lvl=3&amp;lin=f&amp;keep=1&amp;srchmode=1&amp;unlock","417921")</f>
        <v>417921</v>
      </c>
      <c r="E634" t="s">
        <v>384</v>
      </c>
      <c r="F634" t="s">
        <v>384</v>
      </c>
      <c r="G634" t="str">
        <f>HYPERLINK("http://www.ncbi.nlm.nih.gov/Taxonomy/Browser/wwwtax.cgi?mode=Info&amp;id=417921&amp;lvl=3&amp;lin=f&amp;keep=1&amp;srchmode=1&amp;unlock","Etheostoma cragini")</f>
        <v>Etheostoma cragini</v>
      </c>
      <c r="H634" t="s">
        <v>544</v>
      </c>
      <c r="I634" t="str">
        <f>HYPERLINK("http://www.ncbi.nlm.nih.gov/protein/XP_034745283.1","androgen receptor-like isoform X2")</f>
        <v>androgen receptor-like isoform X2</v>
      </c>
      <c r="J634">
        <v>588.19000000000005</v>
      </c>
      <c r="K634" t="s">
        <v>25</v>
      </c>
      <c r="L634">
        <v>157</v>
      </c>
      <c r="M634">
        <v>44.41</v>
      </c>
      <c r="N634">
        <v>31.31</v>
      </c>
      <c r="O634" t="s">
        <v>25</v>
      </c>
      <c r="P634" t="s">
        <v>965</v>
      </c>
      <c r="Q634" t="s">
        <v>20</v>
      </c>
      <c r="R634" t="str">
        <f>HYPERLINK("https://cfpub.epa.gov/ecotox/explore.cfm?ncbi=417921","Explore in ECOTOX")</f>
        <v>Explore in ECOTOX</v>
      </c>
    </row>
    <row r="635" spans="1:18" x14ac:dyDescent="0.25">
      <c r="A635">
        <v>6</v>
      </c>
      <c r="B635" t="str">
        <f>HYPERLINK("http://www.ncbi.nlm.nih.gov/protein/XP_037389456.1","XP_037389456.1")</f>
        <v>XP_037389456.1</v>
      </c>
      <c r="C635">
        <v>50677</v>
      </c>
      <c r="D635" t="str">
        <f>HYPERLINK("http://www.ncbi.nlm.nih.gov/Taxonomy/Browser/wwwtax.cgi?mode=Info&amp;id=42514&amp;lvl=3&amp;lin=f&amp;keep=1&amp;srchmode=1&amp;unlock","42514")</f>
        <v>42514</v>
      </c>
      <c r="E635" t="s">
        <v>384</v>
      </c>
      <c r="F635" t="s">
        <v>384</v>
      </c>
      <c r="G635" t="str">
        <f>HYPERLINK("http://www.ncbi.nlm.nih.gov/Taxonomy/Browser/wwwtax.cgi?mode=Info&amp;id=42514&amp;lvl=3&amp;lin=f&amp;keep=1&amp;srchmode=1&amp;unlock","Pygocentrus nattereri")</f>
        <v>Pygocentrus nattereri</v>
      </c>
      <c r="H635" t="s">
        <v>510</v>
      </c>
      <c r="I635" t="str">
        <f>HYPERLINK("http://www.ncbi.nlm.nih.gov/protein/XP_037389456.1","androgen receptor isoform X1")</f>
        <v>androgen receptor isoform X1</v>
      </c>
      <c r="J635">
        <v>588.19000000000005</v>
      </c>
      <c r="K635" t="s">
        <v>25</v>
      </c>
      <c r="L635">
        <v>157</v>
      </c>
      <c r="M635">
        <v>44.41</v>
      </c>
      <c r="N635">
        <v>31.31</v>
      </c>
      <c r="O635" t="s">
        <v>25</v>
      </c>
      <c r="P635" t="s">
        <v>965</v>
      </c>
      <c r="Q635" t="s">
        <v>20</v>
      </c>
      <c r="R635" t="str">
        <f>HYPERLINK("https://cfpub.epa.gov/ecotox/explore.cfm?ncbi=42514","Explore in ECOTOX")</f>
        <v>Explore in ECOTOX</v>
      </c>
    </row>
    <row r="636" spans="1:18" x14ac:dyDescent="0.25">
      <c r="A636">
        <v>6</v>
      </c>
      <c r="B636" t="str">
        <f>HYPERLINK("http://www.ncbi.nlm.nih.gov/protein/RVE63645.1","RVE63645.1")</f>
        <v>RVE63645.1</v>
      </c>
      <c r="C636">
        <v>21540</v>
      </c>
      <c r="D636" t="str">
        <f>HYPERLINK("http://www.ncbi.nlm.nih.gov/Taxonomy/Browser/wwwtax.cgi?mode=Info&amp;id=123683&amp;lvl=3&amp;lin=f&amp;keep=1&amp;srchmode=1&amp;unlock","123683")</f>
        <v>123683</v>
      </c>
      <c r="E636" t="s">
        <v>384</v>
      </c>
      <c r="F636" t="s">
        <v>384</v>
      </c>
      <c r="G636" t="str">
        <f>HYPERLINK("http://www.ncbi.nlm.nih.gov/Taxonomy/Browser/wwwtax.cgi?mode=Info&amp;id=123683&amp;lvl=3&amp;lin=f&amp;keep=1&amp;srchmode=1&amp;unlock","Oryzias javanicus")</f>
        <v>Oryzias javanicus</v>
      </c>
      <c r="H636" t="s">
        <v>643</v>
      </c>
      <c r="I636" t="str">
        <f>HYPERLINK("http://www.ncbi.nlm.nih.gov/protein/RVE63645.1","hypothetical protein OJAV_G00138350")</f>
        <v>hypothetical protein OJAV_G00138350</v>
      </c>
      <c r="J636">
        <v>588.19000000000005</v>
      </c>
      <c r="K636" t="s">
        <v>25</v>
      </c>
      <c r="L636">
        <v>157</v>
      </c>
      <c r="M636">
        <v>44.41</v>
      </c>
      <c r="N636">
        <v>31.31</v>
      </c>
      <c r="O636" t="s">
        <v>25</v>
      </c>
      <c r="P636" t="s">
        <v>965</v>
      </c>
      <c r="Q636" t="s">
        <v>20</v>
      </c>
      <c r="R636" t="str">
        <f>HYPERLINK("https://cfpub.epa.gov/ecotox/explore.cfm?ncbi=123683","Explore in ECOTOX")</f>
        <v>Explore in ECOTOX</v>
      </c>
    </row>
    <row r="637" spans="1:18" x14ac:dyDescent="0.25">
      <c r="A637">
        <v>6</v>
      </c>
      <c r="B637" t="str">
        <f>HYPERLINK("http://www.ncbi.nlm.nih.gov/protein/ADQ43815.1","ADQ43815.1")</f>
        <v>ADQ43815.1</v>
      </c>
      <c r="C637">
        <v>1801</v>
      </c>
      <c r="D637" t="str">
        <f>HYPERLINK("http://www.ncbi.nlm.nih.gov/Taxonomy/Browser/wwwtax.cgi?mode=Info&amp;id=94232&amp;lvl=3&amp;lin=f&amp;keep=1&amp;srchmode=1&amp;unlock","94232")</f>
        <v>94232</v>
      </c>
      <c r="E637" t="s">
        <v>384</v>
      </c>
      <c r="F637" t="s">
        <v>384</v>
      </c>
      <c r="G637" t="str">
        <f>HYPERLINK("http://www.ncbi.nlm.nih.gov/Taxonomy/Browser/wwwtax.cgi?mode=Info&amp;id=94232&amp;lvl=3&amp;lin=f&amp;keep=1&amp;srchmode=1&amp;unlock","Epinephelus coioides")</f>
        <v>Epinephelus coioides</v>
      </c>
      <c r="H637" t="s">
        <v>558</v>
      </c>
      <c r="I637" t="str">
        <f>HYPERLINK("http://www.ncbi.nlm.nih.gov/protein/ADQ43815.1","androgen receptor")</f>
        <v>androgen receptor</v>
      </c>
      <c r="J637">
        <v>587.79999999999995</v>
      </c>
      <c r="K637" t="s">
        <v>25</v>
      </c>
      <c r="L637">
        <v>157</v>
      </c>
      <c r="M637">
        <v>44.41</v>
      </c>
      <c r="N637">
        <v>31.29</v>
      </c>
      <c r="O637" t="s">
        <v>25</v>
      </c>
      <c r="P637" t="s">
        <v>965</v>
      </c>
      <c r="Q637" t="s">
        <v>20</v>
      </c>
      <c r="R637" t="str">
        <f>HYPERLINK("https://cfpub.epa.gov/ecotox/explore.cfm?ncbi=94232","Explore in ECOTOX")</f>
        <v>Explore in ECOTOX</v>
      </c>
    </row>
    <row r="638" spans="1:18" x14ac:dyDescent="0.25">
      <c r="A638">
        <v>6</v>
      </c>
      <c r="B638" t="str">
        <f>HYPERLINK("http://www.ncbi.nlm.nih.gov/protein/XP_029132506.1","XP_029132506.1")</f>
        <v>XP_029132506.1</v>
      </c>
      <c r="C638">
        <v>36766</v>
      </c>
      <c r="D638" t="str">
        <f>HYPERLINK("http://www.ncbi.nlm.nih.gov/Taxonomy/Browser/wwwtax.cgi?mode=Info&amp;id=56723&amp;lvl=3&amp;lin=f&amp;keep=1&amp;srchmode=1&amp;unlock","56723")</f>
        <v>56723</v>
      </c>
      <c r="E638" t="s">
        <v>384</v>
      </c>
      <c r="F638" t="s">
        <v>384</v>
      </c>
      <c r="G638" t="str">
        <f>HYPERLINK("http://www.ncbi.nlm.nih.gov/Taxonomy/Browser/wwwtax.cgi?mode=Info&amp;id=56723&amp;lvl=3&amp;lin=f&amp;keep=1&amp;srchmode=1&amp;unlock","Labrus bergylta")</f>
        <v>Labrus bergylta</v>
      </c>
      <c r="H638" t="s">
        <v>623</v>
      </c>
      <c r="I638" t="str">
        <f>HYPERLINK("http://www.ncbi.nlm.nih.gov/protein/XP_029132506.1","androgen receptor-like")</f>
        <v>androgen receptor-like</v>
      </c>
      <c r="J638">
        <v>587.79999999999995</v>
      </c>
      <c r="K638" t="s">
        <v>25</v>
      </c>
      <c r="L638">
        <v>157</v>
      </c>
      <c r="M638">
        <v>44.41</v>
      </c>
      <c r="N638">
        <v>31.29</v>
      </c>
      <c r="O638" t="s">
        <v>25</v>
      </c>
      <c r="P638" t="s">
        <v>965</v>
      </c>
      <c r="Q638" t="s">
        <v>20</v>
      </c>
      <c r="R638" t="str">
        <f>HYPERLINK("https://cfpub.epa.gov/ecotox/explore.cfm?ncbi=56723","Explore in ECOTOX")</f>
        <v>Explore in ECOTOX</v>
      </c>
    </row>
    <row r="639" spans="1:18" x14ac:dyDescent="0.25">
      <c r="A639">
        <v>6</v>
      </c>
      <c r="B639" t="str">
        <f>HYPERLINK("http://www.ncbi.nlm.nih.gov/protein/XP_033465903.1","XP_033465903.1")</f>
        <v>XP_033465903.1</v>
      </c>
      <c r="C639">
        <v>43073</v>
      </c>
      <c r="D639" t="str">
        <f>HYPERLINK("http://www.ncbi.nlm.nih.gov/Taxonomy/Browser/wwwtax.cgi?mode=Info&amp;id=310571&amp;lvl=3&amp;lin=f&amp;keep=1&amp;srchmode=1&amp;unlock","310571")</f>
        <v>310571</v>
      </c>
      <c r="E639" t="s">
        <v>384</v>
      </c>
      <c r="F639" t="s">
        <v>384</v>
      </c>
      <c r="G639" t="str">
        <f>HYPERLINK("http://www.ncbi.nlm.nih.gov/Taxonomy/Browser/wwwtax.cgi?mode=Info&amp;id=310571&amp;lvl=3&amp;lin=f&amp;keep=1&amp;srchmode=1&amp;unlock","Epinephelus lanceolatus")</f>
        <v>Epinephelus lanceolatus</v>
      </c>
      <c r="H639" t="s">
        <v>515</v>
      </c>
      <c r="I639" t="str">
        <f>HYPERLINK("http://www.ncbi.nlm.nih.gov/protein/XP_033465903.1","androgen receptor-like")</f>
        <v>androgen receptor-like</v>
      </c>
      <c r="J639">
        <v>587.41</v>
      </c>
      <c r="K639" t="s">
        <v>25</v>
      </c>
      <c r="L639">
        <v>157</v>
      </c>
      <c r="M639">
        <v>44.41</v>
      </c>
      <c r="N639">
        <v>31.27</v>
      </c>
      <c r="O639" t="s">
        <v>25</v>
      </c>
      <c r="P639" t="s">
        <v>965</v>
      </c>
      <c r="Q639" t="s">
        <v>20</v>
      </c>
      <c r="R639" t="str">
        <f>HYPERLINK("https://cfpub.epa.gov/ecotox/explore.cfm?ncbi=310571","Explore in ECOTOX")</f>
        <v>Explore in ECOTOX</v>
      </c>
    </row>
    <row r="640" spans="1:18" x14ac:dyDescent="0.25">
      <c r="A640">
        <v>6</v>
      </c>
      <c r="B640" t="str">
        <f>HYPERLINK("http://www.ncbi.nlm.nih.gov/protein/XP_026184784.1","XP_026184784.1")</f>
        <v>XP_026184784.1</v>
      </c>
      <c r="C640">
        <v>42451</v>
      </c>
      <c r="D640" t="str">
        <f>HYPERLINK("http://www.ncbi.nlm.nih.gov/Taxonomy/Browser/wwwtax.cgi?mode=Info&amp;id=205130&amp;lvl=3&amp;lin=f&amp;keep=1&amp;srchmode=1&amp;unlock","205130")</f>
        <v>205130</v>
      </c>
      <c r="E640" t="s">
        <v>384</v>
      </c>
      <c r="F640" t="s">
        <v>384</v>
      </c>
      <c r="G640" t="str">
        <f>HYPERLINK("http://www.ncbi.nlm.nih.gov/Taxonomy/Browser/wwwtax.cgi?mode=Info&amp;id=205130&amp;lvl=3&amp;lin=f&amp;keep=1&amp;srchmode=1&amp;unlock","Mastacembelus armatus")</f>
        <v>Mastacembelus armatus</v>
      </c>
      <c r="H640" t="s">
        <v>540</v>
      </c>
      <c r="I640" t="str">
        <f>HYPERLINK("http://www.ncbi.nlm.nih.gov/protein/XP_026184784.1","androgen receptor-like")</f>
        <v>androgen receptor-like</v>
      </c>
      <c r="J640">
        <v>587.03</v>
      </c>
      <c r="K640" t="s">
        <v>25</v>
      </c>
      <c r="L640">
        <v>157</v>
      </c>
      <c r="M640">
        <v>44.41</v>
      </c>
      <c r="N640">
        <v>31.25</v>
      </c>
      <c r="O640" t="s">
        <v>25</v>
      </c>
      <c r="P640" t="s">
        <v>965</v>
      </c>
      <c r="Q640" t="s">
        <v>20</v>
      </c>
      <c r="R640" t="str">
        <f>HYPERLINK("https://cfpub.epa.gov/ecotox/explore.cfm?ncbi=205130","Explore in ECOTOX")</f>
        <v>Explore in ECOTOX</v>
      </c>
    </row>
    <row r="641" spans="1:18" x14ac:dyDescent="0.25">
      <c r="A641">
        <v>6</v>
      </c>
      <c r="B641" t="str">
        <f>HYPERLINK("http://www.ncbi.nlm.nih.gov/protein/XP_024866192.1","XP_024866192.1")</f>
        <v>XP_024866192.1</v>
      </c>
      <c r="C641">
        <v>43416</v>
      </c>
      <c r="D641" t="str">
        <f>HYPERLINK("http://www.ncbi.nlm.nih.gov/Taxonomy/Browser/wwwtax.cgi?mode=Info&amp;id=37003&amp;lvl=3&amp;lin=f&amp;keep=1&amp;srchmode=1&amp;unlock","37003")</f>
        <v>37003</v>
      </c>
      <c r="E641" t="s">
        <v>384</v>
      </c>
      <c r="F641" t="s">
        <v>384</v>
      </c>
      <c r="G641" t="str">
        <f>HYPERLINK("http://www.ncbi.nlm.nih.gov/Taxonomy/Browser/wwwtax.cgi?mode=Info&amp;id=37003&amp;lvl=3&amp;lin=f&amp;keep=1&amp;srchmode=1&amp;unlock","Kryptolebias marmoratus")</f>
        <v>Kryptolebias marmoratus</v>
      </c>
      <c r="H641" t="s">
        <v>583</v>
      </c>
      <c r="I641" t="str">
        <f>HYPERLINK("http://www.ncbi.nlm.nih.gov/protein/XP_024866192.1","androgen receptor isoform X1")</f>
        <v>androgen receptor isoform X1</v>
      </c>
      <c r="J641">
        <v>586.64</v>
      </c>
      <c r="K641" t="s">
        <v>25</v>
      </c>
      <c r="L641">
        <v>157</v>
      </c>
      <c r="M641">
        <v>44.41</v>
      </c>
      <c r="N641">
        <v>31.23</v>
      </c>
      <c r="O641" t="s">
        <v>25</v>
      </c>
      <c r="P641" t="s">
        <v>965</v>
      </c>
      <c r="Q641" t="s">
        <v>20</v>
      </c>
      <c r="R641" t="str">
        <f>HYPERLINK("https://cfpub.epa.gov/ecotox/explore.cfm?ncbi=37003","Explore in ECOTOX")</f>
        <v>Explore in ECOTOX</v>
      </c>
    </row>
    <row r="642" spans="1:18" x14ac:dyDescent="0.25">
      <c r="A642">
        <v>6</v>
      </c>
      <c r="B642" t="str">
        <f>HYPERLINK("http://www.ncbi.nlm.nih.gov/protein/XP_039870565.1","XP_039870565.1")</f>
        <v>XP_039870565.1</v>
      </c>
      <c r="C642">
        <v>53697</v>
      </c>
      <c r="D642" t="str">
        <f>HYPERLINK("http://www.ncbi.nlm.nih.gov/Taxonomy/Browser/wwwtax.cgi?mode=Info&amp;id=43689&amp;lvl=3&amp;lin=f&amp;keep=1&amp;srchmode=1&amp;unlock","43689")</f>
        <v>43689</v>
      </c>
      <c r="E642" t="s">
        <v>384</v>
      </c>
      <c r="F642" t="s">
        <v>384</v>
      </c>
      <c r="G642" t="str">
        <f>HYPERLINK("http://www.ncbi.nlm.nih.gov/Taxonomy/Browser/wwwtax.cgi?mode=Info&amp;id=43689&amp;lvl=3&amp;lin=f&amp;keep=1&amp;srchmode=1&amp;unlock","Simochromis diagramma")</f>
        <v>Simochromis diagramma</v>
      </c>
      <c r="H642" t="s">
        <v>637</v>
      </c>
      <c r="I642" t="str">
        <f>HYPERLINK("http://www.ncbi.nlm.nih.gov/protein/XP_039870565.1","androgen receptor-like")</f>
        <v>androgen receptor-like</v>
      </c>
      <c r="J642">
        <v>586.26</v>
      </c>
      <c r="K642" t="s">
        <v>25</v>
      </c>
      <c r="L642">
        <v>157</v>
      </c>
      <c r="M642">
        <v>44.41</v>
      </c>
      <c r="N642">
        <v>31.21</v>
      </c>
      <c r="O642" t="s">
        <v>25</v>
      </c>
      <c r="P642" t="s">
        <v>965</v>
      </c>
      <c r="Q642" t="s">
        <v>20</v>
      </c>
      <c r="R642" t="str">
        <f>HYPERLINK("https://cfpub.epa.gov/ecotox/explore.cfm?ncbi=43689","Explore in ECOTOX")</f>
        <v>Explore in ECOTOX</v>
      </c>
    </row>
    <row r="643" spans="1:18" x14ac:dyDescent="0.25">
      <c r="A643">
        <v>6</v>
      </c>
      <c r="B643" t="str">
        <f>HYPERLINK("http://www.ncbi.nlm.nih.gov/protein/XP_020454405.1","XP_020454405.1")</f>
        <v>XP_020454405.1</v>
      </c>
      <c r="C643">
        <v>40892</v>
      </c>
      <c r="D643" t="str">
        <f>HYPERLINK("http://www.ncbi.nlm.nih.gov/Taxonomy/Browser/wwwtax.cgi?mode=Info&amp;id=43700&amp;lvl=3&amp;lin=f&amp;keep=1&amp;srchmode=1&amp;unlock","43700")</f>
        <v>43700</v>
      </c>
      <c r="E643" t="s">
        <v>384</v>
      </c>
      <c r="F643" t="s">
        <v>384</v>
      </c>
      <c r="G643" t="str">
        <f>HYPERLINK("http://www.ncbi.nlm.nih.gov/Taxonomy/Browser/wwwtax.cgi?mode=Info&amp;id=43700&amp;lvl=3&amp;lin=f&amp;keep=1&amp;srchmode=1&amp;unlock","Monopterus albus")</f>
        <v>Monopterus albus</v>
      </c>
      <c r="H643" t="s">
        <v>547</v>
      </c>
      <c r="I643" t="str">
        <f>HYPERLINK("http://www.ncbi.nlm.nih.gov/protein/XP_020454405.1","androgen receptor")</f>
        <v>androgen receptor</v>
      </c>
      <c r="J643">
        <v>586.26</v>
      </c>
      <c r="K643" t="s">
        <v>25</v>
      </c>
      <c r="L643">
        <v>157</v>
      </c>
      <c r="M643">
        <v>44.41</v>
      </c>
      <c r="N643">
        <v>31.21</v>
      </c>
      <c r="O643" t="s">
        <v>25</v>
      </c>
      <c r="P643" t="s">
        <v>965</v>
      </c>
      <c r="Q643" t="s">
        <v>20</v>
      </c>
      <c r="R643" t="str">
        <f>HYPERLINK("https://cfpub.epa.gov/ecotox/explore.cfm?ncbi=43700","Explore in ECOTOX")</f>
        <v>Explore in ECOTOX</v>
      </c>
    </row>
    <row r="644" spans="1:18" x14ac:dyDescent="0.25">
      <c r="A644">
        <v>6</v>
      </c>
      <c r="B644" t="str">
        <f>HYPERLINK("http://www.ncbi.nlm.nih.gov/protein/NP_001273260.1","NP_001273260.1")</f>
        <v>NP_001273260.1</v>
      </c>
      <c r="C644">
        <v>45053</v>
      </c>
      <c r="D644" t="str">
        <f>HYPERLINK("http://www.ncbi.nlm.nih.gov/Taxonomy/Browser/wwwtax.cgi?mode=Info&amp;id=8153&amp;lvl=3&amp;lin=f&amp;keep=1&amp;srchmode=1&amp;unlock","8153")</f>
        <v>8153</v>
      </c>
      <c r="E644" t="s">
        <v>384</v>
      </c>
      <c r="F644" t="s">
        <v>384</v>
      </c>
      <c r="G644" t="str">
        <f>HYPERLINK("http://www.ncbi.nlm.nih.gov/Taxonomy/Browser/wwwtax.cgi?mode=Info&amp;id=8153&amp;lvl=3&amp;lin=f&amp;keep=1&amp;srchmode=1&amp;unlock","Haplochromis burtoni")</f>
        <v>Haplochromis burtoni</v>
      </c>
      <c r="H644" t="s">
        <v>639</v>
      </c>
      <c r="I644" t="str">
        <f>HYPERLINK("http://www.ncbi.nlm.nih.gov/protein/NP_001273260.1","androgen receptor-like")</f>
        <v>androgen receptor-like</v>
      </c>
      <c r="J644">
        <v>585.87</v>
      </c>
      <c r="K644" t="s">
        <v>25</v>
      </c>
      <c r="L644">
        <v>157</v>
      </c>
      <c r="M644">
        <v>44.41</v>
      </c>
      <c r="N644">
        <v>31.19</v>
      </c>
      <c r="O644" t="s">
        <v>25</v>
      </c>
      <c r="P644" t="s">
        <v>965</v>
      </c>
      <c r="Q644" t="s">
        <v>20</v>
      </c>
      <c r="R644" t="str">
        <f>HYPERLINK("https://cfpub.epa.gov/ecotox/explore.cfm?ncbi=8153","Explore in ECOTOX")</f>
        <v>Explore in ECOTOX</v>
      </c>
    </row>
    <row r="645" spans="1:18" x14ac:dyDescent="0.25">
      <c r="A645">
        <v>6</v>
      </c>
      <c r="B645" t="str">
        <f>HYPERLINK("http://www.ncbi.nlm.nih.gov/protein/XP_015239533.1","XP_015239533.1")</f>
        <v>XP_015239533.1</v>
      </c>
      <c r="C645">
        <v>36661</v>
      </c>
      <c r="D645" t="str">
        <f>HYPERLINK("http://www.ncbi.nlm.nih.gov/Taxonomy/Browser/wwwtax.cgi?mode=Info&amp;id=28743&amp;lvl=3&amp;lin=f&amp;keep=1&amp;srchmode=1&amp;unlock","28743")</f>
        <v>28743</v>
      </c>
      <c r="E645" t="s">
        <v>384</v>
      </c>
      <c r="F645" t="s">
        <v>384</v>
      </c>
      <c r="G645" t="str">
        <f>HYPERLINK("http://www.ncbi.nlm.nih.gov/Taxonomy/Browser/wwwtax.cgi?mode=Info&amp;id=28743&amp;lvl=3&amp;lin=f&amp;keep=1&amp;srchmode=1&amp;unlock","Cyprinodon variegatus")</f>
        <v>Cyprinodon variegatus</v>
      </c>
      <c r="H645" t="s">
        <v>596</v>
      </c>
      <c r="I645" t="str">
        <f>HYPERLINK("http://www.ncbi.nlm.nih.gov/protein/XP_015239533.1","PREDICTED: androgen receptor-like")</f>
        <v>PREDICTED: androgen receptor-like</v>
      </c>
      <c r="J645">
        <v>585.87</v>
      </c>
      <c r="K645" t="s">
        <v>25</v>
      </c>
      <c r="L645">
        <v>157</v>
      </c>
      <c r="M645">
        <v>44.41</v>
      </c>
      <c r="N645">
        <v>31.19</v>
      </c>
      <c r="O645" t="s">
        <v>25</v>
      </c>
      <c r="P645" t="s">
        <v>965</v>
      </c>
      <c r="Q645" t="s">
        <v>20</v>
      </c>
      <c r="R645" t="str">
        <f>HYPERLINK("https://cfpub.epa.gov/ecotox/explore.cfm?ncbi=28743","Explore in ECOTOX")</f>
        <v>Explore in ECOTOX</v>
      </c>
    </row>
    <row r="646" spans="1:18" x14ac:dyDescent="0.25">
      <c r="A646">
        <v>6</v>
      </c>
      <c r="B646" t="str">
        <f>HYPERLINK("http://www.ncbi.nlm.nih.gov/protein/XP_038144388.1","XP_038144388.1")</f>
        <v>XP_038144388.1</v>
      </c>
      <c r="C646">
        <v>42390</v>
      </c>
      <c r="D646" t="str">
        <f>HYPERLINK("http://www.ncbi.nlm.nih.gov/Taxonomy/Browser/wwwtax.cgi?mode=Info&amp;id=77115&amp;lvl=3&amp;lin=f&amp;keep=1&amp;srchmode=1&amp;unlock","77115")</f>
        <v>77115</v>
      </c>
      <c r="E646" t="s">
        <v>384</v>
      </c>
      <c r="F646" t="s">
        <v>384</v>
      </c>
      <c r="G646" t="str">
        <f>HYPERLINK("http://www.ncbi.nlm.nih.gov/Taxonomy/Browser/wwwtax.cgi?mode=Info&amp;id=77115&amp;lvl=3&amp;lin=f&amp;keep=1&amp;srchmode=1&amp;unlock","Cyprinodon tularosa")</f>
        <v>Cyprinodon tularosa</v>
      </c>
      <c r="H646" t="s">
        <v>597</v>
      </c>
      <c r="I646" t="str">
        <f>HYPERLINK("http://www.ncbi.nlm.nih.gov/protein/XP_038144388.1","androgen receptor-like")</f>
        <v>androgen receptor-like</v>
      </c>
      <c r="J646">
        <v>585.87</v>
      </c>
      <c r="K646" t="s">
        <v>25</v>
      </c>
      <c r="L646">
        <v>157</v>
      </c>
      <c r="M646">
        <v>44.41</v>
      </c>
      <c r="N646">
        <v>31.19</v>
      </c>
      <c r="O646" t="s">
        <v>25</v>
      </c>
      <c r="P646" t="s">
        <v>965</v>
      </c>
      <c r="Q646" t="s">
        <v>20</v>
      </c>
      <c r="R646" t="str">
        <f>HYPERLINK("https://cfpub.epa.gov/ecotox/explore.cfm?ncbi=77115","Explore in ECOTOX")</f>
        <v>Explore in ECOTOX</v>
      </c>
    </row>
    <row r="647" spans="1:18" x14ac:dyDescent="0.25">
      <c r="A647">
        <v>6</v>
      </c>
      <c r="B647" t="str">
        <f>HYPERLINK("http://www.ncbi.nlm.nih.gov/protein/XP_029956536.1","XP_029956536.1")</f>
        <v>XP_029956536.1</v>
      </c>
      <c r="C647">
        <v>39284</v>
      </c>
      <c r="D647" t="str">
        <f>HYPERLINK("http://www.ncbi.nlm.nih.gov/Taxonomy/Browser/wwwtax.cgi?mode=Info&amp;id=181472&amp;lvl=3&amp;lin=f&amp;keep=1&amp;srchmode=1&amp;unlock","181472")</f>
        <v>181472</v>
      </c>
      <c r="E647" t="s">
        <v>384</v>
      </c>
      <c r="F647" t="s">
        <v>384</v>
      </c>
      <c r="G647" t="str">
        <f>HYPERLINK("http://www.ncbi.nlm.nih.gov/Taxonomy/Browser/wwwtax.cgi?mode=Info&amp;id=181472&amp;lvl=3&amp;lin=f&amp;keep=1&amp;srchmode=1&amp;unlock","Salarias fasciatus")</f>
        <v>Salarias fasciatus</v>
      </c>
      <c r="H647" t="s">
        <v>534</v>
      </c>
      <c r="I647" t="str">
        <f>HYPERLINK("http://www.ncbi.nlm.nih.gov/protein/XP_029956536.1","androgen receptor-like")</f>
        <v>androgen receptor-like</v>
      </c>
      <c r="J647">
        <v>585.1</v>
      </c>
      <c r="K647" t="s">
        <v>25</v>
      </c>
      <c r="L647">
        <v>157</v>
      </c>
      <c r="M647">
        <v>44.41</v>
      </c>
      <c r="N647">
        <v>31.15</v>
      </c>
      <c r="O647" t="s">
        <v>25</v>
      </c>
      <c r="P647" t="s">
        <v>965</v>
      </c>
      <c r="Q647" t="s">
        <v>20</v>
      </c>
      <c r="R647" t="str">
        <f>HYPERLINK("https://cfpub.epa.gov/ecotox/explore.cfm?ncbi=181472","Explore in ECOTOX")</f>
        <v>Explore in ECOTOX</v>
      </c>
    </row>
    <row r="648" spans="1:18" x14ac:dyDescent="0.25">
      <c r="A648">
        <v>6</v>
      </c>
      <c r="B648" t="str">
        <f>HYPERLINK("http://www.ncbi.nlm.nih.gov/protein/AAZ14095.3","AAZ14095.3")</f>
        <v>AAZ14095.3</v>
      </c>
      <c r="C648">
        <v>80</v>
      </c>
      <c r="D648" t="str">
        <f>HYPERLINK("http://www.ncbi.nlm.nih.gov/Taxonomy/Browser/wwwtax.cgi?mode=Info&amp;id=45384&amp;lvl=3&amp;lin=f&amp;keep=1&amp;srchmode=1&amp;unlock","45384")</f>
        <v>45384</v>
      </c>
      <c r="E648" t="s">
        <v>384</v>
      </c>
      <c r="F648" t="s">
        <v>384</v>
      </c>
      <c r="G648" t="str">
        <f>HYPERLINK("http://www.ncbi.nlm.nih.gov/Taxonomy/Browser/wwwtax.cgi?mode=Info&amp;id=45384&amp;lvl=3&amp;lin=f&amp;keep=1&amp;srchmode=1&amp;unlock","Porichthys notatus")</f>
        <v>Porichthys notatus</v>
      </c>
      <c r="H648" t="s">
        <v>1016</v>
      </c>
      <c r="I648" t="str">
        <f>HYPERLINK("http://www.ncbi.nlm.nih.gov/protein/AAZ14095.3","androgen receptor beta, partial")</f>
        <v>androgen receptor beta, partial</v>
      </c>
      <c r="J648">
        <v>584.72</v>
      </c>
      <c r="K648" t="s">
        <v>25</v>
      </c>
      <c r="L648">
        <v>157</v>
      </c>
      <c r="M648">
        <v>44.41</v>
      </c>
      <c r="N648">
        <v>31.13</v>
      </c>
      <c r="O648" t="s">
        <v>25</v>
      </c>
      <c r="P648" t="s">
        <v>965</v>
      </c>
      <c r="Q648" t="s">
        <v>20</v>
      </c>
      <c r="R648" t="str">
        <f>HYPERLINK("https://cfpub.epa.gov/ecotox/explore.cfm?ncbi=45384","Explore in ECOTOX")</f>
        <v>Explore in ECOTOX</v>
      </c>
    </row>
    <row r="649" spans="1:18" x14ac:dyDescent="0.25">
      <c r="A649">
        <v>6</v>
      </c>
      <c r="B649" t="str">
        <f>HYPERLINK("http://www.ncbi.nlm.nih.gov/protein/XP_006799593.1","XP_006799593.1")</f>
        <v>XP_006799593.1</v>
      </c>
      <c r="C649">
        <v>36437</v>
      </c>
      <c r="D649" t="str">
        <f>HYPERLINK("http://www.ncbi.nlm.nih.gov/Taxonomy/Browser/wwwtax.cgi?mode=Info&amp;id=32507&amp;lvl=3&amp;lin=f&amp;keep=1&amp;srchmode=1&amp;unlock","32507")</f>
        <v>32507</v>
      </c>
      <c r="E649" t="s">
        <v>384</v>
      </c>
      <c r="F649" t="s">
        <v>384</v>
      </c>
      <c r="G649" t="str">
        <f>HYPERLINK("http://www.ncbi.nlm.nih.gov/Taxonomy/Browser/wwwtax.cgi?mode=Info&amp;id=32507&amp;lvl=3&amp;lin=f&amp;keep=1&amp;srchmode=1&amp;unlock","Neolamprologus brichardi")</f>
        <v>Neolamprologus brichardi</v>
      </c>
      <c r="H649" t="s">
        <v>635</v>
      </c>
      <c r="I649" t="str">
        <f>HYPERLINK("http://www.ncbi.nlm.nih.gov/protein/XP_006799593.1","androgen receptor-like")</f>
        <v>androgen receptor-like</v>
      </c>
      <c r="J649">
        <v>583.95000000000005</v>
      </c>
      <c r="K649" t="s">
        <v>25</v>
      </c>
      <c r="L649">
        <v>157</v>
      </c>
      <c r="M649">
        <v>44.41</v>
      </c>
      <c r="N649">
        <v>31.08</v>
      </c>
      <c r="O649" t="s">
        <v>25</v>
      </c>
      <c r="P649" t="s">
        <v>965</v>
      </c>
      <c r="Q649" t="s">
        <v>20</v>
      </c>
      <c r="R649" t="str">
        <f>HYPERLINK("https://cfpub.epa.gov/ecotox/explore.cfm?ncbi=32507","Explore in ECOTOX")</f>
        <v>Explore in ECOTOX</v>
      </c>
    </row>
    <row r="650" spans="1:18" x14ac:dyDescent="0.25">
      <c r="A650">
        <v>6</v>
      </c>
      <c r="B650" t="str">
        <f>HYPERLINK("http://www.ncbi.nlm.nih.gov/protein/XP_034082531.1","XP_034082531.1")</f>
        <v>XP_034082531.1</v>
      </c>
      <c r="C650">
        <v>45860</v>
      </c>
      <c r="D650" t="str">
        <f>HYPERLINK("http://www.ncbi.nlm.nih.gov/Taxonomy/Browser/wwwtax.cgi?mode=Info&amp;id=8218&amp;lvl=3&amp;lin=f&amp;keep=1&amp;srchmode=1&amp;unlock","8218")</f>
        <v>8218</v>
      </c>
      <c r="E650" t="s">
        <v>384</v>
      </c>
      <c r="F650" t="s">
        <v>384</v>
      </c>
      <c r="G650" t="str">
        <f>HYPERLINK("http://www.ncbi.nlm.nih.gov/Taxonomy/Browser/wwwtax.cgi?mode=Info&amp;id=8218&amp;lvl=3&amp;lin=f&amp;keep=1&amp;srchmode=1&amp;unlock","Gymnodraco acuticeps")</f>
        <v>Gymnodraco acuticeps</v>
      </c>
      <c r="H650" t="s">
        <v>577</v>
      </c>
      <c r="I650" t="str">
        <f>HYPERLINK("http://www.ncbi.nlm.nih.gov/protein/XP_034082531.1","LOW QUALITY PROTEIN: androgen receptor-like")</f>
        <v>LOW QUALITY PROTEIN: androgen receptor-like</v>
      </c>
      <c r="J650">
        <v>583.55999999999995</v>
      </c>
      <c r="K650" t="s">
        <v>25</v>
      </c>
      <c r="L650">
        <v>157</v>
      </c>
      <c r="M650">
        <v>44.41</v>
      </c>
      <c r="N650">
        <v>31.06</v>
      </c>
      <c r="O650" t="s">
        <v>25</v>
      </c>
      <c r="P650" t="s">
        <v>965</v>
      </c>
      <c r="Q650" t="s">
        <v>20</v>
      </c>
      <c r="R650" t="str">
        <f>HYPERLINK("https://cfpub.epa.gov/ecotox/explore.cfm?ncbi=8218","Explore in ECOTOX")</f>
        <v>Explore in ECOTOX</v>
      </c>
    </row>
    <row r="651" spans="1:18" x14ac:dyDescent="0.25">
      <c r="A651">
        <v>6</v>
      </c>
      <c r="B651" t="str">
        <f>HYPERLINK("http://www.ncbi.nlm.nih.gov/protein/XP_028321907.1","XP_028321907.1")</f>
        <v>XP_028321907.1</v>
      </c>
      <c r="C651">
        <v>43564</v>
      </c>
      <c r="D651" t="str">
        <f>HYPERLINK("http://www.ncbi.nlm.nih.gov/Taxonomy/Browser/wwwtax.cgi?mode=Info&amp;id=441366&amp;lvl=3&amp;lin=f&amp;keep=1&amp;srchmode=1&amp;unlock","441366")</f>
        <v>441366</v>
      </c>
      <c r="E651" t="s">
        <v>384</v>
      </c>
      <c r="F651" t="s">
        <v>384</v>
      </c>
      <c r="G651" t="str">
        <f>HYPERLINK("http://www.ncbi.nlm.nih.gov/Taxonomy/Browser/wwwtax.cgi?mode=Info&amp;id=441366&amp;lvl=3&amp;lin=f&amp;keep=1&amp;srchmode=1&amp;unlock","Gouania willdenowi")</f>
        <v>Gouania willdenowi</v>
      </c>
      <c r="H651" t="s">
        <v>586</v>
      </c>
      <c r="I651" t="str">
        <f>HYPERLINK("http://www.ncbi.nlm.nih.gov/protein/XP_028321907.1","androgen receptor-like isoform X1")</f>
        <v>androgen receptor-like isoform X1</v>
      </c>
      <c r="J651">
        <v>583.55999999999995</v>
      </c>
      <c r="K651" t="s">
        <v>25</v>
      </c>
      <c r="L651">
        <v>157</v>
      </c>
      <c r="M651">
        <v>44.41</v>
      </c>
      <c r="N651">
        <v>31.06</v>
      </c>
      <c r="O651" t="s">
        <v>25</v>
      </c>
      <c r="P651" t="s">
        <v>965</v>
      </c>
      <c r="Q651" t="s">
        <v>20</v>
      </c>
      <c r="R651" t="str">
        <f>HYPERLINK("https://cfpub.epa.gov/ecotox/explore.cfm?ncbi=441366","Explore in ECOTOX")</f>
        <v>Explore in ECOTOX</v>
      </c>
    </row>
    <row r="652" spans="1:18" x14ac:dyDescent="0.25">
      <c r="A652">
        <v>6</v>
      </c>
      <c r="B652" t="str">
        <f>HYPERLINK("http://www.ncbi.nlm.nih.gov/protein/XP_033969271.1","XP_033969271.1")</f>
        <v>XP_033969271.1</v>
      </c>
      <c r="C652">
        <v>41297</v>
      </c>
      <c r="D652" t="str">
        <f>HYPERLINK("http://www.ncbi.nlm.nih.gov/Taxonomy/Browser/wwwtax.cgi?mode=Info&amp;id=40690&amp;lvl=3&amp;lin=f&amp;keep=1&amp;srchmode=1&amp;unlock","40690")</f>
        <v>40690</v>
      </c>
      <c r="E652" t="s">
        <v>384</v>
      </c>
      <c r="F652" t="s">
        <v>384</v>
      </c>
      <c r="G652" t="str">
        <f>HYPERLINK("http://www.ncbi.nlm.nih.gov/Taxonomy/Browser/wwwtax.cgi?mode=Info&amp;id=40690&amp;lvl=3&amp;lin=f&amp;keep=1&amp;srchmode=1&amp;unlock","Trematomus bernacchii")</f>
        <v>Trematomus bernacchii</v>
      </c>
      <c r="H652" t="s">
        <v>603</v>
      </c>
      <c r="I652" t="str">
        <f>HYPERLINK("http://www.ncbi.nlm.nih.gov/protein/XP_033969271.1","androgen receptor isoform X2")</f>
        <v>androgen receptor isoform X2</v>
      </c>
      <c r="J652">
        <v>583.55999999999995</v>
      </c>
      <c r="K652" t="s">
        <v>25</v>
      </c>
      <c r="L652">
        <v>157</v>
      </c>
      <c r="M652">
        <v>44.41</v>
      </c>
      <c r="N652">
        <v>31.06</v>
      </c>
      <c r="O652" t="s">
        <v>25</v>
      </c>
      <c r="P652" t="s">
        <v>965</v>
      </c>
      <c r="Q652" t="s">
        <v>20</v>
      </c>
      <c r="R652" t="str">
        <f>HYPERLINK("https://cfpub.epa.gov/ecotox/explore.cfm?ncbi=40690","Explore in ECOTOX")</f>
        <v>Explore in ECOTOX</v>
      </c>
    </row>
    <row r="653" spans="1:18" x14ac:dyDescent="0.25">
      <c r="A653">
        <v>6</v>
      </c>
      <c r="B653" t="str">
        <f>HYPERLINK("http://www.ncbi.nlm.nih.gov/protein/XP_033954632.1","XP_033954632.1")</f>
        <v>XP_033954632.1</v>
      </c>
      <c r="C653">
        <v>38002</v>
      </c>
      <c r="D653" t="str">
        <f>HYPERLINK("http://www.ncbi.nlm.nih.gov/Taxonomy/Browser/wwwtax.cgi?mode=Info&amp;id=52239&amp;lvl=3&amp;lin=f&amp;keep=1&amp;srchmode=1&amp;unlock","52239")</f>
        <v>52239</v>
      </c>
      <c r="E653" t="s">
        <v>384</v>
      </c>
      <c r="F653" t="s">
        <v>384</v>
      </c>
      <c r="G653" t="str">
        <f>HYPERLINK("http://www.ncbi.nlm.nih.gov/Taxonomy/Browser/wwwtax.cgi?mode=Info&amp;id=52239&amp;lvl=3&amp;lin=f&amp;keep=1&amp;srchmode=1&amp;unlock","Pseudochaenichthys georgianus")</f>
        <v>Pseudochaenichthys georgianus</v>
      </c>
      <c r="H653" t="s">
        <v>576</v>
      </c>
      <c r="I653" t="str">
        <f>HYPERLINK("http://www.ncbi.nlm.nih.gov/protein/XP_033954632.1","androgen receptor")</f>
        <v>androgen receptor</v>
      </c>
      <c r="J653">
        <v>581.64</v>
      </c>
      <c r="K653" t="s">
        <v>25</v>
      </c>
      <c r="L653">
        <v>157</v>
      </c>
      <c r="M653">
        <v>44.41</v>
      </c>
      <c r="N653">
        <v>30.96</v>
      </c>
      <c r="O653" t="s">
        <v>25</v>
      </c>
      <c r="P653" t="s">
        <v>965</v>
      </c>
      <c r="Q653" t="s">
        <v>20</v>
      </c>
      <c r="R653" t="str">
        <f>HYPERLINK("https://cfpub.epa.gov/ecotox/explore.cfm?ncbi=52239","Explore in ECOTOX")</f>
        <v>Explore in ECOTOX</v>
      </c>
    </row>
    <row r="654" spans="1:18" x14ac:dyDescent="0.25">
      <c r="A654">
        <v>6</v>
      </c>
      <c r="B654" t="str">
        <f>HYPERLINK("http://www.ncbi.nlm.nih.gov/protein/KFO53781.1","KFO53781.1")</f>
        <v>KFO53781.1</v>
      </c>
      <c r="C654">
        <v>43088</v>
      </c>
      <c r="D654" t="str">
        <f>HYPERLINK("http://www.ncbi.nlm.nih.gov/Taxonomy/Browser/wwwtax.cgi?mode=Info&amp;id=85066&amp;lvl=3&amp;lin=f&amp;keep=1&amp;srchmode=1&amp;unlock","85066")</f>
        <v>85066</v>
      </c>
      <c r="E654" t="s">
        <v>167</v>
      </c>
      <c r="F654" t="s">
        <v>167</v>
      </c>
      <c r="G654" t="str">
        <f>HYPERLINK("http://www.ncbi.nlm.nih.gov/Taxonomy/Browser/wwwtax.cgi?mode=Info&amp;id=85066&amp;lvl=3&amp;lin=f&amp;keep=1&amp;srchmode=1&amp;unlock","Corvus brachyrhynchos")</f>
        <v>Corvus brachyrhynchos</v>
      </c>
      <c r="H654" t="s">
        <v>294</v>
      </c>
      <c r="I654" t="str">
        <f>HYPERLINK("http://www.ncbi.nlm.nih.gov/protein/KFO53781.1","Androgen receptor, partial")</f>
        <v>Androgen receptor, partial</v>
      </c>
      <c r="J654">
        <v>580.87</v>
      </c>
      <c r="K654" t="s">
        <v>25</v>
      </c>
      <c r="L654">
        <v>157</v>
      </c>
      <c r="M654">
        <v>44.41</v>
      </c>
      <c r="N654">
        <v>30.92</v>
      </c>
      <c r="O654" t="s">
        <v>20</v>
      </c>
      <c r="P654" t="s">
        <v>965</v>
      </c>
      <c r="Q654" t="s">
        <v>20</v>
      </c>
      <c r="R654" t="str">
        <f>HYPERLINK("https://cfpub.epa.gov/ecotox/explore.cfm?ncbi=85066","Explore in ECOTOX")</f>
        <v>Explore in ECOTOX</v>
      </c>
    </row>
    <row r="655" spans="1:18" x14ac:dyDescent="0.25">
      <c r="A655">
        <v>6</v>
      </c>
      <c r="B655" t="str">
        <f>HYPERLINK("http://www.ncbi.nlm.nih.gov/protein/AAG48340.1","AAG48340.1")</f>
        <v>AAG48340.1</v>
      </c>
      <c r="C655">
        <v>81</v>
      </c>
      <c r="D655" t="str">
        <f>HYPERLINK("http://www.ncbi.nlm.nih.gov/Taxonomy/Browser/wwwtax.cgi?mode=Info&amp;id=147232&amp;lvl=3&amp;lin=f&amp;keep=1&amp;srchmode=1&amp;unlock","147232")</f>
        <v>147232</v>
      </c>
      <c r="E655" t="s">
        <v>384</v>
      </c>
      <c r="F655" t="s">
        <v>384</v>
      </c>
      <c r="G655" t="str">
        <f>HYPERLINK("http://www.ncbi.nlm.nih.gov/Taxonomy/Browser/wwwtax.cgi?mode=Info&amp;id=147232&amp;lvl=3&amp;lin=f&amp;keep=1&amp;srchmode=1&amp;unlock","Halichoeres trimaculatus")</f>
        <v>Halichoeres trimaculatus</v>
      </c>
      <c r="H655" t="s">
        <v>1017</v>
      </c>
      <c r="I655" t="str">
        <f>HYPERLINK("http://www.ncbi.nlm.nih.gov/protein/AAG48340.1","androgen receptor, partial")</f>
        <v>androgen receptor, partial</v>
      </c>
      <c r="J655">
        <v>580.48</v>
      </c>
      <c r="K655" t="s">
        <v>25</v>
      </c>
      <c r="L655">
        <v>157</v>
      </c>
      <c r="M655">
        <v>44.41</v>
      </c>
      <c r="N655">
        <v>30.9</v>
      </c>
      <c r="O655" t="s">
        <v>25</v>
      </c>
      <c r="P655" t="s">
        <v>965</v>
      </c>
      <c r="Q655" t="s">
        <v>20</v>
      </c>
      <c r="R655" t="str">
        <f>HYPERLINK("https://cfpub.epa.gov/ecotox/explore.cfm?ncbi=147232","Explore in ECOTOX")</f>
        <v>Explore in ECOTOX</v>
      </c>
    </row>
    <row r="656" spans="1:18" x14ac:dyDescent="0.25">
      <c r="A656">
        <v>6</v>
      </c>
      <c r="B656" t="str">
        <f>HYPERLINK("http://www.ncbi.nlm.nih.gov/protein/XP_029303737.1","XP_029303737.1")</f>
        <v>XP_029303737.1</v>
      </c>
      <c r="C656">
        <v>37869</v>
      </c>
      <c r="D656" t="str">
        <f>HYPERLINK("http://www.ncbi.nlm.nih.gov/Taxonomy/Browser/wwwtax.cgi?mode=Info&amp;id=56716&amp;lvl=3&amp;lin=f&amp;keep=1&amp;srchmode=1&amp;unlock","56716")</f>
        <v>56716</v>
      </c>
      <c r="E656" t="s">
        <v>384</v>
      </c>
      <c r="F656" t="s">
        <v>384</v>
      </c>
      <c r="G656" t="str">
        <f>HYPERLINK("http://www.ncbi.nlm.nih.gov/Taxonomy/Browser/wwwtax.cgi?mode=Info&amp;id=56716&amp;lvl=3&amp;lin=f&amp;keep=1&amp;srchmode=1&amp;unlock","Cottoperca gobio")</f>
        <v>Cottoperca gobio</v>
      </c>
      <c r="H656" t="s">
        <v>575</v>
      </c>
      <c r="I656" t="str">
        <f>HYPERLINK("http://www.ncbi.nlm.nih.gov/protein/XP_029303737.1","androgen receptor isoform X2")</f>
        <v>androgen receptor isoform X2</v>
      </c>
      <c r="J656">
        <v>580.48</v>
      </c>
      <c r="K656" t="s">
        <v>25</v>
      </c>
      <c r="L656">
        <v>157</v>
      </c>
      <c r="M656">
        <v>44.41</v>
      </c>
      <c r="N656">
        <v>30.9</v>
      </c>
      <c r="O656" t="s">
        <v>25</v>
      </c>
      <c r="P656" t="s">
        <v>965</v>
      </c>
      <c r="Q656" t="s">
        <v>20</v>
      </c>
      <c r="R656" t="str">
        <f>HYPERLINK("https://cfpub.epa.gov/ecotox/explore.cfm?ncbi=56716","Explore in ECOTOX")</f>
        <v>Explore in ECOTOX</v>
      </c>
    </row>
    <row r="657" spans="1:18" x14ac:dyDescent="0.25">
      <c r="A657">
        <v>6</v>
      </c>
      <c r="B657" t="str">
        <f>HYPERLINK("http://www.ncbi.nlm.nih.gov/protein/XP_011609787.2","XP_011609787.2")</f>
        <v>XP_011609787.2</v>
      </c>
      <c r="C657">
        <v>49062</v>
      </c>
      <c r="D657" t="str">
        <f>HYPERLINK("http://www.ncbi.nlm.nih.gov/Taxonomy/Browser/wwwtax.cgi?mode=Info&amp;id=31033&amp;lvl=3&amp;lin=f&amp;keep=1&amp;srchmode=1&amp;unlock","31033")</f>
        <v>31033</v>
      </c>
      <c r="E657" t="s">
        <v>384</v>
      </c>
      <c r="F657" t="s">
        <v>384</v>
      </c>
      <c r="G657" t="str">
        <f>HYPERLINK("http://www.ncbi.nlm.nih.gov/Taxonomy/Browser/wwwtax.cgi?mode=Info&amp;id=31033&amp;lvl=3&amp;lin=f&amp;keep=1&amp;srchmode=1&amp;unlock","Takifugu rubripes")</f>
        <v>Takifugu rubripes</v>
      </c>
      <c r="H657" t="s">
        <v>630</v>
      </c>
      <c r="I657" t="str">
        <f>HYPERLINK("http://www.ncbi.nlm.nih.gov/protein/XP_011609787.2","androgen receptor-like isoform X2")</f>
        <v>androgen receptor-like isoform X2</v>
      </c>
      <c r="J657">
        <v>578.94000000000005</v>
      </c>
      <c r="K657" t="s">
        <v>25</v>
      </c>
      <c r="L657">
        <v>157</v>
      </c>
      <c r="M657">
        <v>44.41</v>
      </c>
      <c r="N657">
        <v>30.82</v>
      </c>
      <c r="O657" t="s">
        <v>25</v>
      </c>
      <c r="P657" t="s">
        <v>965</v>
      </c>
      <c r="Q657" t="s">
        <v>20</v>
      </c>
      <c r="R657" t="str">
        <f>HYPERLINK("https://cfpub.epa.gov/ecotox/explore.cfm?ncbi=31033","Explore in ECOTOX")</f>
        <v>Explore in ECOTOX</v>
      </c>
    </row>
    <row r="658" spans="1:18" x14ac:dyDescent="0.25">
      <c r="A658">
        <v>6</v>
      </c>
      <c r="B658" t="str">
        <f>HYPERLINK("http://www.ncbi.nlm.nih.gov/protein/XP_022540802.1","XP_022540802.1")</f>
        <v>XP_022540802.1</v>
      </c>
      <c r="C658">
        <v>42884</v>
      </c>
      <c r="D658" t="str">
        <f>HYPERLINK("http://www.ncbi.nlm.nih.gov/Taxonomy/Browser/wwwtax.cgi?mode=Info&amp;id=7994&amp;lvl=3&amp;lin=f&amp;keep=1&amp;srchmode=1&amp;unlock","7994")</f>
        <v>7994</v>
      </c>
      <c r="E658" t="s">
        <v>384</v>
      </c>
      <c r="F658" t="s">
        <v>384</v>
      </c>
      <c r="G658" t="str">
        <f>HYPERLINK("http://www.ncbi.nlm.nih.gov/Taxonomy/Browser/wwwtax.cgi?mode=Info&amp;id=7994&amp;lvl=3&amp;lin=f&amp;keep=1&amp;srchmode=1&amp;unlock","Astyanax mexicanus")</f>
        <v>Astyanax mexicanus</v>
      </c>
      <c r="H658" t="s">
        <v>508</v>
      </c>
      <c r="I658" t="str">
        <f>HYPERLINK("http://www.ncbi.nlm.nih.gov/protein/XP_022540802.1","androgen receptor")</f>
        <v>androgen receptor</v>
      </c>
      <c r="J658">
        <v>578.94000000000005</v>
      </c>
      <c r="K658" t="s">
        <v>25</v>
      </c>
      <c r="L658">
        <v>157</v>
      </c>
      <c r="M658">
        <v>44.41</v>
      </c>
      <c r="N658">
        <v>30.82</v>
      </c>
      <c r="O658" t="s">
        <v>25</v>
      </c>
      <c r="P658" t="s">
        <v>965</v>
      </c>
      <c r="Q658" t="s">
        <v>20</v>
      </c>
      <c r="R658" t="str">
        <f>HYPERLINK("https://cfpub.epa.gov/ecotox/explore.cfm?ncbi=7994","Explore in ECOTOX")</f>
        <v>Explore in ECOTOX</v>
      </c>
    </row>
    <row r="659" spans="1:18" x14ac:dyDescent="0.25">
      <c r="A659">
        <v>6</v>
      </c>
      <c r="B659" t="str">
        <f>HYPERLINK("http://www.ncbi.nlm.nih.gov/protein/XP_013862230.1","XP_013862230.1")</f>
        <v>XP_013862230.1</v>
      </c>
      <c r="C659">
        <v>35359</v>
      </c>
      <c r="D659" t="str">
        <f>HYPERLINK("http://www.ncbi.nlm.nih.gov/Taxonomy/Browser/wwwtax.cgi?mode=Info&amp;id=52670&amp;lvl=3&amp;lin=f&amp;keep=1&amp;srchmode=1&amp;unlock","52670")</f>
        <v>52670</v>
      </c>
      <c r="E659" t="s">
        <v>384</v>
      </c>
      <c r="F659" t="s">
        <v>384</v>
      </c>
      <c r="G659" t="str">
        <f>HYPERLINK("http://www.ncbi.nlm.nih.gov/Taxonomy/Browser/wwwtax.cgi?mode=Info&amp;id=52670&amp;lvl=3&amp;lin=f&amp;keep=1&amp;srchmode=1&amp;unlock","Austrofundulus limnaeus")</f>
        <v>Austrofundulus limnaeus</v>
      </c>
      <c r="H659" t="s">
        <v>520</v>
      </c>
      <c r="I659" t="str">
        <f>HYPERLINK("http://www.ncbi.nlm.nih.gov/protein/XP_013862230.1","PREDICTED: androgen receptor")</f>
        <v>PREDICTED: androgen receptor</v>
      </c>
      <c r="J659">
        <v>578.16999999999996</v>
      </c>
      <c r="K659" t="s">
        <v>25</v>
      </c>
      <c r="L659">
        <v>157</v>
      </c>
      <c r="M659">
        <v>44.41</v>
      </c>
      <c r="N659">
        <v>30.78</v>
      </c>
      <c r="O659" t="s">
        <v>25</v>
      </c>
      <c r="P659" t="s">
        <v>965</v>
      </c>
      <c r="Q659" t="s">
        <v>20</v>
      </c>
      <c r="R659" t="str">
        <f>HYPERLINK("https://cfpub.epa.gov/ecotox/explore.cfm?ncbi=52670","Explore in ECOTOX")</f>
        <v>Explore in ECOTOX</v>
      </c>
    </row>
    <row r="660" spans="1:18" x14ac:dyDescent="0.25">
      <c r="A660">
        <v>6</v>
      </c>
      <c r="B660" t="str">
        <f>HYPERLINK("http://www.ncbi.nlm.nih.gov/protein/XP_008331219.2","XP_008331219.2")</f>
        <v>XP_008331219.2</v>
      </c>
      <c r="C660">
        <v>39998</v>
      </c>
      <c r="D660" t="str">
        <f>HYPERLINK("http://www.ncbi.nlm.nih.gov/Taxonomy/Browser/wwwtax.cgi?mode=Info&amp;id=244447&amp;lvl=3&amp;lin=f&amp;keep=1&amp;srchmode=1&amp;unlock","244447")</f>
        <v>244447</v>
      </c>
      <c r="E660" t="s">
        <v>384</v>
      </c>
      <c r="F660" t="s">
        <v>384</v>
      </c>
      <c r="G660" t="str">
        <f>HYPERLINK("http://www.ncbi.nlm.nih.gov/Taxonomy/Browser/wwwtax.cgi?mode=Info&amp;id=244447&amp;lvl=3&amp;lin=f&amp;keep=1&amp;srchmode=1&amp;unlock","Cynoglossus semilaevis")</f>
        <v>Cynoglossus semilaevis</v>
      </c>
      <c r="H660" t="s">
        <v>580</v>
      </c>
      <c r="I660" t="str">
        <f>HYPERLINK("http://www.ncbi.nlm.nih.gov/protein/XP_008331219.2","androgen receptor")</f>
        <v>androgen receptor</v>
      </c>
      <c r="J660">
        <v>577.4</v>
      </c>
      <c r="K660" t="s">
        <v>25</v>
      </c>
      <c r="L660">
        <v>157</v>
      </c>
      <c r="M660">
        <v>44.41</v>
      </c>
      <c r="N660">
        <v>30.74</v>
      </c>
      <c r="O660" t="s">
        <v>25</v>
      </c>
      <c r="P660" t="s">
        <v>965</v>
      </c>
      <c r="Q660" t="s">
        <v>20</v>
      </c>
      <c r="R660" t="str">
        <f>HYPERLINK("https://cfpub.epa.gov/ecotox/explore.cfm?ncbi=244447","Explore in ECOTOX")</f>
        <v>Explore in ECOTOX</v>
      </c>
    </row>
    <row r="661" spans="1:18" x14ac:dyDescent="0.25">
      <c r="A661">
        <v>6</v>
      </c>
      <c r="B661" t="str">
        <f>HYPERLINK("http://www.ncbi.nlm.nih.gov/protein/AFQ62062.1","AFQ62062.1")</f>
        <v>AFQ62062.1</v>
      </c>
      <c r="C661">
        <v>357</v>
      </c>
      <c r="D661" t="str">
        <f>HYPERLINK("http://www.ncbi.nlm.nih.gov/Taxonomy/Browser/wwwtax.cgi?mode=Info&amp;id=45438&amp;lvl=3&amp;lin=f&amp;keep=1&amp;srchmode=1&amp;unlock","45438")</f>
        <v>45438</v>
      </c>
      <c r="E661" t="s">
        <v>134</v>
      </c>
      <c r="F661" t="s">
        <v>134</v>
      </c>
      <c r="G661" t="str">
        <f>HYPERLINK("http://www.ncbi.nlm.nih.gov/Taxonomy/Browser/wwwtax.cgi?mode=Info&amp;id=45438&amp;lvl=3&amp;lin=f&amp;keep=1&amp;srchmode=1&amp;unlock","Lithobates sylvaticus")</f>
        <v>Lithobates sylvaticus</v>
      </c>
      <c r="H661" t="s">
        <v>1018</v>
      </c>
      <c r="I661" t="str">
        <f>HYPERLINK("http://www.ncbi.nlm.nih.gov/protein/AFQ62062.1","androgen receptor, partial")</f>
        <v>androgen receptor, partial</v>
      </c>
      <c r="J661">
        <v>577.01</v>
      </c>
      <c r="K661" t="s">
        <v>25</v>
      </c>
      <c r="L661">
        <v>157</v>
      </c>
      <c r="M661">
        <v>44.41</v>
      </c>
      <c r="N661">
        <v>30.72</v>
      </c>
      <c r="O661" t="s">
        <v>20</v>
      </c>
      <c r="P661" t="s">
        <v>965</v>
      </c>
      <c r="Q661" t="s">
        <v>20</v>
      </c>
      <c r="R661" t="str">
        <f>HYPERLINK("https://cfpub.epa.gov/ecotox/explore.cfm?ncbi=45438","Explore in ECOTOX")</f>
        <v>Explore in ECOTOX</v>
      </c>
    </row>
    <row r="662" spans="1:18" x14ac:dyDescent="0.25">
      <c r="A662">
        <v>6</v>
      </c>
      <c r="B662" t="str">
        <f>HYPERLINK("http://www.ncbi.nlm.nih.gov/protein/TWW74919.1","TWW74919.1")</f>
        <v>TWW74919.1</v>
      </c>
      <c r="C662">
        <v>29428</v>
      </c>
      <c r="D662" t="str">
        <f>HYPERLINK("http://www.ncbi.nlm.nih.gov/Taxonomy/Browser/wwwtax.cgi?mode=Info&amp;id=433684&amp;lvl=3&amp;lin=f&amp;keep=1&amp;srchmode=1&amp;unlock","433684")</f>
        <v>433684</v>
      </c>
      <c r="E662" t="s">
        <v>384</v>
      </c>
      <c r="F662" t="s">
        <v>384</v>
      </c>
      <c r="G662" t="str">
        <f>HYPERLINK("http://www.ncbi.nlm.nih.gov/Taxonomy/Browser/wwwtax.cgi?mode=Info&amp;id=433684&amp;lvl=3&amp;lin=f&amp;keep=1&amp;srchmode=1&amp;unlock","Takifugu flavidus")</f>
        <v>Takifugu flavidus</v>
      </c>
      <c r="H662" t="s">
        <v>629</v>
      </c>
      <c r="I662" t="str">
        <f>HYPERLINK("http://www.ncbi.nlm.nih.gov/protein/TWW74919.1","Androgen receptor")</f>
        <v>Androgen receptor</v>
      </c>
      <c r="J662">
        <v>576.63</v>
      </c>
      <c r="K662" t="s">
        <v>25</v>
      </c>
      <c r="L662">
        <v>157</v>
      </c>
      <c r="M662">
        <v>44.41</v>
      </c>
      <c r="N662">
        <v>30.69</v>
      </c>
      <c r="O662" t="s">
        <v>25</v>
      </c>
      <c r="P662" t="s">
        <v>965</v>
      </c>
      <c r="Q662" t="s">
        <v>20</v>
      </c>
      <c r="R662" t="str">
        <f>HYPERLINK("https://cfpub.epa.gov/ecotox/explore.cfm?ncbi=433684","Explore in ECOTOX")</f>
        <v>Explore in ECOTOX</v>
      </c>
    </row>
    <row r="663" spans="1:18" x14ac:dyDescent="0.25">
      <c r="A663">
        <v>6</v>
      </c>
      <c r="B663" t="str">
        <f>HYPERLINK("http://www.ncbi.nlm.nih.gov/protein/ALU58281.1","ALU58281.1")</f>
        <v>ALU58281.1</v>
      </c>
      <c r="C663">
        <v>47885</v>
      </c>
      <c r="D663" t="str">
        <f>HYPERLINK("http://www.ncbi.nlm.nih.gov/Taxonomy/Browser/wwwtax.cgi?mode=Info&amp;id=1234273&amp;lvl=3&amp;lin=f&amp;keep=1&amp;srchmode=1&amp;unlock","1234273")</f>
        <v>1234273</v>
      </c>
      <c r="E663" t="s">
        <v>384</v>
      </c>
      <c r="F663" t="s">
        <v>384</v>
      </c>
      <c r="G663" t="str">
        <f>HYPERLINK("http://www.ncbi.nlm.nih.gov/Taxonomy/Browser/wwwtax.cgi?mode=Info&amp;id=1234273&amp;lvl=3&amp;lin=f&amp;keep=1&amp;srchmode=1&amp;unlock","Tachysurus fulvidraco")</f>
        <v>Tachysurus fulvidraco</v>
      </c>
      <c r="H663" t="s">
        <v>616</v>
      </c>
      <c r="I663" t="str">
        <f>HYPERLINK("http://www.ncbi.nlm.nih.gov/protein/ALU58281.1","androgen receptor, partial")</f>
        <v>androgen receptor, partial</v>
      </c>
      <c r="J663">
        <v>576.24</v>
      </c>
      <c r="K663" t="s">
        <v>25</v>
      </c>
      <c r="L663">
        <v>157</v>
      </c>
      <c r="M663">
        <v>44.41</v>
      </c>
      <c r="N663">
        <v>30.67</v>
      </c>
      <c r="O663" t="s">
        <v>25</v>
      </c>
      <c r="P663" t="s">
        <v>965</v>
      </c>
      <c r="Q663" t="s">
        <v>20</v>
      </c>
      <c r="R663" t="str">
        <f>HYPERLINK("https://cfpub.epa.gov/ecotox/explore.cfm?ncbi=1234273","Explore in ECOTOX")</f>
        <v>Explore in ECOTOX</v>
      </c>
    </row>
    <row r="664" spans="1:18" x14ac:dyDescent="0.25">
      <c r="A664">
        <v>6</v>
      </c>
      <c r="B664" t="str">
        <f>HYPERLINK("http://www.ncbi.nlm.nih.gov/protein/ADD52201.1","ADD52201.1")</f>
        <v>ADD52201.1</v>
      </c>
      <c r="C664">
        <v>334</v>
      </c>
      <c r="D664" t="str">
        <f>HYPERLINK("http://www.ncbi.nlm.nih.gov/Taxonomy/Browser/wwwtax.cgi?mode=Info&amp;id=48668&amp;lvl=3&amp;lin=f&amp;keep=1&amp;srchmode=1&amp;unlock","48668")</f>
        <v>48668</v>
      </c>
      <c r="E664" t="s">
        <v>384</v>
      </c>
      <c r="F664" t="s">
        <v>384</v>
      </c>
      <c r="G664" t="str">
        <f>HYPERLINK("http://www.ncbi.nlm.nih.gov/Taxonomy/Browser/wwwtax.cgi?mode=Info&amp;id=48668&amp;lvl=3&amp;lin=f&amp;keep=1&amp;srchmode=1&amp;unlock","Rutilus rutilus")</f>
        <v>Rutilus rutilus</v>
      </c>
      <c r="H664" t="s">
        <v>1019</v>
      </c>
      <c r="I664" t="str">
        <f>HYPERLINK("http://www.ncbi.nlm.nih.gov/protein/ADD52201.1","androgen receptor, partial")</f>
        <v>androgen receptor, partial</v>
      </c>
      <c r="J664">
        <v>576.24</v>
      </c>
      <c r="K664" t="s">
        <v>25</v>
      </c>
      <c r="L664">
        <v>157</v>
      </c>
      <c r="M664">
        <v>44.41</v>
      </c>
      <c r="N664">
        <v>30.67</v>
      </c>
      <c r="O664" t="s">
        <v>25</v>
      </c>
      <c r="P664" t="s">
        <v>965</v>
      </c>
      <c r="Q664" t="s">
        <v>20</v>
      </c>
      <c r="R664" t="str">
        <f>HYPERLINK("https://cfpub.epa.gov/ecotox/explore.cfm?ncbi=48668","Explore in ECOTOX")</f>
        <v>Explore in ECOTOX</v>
      </c>
    </row>
    <row r="665" spans="1:18" x14ac:dyDescent="0.25">
      <c r="A665">
        <v>6</v>
      </c>
      <c r="B665" t="str">
        <f>HYPERLINK("http://www.ncbi.nlm.nih.gov/protein/XP_009073792.1","XP_009073792.1")</f>
        <v>XP_009073792.1</v>
      </c>
      <c r="C665">
        <v>28094</v>
      </c>
      <c r="D665" t="str">
        <f>HYPERLINK("http://www.ncbi.nlm.nih.gov/Taxonomy/Browser/wwwtax.cgi?mode=Info&amp;id=57068&amp;lvl=3&amp;lin=f&amp;keep=1&amp;srchmode=1&amp;unlock","57068")</f>
        <v>57068</v>
      </c>
      <c r="E665" t="s">
        <v>167</v>
      </c>
      <c r="F665" t="s">
        <v>167</v>
      </c>
      <c r="G665" t="str">
        <f>HYPERLINK("http://www.ncbi.nlm.nih.gov/Taxonomy/Browser/wwwtax.cgi?mode=Info&amp;id=57068&amp;lvl=3&amp;lin=f&amp;keep=1&amp;srchmode=1&amp;unlock","Acanthisitta chloris")</f>
        <v>Acanthisitta chloris</v>
      </c>
      <c r="H665" t="s">
        <v>180</v>
      </c>
      <c r="I665" t="str">
        <f>HYPERLINK("http://www.ncbi.nlm.nih.gov/protein/XP_009073792.1","PREDICTED: androgen receptor")</f>
        <v>PREDICTED: androgen receptor</v>
      </c>
      <c r="J665">
        <v>575.47</v>
      </c>
      <c r="K665" t="s">
        <v>25</v>
      </c>
      <c r="L665">
        <v>157</v>
      </c>
      <c r="M665">
        <v>44.41</v>
      </c>
      <c r="N665">
        <v>30.63</v>
      </c>
      <c r="O665" t="s">
        <v>20</v>
      </c>
      <c r="P665" t="s">
        <v>965</v>
      </c>
      <c r="Q665" t="s">
        <v>20</v>
      </c>
      <c r="R665" t="str">
        <f>HYPERLINK("https://cfpub.epa.gov/ecotox/explore.cfm?ncbi=57068","Explore in ECOTOX")</f>
        <v>Explore in ECOTOX</v>
      </c>
    </row>
    <row r="666" spans="1:18" x14ac:dyDescent="0.25">
      <c r="A666">
        <v>6</v>
      </c>
      <c r="B666" t="str">
        <f>HYPERLINK("http://www.ncbi.nlm.nih.gov/protein/KAF3705889.1","KAF3705889.1")</f>
        <v>KAF3705889.1</v>
      </c>
      <c r="C666">
        <v>22736</v>
      </c>
      <c r="D666" t="str">
        <f>HYPERLINK("http://www.ncbi.nlm.nih.gov/Taxonomy/Browser/wwwtax.cgi?mode=Info&amp;id=215402&amp;lvl=3&amp;lin=f&amp;keep=1&amp;srchmode=1&amp;unlock","215402")</f>
        <v>215402</v>
      </c>
      <c r="E666" t="s">
        <v>384</v>
      </c>
      <c r="F666" t="s">
        <v>384</v>
      </c>
      <c r="G666" t="str">
        <f>HYPERLINK("http://www.ncbi.nlm.nih.gov/Taxonomy/Browser/wwwtax.cgi?mode=Info&amp;id=215402&amp;lvl=3&amp;lin=f&amp;keep=1&amp;srchmode=1&amp;unlock","Channa argus")</f>
        <v>Channa argus</v>
      </c>
      <c r="H666" t="s">
        <v>683</v>
      </c>
      <c r="I666" t="str">
        <f>HYPERLINK("http://www.ncbi.nlm.nih.gov/protein/KAF3705889.1","Androgen receptor Dihydrotestosterone receptor Nuclear receptor subfamily 3 group C member 4")</f>
        <v>Androgen receptor Dihydrotestosterone receptor Nuclear receptor subfamily 3 group C member 4</v>
      </c>
      <c r="J666">
        <v>574.70000000000005</v>
      </c>
      <c r="K666" t="s">
        <v>25</v>
      </c>
      <c r="L666">
        <v>157</v>
      </c>
      <c r="M666">
        <v>44.41</v>
      </c>
      <c r="N666">
        <v>30.59</v>
      </c>
      <c r="O666" t="s">
        <v>25</v>
      </c>
      <c r="P666" t="s">
        <v>965</v>
      </c>
      <c r="Q666" t="s">
        <v>20</v>
      </c>
      <c r="R666" t="str">
        <f>HYPERLINK("https://cfpub.epa.gov/ecotox/explore.cfm?ncbi=215402","Explore in ECOTOX")</f>
        <v>Explore in ECOTOX</v>
      </c>
    </row>
    <row r="667" spans="1:18" x14ac:dyDescent="0.25">
      <c r="A667">
        <v>6</v>
      </c>
      <c r="B667" t="str">
        <f>HYPERLINK("http://www.ncbi.nlm.nih.gov/protein/XP_034156502.1","XP_034156502.1")</f>
        <v>XP_034156502.1</v>
      </c>
      <c r="C667">
        <v>66732</v>
      </c>
      <c r="D667" t="str">
        <f>HYPERLINK("http://www.ncbi.nlm.nih.gov/Taxonomy/Browser/wwwtax.cgi?mode=Info&amp;id=310915&amp;lvl=3&amp;lin=f&amp;keep=1&amp;srchmode=1&amp;unlock","310915")</f>
        <v>310915</v>
      </c>
      <c r="E667" t="s">
        <v>384</v>
      </c>
      <c r="F667" t="s">
        <v>384</v>
      </c>
      <c r="G667" t="str">
        <f>HYPERLINK("http://www.ncbi.nlm.nih.gov/Taxonomy/Browser/wwwtax.cgi?mode=Info&amp;id=310915&amp;lvl=3&amp;lin=f&amp;keep=1&amp;srchmode=1&amp;unlock","Pangasianodon hypophthalmus")</f>
        <v>Pangasianodon hypophthalmus</v>
      </c>
      <c r="H667" t="s">
        <v>562</v>
      </c>
      <c r="I667" t="str">
        <f>HYPERLINK("http://www.ncbi.nlm.nih.gov/protein/XP_034156502.1","LOW QUALITY PROTEIN: androgen receptor")</f>
        <v>LOW QUALITY PROTEIN: androgen receptor</v>
      </c>
      <c r="J667">
        <v>573.92999999999995</v>
      </c>
      <c r="K667" t="s">
        <v>25</v>
      </c>
      <c r="L667">
        <v>157</v>
      </c>
      <c r="M667">
        <v>44.41</v>
      </c>
      <c r="N667">
        <v>30.55</v>
      </c>
      <c r="O667" t="s">
        <v>25</v>
      </c>
      <c r="P667" t="s">
        <v>965</v>
      </c>
      <c r="Q667" t="s">
        <v>20</v>
      </c>
      <c r="R667" t="str">
        <f>HYPERLINK("https://cfpub.epa.gov/ecotox/explore.cfm?ncbi=310915","Explore in ECOTOX")</f>
        <v>Explore in ECOTOX</v>
      </c>
    </row>
    <row r="668" spans="1:18" x14ac:dyDescent="0.25">
      <c r="A668">
        <v>6</v>
      </c>
      <c r="B668" t="str">
        <f>HYPERLINK("http://www.ncbi.nlm.nih.gov/protein/RLW02513.1","RLW02513.1")</f>
        <v>RLW02513.1</v>
      </c>
      <c r="C668">
        <v>19082</v>
      </c>
      <c r="D668" t="str">
        <f>HYPERLINK("http://www.ncbi.nlm.nih.gov/Taxonomy/Browser/wwwtax.cgi?mode=Info&amp;id=44316&amp;lvl=3&amp;lin=f&amp;keep=1&amp;srchmode=1&amp;unlock","44316")</f>
        <v>44316</v>
      </c>
      <c r="E668" t="s">
        <v>167</v>
      </c>
      <c r="F668" t="s">
        <v>167</v>
      </c>
      <c r="G668" t="str">
        <f>HYPERLINK("http://www.ncbi.nlm.nih.gov/Taxonomy/Browser/wwwtax.cgi?mode=Info&amp;id=44316&amp;lvl=3&amp;lin=f&amp;keep=1&amp;srchmode=1&amp;unlock","Chloebia gouldiae")</f>
        <v>Chloebia gouldiae</v>
      </c>
      <c r="H668" t="s">
        <v>461</v>
      </c>
      <c r="I668" t="str">
        <f>HYPERLINK("http://www.ncbi.nlm.nih.gov/protein/RLW02513.1","hypothetical protein DV515_00007180")</f>
        <v>hypothetical protein DV515_00007180</v>
      </c>
      <c r="J668">
        <v>572.78</v>
      </c>
      <c r="K668" t="s">
        <v>25</v>
      </c>
      <c r="L668">
        <v>157</v>
      </c>
      <c r="M668">
        <v>44.41</v>
      </c>
      <c r="N668">
        <v>30.49</v>
      </c>
      <c r="O668" t="s">
        <v>20</v>
      </c>
      <c r="P668" t="s">
        <v>965</v>
      </c>
      <c r="Q668" t="s">
        <v>20</v>
      </c>
      <c r="R668" t="str">
        <f>HYPERLINK("https://cfpub.epa.gov/ecotox/explore.cfm?ncbi=44316","Explore in ECOTOX")</f>
        <v>Explore in ECOTOX</v>
      </c>
    </row>
    <row r="669" spans="1:18" x14ac:dyDescent="0.25">
      <c r="A669">
        <v>6</v>
      </c>
      <c r="B669" t="str">
        <f>HYPERLINK("http://www.ncbi.nlm.nih.gov/protein/XP_029375954.1","XP_029375954.1")</f>
        <v>XP_029375954.1</v>
      </c>
      <c r="C669">
        <v>38279</v>
      </c>
      <c r="D669" t="str">
        <f>HYPERLINK("http://www.ncbi.nlm.nih.gov/Taxonomy/Browser/wwwtax.cgi?mode=Info&amp;id=173247&amp;lvl=3&amp;lin=f&amp;keep=1&amp;srchmode=1&amp;unlock","173247")</f>
        <v>173247</v>
      </c>
      <c r="E669" t="s">
        <v>384</v>
      </c>
      <c r="F669" t="s">
        <v>384</v>
      </c>
      <c r="G669" t="str">
        <f>HYPERLINK("http://www.ncbi.nlm.nih.gov/Taxonomy/Browser/wwwtax.cgi?mode=Info&amp;id=173247&amp;lvl=3&amp;lin=f&amp;keep=1&amp;srchmode=1&amp;unlock","Echeneis naucrates")</f>
        <v>Echeneis naucrates</v>
      </c>
      <c r="H669" t="s">
        <v>588</v>
      </c>
      <c r="I669" t="str">
        <f>HYPERLINK("http://www.ncbi.nlm.nih.gov/protein/XP_029375954.1","androgen receptor")</f>
        <v>androgen receptor</v>
      </c>
      <c r="J669">
        <v>570.08000000000004</v>
      </c>
      <c r="K669" t="s">
        <v>25</v>
      </c>
      <c r="L669">
        <v>157</v>
      </c>
      <c r="M669">
        <v>44.41</v>
      </c>
      <c r="N669">
        <v>30.35</v>
      </c>
      <c r="O669" t="s">
        <v>25</v>
      </c>
      <c r="P669" t="s">
        <v>965</v>
      </c>
      <c r="Q669" t="s">
        <v>20</v>
      </c>
      <c r="R669" t="str">
        <f>HYPERLINK("https://cfpub.epa.gov/ecotox/explore.cfm?ncbi=173247","Explore in ECOTOX")</f>
        <v>Explore in ECOTOX</v>
      </c>
    </row>
    <row r="670" spans="1:18" x14ac:dyDescent="0.25">
      <c r="A670">
        <v>6</v>
      </c>
      <c r="B670" t="str">
        <f>HYPERLINK("http://www.ncbi.nlm.nih.gov/protein/POI27812.1","POI27812.1")</f>
        <v>POI27812.1</v>
      </c>
      <c r="C670">
        <v>18021</v>
      </c>
      <c r="D670" t="str">
        <f>HYPERLINK("http://www.ncbi.nlm.nih.gov/Taxonomy/Browser/wwwtax.cgi?mode=Info&amp;id=9083&amp;lvl=3&amp;lin=f&amp;keep=1&amp;srchmode=1&amp;unlock","9083")</f>
        <v>9083</v>
      </c>
      <c r="E670" t="s">
        <v>167</v>
      </c>
      <c r="F670" t="s">
        <v>167</v>
      </c>
      <c r="G670" t="str">
        <f>HYPERLINK("http://www.ncbi.nlm.nih.gov/Taxonomy/Browser/wwwtax.cgi?mode=Info&amp;id=9083&amp;lvl=3&amp;lin=f&amp;keep=1&amp;srchmode=1&amp;unlock","Bambusicola thoracicus")</f>
        <v>Bambusicola thoracicus</v>
      </c>
      <c r="H670" t="s">
        <v>458</v>
      </c>
      <c r="I670" t="str">
        <f>HYPERLINK("http://www.ncbi.nlm.nih.gov/protein/POI27812.1","hypothetical protein CIB84_008438, partial")</f>
        <v>hypothetical protein CIB84_008438, partial</v>
      </c>
      <c r="J670">
        <v>569.30999999999995</v>
      </c>
      <c r="K670" t="s">
        <v>25</v>
      </c>
      <c r="L670">
        <v>157</v>
      </c>
      <c r="M670">
        <v>44.41</v>
      </c>
      <c r="N670">
        <v>30.31</v>
      </c>
      <c r="O670" t="s">
        <v>20</v>
      </c>
      <c r="P670" t="s">
        <v>965</v>
      </c>
      <c r="Q670" t="s">
        <v>20</v>
      </c>
      <c r="R670" t="str">
        <f>HYPERLINK("https://cfpub.epa.gov/ecotox/explore.cfm?ncbi=9083","Explore in ECOTOX")</f>
        <v>Explore in ECOTOX</v>
      </c>
    </row>
    <row r="671" spans="1:18" x14ac:dyDescent="0.25">
      <c r="A671">
        <v>6</v>
      </c>
      <c r="B671" t="str">
        <f>HYPERLINK("http://www.ncbi.nlm.nih.gov/protein/CAG02975.1","CAG02975.1")</f>
        <v>CAG02975.1</v>
      </c>
      <c r="C671">
        <v>28634</v>
      </c>
      <c r="D671" t="str">
        <f>HYPERLINK("http://www.ncbi.nlm.nih.gov/Taxonomy/Browser/wwwtax.cgi?mode=Info&amp;id=99883&amp;lvl=3&amp;lin=f&amp;keep=1&amp;srchmode=1&amp;unlock","99883")</f>
        <v>99883</v>
      </c>
      <c r="E671" t="s">
        <v>384</v>
      </c>
      <c r="F671" t="s">
        <v>384</v>
      </c>
      <c r="G671" t="str">
        <f>HYPERLINK("http://www.ncbi.nlm.nih.gov/Taxonomy/Browser/wwwtax.cgi?mode=Info&amp;id=99883&amp;lvl=3&amp;lin=f&amp;keep=1&amp;srchmode=1&amp;unlock","Tetraodon nigroviridis")</f>
        <v>Tetraodon nigroviridis</v>
      </c>
      <c r="H671" t="s">
        <v>1020</v>
      </c>
      <c r="I671" t="str">
        <f>HYPERLINK("http://www.ncbi.nlm.nih.gov/protein/CAG02975.1","unnamed protein product, partial")</f>
        <v>unnamed protein product, partial</v>
      </c>
      <c r="J671">
        <v>565.84</v>
      </c>
      <c r="K671" t="s">
        <v>25</v>
      </c>
      <c r="L671">
        <v>157</v>
      </c>
      <c r="M671">
        <v>44.41</v>
      </c>
      <c r="N671">
        <v>30.12</v>
      </c>
      <c r="O671" t="s">
        <v>25</v>
      </c>
      <c r="P671" t="s">
        <v>965</v>
      </c>
      <c r="Q671" t="s">
        <v>20</v>
      </c>
      <c r="R671" t="str">
        <f>HYPERLINK("https://cfpub.epa.gov/ecotox/explore.cfm?ncbi=99883","Explore in ECOTOX")</f>
        <v>Explore in ECOTOX</v>
      </c>
    </row>
    <row r="672" spans="1:18" x14ac:dyDescent="0.25">
      <c r="A672">
        <v>6</v>
      </c>
      <c r="B672" t="str">
        <f>HYPERLINK("http://www.ncbi.nlm.nih.gov/protein/AGL91133.1","AGL91133.1")</f>
        <v>AGL91133.1</v>
      </c>
      <c r="C672">
        <v>339</v>
      </c>
      <c r="D672" t="str">
        <f>HYPERLINK("http://www.ncbi.nlm.nih.gov/Taxonomy/Browser/wwwtax.cgi?mode=Info&amp;id=8164&amp;lvl=3&amp;lin=f&amp;keep=1&amp;srchmode=1&amp;unlock","8164")</f>
        <v>8164</v>
      </c>
      <c r="E672" t="s">
        <v>384</v>
      </c>
      <c r="F672" t="s">
        <v>384</v>
      </c>
      <c r="G672" t="str">
        <f>HYPERLINK("http://www.ncbi.nlm.nih.gov/Taxonomy/Browser/wwwtax.cgi?mode=Info&amp;id=8164&amp;lvl=3&amp;lin=f&amp;keep=1&amp;srchmode=1&amp;unlock","Lateolabrax japonicus")</f>
        <v>Lateolabrax japonicus</v>
      </c>
      <c r="H672" t="s">
        <v>543</v>
      </c>
      <c r="I672" t="str">
        <f>HYPERLINK("http://www.ncbi.nlm.nih.gov/protein/AGL91133.1","nuclear androgen receptor, partial")</f>
        <v>nuclear androgen receptor, partial</v>
      </c>
      <c r="J672">
        <v>554.29</v>
      </c>
      <c r="K672" t="s">
        <v>25</v>
      </c>
      <c r="L672">
        <v>157</v>
      </c>
      <c r="M672">
        <v>44.41</v>
      </c>
      <c r="N672">
        <v>29.51</v>
      </c>
      <c r="O672" t="s">
        <v>25</v>
      </c>
      <c r="P672" t="s">
        <v>965</v>
      </c>
      <c r="Q672" t="s">
        <v>20</v>
      </c>
      <c r="R672" t="str">
        <f>HYPERLINK("https://cfpub.epa.gov/ecotox/explore.cfm?ncbi=8164","Explore in ECOTOX")</f>
        <v>Explore in ECOTOX</v>
      </c>
    </row>
    <row r="673" spans="1:18" x14ac:dyDescent="0.25">
      <c r="A673">
        <v>6</v>
      </c>
      <c r="B673" t="str">
        <f>HYPERLINK("http://www.ncbi.nlm.nih.gov/protein/XP_036436049.1","XP_036436049.1")</f>
        <v>XP_036436049.1</v>
      </c>
      <c r="C673">
        <v>43803</v>
      </c>
      <c r="D673" t="str">
        <f>HYPERLINK("http://www.ncbi.nlm.nih.gov/Taxonomy/Browser/wwwtax.cgi?mode=Info&amp;id=42526&amp;lvl=3&amp;lin=f&amp;keep=1&amp;srchmode=1&amp;unlock","42526")</f>
        <v>42526</v>
      </c>
      <c r="E673" t="s">
        <v>384</v>
      </c>
      <c r="F673" t="s">
        <v>384</v>
      </c>
      <c r="G673" t="str">
        <f>HYPERLINK("http://www.ncbi.nlm.nih.gov/Taxonomy/Browser/wwwtax.cgi?mode=Info&amp;id=42526&amp;lvl=3&amp;lin=f&amp;keep=1&amp;srchmode=1&amp;unlock","Colossoma macropomum")</f>
        <v>Colossoma macropomum</v>
      </c>
      <c r="H673" t="s">
        <v>507</v>
      </c>
      <c r="I673" t="str">
        <f>HYPERLINK("http://www.ncbi.nlm.nih.gov/protein/XP_036436049.1","androgen receptor-like")</f>
        <v>androgen receptor-like</v>
      </c>
      <c r="J673">
        <v>549.66999999999996</v>
      </c>
      <c r="K673" t="s">
        <v>25</v>
      </c>
      <c r="L673">
        <v>157</v>
      </c>
      <c r="M673">
        <v>44.41</v>
      </c>
      <c r="N673">
        <v>29.26</v>
      </c>
      <c r="O673" t="s">
        <v>25</v>
      </c>
      <c r="P673" t="s">
        <v>965</v>
      </c>
      <c r="Q673" t="s">
        <v>20</v>
      </c>
      <c r="R673" t="str">
        <f>HYPERLINK("https://cfpub.epa.gov/ecotox/explore.cfm?ncbi=42526","Explore in ECOTOX")</f>
        <v>Explore in ECOTOX</v>
      </c>
    </row>
    <row r="674" spans="1:18" x14ac:dyDescent="0.25">
      <c r="A674">
        <v>6</v>
      </c>
      <c r="B674" t="str">
        <f>HYPERLINK("http://www.ncbi.nlm.nih.gov/protein/BBG06101.1","BBG06101.1")</f>
        <v>BBG06101.1</v>
      </c>
      <c r="C674">
        <v>183</v>
      </c>
      <c r="D674" t="str">
        <f>HYPERLINK("http://www.ncbi.nlm.nih.gov/Taxonomy/Browser/wwwtax.cgi?mode=Info&amp;id=109274&amp;lvl=3&amp;lin=f&amp;keep=1&amp;srchmode=1&amp;unlock","109274")</f>
        <v>109274</v>
      </c>
      <c r="E674" t="s">
        <v>384</v>
      </c>
      <c r="F674" t="s">
        <v>384</v>
      </c>
      <c r="G674" t="str">
        <f>HYPERLINK("http://www.ncbi.nlm.nih.gov/Taxonomy/Browser/wwwtax.cgi?mode=Info&amp;id=109274&amp;lvl=3&amp;lin=f&amp;keep=1&amp;srchmode=1&amp;unlock","Hippocampus abdominalis")</f>
        <v>Hippocampus abdominalis</v>
      </c>
      <c r="H674" t="s">
        <v>1021</v>
      </c>
      <c r="I674" t="str">
        <f>HYPERLINK("http://www.ncbi.nlm.nih.gov/protein/BBG06101.1","androgen receptor beta")</f>
        <v>androgen receptor beta</v>
      </c>
      <c r="J674">
        <v>546.97</v>
      </c>
      <c r="K674" t="s">
        <v>25</v>
      </c>
      <c r="L674">
        <v>157</v>
      </c>
      <c r="M674">
        <v>44.41</v>
      </c>
      <c r="N674">
        <v>29.12</v>
      </c>
      <c r="O674" t="s">
        <v>25</v>
      </c>
      <c r="P674" t="s">
        <v>965</v>
      </c>
      <c r="Q674" t="s">
        <v>20</v>
      </c>
      <c r="R674" t="str">
        <f>HYPERLINK("https://cfpub.epa.gov/ecotox/explore.cfm?ncbi=109274","Explore in ECOTOX")</f>
        <v>Explore in ECOTOX</v>
      </c>
    </row>
    <row r="675" spans="1:18" x14ac:dyDescent="0.25">
      <c r="A675">
        <v>6</v>
      </c>
      <c r="B675" t="str">
        <f>HYPERLINK("http://www.ncbi.nlm.nih.gov/protein/XP_007892483.1","XP_007892483.1")</f>
        <v>XP_007892483.1</v>
      </c>
      <c r="C675">
        <v>32968</v>
      </c>
      <c r="D675" t="str">
        <f>HYPERLINK("http://www.ncbi.nlm.nih.gov/Taxonomy/Browser/wwwtax.cgi?mode=Info&amp;id=7868&amp;lvl=3&amp;lin=f&amp;keep=1&amp;srchmode=1&amp;unlock","7868")</f>
        <v>7868</v>
      </c>
      <c r="E675" t="s">
        <v>550</v>
      </c>
      <c r="F675" t="s">
        <v>550</v>
      </c>
      <c r="G675" t="str">
        <f>HYPERLINK("http://www.ncbi.nlm.nih.gov/Taxonomy/Browser/wwwtax.cgi?mode=Info&amp;id=7868&amp;lvl=3&amp;lin=f&amp;keep=1&amp;srchmode=1&amp;unlock","Callorhinchus milii")</f>
        <v>Callorhinchus milii</v>
      </c>
      <c r="H675" t="s">
        <v>608</v>
      </c>
      <c r="I675" t="str">
        <f>HYPERLINK("http://www.ncbi.nlm.nih.gov/protein/XP_007892483.1","PREDICTED: androgen receptor isoform X2")</f>
        <v>PREDICTED: androgen receptor isoform X2</v>
      </c>
      <c r="J675">
        <v>546.58000000000004</v>
      </c>
      <c r="K675" t="s">
        <v>25</v>
      </c>
      <c r="L675">
        <v>157</v>
      </c>
      <c r="M675">
        <v>44.41</v>
      </c>
      <c r="N675">
        <v>29.1</v>
      </c>
      <c r="O675" t="s">
        <v>25</v>
      </c>
      <c r="P675" t="s">
        <v>965</v>
      </c>
      <c r="Q675" t="s">
        <v>20</v>
      </c>
      <c r="R675" t="str">
        <f>HYPERLINK("https://cfpub.epa.gov/ecotox/explore.cfm?ncbi=7868","Explore in ECOTOX")</f>
        <v>Explore in ECOTOX</v>
      </c>
    </row>
    <row r="676" spans="1:18" x14ac:dyDescent="0.25">
      <c r="A676">
        <v>6</v>
      </c>
      <c r="B676" t="str">
        <f>HYPERLINK("http://www.ncbi.nlm.nih.gov/protein/XP_019719865.1","XP_019719865.1")</f>
        <v>XP_019719865.1</v>
      </c>
      <c r="C676">
        <v>42023</v>
      </c>
      <c r="D676" t="str">
        <f>HYPERLINK("http://www.ncbi.nlm.nih.gov/Taxonomy/Browser/wwwtax.cgi?mode=Info&amp;id=109280&amp;lvl=3&amp;lin=f&amp;keep=1&amp;srchmode=1&amp;unlock","109280")</f>
        <v>109280</v>
      </c>
      <c r="E676" t="s">
        <v>384</v>
      </c>
      <c r="F676" t="s">
        <v>384</v>
      </c>
      <c r="G676" t="str">
        <f>HYPERLINK("http://www.ncbi.nlm.nih.gov/Taxonomy/Browser/wwwtax.cgi?mode=Info&amp;id=109280&amp;lvl=3&amp;lin=f&amp;keep=1&amp;srchmode=1&amp;unlock","Hippocampus comes")</f>
        <v>Hippocampus comes</v>
      </c>
      <c r="H676" t="s">
        <v>499</v>
      </c>
      <c r="I676" t="str">
        <f>HYPERLINK("http://www.ncbi.nlm.nih.gov/protein/XP_019719865.1","PREDICTED: androgen receptor-like")</f>
        <v>PREDICTED: androgen receptor-like</v>
      </c>
      <c r="J676">
        <v>546.20000000000005</v>
      </c>
      <c r="K676" t="s">
        <v>25</v>
      </c>
      <c r="L676">
        <v>157</v>
      </c>
      <c r="M676">
        <v>44.41</v>
      </c>
      <c r="N676">
        <v>29.07</v>
      </c>
      <c r="O676" t="s">
        <v>25</v>
      </c>
      <c r="P676" t="s">
        <v>965</v>
      </c>
      <c r="Q676" t="s">
        <v>20</v>
      </c>
      <c r="R676" t="str">
        <f>HYPERLINK("https://cfpub.epa.gov/ecotox/explore.cfm?ncbi=109280","Explore in ECOTOX")</f>
        <v>Explore in ECOTOX</v>
      </c>
    </row>
    <row r="677" spans="1:18" x14ac:dyDescent="0.25">
      <c r="A677">
        <v>6</v>
      </c>
      <c r="B677" t="str">
        <f>HYPERLINK("http://www.ncbi.nlm.nih.gov/protein/ABY59993.1","ABY59993.1")</f>
        <v>ABY59993.1</v>
      </c>
      <c r="C677">
        <v>361</v>
      </c>
      <c r="D677" t="str">
        <f>HYPERLINK("http://www.ncbi.nlm.nih.gov/Taxonomy/Browser/wwwtax.cgi?mode=Info&amp;id=8404&amp;lvl=3&amp;lin=f&amp;keep=1&amp;srchmode=1&amp;unlock","8404")</f>
        <v>8404</v>
      </c>
      <c r="E677" t="s">
        <v>134</v>
      </c>
      <c r="F677" t="s">
        <v>134</v>
      </c>
      <c r="G677" t="str">
        <f>HYPERLINK("http://www.ncbi.nlm.nih.gov/Taxonomy/Browser/wwwtax.cgi?mode=Info&amp;id=8404&amp;lvl=3&amp;lin=f&amp;keep=1&amp;srchmode=1&amp;unlock","Lithobates pipiens")</f>
        <v>Lithobates pipiens</v>
      </c>
      <c r="H677" t="s">
        <v>1022</v>
      </c>
      <c r="I677" t="str">
        <f>HYPERLINK("http://www.ncbi.nlm.nih.gov/protein/ABY59993.1","androgen receptor, partial")</f>
        <v>androgen receptor, partial</v>
      </c>
      <c r="J677">
        <v>531.95000000000005</v>
      </c>
      <c r="K677" t="s">
        <v>25</v>
      </c>
      <c r="L677">
        <v>157</v>
      </c>
      <c r="M677">
        <v>44.41</v>
      </c>
      <c r="N677">
        <v>28.32</v>
      </c>
      <c r="O677" t="s">
        <v>20</v>
      </c>
      <c r="P677" t="s">
        <v>965</v>
      </c>
      <c r="Q677" t="s">
        <v>20</v>
      </c>
      <c r="R677" t="str">
        <f>HYPERLINK("https://cfpub.epa.gov/ecotox/explore.cfm?ncbi=8404","Explore in ECOTOX")</f>
        <v>Explore in ECOTOX</v>
      </c>
    </row>
    <row r="678" spans="1:18" x14ac:dyDescent="0.25">
      <c r="A678">
        <v>6</v>
      </c>
      <c r="B678" t="str">
        <f>HYPERLINK("http://www.ncbi.nlm.nih.gov/protein/XP_037124887.1","XP_037124887.1")</f>
        <v>XP_037124887.1</v>
      </c>
      <c r="C678">
        <v>41996</v>
      </c>
      <c r="D678" t="str">
        <f>HYPERLINK("http://www.ncbi.nlm.nih.gov/Taxonomy/Browser/wwwtax.cgi?mode=Info&amp;id=161584&amp;lvl=3&amp;lin=f&amp;keep=1&amp;srchmode=1&amp;unlock","161584")</f>
        <v>161584</v>
      </c>
      <c r="E678" t="s">
        <v>384</v>
      </c>
      <c r="F678" t="s">
        <v>384</v>
      </c>
      <c r="G678" t="str">
        <f>HYPERLINK("http://www.ncbi.nlm.nih.gov/Taxonomy/Browser/wwwtax.cgi?mode=Info&amp;id=161584&amp;lvl=3&amp;lin=f&amp;keep=1&amp;srchmode=1&amp;unlock","Syngnathus acus")</f>
        <v>Syngnathus acus</v>
      </c>
      <c r="H678" t="s">
        <v>530</v>
      </c>
      <c r="I678" t="str">
        <f>HYPERLINK("http://www.ncbi.nlm.nih.gov/protein/XP_037124887.1","androgen receptor-like")</f>
        <v>androgen receptor-like</v>
      </c>
      <c r="J678">
        <v>520.78</v>
      </c>
      <c r="K678" t="s">
        <v>25</v>
      </c>
      <c r="L678">
        <v>157</v>
      </c>
      <c r="M678">
        <v>44.41</v>
      </c>
      <c r="N678">
        <v>27.72</v>
      </c>
      <c r="O678" t="s">
        <v>25</v>
      </c>
      <c r="P678" t="s">
        <v>965</v>
      </c>
      <c r="Q678" t="s">
        <v>20</v>
      </c>
      <c r="R678" t="str">
        <f>HYPERLINK("https://cfpub.epa.gov/ecotox/explore.cfm?ncbi=161584","Explore in ECOTOX")</f>
        <v>Explore in ECOTOX</v>
      </c>
    </row>
    <row r="679" spans="1:18" x14ac:dyDescent="0.25">
      <c r="A679">
        <v>6</v>
      </c>
      <c r="B679" t="str">
        <f>HYPERLINK("http://www.ncbi.nlm.nih.gov/protein/KAF7689023.1","KAF7689023.1")</f>
        <v>KAF7689023.1</v>
      </c>
      <c r="C679">
        <v>22862</v>
      </c>
      <c r="D679" t="str">
        <f>HYPERLINK("http://www.ncbi.nlm.nih.gov/Taxonomy/Browser/wwwtax.cgi?mode=Info&amp;id=175797&amp;lvl=3&amp;lin=f&amp;keep=1&amp;srchmode=1&amp;unlock","175797")</f>
        <v>175797</v>
      </c>
      <c r="E679" t="s">
        <v>384</v>
      </c>
      <c r="F679" t="s">
        <v>384</v>
      </c>
      <c r="G679" t="str">
        <f>HYPERLINK("http://www.ncbi.nlm.nih.gov/Taxonomy/Browser/wwwtax.cgi?mode=Info&amp;id=175797&amp;lvl=3&amp;lin=f&amp;keep=1&amp;srchmode=1&amp;unlock","Silurus meridionalis")</f>
        <v>Silurus meridionalis</v>
      </c>
      <c r="H679" t="s">
        <v>602</v>
      </c>
      <c r="I679" t="str">
        <f>HYPERLINK("http://www.ncbi.nlm.nih.gov/protein/KAF7689023.1","hypothetical protein HF521_013830")</f>
        <v>hypothetical protein HF521_013830</v>
      </c>
      <c r="J679">
        <v>518.08000000000004</v>
      </c>
      <c r="K679" t="s">
        <v>25</v>
      </c>
      <c r="L679">
        <v>157</v>
      </c>
      <c r="M679">
        <v>44.41</v>
      </c>
      <c r="N679">
        <v>27.58</v>
      </c>
      <c r="O679" t="s">
        <v>25</v>
      </c>
      <c r="P679" t="s">
        <v>965</v>
      </c>
      <c r="Q679" t="s">
        <v>20</v>
      </c>
      <c r="R679" t="str">
        <f>HYPERLINK("https://cfpub.epa.gov/ecotox/explore.cfm?ncbi=175797","Explore in ECOTOX")</f>
        <v>Explore in ECOTOX</v>
      </c>
    </row>
    <row r="680" spans="1:18" x14ac:dyDescent="0.25">
      <c r="A680">
        <v>6</v>
      </c>
      <c r="B680" t="str">
        <f>HYPERLINK("http://www.ncbi.nlm.nih.gov/protein/ALN70155.1","ALN70155.1")</f>
        <v>ALN70155.1</v>
      </c>
      <c r="C680">
        <v>281</v>
      </c>
      <c r="D680" t="str">
        <f>HYPERLINK("http://www.ncbi.nlm.nih.gov/Taxonomy/Browser/wwwtax.cgi?mode=Info&amp;id=7892&amp;lvl=3&amp;lin=f&amp;keep=1&amp;srchmode=1&amp;unlock","7892")</f>
        <v>7892</v>
      </c>
      <c r="E680" t="s">
        <v>687</v>
      </c>
      <c r="F680" t="s">
        <v>687</v>
      </c>
      <c r="G680" t="str">
        <f>HYPERLINK("http://www.ncbi.nlm.nih.gov/Taxonomy/Browser/wwwtax.cgi?mode=Info&amp;id=7892&amp;lvl=3&amp;lin=f&amp;keep=1&amp;srchmode=1&amp;unlock","Neoceratodus forsteri")</f>
        <v>Neoceratodus forsteri</v>
      </c>
      <c r="H680" t="s">
        <v>1023</v>
      </c>
      <c r="I680" t="str">
        <f>HYPERLINK("http://www.ncbi.nlm.nih.gov/protein/ALN70155.1","androgen receptor, partial")</f>
        <v>androgen receptor, partial</v>
      </c>
      <c r="J680">
        <v>503.44</v>
      </c>
      <c r="K680" t="s">
        <v>25</v>
      </c>
      <c r="L680">
        <v>157</v>
      </c>
      <c r="M680">
        <v>44.41</v>
      </c>
      <c r="N680">
        <v>26.8</v>
      </c>
      <c r="O680" t="s">
        <v>25</v>
      </c>
      <c r="P680" t="s">
        <v>965</v>
      </c>
      <c r="Q680" t="s">
        <v>20</v>
      </c>
      <c r="R680" t="str">
        <f>HYPERLINK("https://cfpub.epa.gov/ecotox/explore.cfm?ncbi=7892","Explore in ECOTOX")</f>
        <v>Explore in ECOTOX</v>
      </c>
    </row>
    <row r="681" spans="1:18" x14ac:dyDescent="0.25">
      <c r="A681">
        <v>6</v>
      </c>
      <c r="B681" t="str">
        <f>HYPERLINK("http://www.ncbi.nlm.nih.gov/protein/MBN3284675.1","MBN3284675.1")</f>
        <v>MBN3284675.1</v>
      </c>
      <c r="C681">
        <v>18732</v>
      </c>
      <c r="D681" t="str">
        <f>HYPERLINK("http://www.ncbi.nlm.nih.gov/Taxonomy/Browser/wwwtax.cgi?mode=Info&amp;id=7913&amp;lvl=3&amp;lin=f&amp;keep=1&amp;srchmode=1&amp;unlock","7913")</f>
        <v>7913</v>
      </c>
      <c r="E681" t="s">
        <v>384</v>
      </c>
      <c r="F681" t="s">
        <v>384</v>
      </c>
      <c r="G681" t="str">
        <f>HYPERLINK("http://www.ncbi.nlm.nih.gov/Taxonomy/Browser/wwwtax.cgi?mode=Info&amp;id=7913&amp;lvl=3&amp;lin=f&amp;keep=1&amp;srchmode=1&amp;unlock","Polyodon spathula")</f>
        <v>Polyodon spathula</v>
      </c>
      <c r="H681" t="s">
        <v>694</v>
      </c>
      <c r="I681" t="str">
        <f>HYPERLINK("http://www.ncbi.nlm.nih.gov/protein/MBN3284675.1","ANDR protein")</f>
        <v>ANDR protein</v>
      </c>
      <c r="J681">
        <v>492.66</v>
      </c>
      <c r="K681" t="s">
        <v>25</v>
      </c>
      <c r="L681">
        <v>157</v>
      </c>
      <c r="M681">
        <v>44.41</v>
      </c>
      <c r="N681">
        <v>26.22</v>
      </c>
      <c r="O681" t="s">
        <v>25</v>
      </c>
      <c r="P681" t="s">
        <v>965</v>
      </c>
      <c r="Q681" t="s">
        <v>20</v>
      </c>
      <c r="R681" t="str">
        <f>HYPERLINK("https://cfpub.epa.gov/ecotox/explore.cfm?ncbi=7913","Explore in ECOTOX")</f>
        <v>Explore in ECOTOX</v>
      </c>
    </row>
    <row r="682" spans="1:18" x14ac:dyDescent="0.25">
      <c r="A682">
        <v>6</v>
      </c>
      <c r="B682" t="str">
        <f>HYPERLINK("http://www.ncbi.nlm.nih.gov/protein/BAI58986.1","BAI58986.1")</f>
        <v>BAI58986.1</v>
      </c>
      <c r="C682">
        <v>119</v>
      </c>
      <c r="D682" t="str">
        <f>HYPERLINK("http://www.ncbi.nlm.nih.gov/Taxonomy/Browser/wwwtax.cgi?mode=Info&amp;id=109271&amp;lvl=3&amp;lin=f&amp;keep=1&amp;srchmode=1&amp;unlock","109271")</f>
        <v>109271</v>
      </c>
      <c r="E682" t="s">
        <v>384</v>
      </c>
      <c r="F682" t="s">
        <v>384</v>
      </c>
      <c r="G682" t="str">
        <f>HYPERLINK("http://www.ncbi.nlm.nih.gov/Taxonomy/Browser/wwwtax.cgi?mode=Info&amp;id=109271&amp;lvl=3&amp;lin=f&amp;keep=1&amp;srchmode=1&amp;unlock","Osteoglossum bicirrhosum")</f>
        <v>Osteoglossum bicirrhosum</v>
      </c>
      <c r="H682" t="s">
        <v>1024</v>
      </c>
      <c r="I682" t="str">
        <f>HYPERLINK("http://www.ncbi.nlm.nih.gov/protein/BAI58986.1","androgen receptor beta, partial")</f>
        <v>androgen receptor beta, partial</v>
      </c>
      <c r="J682">
        <v>490.73</v>
      </c>
      <c r="K682" t="s">
        <v>25</v>
      </c>
      <c r="L682">
        <v>157</v>
      </c>
      <c r="M682">
        <v>44.41</v>
      </c>
      <c r="N682">
        <v>26.12</v>
      </c>
      <c r="O682" t="s">
        <v>25</v>
      </c>
      <c r="P682" t="s">
        <v>965</v>
      </c>
      <c r="Q682" t="s">
        <v>20</v>
      </c>
      <c r="R682" t="str">
        <f>HYPERLINK("https://cfpub.epa.gov/ecotox/explore.cfm?ncbi=109271","Explore in ECOTOX")</f>
        <v>Explore in ECOTOX</v>
      </c>
    </row>
    <row r="683" spans="1:18" x14ac:dyDescent="0.25">
      <c r="A683">
        <v>6</v>
      </c>
      <c r="B683" t="str">
        <f>HYPERLINK("http://www.ncbi.nlm.nih.gov/protein/GCB67008.1","GCB67008.1")</f>
        <v>GCB67008.1</v>
      </c>
      <c r="C683">
        <v>27748</v>
      </c>
      <c r="D683" t="str">
        <f>HYPERLINK("http://www.ncbi.nlm.nih.gov/Taxonomy/Browser/wwwtax.cgi?mode=Info&amp;id=75743&amp;lvl=3&amp;lin=f&amp;keep=1&amp;srchmode=1&amp;unlock","75743")</f>
        <v>75743</v>
      </c>
      <c r="E683" t="s">
        <v>550</v>
      </c>
      <c r="F683" t="s">
        <v>550</v>
      </c>
      <c r="G683" t="str">
        <f>HYPERLINK("http://www.ncbi.nlm.nih.gov/Taxonomy/Browser/wwwtax.cgi?mode=Info&amp;id=75743&amp;lvl=3&amp;lin=f&amp;keep=1&amp;srchmode=1&amp;unlock","Scyliorhinus torazame")</f>
        <v>Scyliorhinus torazame</v>
      </c>
      <c r="H683" t="s">
        <v>636</v>
      </c>
      <c r="I683" t="str">
        <f>HYPERLINK("http://www.ncbi.nlm.nih.gov/protein/GCB67008.1","hypothetical protein")</f>
        <v>hypothetical protein</v>
      </c>
      <c r="J683">
        <v>479.94</v>
      </c>
      <c r="K683" t="s">
        <v>25</v>
      </c>
      <c r="L683">
        <v>157</v>
      </c>
      <c r="M683">
        <v>44.41</v>
      </c>
      <c r="N683">
        <v>25.55</v>
      </c>
      <c r="O683" t="s">
        <v>25</v>
      </c>
      <c r="P683" t="s">
        <v>965</v>
      </c>
      <c r="Q683" t="s">
        <v>20</v>
      </c>
      <c r="R683" t="str">
        <f>HYPERLINK("https://cfpub.epa.gov/ecotox/explore.cfm?ncbi=75743","Explore in ECOTOX")</f>
        <v>Explore in ECOTOX</v>
      </c>
    </row>
    <row r="684" spans="1:18" x14ac:dyDescent="0.25">
      <c r="A684">
        <v>6</v>
      </c>
      <c r="B684" t="str">
        <f>HYPERLINK("http://www.ncbi.nlm.nih.gov/protein/AAY41828.1","AAY41828.1")</f>
        <v>AAY41828.1</v>
      </c>
      <c r="C684">
        <v>17</v>
      </c>
      <c r="D684" t="str">
        <f>HYPERLINK("http://www.ncbi.nlm.nih.gov/Taxonomy/Browser/wwwtax.cgi?mode=Info&amp;id=328808&amp;lvl=3&amp;lin=f&amp;keep=1&amp;srchmode=1&amp;unlock","328808")</f>
        <v>328808</v>
      </c>
      <c r="E684" t="s">
        <v>167</v>
      </c>
      <c r="F684" t="s">
        <v>167</v>
      </c>
      <c r="G684" t="str">
        <f>HYPERLINK("http://www.ncbi.nlm.nih.gov/Taxonomy/Browser/wwwtax.cgi?mode=Info&amp;id=328808&amp;lvl=3&amp;lin=f&amp;keep=1&amp;srchmode=1&amp;unlock","Streptopelia risoria")</f>
        <v>Streptopelia risoria</v>
      </c>
      <c r="H684" t="s">
        <v>1025</v>
      </c>
      <c r="I684" t="str">
        <f>HYPERLINK("http://www.ncbi.nlm.nih.gov/protein/AAY41828.1","androgen receptor, partial")</f>
        <v>androgen receptor, partial</v>
      </c>
      <c r="J684">
        <v>475.32</v>
      </c>
      <c r="K684" t="s">
        <v>25</v>
      </c>
      <c r="L684">
        <v>157</v>
      </c>
      <c r="M684">
        <v>44.41</v>
      </c>
      <c r="N684">
        <v>25.3</v>
      </c>
      <c r="O684" t="s">
        <v>20</v>
      </c>
      <c r="P684" t="s">
        <v>965</v>
      </c>
      <c r="Q684" t="s">
        <v>20</v>
      </c>
      <c r="R684" t="str">
        <f>HYPERLINK("https://cfpub.epa.gov/ecotox/explore.cfm?ncbi=328808","Explore in ECOTOX")</f>
        <v>Explore in ECOTOX</v>
      </c>
    </row>
    <row r="685" spans="1:18" x14ac:dyDescent="0.25">
      <c r="A685">
        <v>6</v>
      </c>
      <c r="B685" t="str">
        <f>HYPERLINK("http://www.ncbi.nlm.nih.gov/protein/XP_020022192.1","XP_020022192.1")</f>
        <v>XP_020022192.1</v>
      </c>
      <c r="C685">
        <v>37573</v>
      </c>
      <c r="D685" t="str">
        <f>HYPERLINK("http://www.ncbi.nlm.nih.gov/Taxonomy/Browser/wwwtax.cgi?mode=Info&amp;id=51338&amp;lvl=3&amp;lin=f&amp;keep=1&amp;srchmode=1&amp;unlock","51338")</f>
        <v>51338</v>
      </c>
      <c r="E685" t="s">
        <v>18</v>
      </c>
      <c r="F685" t="s">
        <v>18</v>
      </c>
      <c r="G685" t="str">
        <f>HYPERLINK("http://www.ncbi.nlm.nih.gov/Taxonomy/Browser/wwwtax.cgi?mode=Info&amp;id=51338&amp;lvl=3&amp;lin=f&amp;keep=1&amp;srchmode=1&amp;unlock","Castor canadensis")</f>
        <v>Castor canadensis</v>
      </c>
      <c r="H685" t="s">
        <v>416</v>
      </c>
      <c r="I685" t="str">
        <f>HYPERLINK("http://www.ncbi.nlm.nih.gov/protein/XP_020022192.1","progesterone receptor isoform X1")</f>
        <v>progesterone receptor isoform X1</v>
      </c>
      <c r="J685">
        <v>464.54</v>
      </c>
      <c r="K685" t="s">
        <v>25</v>
      </c>
      <c r="L685">
        <v>157</v>
      </c>
      <c r="M685">
        <v>44.41</v>
      </c>
      <c r="N685">
        <v>24.73</v>
      </c>
      <c r="O685" t="s">
        <v>20</v>
      </c>
      <c r="P685" t="s">
        <v>965</v>
      </c>
      <c r="Q685" t="s">
        <v>20</v>
      </c>
      <c r="R685" t="str">
        <f>HYPERLINK("https://cfpub.epa.gov/ecotox/explore.cfm?ncbi=51338","Explore in ECOTOX")</f>
        <v>Explore in ECOTOX</v>
      </c>
    </row>
    <row r="686" spans="1:18" x14ac:dyDescent="0.25">
      <c r="A686">
        <v>6</v>
      </c>
      <c r="B686" t="str">
        <f>HYPERLINK("http://www.ncbi.nlm.nih.gov/protein/A7X8C2.1","A7X8C2.1")</f>
        <v>A7X8C2.1</v>
      </c>
      <c r="C686">
        <v>562</v>
      </c>
      <c r="D686" t="str">
        <f>HYPERLINK("http://www.ncbi.nlm.nih.gov/Taxonomy/Browser/wwwtax.cgi?mode=Info&amp;id=9580&amp;lvl=3&amp;lin=f&amp;keep=1&amp;srchmode=1&amp;unlock","9580")</f>
        <v>9580</v>
      </c>
      <c r="E686" t="s">
        <v>18</v>
      </c>
      <c r="F686" t="s">
        <v>18</v>
      </c>
      <c r="G686" t="str">
        <f>HYPERLINK("http://www.ncbi.nlm.nih.gov/Taxonomy/Browser/wwwtax.cgi?mode=Info&amp;id=9580&amp;lvl=3&amp;lin=f&amp;keep=1&amp;srchmode=1&amp;unlock","Hylobates lar")</f>
        <v>Hylobates lar</v>
      </c>
      <c r="H686" t="s">
        <v>1026</v>
      </c>
      <c r="I686" t="str">
        <f>HYPERLINK("http://www.ncbi.nlm.nih.gov/protein/A7X8C2.1","RecName: Full=Progesterone receptor; Short=PR; AltName: Full=Nuclear receptor subfamily 3 group C member 3")</f>
        <v>RecName: Full=Progesterone receptor; Short=PR; AltName: Full=Nuclear receptor subfamily 3 group C member 3</v>
      </c>
      <c r="J686">
        <v>463.77</v>
      </c>
      <c r="K686" t="s">
        <v>25</v>
      </c>
      <c r="L686">
        <v>157</v>
      </c>
      <c r="M686">
        <v>44.41</v>
      </c>
      <c r="N686">
        <v>24.69</v>
      </c>
      <c r="O686" t="s">
        <v>20</v>
      </c>
      <c r="P686" t="s">
        <v>965</v>
      </c>
      <c r="Q686" t="s">
        <v>20</v>
      </c>
      <c r="R686" t="str">
        <f>HYPERLINK("https://cfpub.epa.gov/ecotox/explore.cfm?ncbi=9580","Explore in ECOTOX")</f>
        <v>Explore in ECOTOX</v>
      </c>
    </row>
    <row r="687" spans="1:18" x14ac:dyDescent="0.25">
      <c r="A687">
        <v>6</v>
      </c>
      <c r="B687" t="str">
        <f>HYPERLINK("http://www.ncbi.nlm.nih.gov/protein/A7X8C4.1","A7X8C4.1")</f>
        <v>A7X8C4.1</v>
      </c>
      <c r="C687">
        <v>126</v>
      </c>
      <c r="D687" t="str">
        <f>HYPERLINK("http://www.ncbi.nlm.nih.gov/Taxonomy/Browser/wwwtax.cgi?mode=Info&amp;id=9546&amp;lvl=3&amp;lin=f&amp;keep=1&amp;srchmode=1&amp;unlock","9546")</f>
        <v>9546</v>
      </c>
      <c r="E687" t="s">
        <v>18</v>
      </c>
      <c r="F687" t="s">
        <v>18</v>
      </c>
      <c r="G687" t="str">
        <f>HYPERLINK("http://www.ncbi.nlm.nih.gov/Taxonomy/Browser/wwwtax.cgi?mode=Info&amp;id=9546&amp;lvl=3&amp;lin=f&amp;keep=1&amp;srchmode=1&amp;unlock","Macaca sylvanus")</f>
        <v>Macaca sylvanus</v>
      </c>
      <c r="H687" t="s">
        <v>1027</v>
      </c>
      <c r="I687" t="str">
        <f>HYPERLINK("http://www.ncbi.nlm.nih.gov/protein/A7X8C4.1","RecName: Full=Progesterone receptor; Short=PR; AltName: Full=Nuclear receptor subfamily 3 group C member 3")</f>
        <v>RecName: Full=Progesterone receptor; Short=PR; AltName: Full=Nuclear receptor subfamily 3 group C member 3</v>
      </c>
      <c r="J687">
        <v>463.38</v>
      </c>
      <c r="K687" t="s">
        <v>25</v>
      </c>
      <c r="L687">
        <v>157</v>
      </c>
      <c r="M687">
        <v>44.41</v>
      </c>
      <c r="N687">
        <v>24.67</v>
      </c>
      <c r="O687" t="s">
        <v>20</v>
      </c>
      <c r="P687" t="s">
        <v>965</v>
      </c>
      <c r="Q687" t="s">
        <v>20</v>
      </c>
      <c r="R687" t="str">
        <f>HYPERLINK("https://cfpub.epa.gov/ecotox/explore.cfm?ncbi=9546","Explore in ECOTOX")</f>
        <v>Explore in ECOTOX</v>
      </c>
    </row>
    <row r="688" spans="1:18" x14ac:dyDescent="0.25">
      <c r="A688">
        <v>6</v>
      </c>
      <c r="B688" t="str">
        <f>HYPERLINK("http://www.ncbi.nlm.nih.gov/protein/A7X8B9.1","A7X8B9.1")</f>
        <v>A7X8B9.1</v>
      </c>
      <c r="C688">
        <v>1609</v>
      </c>
      <c r="D688" t="str">
        <f>HYPERLINK("http://www.ncbi.nlm.nih.gov/Taxonomy/Browser/wwwtax.cgi?mode=Info&amp;id=9600&amp;lvl=3&amp;lin=f&amp;keep=1&amp;srchmode=1&amp;unlock","9600")</f>
        <v>9600</v>
      </c>
      <c r="E688" t="s">
        <v>18</v>
      </c>
      <c r="F688" t="s">
        <v>18</v>
      </c>
      <c r="G688" t="str">
        <f>HYPERLINK("http://www.ncbi.nlm.nih.gov/Taxonomy/Browser/wwwtax.cgi?mode=Info&amp;id=9600&amp;lvl=3&amp;lin=f&amp;keep=1&amp;srchmode=1&amp;unlock","Pongo pygmaeus")</f>
        <v>Pongo pygmaeus</v>
      </c>
      <c r="H688" t="s">
        <v>1028</v>
      </c>
      <c r="I688" t="str">
        <f>HYPERLINK("http://www.ncbi.nlm.nih.gov/protein/A7X8B9.1","RecName: Full=Progesterone receptor; Short=PR; AltName: Full=Nuclear receptor subfamily 3 group C member 3")</f>
        <v>RecName: Full=Progesterone receptor; Short=PR; AltName: Full=Nuclear receptor subfamily 3 group C member 3</v>
      </c>
      <c r="J688">
        <v>463.38</v>
      </c>
      <c r="K688" t="s">
        <v>25</v>
      </c>
      <c r="L688">
        <v>157</v>
      </c>
      <c r="M688">
        <v>44.41</v>
      </c>
      <c r="N688">
        <v>24.67</v>
      </c>
      <c r="O688" t="s">
        <v>20</v>
      </c>
      <c r="P688" t="s">
        <v>965</v>
      </c>
      <c r="Q688" t="s">
        <v>20</v>
      </c>
      <c r="R688" t="str">
        <f>HYPERLINK("https://cfpub.epa.gov/ecotox/explore.cfm?ncbi=9600","Explore in ECOTOX")</f>
        <v>Explore in ECOTOX</v>
      </c>
    </row>
    <row r="689" spans="1:18" x14ac:dyDescent="0.25">
      <c r="A689">
        <v>6</v>
      </c>
      <c r="B689" t="str">
        <f>HYPERLINK("http://www.ncbi.nlm.nih.gov/protein/ABB72142.1","ABB72142.1")</f>
        <v>ABB72142.1</v>
      </c>
      <c r="C689">
        <v>1708</v>
      </c>
      <c r="D689" t="str">
        <f>HYPERLINK("http://www.ncbi.nlm.nih.gov/Taxonomy/Browser/wwwtax.cgi?mode=Info&amp;id=9593&amp;lvl=3&amp;lin=f&amp;keep=1&amp;srchmode=1&amp;unlock","9593")</f>
        <v>9593</v>
      </c>
      <c r="E689" t="s">
        <v>18</v>
      </c>
      <c r="F689" t="s">
        <v>18</v>
      </c>
      <c r="G689" t="str">
        <f>HYPERLINK("http://www.ncbi.nlm.nih.gov/Taxonomy/Browser/wwwtax.cgi?mode=Info&amp;id=9593&amp;lvl=3&amp;lin=f&amp;keep=1&amp;srchmode=1&amp;unlock","Gorilla gorilla")</f>
        <v>Gorilla gorilla</v>
      </c>
      <c r="H689" t="s">
        <v>1029</v>
      </c>
      <c r="I689" t="str">
        <f>HYPERLINK("http://www.ncbi.nlm.nih.gov/protein/ABB72142.1","progesterone receptor")</f>
        <v>progesterone receptor</v>
      </c>
      <c r="J689">
        <v>463.38</v>
      </c>
      <c r="K689" t="s">
        <v>25</v>
      </c>
      <c r="L689">
        <v>157</v>
      </c>
      <c r="M689">
        <v>44.41</v>
      </c>
      <c r="N689">
        <v>24.67</v>
      </c>
      <c r="O689" t="s">
        <v>20</v>
      </c>
      <c r="P689" t="s">
        <v>965</v>
      </c>
      <c r="Q689" t="s">
        <v>20</v>
      </c>
      <c r="R689" t="str">
        <f>HYPERLINK("https://cfpub.epa.gov/ecotox/explore.cfm?ncbi=9593","Explore in ECOTOX")</f>
        <v>Explore in ECOTOX</v>
      </c>
    </row>
    <row r="690" spans="1:18" x14ac:dyDescent="0.25">
      <c r="A690">
        <v>6</v>
      </c>
      <c r="B690" t="str">
        <f>HYPERLINK("http://www.ncbi.nlm.nih.gov/protein/A7X8C9.1","A7X8C9.1")</f>
        <v>A7X8C9.1</v>
      </c>
      <c r="C690">
        <v>928</v>
      </c>
      <c r="D690" t="str">
        <f>HYPERLINK("http://www.ncbi.nlm.nih.gov/Taxonomy/Browser/wwwtax.cgi?mode=Info&amp;id=9534&amp;lvl=3&amp;lin=f&amp;keep=1&amp;srchmode=1&amp;unlock","9534")</f>
        <v>9534</v>
      </c>
      <c r="E690" t="s">
        <v>18</v>
      </c>
      <c r="F690" t="s">
        <v>18</v>
      </c>
      <c r="G690" t="str">
        <f>HYPERLINK("http://www.ncbi.nlm.nih.gov/Taxonomy/Browser/wwwtax.cgi?mode=Info&amp;id=9534&amp;lvl=3&amp;lin=f&amp;keep=1&amp;srchmode=1&amp;unlock","Chlorocebus aethiops")</f>
        <v>Chlorocebus aethiops</v>
      </c>
      <c r="H690" t="s">
        <v>1030</v>
      </c>
      <c r="I690" t="str">
        <f>HYPERLINK("http://www.ncbi.nlm.nih.gov/protein/A7X8C9.1","RecName: Full=Progesterone receptor; Short=PR; AltName: Full=Nuclear receptor subfamily 3 group C member 3")</f>
        <v>RecName: Full=Progesterone receptor; Short=PR; AltName: Full=Nuclear receptor subfamily 3 group C member 3</v>
      </c>
      <c r="J690">
        <v>462.61</v>
      </c>
      <c r="K690" t="s">
        <v>25</v>
      </c>
      <c r="L690">
        <v>157</v>
      </c>
      <c r="M690">
        <v>44.41</v>
      </c>
      <c r="N690">
        <v>24.63</v>
      </c>
      <c r="O690" t="s">
        <v>20</v>
      </c>
      <c r="P690" t="s">
        <v>965</v>
      </c>
      <c r="Q690" t="s">
        <v>20</v>
      </c>
      <c r="R690" t="str">
        <f>HYPERLINK("https://cfpub.epa.gov/ecotox/explore.cfm?ncbi=9534","Explore in ECOTOX")</f>
        <v>Explore in ECOTOX</v>
      </c>
    </row>
    <row r="691" spans="1:18" x14ac:dyDescent="0.25">
      <c r="A691">
        <v>6</v>
      </c>
      <c r="B691" t="str">
        <f>HYPERLINK("http://www.ncbi.nlm.nih.gov/protein/ASA40269.1","ASA40269.1")</f>
        <v>ASA40269.1</v>
      </c>
      <c r="C691">
        <v>251</v>
      </c>
      <c r="D691" t="str">
        <f>HYPERLINK("http://www.ncbi.nlm.nih.gov/Taxonomy/Browser/wwwtax.cgi?mode=Info&amp;id=304456&amp;lvl=3&amp;lin=f&amp;keep=1&amp;srchmode=1&amp;unlock","304456")</f>
        <v>304456</v>
      </c>
      <c r="E691" t="s">
        <v>384</v>
      </c>
      <c r="F691" t="s">
        <v>384</v>
      </c>
      <c r="G691" t="str">
        <f>HYPERLINK("http://www.ncbi.nlm.nih.gov/Taxonomy/Browser/wwwtax.cgi?mode=Info&amp;id=304456&amp;lvl=3&amp;lin=f&amp;keep=1&amp;srchmode=1&amp;unlock","Channa punctata")</f>
        <v>Channa punctata</v>
      </c>
      <c r="H691" t="s">
        <v>1031</v>
      </c>
      <c r="I691" t="str">
        <f>HYPERLINK("http://www.ncbi.nlm.nih.gov/protein/ASA40269.1","androgen receptor beta, partial")</f>
        <v>androgen receptor beta, partial</v>
      </c>
      <c r="J691">
        <v>461.45</v>
      </c>
      <c r="K691" t="s">
        <v>25</v>
      </c>
      <c r="L691">
        <v>157</v>
      </c>
      <c r="M691">
        <v>44.41</v>
      </c>
      <c r="N691">
        <v>24.56</v>
      </c>
      <c r="O691" t="s">
        <v>25</v>
      </c>
      <c r="P691" t="s">
        <v>965</v>
      </c>
      <c r="Q691" t="s">
        <v>20</v>
      </c>
      <c r="R691" t="str">
        <f>HYPERLINK("https://cfpub.epa.gov/ecotox/explore.cfm?ncbi=304456","Explore in ECOTOX")</f>
        <v>Explore in ECOTOX</v>
      </c>
    </row>
    <row r="692" spans="1:18" x14ac:dyDescent="0.25">
      <c r="A692">
        <v>6</v>
      </c>
      <c r="B692" t="str">
        <f>HYPERLINK("http://www.ncbi.nlm.nih.gov/protein/A7X8D2.1","A7X8D2.1")</f>
        <v>A7X8D2.1</v>
      </c>
      <c r="C692">
        <v>356</v>
      </c>
      <c r="D692" t="str">
        <f>HYPERLINK("http://www.ncbi.nlm.nih.gov/Taxonomy/Browser/wwwtax.cgi?mode=Info&amp;id=33548&amp;lvl=3&amp;lin=f&amp;keep=1&amp;srchmode=1&amp;unlock","33548")</f>
        <v>33548</v>
      </c>
      <c r="E692" t="s">
        <v>18</v>
      </c>
      <c r="F692" t="s">
        <v>18</v>
      </c>
      <c r="G692" t="str">
        <f>HYPERLINK("http://www.ncbi.nlm.nih.gov/Taxonomy/Browser/wwwtax.cgi?mode=Info&amp;id=33548&amp;lvl=3&amp;lin=f&amp;keep=1&amp;srchmode=1&amp;unlock","Colobus guereza")</f>
        <v>Colobus guereza</v>
      </c>
      <c r="H692" t="s">
        <v>1032</v>
      </c>
      <c r="I692" t="str">
        <f>HYPERLINK("http://www.ncbi.nlm.nih.gov/protein/A7X8D2.1","RecName: Full=Progesterone receptor; Short=PR; AltName: Full=Nuclear receptor subfamily 3 group C member 3")</f>
        <v>RecName: Full=Progesterone receptor; Short=PR; AltName: Full=Nuclear receptor subfamily 3 group C member 3</v>
      </c>
      <c r="J692">
        <v>461.07</v>
      </c>
      <c r="K692" t="s">
        <v>25</v>
      </c>
      <c r="L692">
        <v>157</v>
      </c>
      <c r="M692">
        <v>44.41</v>
      </c>
      <c r="N692">
        <v>24.54</v>
      </c>
      <c r="O692" t="s">
        <v>20</v>
      </c>
      <c r="P692" t="s">
        <v>965</v>
      </c>
      <c r="Q692" t="s">
        <v>20</v>
      </c>
      <c r="R692" t="str">
        <f>HYPERLINK("https://cfpub.epa.gov/ecotox/explore.cfm?ncbi=33548","Explore in ECOTOX")</f>
        <v>Explore in ECOTOX</v>
      </c>
    </row>
    <row r="693" spans="1:18" x14ac:dyDescent="0.25">
      <c r="A693">
        <v>6</v>
      </c>
      <c r="B693" t="str">
        <f>HYPERLINK("http://www.ncbi.nlm.nih.gov/protein/XP_010846533.1","XP_010846533.1")</f>
        <v>XP_010846533.1</v>
      </c>
      <c r="C693">
        <v>35574</v>
      </c>
      <c r="D693" t="str">
        <f>HYPERLINK("http://www.ncbi.nlm.nih.gov/Taxonomy/Browser/wwwtax.cgi?mode=Info&amp;id=43346&amp;lvl=3&amp;lin=f&amp;keep=1&amp;srchmode=1&amp;unlock","43346")</f>
        <v>43346</v>
      </c>
      <c r="E693" t="s">
        <v>18</v>
      </c>
      <c r="F693" t="s">
        <v>18</v>
      </c>
      <c r="G693" t="str">
        <f>HYPERLINK("http://www.ncbi.nlm.nih.gov/Taxonomy/Browser/wwwtax.cgi?mode=Info&amp;id=43346&amp;lvl=3&amp;lin=f&amp;keep=1&amp;srchmode=1&amp;unlock","Bison bison bison")</f>
        <v>Bison bison bison</v>
      </c>
      <c r="H693" t="s">
        <v>118</v>
      </c>
      <c r="I693" t="str">
        <f>HYPERLINK("http://www.ncbi.nlm.nih.gov/protein/XP_010846533.1","PREDICTED: progesterone receptor")</f>
        <v>PREDICTED: progesterone receptor</v>
      </c>
      <c r="J693">
        <v>460.3</v>
      </c>
      <c r="K693" t="s">
        <v>25</v>
      </c>
      <c r="L693">
        <v>157</v>
      </c>
      <c r="M693">
        <v>44.41</v>
      </c>
      <c r="N693">
        <v>24.5</v>
      </c>
      <c r="O693" t="s">
        <v>20</v>
      </c>
      <c r="P693" t="s">
        <v>965</v>
      </c>
      <c r="Q693" t="s">
        <v>20</v>
      </c>
      <c r="R693" t="str">
        <f>HYPERLINK("https://cfpub.epa.gov/ecotox/explore.cfm?ncbi=43346","Explore in ECOTOX")</f>
        <v>Explore in ECOTOX</v>
      </c>
    </row>
    <row r="694" spans="1:18" x14ac:dyDescent="0.25">
      <c r="A694">
        <v>6</v>
      </c>
      <c r="B694" t="str">
        <f>HYPERLINK("http://www.ncbi.nlm.nih.gov/protein/XP_032811371.1","XP_032811371.1")</f>
        <v>XP_032811371.1</v>
      </c>
      <c r="C694">
        <v>40521</v>
      </c>
      <c r="D694" t="str">
        <f>HYPERLINK("http://www.ncbi.nlm.nih.gov/Taxonomy/Browser/wwwtax.cgi?mode=Info&amp;id=7757&amp;lvl=3&amp;lin=f&amp;keep=1&amp;srchmode=1&amp;unlock","7757")</f>
        <v>7757</v>
      </c>
      <c r="E694" t="s">
        <v>680</v>
      </c>
      <c r="F694" t="s">
        <v>680</v>
      </c>
      <c r="G694" t="str">
        <f>HYPERLINK("http://www.ncbi.nlm.nih.gov/Taxonomy/Browser/wwwtax.cgi?mode=Info&amp;id=7757&amp;lvl=3&amp;lin=f&amp;keep=1&amp;srchmode=1&amp;unlock","Petromyzon marinus")</f>
        <v>Petromyzon marinus</v>
      </c>
      <c r="H694" t="s">
        <v>681</v>
      </c>
      <c r="I694" t="str">
        <f>HYPERLINK("http://www.ncbi.nlm.nih.gov/protein/XP_032811371.1","mineralocorticoid receptor isoform X2")</f>
        <v>mineralocorticoid receptor isoform X2</v>
      </c>
      <c r="J694">
        <v>459.91</v>
      </c>
      <c r="K694" t="s">
        <v>25</v>
      </c>
      <c r="L694">
        <v>157</v>
      </c>
      <c r="M694">
        <v>44.41</v>
      </c>
      <c r="N694">
        <v>24.48</v>
      </c>
      <c r="O694" t="s">
        <v>25</v>
      </c>
      <c r="P694" t="s">
        <v>965</v>
      </c>
      <c r="Q694" t="s">
        <v>20</v>
      </c>
      <c r="R694" t="str">
        <f>HYPERLINK("https://cfpub.epa.gov/ecotox/explore.cfm?ncbi=7757","Explore in ECOTOX")</f>
        <v>Explore in ECOTOX</v>
      </c>
    </row>
    <row r="695" spans="1:18" x14ac:dyDescent="0.25">
      <c r="A695">
        <v>6</v>
      </c>
      <c r="B695" t="str">
        <f>HYPERLINK("http://www.ncbi.nlm.nih.gov/protein/A7X8D4.1","A7X8D4.1")</f>
        <v>A7X8D4.1</v>
      </c>
      <c r="C695">
        <v>87</v>
      </c>
      <c r="D695" t="str">
        <f>HYPERLINK("http://www.ncbi.nlm.nih.gov/Taxonomy/Browser/wwwtax.cgi?mode=Info&amp;id=54181&amp;lvl=3&amp;lin=f&amp;keep=1&amp;srchmode=1&amp;unlock","54181")</f>
        <v>54181</v>
      </c>
      <c r="E695" t="s">
        <v>18</v>
      </c>
      <c r="F695" t="s">
        <v>18</v>
      </c>
      <c r="G695" t="str">
        <f>HYPERLINK("http://www.ncbi.nlm.nih.gov/Taxonomy/Browser/wwwtax.cgi?mode=Info&amp;id=54181&amp;lvl=3&amp;lin=f&amp;keep=1&amp;srchmode=1&amp;unlock","Trachypithecus obscurus")</f>
        <v>Trachypithecus obscurus</v>
      </c>
      <c r="H695" t="s">
        <v>1033</v>
      </c>
      <c r="I695" t="str">
        <f>HYPERLINK("http://www.ncbi.nlm.nih.gov/protein/A7X8D4.1","RecName: Full=Progesterone receptor; Short=PR; AltName: Full=Nuclear receptor subfamily 3 group C member 3")</f>
        <v>RecName: Full=Progesterone receptor; Short=PR; AltName: Full=Nuclear receptor subfamily 3 group C member 3</v>
      </c>
      <c r="J695">
        <v>459.53</v>
      </c>
      <c r="K695" t="s">
        <v>25</v>
      </c>
      <c r="L695">
        <v>157</v>
      </c>
      <c r="M695">
        <v>44.41</v>
      </c>
      <c r="N695">
        <v>24.46</v>
      </c>
      <c r="O695" t="s">
        <v>20</v>
      </c>
      <c r="P695" t="s">
        <v>965</v>
      </c>
      <c r="Q695" t="s">
        <v>20</v>
      </c>
      <c r="R695" t="str">
        <f>HYPERLINK("https://cfpub.epa.gov/ecotox/explore.cfm?ncbi=54181","Explore in ECOTOX")</f>
        <v>Explore in ECOTOX</v>
      </c>
    </row>
    <row r="696" spans="1:18" x14ac:dyDescent="0.25">
      <c r="A696">
        <v>6</v>
      </c>
      <c r="B696" t="str">
        <f>HYPERLINK("http://www.ncbi.nlm.nih.gov/protein/NXK85179.1","NXK85179.1")</f>
        <v>NXK85179.1</v>
      </c>
      <c r="C696">
        <v>14236</v>
      </c>
      <c r="D696" t="str">
        <f>HYPERLINK("http://www.ncbi.nlm.nih.gov/Taxonomy/Browser/wwwtax.cgi?mode=Info&amp;id=175529&amp;lvl=3&amp;lin=f&amp;keep=1&amp;srchmode=1&amp;unlock","175529")</f>
        <v>175529</v>
      </c>
      <c r="E696" t="s">
        <v>167</v>
      </c>
      <c r="F696" t="s">
        <v>167</v>
      </c>
      <c r="G696" t="str">
        <f>HYPERLINK("http://www.ncbi.nlm.nih.gov/Taxonomy/Browser/wwwtax.cgi?mode=Info&amp;id=175529&amp;lvl=3&amp;lin=f&amp;keep=1&amp;srchmode=1&amp;unlock","Amazona guildingii")</f>
        <v>Amazona guildingii</v>
      </c>
      <c r="H696" t="s">
        <v>424</v>
      </c>
      <c r="I696" t="str">
        <f>HYPERLINK("http://www.ncbi.nlm.nih.gov/protein/NXK85179.1","PRGR protein")</f>
        <v>PRGR protein</v>
      </c>
      <c r="J696">
        <v>459.53</v>
      </c>
      <c r="K696" t="s">
        <v>25</v>
      </c>
      <c r="L696">
        <v>157</v>
      </c>
      <c r="M696">
        <v>44.41</v>
      </c>
      <c r="N696">
        <v>24.46</v>
      </c>
      <c r="O696" t="s">
        <v>20</v>
      </c>
      <c r="P696" t="s">
        <v>965</v>
      </c>
      <c r="Q696" t="s">
        <v>20</v>
      </c>
      <c r="R696" t="str">
        <f>HYPERLINK("https://cfpub.epa.gov/ecotox/explore.cfm?ncbi=175529","Explore in ECOTOX")</f>
        <v>Explore in ECOTOX</v>
      </c>
    </row>
    <row r="697" spans="1:18" x14ac:dyDescent="0.25">
      <c r="A697">
        <v>6</v>
      </c>
      <c r="B697" t="str">
        <f>HYPERLINK("http://www.ncbi.nlm.nih.gov/protein/NXI44782.1","NXI44782.1")</f>
        <v>NXI44782.1</v>
      </c>
      <c r="C697">
        <v>14683</v>
      </c>
      <c r="D697" t="str">
        <f>HYPERLINK("http://www.ncbi.nlm.nih.gov/Taxonomy/Browser/wwwtax.cgi?mode=Info&amp;id=1109041&amp;lvl=3&amp;lin=f&amp;keep=1&amp;srchmode=1&amp;unlock","1109041")</f>
        <v>1109041</v>
      </c>
      <c r="E697" t="s">
        <v>167</v>
      </c>
      <c r="F697" t="s">
        <v>167</v>
      </c>
      <c r="G697" t="str">
        <f>HYPERLINK("http://www.ncbi.nlm.nih.gov/Taxonomy/Browser/wwwtax.cgi?mode=Info&amp;id=1109041&amp;lvl=3&amp;lin=f&amp;keep=1&amp;srchmode=1&amp;unlock","Galbula dea")</f>
        <v>Galbula dea</v>
      </c>
      <c r="H697" t="s">
        <v>231</v>
      </c>
      <c r="I697" t="str">
        <f>HYPERLINK("http://www.ncbi.nlm.nih.gov/protein/NXI44782.1","PRGR protein")</f>
        <v>PRGR protein</v>
      </c>
      <c r="J697">
        <v>459.14</v>
      </c>
      <c r="K697" t="s">
        <v>25</v>
      </c>
      <c r="L697">
        <v>157</v>
      </c>
      <c r="M697">
        <v>44.41</v>
      </c>
      <c r="N697">
        <v>24.44</v>
      </c>
      <c r="O697" t="s">
        <v>20</v>
      </c>
      <c r="P697" t="s">
        <v>965</v>
      </c>
      <c r="Q697" t="s">
        <v>20</v>
      </c>
      <c r="R697" t="str">
        <f>HYPERLINK("https://cfpub.epa.gov/ecotox/explore.cfm?ncbi=1109041","Explore in ECOTOX")</f>
        <v>Explore in ECOTOX</v>
      </c>
    </row>
    <row r="698" spans="1:18" x14ac:dyDescent="0.25">
      <c r="A698">
        <v>6</v>
      </c>
      <c r="B698" t="str">
        <f>HYPERLINK("http://www.ncbi.nlm.nih.gov/protein/AIN41695.1","AIN41695.1")</f>
        <v>AIN41695.1</v>
      </c>
      <c r="C698">
        <v>433</v>
      </c>
      <c r="D698" t="str">
        <f>HYPERLINK("http://www.ncbi.nlm.nih.gov/Taxonomy/Browser/wwwtax.cgi?mode=Info&amp;id=28829&amp;lvl=3&amp;lin=f&amp;keep=1&amp;srchmode=1&amp;unlock","28829")</f>
        <v>28829</v>
      </c>
      <c r="E698" t="s">
        <v>384</v>
      </c>
      <c r="F698" t="s">
        <v>384</v>
      </c>
      <c r="G698" t="str">
        <f>HYPERLINK("http://www.ncbi.nlm.nih.gov/Taxonomy/Browser/wwwtax.cgi?mode=Info&amp;id=28829&amp;lvl=3&amp;lin=f&amp;keep=1&amp;srchmode=1&amp;unlock","Solea senegalensis")</f>
        <v>Solea senegalensis</v>
      </c>
      <c r="H698" t="s">
        <v>527</v>
      </c>
      <c r="I698" t="str">
        <f>HYPERLINK("http://www.ncbi.nlm.nih.gov/protein/AIN41695.1","androgen receptor alpha, partial")</f>
        <v>androgen receptor alpha, partial</v>
      </c>
      <c r="J698">
        <v>458.76</v>
      </c>
      <c r="K698" t="s">
        <v>25</v>
      </c>
      <c r="L698">
        <v>157</v>
      </c>
      <c r="M698">
        <v>44.41</v>
      </c>
      <c r="N698">
        <v>24.42</v>
      </c>
      <c r="O698" t="s">
        <v>25</v>
      </c>
      <c r="P698" t="s">
        <v>965</v>
      </c>
      <c r="Q698" t="s">
        <v>20</v>
      </c>
      <c r="R698" t="str">
        <f>HYPERLINK("https://cfpub.epa.gov/ecotox/explore.cfm?ncbi=28829","Explore in ECOTOX")</f>
        <v>Explore in ECOTOX</v>
      </c>
    </row>
    <row r="699" spans="1:18" x14ac:dyDescent="0.25">
      <c r="A699">
        <v>6</v>
      </c>
      <c r="B699" t="str">
        <f>HYPERLINK("http://www.ncbi.nlm.nih.gov/protein/NXX43381.1","NXX43381.1")</f>
        <v>NXX43381.1</v>
      </c>
      <c r="C699">
        <v>14338</v>
      </c>
      <c r="D699" t="str">
        <f>HYPERLINK("http://www.ncbi.nlm.nih.gov/Taxonomy/Browser/wwwtax.cgi?mode=Info&amp;id=240729&amp;lvl=3&amp;lin=f&amp;keep=1&amp;srchmode=1&amp;unlock","240729")</f>
        <v>240729</v>
      </c>
      <c r="E699" t="s">
        <v>167</v>
      </c>
      <c r="F699" t="s">
        <v>167</v>
      </c>
      <c r="G699" t="str">
        <f>HYPERLINK("http://www.ncbi.nlm.nih.gov/Taxonomy/Browser/wwwtax.cgi?mode=Info&amp;id=240729&amp;lvl=3&amp;lin=f&amp;keep=1&amp;srchmode=1&amp;unlock","Tricholaema leucomelas")</f>
        <v>Tricholaema leucomelas</v>
      </c>
      <c r="H699" t="s">
        <v>193</v>
      </c>
      <c r="I699" t="str">
        <f>HYPERLINK("http://www.ncbi.nlm.nih.gov/protein/NXX43381.1","PRGR protein")</f>
        <v>PRGR protein</v>
      </c>
      <c r="J699">
        <v>458.37</v>
      </c>
      <c r="K699" t="s">
        <v>25</v>
      </c>
      <c r="L699">
        <v>157</v>
      </c>
      <c r="M699">
        <v>44.41</v>
      </c>
      <c r="N699">
        <v>24.4</v>
      </c>
      <c r="O699" t="s">
        <v>20</v>
      </c>
      <c r="P699" t="s">
        <v>965</v>
      </c>
      <c r="Q699" t="s">
        <v>20</v>
      </c>
      <c r="R699" t="str">
        <f>HYPERLINK("https://cfpub.epa.gov/ecotox/explore.cfm?ncbi=240729","Explore in ECOTOX")</f>
        <v>Explore in ECOTOX</v>
      </c>
    </row>
    <row r="700" spans="1:18" x14ac:dyDescent="0.25">
      <c r="A700">
        <v>6</v>
      </c>
      <c r="B700" t="str">
        <f>HYPERLINK("http://www.ncbi.nlm.nih.gov/protein/NWS38579.1","NWS38579.1")</f>
        <v>NWS38579.1</v>
      </c>
      <c r="C700">
        <v>14029</v>
      </c>
      <c r="D700" t="str">
        <f>HYPERLINK("http://www.ncbi.nlm.nih.gov/Taxonomy/Browser/wwwtax.cgi?mode=Info&amp;id=141839&amp;lvl=3&amp;lin=f&amp;keep=1&amp;srchmode=1&amp;unlock","141839")</f>
        <v>141839</v>
      </c>
      <c r="E700" t="s">
        <v>167</v>
      </c>
      <c r="F700" t="s">
        <v>167</v>
      </c>
      <c r="G700" t="str">
        <f>HYPERLINK("http://www.ncbi.nlm.nih.gov/Taxonomy/Browser/wwwtax.cgi?mode=Info&amp;id=141839&amp;lvl=3&amp;lin=f&amp;keep=1&amp;srchmode=1&amp;unlock","Probosciger aterrimus")</f>
        <v>Probosciger aterrimus</v>
      </c>
      <c r="H700" t="s">
        <v>497</v>
      </c>
      <c r="I700" t="str">
        <f>HYPERLINK("http://www.ncbi.nlm.nih.gov/protein/NWS38579.1","PRGR protein")</f>
        <v>PRGR protein</v>
      </c>
      <c r="J700">
        <v>457.99</v>
      </c>
      <c r="K700" t="s">
        <v>25</v>
      </c>
      <c r="L700">
        <v>157</v>
      </c>
      <c r="M700">
        <v>44.41</v>
      </c>
      <c r="N700">
        <v>24.38</v>
      </c>
      <c r="O700" t="s">
        <v>20</v>
      </c>
      <c r="P700" t="s">
        <v>965</v>
      </c>
      <c r="Q700" t="s">
        <v>20</v>
      </c>
      <c r="R700" t="str">
        <f>HYPERLINK("https://cfpub.epa.gov/ecotox/explore.cfm?ncbi=141839","Explore in ECOTOX")</f>
        <v>Explore in ECOTOX</v>
      </c>
    </row>
    <row r="701" spans="1:18" x14ac:dyDescent="0.25">
      <c r="A701">
        <v>6</v>
      </c>
      <c r="B701" t="str">
        <f>HYPERLINK("http://www.ncbi.nlm.nih.gov/protein/NXF87690.1","NXF87690.1")</f>
        <v>NXF87690.1</v>
      </c>
      <c r="C701">
        <v>14177</v>
      </c>
      <c r="D701" t="str">
        <f>HYPERLINK("http://www.ncbi.nlm.nih.gov/Taxonomy/Browser/wwwtax.cgi?mode=Info&amp;id=91767&amp;lvl=3&amp;lin=f&amp;keep=1&amp;srchmode=1&amp;unlock","91767")</f>
        <v>91767</v>
      </c>
      <c r="E701" t="s">
        <v>167</v>
      </c>
      <c r="F701" t="s">
        <v>167</v>
      </c>
      <c r="G701" t="str">
        <f>HYPERLINK("http://www.ncbi.nlm.nih.gov/Taxonomy/Browser/wwwtax.cgi?mode=Info&amp;id=91767&amp;lvl=3&amp;lin=f&amp;keep=1&amp;srchmode=1&amp;unlock","Eubucco bourcierii")</f>
        <v>Eubucco bourcierii</v>
      </c>
      <c r="H701" t="s">
        <v>1034</v>
      </c>
      <c r="I701" t="str">
        <f>HYPERLINK("http://www.ncbi.nlm.nih.gov/protein/NXF87690.1","PRGR protein")</f>
        <v>PRGR protein</v>
      </c>
      <c r="J701">
        <v>457.22</v>
      </c>
      <c r="K701" t="s">
        <v>25</v>
      </c>
      <c r="L701">
        <v>157</v>
      </c>
      <c r="M701">
        <v>44.41</v>
      </c>
      <c r="N701">
        <v>24.34</v>
      </c>
      <c r="O701" t="s">
        <v>20</v>
      </c>
      <c r="P701" t="s">
        <v>965</v>
      </c>
      <c r="Q701" t="s">
        <v>20</v>
      </c>
      <c r="R701" t="str">
        <f>HYPERLINK("https://cfpub.epa.gov/ecotox/explore.cfm?ncbi=91767","Explore in ECOTOX")</f>
        <v>Explore in ECOTOX</v>
      </c>
    </row>
    <row r="702" spans="1:18" x14ac:dyDescent="0.25">
      <c r="A702">
        <v>6</v>
      </c>
      <c r="B702" t="str">
        <f>HYPERLINK("http://www.ncbi.nlm.nih.gov/protein/XP_037531326.1","XP_037531326.1")</f>
        <v>XP_037531326.1</v>
      </c>
      <c r="C702">
        <v>24152</v>
      </c>
      <c r="D702" t="str">
        <f>HYPERLINK("http://www.ncbi.nlm.nih.gov/Taxonomy/Browser/wwwtax.cgi?mode=Info&amp;id=451745&amp;lvl=3&amp;lin=f&amp;keep=1&amp;srchmode=1&amp;unlock","451745")</f>
        <v>451745</v>
      </c>
      <c r="E702" t="s">
        <v>384</v>
      </c>
      <c r="F702" t="s">
        <v>384</v>
      </c>
      <c r="G702" t="str">
        <f>HYPERLINK("http://www.ncbi.nlm.nih.gov/Taxonomy/Browser/wwwtax.cgi?mode=Info&amp;id=451745&amp;lvl=3&amp;lin=f&amp;keep=1&amp;srchmode=1&amp;unlock","Nematolebias whitei")</f>
        <v>Nematolebias whitei</v>
      </c>
      <c r="H702" t="s">
        <v>565</v>
      </c>
      <c r="I702" t="str">
        <f>HYPERLINK("http://www.ncbi.nlm.nih.gov/protein/XP_037531326.1","androgen receptor-like")</f>
        <v>androgen receptor-like</v>
      </c>
      <c r="J702">
        <v>456.83</v>
      </c>
      <c r="K702" t="s">
        <v>25</v>
      </c>
      <c r="L702">
        <v>157</v>
      </c>
      <c r="M702">
        <v>44.41</v>
      </c>
      <c r="N702">
        <v>24.32</v>
      </c>
      <c r="O702" t="s">
        <v>25</v>
      </c>
      <c r="P702" t="s">
        <v>965</v>
      </c>
      <c r="Q702" t="s">
        <v>20</v>
      </c>
      <c r="R702" t="str">
        <f>HYPERLINK("https://cfpub.epa.gov/ecotox/explore.cfm?ncbi=451745","Explore in ECOTOX")</f>
        <v>Explore in ECOTOX</v>
      </c>
    </row>
    <row r="703" spans="1:18" x14ac:dyDescent="0.25">
      <c r="A703">
        <v>6</v>
      </c>
      <c r="B703" t="str">
        <f>HYPERLINK("http://www.ncbi.nlm.nih.gov/protein/OPJ68627.1","OPJ68627.1")</f>
        <v>OPJ68627.1</v>
      </c>
      <c r="C703">
        <v>24828</v>
      </c>
      <c r="D703" t="str">
        <f>HYPERLINK("http://www.ncbi.nlm.nih.gov/Taxonomy/Browser/wwwtax.cgi?mode=Info&amp;id=372326&amp;lvl=3&amp;lin=f&amp;keep=1&amp;srchmode=1&amp;unlock","372326")</f>
        <v>372326</v>
      </c>
      <c r="E703" t="s">
        <v>167</v>
      </c>
      <c r="F703" t="s">
        <v>167</v>
      </c>
      <c r="G703" t="str">
        <f>HYPERLINK("http://www.ncbi.nlm.nih.gov/Taxonomy/Browser/wwwtax.cgi?mode=Info&amp;id=372326&amp;lvl=3&amp;lin=f&amp;keep=1&amp;srchmode=1&amp;unlock","Patagioenas fasciata monilis")</f>
        <v>Patagioenas fasciata monilis</v>
      </c>
      <c r="H703" t="s">
        <v>348</v>
      </c>
      <c r="I703" t="str">
        <f>HYPERLINK("http://www.ncbi.nlm.nih.gov/protein/OPJ68627.1","progesterone receptor")</f>
        <v>progesterone receptor</v>
      </c>
      <c r="J703">
        <v>456.83</v>
      </c>
      <c r="K703" t="s">
        <v>25</v>
      </c>
      <c r="L703">
        <v>157</v>
      </c>
      <c r="M703">
        <v>44.41</v>
      </c>
      <c r="N703">
        <v>24.32</v>
      </c>
      <c r="O703" t="s">
        <v>20</v>
      </c>
      <c r="P703" t="s">
        <v>965</v>
      </c>
      <c r="Q703" t="s">
        <v>20</v>
      </c>
      <c r="R703" t="str">
        <f>HYPERLINK("https://cfpub.epa.gov/ecotox/explore.cfm?ncbi=372326","Explore in ECOTOX")</f>
        <v>Explore in ECOTOX</v>
      </c>
    </row>
    <row r="704" spans="1:18" x14ac:dyDescent="0.25">
      <c r="A704">
        <v>6</v>
      </c>
      <c r="B704" t="str">
        <f>HYPERLINK("http://www.ncbi.nlm.nih.gov/protein/NXG50348.1","NXG50348.1")</f>
        <v>NXG50348.1</v>
      </c>
      <c r="C704">
        <v>13561</v>
      </c>
      <c r="D704" t="str">
        <f>HYPERLINK("http://www.ncbi.nlm.nih.gov/Taxonomy/Browser/wwwtax.cgi?mode=Info&amp;id=2585815&amp;lvl=3&amp;lin=f&amp;keep=1&amp;srchmode=1&amp;unlock","2585815")</f>
        <v>2585815</v>
      </c>
      <c r="E704" t="s">
        <v>167</v>
      </c>
      <c r="F704" t="s">
        <v>167</v>
      </c>
      <c r="G704" t="str">
        <f>HYPERLINK("http://www.ncbi.nlm.nih.gov/Taxonomy/Browser/wwwtax.cgi?mode=Info&amp;id=2585815&amp;lvl=3&amp;lin=f&amp;keep=1&amp;srchmode=1&amp;unlock","Psilopogon haemacephalus")</f>
        <v>Psilopogon haemacephalus</v>
      </c>
      <c r="H704" t="s">
        <v>262</v>
      </c>
      <c r="I704" t="str">
        <f>HYPERLINK("http://www.ncbi.nlm.nih.gov/protein/NXG50348.1","PRGR protein")</f>
        <v>PRGR protein</v>
      </c>
      <c r="J704">
        <v>456.45</v>
      </c>
      <c r="K704" t="s">
        <v>25</v>
      </c>
      <c r="L704">
        <v>157</v>
      </c>
      <c r="M704">
        <v>44.41</v>
      </c>
      <c r="N704">
        <v>24.3</v>
      </c>
      <c r="O704" t="s">
        <v>20</v>
      </c>
      <c r="P704" t="s">
        <v>965</v>
      </c>
      <c r="Q704" t="s">
        <v>20</v>
      </c>
      <c r="R704" t="str">
        <f>HYPERLINK("https://cfpub.epa.gov/ecotox/explore.cfm?ncbi=2585815","Explore in ECOTOX")</f>
        <v>Explore in ECOTOX</v>
      </c>
    </row>
    <row r="705" spans="1:18" x14ac:dyDescent="0.25">
      <c r="A705">
        <v>6</v>
      </c>
      <c r="B705" t="str">
        <f>HYPERLINK("http://www.ncbi.nlm.nih.gov/protein/NXN09577.1","NXN09577.1")</f>
        <v>NXN09577.1</v>
      </c>
      <c r="C705">
        <v>14026</v>
      </c>
      <c r="D705" t="str">
        <f>HYPERLINK("http://www.ncbi.nlm.nih.gov/Taxonomy/Browser/wwwtax.cgi?mode=Info&amp;id=545262&amp;lvl=3&amp;lin=f&amp;keep=1&amp;srchmode=1&amp;unlock","545262")</f>
        <v>545262</v>
      </c>
      <c r="E705" t="s">
        <v>167</v>
      </c>
      <c r="F705" t="s">
        <v>167</v>
      </c>
      <c r="G705" t="str">
        <f>HYPERLINK("http://www.ncbi.nlm.nih.gov/Taxonomy/Browser/wwwtax.cgi?mode=Info&amp;id=545262&amp;lvl=3&amp;lin=f&amp;keep=1&amp;srchmode=1&amp;unlock","Indicator maculatus")</f>
        <v>Indicator maculatus</v>
      </c>
      <c r="H705" t="s">
        <v>674</v>
      </c>
      <c r="I705" t="str">
        <f>HYPERLINK("http://www.ncbi.nlm.nih.gov/protein/NXN09577.1","PRGR protein")</f>
        <v>PRGR protein</v>
      </c>
      <c r="J705">
        <v>456.06</v>
      </c>
      <c r="K705" t="s">
        <v>25</v>
      </c>
      <c r="L705">
        <v>157</v>
      </c>
      <c r="M705">
        <v>44.41</v>
      </c>
      <c r="N705">
        <v>24.28</v>
      </c>
      <c r="O705" t="s">
        <v>20</v>
      </c>
      <c r="P705" t="s">
        <v>965</v>
      </c>
      <c r="Q705" t="s">
        <v>20</v>
      </c>
      <c r="R705" t="str">
        <f>HYPERLINK("https://cfpub.epa.gov/ecotox/explore.cfm?ncbi=545262","Explore in ECOTOX")</f>
        <v>Explore in ECOTOX</v>
      </c>
    </row>
    <row r="706" spans="1:18" x14ac:dyDescent="0.25">
      <c r="A706">
        <v>6</v>
      </c>
      <c r="B706" t="str">
        <f>HYPERLINK("http://www.ncbi.nlm.nih.gov/protein/Q8AYI2.1","Q8AYI2.1")</f>
        <v>Q8AYI2.1</v>
      </c>
      <c r="C706">
        <v>299</v>
      </c>
      <c r="D706" t="str">
        <f>HYPERLINK("http://www.ncbi.nlm.nih.gov/Taxonomy/Browser/wwwtax.cgi?mode=Info&amp;id=71582&amp;lvl=3&amp;lin=f&amp;keep=1&amp;srchmode=1&amp;unlock","71582")</f>
        <v>71582</v>
      </c>
      <c r="E706" t="s">
        <v>134</v>
      </c>
      <c r="F706" t="s">
        <v>134</v>
      </c>
      <c r="G706" t="str">
        <f>HYPERLINK("http://www.ncbi.nlm.nih.gov/Taxonomy/Browser/wwwtax.cgi?mode=Info&amp;id=71582&amp;lvl=3&amp;lin=f&amp;keep=1&amp;srchmode=1&amp;unlock","Rana dybowskii")</f>
        <v>Rana dybowskii</v>
      </c>
      <c r="H706" t="s">
        <v>1035</v>
      </c>
      <c r="I706" t="str">
        <f>HYPERLINK("http://www.ncbi.nlm.nih.gov/protein/Q8AYI2.1","RecName: Full=Progesterone receptor; Short=PR; AltName: Full=Nuclear receptor subfamily 3 group C member 3; AltName: Full=dyPR")</f>
        <v>RecName: Full=Progesterone receptor; Short=PR; AltName: Full=Nuclear receptor subfamily 3 group C member 3; AltName: Full=dyPR</v>
      </c>
      <c r="J706">
        <v>455.68</v>
      </c>
      <c r="K706" t="s">
        <v>25</v>
      </c>
      <c r="L706">
        <v>157</v>
      </c>
      <c r="M706">
        <v>44.41</v>
      </c>
      <c r="N706">
        <v>24.26</v>
      </c>
      <c r="O706" t="s">
        <v>20</v>
      </c>
      <c r="P706" t="s">
        <v>965</v>
      </c>
      <c r="Q706" t="s">
        <v>20</v>
      </c>
      <c r="R706" t="str">
        <f>HYPERLINK("https://cfpub.epa.gov/ecotox/explore.cfm?ncbi=71582","Explore in ECOTOX")</f>
        <v>Explore in ECOTOX</v>
      </c>
    </row>
    <row r="707" spans="1:18" x14ac:dyDescent="0.25">
      <c r="A707">
        <v>6</v>
      </c>
      <c r="B707" t="str">
        <f>HYPERLINK("http://www.ncbi.nlm.nih.gov/protein/XP_039326870.1","XP_039326870.1")</f>
        <v>XP_039326870.1</v>
      </c>
      <c r="C707">
        <v>45635</v>
      </c>
      <c r="D707" t="str">
        <f>HYPERLINK("http://www.ncbi.nlm.nih.gov/Taxonomy/Browser/wwwtax.cgi?mode=Info&amp;id=39432&amp;lvl=3&amp;lin=f&amp;keep=1&amp;srchmode=1&amp;unlock","39432")</f>
        <v>39432</v>
      </c>
      <c r="E707" t="s">
        <v>18</v>
      </c>
      <c r="F707" t="s">
        <v>18</v>
      </c>
      <c r="G707" t="str">
        <f>HYPERLINK("http://www.ncbi.nlm.nih.gov/Taxonomy/Browser/wwwtax.cgi?mode=Info&amp;id=39432&amp;lvl=3&amp;lin=f&amp;keep=1&amp;srchmode=1&amp;unlock","Saimiri boliviensis boliviensis")</f>
        <v>Saimiri boliviensis boliviensis</v>
      </c>
      <c r="H707" t="s">
        <v>73</v>
      </c>
      <c r="I707" t="str">
        <f>HYPERLINK("http://www.ncbi.nlm.nih.gov/protein/XP_039326870.1","progesterone receptor isoform X1")</f>
        <v>progesterone receptor isoform X1</v>
      </c>
      <c r="J707">
        <v>455.68</v>
      </c>
      <c r="K707" t="s">
        <v>25</v>
      </c>
      <c r="L707">
        <v>157</v>
      </c>
      <c r="M707">
        <v>44.41</v>
      </c>
      <c r="N707">
        <v>24.26</v>
      </c>
      <c r="O707" t="s">
        <v>20</v>
      </c>
      <c r="P707" t="s">
        <v>965</v>
      </c>
      <c r="Q707" t="s">
        <v>20</v>
      </c>
      <c r="R707" t="str">
        <f>HYPERLINK("https://cfpub.epa.gov/ecotox/explore.cfm?ncbi=39432","Explore in ECOTOX")</f>
        <v>Explore in ECOTOX</v>
      </c>
    </row>
    <row r="708" spans="1:18" x14ac:dyDescent="0.25">
      <c r="A708">
        <v>6</v>
      </c>
      <c r="B708" t="str">
        <f>HYPERLINK("http://www.ncbi.nlm.nih.gov/protein/NWS91489.1","NWS91489.1")</f>
        <v>NWS91489.1</v>
      </c>
      <c r="C708">
        <v>14243</v>
      </c>
      <c r="D708" t="str">
        <f>HYPERLINK("http://www.ncbi.nlm.nih.gov/Taxonomy/Browser/wwwtax.cgi?mode=Info&amp;id=99882&amp;lvl=3&amp;lin=f&amp;keep=1&amp;srchmode=1&amp;unlock","99882")</f>
        <v>99882</v>
      </c>
      <c r="E708" t="s">
        <v>167</v>
      </c>
      <c r="F708" t="s">
        <v>167</v>
      </c>
      <c r="G708" t="str">
        <f>HYPERLINK("http://www.ncbi.nlm.nih.gov/Taxonomy/Browser/wwwtax.cgi?mode=Info&amp;id=99882&amp;lvl=3&amp;lin=f&amp;keep=1&amp;srchmode=1&amp;unlock","Toxostoma redivivum")</f>
        <v>Toxostoma redivivum</v>
      </c>
      <c r="H708" t="s">
        <v>206</v>
      </c>
      <c r="I708" t="str">
        <f>HYPERLINK("http://www.ncbi.nlm.nih.gov/protein/NWS91489.1","PRGR protein")</f>
        <v>PRGR protein</v>
      </c>
      <c r="J708">
        <v>455.68</v>
      </c>
      <c r="K708" t="s">
        <v>25</v>
      </c>
      <c r="L708">
        <v>157</v>
      </c>
      <c r="M708">
        <v>44.41</v>
      </c>
      <c r="N708">
        <v>24.26</v>
      </c>
      <c r="O708" t="s">
        <v>20</v>
      </c>
      <c r="P708" t="s">
        <v>965</v>
      </c>
      <c r="Q708" t="s">
        <v>20</v>
      </c>
      <c r="R708" t="str">
        <f>HYPERLINK("https://cfpub.epa.gov/ecotox/explore.cfm?ncbi=99882","Explore in ECOTOX")</f>
        <v>Explore in ECOTOX</v>
      </c>
    </row>
    <row r="709" spans="1:18" x14ac:dyDescent="0.25">
      <c r="A709">
        <v>6</v>
      </c>
      <c r="B709" t="str">
        <f>HYPERLINK("http://www.ncbi.nlm.nih.gov/protein/TNM98841.1","TNM98841.1")</f>
        <v>TNM98841.1</v>
      </c>
      <c r="C709">
        <v>20163</v>
      </c>
      <c r="D709" t="str">
        <f>HYPERLINK("http://www.ncbi.nlm.nih.gov/Taxonomy/Browser/wwwtax.cgi?mode=Info&amp;id=433685&amp;lvl=3&amp;lin=f&amp;keep=1&amp;srchmode=1&amp;unlock","433685")</f>
        <v>433685</v>
      </c>
      <c r="E709" t="s">
        <v>384</v>
      </c>
      <c r="F709" t="s">
        <v>384</v>
      </c>
      <c r="G709" t="str">
        <f>HYPERLINK("http://www.ncbi.nlm.nih.gov/Taxonomy/Browser/wwwtax.cgi?mode=Info&amp;id=433685&amp;lvl=3&amp;lin=f&amp;keep=1&amp;srchmode=1&amp;unlock","Takifugu bimaculatus")</f>
        <v>Takifugu bimaculatus</v>
      </c>
      <c r="H709" t="s">
        <v>675</v>
      </c>
      <c r="I709" t="str">
        <f>HYPERLINK("http://www.ncbi.nlm.nih.gov/protein/TNM98841.1","hypothetical protein fugu_013405")</f>
        <v>hypothetical protein fugu_013405</v>
      </c>
      <c r="J709">
        <v>455.68</v>
      </c>
      <c r="K709" t="s">
        <v>25</v>
      </c>
      <c r="L709">
        <v>157</v>
      </c>
      <c r="M709">
        <v>44.41</v>
      </c>
      <c r="N709">
        <v>24.26</v>
      </c>
      <c r="O709" t="s">
        <v>25</v>
      </c>
      <c r="P709" t="s">
        <v>965</v>
      </c>
      <c r="Q709" t="s">
        <v>20</v>
      </c>
      <c r="R709" t="str">
        <f>HYPERLINK("https://cfpub.epa.gov/ecotox/explore.cfm?ncbi=433685","Explore in ECOTOX")</f>
        <v>Explore in ECOTOX</v>
      </c>
    </row>
    <row r="710" spans="1:18" x14ac:dyDescent="0.25">
      <c r="A710">
        <v>6</v>
      </c>
      <c r="B710" t="str">
        <f>HYPERLINK("http://www.ncbi.nlm.nih.gov/protein/NWI20332.1","NWI20332.1")</f>
        <v>NWI20332.1</v>
      </c>
      <c r="C710">
        <v>14222</v>
      </c>
      <c r="D710" t="str">
        <f>HYPERLINK("http://www.ncbi.nlm.nih.gov/Taxonomy/Browser/wwwtax.cgi?mode=Info&amp;id=458187&amp;lvl=3&amp;lin=f&amp;keep=1&amp;srchmode=1&amp;unlock","458187")</f>
        <v>458187</v>
      </c>
      <c r="E710" t="s">
        <v>167</v>
      </c>
      <c r="F710" t="s">
        <v>167</v>
      </c>
      <c r="G710" t="str">
        <f>HYPERLINK("http://www.ncbi.nlm.nih.gov/Taxonomy/Browser/wwwtax.cgi?mode=Info&amp;id=458187&amp;lvl=3&amp;lin=f&amp;keep=1&amp;srchmode=1&amp;unlock","Crypturellus soui")</f>
        <v>Crypturellus soui</v>
      </c>
      <c r="H710" t="s">
        <v>196</v>
      </c>
      <c r="I710" t="str">
        <f>HYPERLINK("http://www.ncbi.nlm.nih.gov/protein/NWI20332.1","PRGR protein")</f>
        <v>PRGR protein</v>
      </c>
      <c r="J710">
        <v>455.29</v>
      </c>
      <c r="K710" t="s">
        <v>25</v>
      </c>
      <c r="L710">
        <v>157</v>
      </c>
      <c r="M710">
        <v>44.41</v>
      </c>
      <c r="N710">
        <v>24.24</v>
      </c>
      <c r="O710" t="s">
        <v>20</v>
      </c>
      <c r="P710" t="s">
        <v>965</v>
      </c>
      <c r="Q710" t="s">
        <v>20</v>
      </c>
      <c r="R710" t="str">
        <f>HYPERLINK("https://cfpub.epa.gov/ecotox/explore.cfm?ncbi=458187","Explore in ECOTOX")</f>
        <v>Explore in ECOTOX</v>
      </c>
    </row>
    <row r="711" spans="1:18" x14ac:dyDescent="0.25">
      <c r="A711">
        <v>6</v>
      </c>
      <c r="B711" t="str">
        <f>HYPERLINK("http://www.ncbi.nlm.nih.gov/protein/NXM54660.1","NXM54660.1")</f>
        <v>NXM54660.1</v>
      </c>
      <c r="C711">
        <v>13437</v>
      </c>
      <c r="D711" t="str">
        <f>HYPERLINK("http://www.ncbi.nlm.nih.gov/Taxonomy/Browser/wwwtax.cgi?mode=Info&amp;id=201329&amp;lvl=3&amp;lin=f&amp;keep=1&amp;srchmode=1&amp;unlock","201329")</f>
        <v>201329</v>
      </c>
      <c r="E711" t="s">
        <v>167</v>
      </c>
      <c r="F711" t="s">
        <v>167</v>
      </c>
      <c r="G711" t="str">
        <f>HYPERLINK("http://www.ncbi.nlm.nih.gov/Taxonomy/Browser/wwwtax.cgi?mode=Info&amp;id=201329&amp;lvl=3&amp;lin=f&amp;keep=1&amp;srchmode=1&amp;unlock","Illadopsis cleaveri")</f>
        <v>Illadopsis cleaveri</v>
      </c>
      <c r="H711" t="s">
        <v>672</v>
      </c>
      <c r="I711" t="str">
        <f>HYPERLINK("http://www.ncbi.nlm.nih.gov/protein/NXM54660.1","PRGR protein")</f>
        <v>PRGR protein</v>
      </c>
      <c r="J711">
        <v>455.29</v>
      </c>
      <c r="K711" t="s">
        <v>25</v>
      </c>
      <c r="L711">
        <v>157</v>
      </c>
      <c r="M711">
        <v>44.41</v>
      </c>
      <c r="N711">
        <v>24.24</v>
      </c>
      <c r="O711" t="s">
        <v>20</v>
      </c>
      <c r="P711" t="s">
        <v>965</v>
      </c>
      <c r="Q711" t="s">
        <v>20</v>
      </c>
      <c r="R711" t="str">
        <f>HYPERLINK("https://cfpub.epa.gov/ecotox/explore.cfm?ncbi=201329","Explore in ECOTOX")</f>
        <v>Explore in ECOTOX</v>
      </c>
    </row>
    <row r="712" spans="1:18" x14ac:dyDescent="0.25">
      <c r="A712">
        <v>6</v>
      </c>
      <c r="B712" t="str">
        <f>HYPERLINK("http://www.ncbi.nlm.nih.gov/protein/NXR67941.1","NXR67941.1")</f>
        <v>NXR67941.1</v>
      </c>
      <c r="C712">
        <v>13653</v>
      </c>
      <c r="D712" t="str">
        <f>HYPERLINK("http://www.ncbi.nlm.nih.gov/Taxonomy/Browser/wwwtax.cgi?mode=Info&amp;id=2585818&amp;lvl=3&amp;lin=f&amp;keep=1&amp;srchmode=1&amp;unlock","2585818")</f>
        <v>2585818</v>
      </c>
      <c r="E712" t="s">
        <v>167</v>
      </c>
      <c r="F712" t="s">
        <v>167</v>
      </c>
      <c r="G712" t="str">
        <f>HYPERLINK("http://www.ncbi.nlm.nih.gov/Taxonomy/Browser/wwwtax.cgi?mode=Info&amp;id=2585818&amp;lvl=3&amp;lin=f&amp;keep=1&amp;srchmode=1&amp;unlock","Rhadina sibilatrix")</f>
        <v>Rhadina sibilatrix</v>
      </c>
      <c r="H712" t="s">
        <v>206</v>
      </c>
      <c r="I712" t="str">
        <f>HYPERLINK("http://www.ncbi.nlm.nih.gov/protein/NXR67941.1","PRGR protein")</f>
        <v>PRGR protein</v>
      </c>
      <c r="J712">
        <v>455.29</v>
      </c>
      <c r="K712" t="s">
        <v>25</v>
      </c>
      <c r="L712">
        <v>157</v>
      </c>
      <c r="M712">
        <v>44.41</v>
      </c>
      <c r="N712">
        <v>24.24</v>
      </c>
      <c r="O712" t="s">
        <v>20</v>
      </c>
      <c r="P712" t="s">
        <v>965</v>
      </c>
      <c r="Q712" t="s">
        <v>20</v>
      </c>
      <c r="R712" t="str">
        <f>HYPERLINK("https://cfpub.epa.gov/ecotox/explore.cfm?ncbi=2585818","Explore in ECOTOX")</f>
        <v>Explore in ECOTOX</v>
      </c>
    </row>
    <row r="713" spans="1:18" x14ac:dyDescent="0.25">
      <c r="A713">
        <v>6</v>
      </c>
      <c r="B713" t="str">
        <f>HYPERLINK("http://www.ncbi.nlm.nih.gov/protein/NWZ43965.1","NWZ43965.1")</f>
        <v>NWZ43965.1</v>
      </c>
      <c r="C713">
        <v>12884</v>
      </c>
      <c r="D713" t="str">
        <f>HYPERLINK("http://www.ncbi.nlm.nih.gov/Taxonomy/Browser/wwwtax.cgi?mode=Info&amp;id=182895&amp;lvl=3&amp;lin=f&amp;keep=1&amp;srchmode=1&amp;unlock","182895")</f>
        <v>182895</v>
      </c>
      <c r="E713" t="s">
        <v>167</v>
      </c>
      <c r="F713" t="s">
        <v>167</v>
      </c>
      <c r="G713" t="str">
        <f>HYPERLINK("http://www.ncbi.nlm.nih.gov/Taxonomy/Browser/wwwtax.cgi?mode=Info&amp;id=182895&amp;lvl=3&amp;lin=f&amp;keep=1&amp;srchmode=1&amp;unlock","Brachypodius atriceps")</f>
        <v>Brachypodius atriceps</v>
      </c>
      <c r="H713" t="s">
        <v>470</v>
      </c>
      <c r="I713" t="str">
        <f>HYPERLINK("http://www.ncbi.nlm.nih.gov/protein/NWZ43965.1","PRGR protein")</f>
        <v>PRGR protein</v>
      </c>
      <c r="J713">
        <v>455.29</v>
      </c>
      <c r="K713" t="s">
        <v>25</v>
      </c>
      <c r="L713">
        <v>157</v>
      </c>
      <c r="M713">
        <v>44.41</v>
      </c>
      <c r="N713">
        <v>24.24</v>
      </c>
      <c r="O713" t="s">
        <v>20</v>
      </c>
      <c r="P713" t="s">
        <v>965</v>
      </c>
      <c r="Q713" t="s">
        <v>20</v>
      </c>
      <c r="R713" t="str">
        <f>HYPERLINK("https://cfpub.epa.gov/ecotox/explore.cfm?ncbi=182895","Explore in ECOTOX")</f>
        <v>Explore in ECOTOX</v>
      </c>
    </row>
    <row r="714" spans="1:18" x14ac:dyDescent="0.25">
      <c r="A714">
        <v>6</v>
      </c>
      <c r="B714" t="str">
        <f>HYPERLINK("http://www.ncbi.nlm.nih.gov/protein/NXY44881.1","NXY44881.1")</f>
        <v>NXY44881.1</v>
      </c>
      <c r="C714">
        <v>12235</v>
      </c>
      <c r="D714" t="str">
        <f>HYPERLINK("http://www.ncbi.nlm.nih.gov/Taxonomy/Browser/wwwtax.cgi?mode=Info&amp;id=1961834&amp;lvl=3&amp;lin=f&amp;keep=1&amp;srchmode=1&amp;unlock","1961834")</f>
        <v>1961834</v>
      </c>
      <c r="E714" t="s">
        <v>167</v>
      </c>
      <c r="F714" t="s">
        <v>167</v>
      </c>
      <c r="G714" t="str">
        <f>HYPERLINK("http://www.ncbi.nlm.nih.gov/Taxonomy/Browser/wwwtax.cgi?mode=Info&amp;id=1961834&amp;lvl=3&amp;lin=f&amp;keep=1&amp;srchmode=1&amp;unlock","Ceuthmochares aereus")</f>
        <v>Ceuthmochares aereus</v>
      </c>
      <c r="H714" t="s">
        <v>184</v>
      </c>
      <c r="I714" t="str">
        <f>HYPERLINK("http://www.ncbi.nlm.nih.gov/protein/NXY44881.1","PRGR protein")</f>
        <v>PRGR protein</v>
      </c>
      <c r="J714">
        <v>454.91</v>
      </c>
      <c r="K714" t="s">
        <v>25</v>
      </c>
      <c r="L714">
        <v>157</v>
      </c>
      <c r="M714">
        <v>44.41</v>
      </c>
      <c r="N714">
        <v>24.22</v>
      </c>
      <c r="O714" t="s">
        <v>20</v>
      </c>
      <c r="P714" t="s">
        <v>965</v>
      </c>
      <c r="Q714" t="s">
        <v>20</v>
      </c>
      <c r="R714" t="str">
        <f>HYPERLINK("https://cfpub.epa.gov/ecotox/explore.cfm?ncbi=1961834","Explore in ECOTOX")</f>
        <v>Explore in ECOTOX</v>
      </c>
    </row>
    <row r="715" spans="1:18" x14ac:dyDescent="0.25">
      <c r="A715">
        <v>6</v>
      </c>
      <c r="B715" t="str">
        <f>HYPERLINK("http://www.ncbi.nlm.nih.gov/protein/NXB01963.1","NXB01963.1")</f>
        <v>NXB01963.1</v>
      </c>
      <c r="C715">
        <v>14160</v>
      </c>
      <c r="D715" t="str">
        <f>HYPERLINK("http://www.ncbi.nlm.nih.gov/Taxonomy/Browser/wwwtax.cgi?mode=Info&amp;id=254448&amp;lvl=3&amp;lin=f&amp;keep=1&amp;srchmode=1&amp;unlock","254448")</f>
        <v>254448</v>
      </c>
      <c r="E715" t="s">
        <v>167</v>
      </c>
      <c r="F715" t="s">
        <v>167</v>
      </c>
      <c r="G715" t="str">
        <f>HYPERLINK("http://www.ncbi.nlm.nih.gov/Taxonomy/Browser/wwwtax.cgi?mode=Info&amp;id=254448&amp;lvl=3&amp;lin=f&amp;keep=1&amp;srchmode=1&amp;unlock","Cnemophilus loriae")</f>
        <v>Cnemophilus loriae</v>
      </c>
      <c r="H715" t="s">
        <v>410</v>
      </c>
      <c r="I715" t="str">
        <f>HYPERLINK("http://www.ncbi.nlm.nih.gov/protein/NXB01963.1","PRGR protein")</f>
        <v>PRGR protein</v>
      </c>
      <c r="J715">
        <v>454.91</v>
      </c>
      <c r="K715" t="s">
        <v>25</v>
      </c>
      <c r="L715">
        <v>157</v>
      </c>
      <c r="M715">
        <v>44.41</v>
      </c>
      <c r="N715">
        <v>24.22</v>
      </c>
      <c r="O715" t="s">
        <v>20</v>
      </c>
      <c r="P715" t="s">
        <v>965</v>
      </c>
      <c r="Q715" t="s">
        <v>20</v>
      </c>
      <c r="R715" t="str">
        <f>HYPERLINK("https://cfpub.epa.gov/ecotox/explore.cfm?ncbi=254448","Explore in ECOTOX")</f>
        <v>Explore in ECOTOX</v>
      </c>
    </row>
    <row r="716" spans="1:18" x14ac:dyDescent="0.25">
      <c r="A716">
        <v>6</v>
      </c>
      <c r="B716" t="str">
        <f>HYPERLINK("http://www.ncbi.nlm.nih.gov/protein/NXK41785.1","NXK41785.1")</f>
        <v>NXK41785.1</v>
      </c>
      <c r="C716">
        <v>14174</v>
      </c>
      <c r="D716" t="str">
        <f>HYPERLINK("http://www.ncbi.nlm.nih.gov/Taxonomy/Browser/wwwtax.cgi?mode=Info&amp;id=114369&amp;lvl=3&amp;lin=f&amp;keep=1&amp;srchmode=1&amp;unlock","114369")</f>
        <v>114369</v>
      </c>
      <c r="E716" t="s">
        <v>167</v>
      </c>
      <c r="F716" t="s">
        <v>167</v>
      </c>
      <c r="G716" t="str">
        <f>HYPERLINK("http://www.ncbi.nlm.nih.gov/Taxonomy/Browser/wwwtax.cgi?mode=Info&amp;id=114369&amp;lvl=3&amp;lin=f&amp;keep=1&amp;srchmode=1&amp;unlock","Piprites chloris")</f>
        <v>Piprites chloris</v>
      </c>
      <c r="H716" t="s">
        <v>389</v>
      </c>
      <c r="I716" t="str">
        <f>HYPERLINK("http://www.ncbi.nlm.nih.gov/protein/NXK41785.1","PRGR protein")</f>
        <v>PRGR protein</v>
      </c>
      <c r="J716">
        <v>454.91</v>
      </c>
      <c r="K716" t="s">
        <v>25</v>
      </c>
      <c r="L716">
        <v>157</v>
      </c>
      <c r="M716">
        <v>44.41</v>
      </c>
      <c r="N716">
        <v>24.22</v>
      </c>
      <c r="O716" t="s">
        <v>20</v>
      </c>
      <c r="P716" t="s">
        <v>965</v>
      </c>
      <c r="Q716" t="s">
        <v>20</v>
      </c>
      <c r="R716" t="str">
        <f>HYPERLINK("https://cfpub.epa.gov/ecotox/explore.cfm?ncbi=114369","Explore in ECOTOX")</f>
        <v>Explore in ECOTOX</v>
      </c>
    </row>
    <row r="717" spans="1:18" x14ac:dyDescent="0.25">
      <c r="A717">
        <v>6</v>
      </c>
      <c r="B717" t="str">
        <f>HYPERLINK("http://www.ncbi.nlm.nih.gov/protein/NXE64016.1","NXE64016.1")</f>
        <v>NXE64016.1</v>
      </c>
      <c r="C717">
        <v>13710</v>
      </c>
      <c r="D717" t="str">
        <f>HYPERLINK("http://www.ncbi.nlm.nih.gov/Taxonomy/Browser/wwwtax.cgi?mode=Info&amp;id=198940&amp;lvl=3&amp;lin=f&amp;keep=1&amp;srchmode=1&amp;unlock","198940")</f>
        <v>198940</v>
      </c>
      <c r="E717" t="s">
        <v>167</v>
      </c>
      <c r="F717" t="s">
        <v>167</v>
      </c>
      <c r="G717" t="str">
        <f>HYPERLINK("http://www.ncbi.nlm.nih.gov/Taxonomy/Browser/wwwtax.cgi?mode=Info&amp;id=198940&amp;lvl=3&amp;lin=f&amp;keep=1&amp;srchmode=1&amp;unlock","Calcarius ornatus")</f>
        <v>Calcarius ornatus</v>
      </c>
      <c r="H717" t="s">
        <v>206</v>
      </c>
      <c r="I717" t="str">
        <f>HYPERLINK("http://www.ncbi.nlm.nih.gov/protein/NXE64016.1","PRGR protein")</f>
        <v>PRGR protein</v>
      </c>
      <c r="J717">
        <v>454.91</v>
      </c>
      <c r="K717" t="s">
        <v>25</v>
      </c>
      <c r="L717">
        <v>157</v>
      </c>
      <c r="M717">
        <v>44.41</v>
      </c>
      <c r="N717">
        <v>24.22</v>
      </c>
      <c r="O717" t="s">
        <v>20</v>
      </c>
      <c r="P717" t="s">
        <v>965</v>
      </c>
      <c r="Q717" t="s">
        <v>20</v>
      </c>
      <c r="R717" t="str">
        <f>HYPERLINK("https://cfpub.epa.gov/ecotox/explore.cfm?ncbi=198940","Explore in ECOTOX")</f>
        <v>Explore in ECOTOX</v>
      </c>
    </row>
    <row r="718" spans="1:18" x14ac:dyDescent="0.25">
      <c r="A718">
        <v>6</v>
      </c>
      <c r="B718" t="str">
        <f>HYPERLINK("http://www.ncbi.nlm.nih.gov/protein/NXA95636.1","NXA95636.1")</f>
        <v>NXA95636.1</v>
      </c>
      <c r="C718">
        <v>13996</v>
      </c>
      <c r="D718" t="str">
        <f>HYPERLINK("http://www.ncbi.nlm.nih.gov/Taxonomy/Browser/wwwtax.cgi?mode=Info&amp;id=254552&amp;lvl=3&amp;lin=f&amp;keep=1&amp;srchmode=1&amp;unlock","254552")</f>
        <v>254552</v>
      </c>
      <c r="E718" t="s">
        <v>167</v>
      </c>
      <c r="F718" t="s">
        <v>167</v>
      </c>
      <c r="G718" t="str">
        <f>HYPERLINK("http://www.ncbi.nlm.nih.gov/Taxonomy/Browser/wwwtax.cgi?mode=Info&amp;id=254552&amp;lvl=3&amp;lin=f&amp;keep=1&amp;srchmode=1&amp;unlock","Melanocharis versteri")</f>
        <v>Melanocharis versteri</v>
      </c>
      <c r="H718" t="s">
        <v>368</v>
      </c>
      <c r="I718" t="str">
        <f>HYPERLINK("http://www.ncbi.nlm.nih.gov/protein/NXA95636.1","PRGR protein")</f>
        <v>PRGR protein</v>
      </c>
      <c r="J718">
        <v>454.52</v>
      </c>
      <c r="K718" t="s">
        <v>25</v>
      </c>
      <c r="L718">
        <v>157</v>
      </c>
      <c r="M718">
        <v>44.41</v>
      </c>
      <c r="N718">
        <v>24.19</v>
      </c>
      <c r="O718" t="s">
        <v>20</v>
      </c>
      <c r="P718" t="s">
        <v>965</v>
      </c>
      <c r="Q718" t="s">
        <v>20</v>
      </c>
      <c r="R718" t="str">
        <f>HYPERLINK("https://cfpub.epa.gov/ecotox/explore.cfm?ncbi=254552","Explore in ECOTOX")</f>
        <v>Explore in ECOTOX</v>
      </c>
    </row>
    <row r="719" spans="1:18" x14ac:dyDescent="0.25">
      <c r="A719">
        <v>6</v>
      </c>
      <c r="B719" t="str">
        <f>HYPERLINK("http://www.ncbi.nlm.nih.gov/protein/NWW59125.1","NWW59125.1")</f>
        <v>NWW59125.1</v>
      </c>
      <c r="C719">
        <v>14068</v>
      </c>
      <c r="D719" t="str">
        <f>HYPERLINK("http://www.ncbi.nlm.nih.gov/Taxonomy/Browser/wwwtax.cgi?mode=Info&amp;id=461245&amp;lvl=3&amp;lin=f&amp;keep=1&amp;srchmode=1&amp;unlock","461245")</f>
        <v>461245</v>
      </c>
      <c r="E719" t="s">
        <v>167</v>
      </c>
      <c r="F719" t="s">
        <v>167</v>
      </c>
      <c r="G719" t="str">
        <f>HYPERLINK("http://www.ncbi.nlm.nih.gov/Taxonomy/Browser/wwwtax.cgi?mode=Info&amp;id=461245&amp;lvl=3&amp;lin=f&amp;keep=1&amp;srchmode=1&amp;unlock","Ifrita kowaldi")</f>
        <v>Ifrita kowaldi</v>
      </c>
      <c r="H719" t="s">
        <v>375</v>
      </c>
      <c r="I719" t="str">
        <f>HYPERLINK("http://www.ncbi.nlm.nih.gov/protein/NWW59125.1","PRGR protein")</f>
        <v>PRGR protein</v>
      </c>
      <c r="J719">
        <v>454.52</v>
      </c>
      <c r="K719" t="s">
        <v>25</v>
      </c>
      <c r="L719">
        <v>157</v>
      </c>
      <c r="M719">
        <v>44.41</v>
      </c>
      <c r="N719">
        <v>24.19</v>
      </c>
      <c r="O719" t="s">
        <v>20</v>
      </c>
      <c r="P719" t="s">
        <v>965</v>
      </c>
      <c r="Q719" t="s">
        <v>20</v>
      </c>
      <c r="R719" t="str">
        <f>HYPERLINK("https://cfpub.epa.gov/ecotox/explore.cfm?ncbi=461245","Explore in ECOTOX")</f>
        <v>Explore in ECOTOX</v>
      </c>
    </row>
    <row r="720" spans="1:18" x14ac:dyDescent="0.25">
      <c r="A720">
        <v>6</v>
      </c>
      <c r="B720" t="str">
        <f>HYPERLINK("http://www.ncbi.nlm.nih.gov/protein/A7XW20.1","A7XW20.1")</f>
        <v>A7XW20.1</v>
      </c>
      <c r="C720">
        <v>18</v>
      </c>
      <c r="D720" t="str">
        <f>HYPERLINK("http://www.ncbi.nlm.nih.gov/Taxonomy/Browser/wwwtax.cgi?mode=Info&amp;id=30598&amp;lvl=3&amp;lin=f&amp;keep=1&amp;srchmode=1&amp;unlock","30598")</f>
        <v>30598</v>
      </c>
      <c r="E720" t="s">
        <v>18</v>
      </c>
      <c r="F720" t="s">
        <v>18</v>
      </c>
      <c r="G720" t="str">
        <f>HYPERLINK("http://www.ncbi.nlm.nih.gov/Taxonomy/Browser/wwwtax.cgi?mode=Info&amp;id=30598&amp;lvl=3&amp;lin=f&amp;keep=1&amp;srchmode=1&amp;unlock","Pithecia irrorata")</f>
        <v>Pithecia irrorata</v>
      </c>
      <c r="H720" t="s">
        <v>1036</v>
      </c>
      <c r="I720" t="str">
        <f>HYPERLINK("http://www.ncbi.nlm.nih.gov/protein/A7XW20.1","RecName: Full=Progesterone receptor; Short=PR; AltName: Full=Nuclear receptor subfamily 3 group C member 3")</f>
        <v>RecName: Full=Progesterone receptor; Short=PR; AltName: Full=Nuclear receptor subfamily 3 group C member 3</v>
      </c>
      <c r="J720">
        <v>454.52</v>
      </c>
      <c r="K720" t="s">
        <v>25</v>
      </c>
      <c r="L720">
        <v>157</v>
      </c>
      <c r="M720">
        <v>44.41</v>
      </c>
      <c r="N720">
        <v>24.19</v>
      </c>
      <c r="O720" t="s">
        <v>20</v>
      </c>
      <c r="P720" t="s">
        <v>965</v>
      </c>
      <c r="Q720" t="s">
        <v>20</v>
      </c>
      <c r="R720" t="str">
        <f>HYPERLINK("https://cfpub.epa.gov/ecotox/explore.cfm?ncbi=30598","Explore in ECOTOX")</f>
        <v>Explore in ECOTOX</v>
      </c>
    </row>
    <row r="721" spans="1:18" x14ac:dyDescent="0.25">
      <c r="A721">
        <v>6</v>
      </c>
      <c r="B721" t="str">
        <f>HYPERLINK("http://www.ncbi.nlm.nih.gov/protein/NWW04487.1","NWW04487.1")</f>
        <v>NWW04487.1</v>
      </c>
      <c r="C721">
        <v>14030</v>
      </c>
      <c r="D721" t="str">
        <f>HYPERLINK("http://www.ncbi.nlm.nih.gov/Taxonomy/Browser/wwwtax.cgi?mode=Info&amp;id=979223&amp;lvl=3&amp;lin=f&amp;keep=1&amp;srchmode=1&amp;unlock","979223")</f>
        <v>979223</v>
      </c>
      <c r="E721" t="s">
        <v>167</v>
      </c>
      <c r="F721" t="s">
        <v>167</v>
      </c>
      <c r="G721" t="str">
        <f>HYPERLINK("http://www.ncbi.nlm.nih.gov/Taxonomy/Browser/wwwtax.cgi?mode=Info&amp;id=979223&amp;lvl=3&amp;lin=f&amp;keep=1&amp;srchmode=1&amp;unlock","Oreocharis arfaki")</f>
        <v>Oreocharis arfaki</v>
      </c>
      <c r="H721" t="s">
        <v>365</v>
      </c>
      <c r="I721" t="str">
        <f>HYPERLINK("http://www.ncbi.nlm.nih.gov/protein/NWW04487.1","PRGR protein")</f>
        <v>PRGR protein</v>
      </c>
      <c r="J721">
        <v>454.52</v>
      </c>
      <c r="K721" t="s">
        <v>25</v>
      </c>
      <c r="L721">
        <v>157</v>
      </c>
      <c r="M721">
        <v>44.41</v>
      </c>
      <c r="N721">
        <v>24.19</v>
      </c>
      <c r="O721" t="s">
        <v>20</v>
      </c>
      <c r="P721" t="s">
        <v>965</v>
      </c>
      <c r="Q721" t="s">
        <v>20</v>
      </c>
      <c r="R721" t="str">
        <f>HYPERLINK("https://cfpub.epa.gov/ecotox/explore.cfm?ncbi=979223","Explore in ECOTOX")</f>
        <v>Explore in ECOTOX</v>
      </c>
    </row>
    <row r="722" spans="1:18" x14ac:dyDescent="0.25">
      <c r="A722">
        <v>6</v>
      </c>
      <c r="B722" t="str">
        <f>HYPERLINK("http://www.ncbi.nlm.nih.gov/protein/NXO13233.1","NXO13233.1")</f>
        <v>NXO13233.1</v>
      </c>
      <c r="C722">
        <v>13996</v>
      </c>
      <c r="D722" t="str">
        <f>HYPERLINK("http://www.ncbi.nlm.nih.gov/Taxonomy/Browser/wwwtax.cgi?mode=Info&amp;id=181099&amp;lvl=3&amp;lin=f&amp;keep=1&amp;srchmode=1&amp;unlock","181099")</f>
        <v>181099</v>
      </c>
      <c r="E722" t="s">
        <v>167</v>
      </c>
      <c r="F722" t="s">
        <v>167</v>
      </c>
      <c r="G722" t="str">
        <f>HYPERLINK("http://www.ncbi.nlm.nih.gov/Taxonomy/Browser/wwwtax.cgi?mode=Info&amp;id=181099&amp;lvl=3&amp;lin=f&amp;keep=1&amp;srchmode=1&amp;unlock","Oriolus oriolus")</f>
        <v>Oriolus oriolus</v>
      </c>
      <c r="H722" t="s">
        <v>363</v>
      </c>
      <c r="I722" t="str">
        <f>HYPERLINK("http://www.ncbi.nlm.nih.gov/protein/NXO13233.1","PRGR protein")</f>
        <v>PRGR protein</v>
      </c>
      <c r="J722">
        <v>454.52</v>
      </c>
      <c r="K722" t="s">
        <v>25</v>
      </c>
      <c r="L722">
        <v>157</v>
      </c>
      <c r="M722">
        <v>44.41</v>
      </c>
      <c r="N722">
        <v>24.19</v>
      </c>
      <c r="O722" t="s">
        <v>20</v>
      </c>
      <c r="P722" t="s">
        <v>965</v>
      </c>
      <c r="Q722" t="s">
        <v>20</v>
      </c>
      <c r="R722" t="str">
        <f>HYPERLINK("https://cfpub.epa.gov/ecotox/explore.cfm?ncbi=181099","Explore in ECOTOX")</f>
        <v>Explore in ECOTOX</v>
      </c>
    </row>
    <row r="723" spans="1:18" x14ac:dyDescent="0.25">
      <c r="A723">
        <v>6</v>
      </c>
      <c r="B723" t="str">
        <f>HYPERLINK("http://www.ncbi.nlm.nih.gov/protein/NXC52326.1","NXC52326.1")</f>
        <v>NXC52326.1</v>
      </c>
      <c r="C723">
        <v>13927</v>
      </c>
      <c r="D723" t="str">
        <f>HYPERLINK("http://www.ncbi.nlm.nih.gov/Taxonomy/Browser/wwwtax.cgi?mode=Info&amp;id=461220&amp;lvl=3&amp;lin=f&amp;keep=1&amp;srchmode=1&amp;unlock","461220")</f>
        <v>461220</v>
      </c>
      <c r="E723" t="s">
        <v>167</v>
      </c>
      <c r="F723" t="s">
        <v>167</v>
      </c>
      <c r="G723" t="str">
        <f>HYPERLINK("http://www.ncbi.nlm.nih.gov/Taxonomy/Browser/wwwtax.cgi?mode=Info&amp;id=461220&amp;lvl=3&amp;lin=f&amp;keep=1&amp;srchmode=1&amp;unlock","Aleadryas rufinucha")</f>
        <v>Aleadryas rufinucha</v>
      </c>
      <c r="H723" t="s">
        <v>332</v>
      </c>
      <c r="I723" t="str">
        <f>HYPERLINK("http://www.ncbi.nlm.nih.gov/protein/NXC52326.1","PRGR protein")</f>
        <v>PRGR protein</v>
      </c>
      <c r="J723">
        <v>454.14</v>
      </c>
      <c r="K723" t="s">
        <v>25</v>
      </c>
      <c r="L723">
        <v>157</v>
      </c>
      <c r="M723">
        <v>44.41</v>
      </c>
      <c r="N723">
        <v>24.17</v>
      </c>
      <c r="O723" t="s">
        <v>20</v>
      </c>
      <c r="P723" t="s">
        <v>965</v>
      </c>
      <c r="Q723" t="s">
        <v>20</v>
      </c>
      <c r="R723" t="str">
        <f>HYPERLINK("https://cfpub.epa.gov/ecotox/explore.cfm?ncbi=461220","Explore in ECOTOX")</f>
        <v>Explore in ECOTOX</v>
      </c>
    </row>
    <row r="724" spans="1:18" x14ac:dyDescent="0.25">
      <c r="A724">
        <v>6</v>
      </c>
      <c r="B724" t="str">
        <f>HYPERLINK("http://www.ncbi.nlm.nih.gov/protein/NXQ29462.1","NXQ29462.1")</f>
        <v>NXQ29462.1</v>
      </c>
      <c r="C724">
        <v>14376</v>
      </c>
      <c r="D724" t="str">
        <f>HYPERLINK("http://www.ncbi.nlm.nih.gov/Taxonomy/Browser/wwwtax.cgi?mode=Info&amp;id=670337&amp;lvl=3&amp;lin=f&amp;keep=1&amp;srchmode=1&amp;unlock","670337")</f>
        <v>670337</v>
      </c>
      <c r="E724" t="s">
        <v>167</v>
      </c>
      <c r="F724" t="s">
        <v>167</v>
      </c>
      <c r="G724" t="str">
        <f>HYPERLINK("http://www.ncbi.nlm.nih.gov/Taxonomy/Browser/wwwtax.cgi?mode=Info&amp;id=670337&amp;lvl=3&amp;lin=f&amp;keep=1&amp;srchmode=1&amp;unlock","Alaudala cheleensis")</f>
        <v>Alaudala cheleensis</v>
      </c>
      <c r="H724" t="s">
        <v>383</v>
      </c>
      <c r="I724" t="str">
        <f>HYPERLINK("http://www.ncbi.nlm.nih.gov/protein/NXQ29462.1","PRGR protein")</f>
        <v>PRGR protein</v>
      </c>
      <c r="J724">
        <v>454.14</v>
      </c>
      <c r="K724" t="s">
        <v>25</v>
      </c>
      <c r="L724">
        <v>157</v>
      </c>
      <c r="M724">
        <v>44.41</v>
      </c>
      <c r="N724">
        <v>24.17</v>
      </c>
      <c r="O724" t="s">
        <v>20</v>
      </c>
      <c r="P724" t="s">
        <v>965</v>
      </c>
      <c r="Q724" t="s">
        <v>20</v>
      </c>
      <c r="R724" t="str">
        <f>HYPERLINK("https://cfpub.epa.gov/ecotox/explore.cfm?ncbi=670337","Explore in ECOTOX")</f>
        <v>Explore in ECOTOX</v>
      </c>
    </row>
    <row r="725" spans="1:18" x14ac:dyDescent="0.25">
      <c r="A725">
        <v>6</v>
      </c>
      <c r="B725" t="str">
        <f>HYPERLINK("http://www.ncbi.nlm.nih.gov/protein/NXU17841.1","NXU17841.1")</f>
        <v>NXU17841.1</v>
      </c>
      <c r="C725">
        <v>13722</v>
      </c>
      <c r="D725" t="str">
        <f>HYPERLINK("http://www.ncbi.nlm.nih.gov/Taxonomy/Browser/wwwtax.cgi?mode=Info&amp;id=254575&amp;lvl=3&amp;lin=f&amp;keep=1&amp;srchmode=1&amp;unlock","254575")</f>
        <v>254575</v>
      </c>
      <c r="E725" t="s">
        <v>167</v>
      </c>
      <c r="F725" t="s">
        <v>167</v>
      </c>
      <c r="G725" t="str">
        <f>HYPERLINK("http://www.ncbi.nlm.nih.gov/Taxonomy/Browser/wwwtax.cgi?mode=Info&amp;id=254575&amp;lvl=3&amp;lin=f&amp;keep=1&amp;srchmode=1&amp;unlock","Pardalotus punctatus")</f>
        <v>Pardalotus punctatus</v>
      </c>
      <c r="H725" t="s">
        <v>331</v>
      </c>
      <c r="I725" t="str">
        <f>HYPERLINK("http://www.ncbi.nlm.nih.gov/protein/NXU17841.1","PRGR protein")</f>
        <v>PRGR protein</v>
      </c>
      <c r="J725">
        <v>453.75</v>
      </c>
      <c r="K725" t="s">
        <v>25</v>
      </c>
      <c r="L725">
        <v>157</v>
      </c>
      <c r="M725">
        <v>44.41</v>
      </c>
      <c r="N725">
        <v>24.15</v>
      </c>
      <c r="O725" t="s">
        <v>20</v>
      </c>
      <c r="P725" t="s">
        <v>965</v>
      </c>
      <c r="Q725" t="s">
        <v>20</v>
      </c>
      <c r="R725" t="str">
        <f>HYPERLINK("https://cfpub.epa.gov/ecotox/explore.cfm?ncbi=254575","Explore in ECOTOX")</f>
        <v>Explore in ECOTOX</v>
      </c>
    </row>
    <row r="726" spans="1:18" x14ac:dyDescent="0.25">
      <c r="A726">
        <v>6</v>
      </c>
      <c r="B726" t="str">
        <f>HYPERLINK("http://www.ncbi.nlm.nih.gov/protein/NXN91261.1","NXN91261.1")</f>
        <v>NXN91261.1</v>
      </c>
      <c r="C726">
        <v>14850</v>
      </c>
      <c r="D726" t="str">
        <f>HYPERLINK("http://www.ncbi.nlm.nih.gov/Taxonomy/Browser/wwwtax.cgi?mode=Info&amp;id=113115&amp;lvl=3&amp;lin=f&amp;keep=1&amp;srchmode=1&amp;unlock","113115")</f>
        <v>113115</v>
      </c>
      <c r="E726" t="s">
        <v>167</v>
      </c>
      <c r="F726" t="s">
        <v>167</v>
      </c>
      <c r="G726" t="str">
        <f>HYPERLINK("http://www.ncbi.nlm.nih.gov/Taxonomy/Browser/wwwtax.cgi?mode=Info&amp;id=113115&amp;lvl=3&amp;lin=f&amp;keep=1&amp;srchmode=1&amp;unlock","Rhinopomastus cyanomelas")</f>
        <v>Rhinopomastus cyanomelas</v>
      </c>
      <c r="H726" t="s">
        <v>243</v>
      </c>
      <c r="I726" t="str">
        <f>HYPERLINK("http://www.ncbi.nlm.nih.gov/protein/NXN91261.1","PRGR protein")</f>
        <v>PRGR protein</v>
      </c>
      <c r="J726">
        <v>453.75</v>
      </c>
      <c r="K726" t="s">
        <v>25</v>
      </c>
      <c r="L726">
        <v>157</v>
      </c>
      <c r="M726">
        <v>44.41</v>
      </c>
      <c r="N726">
        <v>24.15</v>
      </c>
      <c r="O726" t="s">
        <v>20</v>
      </c>
      <c r="P726" t="s">
        <v>965</v>
      </c>
      <c r="Q726" t="s">
        <v>20</v>
      </c>
      <c r="R726" t="str">
        <f>HYPERLINK("https://cfpub.epa.gov/ecotox/explore.cfm?ncbi=113115","Explore in ECOTOX")</f>
        <v>Explore in ECOTOX</v>
      </c>
    </row>
    <row r="727" spans="1:18" x14ac:dyDescent="0.25">
      <c r="A727">
        <v>6</v>
      </c>
      <c r="B727" t="str">
        <f>HYPERLINK("http://www.ncbi.nlm.nih.gov/protein/NWU27473.1","NWU27473.1")</f>
        <v>NWU27473.1</v>
      </c>
      <c r="C727">
        <v>14053</v>
      </c>
      <c r="D727" t="str">
        <f>HYPERLINK("http://www.ncbi.nlm.nih.gov/Taxonomy/Browser/wwwtax.cgi?mode=Info&amp;id=1160851&amp;lvl=3&amp;lin=f&amp;keep=1&amp;srchmode=1&amp;unlock","1160851")</f>
        <v>1160851</v>
      </c>
      <c r="E727" t="s">
        <v>167</v>
      </c>
      <c r="F727" t="s">
        <v>167</v>
      </c>
      <c r="G727" t="str">
        <f>HYPERLINK("http://www.ncbi.nlm.nih.gov/Taxonomy/Browser/wwwtax.cgi?mode=Info&amp;id=1160851&amp;lvl=3&amp;lin=f&amp;keep=1&amp;srchmode=1&amp;unlock","Platysteira castanea")</f>
        <v>Platysteira castanea</v>
      </c>
      <c r="H727" t="s">
        <v>206</v>
      </c>
      <c r="I727" t="str">
        <f>HYPERLINK("http://www.ncbi.nlm.nih.gov/protein/NWU27473.1","PRGR protein")</f>
        <v>PRGR protein</v>
      </c>
      <c r="J727">
        <v>453.75</v>
      </c>
      <c r="K727" t="s">
        <v>25</v>
      </c>
      <c r="L727">
        <v>157</v>
      </c>
      <c r="M727">
        <v>44.41</v>
      </c>
      <c r="N727">
        <v>24.15</v>
      </c>
      <c r="O727" t="s">
        <v>20</v>
      </c>
      <c r="P727" t="s">
        <v>965</v>
      </c>
      <c r="Q727" t="s">
        <v>20</v>
      </c>
      <c r="R727" t="str">
        <f>HYPERLINK("https://cfpub.epa.gov/ecotox/explore.cfm?ncbi=1160851","Explore in ECOTOX")</f>
        <v>Explore in ECOTOX</v>
      </c>
    </row>
    <row r="728" spans="1:18" x14ac:dyDescent="0.25">
      <c r="A728">
        <v>6</v>
      </c>
      <c r="B728" t="str">
        <f>HYPERLINK("http://www.ncbi.nlm.nih.gov/protein/NXV77955.1","NXV77955.1")</f>
        <v>NXV77955.1</v>
      </c>
      <c r="C728">
        <v>13752</v>
      </c>
      <c r="D728" t="str">
        <f>HYPERLINK("http://www.ncbi.nlm.nih.gov/Taxonomy/Browser/wwwtax.cgi?mode=Info&amp;id=2478892&amp;lvl=3&amp;lin=f&amp;keep=1&amp;srchmode=1&amp;unlock","2478892")</f>
        <v>2478892</v>
      </c>
      <c r="E728" t="s">
        <v>167</v>
      </c>
      <c r="F728" t="s">
        <v>167</v>
      </c>
      <c r="G728" t="str">
        <f>HYPERLINK("http://www.ncbi.nlm.nih.gov/Taxonomy/Browser/wwwtax.cgi?mode=Info&amp;id=2478892&amp;lvl=3&amp;lin=f&amp;keep=1&amp;srchmode=1&amp;unlock","Atlantisia rogersi")</f>
        <v>Atlantisia rogersi</v>
      </c>
      <c r="H728" t="s">
        <v>216</v>
      </c>
      <c r="I728" t="str">
        <f>HYPERLINK("http://www.ncbi.nlm.nih.gov/protein/NXV77955.1","PRGR protein")</f>
        <v>PRGR protein</v>
      </c>
      <c r="J728">
        <v>453.75</v>
      </c>
      <c r="K728" t="s">
        <v>25</v>
      </c>
      <c r="L728">
        <v>157</v>
      </c>
      <c r="M728">
        <v>44.41</v>
      </c>
      <c r="N728">
        <v>24.15</v>
      </c>
      <c r="O728" t="s">
        <v>20</v>
      </c>
      <c r="P728" t="s">
        <v>965</v>
      </c>
      <c r="Q728" t="s">
        <v>20</v>
      </c>
      <c r="R728" t="str">
        <f>HYPERLINK("https://cfpub.epa.gov/ecotox/explore.cfm?ncbi=2478892","Explore in ECOTOX")</f>
        <v>Explore in ECOTOX</v>
      </c>
    </row>
    <row r="729" spans="1:18" x14ac:dyDescent="0.25">
      <c r="A729">
        <v>6</v>
      </c>
      <c r="B729" t="str">
        <f>HYPERLINK("http://www.ncbi.nlm.nih.gov/protein/PKU45950.1","PKU45950.1")</f>
        <v>PKU45950.1</v>
      </c>
      <c r="C729">
        <v>23022</v>
      </c>
      <c r="D729" t="str">
        <f>HYPERLINK("http://www.ncbi.nlm.nih.gov/Taxonomy/Browser/wwwtax.cgi?mode=Info&amp;id=1758121&amp;lvl=3&amp;lin=f&amp;keep=1&amp;srchmode=1&amp;unlock","1758121")</f>
        <v>1758121</v>
      </c>
      <c r="E729" t="s">
        <v>167</v>
      </c>
      <c r="F729" t="s">
        <v>167</v>
      </c>
      <c r="G729" t="str">
        <f>HYPERLINK("http://www.ncbi.nlm.nih.gov/Taxonomy/Browser/wwwtax.cgi?mode=Info&amp;id=1758121&amp;lvl=3&amp;lin=f&amp;keep=1&amp;srchmode=1&amp;unlock","Limosa lapponica baueri")</f>
        <v>Limosa lapponica baueri</v>
      </c>
      <c r="H729" t="s">
        <v>178</v>
      </c>
      <c r="I729" t="str">
        <f>HYPERLINK("http://www.ncbi.nlm.nih.gov/protein/PKU45950.1","progesterone receptor")</f>
        <v>progesterone receptor</v>
      </c>
      <c r="J729">
        <v>453.37</v>
      </c>
      <c r="K729" t="s">
        <v>25</v>
      </c>
      <c r="L729">
        <v>157</v>
      </c>
      <c r="M729">
        <v>44.41</v>
      </c>
      <c r="N729">
        <v>24.13</v>
      </c>
      <c r="O729" t="s">
        <v>20</v>
      </c>
      <c r="P729" t="s">
        <v>965</v>
      </c>
      <c r="Q729" t="s">
        <v>20</v>
      </c>
      <c r="R729" t="str">
        <f>HYPERLINK("https://cfpub.epa.gov/ecotox/explore.cfm?ncbi=1758121","Explore in ECOTOX")</f>
        <v>Explore in ECOTOX</v>
      </c>
    </row>
    <row r="730" spans="1:18" x14ac:dyDescent="0.25">
      <c r="A730">
        <v>6</v>
      </c>
      <c r="B730" t="str">
        <f>HYPERLINK("http://www.ncbi.nlm.nih.gov/protein/KAF1395716.1","KAF1395716.1")</f>
        <v>KAF1395716.1</v>
      </c>
      <c r="C730">
        <v>15390</v>
      </c>
      <c r="D730" t="str">
        <f>HYPERLINK("http://www.ncbi.nlm.nih.gov/Taxonomy/Browser/wwwtax.cgi?mode=Info&amp;id=9240&amp;lvl=3&amp;lin=f&amp;keep=1&amp;srchmode=1&amp;unlock","9240")</f>
        <v>9240</v>
      </c>
      <c r="E730" t="s">
        <v>167</v>
      </c>
      <c r="F730" t="s">
        <v>167</v>
      </c>
      <c r="G730" t="str">
        <f>HYPERLINK("http://www.ncbi.nlm.nih.gov/Taxonomy/Browser/wwwtax.cgi?mode=Info&amp;id=9240&amp;lvl=3&amp;lin=f&amp;keep=1&amp;srchmode=1&amp;unlock","Spheniscus humboldti")</f>
        <v>Spheniscus humboldti</v>
      </c>
      <c r="H730" t="s">
        <v>248</v>
      </c>
      <c r="I730" t="str">
        <f>HYPERLINK("http://www.ncbi.nlm.nih.gov/protein/KAF1395716.1","Progesterone receptor, partial")</f>
        <v>Progesterone receptor, partial</v>
      </c>
      <c r="J730">
        <v>453.37</v>
      </c>
      <c r="K730" t="s">
        <v>25</v>
      </c>
      <c r="L730">
        <v>157</v>
      </c>
      <c r="M730">
        <v>44.41</v>
      </c>
      <c r="N730">
        <v>24.13</v>
      </c>
      <c r="O730" t="s">
        <v>20</v>
      </c>
      <c r="P730" t="s">
        <v>965</v>
      </c>
      <c r="Q730" t="s">
        <v>20</v>
      </c>
      <c r="R730" t="str">
        <f>HYPERLINK("https://cfpub.epa.gov/ecotox/explore.cfm?ncbi=9240","Explore in ECOTOX")</f>
        <v>Explore in ECOTOX</v>
      </c>
    </row>
    <row r="731" spans="1:18" x14ac:dyDescent="0.25">
      <c r="A731">
        <v>6</v>
      </c>
      <c r="B731" t="str">
        <f>HYPERLINK("http://www.ncbi.nlm.nih.gov/protein/NXH14741.1","NXH14741.1")</f>
        <v>NXH14741.1</v>
      </c>
      <c r="C731">
        <v>14440</v>
      </c>
      <c r="D731" t="str">
        <f>HYPERLINK("http://www.ncbi.nlm.nih.gov/Taxonomy/Browser/wwwtax.cgi?mode=Info&amp;id=135168&amp;lvl=3&amp;lin=f&amp;keep=1&amp;srchmode=1&amp;unlock","135168")</f>
        <v>135168</v>
      </c>
      <c r="E731" t="s">
        <v>167</v>
      </c>
      <c r="F731" t="s">
        <v>167</v>
      </c>
      <c r="G731" t="str">
        <f>HYPERLINK("http://www.ncbi.nlm.nih.gov/Taxonomy/Browser/wwwtax.cgi?mode=Info&amp;id=135168&amp;lvl=3&amp;lin=f&amp;keep=1&amp;srchmode=1&amp;unlock","Bucco capensis")</f>
        <v>Bucco capensis</v>
      </c>
      <c r="H731" t="s">
        <v>192</v>
      </c>
      <c r="I731" t="str">
        <f>HYPERLINK("http://www.ncbi.nlm.nih.gov/protein/NXH14741.1","PRGR protein")</f>
        <v>PRGR protein</v>
      </c>
      <c r="J731">
        <v>453.37</v>
      </c>
      <c r="K731" t="s">
        <v>25</v>
      </c>
      <c r="L731">
        <v>157</v>
      </c>
      <c r="M731">
        <v>44.41</v>
      </c>
      <c r="N731">
        <v>24.13</v>
      </c>
      <c r="O731" t="s">
        <v>20</v>
      </c>
      <c r="P731" t="s">
        <v>965</v>
      </c>
      <c r="Q731" t="s">
        <v>20</v>
      </c>
      <c r="R731" t="str">
        <f>HYPERLINK("https://cfpub.epa.gov/ecotox/explore.cfm?ncbi=135168","Explore in ECOTOX")</f>
        <v>Explore in ECOTOX</v>
      </c>
    </row>
    <row r="732" spans="1:18" x14ac:dyDescent="0.25">
      <c r="A732">
        <v>6</v>
      </c>
      <c r="B732" t="str">
        <f>HYPERLINK("http://www.ncbi.nlm.nih.gov/protein/NXP33717.1","NXP33717.1")</f>
        <v>NXP33717.1</v>
      </c>
      <c r="C732">
        <v>13696</v>
      </c>
      <c r="D732" t="str">
        <f>HYPERLINK("http://www.ncbi.nlm.nih.gov/Taxonomy/Browser/wwwtax.cgi?mode=Info&amp;id=36275&amp;lvl=3&amp;lin=f&amp;keep=1&amp;srchmode=1&amp;unlock","36275")</f>
        <v>36275</v>
      </c>
      <c r="E732" t="s">
        <v>167</v>
      </c>
      <c r="F732" t="s">
        <v>167</v>
      </c>
      <c r="G732" t="str">
        <f>HYPERLINK("http://www.ncbi.nlm.nih.gov/Taxonomy/Browser/wwwtax.cgi?mode=Info&amp;id=36275&amp;lvl=3&amp;lin=f&amp;keep=1&amp;srchmode=1&amp;unlock","Leiothrix lutea")</f>
        <v>Leiothrix lutea</v>
      </c>
      <c r="H732" t="s">
        <v>664</v>
      </c>
      <c r="I732" t="str">
        <f>HYPERLINK("http://www.ncbi.nlm.nih.gov/protein/NXP33717.1","PRGR protein")</f>
        <v>PRGR protein</v>
      </c>
      <c r="J732">
        <v>452.98</v>
      </c>
      <c r="K732" t="s">
        <v>25</v>
      </c>
      <c r="L732">
        <v>157</v>
      </c>
      <c r="M732">
        <v>44.41</v>
      </c>
      <c r="N732">
        <v>24.11</v>
      </c>
      <c r="O732" t="s">
        <v>20</v>
      </c>
      <c r="P732" t="s">
        <v>965</v>
      </c>
      <c r="Q732" t="s">
        <v>20</v>
      </c>
      <c r="R732" t="str">
        <f>HYPERLINK("https://cfpub.epa.gov/ecotox/explore.cfm?ncbi=36275","Explore in ECOTOX")</f>
        <v>Explore in ECOTOX</v>
      </c>
    </row>
    <row r="733" spans="1:18" x14ac:dyDescent="0.25">
      <c r="A733">
        <v>6</v>
      </c>
      <c r="B733" t="str">
        <f>HYPERLINK("http://www.ncbi.nlm.nih.gov/protein/NXN50359.1","NXN50359.1")</f>
        <v>NXN50359.1</v>
      </c>
      <c r="C733">
        <v>14353</v>
      </c>
      <c r="D733" t="str">
        <f>HYPERLINK("http://www.ncbi.nlm.nih.gov/Taxonomy/Browser/wwwtax.cgi?mode=Info&amp;id=227184&amp;lvl=3&amp;lin=f&amp;keep=1&amp;srchmode=1&amp;unlock","227184")</f>
        <v>227184</v>
      </c>
      <c r="E733" t="s">
        <v>167</v>
      </c>
      <c r="F733" t="s">
        <v>167</v>
      </c>
      <c r="G733" t="str">
        <f>HYPERLINK("http://www.ncbi.nlm.nih.gov/Taxonomy/Browser/wwwtax.cgi?mode=Info&amp;id=227184&amp;lvl=3&amp;lin=f&amp;keep=1&amp;srchmode=1&amp;unlock","Rynchops niger")</f>
        <v>Rynchops niger</v>
      </c>
      <c r="H733" t="s">
        <v>212</v>
      </c>
      <c r="I733" t="str">
        <f>HYPERLINK("http://www.ncbi.nlm.nih.gov/protein/NXN50359.1","PRGR protein")</f>
        <v>PRGR protein</v>
      </c>
      <c r="J733">
        <v>452.98</v>
      </c>
      <c r="K733" t="s">
        <v>25</v>
      </c>
      <c r="L733">
        <v>157</v>
      </c>
      <c r="M733">
        <v>44.41</v>
      </c>
      <c r="N733">
        <v>24.11</v>
      </c>
      <c r="O733" t="s">
        <v>20</v>
      </c>
      <c r="P733" t="s">
        <v>965</v>
      </c>
      <c r="Q733" t="s">
        <v>20</v>
      </c>
      <c r="R733" t="str">
        <f>HYPERLINK("https://cfpub.epa.gov/ecotox/explore.cfm?ncbi=227184","Explore in ECOTOX")</f>
        <v>Explore in ECOTOX</v>
      </c>
    </row>
    <row r="734" spans="1:18" x14ac:dyDescent="0.25">
      <c r="A734">
        <v>6</v>
      </c>
      <c r="B734" t="str">
        <f>HYPERLINK("http://www.ncbi.nlm.nih.gov/protein/NXW08936.1","NXW08936.1")</f>
        <v>NXW08936.1</v>
      </c>
      <c r="C734">
        <v>13534</v>
      </c>
      <c r="D734" t="str">
        <f>HYPERLINK("http://www.ncbi.nlm.nih.gov/Taxonomy/Browser/wwwtax.cgi?mode=Info&amp;id=79628&amp;lvl=3&amp;lin=f&amp;keep=1&amp;srchmode=1&amp;unlock","79628")</f>
        <v>79628</v>
      </c>
      <c r="E734" t="s">
        <v>167</v>
      </c>
      <c r="F734" t="s">
        <v>167</v>
      </c>
      <c r="G734" t="str">
        <f>HYPERLINK("http://www.ncbi.nlm.nih.gov/Taxonomy/Browser/wwwtax.cgi?mode=Info&amp;id=79628&amp;lvl=3&amp;lin=f&amp;keep=1&amp;srchmode=1&amp;unlock","Fregetta grallaria")</f>
        <v>Fregetta grallaria</v>
      </c>
      <c r="H734" t="s">
        <v>189</v>
      </c>
      <c r="I734" t="str">
        <f>HYPERLINK("http://www.ncbi.nlm.nih.gov/protein/NXW08936.1","PRGR protein")</f>
        <v>PRGR protein</v>
      </c>
      <c r="J734">
        <v>452.98</v>
      </c>
      <c r="K734" t="s">
        <v>25</v>
      </c>
      <c r="L734">
        <v>157</v>
      </c>
      <c r="M734">
        <v>44.41</v>
      </c>
      <c r="N734">
        <v>24.11</v>
      </c>
      <c r="O734" t="s">
        <v>20</v>
      </c>
      <c r="P734" t="s">
        <v>965</v>
      </c>
      <c r="Q734" t="s">
        <v>20</v>
      </c>
      <c r="R734" t="str">
        <f>HYPERLINK("https://cfpub.epa.gov/ecotox/explore.cfm?ncbi=79628","Explore in ECOTOX")</f>
        <v>Explore in ECOTOX</v>
      </c>
    </row>
    <row r="735" spans="1:18" x14ac:dyDescent="0.25">
      <c r="A735">
        <v>6</v>
      </c>
      <c r="B735" t="str">
        <f>HYPERLINK("http://www.ncbi.nlm.nih.gov/protein/KAF1567971.1","KAF1567971.1")</f>
        <v>KAF1567971.1</v>
      </c>
      <c r="C735">
        <v>15573</v>
      </c>
      <c r="D735" t="str">
        <f>HYPERLINK("http://www.ncbi.nlm.nih.gov/Taxonomy/Browser/wwwtax.cgi?mode=Info&amp;id=345251&amp;lvl=3&amp;lin=f&amp;keep=1&amp;srchmode=1&amp;unlock","345251")</f>
        <v>345251</v>
      </c>
      <c r="E735" t="s">
        <v>167</v>
      </c>
      <c r="F735" t="s">
        <v>167</v>
      </c>
      <c r="G735" t="str">
        <f>HYPERLINK("http://www.ncbi.nlm.nih.gov/Taxonomy/Browser/wwwtax.cgi?mode=Info&amp;id=345251&amp;lvl=3&amp;lin=f&amp;keep=1&amp;srchmode=1&amp;unlock","Eudyptes robustus")</f>
        <v>Eudyptes robustus</v>
      </c>
      <c r="H735" t="s">
        <v>252</v>
      </c>
      <c r="I735" t="str">
        <f>HYPERLINK("http://www.ncbi.nlm.nih.gov/protein/KAF1567971.1","Progesterone receptor, partial")</f>
        <v>Progesterone receptor, partial</v>
      </c>
      <c r="J735">
        <v>452.21</v>
      </c>
      <c r="K735" t="s">
        <v>25</v>
      </c>
      <c r="L735">
        <v>157</v>
      </c>
      <c r="M735">
        <v>44.41</v>
      </c>
      <c r="N735">
        <v>24.07</v>
      </c>
      <c r="O735" t="s">
        <v>20</v>
      </c>
      <c r="P735" t="s">
        <v>965</v>
      </c>
      <c r="Q735" t="s">
        <v>20</v>
      </c>
      <c r="R735" t="str">
        <f>HYPERLINK("https://cfpub.epa.gov/ecotox/explore.cfm?ncbi=345251","Explore in ECOTOX")</f>
        <v>Explore in ECOTOX</v>
      </c>
    </row>
    <row r="736" spans="1:18" x14ac:dyDescent="0.25">
      <c r="A736">
        <v>6</v>
      </c>
      <c r="B736" t="str">
        <f>HYPERLINK("http://www.ncbi.nlm.nih.gov/protein/KAF1569999.1","KAF1569999.1")</f>
        <v>KAF1569999.1</v>
      </c>
      <c r="C736">
        <v>15786</v>
      </c>
      <c r="D736" t="str">
        <f>HYPERLINK("http://www.ncbi.nlm.nih.gov/Taxonomy/Browser/wwwtax.cgi?mode=Info&amp;id=57240&amp;lvl=3&amp;lin=f&amp;keep=1&amp;srchmode=1&amp;unlock","57240")</f>
        <v>57240</v>
      </c>
      <c r="E736" t="s">
        <v>167</v>
      </c>
      <c r="F736" t="s">
        <v>167</v>
      </c>
      <c r="G736" t="str">
        <f>HYPERLINK("http://www.ncbi.nlm.nih.gov/Taxonomy/Browser/wwwtax.cgi?mode=Info&amp;id=57240&amp;lvl=3&amp;lin=f&amp;keep=1&amp;srchmode=1&amp;unlock","Eudyptes schlegeli")</f>
        <v>Eudyptes schlegeli</v>
      </c>
      <c r="H736" t="s">
        <v>256</v>
      </c>
      <c r="I736" t="str">
        <f>HYPERLINK("http://www.ncbi.nlm.nih.gov/protein/KAF1569999.1","Progesterone receptor, partial")</f>
        <v>Progesterone receptor, partial</v>
      </c>
      <c r="J736">
        <v>452.21</v>
      </c>
      <c r="K736" t="s">
        <v>25</v>
      </c>
      <c r="L736">
        <v>157</v>
      </c>
      <c r="M736">
        <v>44.41</v>
      </c>
      <c r="N736">
        <v>24.07</v>
      </c>
      <c r="O736" t="s">
        <v>20</v>
      </c>
      <c r="P736" t="s">
        <v>965</v>
      </c>
      <c r="Q736" t="s">
        <v>20</v>
      </c>
      <c r="R736" t="str">
        <f>HYPERLINK("https://cfpub.epa.gov/ecotox/explore.cfm?ncbi=57240","Explore in ECOTOX")</f>
        <v>Explore in ECOTOX</v>
      </c>
    </row>
    <row r="737" spans="1:18" x14ac:dyDescent="0.25">
      <c r="A737">
        <v>6</v>
      </c>
      <c r="B737" t="str">
        <f>HYPERLINK("http://www.ncbi.nlm.nih.gov/protein/NXN24131.1","NXN24131.1")</f>
        <v>NXN24131.1</v>
      </c>
      <c r="C737">
        <v>14331</v>
      </c>
      <c r="D737" t="str">
        <f>HYPERLINK("http://www.ncbi.nlm.nih.gov/Taxonomy/Browser/wwwtax.cgi?mode=Info&amp;id=227226&amp;lvl=3&amp;lin=f&amp;keep=1&amp;srchmode=1&amp;unlock","227226")</f>
        <v>227226</v>
      </c>
      <c r="E737" t="s">
        <v>167</v>
      </c>
      <c r="F737" t="s">
        <v>167</v>
      </c>
      <c r="G737" t="str">
        <f>HYPERLINK("http://www.ncbi.nlm.nih.gov/Taxonomy/Browser/wwwtax.cgi?mode=Info&amp;id=227226&amp;lvl=3&amp;lin=f&amp;keep=1&amp;srchmode=1&amp;unlock","Nycticryphes semicollaris")</f>
        <v>Nycticryphes semicollaris</v>
      </c>
      <c r="H737" t="s">
        <v>185</v>
      </c>
      <c r="I737" t="str">
        <f>HYPERLINK("http://www.ncbi.nlm.nih.gov/protein/NXN24131.1","PRGR protein")</f>
        <v>PRGR protein</v>
      </c>
      <c r="J737">
        <v>451.44</v>
      </c>
      <c r="K737" t="s">
        <v>25</v>
      </c>
      <c r="L737">
        <v>157</v>
      </c>
      <c r="M737">
        <v>44.41</v>
      </c>
      <c r="N737">
        <v>24.03</v>
      </c>
      <c r="O737" t="s">
        <v>20</v>
      </c>
      <c r="P737" t="s">
        <v>965</v>
      </c>
      <c r="Q737" t="s">
        <v>20</v>
      </c>
      <c r="R737" t="str">
        <f>HYPERLINK("https://cfpub.epa.gov/ecotox/explore.cfm?ncbi=227226","Explore in ECOTOX")</f>
        <v>Explore in ECOTOX</v>
      </c>
    </row>
    <row r="738" spans="1:18" x14ac:dyDescent="0.25">
      <c r="A738">
        <v>6</v>
      </c>
      <c r="B738" t="str">
        <f>HYPERLINK("http://www.ncbi.nlm.nih.gov/protein/NXQ54262.1","NXQ54262.1")</f>
        <v>NXQ54262.1</v>
      </c>
      <c r="C738">
        <v>13596</v>
      </c>
      <c r="D738" t="str">
        <f>HYPERLINK("http://www.ncbi.nlm.nih.gov/Taxonomy/Browser/wwwtax.cgi?mode=Info&amp;id=156561&amp;lvl=3&amp;lin=f&amp;keep=1&amp;srchmode=1&amp;unlock","156561")</f>
        <v>156561</v>
      </c>
      <c r="E738" t="s">
        <v>167</v>
      </c>
      <c r="F738" t="s">
        <v>167</v>
      </c>
      <c r="G738" t="str">
        <f>HYPERLINK("http://www.ncbi.nlm.nih.gov/Taxonomy/Browser/wwwtax.cgi?mode=Info&amp;id=156561&amp;lvl=3&amp;lin=f&amp;keep=1&amp;srchmode=1&amp;unlock","Anthoscopus minutus")</f>
        <v>Anthoscopus minutus</v>
      </c>
      <c r="H738" t="s">
        <v>325</v>
      </c>
      <c r="I738" t="str">
        <f>HYPERLINK("http://www.ncbi.nlm.nih.gov/protein/NXQ54262.1","PRGR protein")</f>
        <v>PRGR protein</v>
      </c>
      <c r="J738">
        <v>451.44</v>
      </c>
      <c r="K738" t="s">
        <v>25</v>
      </c>
      <c r="L738">
        <v>157</v>
      </c>
      <c r="M738">
        <v>44.41</v>
      </c>
      <c r="N738">
        <v>24.03</v>
      </c>
      <c r="O738" t="s">
        <v>20</v>
      </c>
      <c r="P738" t="s">
        <v>965</v>
      </c>
      <c r="Q738" t="s">
        <v>20</v>
      </c>
      <c r="R738" t="str">
        <f>HYPERLINK("https://cfpub.epa.gov/ecotox/explore.cfm?ncbi=156561","Explore in ECOTOX")</f>
        <v>Explore in ECOTOX</v>
      </c>
    </row>
    <row r="739" spans="1:18" x14ac:dyDescent="0.25">
      <c r="A739">
        <v>6</v>
      </c>
      <c r="B739" t="str">
        <f>HYPERLINK("http://www.ncbi.nlm.nih.gov/protein/XP_010151496.1","XP_010151496.1")</f>
        <v>XP_010151496.1</v>
      </c>
      <c r="C739">
        <v>27322</v>
      </c>
      <c r="D739" t="str">
        <f>HYPERLINK("http://www.ncbi.nlm.nih.gov/Taxonomy/Browser/wwwtax.cgi?mode=Info&amp;id=54383&amp;lvl=3&amp;lin=f&amp;keep=1&amp;srchmode=1&amp;unlock","54383")</f>
        <v>54383</v>
      </c>
      <c r="E739" t="s">
        <v>167</v>
      </c>
      <c r="F739" t="s">
        <v>167</v>
      </c>
      <c r="G739" t="str">
        <f>HYPERLINK("http://www.ncbi.nlm.nih.gov/Taxonomy/Browser/wwwtax.cgi?mode=Info&amp;id=54383&amp;lvl=3&amp;lin=f&amp;keep=1&amp;srchmode=1&amp;unlock","Eurypyga helias")</f>
        <v>Eurypyga helias</v>
      </c>
      <c r="H739" t="s">
        <v>198</v>
      </c>
      <c r="I739" t="str">
        <f>HYPERLINK("http://www.ncbi.nlm.nih.gov/protein/XP_010151496.1","PREDICTED: progesterone receptor, partial")</f>
        <v>PREDICTED: progesterone receptor, partial</v>
      </c>
      <c r="J739">
        <v>451.44</v>
      </c>
      <c r="K739" t="s">
        <v>25</v>
      </c>
      <c r="L739">
        <v>157</v>
      </c>
      <c r="M739">
        <v>44.41</v>
      </c>
      <c r="N739">
        <v>24.03</v>
      </c>
      <c r="O739" t="s">
        <v>20</v>
      </c>
      <c r="P739" t="s">
        <v>965</v>
      </c>
      <c r="Q739" t="s">
        <v>20</v>
      </c>
      <c r="R739" t="str">
        <f>HYPERLINK("https://cfpub.epa.gov/ecotox/explore.cfm?ncbi=54383","Explore in ECOTOX")</f>
        <v>Explore in ECOTOX</v>
      </c>
    </row>
    <row r="740" spans="1:18" x14ac:dyDescent="0.25">
      <c r="A740">
        <v>6</v>
      </c>
      <c r="B740" t="str">
        <f>HYPERLINK("http://www.ncbi.nlm.nih.gov/protein/XP_008936915.1","XP_008936915.1")</f>
        <v>XP_008936915.1</v>
      </c>
      <c r="C740">
        <v>26772</v>
      </c>
      <c r="D740" t="str">
        <f>HYPERLINK("http://www.ncbi.nlm.nih.gov/Taxonomy/Browser/wwwtax.cgi?mode=Info&amp;id=57421&amp;lvl=3&amp;lin=f&amp;keep=1&amp;srchmode=1&amp;unlock","57421")</f>
        <v>57421</v>
      </c>
      <c r="E740" t="s">
        <v>167</v>
      </c>
      <c r="F740" t="s">
        <v>167</v>
      </c>
      <c r="G740" t="str">
        <f>HYPERLINK("http://www.ncbi.nlm.nih.gov/Taxonomy/Browser/wwwtax.cgi?mode=Info&amp;id=57421&amp;lvl=3&amp;lin=f&amp;keep=1&amp;srchmode=1&amp;unlock","Merops nubicus")</f>
        <v>Merops nubicus</v>
      </c>
      <c r="H740" t="s">
        <v>245</v>
      </c>
      <c r="I740" t="str">
        <f>HYPERLINK("http://www.ncbi.nlm.nih.gov/protein/XP_008936915.1","PREDICTED: progesterone receptor, partial")</f>
        <v>PREDICTED: progesterone receptor, partial</v>
      </c>
      <c r="J740">
        <v>451.06</v>
      </c>
      <c r="K740" t="s">
        <v>25</v>
      </c>
      <c r="L740">
        <v>157</v>
      </c>
      <c r="M740">
        <v>44.41</v>
      </c>
      <c r="N740">
        <v>24.01</v>
      </c>
      <c r="O740" t="s">
        <v>20</v>
      </c>
      <c r="P740" t="s">
        <v>965</v>
      </c>
      <c r="Q740" t="s">
        <v>20</v>
      </c>
      <c r="R740" t="str">
        <f>HYPERLINK("https://cfpub.epa.gov/ecotox/explore.cfm?ncbi=57421","Explore in ECOTOX")</f>
        <v>Explore in ECOTOX</v>
      </c>
    </row>
    <row r="741" spans="1:18" x14ac:dyDescent="0.25">
      <c r="A741">
        <v>6</v>
      </c>
      <c r="B741" t="str">
        <f>HYPERLINK("http://www.ncbi.nlm.nih.gov/protein/NXE80257.1","NXE80257.1")</f>
        <v>NXE80257.1</v>
      </c>
      <c r="C741">
        <v>14098</v>
      </c>
      <c r="D741" t="str">
        <f>HYPERLINK("http://www.ncbi.nlm.nih.gov/Taxonomy/Browser/wwwtax.cgi?mode=Info&amp;id=110676&amp;lvl=3&amp;lin=f&amp;keep=1&amp;srchmode=1&amp;unlock","110676")</f>
        <v>110676</v>
      </c>
      <c r="E741" t="s">
        <v>167</v>
      </c>
      <c r="F741" t="s">
        <v>167</v>
      </c>
      <c r="G741" t="str">
        <f>HYPERLINK("http://www.ncbi.nlm.nih.gov/Taxonomy/Browser/wwwtax.cgi?mode=Info&amp;id=110676&amp;lvl=3&amp;lin=f&amp;keep=1&amp;srchmode=1&amp;unlock","Cochlearius cochlearius")</f>
        <v>Cochlearius cochlearius</v>
      </c>
      <c r="H741" t="s">
        <v>199</v>
      </c>
      <c r="I741" t="str">
        <f>HYPERLINK("http://www.ncbi.nlm.nih.gov/protein/NXE80257.1","PRGR protein")</f>
        <v>PRGR protein</v>
      </c>
      <c r="J741">
        <v>451.06</v>
      </c>
      <c r="K741" t="s">
        <v>25</v>
      </c>
      <c r="L741">
        <v>157</v>
      </c>
      <c r="M741">
        <v>44.41</v>
      </c>
      <c r="N741">
        <v>24.01</v>
      </c>
      <c r="O741" t="s">
        <v>20</v>
      </c>
      <c r="P741" t="s">
        <v>965</v>
      </c>
      <c r="Q741" t="s">
        <v>20</v>
      </c>
      <c r="R741" t="str">
        <f>HYPERLINK("https://cfpub.epa.gov/ecotox/explore.cfm?ncbi=110676","Explore in ECOTOX")</f>
        <v>Explore in ECOTOX</v>
      </c>
    </row>
    <row r="742" spans="1:18" x14ac:dyDescent="0.25">
      <c r="A742">
        <v>6</v>
      </c>
      <c r="B742" t="str">
        <f>HYPERLINK("http://www.ncbi.nlm.nih.gov/protein/KAF3838057.1","KAF3838057.1")</f>
        <v>KAF3838057.1</v>
      </c>
      <c r="C742">
        <v>29423</v>
      </c>
      <c r="D742" t="str">
        <f>HYPERLINK("http://www.ncbi.nlm.nih.gov/Taxonomy/Browser/wwwtax.cgi?mode=Info&amp;id=36200&amp;lvl=3&amp;lin=f&amp;keep=1&amp;srchmode=1&amp;unlock","36200")</f>
        <v>36200</v>
      </c>
      <c r="E742" t="s">
        <v>384</v>
      </c>
      <c r="F742" t="s">
        <v>384</v>
      </c>
      <c r="G742" t="str">
        <f>HYPERLINK("http://www.ncbi.nlm.nih.gov/Taxonomy/Browser/wwwtax.cgi?mode=Info&amp;id=36200&amp;lvl=3&amp;lin=f&amp;keep=1&amp;srchmode=1&amp;unlock","Dissostichus mawsoni")</f>
        <v>Dissostichus mawsoni</v>
      </c>
      <c r="H742" t="s">
        <v>587</v>
      </c>
      <c r="I742" t="str">
        <f>HYPERLINK("http://www.ncbi.nlm.nih.gov/protein/KAF3838057.1","hypothetical protein F7725_009825")</f>
        <v>hypothetical protein F7725_009825</v>
      </c>
      <c r="J742">
        <v>451.06</v>
      </c>
      <c r="K742" t="s">
        <v>25</v>
      </c>
      <c r="L742">
        <v>157</v>
      </c>
      <c r="M742">
        <v>44.41</v>
      </c>
      <c r="N742">
        <v>24.01</v>
      </c>
      <c r="O742" t="s">
        <v>25</v>
      </c>
      <c r="P742" t="s">
        <v>965</v>
      </c>
      <c r="Q742" t="s">
        <v>20</v>
      </c>
      <c r="R742" t="str">
        <f>HYPERLINK("https://cfpub.epa.gov/ecotox/explore.cfm?ncbi=36200","Explore in ECOTOX")</f>
        <v>Explore in ECOTOX</v>
      </c>
    </row>
    <row r="743" spans="1:18" x14ac:dyDescent="0.25">
      <c r="A743">
        <v>6</v>
      </c>
      <c r="B743" t="str">
        <f>HYPERLINK("http://www.ncbi.nlm.nih.gov/protein/NXU57199.1","NXU57199.1")</f>
        <v>NXU57199.1</v>
      </c>
      <c r="C743">
        <v>13166</v>
      </c>
      <c r="D743" t="str">
        <f>HYPERLINK("http://www.ncbi.nlm.nih.gov/Taxonomy/Browser/wwwtax.cgi?mode=Info&amp;id=2529409&amp;lvl=3&amp;lin=f&amp;keep=1&amp;srchmode=1&amp;unlock","2529409")</f>
        <v>2529409</v>
      </c>
      <c r="E743" t="s">
        <v>167</v>
      </c>
      <c r="F743" t="s">
        <v>167</v>
      </c>
      <c r="G743" t="str">
        <f>HYPERLINK("http://www.ncbi.nlm.nih.gov/Taxonomy/Browser/wwwtax.cgi?mode=Info&amp;id=2529409&amp;lvl=3&amp;lin=f&amp;keep=1&amp;srchmode=1&amp;unlock","Turnix velox")</f>
        <v>Turnix velox</v>
      </c>
      <c r="H743" t="s">
        <v>1037</v>
      </c>
      <c r="I743" t="str">
        <f>HYPERLINK("http://www.ncbi.nlm.nih.gov/protein/NXU57199.1","PRGR protein")</f>
        <v>PRGR protein</v>
      </c>
      <c r="J743">
        <v>451.06</v>
      </c>
      <c r="K743" t="s">
        <v>25</v>
      </c>
      <c r="L743">
        <v>157</v>
      </c>
      <c r="M743">
        <v>44.41</v>
      </c>
      <c r="N743">
        <v>24.01</v>
      </c>
      <c r="O743" t="s">
        <v>20</v>
      </c>
      <c r="P743" t="s">
        <v>965</v>
      </c>
      <c r="Q743" t="s">
        <v>20</v>
      </c>
      <c r="R743" t="str">
        <f>HYPERLINK("https://cfpub.epa.gov/ecotox/explore.cfm?ncbi=2529409","Explore in ECOTOX")</f>
        <v>Explore in ECOTOX</v>
      </c>
    </row>
    <row r="744" spans="1:18" x14ac:dyDescent="0.25">
      <c r="A744">
        <v>6</v>
      </c>
      <c r="B744" t="str">
        <f>HYPERLINK("http://www.ncbi.nlm.nih.gov/protein/NWZ98881.1","NWZ98881.1")</f>
        <v>NWZ98881.1</v>
      </c>
      <c r="C744">
        <v>14106</v>
      </c>
      <c r="D744" t="str">
        <f>HYPERLINK("http://www.ncbi.nlm.nih.gov/Taxonomy/Browser/wwwtax.cgi?mode=Info&amp;id=381881&amp;lvl=3&amp;lin=f&amp;keep=1&amp;srchmode=1&amp;unlock","381881")</f>
        <v>381881</v>
      </c>
      <c r="E744" t="s">
        <v>167</v>
      </c>
      <c r="F744" t="s">
        <v>167</v>
      </c>
      <c r="G744" t="str">
        <f>HYPERLINK("http://www.ncbi.nlm.nih.gov/Taxonomy/Browser/wwwtax.cgi?mode=Info&amp;id=381881&amp;lvl=3&amp;lin=f&amp;keep=1&amp;srchmode=1&amp;unlock","Nesospiza acunhae")</f>
        <v>Nesospiza acunhae</v>
      </c>
      <c r="H744" t="s">
        <v>414</v>
      </c>
      <c r="I744" t="str">
        <f>HYPERLINK("http://www.ncbi.nlm.nih.gov/protein/NWZ98881.1","PRGR protein")</f>
        <v>PRGR protein</v>
      </c>
      <c r="J744">
        <v>450.67</v>
      </c>
      <c r="K744" t="s">
        <v>25</v>
      </c>
      <c r="L744">
        <v>157</v>
      </c>
      <c r="M744">
        <v>44.41</v>
      </c>
      <c r="N744">
        <v>23.99</v>
      </c>
      <c r="O744" t="s">
        <v>20</v>
      </c>
      <c r="P744" t="s">
        <v>965</v>
      </c>
      <c r="Q744" t="s">
        <v>20</v>
      </c>
      <c r="R744" t="str">
        <f>HYPERLINK("https://cfpub.epa.gov/ecotox/explore.cfm?ncbi=381881","Explore in ECOTOX")</f>
        <v>Explore in ECOTOX</v>
      </c>
    </row>
    <row r="745" spans="1:18" x14ac:dyDescent="0.25">
      <c r="A745">
        <v>6</v>
      </c>
      <c r="B745" t="str">
        <f>HYPERLINK("http://www.ncbi.nlm.nih.gov/protein/NXB69914.1","NXB69914.1")</f>
        <v>NXB69914.1</v>
      </c>
      <c r="C745">
        <v>13760</v>
      </c>
      <c r="D745" t="str">
        <f>HYPERLINK("http://www.ncbi.nlm.nih.gov/Taxonomy/Browser/wwwtax.cgi?mode=Info&amp;id=237420&amp;lvl=3&amp;lin=f&amp;keep=1&amp;srchmode=1&amp;unlock","237420")</f>
        <v>237420</v>
      </c>
      <c r="E745" t="s">
        <v>167</v>
      </c>
      <c r="F745" t="s">
        <v>167</v>
      </c>
      <c r="G745" t="str">
        <f>HYPERLINK("http://www.ncbi.nlm.nih.gov/Taxonomy/Browser/wwwtax.cgi?mode=Info&amp;id=237420&amp;lvl=3&amp;lin=f&amp;keep=1&amp;srchmode=1&amp;unlock","Donacobius atricapilla")</f>
        <v>Donacobius atricapilla</v>
      </c>
      <c r="H745" t="s">
        <v>206</v>
      </c>
      <c r="I745" t="str">
        <f>HYPERLINK("http://www.ncbi.nlm.nih.gov/protein/NXB69914.1","PRGR protein")</f>
        <v>PRGR protein</v>
      </c>
      <c r="J745">
        <v>450.28</v>
      </c>
      <c r="K745" t="s">
        <v>25</v>
      </c>
      <c r="L745">
        <v>157</v>
      </c>
      <c r="M745">
        <v>44.41</v>
      </c>
      <c r="N745">
        <v>23.97</v>
      </c>
      <c r="O745" t="s">
        <v>20</v>
      </c>
      <c r="P745" t="s">
        <v>965</v>
      </c>
      <c r="Q745" t="s">
        <v>20</v>
      </c>
      <c r="R745" t="str">
        <f>HYPERLINK("https://cfpub.epa.gov/ecotox/explore.cfm?ncbi=237420","Explore in ECOTOX")</f>
        <v>Explore in ECOTOX</v>
      </c>
    </row>
    <row r="746" spans="1:18" x14ac:dyDescent="0.25">
      <c r="A746">
        <v>6</v>
      </c>
      <c r="B746" t="str">
        <f>HYPERLINK("http://www.ncbi.nlm.nih.gov/protein/NXP07232.1","NXP07232.1")</f>
        <v>NXP07232.1</v>
      </c>
      <c r="C746">
        <v>14091</v>
      </c>
      <c r="D746" t="str">
        <f>HYPERLINK("http://www.ncbi.nlm.nih.gov/Taxonomy/Browser/wwwtax.cgi?mode=Info&amp;id=161742&amp;lvl=3&amp;lin=f&amp;keep=1&amp;srchmode=1&amp;unlock","161742")</f>
        <v>161742</v>
      </c>
      <c r="E746" t="s">
        <v>167</v>
      </c>
      <c r="F746" t="s">
        <v>167</v>
      </c>
      <c r="G746" t="str">
        <f>HYPERLINK("http://www.ncbi.nlm.nih.gov/Taxonomy/Browser/wwwtax.cgi?mode=Info&amp;id=161742&amp;lvl=3&amp;lin=f&amp;keep=1&amp;srchmode=1&amp;unlock","Thinocorus orbignyianus")</f>
        <v>Thinocorus orbignyianus</v>
      </c>
      <c r="H746" t="s">
        <v>217</v>
      </c>
      <c r="I746" t="str">
        <f>HYPERLINK("http://www.ncbi.nlm.nih.gov/protein/NXP07232.1","PRGR protein")</f>
        <v>PRGR protein</v>
      </c>
      <c r="J746">
        <v>450.28</v>
      </c>
      <c r="K746" t="s">
        <v>25</v>
      </c>
      <c r="L746">
        <v>157</v>
      </c>
      <c r="M746">
        <v>44.41</v>
      </c>
      <c r="N746">
        <v>23.97</v>
      </c>
      <c r="O746" t="s">
        <v>20</v>
      </c>
      <c r="P746" t="s">
        <v>965</v>
      </c>
      <c r="Q746" t="s">
        <v>20</v>
      </c>
      <c r="R746" t="str">
        <f>HYPERLINK("https://cfpub.epa.gov/ecotox/explore.cfm?ncbi=161742","Explore in ECOTOX")</f>
        <v>Explore in ECOTOX</v>
      </c>
    </row>
    <row r="747" spans="1:18" x14ac:dyDescent="0.25">
      <c r="A747">
        <v>6</v>
      </c>
      <c r="B747" t="str">
        <f>HYPERLINK("http://www.ncbi.nlm.nih.gov/protein/NXC94022.1","NXC94022.1")</f>
        <v>NXC94022.1</v>
      </c>
      <c r="C747">
        <v>13258</v>
      </c>
      <c r="D747" t="str">
        <f>HYPERLINK("http://www.ncbi.nlm.nih.gov/Taxonomy/Browser/wwwtax.cgi?mode=Info&amp;id=73333&amp;lvl=3&amp;lin=f&amp;keep=1&amp;srchmode=1&amp;unlock","73333")</f>
        <v>73333</v>
      </c>
      <c r="E747" t="s">
        <v>167</v>
      </c>
      <c r="F747" t="s">
        <v>167</v>
      </c>
      <c r="G747" t="str">
        <f>HYPERLINK("http://www.ncbi.nlm.nih.gov/Taxonomy/Browser/wwwtax.cgi?mode=Info&amp;id=73333&amp;lvl=3&amp;lin=f&amp;keep=1&amp;srchmode=1&amp;unlock","Certhia familiaris")</f>
        <v>Certhia familiaris</v>
      </c>
      <c r="H747" t="s">
        <v>460</v>
      </c>
      <c r="I747" t="str">
        <f>HYPERLINK("http://www.ncbi.nlm.nih.gov/protein/NXC94022.1","PRGR protein")</f>
        <v>PRGR protein</v>
      </c>
      <c r="J747">
        <v>450.28</v>
      </c>
      <c r="K747" t="s">
        <v>25</v>
      </c>
      <c r="L747">
        <v>157</v>
      </c>
      <c r="M747">
        <v>44.41</v>
      </c>
      <c r="N747">
        <v>23.97</v>
      </c>
      <c r="O747" t="s">
        <v>20</v>
      </c>
      <c r="P747" t="s">
        <v>965</v>
      </c>
      <c r="Q747" t="s">
        <v>20</v>
      </c>
      <c r="R747" t="str">
        <f>HYPERLINK("https://cfpub.epa.gov/ecotox/explore.cfm?ncbi=73333","Explore in ECOTOX")</f>
        <v>Explore in ECOTOX</v>
      </c>
    </row>
    <row r="748" spans="1:18" x14ac:dyDescent="0.25">
      <c r="A748">
        <v>6</v>
      </c>
      <c r="B748" t="str">
        <f>HYPERLINK("http://www.ncbi.nlm.nih.gov/protein/NXI23268.1","NXI23268.1")</f>
        <v>NXI23268.1</v>
      </c>
      <c r="C748">
        <v>13252</v>
      </c>
      <c r="D748" t="str">
        <f>HYPERLINK("http://www.ncbi.nlm.nih.gov/Taxonomy/Browser/wwwtax.cgi?mode=Info&amp;id=2585820&amp;lvl=3&amp;lin=f&amp;keep=1&amp;srchmode=1&amp;unlock","2585820")</f>
        <v>2585820</v>
      </c>
      <c r="E748" t="s">
        <v>167</v>
      </c>
      <c r="F748" t="s">
        <v>167</v>
      </c>
      <c r="G748" t="str">
        <f>HYPERLINK("http://www.ncbi.nlm.nih.gov/Taxonomy/Browser/wwwtax.cgi?mode=Info&amp;id=2585820&amp;lvl=3&amp;lin=f&amp;keep=1&amp;srchmode=1&amp;unlock","Sterrhoptilus dennistouni")</f>
        <v>Sterrhoptilus dennistouni</v>
      </c>
      <c r="H748" t="s">
        <v>449</v>
      </c>
      <c r="I748" t="str">
        <f>HYPERLINK("http://www.ncbi.nlm.nih.gov/protein/NXI23268.1","PRGR protein")</f>
        <v>PRGR protein</v>
      </c>
      <c r="J748">
        <v>450.28</v>
      </c>
      <c r="K748" t="s">
        <v>25</v>
      </c>
      <c r="L748">
        <v>157</v>
      </c>
      <c r="M748">
        <v>44.41</v>
      </c>
      <c r="N748">
        <v>23.97</v>
      </c>
      <c r="O748" t="s">
        <v>20</v>
      </c>
      <c r="P748" t="s">
        <v>965</v>
      </c>
      <c r="Q748" t="s">
        <v>20</v>
      </c>
      <c r="R748" t="str">
        <f>HYPERLINK("https://cfpub.epa.gov/ecotox/explore.cfm?ncbi=2585820","Explore in ECOTOX")</f>
        <v>Explore in ECOTOX</v>
      </c>
    </row>
    <row r="749" spans="1:18" x14ac:dyDescent="0.25">
      <c r="A749">
        <v>6</v>
      </c>
      <c r="B749" t="str">
        <f>HYPERLINK("http://www.ncbi.nlm.nih.gov/protein/KFV13273.1","KFV13273.1")</f>
        <v>KFV13273.1</v>
      </c>
      <c r="C749">
        <v>28574</v>
      </c>
      <c r="D749" t="str">
        <f>HYPERLINK("http://www.ncbi.nlm.nih.gov/Taxonomy/Browser/wwwtax.cgi?mode=Info&amp;id=121530&amp;lvl=3&amp;lin=f&amp;keep=1&amp;srchmode=1&amp;unlock","121530")</f>
        <v>121530</v>
      </c>
      <c r="E749" t="s">
        <v>167</v>
      </c>
      <c r="F749" t="s">
        <v>167</v>
      </c>
      <c r="G749" t="str">
        <f>HYPERLINK("http://www.ncbi.nlm.nih.gov/Taxonomy/Browser/wwwtax.cgi?mode=Info&amp;id=121530&amp;lvl=3&amp;lin=f&amp;keep=1&amp;srchmode=1&amp;unlock","Tauraco erythrolophus")</f>
        <v>Tauraco erythrolophus</v>
      </c>
      <c r="H749" t="s">
        <v>315</v>
      </c>
      <c r="I749" t="str">
        <f>HYPERLINK("http://www.ncbi.nlm.nih.gov/protein/KFV13273.1","Progesterone receptor, partial")</f>
        <v>Progesterone receptor, partial</v>
      </c>
      <c r="J749">
        <v>450.28</v>
      </c>
      <c r="K749" t="s">
        <v>25</v>
      </c>
      <c r="L749">
        <v>157</v>
      </c>
      <c r="M749">
        <v>44.41</v>
      </c>
      <c r="N749">
        <v>23.97</v>
      </c>
      <c r="O749" t="s">
        <v>20</v>
      </c>
      <c r="P749" t="s">
        <v>965</v>
      </c>
      <c r="Q749" t="s">
        <v>20</v>
      </c>
      <c r="R749" t="str">
        <f>HYPERLINK("https://cfpub.epa.gov/ecotox/explore.cfm?ncbi=121530","Explore in ECOTOX")</f>
        <v>Explore in ECOTOX</v>
      </c>
    </row>
    <row r="750" spans="1:18" x14ac:dyDescent="0.25">
      <c r="A750">
        <v>6</v>
      </c>
      <c r="B750" t="str">
        <f>HYPERLINK("http://www.ncbi.nlm.nih.gov/protein/NWJ09755.1","NWJ09755.1")</f>
        <v>NWJ09755.1</v>
      </c>
      <c r="C750">
        <v>14086</v>
      </c>
      <c r="D750" t="str">
        <f>HYPERLINK("http://www.ncbi.nlm.nih.gov/Taxonomy/Browser/wwwtax.cgi?mode=Info&amp;id=48396&amp;lvl=3&amp;lin=f&amp;keep=1&amp;srchmode=1&amp;unlock","48396")</f>
        <v>48396</v>
      </c>
      <c r="E750" t="s">
        <v>167</v>
      </c>
      <c r="F750" t="s">
        <v>167</v>
      </c>
      <c r="G750" t="str">
        <f>HYPERLINK("http://www.ncbi.nlm.nih.gov/Taxonomy/Browser/wwwtax.cgi?mode=Info&amp;id=48396&amp;lvl=3&amp;lin=f&amp;keep=1&amp;srchmode=1&amp;unlock","Crypturellus undulatus")</f>
        <v>Crypturellus undulatus</v>
      </c>
      <c r="H750" t="s">
        <v>196</v>
      </c>
      <c r="I750" t="str">
        <f>HYPERLINK("http://www.ncbi.nlm.nih.gov/protein/NWJ09755.1","PRGR protein")</f>
        <v>PRGR protein</v>
      </c>
      <c r="J750">
        <v>448.74</v>
      </c>
      <c r="K750" t="s">
        <v>25</v>
      </c>
      <c r="L750">
        <v>157</v>
      </c>
      <c r="M750">
        <v>44.41</v>
      </c>
      <c r="N750">
        <v>23.89</v>
      </c>
      <c r="O750" t="s">
        <v>20</v>
      </c>
      <c r="P750" t="s">
        <v>965</v>
      </c>
      <c r="Q750" t="s">
        <v>20</v>
      </c>
      <c r="R750" t="str">
        <f>HYPERLINK("https://cfpub.epa.gov/ecotox/explore.cfm?ncbi=48396","Explore in ECOTOX")</f>
        <v>Explore in ECOTOX</v>
      </c>
    </row>
    <row r="751" spans="1:18" x14ac:dyDescent="0.25">
      <c r="A751">
        <v>6</v>
      </c>
      <c r="B751" t="str">
        <f>HYPERLINK("http://www.ncbi.nlm.nih.gov/protein/XP_010202267.1","XP_010202267.1")</f>
        <v>XP_010202267.1</v>
      </c>
      <c r="C751">
        <v>26934</v>
      </c>
      <c r="D751" t="str">
        <f>HYPERLINK("http://www.ncbi.nlm.nih.gov/Taxonomy/Browser/wwwtax.cgi?mode=Info&amp;id=57412&amp;lvl=3&amp;lin=f&amp;keep=1&amp;srchmode=1&amp;unlock","57412")</f>
        <v>57412</v>
      </c>
      <c r="E751" t="s">
        <v>167</v>
      </c>
      <c r="F751" t="s">
        <v>167</v>
      </c>
      <c r="G751" t="str">
        <f>HYPERLINK("http://www.ncbi.nlm.nih.gov/Taxonomy/Browser/wwwtax.cgi?mode=Info&amp;id=57412&amp;lvl=3&amp;lin=f&amp;keep=1&amp;srchmode=1&amp;unlock","Colius striatus")</f>
        <v>Colius striatus</v>
      </c>
      <c r="H751" t="s">
        <v>1038</v>
      </c>
      <c r="I751" t="str">
        <f>HYPERLINK("http://www.ncbi.nlm.nih.gov/protein/XP_010202267.1","PREDICTED: androgen receptor, partial")</f>
        <v>PREDICTED: androgen receptor, partial</v>
      </c>
      <c r="J751">
        <v>448.74</v>
      </c>
      <c r="K751" t="s">
        <v>25</v>
      </c>
      <c r="L751">
        <v>157</v>
      </c>
      <c r="M751">
        <v>44.41</v>
      </c>
      <c r="N751">
        <v>23.89</v>
      </c>
      <c r="O751" t="s">
        <v>20</v>
      </c>
      <c r="P751" t="s">
        <v>965</v>
      </c>
      <c r="Q751" t="s">
        <v>20</v>
      </c>
      <c r="R751" t="str">
        <f>HYPERLINK("https://cfpub.epa.gov/ecotox/explore.cfm?ncbi=57412","Explore in ECOTOX")</f>
        <v>Explore in ECOTOX</v>
      </c>
    </row>
    <row r="752" spans="1:18" x14ac:dyDescent="0.25">
      <c r="A752">
        <v>6</v>
      </c>
      <c r="B752" t="str">
        <f>HYPERLINK("http://www.ncbi.nlm.nih.gov/protein/A7XW25.1","A7XW25.1")</f>
        <v>A7XW25.1</v>
      </c>
      <c r="C752">
        <v>64</v>
      </c>
      <c r="D752" t="str">
        <f>HYPERLINK("http://www.ncbi.nlm.nih.gov/Taxonomy/Browser/wwwtax.cgi?mode=Info&amp;id=9510&amp;lvl=3&amp;lin=f&amp;keep=1&amp;srchmode=1&amp;unlock","9510")</f>
        <v>9510</v>
      </c>
      <c r="E752" t="s">
        <v>18</v>
      </c>
      <c r="F752" t="s">
        <v>18</v>
      </c>
      <c r="G752" t="str">
        <f>HYPERLINK("http://www.ncbi.nlm.nih.gov/Taxonomy/Browser/wwwtax.cgi?mode=Info&amp;id=9510&amp;lvl=3&amp;lin=f&amp;keep=1&amp;srchmode=1&amp;unlock","Ateles paniscus")</f>
        <v>Ateles paniscus</v>
      </c>
      <c r="H752" t="s">
        <v>1039</v>
      </c>
      <c r="I752" t="str">
        <f>HYPERLINK("http://www.ncbi.nlm.nih.gov/protein/A7XW25.1","RecName: Full=Progesterone receptor; Short=PR; AltName: Full=Nuclear receptor subfamily 3 group C member 3")</f>
        <v>RecName: Full=Progesterone receptor; Short=PR; AltName: Full=Nuclear receptor subfamily 3 group C member 3</v>
      </c>
      <c r="J752">
        <v>448.74</v>
      </c>
      <c r="K752" t="s">
        <v>25</v>
      </c>
      <c r="L752">
        <v>157</v>
      </c>
      <c r="M752">
        <v>44.41</v>
      </c>
      <c r="N752">
        <v>23.89</v>
      </c>
      <c r="O752" t="s">
        <v>20</v>
      </c>
      <c r="P752" t="s">
        <v>965</v>
      </c>
      <c r="Q752" t="s">
        <v>20</v>
      </c>
      <c r="R752" t="str">
        <f>HYPERLINK("https://cfpub.epa.gov/ecotox/explore.cfm?ncbi=9510","Explore in ECOTOX")</f>
        <v>Explore in ECOTOX</v>
      </c>
    </row>
    <row r="753" spans="1:18" x14ac:dyDescent="0.25">
      <c r="A753">
        <v>6</v>
      </c>
      <c r="B753" t="str">
        <f>HYPERLINK("http://www.ncbi.nlm.nih.gov/protein/ABD46743.1","ABD46743.1")</f>
        <v>ABD46743.1</v>
      </c>
      <c r="C753">
        <v>169</v>
      </c>
      <c r="D753" t="str">
        <f>HYPERLINK("http://www.ncbi.nlm.nih.gov/Taxonomy/Browser/wwwtax.cgi?mode=Info&amp;id=7769&amp;lvl=3&amp;lin=f&amp;keep=1&amp;srchmode=1&amp;unlock","7769")</f>
        <v>7769</v>
      </c>
      <c r="E753" t="s">
        <v>696</v>
      </c>
      <c r="F753" t="s">
        <v>696</v>
      </c>
      <c r="G753" t="str">
        <f>HYPERLINK("http://www.ncbi.nlm.nih.gov/Taxonomy/Browser/wwwtax.cgi?mode=Info&amp;id=7769&amp;lvl=3&amp;lin=f&amp;keep=1&amp;srchmode=1&amp;unlock","Myxine glutinosa")</f>
        <v>Myxine glutinosa</v>
      </c>
      <c r="H753" t="s">
        <v>697</v>
      </c>
      <c r="I753" t="str">
        <f>HYPERLINK("http://www.ncbi.nlm.nih.gov/protein/ABD46743.1","steroid receptor 2")</f>
        <v>steroid receptor 2</v>
      </c>
      <c r="J753">
        <v>448.36</v>
      </c>
      <c r="K753" t="s">
        <v>25</v>
      </c>
      <c r="L753">
        <v>157</v>
      </c>
      <c r="M753">
        <v>44.41</v>
      </c>
      <c r="N753">
        <v>23.87</v>
      </c>
      <c r="O753" t="s">
        <v>25</v>
      </c>
      <c r="P753" t="s">
        <v>965</v>
      </c>
      <c r="Q753" t="s">
        <v>20</v>
      </c>
      <c r="R753" t="str">
        <f>HYPERLINK("https://cfpub.epa.gov/ecotox/explore.cfm?ncbi=7769","Explore in ECOTOX")</f>
        <v>Explore in ECOTOX</v>
      </c>
    </row>
    <row r="754" spans="1:18" x14ac:dyDescent="0.25">
      <c r="A754">
        <v>6</v>
      </c>
      <c r="B754" t="str">
        <f>HYPERLINK("http://www.ncbi.nlm.nih.gov/protein/NXT48222.1","NXT48222.1")</f>
        <v>NXT48222.1</v>
      </c>
      <c r="C754">
        <v>14341</v>
      </c>
      <c r="D754" t="str">
        <f>HYPERLINK("http://www.ncbi.nlm.nih.gov/Taxonomy/Browser/wwwtax.cgi?mode=Info&amp;id=227228&amp;lvl=3&amp;lin=f&amp;keep=1&amp;srchmode=1&amp;unlock","227228")</f>
        <v>227228</v>
      </c>
      <c r="E754" t="s">
        <v>167</v>
      </c>
      <c r="F754" t="s">
        <v>167</v>
      </c>
      <c r="G754" t="str">
        <f>HYPERLINK("http://www.ncbi.nlm.nih.gov/Taxonomy/Browser/wwwtax.cgi?mode=Info&amp;id=227228&amp;lvl=3&amp;lin=f&amp;keep=1&amp;srchmode=1&amp;unlock","Pluvianellus socialis")</f>
        <v>Pluvianellus socialis</v>
      </c>
      <c r="H754" t="s">
        <v>205</v>
      </c>
      <c r="I754" t="str">
        <f>HYPERLINK("http://www.ncbi.nlm.nih.gov/protein/NXT48222.1","PRGR protein")</f>
        <v>PRGR protein</v>
      </c>
      <c r="J754">
        <v>448.36</v>
      </c>
      <c r="K754" t="s">
        <v>25</v>
      </c>
      <c r="L754">
        <v>157</v>
      </c>
      <c r="M754">
        <v>44.41</v>
      </c>
      <c r="N754">
        <v>23.87</v>
      </c>
      <c r="O754" t="s">
        <v>20</v>
      </c>
      <c r="P754" t="s">
        <v>965</v>
      </c>
      <c r="Q754" t="s">
        <v>20</v>
      </c>
      <c r="R754" t="str">
        <f>HYPERLINK("https://cfpub.epa.gov/ecotox/explore.cfm?ncbi=227228","Explore in ECOTOX")</f>
        <v>Explore in ECOTOX</v>
      </c>
    </row>
    <row r="755" spans="1:18" x14ac:dyDescent="0.25">
      <c r="A755">
        <v>6</v>
      </c>
      <c r="B755" t="str">
        <f>HYPERLINK("http://www.ncbi.nlm.nih.gov/protein/NWS00189.1","NWS00189.1")</f>
        <v>NWS00189.1</v>
      </c>
      <c r="C755">
        <v>13661</v>
      </c>
      <c r="D755" t="str">
        <f>HYPERLINK("http://www.ncbi.nlm.nih.gov/Taxonomy/Browser/wwwtax.cgi?mode=Info&amp;id=45807&amp;lvl=3&amp;lin=f&amp;keep=1&amp;srchmode=1&amp;unlock","45807")</f>
        <v>45807</v>
      </c>
      <c r="E755" t="s">
        <v>167</v>
      </c>
      <c r="F755" t="s">
        <v>167</v>
      </c>
      <c r="G755" t="str">
        <f>HYPERLINK("http://www.ncbi.nlm.nih.gov/Taxonomy/Browser/wwwtax.cgi?mode=Info&amp;id=45807&amp;lvl=3&amp;lin=f&amp;keep=1&amp;srchmode=1&amp;unlock","Motacilla alba")</f>
        <v>Motacilla alba</v>
      </c>
      <c r="H755" t="s">
        <v>450</v>
      </c>
      <c r="I755" t="str">
        <f>HYPERLINK("http://www.ncbi.nlm.nih.gov/protein/NWS00189.1","PRGR protein")</f>
        <v>PRGR protein</v>
      </c>
      <c r="J755">
        <v>446.82</v>
      </c>
      <c r="K755" t="s">
        <v>25</v>
      </c>
      <c r="L755">
        <v>157</v>
      </c>
      <c r="M755">
        <v>44.41</v>
      </c>
      <c r="N755">
        <v>23.78</v>
      </c>
      <c r="O755" t="s">
        <v>20</v>
      </c>
      <c r="P755" t="s">
        <v>965</v>
      </c>
      <c r="Q755" t="s">
        <v>20</v>
      </c>
      <c r="R755" t="str">
        <f>HYPERLINK("https://cfpub.epa.gov/ecotox/explore.cfm?ncbi=45807","Explore in ECOTOX")</f>
        <v>Explore in ECOTOX</v>
      </c>
    </row>
    <row r="756" spans="1:18" x14ac:dyDescent="0.25">
      <c r="A756">
        <v>6</v>
      </c>
      <c r="B756" t="str">
        <f>HYPERLINK("http://www.ncbi.nlm.nih.gov/protein/TNN47793.1","TNN47793.1")</f>
        <v>TNN47793.1</v>
      </c>
      <c r="C756">
        <v>68294</v>
      </c>
      <c r="D756" t="str">
        <f>HYPERLINK("http://www.ncbi.nlm.nih.gov/Taxonomy/Browser/wwwtax.cgi?mode=Info&amp;id=230148&amp;lvl=3&amp;lin=f&amp;keep=1&amp;srchmode=1&amp;unlock","230148")</f>
        <v>230148</v>
      </c>
      <c r="E756" t="s">
        <v>384</v>
      </c>
      <c r="F756" t="s">
        <v>384</v>
      </c>
      <c r="G756" t="str">
        <f>HYPERLINK("http://www.ncbi.nlm.nih.gov/Taxonomy/Browser/wwwtax.cgi?mode=Info&amp;id=230148&amp;lvl=3&amp;lin=f&amp;keep=1&amp;srchmode=1&amp;unlock","Liparis tanakae")</f>
        <v>Liparis tanakae</v>
      </c>
      <c r="H756" t="s">
        <v>542</v>
      </c>
      <c r="I756" t="str">
        <f>HYPERLINK("http://www.ncbi.nlm.nih.gov/protein/TNN47793.1","Androgen receptor")</f>
        <v>Androgen receptor</v>
      </c>
      <c r="J756">
        <v>446.05</v>
      </c>
      <c r="K756" t="s">
        <v>25</v>
      </c>
      <c r="L756">
        <v>157</v>
      </c>
      <c r="M756">
        <v>44.41</v>
      </c>
      <c r="N756">
        <v>23.74</v>
      </c>
      <c r="O756" t="s">
        <v>25</v>
      </c>
      <c r="P756" t="s">
        <v>965</v>
      </c>
      <c r="Q756" t="s">
        <v>20</v>
      </c>
      <c r="R756" t="str">
        <f>HYPERLINK("https://cfpub.epa.gov/ecotox/explore.cfm?ncbi=230148","Explore in ECOTOX")</f>
        <v>Explore in ECOTOX</v>
      </c>
    </row>
    <row r="757" spans="1:18" x14ac:dyDescent="0.25">
      <c r="A757">
        <v>6</v>
      </c>
      <c r="B757" t="str">
        <f>HYPERLINK("http://www.ncbi.nlm.nih.gov/protein/ATO92585.1","ATO92585.1")</f>
        <v>ATO92585.1</v>
      </c>
      <c r="C757">
        <v>94</v>
      </c>
      <c r="D757" t="str">
        <f>HYPERLINK("http://www.ncbi.nlm.nih.gov/Taxonomy/Browser/wwwtax.cgi?mode=Info&amp;id=260202&amp;lvl=3&amp;lin=f&amp;keep=1&amp;srchmode=1&amp;unlock","260202")</f>
        <v>260202</v>
      </c>
      <c r="E757" t="s">
        <v>236</v>
      </c>
      <c r="F757" t="s">
        <v>236</v>
      </c>
      <c r="G757" t="str">
        <f>HYPERLINK("http://www.ncbi.nlm.nih.gov/Taxonomy/Browser/wwwtax.cgi?mode=Info&amp;id=260202&amp;lvl=3&amp;lin=f&amp;keep=1&amp;srchmode=1&amp;unlock","Hemidactylus flaviviridis")</f>
        <v>Hemidactylus flaviviridis</v>
      </c>
      <c r="H757" t="s">
        <v>650</v>
      </c>
      <c r="I757" t="str">
        <f>HYPERLINK("http://www.ncbi.nlm.nih.gov/protein/ATO92585.1","progesterone receptor, partial")</f>
        <v>progesterone receptor, partial</v>
      </c>
      <c r="J757">
        <v>443.74</v>
      </c>
      <c r="K757" t="s">
        <v>25</v>
      </c>
      <c r="L757">
        <v>157</v>
      </c>
      <c r="M757">
        <v>44.41</v>
      </c>
      <c r="N757">
        <v>23.62</v>
      </c>
      <c r="O757" t="s">
        <v>20</v>
      </c>
      <c r="P757" t="s">
        <v>965</v>
      </c>
      <c r="Q757" t="s">
        <v>20</v>
      </c>
      <c r="R757" t="str">
        <f>HYPERLINK("https://cfpub.epa.gov/ecotox/explore.cfm?ncbi=260202","Explore in ECOTOX")</f>
        <v>Explore in ECOTOX</v>
      </c>
    </row>
    <row r="758" spans="1:18" x14ac:dyDescent="0.25">
      <c r="A758">
        <v>6</v>
      </c>
      <c r="B758" t="str">
        <f>HYPERLINK("http://www.ncbi.nlm.nih.gov/protein/NXP44166.1","NXP44166.1")</f>
        <v>NXP44166.1</v>
      </c>
      <c r="C758">
        <v>13596</v>
      </c>
      <c r="D758" t="str">
        <f>HYPERLINK("http://www.ncbi.nlm.nih.gov/Taxonomy/Browser/wwwtax.cgi?mode=Info&amp;id=54369&amp;lvl=3&amp;lin=f&amp;keep=1&amp;srchmode=1&amp;unlock","54369")</f>
        <v>54369</v>
      </c>
      <c r="E758" t="s">
        <v>167</v>
      </c>
      <c r="F758" t="s">
        <v>167</v>
      </c>
      <c r="G758" t="str">
        <f>HYPERLINK("http://www.ncbi.nlm.nih.gov/Taxonomy/Browser/wwwtax.cgi?mode=Info&amp;id=54369&amp;lvl=3&amp;lin=f&amp;keep=1&amp;srchmode=1&amp;unlock","Heliornis fulica")</f>
        <v>Heliornis fulica</v>
      </c>
      <c r="H758" t="s">
        <v>221</v>
      </c>
      <c r="I758" t="str">
        <f>HYPERLINK("http://www.ncbi.nlm.nih.gov/protein/NXP44166.1","PRGR protein")</f>
        <v>PRGR protein</v>
      </c>
      <c r="J758">
        <v>441.43</v>
      </c>
      <c r="K758" t="s">
        <v>25</v>
      </c>
      <c r="L758">
        <v>157</v>
      </c>
      <c r="M758">
        <v>44.41</v>
      </c>
      <c r="N758">
        <v>23.5</v>
      </c>
      <c r="O758" t="s">
        <v>20</v>
      </c>
      <c r="P758" t="s">
        <v>965</v>
      </c>
      <c r="Q758" t="s">
        <v>20</v>
      </c>
      <c r="R758" t="str">
        <f>HYPERLINK("https://cfpub.epa.gov/ecotox/explore.cfm?ncbi=54369","Explore in ECOTOX")</f>
        <v>Explore in ECOTOX</v>
      </c>
    </row>
    <row r="759" spans="1:18" x14ac:dyDescent="0.25">
      <c r="A759">
        <v>6</v>
      </c>
      <c r="B759" t="str">
        <f>HYPERLINK("http://www.ncbi.nlm.nih.gov/protein/NWH90695.1","NWH90695.1")</f>
        <v>NWH90695.1</v>
      </c>
      <c r="C759">
        <v>13453</v>
      </c>
      <c r="D759" t="str">
        <f>HYPERLINK("http://www.ncbi.nlm.nih.gov/Taxonomy/Browser/wwwtax.cgi?mode=Info&amp;id=73327&amp;lvl=3&amp;lin=f&amp;keep=1&amp;srchmode=1&amp;unlock","73327")</f>
        <v>73327</v>
      </c>
      <c r="E759" t="s">
        <v>167</v>
      </c>
      <c r="F759" t="s">
        <v>167</v>
      </c>
      <c r="G759" t="str">
        <f>HYPERLINK("http://www.ncbi.nlm.nih.gov/Taxonomy/Browser/wwwtax.cgi?mode=Info&amp;id=73327&amp;lvl=3&amp;lin=f&amp;keep=1&amp;srchmode=1&amp;unlock","Aegithalos caudatus")</f>
        <v>Aegithalos caudatus</v>
      </c>
      <c r="H759" t="s">
        <v>476</v>
      </c>
      <c r="I759" t="str">
        <f>HYPERLINK("http://www.ncbi.nlm.nih.gov/protein/NWH90695.1","PRGR protein")</f>
        <v>PRGR protein</v>
      </c>
      <c r="J759">
        <v>437.57</v>
      </c>
      <c r="K759" t="s">
        <v>25</v>
      </c>
      <c r="L759">
        <v>157</v>
      </c>
      <c r="M759">
        <v>44.41</v>
      </c>
      <c r="N759">
        <v>23.29</v>
      </c>
      <c r="O759" t="s">
        <v>20</v>
      </c>
      <c r="P759" t="s">
        <v>965</v>
      </c>
      <c r="Q759" t="s">
        <v>20</v>
      </c>
      <c r="R759" t="str">
        <f>HYPERLINK("https://cfpub.epa.gov/ecotox/explore.cfm?ncbi=73327","Explore in ECOTOX")</f>
        <v>Explore in ECOTOX</v>
      </c>
    </row>
    <row r="760" spans="1:18" x14ac:dyDescent="0.25">
      <c r="A760">
        <v>6</v>
      </c>
      <c r="B760" t="str">
        <f>HYPERLINK("http://www.ncbi.nlm.nih.gov/protein/ACJ45777.2","ACJ45777.2")</f>
        <v>ACJ45777.2</v>
      </c>
      <c r="C760">
        <v>66</v>
      </c>
      <c r="D760" t="str">
        <f>HYPERLINK("http://www.ncbi.nlm.nih.gov/Taxonomy/Browser/wwwtax.cgi?mode=Info&amp;id=68352&amp;lvl=3&amp;lin=f&amp;keep=1&amp;srchmode=1&amp;unlock","68352")</f>
        <v>68352</v>
      </c>
      <c r="E760" t="s">
        <v>236</v>
      </c>
      <c r="F760" t="s">
        <v>236</v>
      </c>
      <c r="G760" t="str">
        <f>HYPERLINK("http://www.ncbi.nlm.nih.gov/Taxonomy/Browser/wwwtax.cgi?mode=Info&amp;id=68352&amp;lvl=3&amp;lin=f&amp;keep=1&amp;srchmode=1&amp;unlock","Aspidoscelis inornatus")</f>
        <v>Aspidoscelis inornatus</v>
      </c>
      <c r="H760" t="s">
        <v>1040</v>
      </c>
      <c r="I760" t="str">
        <f>HYPERLINK("http://www.ncbi.nlm.nih.gov/protein/ACJ45777.2","progesterone receptor")</f>
        <v>progesterone receptor</v>
      </c>
      <c r="J760">
        <v>437.19</v>
      </c>
      <c r="K760" t="s">
        <v>25</v>
      </c>
      <c r="L760">
        <v>157</v>
      </c>
      <c r="M760">
        <v>44.41</v>
      </c>
      <c r="N760">
        <v>23.27</v>
      </c>
      <c r="O760" t="s">
        <v>20</v>
      </c>
      <c r="P760" t="s">
        <v>965</v>
      </c>
      <c r="Q760" t="s">
        <v>20</v>
      </c>
      <c r="R760" t="str">
        <f>HYPERLINK("https://cfpub.epa.gov/ecotox/explore.cfm?ncbi=68352","Explore in ECOTOX")</f>
        <v>Explore in ECOTOX</v>
      </c>
    </row>
    <row r="761" spans="1:18" x14ac:dyDescent="0.25">
      <c r="A761">
        <v>6</v>
      </c>
      <c r="B761" t="str">
        <f>HYPERLINK("http://www.ncbi.nlm.nih.gov/protein/CAB1324957.1","CAB1324957.1")</f>
        <v>CAB1324957.1</v>
      </c>
      <c r="C761">
        <v>41735</v>
      </c>
      <c r="D761" t="str">
        <f>HYPERLINK("http://www.ncbi.nlm.nih.gov/Taxonomy/Browser/wwwtax.cgi?mode=Info&amp;id=861768&amp;lvl=3&amp;lin=f&amp;keep=1&amp;srchmode=1&amp;unlock","861768")</f>
        <v>861768</v>
      </c>
      <c r="E761" t="s">
        <v>384</v>
      </c>
      <c r="F761" t="s">
        <v>384</v>
      </c>
      <c r="G761" t="str">
        <f>HYPERLINK("http://www.ncbi.nlm.nih.gov/Taxonomy/Browser/wwwtax.cgi?mode=Info&amp;id=861768&amp;lvl=3&amp;lin=f&amp;keep=1&amp;srchmode=1&amp;unlock","Coregonus sp. 'balchen'")</f>
        <v>Coregonus sp. 'balchen'</v>
      </c>
      <c r="H761" t="s">
        <v>494</v>
      </c>
      <c r="I761" t="str">
        <f>HYPERLINK("http://www.ncbi.nlm.nih.gov/protein/CAB1324957.1","unnamed protein product")</f>
        <v>unnamed protein product</v>
      </c>
      <c r="J761">
        <v>433.33</v>
      </c>
      <c r="K761" t="s">
        <v>25</v>
      </c>
      <c r="L761">
        <v>157</v>
      </c>
      <c r="M761">
        <v>44.41</v>
      </c>
      <c r="N761">
        <v>23.07</v>
      </c>
      <c r="O761" t="s">
        <v>25</v>
      </c>
      <c r="P761" t="s">
        <v>965</v>
      </c>
      <c r="Q761" t="s">
        <v>20</v>
      </c>
      <c r="R761" t="str">
        <f>HYPERLINK("https://cfpub.epa.gov/ecotox/explore.cfm?ncbi=861768","Explore in ECOTOX")</f>
        <v>Explore in ECOTOX</v>
      </c>
    </row>
    <row r="762" spans="1:18" x14ac:dyDescent="0.25">
      <c r="A762">
        <v>6</v>
      </c>
      <c r="B762" t="str">
        <f>HYPERLINK("http://www.ncbi.nlm.nih.gov/protein/GCF49430.1","GCF49430.1")</f>
        <v>GCF49430.1</v>
      </c>
      <c r="C762">
        <v>26813</v>
      </c>
      <c r="D762" t="str">
        <f>HYPERLINK("http://www.ncbi.nlm.nih.gov/Taxonomy/Browser/wwwtax.cgi?mode=Info&amp;id=143630&amp;lvl=3&amp;lin=f&amp;keep=1&amp;srchmode=1&amp;unlock","143630")</f>
        <v>143630</v>
      </c>
      <c r="E762" t="s">
        <v>236</v>
      </c>
      <c r="F762" t="s">
        <v>236</v>
      </c>
      <c r="G762" t="str">
        <f>HYPERLINK("http://www.ncbi.nlm.nih.gov/Taxonomy/Browser/wwwtax.cgi?mode=Info&amp;id=143630&amp;lvl=3&amp;lin=f&amp;keep=1&amp;srchmode=1&amp;unlock","Paroedura picta")</f>
        <v>Paroedura picta</v>
      </c>
      <c r="H762" t="s">
        <v>650</v>
      </c>
      <c r="I762" t="str">
        <f>HYPERLINK("http://www.ncbi.nlm.nih.gov/protein/GCF49430.1","hypothetical protein parPi_0010087")</f>
        <v>hypothetical protein parPi_0010087</v>
      </c>
      <c r="J762">
        <v>430.25</v>
      </c>
      <c r="K762" t="s">
        <v>25</v>
      </c>
      <c r="L762">
        <v>157</v>
      </c>
      <c r="M762">
        <v>44.41</v>
      </c>
      <c r="N762">
        <v>22.9</v>
      </c>
      <c r="O762" t="s">
        <v>20</v>
      </c>
      <c r="P762" t="s">
        <v>965</v>
      </c>
      <c r="Q762" t="s">
        <v>20</v>
      </c>
      <c r="R762" t="str">
        <f>HYPERLINK("https://cfpub.epa.gov/ecotox/explore.cfm?ncbi=143630","Explore in ECOTOX")</f>
        <v>Explore in ECOTOX</v>
      </c>
    </row>
    <row r="763" spans="1:18" x14ac:dyDescent="0.25">
      <c r="A763">
        <v>6</v>
      </c>
      <c r="B763" t="str">
        <f>HYPERLINK("http://www.ncbi.nlm.nih.gov/protein/KTG39971.1","KTG39971.1")</f>
        <v>KTG39971.1</v>
      </c>
      <c r="C763">
        <v>116977</v>
      </c>
      <c r="D763" t="str">
        <f>HYPERLINK("http://www.ncbi.nlm.nih.gov/Taxonomy/Browser/wwwtax.cgi?mode=Info&amp;id=7962&amp;lvl=3&amp;lin=f&amp;keep=1&amp;srchmode=1&amp;unlock","7962")</f>
        <v>7962</v>
      </c>
      <c r="E763" t="s">
        <v>384</v>
      </c>
      <c r="F763" t="s">
        <v>384</v>
      </c>
      <c r="G763" t="str">
        <f>HYPERLINK("http://www.ncbi.nlm.nih.gov/Taxonomy/Browser/wwwtax.cgi?mode=Info&amp;id=7962&amp;lvl=3&amp;lin=f&amp;keep=1&amp;srchmode=1&amp;unlock","Cyprinus carpio")</f>
        <v>Cyprinus carpio</v>
      </c>
      <c r="H763" t="s">
        <v>625</v>
      </c>
      <c r="I763" t="str">
        <f>HYPERLINK("http://www.ncbi.nlm.nih.gov/protein/KTG39971.1","hypothetical protein cypCar_00004750")</f>
        <v>hypothetical protein cypCar_00004750</v>
      </c>
      <c r="J763">
        <v>429.1</v>
      </c>
      <c r="K763" t="s">
        <v>25</v>
      </c>
      <c r="L763">
        <v>157</v>
      </c>
      <c r="M763">
        <v>44.41</v>
      </c>
      <c r="N763">
        <v>22.84</v>
      </c>
      <c r="O763" t="s">
        <v>25</v>
      </c>
      <c r="P763" t="s">
        <v>965</v>
      </c>
      <c r="Q763" t="s">
        <v>20</v>
      </c>
      <c r="R763" t="str">
        <f>HYPERLINK("https://cfpub.epa.gov/ecotox/explore.cfm?ncbi=7962","Explore in ECOTOX")</f>
        <v>Explore in ECOTOX</v>
      </c>
    </row>
    <row r="764" spans="1:18" x14ac:dyDescent="0.25">
      <c r="A764">
        <v>6</v>
      </c>
      <c r="B764" t="str">
        <f>HYPERLINK("http://www.ncbi.nlm.nih.gov/protein/AWX94614.1","AWX94614.1")</f>
        <v>AWX94614.1</v>
      </c>
      <c r="C764">
        <v>263</v>
      </c>
      <c r="D764" t="str">
        <f>HYPERLINK("http://www.ncbi.nlm.nih.gov/Taxonomy/Browser/wwwtax.cgi?mode=Info&amp;id=194366&amp;lvl=3&amp;lin=f&amp;keep=1&amp;srchmode=1&amp;unlock","194366")</f>
        <v>194366</v>
      </c>
      <c r="E764" t="s">
        <v>384</v>
      </c>
      <c r="F764" t="s">
        <v>384</v>
      </c>
      <c r="G764" t="str">
        <f>HYPERLINK("http://www.ncbi.nlm.nih.gov/Taxonomy/Browser/wwwtax.cgi?mode=Info&amp;id=194366&amp;lvl=3&amp;lin=f&amp;keep=1&amp;srchmode=1&amp;unlock","Culter alburnus")</f>
        <v>Culter alburnus</v>
      </c>
      <c r="H764" t="s">
        <v>882</v>
      </c>
      <c r="I764" t="str">
        <f>HYPERLINK("http://www.ncbi.nlm.nih.gov/protein/AWX94614.1","progesterone receptor")</f>
        <v>progesterone receptor</v>
      </c>
      <c r="J764">
        <v>427.17</v>
      </c>
      <c r="K764" t="s">
        <v>25</v>
      </c>
      <c r="L764">
        <v>157</v>
      </c>
      <c r="M764">
        <v>44.41</v>
      </c>
      <c r="N764">
        <v>22.74</v>
      </c>
      <c r="O764" t="s">
        <v>25</v>
      </c>
      <c r="P764" t="s">
        <v>965</v>
      </c>
      <c r="Q764" t="s">
        <v>20</v>
      </c>
      <c r="R764" t="str">
        <f>HYPERLINK("https://cfpub.epa.gov/ecotox/explore.cfm?ncbi=194366","Explore in ECOTOX")</f>
        <v>Explore in ECOTOX</v>
      </c>
    </row>
    <row r="765" spans="1:18" x14ac:dyDescent="0.25">
      <c r="A765">
        <v>6</v>
      </c>
      <c r="B765" t="str">
        <f>HYPERLINK("http://www.ncbi.nlm.nih.gov/protein/ROJ25342.1","ROJ25342.1")</f>
        <v>ROJ25342.1</v>
      </c>
      <c r="C765">
        <v>23912</v>
      </c>
      <c r="D765" t="str">
        <f>HYPERLINK("http://www.ncbi.nlm.nih.gov/Taxonomy/Browser/wwwtax.cgi?mode=Info&amp;id=495550&amp;lvl=3&amp;lin=f&amp;keep=1&amp;srchmode=1&amp;unlock","495550")</f>
        <v>495550</v>
      </c>
      <c r="E765" t="s">
        <v>384</v>
      </c>
      <c r="F765" t="s">
        <v>384</v>
      </c>
      <c r="G765" t="str">
        <f>HYPERLINK("http://www.ncbi.nlm.nih.gov/Taxonomy/Browser/wwwtax.cgi?mode=Info&amp;id=495550&amp;lvl=3&amp;lin=f&amp;keep=1&amp;srchmode=1&amp;unlock","Anabarilius grahami")</f>
        <v>Anabarilius grahami</v>
      </c>
      <c r="H765" t="s">
        <v>529</v>
      </c>
      <c r="I765" t="str">
        <f>HYPERLINK("http://www.ncbi.nlm.nih.gov/protein/ROJ25342.1","Progesterone receptor")</f>
        <v>Progesterone receptor</v>
      </c>
      <c r="J765">
        <v>427.17</v>
      </c>
      <c r="K765" t="s">
        <v>25</v>
      </c>
      <c r="L765">
        <v>157</v>
      </c>
      <c r="M765">
        <v>44.41</v>
      </c>
      <c r="N765">
        <v>22.74</v>
      </c>
      <c r="O765" t="s">
        <v>25</v>
      </c>
      <c r="P765" t="s">
        <v>965</v>
      </c>
      <c r="Q765" t="s">
        <v>20</v>
      </c>
      <c r="R765" t="str">
        <f>HYPERLINK("https://cfpub.epa.gov/ecotox/explore.cfm?ncbi=495550","Explore in ECOTOX")</f>
        <v>Explore in ECOTOX</v>
      </c>
    </row>
    <row r="766" spans="1:18" x14ac:dyDescent="0.25">
      <c r="A766">
        <v>6</v>
      </c>
      <c r="B766" t="str">
        <f>HYPERLINK("http://www.ncbi.nlm.nih.gov/protein/XP_040031607.1","XP_040031607.1")</f>
        <v>XP_040031607.1</v>
      </c>
      <c r="C766">
        <v>45331</v>
      </c>
      <c r="D766" t="str">
        <f>HYPERLINK("http://www.ncbi.nlm.nih.gov/Taxonomy/Browser/wwwtax.cgi?mode=Info&amp;id=481459&amp;lvl=3&amp;lin=f&amp;keep=1&amp;srchmode=1&amp;unlock","481459")</f>
        <v>481459</v>
      </c>
      <c r="E766" t="s">
        <v>384</v>
      </c>
      <c r="F766" t="s">
        <v>384</v>
      </c>
      <c r="G766" t="str">
        <f>HYPERLINK("http://www.ncbi.nlm.nih.gov/Taxonomy/Browser/wwwtax.cgi?mode=Info&amp;id=481459&amp;lvl=3&amp;lin=f&amp;keep=1&amp;srchmode=1&amp;unlock","Gasterosteus aculeatus aculeatus")</f>
        <v>Gasterosteus aculeatus aculeatus</v>
      </c>
      <c r="H766" t="s">
        <v>605</v>
      </c>
      <c r="I766" t="str">
        <f>HYPERLINK("http://www.ncbi.nlm.nih.gov/protein/XP_040031607.1","progesterone receptor")</f>
        <v>progesterone receptor</v>
      </c>
      <c r="J766">
        <v>424.48</v>
      </c>
      <c r="K766" t="s">
        <v>25</v>
      </c>
      <c r="L766">
        <v>157</v>
      </c>
      <c r="M766">
        <v>44.41</v>
      </c>
      <c r="N766">
        <v>22.6</v>
      </c>
      <c r="O766" t="s">
        <v>25</v>
      </c>
      <c r="P766" t="s">
        <v>965</v>
      </c>
      <c r="Q766" t="s">
        <v>20</v>
      </c>
      <c r="R766" t="str">
        <f>HYPERLINK("https://cfpub.epa.gov/ecotox/explore.cfm?ncbi=481459","Explore in ECOTOX")</f>
        <v>Explore in ECOTOX</v>
      </c>
    </row>
    <row r="767" spans="1:18" x14ac:dyDescent="0.25">
      <c r="A767">
        <v>6</v>
      </c>
      <c r="B767" t="str">
        <f>HYPERLINK("http://www.ncbi.nlm.nih.gov/protein/XP_020370084.1","XP_020370084.1")</f>
        <v>XP_020370084.1</v>
      </c>
      <c r="C767">
        <v>27965</v>
      </c>
      <c r="D767" t="str">
        <f>HYPERLINK("http://www.ncbi.nlm.nih.gov/Taxonomy/Browser/wwwtax.cgi?mode=Info&amp;id=259920&amp;lvl=3&amp;lin=f&amp;keep=1&amp;srchmode=1&amp;unlock","259920")</f>
        <v>259920</v>
      </c>
      <c r="E767" t="s">
        <v>550</v>
      </c>
      <c r="F767" t="s">
        <v>550</v>
      </c>
      <c r="G767" t="str">
        <f>HYPERLINK("http://www.ncbi.nlm.nih.gov/Taxonomy/Browser/wwwtax.cgi?mode=Info&amp;id=259920&amp;lvl=3&amp;lin=f&amp;keep=1&amp;srchmode=1&amp;unlock","Rhincodon typus")</f>
        <v>Rhincodon typus</v>
      </c>
      <c r="H767" t="s">
        <v>601</v>
      </c>
      <c r="I767" t="str">
        <f>HYPERLINK("http://www.ncbi.nlm.nih.gov/protein/XP_020370084.1","glucocorticoid receptor")</f>
        <v>glucocorticoid receptor</v>
      </c>
      <c r="J767">
        <v>419.08</v>
      </c>
      <c r="K767" t="s">
        <v>25</v>
      </c>
      <c r="L767">
        <v>157</v>
      </c>
      <c r="M767">
        <v>44.41</v>
      </c>
      <c r="N767">
        <v>22.31</v>
      </c>
      <c r="O767" t="s">
        <v>25</v>
      </c>
      <c r="P767" t="s">
        <v>965</v>
      </c>
      <c r="Q767" t="s">
        <v>20</v>
      </c>
      <c r="R767" t="str">
        <f>HYPERLINK("https://cfpub.epa.gov/ecotox/explore.cfm?ncbi=259920","Explore in ECOTOX")</f>
        <v>Explore in ECOTOX</v>
      </c>
    </row>
    <row r="768" spans="1:18" x14ac:dyDescent="0.25">
      <c r="A768">
        <v>6</v>
      </c>
      <c r="B768" t="str">
        <f>HYPERLINK("http://www.ncbi.nlm.nih.gov/protein/BAV17691.1","BAV17691.1")</f>
        <v>BAV17691.1</v>
      </c>
      <c r="C768">
        <v>94</v>
      </c>
      <c r="D768" t="str">
        <f>HYPERLINK("http://www.ncbi.nlm.nih.gov/Taxonomy/Browser/wwwtax.cgi?mode=Info&amp;id=512342&amp;lvl=3&amp;lin=f&amp;keep=1&amp;srchmode=1&amp;unlock","512342")</f>
        <v>512342</v>
      </c>
      <c r="E768" t="s">
        <v>384</v>
      </c>
      <c r="F768" t="s">
        <v>384</v>
      </c>
      <c r="G768" t="str">
        <f>HYPERLINK("http://www.ncbi.nlm.nih.gov/Taxonomy/Browser/wwwtax.cgi?mode=Info&amp;id=512342&amp;lvl=3&amp;lin=f&amp;keep=1&amp;srchmode=1&amp;unlock","Atractosteus tropicus")</f>
        <v>Atractosteus tropicus</v>
      </c>
      <c r="H768" t="s">
        <v>1041</v>
      </c>
      <c r="I768" t="str">
        <f>HYPERLINK("http://www.ncbi.nlm.nih.gov/protein/BAV17691.1","mineralocorticoid receptor")</f>
        <v>mineralocorticoid receptor</v>
      </c>
      <c r="J768">
        <v>418.31</v>
      </c>
      <c r="K768" t="s">
        <v>25</v>
      </c>
      <c r="L768">
        <v>157</v>
      </c>
      <c r="M768">
        <v>44.41</v>
      </c>
      <c r="N768">
        <v>22.27</v>
      </c>
      <c r="O768" t="s">
        <v>25</v>
      </c>
      <c r="P768" t="s">
        <v>965</v>
      </c>
      <c r="Q768" t="s">
        <v>20</v>
      </c>
      <c r="R768" t="str">
        <f>HYPERLINK("https://cfpub.epa.gov/ecotox/explore.cfm?ncbi=512342","Explore in ECOTOX")</f>
        <v>Explore in ECOTOX</v>
      </c>
    </row>
    <row r="769" spans="1:18" x14ac:dyDescent="0.25">
      <c r="A769">
        <v>6</v>
      </c>
      <c r="B769" t="str">
        <f>HYPERLINK("http://www.ncbi.nlm.nih.gov/protein/TRY93834.1","TRY93834.1")</f>
        <v>TRY93834.1</v>
      </c>
      <c r="C769">
        <v>35331</v>
      </c>
      <c r="D769" t="str">
        <f>HYPERLINK("http://www.ncbi.nlm.nih.gov/Taxonomy/Browser/wwwtax.cgi?mode=Info&amp;id=623744&amp;lvl=3&amp;lin=f&amp;keep=1&amp;srchmode=1&amp;unlock","623744")</f>
        <v>623744</v>
      </c>
      <c r="E769" t="s">
        <v>384</v>
      </c>
      <c r="F769" t="s">
        <v>384</v>
      </c>
      <c r="G769" t="str">
        <f>HYPERLINK("http://www.ncbi.nlm.nih.gov/Taxonomy/Browser/wwwtax.cgi?mode=Info&amp;id=623744&amp;lvl=3&amp;lin=f&amp;keep=1&amp;srchmode=1&amp;unlock","Danionella translucida")</f>
        <v>Danionella translucida</v>
      </c>
      <c r="H769" t="s">
        <v>529</v>
      </c>
      <c r="I769" t="str">
        <f>HYPERLINK("http://www.ncbi.nlm.nih.gov/protein/TRY93834.1","hypothetical protein DNTS_023757")</f>
        <v>hypothetical protein DNTS_023757</v>
      </c>
      <c r="J769">
        <v>416.77</v>
      </c>
      <c r="K769" t="s">
        <v>25</v>
      </c>
      <c r="L769">
        <v>157</v>
      </c>
      <c r="M769">
        <v>44.41</v>
      </c>
      <c r="N769">
        <v>22.19</v>
      </c>
      <c r="O769" t="s">
        <v>25</v>
      </c>
      <c r="P769" t="s">
        <v>965</v>
      </c>
      <c r="Q769" t="s">
        <v>20</v>
      </c>
      <c r="R769" t="str">
        <f>HYPERLINK("https://cfpub.epa.gov/ecotox/explore.cfm?ncbi=623744","Explore in ECOTOX")</f>
        <v>Explore in ECOTOX</v>
      </c>
    </row>
    <row r="770" spans="1:18" x14ac:dyDescent="0.25">
      <c r="A770">
        <v>6</v>
      </c>
      <c r="B770" t="str">
        <f>HYPERLINK("http://www.ncbi.nlm.nih.gov/protein/XP_010789352.1","XP_010789352.1")</f>
        <v>XP_010789352.1</v>
      </c>
      <c r="C770">
        <v>32359</v>
      </c>
      <c r="D770" t="str">
        <f>HYPERLINK("http://www.ncbi.nlm.nih.gov/Taxonomy/Browser/wwwtax.cgi?mode=Info&amp;id=8208&amp;lvl=3&amp;lin=f&amp;keep=1&amp;srchmode=1&amp;unlock","8208")</f>
        <v>8208</v>
      </c>
      <c r="E770" t="s">
        <v>384</v>
      </c>
      <c r="F770" t="s">
        <v>384</v>
      </c>
      <c r="G770" t="str">
        <f>HYPERLINK("http://www.ncbi.nlm.nih.gov/Taxonomy/Browser/wwwtax.cgi?mode=Info&amp;id=8208&amp;lvl=3&amp;lin=f&amp;keep=1&amp;srchmode=1&amp;unlock","Notothenia coriiceps")</f>
        <v>Notothenia coriiceps</v>
      </c>
      <c r="H770" t="s">
        <v>598</v>
      </c>
      <c r="I770" t="str">
        <f>HYPERLINK("http://www.ncbi.nlm.nih.gov/protein/XP_010789352.1","PREDICTED: progesterone receptor isoform X2")</f>
        <v>PREDICTED: progesterone receptor isoform X2</v>
      </c>
      <c r="J770">
        <v>415.62</v>
      </c>
      <c r="K770" t="s">
        <v>25</v>
      </c>
      <c r="L770">
        <v>157</v>
      </c>
      <c r="M770">
        <v>44.41</v>
      </c>
      <c r="N770">
        <v>22.12</v>
      </c>
      <c r="O770" t="s">
        <v>25</v>
      </c>
      <c r="P770" t="s">
        <v>965</v>
      </c>
      <c r="Q770" t="s">
        <v>20</v>
      </c>
      <c r="R770" t="str">
        <f>HYPERLINK("https://cfpub.epa.gov/ecotox/explore.cfm?ncbi=8208","Explore in ECOTOX")</f>
        <v>Explore in ECOTOX</v>
      </c>
    </row>
    <row r="771" spans="1:18" x14ac:dyDescent="0.25">
      <c r="A771">
        <v>6</v>
      </c>
      <c r="B771" t="str">
        <f>HYPERLINK("http://www.ncbi.nlm.nih.gov/protein/AXS75746.1","AXS75746.1")</f>
        <v>AXS75746.1</v>
      </c>
      <c r="C771">
        <v>343</v>
      </c>
      <c r="D771" t="str">
        <f>HYPERLINK("http://www.ncbi.nlm.nih.gov/Taxonomy/Browser/wwwtax.cgi?mode=Info&amp;id=162147&amp;lvl=3&amp;lin=f&amp;keep=1&amp;srchmode=1&amp;unlock","162147")</f>
        <v>162147</v>
      </c>
      <c r="E771" t="s">
        <v>384</v>
      </c>
      <c r="F771" t="s">
        <v>384</v>
      </c>
      <c r="G771" t="str">
        <f>HYPERLINK("http://www.ncbi.nlm.nih.gov/Taxonomy/Browser/wwwtax.cgi?mode=Info&amp;id=162147&amp;lvl=3&amp;lin=f&amp;keep=1&amp;srchmode=1&amp;unlock","Rhamdia quelen")</f>
        <v>Rhamdia quelen</v>
      </c>
      <c r="H771" t="s">
        <v>1042</v>
      </c>
      <c r="I771" t="str">
        <f>HYPERLINK("http://www.ncbi.nlm.nih.gov/protein/AXS75746.1","mineralocorticoid receptor")</f>
        <v>mineralocorticoid receptor</v>
      </c>
      <c r="J771">
        <v>415.23</v>
      </c>
      <c r="K771" t="s">
        <v>25</v>
      </c>
      <c r="L771">
        <v>157</v>
      </c>
      <c r="M771">
        <v>44.41</v>
      </c>
      <c r="N771">
        <v>22.1</v>
      </c>
      <c r="O771" t="s">
        <v>25</v>
      </c>
      <c r="P771" t="s">
        <v>965</v>
      </c>
      <c r="Q771" t="s">
        <v>20</v>
      </c>
      <c r="R771" t="str">
        <f>HYPERLINK("https://cfpub.epa.gov/ecotox/explore.cfm?ncbi=162147","Explore in ECOTOX")</f>
        <v>Explore in ECOTOX</v>
      </c>
    </row>
    <row r="772" spans="1:18" x14ac:dyDescent="0.25">
      <c r="A772">
        <v>6</v>
      </c>
      <c r="B772" t="str">
        <f>HYPERLINK("http://www.ncbi.nlm.nih.gov/protein/NXX31418.1","NXX31418.1")</f>
        <v>NXX31418.1</v>
      </c>
      <c r="C772">
        <v>13620</v>
      </c>
      <c r="D772" t="str">
        <f>HYPERLINK("http://www.ncbi.nlm.nih.gov/Taxonomy/Browser/wwwtax.cgi?mode=Info&amp;id=237433&amp;lvl=3&amp;lin=f&amp;keep=1&amp;srchmode=1&amp;unlock","237433")</f>
        <v>237433</v>
      </c>
      <c r="E772" t="s">
        <v>167</v>
      </c>
      <c r="F772" t="s">
        <v>167</v>
      </c>
      <c r="G772" t="str">
        <f>HYPERLINK("http://www.ncbi.nlm.nih.gov/Taxonomy/Browser/wwwtax.cgi?mode=Info&amp;id=237433&amp;lvl=3&amp;lin=f&amp;keep=1&amp;srchmode=1&amp;unlock","Nicator chloris")</f>
        <v>Nicator chloris</v>
      </c>
      <c r="H772" t="s">
        <v>352</v>
      </c>
      <c r="I772" t="str">
        <f>HYPERLINK("http://www.ncbi.nlm.nih.gov/protein/NXX31418.1","GCR protein")</f>
        <v>GCR protein</v>
      </c>
      <c r="J772">
        <v>412.54</v>
      </c>
      <c r="K772" t="s">
        <v>25</v>
      </c>
      <c r="L772">
        <v>157</v>
      </c>
      <c r="M772">
        <v>44.41</v>
      </c>
      <c r="N772">
        <v>21.96</v>
      </c>
      <c r="O772" t="s">
        <v>20</v>
      </c>
      <c r="P772" t="s">
        <v>965</v>
      </c>
      <c r="Q772" t="s">
        <v>20</v>
      </c>
      <c r="R772" t="str">
        <f>HYPERLINK("https://cfpub.epa.gov/ecotox/explore.cfm?ncbi=237433","Explore in ECOTOX")</f>
        <v>Explore in ECOTOX</v>
      </c>
    </row>
    <row r="773" spans="1:18" x14ac:dyDescent="0.25">
      <c r="A773">
        <v>6</v>
      </c>
      <c r="B773" t="str">
        <f>HYPERLINK("http://www.ncbi.nlm.nih.gov/protein/NXR46790.1","NXR46790.1")</f>
        <v>NXR46790.1</v>
      </c>
      <c r="C773">
        <v>13717</v>
      </c>
      <c r="D773" t="str">
        <f>HYPERLINK("http://www.ncbi.nlm.nih.gov/Taxonomy/Browser/wwwtax.cgi?mode=Info&amp;id=68497&amp;lvl=3&amp;lin=f&amp;keep=1&amp;srchmode=1&amp;unlock","68497")</f>
        <v>68497</v>
      </c>
      <c r="E773" t="s">
        <v>167</v>
      </c>
      <c r="F773" t="s">
        <v>167</v>
      </c>
      <c r="G773" t="str">
        <f>HYPERLINK("http://www.ncbi.nlm.nih.gov/Taxonomy/Browser/wwwtax.cgi?mode=Info&amp;id=68497&amp;lvl=3&amp;lin=f&amp;keep=1&amp;srchmode=1&amp;unlock","Hippolais icterina")</f>
        <v>Hippolais icterina</v>
      </c>
      <c r="H773" t="s">
        <v>440</v>
      </c>
      <c r="I773" t="str">
        <f>HYPERLINK("http://www.ncbi.nlm.nih.gov/protein/NXR46790.1","GCR protein")</f>
        <v>GCR protein</v>
      </c>
      <c r="J773">
        <v>411.38</v>
      </c>
      <c r="K773" t="s">
        <v>25</v>
      </c>
      <c r="L773">
        <v>157</v>
      </c>
      <c r="M773">
        <v>44.41</v>
      </c>
      <c r="N773">
        <v>21.9</v>
      </c>
      <c r="O773" t="s">
        <v>20</v>
      </c>
      <c r="P773" t="s">
        <v>965</v>
      </c>
      <c r="Q773" t="s">
        <v>20</v>
      </c>
      <c r="R773" t="str">
        <f>HYPERLINK("https://cfpub.epa.gov/ecotox/explore.cfm?ncbi=68497","Explore in ECOTOX")</f>
        <v>Explore in ECOTOX</v>
      </c>
    </row>
    <row r="774" spans="1:18" x14ac:dyDescent="0.25">
      <c r="A774">
        <v>6</v>
      </c>
      <c r="B774" t="str">
        <f>HYPERLINK("http://www.ncbi.nlm.nih.gov/protein/QMX78391.1","QMX78391.1")</f>
        <v>QMX78391.1</v>
      </c>
      <c r="C774">
        <v>367</v>
      </c>
      <c r="D774" t="str">
        <f>HYPERLINK("http://www.ncbi.nlm.nih.gov/Taxonomy/Browser/wwwtax.cgi?mode=Info&amp;id=75038&amp;lvl=3&amp;lin=f&amp;keep=1&amp;srchmode=1&amp;unlock","75038")</f>
        <v>75038</v>
      </c>
      <c r="E774" t="s">
        <v>384</v>
      </c>
      <c r="F774" t="s">
        <v>384</v>
      </c>
      <c r="G774" t="str">
        <f>HYPERLINK("http://www.ncbi.nlm.nih.gov/Taxonomy/Browser/wwwtax.cgi?mode=Info&amp;id=75038&amp;lvl=3&amp;lin=f&amp;keep=1&amp;srchmode=1&amp;unlock","Scatophagus argus")</f>
        <v>Scatophagus argus</v>
      </c>
      <c r="H774" t="s">
        <v>1043</v>
      </c>
      <c r="I774" t="str">
        <f>HYPERLINK("http://www.ncbi.nlm.nih.gov/protein/QMX78391.1","GR")</f>
        <v>GR</v>
      </c>
      <c r="J774">
        <v>410.99</v>
      </c>
      <c r="K774" t="s">
        <v>25</v>
      </c>
      <c r="L774">
        <v>157</v>
      </c>
      <c r="M774">
        <v>44.41</v>
      </c>
      <c r="N774">
        <v>21.88</v>
      </c>
      <c r="O774" t="s">
        <v>25</v>
      </c>
      <c r="P774" t="s">
        <v>965</v>
      </c>
      <c r="Q774" t="s">
        <v>20</v>
      </c>
      <c r="R774" t="str">
        <f>HYPERLINK("https://cfpub.epa.gov/ecotox/explore.cfm?ncbi=75038","Explore in ECOTOX")</f>
        <v>Explore in ECOTOX</v>
      </c>
    </row>
    <row r="775" spans="1:18" x14ac:dyDescent="0.25">
      <c r="A775">
        <v>6</v>
      </c>
      <c r="B775" t="str">
        <f>HYPERLINK("http://www.ncbi.nlm.nih.gov/protein/NXQ12317.1","NXQ12317.1")</f>
        <v>NXQ12317.1</v>
      </c>
      <c r="C775">
        <v>13701</v>
      </c>
      <c r="D775" t="str">
        <f>HYPERLINK("http://www.ncbi.nlm.nih.gov/Taxonomy/Browser/wwwtax.cgi?mode=Info&amp;id=135441&amp;lvl=3&amp;lin=f&amp;keep=1&amp;srchmode=1&amp;unlock","135441")</f>
        <v>135441</v>
      </c>
      <c r="E775" t="s">
        <v>167</v>
      </c>
      <c r="F775" t="s">
        <v>167</v>
      </c>
      <c r="G775" t="str">
        <f>HYPERLINK("http://www.ncbi.nlm.nih.gov/Taxonomy/Browser/wwwtax.cgi?mode=Info&amp;id=135441&amp;lvl=3&amp;lin=f&amp;keep=1&amp;srchmode=1&amp;unlock","Peucedramus taeniatus")</f>
        <v>Peucedramus taeniatus</v>
      </c>
      <c r="H775" t="s">
        <v>496</v>
      </c>
      <c r="I775" t="str">
        <f>HYPERLINK("http://www.ncbi.nlm.nih.gov/protein/NXQ12317.1","GCR protein")</f>
        <v>GCR protein</v>
      </c>
      <c r="J775">
        <v>410.61</v>
      </c>
      <c r="K775" t="s">
        <v>25</v>
      </c>
      <c r="L775">
        <v>157</v>
      </c>
      <c r="M775">
        <v>44.41</v>
      </c>
      <c r="N775">
        <v>21.86</v>
      </c>
      <c r="O775" t="s">
        <v>20</v>
      </c>
      <c r="P775" t="s">
        <v>965</v>
      </c>
      <c r="Q775" t="s">
        <v>20</v>
      </c>
      <c r="R775" t="str">
        <f>HYPERLINK("https://cfpub.epa.gov/ecotox/explore.cfm?ncbi=135441","Explore in ECOTOX")</f>
        <v>Explore in ECOTOX</v>
      </c>
    </row>
    <row r="776" spans="1:18" x14ac:dyDescent="0.25">
      <c r="A776">
        <v>6</v>
      </c>
      <c r="B776" t="str">
        <f>HYPERLINK("http://www.ncbi.nlm.nih.gov/protein/NXR79433.1","NXR79433.1")</f>
        <v>NXR79433.1</v>
      </c>
      <c r="C776">
        <v>13978</v>
      </c>
      <c r="D776" t="str">
        <f>HYPERLINK("http://www.ncbi.nlm.nih.gov/Taxonomy/Browser/wwwtax.cgi?mode=Info&amp;id=182897&amp;lvl=3&amp;lin=f&amp;keep=1&amp;srchmode=1&amp;unlock","182897")</f>
        <v>182897</v>
      </c>
      <c r="E776" t="s">
        <v>167</v>
      </c>
      <c r="F776" t="s">
        <v>167</v>
      </c>
      <c r="G776" t="str">
        <f>HYPERLINK("http://www.ncbi.nlm.nih.gov/Taxonomy/Browser/wwwtax.cgi?mode=Info&amp;id=182897&amp;lvl=3&amp;lin=f&amp;keep=1&amp;srchmode=1&amp;unlock","Pycnonotus jocosus")</f>
        <v>Pycnonotus jocosus</v>
      </c>
      <c r="H776" t="s">
        <v>464</v>
      </c>
      <c r="I776" t="str">
        <f>HYPERLINK("http://www.ncbi.nlm.nih.gov/protein/NXR79433.1","GCR protein")</f>
        <v>GCR protein</v>
      </c>
      <c r="J776">
        <v>410.22</v>
      </c>
      <c r="K776" t="s">
        <v>25</v>
      </c>
      <c r="L776">
        <v>157</v>
      </c>
      <c r="M776">
        <v>44.41</v>
      </c>
      <c r="N776">
        <v>21.84</v>
      </c>
      <c r="O776" t="s">
        <v>20</v>
      </c>
      <c r="P776" t="s">
        <v>965</v>
      </c>
      <c r="Q776" t="s">
        <v>20</v>
      </c>
      <c r="R776" t="str">
        <f>HYPERLINK("https://cfpub.epa.gov/ecotox/explore.cfm?ncbi=182897","Explore in ECOTOX")</f>
        <v>Explore in ECOTOX</v>
      </c>
    </row>
    <row r="777" spans="1:18" x14ac:dyDescent="0.25">
      <c r="A777">
        <v>6</v>
      </c>
      <c r="B777" t="str">
        <f>HYPERLINK("http://www.ncbi.nlm.nih.gov/protein/NWQ47357.1","NWQ47357.1")</f>
        <v>NWQ47357.1</v>
      </c>
      <c r="C777">
        <v>14102</v>
      </c>
      <c r="D777" t="str">
        <f>HYPERLINK("http://www.ncbi.nlm.nih.gov/Taxonomy/Browser/wwwtax.cgi?mode=Info&amp;id=44397&amp;lvl=3&amp;lin=f&amp;keep=1&amp;srchmode=1&amp;unlock","44397")</f>
        <v>44397</v>
      </c>
      <c r="E777" t="s">
        <v>167</v>
      </c>
      <c r="F777" t="s">
        <v>167</v>
      </c>
      <c r="G777" t="str">
        <f>HYPERLINK("http://www.ncbi.nlm.nih.gov/Taxonomy/Browser/wwwtax.cgi?mode=Info&amp;id=44397&amp;lvl=3&amp;lin=f&amp;keep=1&amp;srchmode=1&amp;unlock","Melospiza melodia")</f>
        <v>Melospiza melodia</v>
      </c>
      <c r="H777" t="s">
        <v>380</v>
      </c>
      <c r="I777" t="str">
        <f>HYPERLINK("http://www.ncbi.nlm.nih.gov/protein/NWQ47357.1","GCR protein")</f>
        <v>GCR protein</v>
      </c>
      <c r="J777">
        <v>410.22</v>
      </c>
      <c r="K777" t="s">
        <v>25</v>
      </c>
      <c r="L777">
        <v>157</v>
      </c>
      <c r="M777">
        <v>44.41</v>
      </c>
      <c r="N777">
        <v>21.84</v>
      </c>
      <c r="O777" t="s">
        <v>20</v>
      </c>
      <c r="P777" t="s">
        <v>965</v>
      </c>
      <c r="Q777" t="s">
        <v>20</v>
      </c>
      <c r="R777" t="str">
        <f>HYPERLINK("https://cfpub.epa.gov/ecotox/explore.cfm?ncbi=44397","Explore in ECOTOX")</f>
        <v>Explore in ECOTOX</v>
      </c>
    </row>
    <row r="778" spans="1:18" x14ac:dyDescent="0.25">
      <c r="A778">
        <v>6</v>
      </c>
      <c r="B778" t="str">
        <f>HYPERLINK("http://www.ncbi.nlm.nih.gov/protein/AAB81722.1","AAB81722.1")</f>
        <v>AAB81722.1</v>
      </c>
      <c r="C778">
        <v>280</v>
      </c>
      <c r="D778" t="str">
        <f>HYPERLINK("http://www.ncbi.nlm.nih.gov/Taxonomy/Browser/wwwtax.cgi?mode=Info&amp;id=68455&amp;lvl=3&amp;lin=f&amp;keep=1&amp;srchmode=1&amp;unlock","68455")</f>
        <v>68455</v>
      </c>
      <c r="E778" t="s">
        <v>371</v>
      </c>
      <c r="F778" t="s">
        <v>371</v>
      </c>
      <c r="G778" t="str">
        <f>HYPERLINK("http://www.ncbi.nlm.nih.gov/Taxonomy/Browser/wwwtax.cgi?mode=Info&amp;id=68455&amp;lvl=3&amp;lin=f&amp;keep=1&amp;srchmode=1&amp;unlock","Crocodylus siamensis")</f>
        <v>Crocodylus siamensis</v>
      </c>
      <c r="H778" t="s">
        <v>1044</v>
      </c>
      <c r="I778" t="str">
        <f>HYPERLINK("http://www.ncbi.nlm.nih.gov/protein/AAB81722.1","progesterone receptor protein homolog, partial")</f>
        <v>progesterone receptor protein homolog, partial</v>
      </c>
      <c r="J778">
        <v>409.84</v>
      </c>
      <c r="K778" t="s">
        <v>25</v>
      </c>
      <c r="L778">
        <v>157</v>
      </c>
      <c r="M778">
        <v>44.41</v>
      </c>
      <c r="N778">
        <v>21.82</v>
      </c>
      <c r="O778" t="s">
        <v>20</v>
      </c>
      <c r="P778" t="s">
        <v>965</v>
      </c>
      <c r="Q778" t="s">
        <v>20</v>
      </c>
      <c r="R778" t="str">
        <f>HYPERLINK("https://cfpub.epa.gov/ecotox/explore.cfm?ncbi=68455","Explore in ECOTOX")</f>
        <v>Explore in ECOTOX</v>
      </c>
    </row>
    <row r="779" spans="1:18" x14ac:dyDescent="0.25">
      <c r="A779">
        <v>6</v>
      </c>
      <c r="B779" t="str">
        <f>HYPERLINK("http://www.ncbi.nlm.nih.gov/protein/NWU40586.1","NWU40586.1")</f>
        <v>NWU40586.1</v>
      </c>
      <c r="C779">
        <v>13565</v>
      </c>
      <c r="D779" t="str">
        <f>HYPERLINK("http://www.ncbi.nlm.nih.gov/Taxonomy/Browser/wwwtax.cgi?mode=Info&amp;id=208073&amp;lvl=3&amp;lin=f&amp;keep=1&amp;srchmode=1&amp;unlock","208073")</f>
        <v>208073</v>
      </c>
      <c r="E779" t="s">
        <v>167</v>
      </c>
      <c r="F779" t="s">
        <v>167</v>
      </c>
      <c r="G779" t="str">
        <f>HYPERLINK("http://www.ncbi.nlm.nih.gov/Taxonomy/Browser/wwwtax.cgi?mode=Info&amp;id=208073&amp;lvl=3&amp;lin=f&amp;keep=1&amp;srchmode=1&amp;unlock","Hylia prasina")</f>
        <v>Hylia prasina</v>
      </c>
      <c r="H779" t="s">
        <v>486</v>
      </c>
      <c r="I779" t="str">
        <f>HYPERLINK("http://www.ncbi.nlm.nih.gov/protein/NWU40586.1","GCR protein")</f>
        <v>GCR protein</v>
      </c>
      <c r="J779">
        <v>409.07</v>
      </c>
      <c r="K779" t="s">
        <v>25</v>
      </c>
      <c r="L779">
        <v>157</v>
      </c>
      <c r="M779">
        <v>44.41</v>
      </c>
      <c r="N779">
        <v>21.78</v>
      </c>
      <c r="O779" t="s">
        <v>20</v>
      </c>
      <c r="P779" t="s">
        <v>965</v>
      </c>
      <c r="Q779" t="s">
        <v>20</v>
      </c>
      <c r="R779" t="str">
        <f>HYPERLINK("https://cfpub.epa.gov/ecotox/explore.cfm?ncbi=208073","Explore in ECOTOX")</f>
        <v>Explore in ECOTOX</v>
      </c>
    </row>
    <row r="780" spans="1:18" x14ac:dyDescent="0.25">
      <c r="A780">
        <v>6</v>
      </c>
      <c r="B780" t="str">
        <f>HYPERLINK("http://www.ncbi.nlm.nih.gov/protein/AAK01303.1","AAK01303.1")</f>
        <v>AAK01303.1</v>
      </c>
      <c r="C780">
        <v>447</v>
      </c>
      <c r="D780" t="str">
        <f>HYPERLINK("http://www.ncbi.nlm.nih.gov/Taxonomy/Browser/wwwtax.cgi?mode=Info&amp;id=9521&amp;lvl=3&amp;lin=f&amp;keep=1&amp;srchmode=1&amp;unlock","9521")</f>
        <v>9521</v>
      </c>
      <c r="E780" t="s">
        <v>18</v>
      </c>
      <c r="F780" t="s">
        <v>18</v>
      </c>
      <c r="G780" t="str">
        <f>HYPERLINK("http://www.ncbi.nlm.nih.gov/Taxonomy/Browser/wwwtax.cgi?mode=Info&amp;id=9521&amp;lvl=3&amp;lin=f&amp;keep=1&amp;srchmode=1&amp;unlock","Saimiri sciureus")</f>
        <v>Saimiri sciureus</v>
      </c>
      <c r="H780" t="s">
        <v>1045</v>
      </c>
      <c r="I780" t="str">
        <f>HYPERLINK("http://www.ncbi.nlm.nih.gov/protein/AAK01303.1","glucocorticoid receptor")</f>
        <v>glucocorticoid receptor</v>
      </c>
      <c r="J780">
        <v>409.07</v>
      </c>
      <c r="K780" t="s">
        <v>25</v>
      </c>
      <c r="L780">
        <v>157</v>
      </c>
      <c r="M780">
        <v>44.41</v>
      </c>
      <c r="N780">
        <v>21.78</v>
      </c>
      <c r="O780" t="s">
        <v>20</v>
      </c>
      <c r="P780" t="s">
        <v>965</v>
      </c>
      <c r="Q780" t="s">
        <v>20</v>
      </c>
      <c r="R780" t="str">
        <f>HYPERLINK("https://cfpub.epa.gov/ecotox/explore.cfm?ncbi=9521","Explore in ECOTOX")</f>
        <v>Explore in ECOTOX</v>
      </c>
    </row>
    <row r="781" spans="1:18" x14ac:dyDescent="0.25">
      <c r="A781">
        <v>6</v>
      </c>
      <c r="B781" t="str">
        <f>HYPERLINK("http://www.ncbi.nlm.nih.gov/protein/AFK14016.1","AFK14016.1")</f>
        <v>AFK14016.1</v>
      </c>
      <c r="C781">
        <v>183</v>
      </c>
      <c r="D781" t="str">
        <f>HYPERLINK("http://www.ncbi.nlm.nih.gov/Taxonomy/Browser/wwwtax.cgi?mode=Info&amp;id=8276&amp;lvl=3&amp;lin=f&amp;keep=1&amp;srchmode=1&amp;unlock","8276")</f>
        <v>8276</v>
      </c>
      <c r="E781" t="s">
        <v>384</v>
      </c>
      <c r="F781" t="s">
        <v>384</v>
      </c>
      <c r="G781" t="str">
        <f>HYPERLINK("http://www.ncbi.nlm.nih.gov/Taxonomy/Browser/wwwtax.cgi?mode=Info&amp;id=8276&amp;lvl=3&amp;lin=f&amp;keep=1&amp;srchmode=1&amp;unlock","Pantodon buchholzi")</f>
        <v>Pantodon buchholzi</v>
      </c>
      <c r="H781" t="s">
        <v>1046</v>
      </c>
      <c r="I781" t="str">
        <f>HYPERLINK("http://www.ncbi.nlm.nih.gov/protein/AFK14016.1","glucocorticoid receptor 2b")</f>
        <v>glucocorticoid receptor 2b</v>
      </c>
      <c r="J781">
        <v>407.91</v>
      </c>
      <c r="K781" t="s">
        <v>25</v>
      </c>
      <c r="L781">
        <v>157</v>
      </c>
      <c r="M781">
        <v>44.41</v>
      </c>
      <c r="N781">
        <v>21.71</v>
      </c>
      <c r="O781" t="s">
        <v>25</v>
      </c>
      <c r="P781" t="s">
        <v>965</v>
      </c>
      <c r="Q781" t="s">
        <v>20</v>
      </c>
      <c r="R781" t="str">
        <f>HYPERLINK("https://cfpub.epa.gov/ecotox/explore.cfm?ncbi=8276","Explore in ECOTOX")</f>
        <v>Explore in ECOTOX</v>
      </c>
    </row>
    <row r="782" spans="1:18" x14ac:dyDescent="0.25">
      <c r="A782">
        <v>6</v>
      </c>
      <c r="B782" t="str">
        <f>HYPERLINK("http://www.ncbi.nlm.nih.gov/protein/P79269.1","P79269.1")</f>
        <v>P79269.1</v>
      </c>
      <c r="C782">
        <v>435</v>
      </c>
      <c r="D782" t="str">
        <f>HYPERLINK("http://www.ncbi.nlm.nih.gov/Taxonomy/Browser/wwwtax.cgi?mode=Info&amp;id=9490&amp;lvl=3&amp;lin=f&amp;keep=1&amp;srchmode=1&amp;unlock","9490")</f>
        <v>9490</v>
      </c>
      <c r="E782" t="s">
        <v>18</v>
      </c>
      <c r="F782" t="s">
        <v>18</v>
      </c>
      <c r="G782" t="str">
        <f>HYPERLINK("http://www.ncbi.nlm.nih.gov/Taxonomy/Browser/wwwtax.cgi?mode=Info&amp;id=9490&amp;lvl=3&amp;lin=f&amp;keep=1&amp;srchmode=1&amp;unlock","Saguinus oedipus")</f>
        <v>Saguinus oedipus</v>
      </c>
      <c r="H782" t="s">
        <v>1047</v>
      </c>
      <c r="I782" t="str">
        <f>HYPERLINK("http://www.ncbi.nlm.nih.gov/protein/P79269.1","RecName: Full=Glucocorticoid receptor; Short=GR; AltName: Full=Nuclear receptor subfamily 3 group C member 1")</f>
        <v>RecName: Full=Glucocorticoid receptor; Short=GR; AltName: Full=Nuclear receptor subfamily 3 group C member 1</v>
      </c>
      <c r="J782">
        <v>407.91</v>
      </c>
      <c r="K782" t="s">
        <v>25</v>
      </c>
      <c r="L782">
        <v>157</v>
      </c>
      <c r="M782">
        <v>44.41</v>
      </c>
      <c r="N782">
        <v>21.71</v>
      </c>
      <c r="O782" t="s">
        <v>20</v>
      </c>
      <c r="P782" t="s">
        <v>965</v>
      </c>
      <c r="Q782" t="s">
        <v>20</v>
      </c>
      <c r="R782" t="str">
        <f>HYPERLINK("https://cfpub.epa.gov/ecotox/explore.cfm?ncbi=9490","Explore in ECOTOX")</f>
        <v>Explore in ECOTOX</v>
      </c>
    </row>
    <row r="783" spans="1:18" x14ac:dyDescent="0.25">
      <c r="A783">
        <v>6</v>
      </c>
      <c r="B783" t="str">
        <f>HYPERLINK("http://www.ncbi.nlm.nih.gov/protein/KAF5913336.1","KAF5913336.1")</f>
        <v>KAF5913336.1</v>
      </c>
      <c r="C783">
        <v>19611</v>
      </c>
      <c r="D783" t="str">
        <f>HYPERLINK("http://www.ncbi.nlm.nih.gov/Taxonomy/Browser/wwwtax.cgi?mode=Info&amp;id=77932&amp;lvl=3&amp;lin=f&amp;keep=1&amp;srchmode=1&amp;unlock","77932")</f>
        <v>77932</v>
      </c>
      <c r="E783" t="s">
        <v>18</v>
      </c>
      <c r="F783" t="s">
        <v>18</v>
      </c>
      <c r="G783" t="str">
        <f>HYPERLINK("http://www.ncbi.nlm.nih.gov/Taxonomy/Browser/wwwtax.cgi?mode=Info&amp;id=77932&amp;lvl=3&amp;lin=f&amp;keep=1&amp;srchmode=1&amp;unlock","Diceros bicornis minor")</f>
        <v>Diceros bicornis minor</v>
      </c>
      <c r="H783" t="s">
        <v>517</v>
      </c>
      <c r="I783" t="str">
        <f>HYPERLINK("http://www.ncbi.nlm.nih.gov/protein/KAF5913336.1","hypothetical protein HPG69_016952")</f>
        <v>hypothetical protein HPG69_016952</v>
      </c>
      <c r="J783">
        <v>405.99</v>
      </c>
      <c r="K783" t="s">
        <v>25</v>
      </c>
      <c r="L783">
        <v>157</v>
      </c>
      <c r="M783">
        <v>44.41</v>
      </c>
      <c r="N783">
        <v>21.61</v>
      </c>
      <c r="O783" t="s">
        <v>20</v>
      </c>
      <c r="P783" t="s">
        <v>965</v>
      </c>
      <c r="Q783" t="s">
        <v>20</v>
      </c>
      <c r="R783" t="str">
        <f>HYPERLINK("https://cfpub.epa.gov/ecotox/explore.cfm?ncbi=77932","Explore in ECOTOX")</f>
        <v>Explore in ECOTOX</v>
      </c>
    </row>
    <row r="784" spans="1:18" x14ac:dyDescent="0.25">
      <c r="A784">
        <v>6</v>
      </c>
      <c r="B784" t="str">
        <f>HYPERLINK("http://www.ncbi.nlm.nih.gov/protein/QNJ34170.1","QNJ34170.1")</f>
        <v>QNJ34170.1</v>
      </c>
      <c r="C784">
        <v>192</v>
      </c>
      <c r="D784" t="str">
        <f>HYPERLINK("http://www.ncbi.nlm.nih.gov/Taxonomy/Browser/wwwtax.cgi?mode=Info&amp;id=80970&amp;lvl=3&amp;lin=f&amp;keep=1&amp;srchmode=1&amp;unlock","80970")</f>
        <v>80970</v>
      </c>
      <c r="E784" t="s">
        <v>384</v>
      </c>
      <c r="F784" t="s">
        <v>384</v>
      </c>
      <c r="G784" t="str">
        <f>HYPERLINK("http://www.ncbi.nlm.nih.gov/Taxonomy/Browser/wwwtax.cgi?mode=Info&amp;id=80970&amp;lvl=3&amp;lin=f&amp;keep=1&amp;srchmode=1&amp;unlock","Amphiprion clarkii")</f>
        <v>Amphiprion clarkii</v>
      </c>
      <c r="H784" t="s">
        <v>1048</v>
      </c>
      <c r="I784" t="str">
        <f>HYPERLINK("http://www.ncbi.nlm.nih.gov/protein/QNJ34170.1","glucocorticoid receptor 2")</f>
        <v>glucocorticoid receptor 2</v>
      </c>
      <c r="J784">
        <v>403.68</v>
      </c>
      <c r="K784" t="s">
        <v>25</v>
      </c>
      <c r="L784">
        <v>157</v>
      </c>
      <c r="M784">
        <v>44.41</v>
      </c>
      <c r="N784">
        <v>21.49</v>
      </c>
      <c r="O784" t="s">
        <v>25</v>
      </c>
      <c r="P784" t="s">
        <v>965</v>
      </c>
      <c r="Q784" t="s">
        <v>20</v>
      </c>
      <c r="R784" t="str">
        <f>HYPERLINK("https://cfpub.epa.gov/ecotox/explore.cfm?ncbi=80970","Explore in ECOTOX")</f>
        <v>Explore in ECOTOX</v>
      </c>
    </row>
    <row r="785" spans="1:18" x14ac:dyDescent="0.25">
      <c r="A785">
        <v>6</v>
      </c>
      <c r="B785" t="str">
        <f>HYPERLINK("http://www.ncbi.nlm.nih.gov/protein/Q95267.1","Q95267.1")</f>
        <v>Q95267.1</v>
      </c>
      <c r="C785">
        <v>374</v>
      </c>
      <c r="D785" t="str">
        <f>HYPERLINK("http://www.ncbi.nlm.nih.gov/Taxonomy/Browser/wwwtax.cgi?mode=Info&amp;id=37347&amp;lvl=3&amp;lin=f&amp;keep=1&amp;srchmode=1&amp;unlock","37347")</f>
        <v>37347</v>
      </c>
      <c r="E785" t="s">
        <v>18</v>
      </c>
      <c r="F785" t="s">
        <v>18</v>
      </c>
      <c r="G785" t="str">
        <f>HYPERLINK("http://www.ncbi.nlm.nih.gov/Taxonomy/Browser/wwwtax.cgi?mode=Info&amp;id=37347&amp;lvl=3&amp;lin=f&amp;keep=1&amp;srchmode=1&amp;unlock","Tupaia belangeri")</f>
        <v>Tupaia belangeri</v>
      </c>
      <c r="H785" t="s">
        <v>1049</v>
      </c>
      <c r="I785" t="str">
        <f>HYPERLINK("http://www.ncbi.nlm.nih.gov/protein/Q95267.1","RecName: Full=Glucocorticoid receptor; Short=GR; AltName: Full=Nuclear receptor subfamily 3 group C member 1")</f>
        <v>RecName: Full=Glucocorticoid receptor; Short=GR; AltName: Full=Nuclear receptor subfamily 3 group C member 1</v>
      </c>
      <c r="J785">
        <v>402.13</v>
      </c>
      <c r="K785" t="s">
        <v>25</v>
      </c>
      <c r="L785">
        <v>157</v>
      </c>
      <c r="M785">
        <v>44.41</v>
      </c>
      <c r="N785">
        <v>21.41</v>
      </c>
      <c r="O785" t="s">
        <v>20</v>
      </c>
      <c r="P785" t="s">
        <v>965</v>
      </c>
      <c r="Q785" t="s">
        <v>20</v>
      </c>
      <c r="R785" t="str">
        <f>HYPERLINK("https://cfpub.epa.gov/ecotox/explore.cfm?ncbi=37347","Explore in ECOTOX")</f>
        <v>Explore in ECOTOX</v>
      </c>
    </row>
    <row r="786" spans="1:18" x14ac:dyDescent="0.25">
      <c r="A786">
        <v>6</v>
      </c>
      <c r="B786" t="str">
        <f>HYPERLINK("http://www.ncbi.nlm.nih.gov/protein/ADZ24980.1","ADZ24980.1")</f>
        <v>ADZ24980.1</v>
      </c>
      <c r="C786">
        <v>144</v>
      </c>
      <c r="D786" t="str">
        <f>HYPERLINK("http://www.ncbi.nlm.nih.gov/Taxonomy/Browser/wwwtax.cgi?mode=Info&amp;id=291360&amp;lvl=3&amp;lin=f&amp;keep=1&amp;srchmode=1&amp;unlock","291360")</f>
        <v>291360</v>
      </c>
      <c r="E786" t="s">
        <v>384</v>
      </c>
      <c r="F786" t="s">
        <v>384</v>
      </c>
      <c r="G786" t="str">
        <f>HYPERLINK("http://www.ncbi.nlm.nih.gov/Taxonomy/Browser/wwwtax.cgi?mode=Info&amp;id=291360&amp;lvl=3&amp;lin=f&amp;keep=1&amp;srchmode=1&amp;unlock","Oryzias dancena")</f>
        <v>Oryzias dancena</v>
      </c>
      <c r="H786" t="s">
        <v>1050</v>
      </c>
      <c r="I786" t="str">
        <f>HYPERLINK("http://www.ncbi.nlm.nih.gov/protein/ADZ24980.1","glucocorticoid receptor 2")</f>
        <v>glucocorticoid receptor 2</v>
      </c>
      <c r="J786">
        <v>401.36</v>
      </c>
      <c r="K786" t="s">
        <v>25</v>
      </c>
      <c r="L786">
        <v>157</v>
      </c>
      <c r="M786">
        <v>44.41</v>
      </c>
      <c r="N786">
        <v>21.37</v>
      </c>
      <c r="O786" t="s">
        <v>25</v>
      </c>
      <c r="P786" t="s">
        <v>965</v>
      </c>
      <c r="Q786" t="s">
        <v>20</v>
      </c>
      <c r="R786" t="str">
        <f>HYPERLINK("https://cfpub.epa.gov/ecotox/explore.cfm?ncbi=291360","Explore in ECOTOX")</f>
        <v>Explore in ECOTOX</v>
      </c>
    </row>
    <row r="787" spans="1:18" x14ac:dyDescent="0.25">
      <c r="A787">
        <v>6</v>
      </c>
      <c r="B787" t="str">
        <f>HYPERLINK("http://www.ncbi.nlm.nih.gov/protein/BAN57324.1","BAN57324.1")</f>
        <v>BAN57324.1</v>
      </c>
      <c r="C787">
        <v>540</v>
      </c>
      <c r="D787" t="str">
        <f>HYPERLINK("http://www.ncbi.nlm.nih.gov/Taxonomy/Browser/wwwtax.cgi?mode=Info&amp;id=8127&amp;lvl=3&amp;lin=f&amp;keep=1&amp;srchmode=1&amp;unlock","8127")</f>
        <v>8127</v>
      </c>
      <c r="E787" t="s">
        <v>384</v>
      </c>
      <c r="F787" t="s">
        <v>384</v>
      </c>
      <c r="G787" t="str">
        <f>HYPERLINK("http://www.ncbi.nlm.nih.gov/Taxonomy/Browser/wwwtax.cgi?mode=Info&amp;id=8127&amp;lvl=3&amp;lin=f&amp;keep=1&amp;srchmode=1&amp;unlock","Oreochromis mossambicus")</f>
        <v>Oreochromis mossambicus</v>
      </c>
      <c r="H787" t="s">
        <v>1051</v>
      </c>
      <c r="I787" t="str">
        <f>HYPERLINK("http://www.ncbi.nlm.nih.gov/protein/BAN57324.1","glucocorticoid receptor isoform 1")</f>
        <v>glucocorticoid receptor isoform 1</v>
      </c>
      <c r="J787">
        <v>400.98</v>
      </c>
      <c r="K787" t="s">
        <v>25</v>
      </c>
      <c r="L787">
        <v>157</v>
      </c>
      <c r="M787">
        <v>44.41</v>
      </c>
      <c r="N787">
        <v>21.34</v>
      </c>
      <c r="O787" t="s">
        <v>25</v>
      </c>
      <c r="P787" t="s">
        <v>965</v>
      </c>
      <c r="Q787" t="s">
        <v>20</v>
      </c>
      <c r="R787" t="str">
        <f>HYPERLINK("https://cfpub.epa.gov/ecotox/explore.cfm?ncbi=8127","Explore in ECOTOX")</f>
        <v>Explore in ECOTOX</v>
      </c>
    </row>
    <row r="788" spans="1:18" x14ac:dyDescent="0.25">
      <c r="A788">
        <v>6</v>
      </c>
      <c r="B788" t="str">
        <f>HYPERLINK("http://www.ncbi.nlm.nih.gov/protein/ADE06402.1","ADE06402.1")</f>
        <v>ADE06402.1</v>
      </c>
      <c r="C788">
        <v>50</v>
      </c>
      <c r="D788" t="str">
        <f>HYPERLINK("http://www.ncbi.nlm.nih.gov/Taxonomy/Browser/wwwtax.cgi?mode=Info&amp;id=34787&amp;lvl=3&amp;lin=f&amp;keep=1&amp;srchmode=1&amp;unlock","34787")</f>
        <v>34787</v>
      </c>
      <c r="E788" t="s">
        <v>384</v>
      </c>
      <c r="F788" t="s">
        <v>384</v>
      </c>
      <c r="G788" t="str">
        <f>HYPERLINK("http://www.ncbi.nlm.nih.gov/Taxonomy/Browser/wwwtax.cgi?mode=Info&amp;id=34787&amp;lvl=3&amp;lin=f&amp;keep=1&amp;srchmode=1&amp;unlock","Tautogolabrus adspersus")</f>
        <v>Tautogolabrus adspersus</v>
      </c>
      <c r="H788" t="s">
        <v>1052</v>
      </c>
      <c r="I788" t="str">
        <f>HYPERLINK("http://www.ncbi.nlm.nih.gov/protein/ADE06402.1","glucocorticoid receptor")</f>
        <v>glucocorticoid receptor</v>
      </c>
      <c r="J788">
        <v>399.44</v>
      </c>
      <c r="K788" t="s">
        <v>25</v>
      </c>
      <c r="L788">
        <v>157</v>
      </c>
      <c r="M788">
        <v>44.41</v>
      </c>
      <c r="N788">
        <v>21.26</v>
      </c>
      <c r="O788" t="s">
        <v>25</v>
      </c>
      <c r="P788" t="s">
        <v>965</v>
      </c>
      <c r="Q788" t="s">
        <v>20</v>
      </c>
      <c r="R788" t="str">
        <f>HYPERLINK("https://cfpub.epa.gov/ecotox/explore.cfm?ncbi=34787","Explore in ECOTOX")</f>
        <v>Explore in ECOTOX</v>
      </c>
    </row>
    <row r="789" spans="1:18" x14ac:dyDescent="0.25">
      <c r="A789">
        <v>6</v>
      </c>
      <c r="B789" t="str">
        <f>HYPERLINK("http://www.ncbi.nlm.nih.gov/protein/BAJ61740.1","BAJ61740.1")</f>
        <v>BAJ61740.1</v>
      </c>
      <c r="C789">
        <v>577</v>
      </c>
      <c r="D789" t="str">
        <f>HYPERLINK("http://www.ncbi.nlm.nih.gov/Taxonomy/Browser/wwwtax.cgi?mode=Info&amp;id=8330&amp;lvl=3&amp;lin=f&amp;keep=1&amp;srchmode=1&amp;unlock","8330")</f>
        <v>8330</v>
      </c>
      <c r="E789" t="s">
        <v>134</v>
      </c>
      <c r="F789" t="s">
        <v>134</v>
      </c>
      <c r="G789" t="str">
        <f>HYPERLINK("http://www.ncbi.nlm.nih.gov/Taxonomy/Browser/wwwtax.cgi?mode=Info&amp;id=8330&amp;lvl=3&amp;lin=f&amp;keep=1&amp;srchmode=1&amp;unlock","Cynops pyrrhogaster")</f>
        <v>Cynops pyrrhogaster</v>
      </c>
      <c r="H789" t="s">
        <v>1053</v>
      </c>
      <c r="I789" t="str">
        <f>HYPERLINK("http://www.ncbi.nlm.nih.gov/protein/BAJ61740.1","glucocorticoid receptor")</f>
        <v>glucocorticoid receptor</v>
      </c>
      <c r="J789">
        <v>399.05</v>
      </c>
      <c r="K789" t="s">
        <v>25</v>
      </c>
      <c r="L789">
        <v>157</v>
      </c>
      <c r="M789">
        <v>44.41</v>
      </c>
      <c r="N789">
        <v>21.24</v>
      </c>
      <c r="O789" t="s">
        <v>20</v>
      </c>
      <c r="P789" t="s">
        <v>965</v>
      </c>
      <c r="Q789" t="s">
        <v>20</v>
      </c>
      <c r="R789" t="str">
        <f>HYPERLINK("https://cfpub.epa.gov/ecotox/explore.cfm?ncbi=8330","Explore in ECOTOX")</f>
        <v>Explore in ECOTOX</v>
      </c>
    </row>
    <row r="790" spans="1:18" x14ac:dyDescent="0.25">
      <c r="A790">
        <v>6</v>
      </c>
      <c r="B790" t="str">
        <f>HYPERLINK("http://www.ncbi.nlm.nih.gov/protein/ADX07108.1","ADX07108.1")</f>
        <v>ADX07108.1</v>
      </c>
      <c r="C790">
        <v>164</v>
      </c>
      <c r="D790" t="str">
        <f>HYPERLINK("http://www.ncbi.nlm.nih.gov/Taxonomy/Browser/wwwtax.cgi?mode=Info&amp;id=219752&amp;lvl=3&amp;lin=f&amp;keep=1&amp;srchmode=1&amp;unlock","219752")</f>
        <v>219752</v>
      </c>
      <c r="E790" t="s">
        <v>384</v>
      </c>
      <c r="F790" t="s">
        <v>384</v>
      </c>
      <c r="G790" t="str">
        <f>HYPERLINK("http://www.ncbi.nlm.nih.gov/Taxonomy/Browser/wwwtax.cgi?mode=Info&amp;id=219752&amp;lvl=3&amp;lin=f&amp;keep=1&amp;srchmode=1&amp;unlock","Odontesthes bonariensis")</f>
        <v>Odontesthes bonariensis</v>
      </c>
      <c r="H790" t="s">
        <v>1054</v>
      </c>
      <c r="I790" t="str">
        <f>HYPERLINK("http://www.ncbi.nlm.nih.gov/protein/ADX07108.1","glucocorticoid receptor 1, partial")</f>
        <v>glucocorticoid receptor 1, partial</v>
      </c>
      <c r="J790">
        <v>398.67</v>
      </c>
      <c r="K790" t="s">
        <v>25</v>
      </c>
      <c r="L790">
        <v>157</v>
      </c>
      <c r="M790">
        <v>44.41</v>
      </c>
      <c r="N790">
        <v>21.22</v>
      </c>
      <c r="O790" t="s">
        <v>25</v>
      </c>
      <c r="P790" t="s">
        <v>965</v>
      </c>
      <c r="Q790" t="s">
        <v>20</v>
      </c>
      <c r="R790" t="str">
        <f>HYPERLINK("https://cfpub.epa.gov/ecotox/explore.cfm?ncbi=219752","Explore in ECOTOX")</f>
        <v>Explore in ECOTOX</v>
      </c>
    </row>
    <row r="791" spans="1:18" x14ac:dyDescent="0.25">
      <c r="A791">
        <v>6</v>
      </c>
      <c r="B791" t="str">
        <f>HYPERLINK("http://www.ncbi.nlm.nih.gov/protein/KFP48421.1","KFP48421.1")</f>
        <v>KFP48421.1</v>
      </c>
      <c r="C791">
        <v>11460</v>
      </c>
      <c r="D791" t="str">
        <f>HYPERLINK("http://www.ncbi.nlm.nih.gov/Taxonomy/Browser/wwwtax.cgi?mode=Info&amp;id=43455&amp;lvl=3&amp;lin=f&amp;keep=1&amp;srchmode=1&amp;unlock","43455")</f>
        <v>43455</v>
      </c>
      <c r="E791" t="s">
        <v>167</v>
      </c>
      <c r="F791" t="s">
        <v>167</v>
      </c>
      <c r="G791" t="str">
        <f>HYPERLINK("http://www.ncbi.nlm.nih.gov/Taxonomy/Browser/wwwtax.cgi?mode=Info&amp;id=43455&amp;lvl=3&amp;lin=f&amp;keep=1&amp;srchmode=1&amp;unlock","Cathartes aura")</f>
        <v>Cathartes aura</v>
      </c>
      <c r="H791" t="s">
        <v>207</v>
      </c>
      <c r="I791" t="str">
        <f>HYPERLINK("http://www.ncbi.nlm.nih.gov/protein/KFP48421.1","Glucocorticoid receptor")</f>
        <v>Glucocorticoid receptor</v>
      </c>
      <c r="J791">
        <v>398.28</v>
      </c>
      <c r="K791" t="s">
        <v>25</v>
      </c>
      <c r="L791">
        <v>157</v>
      </c>
      <c r="M791">
        <v>44.41</v>
      </c>
      <c r="N791">
        <v>21.2</v>
      </c>
      <c r="O791" t="s">
        <v>20</v>
      </c>
      <c r="P791" t="s">
        <v>965</v>
      </c>
      <c r="Q791" t="s">
        <v>20</v>
      </c>
      <c r="R791" t="str">
        <f>HYPERLINK("https://cfpub.epa.gov/ecotox/explore.cfm?ncbi=43455","Explore in ECOTOX")</f>
        <v>Explore in ECOTOX</v>
      </c>
    </row>
    <row r="792" spans="1:18" x14ac:dyDescent="0.25">
      <c r="A792">
        <v>6</v>
      </c>
      <c r="B792" t="str">
        <f>HYPERLINK("http://www.ncbi.nlm.nih.gov/protein/AJO68025.1","AJO68025.1")</f>
        <v>AJO68025.1</v>
      </c>
      <c r="C792">
        <v>232</v>
      </c>
      <c r="D792" t="str">
        <f>HYPERLINK("http://www.ncbi.nlm.nih.gov/Taxonomy/Browser/wwwtax.cgi?mode=Info&amp;id=365059&amp;lvl=3&amp;lin=f&amp;keep=1&amp;srchmode=1&amp;unlock","365059")</f>
        <v>365059</v>
      </c>
      <c r="E792" t="s">
        <v>384</v>
      </c>
      <c r="F792" t="s">
        <v>384</v>
      </c>
      <c r="G792" t="str">
        <f>HYPERLINK("http://www.ncbi.nlm.nih.gov/Taxonomy/Browser/wwwtax.cgi?mode=Info&amp;id=365059&amp;lvl=3&amp;lin=f&amp;keep=1&amp;srchmode=1&amp;unlock","Coilia nasus")</f>
        <v>Coilia nasus</v>
      </c>
      <c r="H792" t="s">
        <v>1055</v>
      </c>
      <c r="I792" t="str">
        <f>HYPERLINK("http://www.ncbi.nlm.nih.gov/protein/AJO68025.1","glucocorticoid receptor")</f>
        <v>glucocorticoid receptor</v>
      </c>
      <c r="J792">
        <v>397.13</v>
      </c>
      <c r="K792" t="s">
        <v>25</v>
      </c>
      <c r="L792">
        <v>157</v>
      </c>
      <c r="M792">
        <v>44.41</v>
      </c>
      <c r="N792">
        <v>21.14</v>
      </c>
      <c r="O792" t="s">
        <v>25</v>
      </c>
      <c r="P792" t="s">
        <v>965</v>
      </c>
      <c r="Q792" t="s">
        <v>20</v>
      </c>
      <c r="R792" t="str">
        <f>HYPERLINK("https://cfpub.epa.gov/ecotox/explore.cfm?ncbi=365059","Explore in ECOTOX")</f>
        <v>Explore in ECOTOX</v>
      </c>
    </row>
    <row r="793" spans="1:18" x14ac:dyDescent="0.25">
      <c r="A793">
        <v>6</v>
      </c>
      <c r="B793" t="str">
        <f>HYPERLINK("http://www.ncbi.nlm.nih.gov/protein/QBS13820.1","QBS13820.1")</f>
        <v>QBS13820.1</v>
      </c>
      <c r="C793">
        <v>356</v>
      </c>
      <c r="D793" t="str">
        <f>HYPERLINK("http://www.ncbi.nlm.nih.gov/Taxonomy/Browser/wwwtax.cgi?mode=Info&amp;id=61084&amp;lvl=3&amp;lin=f&amp;keep=1&amp;srchmode=1&amp;unlock","61084")</f>
        <v>61084</v>
      </c>
      <c r="E793" t="s">
        <v>384</v>
      </c>
      <c r="F793" t="s">
        <v>384</v>
      </c>
      <c r="G793" t="str">
        <f>HYPERLINK("http://www.ncbi.nlm.nih.gov/Taxonomy/Browser/wwwtax.cgi?mode=Info&amp;id=61084&amp;lvl=3&amp;lin=f&amp;keep=1&amp;srchmode=1&amp;unlock","Plecoglossus altivelis")</f>
        <v>Plecoglossus altivelis</v>
      </c>
      <c r="H793" t="s">
        <v>1056</v>
      </c>
      <c r="I793" t="str">
        <f>HYPERLINK("http://www.ncbi.nlm.nih.gov/protein/QBS13820.1","glucocorticoid receptor")</f>
        <v>glucocorticoid receptor</v>
      </c>
      <c r="J793">
        <v>395.97</v>
      </c>
      <c r="K793" t="s">
        <v>25</v>
      </c>
      <c r="L793">
        <v>157</v>
      </c>
      <c r="M793">
        <v>44.41</v>
      </c>
      <c r="N793">
        <v>21.08</v>
      </c>
      <c r="O793" t="s">
        <v>25</v>
      </c>
      <c r="P793" t="s">
        <v>965</v>
      </c>
      <c r="Q793" t="s">
        <v>20</v>
      </c>
      <c r="R793" t="str">
        <f>HYPERLINK("https://cfpub.epa.gov/ecotox/explore.cfm?ncbi=61084","Explore in ECOTOX")</f>
        <v>Explore in ECOTOX</v>
      </c>
    </row>
    <row r="794" spans="1:18" x14ac:dyDescent="0.25">
      <c r="A794">
        <v>6</v>
      </c>
      <c r="B794" t="str">
        <f>HYPERLINK("http://www.ncbi.nlm.nih.gov/protein/NXN35759.1","NXN35759.1")</f>
        <v>NXN35759.1</v>
      </c>
      <c r="C794">
        <v>13695</v>
      </c>
      <c r="D794" t="str">
        <f>HYPERLINK("http://www.ncbi.nlm.nih.gov/Taxonomy/Browser/wwwtax.cgi?mode=Info&amp;id=240209&amp;lvl=3&amp;lin=f&amp;keep=1&amp;srchmode=1&amp;unlock","240209")</f>
        <v>240209</v>
      </c>
      <c r="E794" t="s">
        <v>167</v>
      </c>
      <c r="F794" t="s">
        <v>167</v>
      </c>
      <c r="G794" t="str">
        <f>HYPERLINK("http://www.ncbi.nlm.nih.gov/Taxonomy/Browser/wwwtax.cgi?mode=Info&amp;id=240209&amp;lvl=3&amp;lin=f&amp;keep=1&amp;srchmode=1&amp;unlock","Rhinoptilus africanus")</f>
        <v>Rhinoptilus africanus</v>
      </c>
      <c r="H794" t="s">
        <v>278</v>
      </c>
      <c r="I794" t="str">
        <f>HYPERLINK("http://www.ncbi.nlm.nih.gov/protein/NXN35759.1","PRGR protein")</f>
        <v>PRGR protein</v>
      </c>
      <c r="J794">
        <v>395.59</v>
      </c>
      <c r="K794" t="s">
        <v>25</v>
      </c>
      <c r="L794">
        <v>157</v>
      </c>
      <c r="M794">
        <v>44.41</v>
      </c>
      <c r="N794">
        <v>21.06</v>
      </c>
      <c r="O794" t="s">
        <v>20</v>
      </c>
      <c r="P794" t="s">
        <v>965</v>
      </c>
      <c r="Q794" t="s">
        <v>20</v>
      </c>
      <c r="R794" t="str">
        <f>HYPERLINK("https://cfpub.epa.gov/ecotox/explore.cfm?ncbi=240209","Explore in ECOTOX")</f>
        <v>Explore in ECOTOX</v>
      </c>
    </row>
    <row r="795" spans="1:18" x14ac:dyDescent="0.25">
      <c r="A795">
        <v>6</v>
      </c>
      <c r="B795" t="str">
        <f>HYPERLINK("http://www.ncbi.nlm.nih.gov/protein/CEP28034.1","CEP28034.1")</f>
        <v>CEP28034.1</v>
      </c>
      <c r="C795">
        <v>52</v>
      </c>
      <c r="D795" t="str">
        <f>HYPERLINK("http://www.ncbi.nlm.nih.gov/Taxonomy/Browser/wwwtax.cgi?mode=Info&amp;id=674131&amp;lvl=3&amp;lin=f&amp;keep=1&amp;srchmode=1&amp;unlock","674131")</f>
        <v>674131</v>
      </c>
      <c r="E795" t="s">
        <v>384</v>
      </c>
      <c r="F795" t="s">
        <v>384</v>
      </c>
      <c r="G795" t="str">
        <f>HYPERLINK("http://www.ncbi.nlm.nih.gov/Taxonomy/Browser/wwwtax.cgi?mode=Info&amp;id=674131&amp;lvl=3&amp;lin=f&amp;keep=1&amp;srchmode=1&amp;unlock","Coregonus maraena")</f>
        <v>Coregonus maraena</v>
      </c>
      <c r="H795" t="s">
        <v>1057</v>
      </c>
      <c r="I795" t="str">
        <f>HYPERLINK("http://www.ncbi.nlm.nih.gov/protein/CEP28034.1","nuclear receptor subfamily 3, group C, member 1 (glucocorticoid receptor)")</f>
        <v>nuclear receptor subfamily 3, group C, member 1 (glucocorticoid receptor)</v>
      </c>
      <c r="J795">
        <v>394.43</v>
      </c>
      <c r="K795" t="s">
        <v>25</v>
      </c>
      <c r="L795">
        <v>157</v>
      </c>
      <c r="M795">
        <v>44.41</v>
      </c>
      <c r="N795">
        <v>21</v>
      </c>
      <c r="O795" t="s">
        <v>25</v>
      </c>
      <c r="P795" t="s">
        <v>965</v>
      </c>
      <c r="Q795" t="s">
        <v>20</v>
      </c>
      <c r="R795" t="str">
        <f>HYPERLINK("https://cfpub.epa.gov/ecotox/explore.cfm?ncbi=674131","Explore in ECOTOX")</f>
        <v>Explore in ECOTOX</v>
      </c>
    </row>
    <row r="796" spans="1:18" x14ac:dyDescent="0.25">
      <c r="A796">
        <v>6</v>
      </c>
      <c r="B796" t="str">
        <f>HYPERLINK("http://www.ncbi.nlm.nih.gov/protein/AFV36364.1","AFV36364.1")</f>
        <v>AFV36364.1</v>
      </c>
      <c r="C796">
        <v>37</v>
      </c>
      <c r="D796" t="str">
        <f>HYPERLINK("http://www.ncbi.nlm.nih.gov/Taxonomy/Browser/wwwtax.cgi?mode=Info&amp;id=435163&amp;lvl=3&amp;lin=f&amp;keep=1&amp;srchmode=1&amp;unlock","435163")</f>
        <v>435163</v>
      </c>
      <c r="E796" t="s">
        <v>384</v>
      </c>
      <c r="F796" t="s">
        <v>384</v>
      </c>
      <c r="G796" t="str">
        <f>HYPERLINK("http://www.ncbi.nlm.nih.gov/Taxonomy/Browser/wwwtax.cgi?mode=Info&amp;id=435163&amp;lvl=3&amp;lin=f&amp;keep=1&amp;srchmode=1&amp;unlock","Thamnaconus septentrionalis")</f>
        <v>Thamnaconus septentrionalis</v>
      </c>
      <c r="H796" t="s">
        <v>1058</v>
      </c>
      <c r="I796" t="str">
        <f>HYPERLINK("http://www.ncbi.nlm.nih.gov/protein/AFV36364.1","androgen receptor, partial")</f>
        <v>androgen receptor, partial</v>
      </c>
      <c r="J796">
        <v>394.43</v>
      </c>
      <c r="K796" t="s">
        <v>25</v>
      </c>
      <c r="L796">
        <v>157</v>
      </c>
      <c r="M796">
        <v>44.41</v>
      </c>
      <c r="N796">
        <v>21</v>
      </c>
      <c r="O796" t="s">
        <v>25</v>
      </c>
      <c r="P796" t="s">
        <v>965</v>
      </c>
      <c r="Q796" t="s">
        <v>20</v>
      </c>
      <c r="R796" t="str">
        <f>HYPERLINK("https://cfpub.epa.gov/ecotox/explore.cfm?ncbi=435163","Explore in ECOTOX")</f>
        <v>Explore in ECOTOX</v>
      </c>
    </row>
    <row r="797" spans="1:18" x14ac:dyDescent="0.25">
      <c r="A797">
        <v>6</v>
      </c>
      <c r="B797" t="str">
        <f>HYPERLINK("http://www.ncbi.nlm.nih.gov/protein/AJA37727.1","AJA37727.1")</f>
        <v>AJA37727.1</v>
      </c>
      <c r="C797">
        <v>10</v>
      </c>
      <c r="D797" t="str">
        <f>HYPERLINK("http://www.ncbi.nlm.nih.gov/Taxonomy/Browser/wwwtax.cgi?mode=Info&amp;id=292133&amp;lvl=3&amp;lin=f&amp;keep=1&amp;srchmode=1&amp;unlock","292133")</f>
        <v>292133</v>
      </c>
      <c r="E797" t="s">
        <v>167</v>
      </c>
      <c r="F797" t="s">
        <v>167</v>
      </c>
      <c r="G797" t="str">
        <f>HYPERLINK("http://www.ncbi.nlm.nih.gov/Taxonomy/Browser/wwwtax.cgi?mode=Info&amp;id=292133&amp;lvl=3&amp;lin=f&amp;keep=1&amp;srchmode=1&amp;unlock","Turnix suscitator")</f>
        <v>Turnix suscitator</v>
      </c>
      <c r="H797" t="s">
        <v>1059</v>
      </c>
      <c r="I797" t="str">
        <f>HYPERLINK("http://www.ncbi.nlm.nih.gov/protein/AJA37727.1","androgen receptor, partial")</f>
        <v>androgen receptor, partial</v>
      </c>
      <c r="J797">
        <v>393.66</v>
      </c>
      <c r="K797" t="s">
        <v>25</v>
      </c>
      <c r="L797">
        <v>157</v>
      </c>
      <c r="M797">
        <v>44.41</v>
      </c>
      <c r="N797">
        <v>20.95</v>
      </c>
      <c r="O797" t="s">
        <v>20</v>
      </c>
      <c r="P797" t="s">
        <v>965</v>
      </c>
      <c r="Q797" t="s">
        <v>20</v>
      </c>
      <c r="R797" t="str">
        <f>HYPERLINK("https://cfpub.epa.gov/ecotox/explore.cfm?ncbi=292133","Explore in ECOTOX")</f>
        <v>Explore in ECOTOX</v>
      </c>
    </row>
    <row r="798" spans="1:18" x14ac:dyDescent="0.25">
      <c r="A798">
        <v>6</v>
      </c>
      <c r="B798" t="str">
        <f>HYPERLINK("http://www.ncbi.nlm.nih.gov/protein/AEX56589.1","AEX56589.1")</f>
        <v>AEX56589.1</v>
      </c>
      <c r="C798">
        <v>318</v>
      </c>
      <c r="D798" t="str">
        <f>HYPERLINK("http://www.ncbi.nlm.nih.gov/Taxonomy/Browser/wwwtax.cgi?mode=Info&amp;id=8260&amp;lvl=3&amp;lin=f&amp;keep=1&amp;srchmode=1&amp;unlock","8260")</f>
        <v>8260</v>
      </c>
      <c r="E798" t="s">
        <v>384</v>
      </c>
      <c r="F798" t="s">
        <v>384</v>
      </c>
      <c r="G798" t="str">
        <f>HYPERLINK("http://www.ncbi.nlm.nih.gov/Taxonomy/Browser/wwwtax.cgi?mode=Info&amp;id=8260&amp;lvl=3&amp;lin=f&amp;keep=1&amp;srchmode=1&amp;unlock","Platichthys flesus")</f>
        <v>Platichthys flesus</v>
      </c>
      <c r="H798" t="s">
        <v>671</v>
      </c>
      <c r="I798" t="str">
        <f>HYPERLINK("http://www.ncbi.nlm.nih.gov/protein/AEX56589.1","glucocorticoid receptor 2, partial")</f>
        <v>glucocorticoid receptor 2, partial</v>
      </c>
      <c r="J798">
        <v>393.27</v>
      </c>
      <c r="K798" t="s">
        <v>25</v>
      </c>
      <c r="L798">
        <v>157</v>
      </c>
      <c r="M798">
        <v>44.41</v>
      </c>
      <c r="N798">
        <v>20.93</v>
      </c>
      <c r="O798" t="s">
        <v>25</v>
      </c>
      <c r="P798" t="s">
        <v>965</v>
      </c>
      <c r="Q798" t="s">
        <v>20</v>
      </c>
      <c r="R798" t="str">
        <f>HYPERLINK("https://cfpub.epa.gov/ecotox/explore.cfm?ncbi=8260","Explore in ECOTOX")</f>
        <v>Explore in ECOTOX</v>
      </c>
    </row>
    <row r="799" spans="1:18" x14ac:dyDescent="0.25">
      <c r="A799">
        <v>6</v>
      </c>
      <c r="B799" t="str">
        <f>HYPERLINK("http://www.ncbi.nlm.nih.gov/protein/ABF20060.1","ABF20060.1")</f>
        <v>ABF20060.1</v>
      </c>
      <c r="C799">
        <v>55</v>
      </c>
      <c r="D799" t="str">
        <f>HYPERLINK("http://www.ncbi.nlm.nih.gov/Taxonomy/Browser/wwwtax.cgi?mode=Info&amp;id=382247&amp;lvl=3&amp;lin=f&amp;keep=1&amp;srchmode=1&amp;unlock","382247")</f>
        <v>382247</v>
      </c>
      <c r="E799" t="s">
        <v>167</v>
      </c>
      <c r="F799" t="s">
        <v>167</v>
      </c>
      <c r="G799" t="str">
        <f>HYPERLINK("http://www.ncbi.nlm.nih.gov/Taxonomy/Browser/wwwtax.cgi?mode=Info&amp;id=382247&amp;lvl=3&amp;lin=f&amp;keep=1&amp;srchmode=1&amp;unlock","Centropus grillii")</f>
        <v>Centropus grillii</v>
      </c>
      <c r="H799" t="s">
        <v>303</v>
      </c>
      <c r="I799" t="str">
        <f>HYPERLINK("http://www.ncbi.nlm.nih.gov/protein/ABF20060.1","androgen receptor, partial")</f>
        <v>androgen receptor, partial</v>
      </c>
      <c r="J799">
        <v>391.35</v>
      </c>
      <c r="K799" t="s">
        <v>25</v>
      </c>
      <c r="L799">
        <v>157</v>
      </c>
      <c r="M799">
        <v>44.41</v>
      </c>
      <c r="N799">
        <v>20.83</v>
      </c>
      <c r="O799" t="s">
        <v>20</v>
      </c>
      <c r="P799" t="s">
        <v>965</v>
      </c>
      <c r="Q799" t="s">
        <v>20</v>
      </c>
      <c r="R799" t="str">
        <f>HYPERLINK("https://cfpub.epa.gov/ecotox/explore.cfm?ncbi=382247","Explore in ECOTOX")</f>
        <v>Explore in ECOTOX</v>
      </c>
    </row>
    <row r="800" spans="1:18" x14ac:dyDescent="0.25">
      <c r="A800">
        <v>6</v>
      </c>
      <c r="B800" t="str">
        <f>HYPERLINK("http://www.ncbi.nlm.nih.gov/protein/NXR37265.1","NXR37265.1")</f>
        <v>NXR37265.1</v>
      </c>
      <c r="C800">
        <v>13732</v>
      </c>
      <c r="D800" t="str">
        <f>HYPERLINK("http://www.ncbi.nlm.nih.gov/Taxonomy/Browser/wwwtax.cgi?mode=Info&amp;id=2485327&amp;lvl=3&amp;lin=f&amp;keep=1&amp;srchmode=1&amp;unlock","2485327")</f>
        <v>2485327</v>
      </c>
      <c r="E800" t="s">
        <v>167</v>
      </c>
      <c r="F800" t="s">
        <v>167</v>
      </c>
      <c r="G800" t="str">
        <f>HYPERLINK("http://www.ncbi.nlm.nih.gov/Taxonomy/Browser/wwwtax.cgi?mode=Info&amp;id=2485327&amp;lvl=3&amp;lin=f&amp;keep=1&amp;srchmode=1&amp;unlock","Zosterops hypoxanthus")</f>
        <v>Zosterops hypoxanthus</v>
      </c>
      <c r="H800" t="s">
        <v>449</v>
      </c>
      <c r="I800" t="str">
        <f>HYPERLINK("http://www.ncbi.nlm.nih.gov/protein/NXR37265.1","MCR protein")</f>
        <v>MCR protein</v>
      </c>
      <c r="J800">
        <v>390.58</v>
      </c>
      <c r="K800" t="s">
        <v>25</v>
      </c>
      <c r="L800">
        <v>157</v>
      </c>
      <c r="M800">
        <v>44.41</v>
      </c>
      <c r="N800">
        <v>20.79</v>
      </c>
      <c r="O800" t="s">
        <v>20</v>
      </c>
      <c r="P800" t="s">
        <v>965</v>
      </c>
      <c r="Q800" t="s">
        <v>20</v>
      </c>
      <c r="R800" t="str">
        <f>HYPERLINK("https://cfpub.epa.gov/ecotox/explore.cfm?ncbi=2485327","Explore in ECOTOX")</f>
        <v>Explore in ECOTOX</v>
      </c>
    </row>
    <row r="801" spans="1:18" x14ac:dyDescent="0.25">
      <c r="A801">
        <v>6</v>
      </c>
      <c r="B801" t="str">
        <f>HYPERLINK("http://www.ncbi.nlm.nih.gov/protein/ALV13263.1","ALV13263.1")</f>
        <v>ALV13263.1</v>
      </c>
      <c r="C801">
        <v>100</v>
      </c>
      <c r="D801" t="str">
        <f>HYPERLINK("http://www.ncbi.nlm.nih.gov/Taxonomy/Browser/wwwtax.cgi?mode=Info&amp;id=357695&amp;lvl=3&amp;lin=f&amp;keep=1&amp;srchmode=1&amp;unlock","357695")</f>
        <v>357695</v>
      </c>
      <c r="E801" t="s">
        <v>167</v>
      </c>
      <c r="F801" t="s">
        <v>167</v>
      </c>
      <c r="G801" t="str">
        <f>HYPERLINK("http://www.ncbi.nlm.nih.gov/Taxonomy/Browser/wwwtax.cgi?mode=Info&amp;id=357695&amp;lvl=3&amp;lin=f&amp;keep=1&amp;srchmode=1&amp;unlock","Emberiza bruniceps")</f>
        <v>Emberiza bruniceps</v>
      </c>
      <c r="H801" t="s">
        <v>1060</v>
      </c>
      <c r="I801" t="str">
        <f>HYPERLINK("http://www.ncbi.nlm.nih.gov/protein/ALV13263.1","androgen receptor, partial")</f>
        <v>androgen receptor, partial</v>
      </c>
      <c r="J801">
        <v>390.19</v>
      </c>
      <c r="K801" t="s">
        <v>25</v>
      </c>
      <c r="L801">
        <v>157</v>
      </c>
      <c r="M801">
        <v>44.41</v>
      </c>
      <c r="N801">
        <v>20.77</v>
      </c>
      <c r="O801" t="s">
        <v>20</v>
      </c>
      <c r="P801" t="s">
        <v>965</v>
      </c>
      <c r="Q801" t="s">
        <v>20</v>
      </c>
      <c r="R801" t="str">
        <f>HYPERLINK("https://cfpub.epa.gov/ecotox/explore.cfm?ncbi=357695","Explore in ECOTOX")</f>
        <v>Explore in ECOTOX</v>
      </c>
    </row>
    <row r="802" spans="1:18" x14ac:dyDescent="0.25">
      <c r="A802">
        <v>6</v>
      </c>
      <c r="B802" t="str">
        <f>HYPERLINK("http://www.ncbi.nlm.nih.gov/protein/KQK83628.1","KQK83628.1")</f>
        <v>KQK83628.1</v>
      </c>
      <c r="C802">
        <v>16224</v>
      </c>
      <c r="D802" t="str">
        <f>HYPERLINK("http://www.ncbi.nlm.nih.gov/Taxonomy/Browser/wwwtax.cgi?mode=Info&amp;id=12930&amp;lvl=3&amp;lin=f&amp;keep=1&amp;srchmode=1&amp;unlock","12930")</f>
        <v>12930</v>
      </c>
      <c r="E802" t="s">
        <v>167</v>
      </c>
      <c r="F802" t="s">
        <v>167</v>
      </c>
      <c r="G802" t="str">
        <f>HYPERLINK("http://www.ncbi.nlm.nih.gov/Taxonomy/Browser/wwwtax.cgi?mode=Info&amp;id=12930&amp;lvl=3&amp;lin=f&amp;keep=1&amp;srchmode=1&amp;unlock","Amazona aestiva")</f>
        <v>Amazona aestiva</v>
      </c>
      <c r="H802" t="s">
        <v>445</v>
      </c>
      <c r="I802" t="str">
        <f>HYPERLINK("http://www.ncbi.nlm.nih.gov/protein/KQK83628.1","mineralocorticoid receptor isoform X1")</f>
        <v>mineralocorticoid receptor isoform X1</v>
      </c>
      <c r="J802">
        <v>388.65</v>
      </c>
      <c r="K802" t="s">
        <v>25</v>
      </c>
      <c r="L802">
        <v>157</v>
      </c>
      <c r="M802">
        <v>44.41</v>
      </c>
      <c r="N802">
        <v>20.69</v>
      </c>
      <c r="O802" t="s">
        <v>20</v>
      </c>
      <c r="P802" t="s">
        <v>965</v>
      </c>
      <c r="Q802" t="s">
        <v>20</v>
      </c>
      <c r="R802" t="str">
        <f>HYPERLINK("https://cfpub.epa.gov/ecotox/explore.cfm?ncbi=12930","Explore in ECOTOX")</f>
        <v>Explore in ECOTOX</v>
      </c>
    </row>
    <row r="803" spans="1:18" x14ac:dyDescent="0.25">
      <c r="A803">
        <v>6</v>
      </c>
      <c r="B803" t="str">
        <f>HYPERLINK("http://www.ncbi.nlm.nih.gov/protein/ADI48099.1","ADI48099.1")</f>
        <v>ADI48099.1</v>
      </c>
      <c r="C803">
        <v>209</v>
      </c>
      <c r="D803" t="str">
        <f>HYPERLINK("http://www.ncbi.nlm.nih.gov/Taxonomy/Browser/wwwtax.cgi?mode=Info&amp;id=76340&amp;lvl=3&amp;lin=f&amp;keep=1&amp;srchmode=1&amp;unlock","76340")</f>
        <v>76340</v>
      </c>
      <c r="E803" t="s">
        <v>384</v>
      </c>
      <c r="F803" t="s">
        <v>384</v>
      </c>
      <c r="G803" t="str">
        <f>HYPERLINK("http://www.ncbi.nlm.nih.gov/Taxonomy/Browser/wwwtax.cgi?mode=Info&amp;id=76340&amp;lvl=3&amp;lin=f&amp;keep=1&amp;srchmode=1&amp;unlock","Sciaenops ocellatus")</f>
        <v>Sciaenops ocellatus</v>
      </c>
      <c r="H803" t="s">
        <v>1061</v>
      </c>
      <c r="I803" t="str">
        <f>HYPERLINK("http://www.ncbi.nlm.nih.gov/protein/ADI48099.1","glucocorticoid hormone receptor a long isoform")</f>
        <v>glucocorticoid hormone receptor a long isoform</v>
      </c>
      <c r="J803">
        <v>386.73</v>
      </c>
      <c r="K803" t="s">
        <v>25</v>
      </c>
      <c r="L803">
        <v>157</v>
      </c>
      <c r="M803">
        <v>44.41</v>
      </c>
      <c r="N803">
        <v>20.59</v>
      </c>
      <c r="O803" t="s">
        <v>25</v>
      </c>
      <c r="P803" t="s">
        <v>965</v>
      </c>
      <c r="Q803" t="s">
        <v>20</v>
      </c>
      <c r="R803" t="str">
        <f>HYPERLINK("https://cfpub.epa.gov/ecotox/explore.cfm?ncbi=76340","Explore in ECOTOX")</f>
        <v>Explore in ECOTOX</v>
      </c>
    </row>
    <row r="804" spans="1:18" x14ac:dyDescent="0.25">
      <c r="A804">
        <v>6</v>
      </c>
      <c r="B804" t="str">
        <f>HYPERLINK("http://www.ncbi.nlm.nih.gov/protein/KAF5904896.1","KAF5904896.1")</f>
        <v>KAF5904896.1</v>
      </c>
      <c r="C804">
        <v>23845</v>
      </c>
      <c r="D804" t="str">
        <f>HYPERLINK("http://www.ncbi.nlm.nih.gov/Taxonomy/Browser/wwwtax.cgi?mode=Info&amp;id=1594786&amp;lvl=3&amp;lin=f&amp;keep=1&amp;srchmode=1&amp;unlock","1594786")</f>
        <v>1594786</v>
      </c>
      <c r="E804" t="s">
        <v>384</v>
      </c>
      <c r="F804" t="s">
        <v>384</v>
      </c>
      <c r="G804" t="str">
        <f>HYPERLINK("http://www.ncbi.nlm.nih.gov/Taxonomy/Browser/wwwtax.cgi?mode=Info&amp;id=1594786&amp;lvl=3&amp;lin=f&amp;keep=1&amp;srchmode=1&amp;unlock","Clarias magur")</f>
        <v>Clarias magur</v>
      </c>
      <c r="H804" t="s">
        <v>1062</v>
      </c>
      <c r="I804" t="str">
        <f>HYPERLINK("http://www.ncbi.nlm.nih.gov/protein/KAF5904896.1","glucocorticoid receptor-like")</f>
        <v>glucocorticoid receptor-like</v>
      </c>
      <c r="J804">
        <v>385.96</v>
      </c>
      <c r="K804" t="s">
        <v>25</v>
      </c>
      <c r="L804">
        <v>157</v>
      </c>
      <c r="M804">
        <v>44.41</v>
      </c>
      <c r="N804">
        <v>20.54</v>
      </c>
      <c r="O804" t="s">
        <v>25</v>
      </c>
      <c r="P804" t="s">
        <v>965</v>
      </c>
      <c r="Q804" t="s">
        <v>20</v>
      </c>
      <c r="R804" t="str">
        <f>HYPERLINK("https://cfpub.epa.gov/ecotox/explore.cfm?ncbi=1594786","Explore in ECOTOX")</f>
        <v>Explore in ECOTOX</v>
      </c>
    </row>
    <row r="805" spans="1:18" x14ac:dyDescent="0.25">
      <c r="A805">
        <v>6</v>
      </c>
      <c r="B805" t="str">
        <f>HYPERLINK("http://www.ncbi.nlm.nih.gov/protein/TTD47737.1","TTD47737.1")</f>
        <v>TTD47737.1</v>
      </c>
      <c r="C805">
        <v>17327</v>
      </c>
      <c r="D805" t="str">
        <f>HYPERLINK("http://www.ncbi.nlm.nih.gov/Taxonomy/Browser/wwwtax.cgi?mode=Info&amp;id=175774&amp;lvl=3&amp;lin=f&amp;keep=1&amp;srchmode=1&amp;unlock","175774")</f>
        <v>175774</v>
      </c>
      <c r="E805" t="s">
        <v>384</v>
      </c>
      <c r="F805" t="s">
        <v>384</v>
      </c>
      <c r="G805" t="str">
        <f>HYPERLINK("http://www.ncbi.nlm.nih.gov/Taxonomy/Browser/wwwtax.cgi?mode=Info&amp;id=175774&amp;lvl=3&amp;lin=f&amp;keep=1&amp;srchmode=1&amp;unlock","Bagarius yarrelli")</f>
        <v>Bagarius yarrelli</v>
      </c>
      <c r="H805" t="s">
        <v>670</v>
      </c>
      <c r="I805" t="str">
        <f>HYPERLINK("http://www.ncbi.nlm.nih.gov/protein/TTD47737.1","Mineralocorticoid receptor")</f>
        <v>Mineralocorticoid receptor</v>
      </c>
      <c r="J805">
        <v>381.72</v>
      </c>
      <c r="K805" t="s">
        <v>25</v>
      </c>
      <c r="L805">
        <v>157</v>
      </c>
      <c r="M805">
        <v>44.41</v>
      </c>
      <c r="N805">
        <v>20.32</v>
      </c>
      <c r="O805" t="s">
        <v>25</v>
      </c>
      <c r="P805" t="s">
        <v>965</v>
      </c>
      <c r="Q805" t="s">
        <v>20</v>
      </c>
      <c r="R805" t="str">
        <f>HYPERLINK("https://cfpub.epa.gov/ecotox/explore.cfm?ncbi=175774","Explore in ECOTOX")</f>
        <v>Explore in ECOTOX</v>
      </c>
    </row>
    <row r="806" spans="1:18" x14ac:dyDescent="0.25">
      <c r="A806">
        <v>6</v>
      </c>
      <c r="B806" t="str">
        <f>HYPERLINK("http://www.ncbi.nlm.nih.gov/protein/NXT97098.1","NXT97098.1")</f>
        <v>NXT97098.1</v>
      </c>
      <c r="C806">
        <v>11123</v>
      </c>
      <c r="D806" t="str">
        <f>HYPERLINK("http://www.ncbi.nlm.nih.gov/Taxonomy/Browser/wwwtax.cgi?mode=Info&amp;id=245048&amp;lvl=3&amp;lin=f&amp;keep=1&amp;srchmode=1&amp;unlock","245048")</f>
        <v>245048</v>
      </c>
      <c r="E806" t="s">
        <v>167</v>
      </c>
      <c r="F806" t="s">
        <v>167</v>
      </c>
      <c r="G806" t="str">
        <f>HYPERLINK("http://www.ncbi.nlm.nih.gov/Taxonomy/Browser/wwwtax.cgi?mode=Info&amp;id=245048&amp;lvl=3&amp;lin=f&amp;keep=1&amp;srchmode=1&amp;unlock","Buphagus erythrorhynchus")</f>
        <v>Buphagus erythrorhynchus</v>
      </c>
      <c r="H806" t="s">
        <v>427</v>
      </c>
      <c r="I806" t="str">
        <f>HYPERLINK("http://www.ncbi.nlm.nih.gov/protein/NXT97098.1","PRGR protein")</f>
        <v>PRGR protein</v>
      </c>
      <c r="J806">
        <v>380.95</v>
      </c>
      <c r="K806" t="s">
        <v>25</v>
      </c>
      <c r="L806">
        <v>157</v>
      </c>
      <c r="M806">
        <v>44.41</v>
      </c>
      <c r="N806">
        <v>20.28</v>
      </c>
      <c r="O806" t="s">
        <v>20</v>
      </c>
      <c r="P806" t="s">
        <v>965</v>
      </c>
      <c r="Q806" t="s">
        <v>20</v>
      </c>
      <c r="R806" t="str">
        <f>HYPERLINK("https://cfpub.epa.gov/ecotox/explore.cfm?ncbi=245048","Explore in ECOTOX")</f>
        <v>Explore in ECOTOX</v>
      </c>
    </row>
    <row r="807" spans="1:18" x14ac:dyDescent="0.25">
      <c r="A807">
        <v>6</v>
      </c>
      <c r="B807" t="str">
        <f>HYPERLINK("http://www.ncbi.nlm.nih.gov/protein/NWH80575.1","NWH80575.1")</f>
        <v>NWH80575.1</v>
      </c>
      <c r="C807">
        <v>14099</v>
      </c>
      <c r="D807" t="str">
        <f>HYPERLINK("http://www.ncbi.nlm.nih.gov/Taxonomy/Browser/wwwtax.cgi?mode=Info&amp;id=33601&amp;lvl=3&amp;lin=f&amp;keep=1&amp;srchmode=1&amp;unlock","33601")</f>
        <v>33601</v>
      </c>
      <c r="E807" t="s">
        <v>167</v>
      </c>
      <c r="F807" t="s">
        <v>167</v>
      </c>
      <c r="G807" t="str">
        <f>HYPERLINK("http://www.ncbi.nlm.nih.gov/Taxonomy/Browser/wwwtax.cgi?mode=Info&amp;id=33601&amp;lvl=3&amp;lin=f&amp;keep=1&amp;srchmode=1&amp;unlock","Piaya cayana")</f>
        <v>Piaya cayana</v>
      </c>
      <c r="H807" t="s">
        <v>295</v>
      </c>
      <c r="I807" t="str">
        <f>HYPERLINK("http://www.ncbi.nlm.nih.gov/protein/NWH80575.1","PRGR protein")</f>
        <v>PRGR protein</v>
      </c>
      <c r="J807">
        <v>380.18</v>
      </c>
      <c r="K807" t="s">
        <v>25</v>
      </c>
      <c r="L807">
        <v>157</v>
      </c>
      <c r="M807">
        <v>44.41</v>
      </c>
      <c r="N807">
        <v>20.239999999999998</v>
      </c>
      <c r="O807" t="s">
        <v>20</v>
      </c>
      <c r="P807" t="s">
        <v>965</v>
      </c>
      <c r="Q807" t="s">
        <v>20</v>
      </c>
      <c r="R807" t="str">
        <f>HYPERLINK("https://cfpub.epa.gov/ecotox/explore.cfm?ncbi=33601","Explore in ECOTOX")</f>
        <v>Explore in ECOTOX</v>
      </c>
    </row>
    <row r="808" spans="1:18" x14ac:dyDescent="0.25">
      <c r="A808">
        <v>6</v>
      </c>
      <c r="B808" t="str">
        <f>HYPERLINK("http://www.ncbi.nlm.nih.gov/protein/NXX21433.1","NXX21433.1")</f>
        <v>NXX21433.1</v>
      </c>
      <c r="C808">
        <v>14085</v>
      </c>
      <c r="D808" t="str">
        <f>HYPERLINK("http://www.ncbi.nlm.nih.gov/Taxonomy/Browser/wwwtax.cgi?mode=Info&amp;id=8905&amp;lvl=3&amp;lin=f&amp;keep=1&amp;srchmode=1&amp;unlock","8905")</f>
        <v>8905</v>
      </c>
      <c r="E808" t="s">
        <v>167</v>
      </c>
      <c r="F808" t="s">
        <v>167</v>
      </c>
      <c r="G808" t="str">
        <f>HYPERLINK("http://www.ncbi.nlm.nih.gov/Taxonomy/Browser/wwwtax.cgi?mode=Info&amp;id=8905&amp;lvl=3&amp;lin=f&amp;keep=1&amp;srchmode=1&amp;unlock","Podargus strigoides")</f>
        <v>Podargus strigoides</v>
      </c>
      <c r="H808" t="s">
        <v>308</v>
      </c>
      <c r="I808" t="str">
        <f>HYPERLINK("http://www.ncbi.nlm.nih.gov/protein/NXX21433.1","MCR protein")</f>
        <v>MCR protein</v>
      </c>
      <c r="J808">
        <v>379.79</v>
      </c>
      <c r="K808" t="s">
        <v>25</v>
      </c>
      <c r="L808">
        <v>157</v>
      </c>
      <c r="M808">
        <v>44.41</v>
      </c>
      <c r="N808">
        <v>20.22</v>
      </c>
      <c r="O808" t="s">
        <v>20</v>
      </c>
      <c r="P808" t="s">
        <v>965</v>
      </c>
      <c r="Q808" t="s">
        <v>20</v>
      </c>
      <c r="R808" t="str">
        <f>HYPERLINK("https://cfpub.epa.gov/ecotox/explore.cfm?ncbi=8905","Explore in ECOTOX")</f>
        <v>Explore in ECOTOX</v>
      </c>
    </row>
    <row r="809" spans="1:18" x14ac:dyDescent="0.25">
      <c r="A809">
        <v>6</v>
      </c>
      <c r="B809" t="str">
        <f>HYPERLINK("http://www.ncbi.nlm.nih.gov/protein/NXG67289.1","NXG67289.1")</f>
        <v>NXG67289.1</v>
      </c>
      <c r="C809">
        <v>13817</v>
      </c>
      <c r="D809" t="str">
        <f>HYPERLINK("http://www.ncbi.nlm.nih.gov/Taxonomy/Browser/wwwtax.cgi?mode=Info&amp;id=243314&amp;lvl=3&amp;lin=f&amp;keep=1&amp;srchmode=1&amp;unlock","243314")</f>
        <v>243314</v>
      </c>
      <c r="E809" t="s">
        <v>167</v>
      </c>
      <c r="F809" t="s">
        <v>167</v>
      </c>
      <c r="G809" t="str">
        <f>HYPERLINK("http://www.ncbi.nlm.nih.gov/Taxonomy/Browser/wwwtax.cgi?mode=Info&amp;id=243314&amp;lvl=3&amp;lin=f&amp;keep=1&amp;srchmode=1&amp;unlock","Hemiprocne comata")</f>
        <v>Hemiprocne comata</v>
      </c>
      <c r="H809" t="s">
        <v>296</v>
      </c>
      <c r="I809" t="str">
        <f>HYPERLINK("http://www.ncbi.nlm.nih.gov/protein/NXG67289.1","MCR protein")</f>
        <v>MCR protein</v>
      </c>
      <c r="J809">
        <v>379.41</v>
      </c>
      <c r="K809" t="s">
        <v>25</v>
      </c>
      <c r="L809">
        <v>157</v>
      </c>
      <c r="M809">
        <v>44.41</v>
      </c>
      <c r="N809">
        <v>20.2</v>
      </c>
      <c r="O809" t="s">
        <v>20</v>
      </c>
      <c r="P809" t="s">
        <v>965</v>
      </c>
      <c r="Q809" t="s">
        <v>20</v>
      </c>
      <c r="R809" t="str">
        <f>HYPERLINK("https://cfpub.epa.gov/ecotox/explore.cfm?ncbi=243314","Explore in ECOTOX")</f>
        <v>Explore in ECOTOX</v>
      </c>
    </row>
    <row r="810" spans="1:18" x14ac:dyDescent="0.25">
      <c r="A810">
        <v>6</v>
      </c>
      <c r="B810" t="str">
        <f>HYPERLINK("http://www.ncbi.nlm.nih.gov/protein/KFZ57396.1","KFZ57396.1")</f>
        <v>KFZ57396.1</v>
      </c>
      <c r="C810">
        <v>11735</v>
      </c>
      <c r="D810" t="str">
        <f>HYPERLINK("http://www.ncbi.nlm.nih.gov/Taxonomy/Browser/wwwtax.cgi?mode=Info&amp;id=345573&amp;lvl=3&amp;lin=f&amp;keep=1&amp;srchmode=1&amp;unlock","345573")</f>
        <v>345573</v>
      </c>
      <c r="E810" t="s">
        <v>167</v>
      </c>
      <c r="F810" t="s">
        <v>167</v>
      </c>
      <c r="G810" t="str">
        <f>HYPERLINK("http://www.ncbi.nlm.nih.gov/Taxonomy/Browser/wwwtax.cgi?mode=Info&amp;id=345573&amp;lvl=3&amp;lin=f&amp;keep=1&amp;srchmode=1&amp;unlock","Podiceps cristatus")</f>
        <v>Podiceps cristatus</v>
      </c>
      <c r="H810" t="s">
        <v>274</v>
      </c>
      <c r="I810" t="str">
        <f>HYPERLINK("http://www.ncbi.nlm.nih.gov/protein/KFZ57396.1","Mineralocorticoid receptor, partial")</f>
        <v>Mineralocorticoid receptor, partial</v>
      </c>
      <c r="J810">
        <v>379.41</v>
      </c>
      <c r="K810" t="s">
        <v>25</v>
      </c>
      <c r="L810">
        <v>157</v>
      </c>
      <c r="M810">
        <v>44.41</v>
      </c>
      <c r="N810">
        <v>20.2</v>
      </c>
      <c r="O810" t="s">
        <v>20</v>
      </c>
      <c r="P810" t="s">
        <v>965</v>
      </c>
      <c r="Q810" t="s">
        <v>20</v>
      </c>
      <c r="R810" t="str">
        <f>HYPERLINK("https://cfpub.epa.gov/ecotox/explore.cfm?ncbi=345573","Explore in ECOTOX")</f>
        <v>Explore in ECOTOX</v>
      </c>
    </row>
    <row r="811" spans="1:18" x14ac:dyDescent="0.25">
      <c r="A811">
        <v>6</v>
      </c>
      <c r="B811" t="str">
        <f>HYPERLINK("http://www.ncbi.nlm.nih.gov/protein/NXR13449.1","NXR13449.1")</f>
        <v>NXR13449.1</v>
      </c>
      <c r="C811">
        <v>10828</v>
      </c>
      <c r="D811" t="str">
        <f>HYPERLINK("http://www.ncbi.nlm.nih.gov/Taxonomy/Browser/wwwtax.cgi?mode=Info&amp;id=91796&amp;lvl=3&amp;lin=f&amp;keep=1&amp;srchmode=1&amp;unlock","91796")</f>
        <v>91796</v>
      </c>
      <c r="E811" t="s">
        <v>167</v>
      </c>
      <c r="F811" t="s">
        <v>167</v>
      </c>
      <c r="G811" t="str">
        <f>HYPERLINK("http://www.ncbi.nlm.nih.gov/Taxonomy/Browser/wwwtax.cgi?mode=Info&amp;id=91796&amp;lvl=3&amp;lin=f&amp;keep=1&amp;srchmode=1&amp;unlock","Semnornis frantzii")</f>
        <v>Semnornis frantzii</v>
      </c>
      <c r="H811" t="s">
        <v>262</v>
      </c>
      <c r="I811" t="str">
        <f>HYPERLINK("http://www.ncbi.nlm.nih.gov/protein/NXR13449.1","MCR protein")</f>
        <v>MCR protein</v>
      </c>
      <c r="J811">
        <v>379.02</v>
      </c>
      <c r="K811" t="s">
        <v>25</v>
      </c>
      <c r="L811">
        <v>157</v>
      </c>
      <c r="M811">
        <v>44.41</v>
      </c>
      <c r="N811">
        <v>20.18</v>
      </c>
      <c r="O811" t="s">
        <v>20</v>
      </c>
      <c r="P811" t="s">
        <v>965</v>
      </c>
      <c r="Q811" t="s">
        <v>20</v>
      </c>
      <c r="R811" t="str">
        <f>HYPERLINK("https://cfpub.epa.gov/ecotox/explore.cfm?ncbi=91796","Explore in ECOTOX")</f>
        <v>Explore in ECOTOX</v>
      </c>
    </row>
    <row r="812" spans="1:18" x14ac:dyDescent="0.25">
      <c r="A812">
        <v>6</v>
      </c>
      <c r="B812" t="str">
        <f>HYPERLINK("http://www.ncbi.nlm.nih.gov/protein/AAB35740.2","AAB35740.2")</f>
        <v>AAB35740.2</v>
      </c>
      <c r="C812">
        <v>17</v>
      </c>
      <c r="D812" t="str">
        <f>HYPERLINK("http://www.ncbi.nlm.nih.gov/Taxonomy/Browser/wwwtax.cgi?mode=Info&amp;id=37197&amp;lvl=3&amp;lin=f&amp;keep=1&amp;srchmode=1&amp;unlock","37197")</f>
        <v>37197</v>
      </c>
      <c r="E812" t="s">
        <v>236</v>
      </c>
      <c r="F812" t="s">
        <v>236</v>
      </c>
      <c r="G812" t="str">
        <f>HYPERLINK("http://www.ncbi.nlm.nih.gov/Taxonomy/Browser/wwwtax.cgi?mode=Info&amp;id=37197&amp;lvl=3&amp;lin=f&amp;keep=1&amp;srchmode=1&amp;unlock","Aspidoscelis uniparens")</f>
        <v>Aspidoscelis uniparens</v>
      </c>
      <c r="H812" t="s">
        <v>1063</v>
      </c>
      <c r="I812" t="str">
        <f>HYPERLINK("http://www.ncbi.nlm.nih.gov/protein/AAB35740.2","progesterone receptor, partial")</f>
        <v>progesterone receptor, partial</v>
      </c>
      <c r="J812">
        <v>374.01</v>
      </c>
      <c r="K812" t="s">
        <v>25</v>
      </c>
      <c r="L812">
        <v>157</v>
      </c>
      <c r="M812">
        <v>44.41</v>
      </c>
      <c r="N812">
        <v>19.91</v>
      </c>
      <c r="O812" t="s">
        <v>20</v>
      </c>
      <c r="P812" t="s">
        <v>965</v>
      </c>
      <c r="Q812" t="s">
        <v>20</v>
      </c>
      <c r="R812" t="str">
        <f>HYPERLINK("https://cfpub.epa.gov/ecotox/explore.cfm?ncbi=37197","Explore in ECOTOX")</f>
        <v>Explore in ECOTOX</v>
      </c>
    </row>
    <row r="813" spans="1:18" x14ac:dyDescent="0.25">
      <c r="A813">
        <v>6</v>
      </c>
      <c r="B813" t="str">
        <f>HYPERLINK("http://www.ncbi.nlm.nih.gov/protein/ADC42119.1","ADC42119.1")</f>
        <v>ADC42119.1</v>
      </c>
      <c r="C813">
        <v>79</v>
      </c>
      <c r="D813" t="str">
        <f>HYPERLINK("http://www.ncbi.nlm.nih.gov/Taxonomy/Browser/wwwtax.cgi?mode=Info&amp;id=172907&amp;lvl=3&amp;lin=f&amp;keep=1&amp;srchmode=1&amp;unlock","172907")</f>
        <v>172907</v>
      </c>
      <c r="E813" t="s">
        <v>384</v>
      </c>
      <c r="F813" t="s">
        <v>384</v>
      </c>
      <c r="G813" t="str">
        <f>HYPERLINK("http://www.ncbi.nlm.nih.gov/Taxonomy/Browser/wwwtax.cgi?mode=Info&amp;id=172907&amp;lvl=3&amp;lin=f&amp;keep=1&amp;srchmode=1&amp;unlock","Cirrhinus molitorella")</f>
        <v>Cirrhinus molitorella</v>
      </c>
      <c r="H813" t="s">
        <v>1064</v>
      </c>
      <c r="I813" t="str">
        <f>HYPERLINK("http://www.ncbi.nlm.nih.gov/protein/ADC42119.1","androgen receptor protein, partial")</f>
        <v>androgen receptor protein, partial</v>
      </c>
      <c r="J813">
        <v>358.99</v>
      </c>
      <c r="K813" t="s">
        <v>25</v>
      </c>
      <c r="L813">
        <v>157</v>
      </c>
      <c r="M813">
        <v>44.41</v>
      </c>
      <c r="N813">
        <v>19.11</v>
      </c>
      <c r="O813" t="s">
        <v>25</v>
      </c>
      <c r="P813" t="s">
        <v>965</v>
      </c>
      <c r="Q813" t="s">
        <v>20</v>
      </c>
      <c r="R813" t="str">
        <f>HYPERLINK("https://cfpub.epa.gov/ecotox/explore.cfm?ncbi=172907","Explore in ECOTOX")</f>
        <v>Explore in ECOTOX</v>
      </c>
    </row>
    <row r="814" spans="1:18" x14ac:dyDescent="0.25">
      <c r="A814">
        <v>6</v>
      </c>
      <c r="B814" t="str">
        <f>HYPERLINK("http://www.ncbi.nlm.nih.gov/protein/ABS11148.1","ABS11148.1")</f>
        <v>ABS11148.1</v>
      </c>
      <c r="C814">
        <v>95</v>
      </c>
      <c r="D814" t="str">
        <f>HYPERLINK("http://www.ncbi.nlm.nih.gov/Taxonomy/Browser/wwwtax.cgi?mode=Info&amp;id=184151&amp;lvl=3&amp;lin=f&amp;keep=1&amp;srchmode=1&amp;unlock","184151")</f>
        <v>184151</v>
      </c>
      <c r="E814" t="s">
        <v>384</v>
      </c>
      <c r="F814" t="s">
        <v>384</v>
      </c>
      <c r="G814" t="str">
        <f>HYPERLINK("http://www.ncbi.nlm.nih.gov/Taxonomy/Browser/wwwtax.cgi?mode=Info&amp;id=184151&amp;lvl=3&amp;lin=f&amp;keep=1&amp;srchmode=1&amp;unlock","Neolamprologus pulcher")</f>
        <v>Neolamprologus pulcher</v>
      </c>
      <c r="H814" t="s">
        <v>637</v>
      </c>
      <c r="I814" t="str">
        <f>HYPERLINK("http://www.ncbi.nlm.nih.gov/protein/ABS11148.1","mineralocorticoid receptor, partial")</f>
        <v>mineralocorticoid receptor, partial</v>
      </c>
      <c r="J814">
        <v>357.45</v>
      </c>
      <c r="K814" t="s">
        <v>25</v>
      </c>
      <c r="L814">
        <v>157</v>
      </c>
      <c r="M814">
        <v>44.41</v>
      </c>
      <c r="N814">
        <v>19.03</v>
      </c>
      <c r="O814" t="s">
        <v>25</v>
      </c>
      <c r="P814" t="s">
        <v>965</v>
      </c>
      <c r="Q814" t="s">
        <v>20</v>
      </c>
      <c r="R814" t="str">
        <f>HYPERLINK("https://cfpub.epa.gov/ecotox/explore.cfm?ncbi=184151","Explore in ECOTOX")</f>
        <v>Explore in ECOTOX</v>
      </c>
    </row>
    <row r="815" spans="1:18" x14ac:dyDescent="0.25">
      <c r="A815">
        <v>6</v>
      </c>
      <c r="B815" t="str">
        <f>HYPERLINK("http://www.ncbi.nlm.nih.gov/protein/AWY62802.1","AWY62802.1")</f>
        <v>AWY62802.1</v>
      </c>
      <c r="C815">
        <v>246</v>
      </c>
      <c r="D815" t="str">
        <f>HYPERLINK("http://www.ncbi.nlm.nih.gov/Taxonomy/Browser/wwwtax.cgi?mode=Info&amp;id=61970&amp;lvl=3&amp;lin=f&amp;keep=1&amp;srchmode=1&amp;unlock","61970")</f>
        <v>61970</v>
      </c>
      <c r="E815" t="s">
        <v>384</v>
      </c>
      <c r="F815" t="s">
        <v>384</v>
      </c>
      <c r="G815" t="str">
        <f>HYPERLINK("http://www.ncbi.nlm.nih.gov/Taxonomy/Browser/wwwtax.cgi?mode=Info&amp;id=61970&amp;lvl=3&amp;lin=f&amp;keep=1&amp;srchmode=1&amp;unlock","Acipenser sinensis")</f>
        <v>Acipenser sinensis</v>
      </c>
      <c r="H815" t="s">
        <v>1065</v>
      </c>
      <c r="I815" t="str">
        <f>HYPERLINK("http://www.ncbi.nlm.nih.gov/protein/AWY62802.1","androgen receptor, partial")</f>
        <v>androgen receptor, partial</v>
      </c>
      <c r="J815">
        <v>350.9</v>
      </c>
      <c r="K815" t="s">
        <v>25</v>
      </c>
      <c r="L815">
        <v>157</v>
      </c>
      <c r="M815">
        <v>44.41</v>
      </c>
      <c r="N815">
        <v>18.68</v>
      </c>
      <c r="O815" t="s">
        <v>25</v>
      </c>
      <c r="P815" t="s">
        <v>965</v>
      </c>
      <c r="Q815" t="s">
        <v>20</v>
      </c>
      <c r="R815" t="str">
        <f>HYPERLINK("https://cfpub.epa.gov/ecotox/explore.cfm?ncbi=61970","Explore in ECOTOX")</f>
        <v>Explore in ECOTOX</v>
      </c>
    </row>
    <row r="816" spans="1:18" x14ac:dyDescent="0.25">
      <c r="A816">
        <v>6</v>
      </c>
      <c r="B816" t="str">
        <f>HYPERLINK("http://www.ncbi.nlm.nih.gov/protein/AVA10037.1","AVA10037.1")</f>
        <v>AVA10037.1</v>
      </c>
      <c r="C816">
        <v>568</v>
      </c>
      <c r="D816" t="str">
        <f>HYPERLINK("http://www.ncbi.nlm.nih.gov/Taxonomy/Browser/wwwtax.cgi?mode=Info&amp;id=8409&amp;lvl=3&amp;lin=f&amp;keep=1&amp;srchmode=1&amp;unlock","8409")</f>
        <v>8409</v>
      </c>
      <c r="E816" t="s">
        <v>134</v>
      </c>
      <c r="F816" t="s">
        <v>134</v>
      </c>
      <c r="G816" t="str">
        <f>HYPERLINK("http://www.ncbi.nlm.nih.gov/Taxonomy/Browser/wwwtax.cgi?mode=Info&amp;id=8409&amp;lvl=3&amp;lin=f&amp;keep=1&amp;srchmode=1&amp;unlock","Pelophylax nigromaculatus")</f>
        <v>Pelophylax nigromaculatus</v>
      </c>
      <c r="H816" t="s">
        <v>1066</v>
      </c>
      <c r="I816" t="str">
        <f>HYPERLINK("http://www.ncbi.nlm.nih.gov/protein/AVA10037.1","androgen receptor, partial")</f>
        <v>androgen receptor, partial</v>
      </c>
      <c r="J816">
        <v>345.89</v>
      </c>
      <c r="K816" t="s">
        <v>25</v>
      </c>
      <c r="L816">
        <v>157</v>
      </c>
      <c r="M816">
        <v>44.41</v>
      </c>
      <c r="N816">
        <v>18.41</v>
      </c>
      <c r="O816" t="s">
        <v>20</v>
      </c>
      <c r="P816" t="s">
        <v>965</v>
      </c>
      <c r="Q816" t="s">
        <v>20</v>
      </c>
      <c r="R816" t="str">
        <f>HYPERLINK("https://cfpub.epa.gov/ecotox/explore.cfm?ncbi=8409","Explore in ECOTOX")</f>
        <v>Explore in ECOTOX</v>
      </c>
    </row>
    <row r="817" spans="1:18" x14ac:dyDescent="0.25">
      <c r="A817">
        <v>6</v>
      </c>
      <c r="B817" t="str">
        <f>HYPERLINK("http://www.ncbi.nlm.nih.gov/protein/ANJ46840.1","ANJ46840.1")</f>
        <v>ANJ46840.1</v>
      </c>
      <c r="C817">
        <v>317</v>
      </c>
      <c r="D817" t="str">
        <f>HYPERLINK("http://www.ncbi.nlm.nih.gov/Taxonomy/Browser/wwwtax.cgi?mode=Info&amp;id=141264&amp;lvl=3&amp;lin=f&amp;keep=1&amp;srchmode=1&amp;unlock","141264")</f>
        <v>141264</v>
      </c>
      <c r="E817" t="s">
        <v>384</v>
      </c>
      <c r="F817" t="s">
        <v>384</v>
      </c>
      <c r="G817" t="str">
        <f>HYPERLINK("http://www.ncbi.nlm.nih.gov/Taxonomy/Browser/wwwtax.cgi?mode=Info&amp;id=141264&amp;lvl=3&amp;lin=f&amp;keep=1&amp;srchmode=1&amp;unlock","Rachycentron canadum")</f>
        <v>Rachycentron canadum</v>
      </c>
      <c r="H817" t="s">
        <v>950</v>
      </c>
      <c r="I817" t="str">
        <f>HYPERLINK("http://www.ncbi.nlm.nih.gov/protein/ANJ46840.1","androgen receptor, partial")</f>
        <v>androgen receptor, partial</v>
      </c>
      <c r="J817">
        <v>343.97</v>
      </c>
      <c r="K817" t="s">
        <v>25</v>
      </c>
      <c r="L817">
        <v>157</v>
      </c>
      <c r="M817">
        <v>44.41</v>
      </c>
      <c r="N817">
        <v>18.309999999999999</v>
      </c>
      <c r="O817" t="s">
        <v>25</v>
      </c>
      <c r="P817" t="s">
        <v>965</v>
      </c>
      <c r="Q817" t="s">
        <v>20</v>
      </c>
      <c r="R817" t="str">
        <f>HYPERLINK("https://cfpub.epa.gov/ecotox/explore.cfm?ncbi=141264","Explore in ECOTOX")</f>
        <v>Explore in ECOTOX</v>
      </c>
    </row>
    <row r="818" spans="1:18" x14ac:dyDescent="0.25">
      <c r="A818">
        <v>6</v>
      </c>
      <c r="B818" t="str">
        <f>HYPERLINK("http://www.ncbi.nlm.nih.gov/protein/ASU91839.1","ASU91839.1")</f>
        <v>ASU91839.1</v>
      </c>
      <c r="C818">
        <v>149</v>
      </c>
      <c r="D818" t="str">
        <f>HYPERLINK("http://www.ncbi.nlm.nih.gov/Taxonomy/Browser/wwwtax.cgi?mode=Info&amp;id=263867&amp;lvl=3&amp;lin=f&amp;keep=1&amp;srchmode=1&amp;unlock","263867")</f>
        <v>263867</v>
      </c>
      <c r="E818" t="s">
        <v>384</v>
      </c>
      <c r="F818" t="s">
        <v>384</v>
      </c>
      <c r="G818" t="str">
        <f>HYPERLINK("http://www.ncbi.nlm.nih.gov/Taxonomy/Browser/wwwtax.cgi?mode=Info&amp;id=263867&amp;lvl=3&amp;lin=f&amp;keep=1&amp;srchmode=1&amp;unlock","Tribolodon brandtii")</f>
        <v>Tribolodon brandtii</v>
      </c>
      <c r="H818" t="s">
        <v>1067</v>
      </c>
      <c r="I818" t="str">
        <f>HYPERLINK("http://www.ncbi.nlm.nih.gov/protein/ASU91839.1","androgen receptor, partial")</f>
        <v>androgen receptor, partial</v>
      </c>
      <c r="J818">
        <v>334.72</v>
      </c>
      <c r="K818" t="s">
        <v>25</v>
      </c>
      <c r="L818">
        <v>157</v>
      </c>
      <c r="M818">
        <v>44.41</v>
      </c>
      <c r="N818">
        <v>17.82</v>
      </c>
      <c r="O818" t="s">
        <v>25</v>
      </c>
      <c r="P818" t="s">
        <v>965</v>
      </c>
      <c r="Q818" t="s">
        <v>20</v>
      </c>
      <c r="R818" t="str">
        <f>HYPERLINK("https://cfpub.epa.gov/ecotox/explore.cfm?ncbi=263867","Explore in ECOTOX")</f>
        <v>Explore in ECOTOX</v>
      </c>
    </row>
    <row r="819" spans="1:18" x14ac:dyDescent="0.25">
      <c r="A819">
        <v>6</v>
      </c>
      <c r="B819" t="str">
        <f>HYPERLINK("http://www.ncbi.nlm.nih.gov/protein/ACR43485.1","ACR43485.1")</f>
        <v>ACR43485.1</v>
      </c>
      <c r="C819">
        <v>157</v>
      </c>
      <c r="D819" t="str">
        <f>HYPERLINK("http://www.ncbi.nlm.nih.gov/Taxonomy/Browser/wwwtax.cgi?mode=Info&amp;id=309541&amp;lvl=3&amp;lin=f&amp;keep=1&amp;srchmode=1&amp;unlock","309541")</f>
        <v>309541</v>
      </c>
      <c r="E819" t="s">
        <v>384</v>
      </c>
      <c r="F819" t="s">
        <v>384</v>
      </c>
      <c r="G819" t="str">
        <f>HYPERLINK("http://www.ncbi.nlm.nih.gov/Taxonomy/Browser/wwwtax.cgi?mode=Info&amp;id=309541&amp;lvl=3&amp;lin=f&amp;keep=1&amp;srchmode=1&amp;unlock","Takifugu obscurus")</f>
        <v>Takifugu obscurus</v>
      </c>
      <c r="H819" t="s">
        <v>1068</v>
      </c>
      <c r="I819" t="str">
        <f>HYPERLINK("http://www.ncbi.nlm.nih.gov/protein/ACR43485.1","mineralocorticoid receptor, partial")</f>
        <v>mineralocorticoid receptor, partial</v>
      </c>
      <c r="J819">
        <v>333.57</v>
      </c>
      <c r="K819" t="s">
        <v>25</v>
      </c>
      <c r="L819">
        <v>157</v>
      </c>
      <c r="M819">
        <v>44.41</v>
      </c>
      <c r="N819">
        <v>17.760000000000002</v>
      </c>
      <c r="O819" t="s">
        <v>25</v>
      </c>
      <c r="P819" t="s">
        <v>965</v>
      </c>
      <c r="Q819" t="s">
        <v>20</v>
      </c>
      <c r="R819" t="str">
        <f>HYPERLINK("https://cfpub.epa.gov/ecotox/explore.cfm?ncbi=309541","Explore in ECOTOX")</f>
        <v>Explore in ECOTOX</v>
      </c>
    </row>
    <row r="820" spans="1:18" x14ac:dyDescent="0.25">
      <c r="A820">
        <v>6</v>
      </c>
      <c r="B820" t="str">
        <f>HYPERLINK("http://www.ncbi.nlm.nih.gov/protein/AEA77170.1","AEA77170.1")</f>
        <v>AEA77170.1</v>
      </c>
      <c r="C820">
        <v>83</v>
      </c>
      <c r="D820" t="str">
        <f>HYPERLINK("http://www.ncbi.nlm.nih.gov/Taxonomy/Browser/wwwtax.cgi?mode=Info&amp;id=95145&amp;lvl=3&amp;lin=f&amp;keep=1&amp;srchmode=1&amp;unlock","95145")</f>
        <v>95145</v>
      </c>
      <c r="E820" t="s">
        <v>384</v>
      </c>
      <c r="F820" t="s">
        <v>384</v>
      </c>
      <c r="G820" t="str">
        <f>HYPERLINK("http://www.ncbi.nlm.nih.gov/Taxonomy/Browser/wwwtax.cgi?mode=Info&amp;id=95145&amp;lvl=3&amp;lin=f&amp;keep=1&amp;srchmode=1&amp;unlock","Opsanus beta")</f>
        <v>Opsanus beta</v>
      </c>
      <c r="H820" t="s">
        <v>1069</v>
      </c>
      <c r="I820" t="str">
        <f>HYPERLINK("http://www.ncbi.nlm.nih.gov/protein/AEA77170.1","beta glucocorticoid receptor, partial")</f>
        <v>beta glucocorticoid receptor, partial</v>
      </c>
      <c r="J820">
        <v>317</v>
      </c>
      <c r="K820" t="s">
        <v>25</v>
      </c>
      <c r="L820">
        <v>157</v>
      </c>
      <c r="M820">
        <v>44.41</v>
      </c>
      <c r="N820">
        <v>16.87</v>
      </c>
      <c r="O820" t="s">
        <v>25</v>
      </c>
      <c r="P820" t="s">
        <v>965</v>
      </c>
      <c r="Q820" t="s">
        <v>20</v>
      </c>
      <c r="R820" t="str">
        <f>HYPERLINK("https://cfpub.epa.gov/ecotox/explore.cfm?ncbi=95145","Explore in ECOTOX")</f>
        <v>Explore in ECOTOX</v>
      </c>
    </row>
    <row r="821" spans="1:18" x14ac:dyDescent="0.25">
      <c r="A821">
        <v>6</v>
      </c>
      <c r="B821" t="str">
        <f>HYPERLINK("http://www.ncbi.nlm.nih.gov/protein/AQM55159.1","AQM55159.1")</f>
        <v>AQM55159.1</v>
      </c>
      <c r="C821">
        <v>181</v>
      </c>
      <c r="D821" t="str">
        <f>HYPERLINK("http://www.ncbi.nlm.nih.gov/Taxonomy/Browser/wwwtax.cgi?mode=Info&amp;id=118841&amp;lvl=3&amp;lin=f&amp;keep=1&amp;srchmode=1&amp;unlock","118841")</f>
        <v>118841</v>
      </c>
      <c r="E821" t="s">
        <v>236</v>
      </c>
      <c r="F821" t="s">
        <v>236</v>
      </c>
      <c r="G821" t="str">
        <f>HYPERLINK("http://www.ncbi.nlm.nih.gov/Taxonomy/Browser/wwwtax.cgi?mode=Info&amp;id=118841&amp;lvl=3&amp;lin=f&amp;keep=1&amp;srchmode=1&amp;unlock","Eremias argus")</f>
        <v>Eremias argus</v>
      </c>
      <c r="H821" t="s">
        <v>1070</v>
      </c>
      <c r="I821" t="str">
        <f>HYPERLINK("http://www.ncbi.nlm.nih.gov/protein/AQM55159.1","androgen receptor, partial")</f>
        <v>androgen receptor, partial</v>
      </c>
      <c r="J821">
        <v>314.69</v>
      </c>
      <c r="K821" t="s">
        <v>25</v>
      </c>
      <c r="L821">
        <v>157</v>
      </c>
      <c r="M821">
        <v>44.41</v>
      </c>
      <c r="N821">
        <v>16.75</v>
      </c>
      <c r="O821" t="s">
        <v>20</v>
      </c>
      <c r="P821" t="s">
        <v>965</v>
      </c>
      <c r="Q821" t="s">
        <v>20</v>
      </c>
      <c r="R821" t="str">
        <f>HYPERLINK("https://cfpub.epa.gov/ecotox/explore.cfm?ncbi=118841","Explore in ECOTOX")</f>
        <v>Explore in ECOTOX</v>
      </c>
    </row>
    <row r="822" spans="1:18" x14ac:dyDescent="0.25">
      <c r="A822">
        <v>6</v>
      </c>
      <c r="B822" t="str">
        <f>HYPERLINK("http://www.ncbi.nlm.nih.gov/protein/ACF75917.1","ACF75917.1")</f>
        <v>ACF75917.1</v>
      </c>
      <c r="C822">
        <v>40</v>
      </c>
      <c r="D822" t="str">
        <f>HYPERLINK("http://www.ncbi.nlm.nih.gov/Taxonomy/Browser/wwwtax.cgi?mode=Info&amp;id=33518&amp;lvl=3&amp;lin=f&amp;keep=1&amp;srchmode=1&amp;unlock","33518")</f>
        <v>33518</v>
      </c>
      <c r="E822" t="s">
        <v>384</v>
      </c>
      <c r="F822" t="s">
        <v>384</v>
      </c>
      <c r="G822" t="str">
        <f>HYPERLINK("http://www.ncbi.nlm.nih.gov/Taxonomy/Browser/wwwtax.cgi?mode=Info&amp;id=33518&amp;lvl=3&amp;lin=f&amp;keep=1&amp;srchmode=1&amp;unlock","Salmo marmoratus")</f>
        <v>Salmo marmoratus</v>
      </c>
      <c r="H822" t="s">
        <v>1071</v>
      </c>
      <c r="I822" t="str">
        <f>HYPERLINK("http://www.ncbi.nlm.nih.gov/protein/ACF75917.1","glucocorticoid receptor, partial")</f>
        <v>glucocorticoid receptor, partial</v>
      </c>
      <c r="J822">
        <v>298.52</v>
      </c>
      <c r="K822" t="s">
        <v>25</v>
      </c>
      <c r="L822">
        <v>157</v>
      </c>
      <c r="M822">
        <v>44.41</v>
      </c>
      <c r="N822">
        <v>15.89</v>
      </c>
      <c r="O822" t="s">
        <v>25</v>
      </c>
      <c r="P822" t="s">
        <v>965</v>
      </c>
      <c r="Q822" t="s">
        <v>20</v>
      </c>
      <c r="R822" t="str">
        <f>HYPERLINK("https://cfpub.epa.gov/ecotox/explore.cfm?ncbi=33518","Explore in ECOTOX")</f>
        <v>Explore in ECOTOX</v>
      </c>
    </row>
    <row r="823" spans="1:18" x14ac:dyDescent="0.25">
      <c r="A823">
        <v>6</v>
      </c>
      <c r="B823" t="str">
        <f>HYPERLINK("http://www.ncbi.nlm.nih.gov/protein/AZU89677.1","AZU89677.1")</f>
        <v>AZU89677.1</v>
      </c>
      <c r="C823">
        <v>106</v>
      </c>
      <c r="D823" t="str">
        <f>HYPERLINK("http://www.ncbi.nlm.nih.gov/Taxonomy/Browser/wwwtax.cgi?mode=Info&amp;id=9707&amp;lvl=3&amp;lin=f&amp;keep=1&amp;srchmode=1&amp;unlock","9707")</f>
        <v>9707</v>
      </c>
      <c r="E823" t="s">
        <v>18</v>
      </c>
      <c r="F823" t="s">
        <v>18</v>
      </c>
      <c r="G823" t="str">
        <f>HYPERLINK("http://www.ncbi.nlm.nih.gov/Taxonomy/Browser/wwwtax.cgi?mode=Info&amp;id=9707&amp;lvl=3&amp;lin=f&amp;keep=1&amp;srchmode=1&amp;unlock","Odobenus rosmarus")</f>
        <v>Odobenus rosmarus</v>
      </c>
      <c r="H823" t="s">
        <v>1072</v>
      </c>
      <c r="I823" t="str">
        <f>HYPERLINK("http://www.ncbi.nlm.nih.gov/protein/AZU89677.1","nuclear receptor subfamily 3 group C member 1, partial")</f>
        <v>nuclear receptor subfamily 3 group C member 1, partial</v>
      </c>
      <c r="J823">
        <v>284.26</v>
      </c>
      <c r="K823" t="s">
        <v>25</v>
      </c>
      <c r="L823">
        <v>157</v>
      </c>
      <c r="M823">
        <v>44.41</v>
      </c>
      <c r="N823">
        <v>15.13</v>
      </c>
      <c r="O823" t="s">
        <v>20</v>
      </c>
      <c r="P823" t="s">
        <v>965</v>
      </c>
      <c r="Q823" t="s">
        <v>20</v>
      </c>
      <c r="R823" t="str">
        <f>HYPERLINK("https://cfpub.epa.gov/ecotox/explore.cfm?ncbi=9707","Explore in ECOTOX")</f>
        <v>Explore in ECOTOX</v>
      </c>
    </row>
    <row r="824" spans="1:18" x14ac:dyDescent="0.25">
      <c r="A824">
        <v>6</v>
      </c>
      <c r="B824" t="str">
        <f>HYPERLINK("http://www.ncbi.nlm.nih.gov/protein/AEF12278.1","AEF12278.1")</f>
        <v>AEF12278.1</v>
      </c>
      <c r="C824">
        <v>34</v>
      </c>
      <c r="D824" t="str">
        <f>HYPERLINK("http://www.ncbi.nlm.nih.gov/Taxonomy/Browser/wwwtax.cgi?mode=Info&amp;id=79690&amp;lvl=3&amp;lin=f&amp;keep=1&amp;srchmode=1&amp;unlock","79690")</f>
        <v>79690</v>
      </c>
      <c r="E824" t="s">
        <v>550</v>
      </c>
      <c r="F824" t="s">
        <v>550</v>
      </c>
      <c r="G824" t="str">
        <f>HYPERLINK("http://www.ncbi.nlm.nih.gov/Taxonomy/Browser/wwwtax.cgi?mode=Info&amp;id=79690&amp;lvl=3&amp;lin=f&amp;keep=1&amp;srchmode=1&amp;unlock","Hypanus sabinus")</f>
        <v>Hypanus sabinus</v>
      </c>
      <c r="H824" t="s">
        <v>1073</v>
      </c>
      <c r="I824" t="str">
        <f>HYPERLINK("http://www.ncbi.nlm.nih.gov/protein/AEF12278.1","glucocorticoid receptor, partial")</f>
        <v>glucocorticoid receptor, partial</v>
      </c>
      <c r="J824">
        <v>284.26</v>
      </c>
      <c r="K824" t="s">
        <v>25</v>
      </c>
      <c r="L824">
        <v>157</v>
      </c>
      <c r="M824">
        <v>44.41</v>
      </c>
      <c r="N824">
        <v>15.13</v>
      </c>
      <c r="O824" t="s">
        <v>25</v>
      </c>
      <c r="P824" t="s">
        <v>965</v>
      </c>
      <c r="Q824" t="s">
        <v>20</v>
      </c>
      <c r="R824" t="str">
        <f>HYPERLINK("https://cfpub.epa.gov/ecotox/explore.cfm?ncbi=79690","Explore in ECOTOX")</f>
        <v>Explore in ECOTOX</v>
      </c>
    </row>
    <row r="825" spans="1:18" x14ac:dyDescent="0.25">
      <c r="A825">
        <v>6</v>
      </c>
      <c r="B825" t="str">
        <f>HYPERLINK("http://www.ncbi.nlm.nih.gov/protein/AEF12275.1","AEF12275.1")</f>
        <v>AEF12275.1</v>
      </c>
      <c r="C825">
        <v>25</v>
      </c>
      <c r="D825" t="str">
        <f>HYPERLINK("http://www.ncbi.nlm.nih.gov/Taxonomy/Browser/wwwtax.cgi?mode=Info&amp;id=303945&amp;lvl=3&amp;lin=f&amp;keep=1&amp;srchmode=1&amp;unlock","303945")</f>
        <v>303945</v>
      </c>
      <c r="E825" t="s">
        <v>550</v>
      </c>
      <c r="F825" t="s">
        <v>550</v>
      </c>
      <c r="G825" t="str">
        <f>HYPERLINK("http://www.ncbi.nlm.nih.gov/Taxonomy/Browser/wwwtax.cgi?mode=Info&amp;id=303945&amp;lvl=3&amp;lin=f&amp;keep=1&amp;srchmode=1&amp;unlock","Rhizoprionodon terraenovae")</f>
        <v>Rhizoprionodon terraenovae</v>
      </c>
      <c r="H825" t="s">
        <v>1074</v>
      </c>
      <c r="I825" t="str">
        <f>HYPERLINK("http://www.ncbi.nlm.nih.gov/protein/AEF12275.1","glucocorticoid receptor, partial")</f>
        <v>glucocorticoid receptor, partial</v>
      </c>
      <c r="J825">
        <v>278.10000000000002</v>
      </c>
      <c r="K825" t="s">
        <v>25</v>
      </c>
      <c r="L825">
        <v>157</v>
      </c>
      <c r="M825">
        <v>44.41</v>
      </c>
      <c r="N825">
        <v>14.8</v>
      </c>
      <c r="O825" t="s">
        <v>25</v>
      </c>
      <c r="P825" t="s">
        <v>965</v>
      </c>
      <c r="Q825" t="s">
        <v>20</v>
      </c>
      <c r="R825" t="str">
        <f>HYPERLINK("https://cfpub.epa.gov/ecotox/explore.cfm?ncbi=303945","Explore in ECOTOX")</f>
        <v>Explore in ECOTOX</v>
      </c>
    </row>
    <row r="826" spans="1:18" x14ac:dyDescent="0.25">
      <c r="A826">
        <v>6</v>
      </c>
      <c r="B826" t="str">
        <f>HYPERLINK("http://www.ncbi.nlm.nih.gov/protein/NXS49218.1","NXS49218.1")</f>
        <v>NXS49218.1</v>
      </c>
      <c r="C826">
        <v>12289</v>
      </c>
      <c r="D826" t="str">
        <f>HYPERLINK("http://www.ncbi.nlm.nih.gov/Taxonomy/Browser/wwwtax.cgi?mode=Info&amp;id=33584&amp;lvl=3&amp;lin=f&amp;keep=1&amp;srchmode=1&amp;unlock","33584")</f>
        <v>33584</v>
      </c>
      <c r="E826" t="s">
        <v>167</v>
      </c>
      <c r="F826" t="s">
        <v>167</v>
      </c>
      <c r="G826" t="str">
        <f>HYPERLINK("http://www.ncbi.nlm.nih.gov/Taxonomy/Browser/wwwtax.cgi?mode=Info&amp;id=33584&amp;lvl=3&amp;lin=f&amp;keep=1&amp;srchmode=1&amp;unlock","Balaeniceps rex")</f>
        <v>Balaeniceps rex</v>
      </c>
      <c r="H826" t="s">
        <v>399</v>
      </c>
      <c r="I826" t="str">
        <f>HYPERLINK("http://www.ncbi.nlm.nih.gov/protein/NXS49218.1","MCR protein")</f>
        <v>MCR protein</v>
      </c>
      <c r="J826">
        <v>258.07</v>
      </c>
      <c r="K826" t="s">
        <v>25</v>
      </c>
      <c r="L826">
        <v>157</v>
      </c>
      <c r="M826">
        <v>44.41</v>
      </c>
      <c r="N826">
        <v>13.74</v>
      </c>
      <c r="O826" t="s">
        <v>20</v>
      </c>
      <c r="P826" t="s">
        <v>965</v>
      </c>
      <c r="Q826" t="s">
        <v>20</v>
      </c>
      <c r="R826" t="str">
        <f>HYPERLINK("https://cfpub.epa.gov/ecotox/explore.cfm?ncbi=33584","Explore in ECOTOX")</f>
        <v>Explore in ECOTOX</v>
      </c>
    </row>
    <row r="827" spans="1:18" x14ac:dyDescent="0.25">
      <c r="A827">
        <v>6</v>
      </c>
      <c r="B827" t="str">
        <f>HYPERLINK("http://www.ncbi.nlm.nih.gov/protein/NXG92673.1","NXG92673.1")</f>
        <v>NXG92673.1</v>
      </c>
      <c r="C827">
        <v>13947</v>
      </c>
      <c r="D827" t="str">
        <f>HYPERLINK("http://www.ncbi.nlm.nih.gov/Taxonomy/Browser/wwwtax.cgi?mode=Info&amp;id=54059&amp;lvl=3&amp;lin=f&amp;keep=1&amp;srchmode=1&amp;unlock","54059")</f>
        <v>54059</v>
      </c>
      <c r="E827" t="s">
        <v>167</v>
      </c>
      <c r="F827" t="s">
        <v>167</v>
      </c>
      <c r="G827" t="str">
        <f>HYPERLINK("http://www.ncbi.nlm.nih.gov/Taxonomy/Browser/wwwtax.cgi?mode=Info&amp;id=54059&amp;lvl=3&amp;lin=f&amp;keep=1&amp;srchmode=1&amp;unlock","Stercorarius parasiticus")</f>
        <v>Stercorarius parasiticus</v>
      </c>
      <c r="H827" t="s">
        <v>185</v>
      </c>
      <c r="I827" t="str">
        <f>HYPERLINK("http://www.ncbi.nlm.nih.gov/protein/NXG92673.1","MCR protein")</f>
        <v>MCR protein</v>
      </c>
      <c r="J827">
        <v>258.07</v>
      </c>
      <c r="K827" t="s">
        <v>25</v>
      </c>
      <c r="L827">
        <v>157</v>
      </c>
      <c r="M827">
        <v>44.41</v>
      </c>
      <c r="N827">
        <v>13.74</v>
      </c>
      <c r="O827" t="s">
        <v>20</v>
      </c>
      <c r="P827" t="s">
        <v>965</v>
      </c>
      <c r="Q827" t="s">
        <v>20</v>
      </c>
      <c r="R827" t="str">
        <f>HYPERLINK("https://cfpub.epa.gov/ecotox/explore.cfm?ncbi=54059","Explore in ECOTOX")</f>
        <v>Explore in ECOTOX</v>
      </c>
    </row>
    <row r="828" spans="1:18" x14ac:dyDescent="0.25">
      <c r="A828">
        <v>6</v>
      </c>
      <c r="B828" t="str">
        <f>HYPERLINK("http://www.ncbi.nlm.nih.gov/protein/CAJ29885.1","CAJ29885.1")</f>
        <v>CAJ29885.1</v>
      </c>
      <c r="C828">
        <v>112</v>
      </c>
      <c r="D828" t="str">
        <f>HYPERLINK("http://www.ncbi.nlm.nih.gov/Taxonomy/Browser/wwwtax.cgi?mode=Info&amp;id=9302&amp;lvl=3&amp;lin=f&amp;keep=1&amp;srchmode=1&amp;unlock","9302")</f>
        <v>9302</v>
      </c>
      <c r="E828" t="s">
        <v>18</v>
      </c>
      <c r="F828" t="s">
        <v>18</v>
      </c>
      <c r="G828" t="str">
        <f>HYPERLINK("http://www.ncbi.nlm.nih.gov/Taxonomy/Browser/wwwtax.cgi?mode=Info&amp;id=9302&amp;lvl=3&amp;lin=f&amp;keep=1&amp;srchmode=1&amp;unlock","Sminthopsis macroura")</f>
        <v>Sminthopsis macroura</v>
      </c>
      <c r="H828" t="s">
        <v>1075</v>
      </c>
      <c r="I828" t="str">
        <f>HYPERLINK("http://www.ncbi.nlm.nih.gov/protein/CAJ29885.1","putative glucocorticoid receptor, partial")</f>
        <v>putative glucocorticoid receptor, partial</v>
      </c>
      <c r="J828">
        <v>245.74</v>
      </c>
      <c r="K828" t="s">
        <v>25</v>
      </c>
      <c r="L828">
        <v>157</v>
      </c>
      <c r="M828">
        <v>44.41</v>
      </c>
      <c r="N828">
        <v>13.08</v>
      </c>
      <c r="O828" t="s">
        <v>20</v>
      </c>
      <c r="P828" t="s">
        <v>965</v>
      </c>
      <c r="Q828" t="s">
        <v>20</v>
      </c>
      <c r="R828" t="str">
        <f>HYPERLINK("https://cfpub.epa.gov/ecotox/explore.cfm?ncbi=9302","Explore in ECOTOX")</f>
        <v>Explore in ECOTOX</v>
      </c>
    </row>
    <row r="829" spans="1:18" x14ac:dyDescent="0.25">
      <c r="A829">
        <v>6</v>
      </c>
      <c r="B829" t="str">
        <f>HYPERLINK("http://www.ncbi.nlm.nih.gov/protein/MBV96764.1","MBV96764.1")</f>
        <v>MBV96764.1</v>
      </c>
      <c r="C829">
        <v>11098</v>
      </c>
      <c r="D829" t="str">
        <f>HYPERLINK("http://www.ncbi.nlm.nih.gov/Taxonomy/Browser/wwwtax.cgi?mode=Info&amp;id=9764&amp;lvl=3&amp;lin=f&amp;keep=1&amp;srchmode=1&amp;unlock","9764")</f>
        <v>9764</v>
      </c>
      <c r="E829" t="s">
        <v>18</v>
      </c>
      <c r="F829" t="s">
        <v>18</v>
      </c>
      <c r="G829" t="str">
        <f>HYPERLINK("http://www.ncbi.nlm.nih.gov/Taxonomy/Browser/wwwtax.cgi?mode=Info&amp;id=9764&amp;lvl=3&amp;lin=f&amp;keep=1&amp;srchmode=1&amp;unlock","Eschrichtius robustus")</f>
        <v>Eschrichtius robustus</v>
      </c>
      <c r="H829" t="s">
        <v>169</v>
      </c>
      <c r="I829" t="str">
        <f>HYPERLINK("http://www.ncbi.nlm.nih.gov/protein/MBV96764.1","Progesterone receptor")</f>
        <v>Progesterone receptor</v>
      </c>
      <c r="J829">
        <v>204.53</v>
      </c>
      <c r="K829" t="s">
        <v>25</v>
      </c>
      <c r="L829">
        <v>157</v>
      </c>
      <c r="M829">
        <v>44.41</v>
      </c>
      <c r="N829">
        <v>10.89</v>
      </c>
      <c r="O829" t="s">
        <v>20</v>
      </c>
      <c r="P829" t="s">
        <v>965</v>
      </c>
      <c r="Q829" t="s">
        <v>20</v>
      </c>
      <c r="R829" t="str">
        <f>HYPERLINK("https://cfpub.epa.gov/ecotox/explore.cfm?ncbi=9764","Explore in ECOTOX")</f>
        <v>Explore in ECOTOX</v>
      </c>
    </row>
    <row r="830" spans="1:18" x14ac:dyDescent="0.25">
      <c r="A830">
        <v>6</v>
      </c>
      <c r="B830" t="str">
        <f>HYPERLINK("http://www.ncbi.nlm.nih.gov/protein/ADC79403.1","ADC79403.1")</f>
        <v>ADC79403.1</v>
      </c>
      <c r="C830">
        <v>619</v>
      </c>
      <c r="D830" t="str">
        <f>HYPERLINK("http://www.ncbi.nlm.nih.gov/Taxonomy/Browser/wwwtax.cgi?mode=Info&amp;id=48849&amp;lvl=3&amp;lin=f&amp;keep=1&amp;srchmode=1&amp;unlock","48849")</f>
        <v>48849</v>
      </c>
      <c r="E830" t="s">
        <v>167</v>
      </c>
      <c r="F830" t="s">
        <v>167</v>
      </c>
      <c r="G830" t="str">
        <f>HYPERLINK("http://www.ncbi.nlm.nih.gov/Taxonomy/Browser/wwwtax.cgi?mode=Info&amp;id=48849&amp;lvl=3&amp;lin=f&amp;keep=1&amp;srchmode=1&amp;unlock","Passer domesticus")</f>
        <v>Passer domesticus</v>
      </c>
      <c r="H830" t="s">
        <v>1076</v>
      </c>
      <c r="I830" t="str">
        <f>HYPERLINK("http://www.ncbi.nlm.nih.gov/protein/ADC79403.1","mineralocorticoid receptor, partial")</f>
        <v>mineralocorticoid receptor, partial</v>
      </c>
      <c r="J830">
        <v>196.82</v>
      </c>
      <c r="K830" t="s">
        <v>25</v>
      </c>
      <c r="L830">
        <v>157</v>
      </c>
      <c r="M830">
        <v>44.41</v>
      </c>
      <c r="N830">
        <v>10.48</v>
      </c>
      <c r="O830" t="s">
        <v>20</v>
      </c>
      <c r="P830" t="s">
        <v>965</v>
      </c>
      <c r="Q830" t="s">
        <v>20</v>
      </c>
      <c r="R830" t="str">
        <f>HYPERLINK("https://cfpub.epa.gov/ecotox/explore.cfm?ncbi=48849","Explore in ECOTOX")</f>
        <v>Explore in ECOTOX</v>
      </c>
    </row>
    <row r="831" spans="1:18" x14ac:dyDescent="0.25">
      <c r="A831">
        <v>6</v>
      </c>
      <c r="B831" t="str">
        <f>HYPERLINK("http://www.ncbi.nlm.nih.gov/protein/XP_006824830.1","XP_006824830.1")</f>
        <v>XP_006824830.1</v>
      </c>
      <c r="C831">
        <v>22971</v>
      </c>
      <c r="D831" t="str">
        <f>HYPERLINK("http://www.ncbi.nlm.nih.gov/Taxonomy/Browser/wwwtax.cgi?mode=Info&amp;id=10224&amp;lvl=3&amp;lin=f&amp;keep=1&amp;srchmode=1&amp;unlock","10224")</f>
        <v>10224</v>
      </c>
      <c r="E831" t="s">
        <v>861</v>
      </c>
      <c r="F831" t="s">
        <v>861</v>
      </c>
      <c r="G831" t="str">
        <f>HYPERLINK("http://www.ncbi.nlm.nih.gov/Taxonomy/Browser/wwwtax.cgi?mode=Info&amp;id=10224&amp;lvl=3&amp;lin=f&amp;keep=1&amp;srchmode=1&amp;unlock","Saccoglossus kowalevskii")</f>
        <v>Saccoglossus kowalevskii</v>
      </c>
      <c r="H831" t="s">
        <v>862</v>
      </c>
      <c r="I831" t="str">
        <f>HYPERLINK("http://www.ncbi.nlm.nih.gov/protein/XP_006824830.1","PREDICTED: estrogen receptor-like isoform X2")</f>
        <v>PREDICTED: estrogen receptor-like isoform X2</v>
      </c>
      <c r="J831">
        <v>177.18</v>
      </c>
      <c r="K831" t="s">
        <v>25</v>
      </c>
      <c r="L831">
        <v>157</v>
      </c>
      <c r="M831">
        <v>44.41</v>
      </c>
      <c r="N831">
        <v>9.43</v>
      </c>
      <c r="O831" t="s">
        <v>25</v>
      </c>
      <c r="P831" t="s">
        <v>965</v>
      </c>
      <c r="Q831" t="s">
        <v>20</v>
      </c>
      <c r="R831" t="str">
        <f>HYPERLINK("https://cfpub.epa.gov/ecotox/explore.cfm?ncbi=10224","Explore in ECOTOX")</f>
        <v>Explore in ECOTOX</v>
      </c>
    </row>
    <row r="832" spans="1:18" x14ac:dyDescent="0.25">
      <c r="A832">
        <v>6</v>
      </c>
      <c r="B832" t="str">
        <f>HYPERLINK("http://www.ncbi.nlm.nih.gov/protein/BAH01723.1","BAH01723.1")</f>
        <v>BAH01723.1</v>
      </c>
      <c r="C832">
        <v>59</v>
      </c>
      <c r="D832" t="str">
        <f>HYPERLINK("http://www.ncbi.nlm.nih.gov/Taxonomy/Browser/wwwtax.cgi?mode=Info&amp;id=43490&amp;lvl=3&amp;lin=f&amp;keep=1&amp;srchmode=1&amp;unlock","43490")</f>
        <v>43490</v>
      </c>
      <c r="E832" t="s">
        <v>167</v>
      </c>
      <c r="F832" t="s">
        <v>167</v>
      </c>
      <c r="G832" t="str">
        <f>HYPERLINK("http://www.ncbi.nlm.nih.gov/Taxonomy/Browser/wwwtax.cgi?mode=Info&amp;id=43490&amp;lvl=3&amp;lin=f&amp;keep=1&amp;srchmode=1&amp;unlock","Gyps africanus")</f>
        <v>Gyps africanus</v>
      </c>
      <c r="H832" t="s">
        <v>1077</v>
      </c>
      <c r="I832" t="str">
        <f>HYPERLINK("http://www.ncbi.nlm.nih.gov/protein/BAH01723.1","estrogen receptor alpha")</f>
        <v>estrogen receptor alpha</v>
      </c>
      <c r="J832">
        <v>175.25</v>
      </c>
      <c r="K832" t="s">
        <v>25</v>
      </c>
      <c r="L832">
        <v>157</v>
      </c>
      <c r="M832">
        <v>44.41</v>
      </c>
      <c r="N832">
        <v>9.33</v>
      </c>
      <c r="O832" t="s">
        <v>20</v>
      </c>
      <c r="P832" t="s">
        <v>965</v>
      </c>
      <c r="Q832" t="s">
        <v>20</v>
      </c>
      <c r="R832" t="str">
        <f>HYPERLINK("https://cfpub.epa.gov/ecotox/explore.cfm?ncbi=43490","Explore in ECOTOX")</f>
        <v>Explore in ECOTOX</v>
      </c>
    </row>
    <row r="833" spans="1:18" x14ac:dyDescent="0.25">
      <c r="A833">
        <v>6</v>
      </c>
      <c r="B833" t="str">
        <f>HYPERLINK("http://www.ncbi.nlm.nih.gov/protein/QAA78762.1","QAA78762.1")</f>
        <v>QAA78762.1</v>
      </c>
      <c r="C833">
        <v>373</v>
      </c>
      <c r="D833" t="str">
        <f>HYPERLINK("http://www.ncbi.nlm.nih.gov/Taxonomy/Browser/wwwtax.cgi?mode=Info&amp;id=8845&amp;lvl=3&amp;lin=f&amp;keep=1&amp;srchmode=1&amp;unlock","8845")</f>
        <v>8845</v>
      </c>
      <c r="E833" t="s">
        <v>167</v>
      </c>
      <c r="F833" t="s">
        <v>167</v>
      </c>
      <c r="G833" t="str">
        <f>HYPERLINK("http://www.ncbi.nlm.nih.gov/Taxonomy/Browser/wwwtax.cgi?mode=Info&amp;id=8845&amp;lvl=3&amp;lin=f&amp;keep=1&amp;srchmode=1&amp;unlock","Anser cygnoides")</f>
        <v>Anser cygnoides</v>
      </c>
      <c r="H833" t="s">
        <v>276</v>
      </c>
      <c r="I833" t="str">
        <f>HYPERLINK("http://www.ncbi.nlm.nih.gov/protein/QAA78762.1","estrogen receptor 1, partial")</f>
        <v>estrogen receptor 1, partial</v>
      </c>
      <c r="J833">
        <v>175.25</v>
      </c>
      <c r="K833" t="s">
        <v>25</v>
      </c>
      <c r="L833">
        <v>157</v>
      </c>
      <c r="M833">
        <v>44.41</v>
      </c>
      <c r="N833">
        <v>9.33</v>
      </c>
      <c r="O833" t="s">
        <v>20</v>
      </c>
      <c r="P833" t="s">
        <v>965</v>
      </c>
      <c r="Q833" t="s">
        <v>20</v>
      </c>
      <c r="R833" t="str">
        <f>HYPERLINK("https://cfpub.epa.gov/ecotox/explore.cfm?ncbi=8845","Explore in ECOTOX")</f>
        <v>Explore in ECOTOX</v>
      </c>
    </row>
    <row r="834" spans="1:18" x14ac:dyDescent="0.25">
      <c r="A834">
        <v>6</v>
      </c>
      <c r="B834" t="str">
        <f>HYPERLINK("http://www.ncbi.nlm.nih.gov/protein/BAH01724.1","BAH01724.1")</f>
        <v>BAH01724.1</v>
      </c>
      <c r="C834">
        <v>16</v>
      </c>
      <c r="D834" t="str">
        <f>HYPERLINK("http://www.ncbi.nlm.nih.gov/Taxonomy/Browser/wwwtax.cgi?mode=Info&amp;id=33606&amp;lvl=3&amp;lin=f&amp;keep=1&amp;srchmode=1&amp;unlock","33606")</f>
        <v>33606</v>
      </c>
      <c r="E834" t="s">
        <v>167</v>
      </c>
      <c r="F834" t="s">
        <v>167</v>
      </c>
      <c r="G834" t="str">
        <f>HYPERLINK("http://www.ncbi.nlm.nih.gov/Taxonomy/Browser/wwwtax.cgi?mode=Info&amp;id=33606&amp;lvl=3&amp;lin=f&amp;keep=1&amp;srchmode=1&amp;unlock","Torgos tracheliotos")</f>
        <v>Torgos tracheliotos</v>
      </c>
      <c r="H834" t="s">
        <v>1078</v>
      </c>
      <c r="I834" t="str">
        <f>HYPERLINK("http://www.ncbi.nlm.nih.gov/protein/BAH01724.1","estrogen receptor alpha")</f>
        <v>estrogen receptor alpha</v>
      </c>
      <c r="J834">
        <v>175.25</v>
      </c>
      <c r="K834" t="s">
        <v>25</v>
      </c>
      <c r="L834">
        <v>157</v>
      </c>
      <c r="M834">
        <v>44.41</v>
      </c>
      <c r="N834">
        <v>9.33</v>
      </c>
      <c r="O834" t="s">
        <v>20</v>
      </c>
      <c r="P834" t="s">
        <v>965</v>
      </c>
      <c r="Q834" t="s">
        <v>20</v>
      </c>
      <c r="R834" t="str">
        <f>HYPERLINK("https://cfpub.epa.gov/ecotox/explore.cfm?ncbi=33606","Explore in ECOTOX")</f>
        <v>Explore in ECOTOX</v>
      </c>
    </row>
    <row r="835" spans="1:18" x14ac:dyDescent="0.25">
      <c r="A835">
        <v>6</v>
      </c>
      <c r="B835" t="str">
        <f>HYPERLINK("http://www.ncbi.nlm.nih.gov/protein/ACF28457.1","ACF28457.1")</f>
        <v>ACF28457.1</v>
      </c>
      <c r="C835">
        <v>138</v>
      </c>
      <c r="D835" t="str">
        <f>HYPERLINK("http://www.ncbi.nlm.nih.gov/Taxonomy/Browser/wwwtax.cgi?mode=Info&amp;id=27788&amp;lvl=3&amp;lin=f&amp;keep=1&amp;srchmode=1&amp;unlock","27788")</f>
        <v>27788</v>
      </c>
      <c r="E835" t="s">
        <v>321</v>
      </c>
      <c r="F835" t="s">
        <v>321</v>
      </c>
      <c r="G835" t="str">
        <f>HYPERLINK("http://www.ncbi.nlm.nih.gov/Taxonomy/Browser/wwwtax.cgi?mode=Info&amp;id=27788&amp;lvl=3&amp;lin=f&amp;keep=1&amp;srchmode=1&amp;unlock","Lepidochelys olivacea")</f>
        <v>Lepidochelys olivacea</v>
      </c>
      <c r="H835" t="s">
        <v>1079</v>
      </c>
      <c r="I835" t="str">
        <f>HYPERLINK("http://www.ncbi.nlm.nih.gov/protein/ACF28457.1","estrogen receptor alpha")</f>
        <v>estrogen receptor alpha</v>
      </c>
      <c r="J835">
        <v>175.25</v>
      </c>
      <c r="K835" t="s">
        <v>25</v>
      </c>
      <c r="L835">
        <v>157</v>
      </c>
      <c r="M835">
        <v>44.41</v>
      </c>
      <c r="N835">
        <v>9.33</v>
      </c>
      <c r="O835" t="s">
        <v>20</v>
      </c>
      <c r="P835" t="s">
        <v>965</v>
      </c>
      <c r="Q835" t="s">
        <v>20</v>
      </c>
      <c r="R835" t="str">
        <f>HYPERLINK("https://cfpub.epa.gov/ecotox/explore.cfm?ncbi=27788","Explore in ECOTOX")</f>
        <v>Explore in ECOTOX</v>
      </c>
    </row>
    <row r="836" spans="1:18" x14ac:dyDescent="0.25">
      <c r="A836">
        <v>6</v>
      </c>
      <c r="B836" t="str">
        <f>HYPERLINK("http://www.ncbi.nlm.nih.gov/protein/BAM48573.1","BAM48573.1")</f>
        <v>BAM48573.1</v>
      </c>
      <c r="C836">
        <v>922</v>
      </c>
      <c r="D836" t="str">
        <f>HYPERLINK("http://www.ncbi.nlm.nih.gov/Taxonomy/Browser/wwwtax.cgi?mode=Info&amp;id=980415&amp;lvl=3&amp;lin=f&amp;keep=1&amp;srchmode=1&amp;unlock","980415")</f>
        <v>980415</v>
      </c>
      <c r="E836" t="s">
        <v>680</v>
      </c>
      <c r="F836" t="s">
        <v>680</v>
      </c>
      <c r="G836" t="str">
        <f>HYPERLINK("http://www.ncbi.nlm.nih.gov/Taxonomy/Browser/wwwtax.cgi?mode=Info&amp;id=980415&amp;lvl=3&amp;lin=f&amp;keep=1&amp;srchmode=1&amp;unlock","Lethenteron camtschaticum")</f>
        <v>Lethenteron camtschaticum</v>
      </c>
      <c r="H836" t="s">
        <v>1080</v>
      </c>
      <c r="I836" t="str">
        <f>HYPERLINK("http://www.ncbi.nlm.nih.gov/protein/BAM48573.1","estrogen receptor 1")</f>
        <v>estrogen receptor 1</v>
      </c>
      <c r="J836">
        <v>174.87</v>
      </c>
      <c r="K836" t="s">
        <v>25</v>
      </c>
      <c r="L836">
        <v>157</v>
      </c>
      <c r="M836">
        <v>44.41</v>
      </c>
      <c r="N836">
        <v>9.31</v>
      </c>
      <c r="O836" t="s">
        <v>25</v>
      </c>
      <c r="P836" t="s">
        <v>965</v>
      </c>
      <c r="Q836" t="s">
        <v>20</v>
      </c>
      <c r="R836" t="str">
        <f>HYPERLINK("https://cfpub.epa.gov/ecotox/explore.cfm?ncbi=980415","Explore in ECOTOX")</f>
        <v>Explore in ECOTOX</v>
      </c>
    </row>
    <row r="837" spans="1:18" x14ac:dyDescent="0.25">
      <c r="A837">
        <v>6</v>
      </c>
      <c r="B837" t="str">
        <f>HYPERLINK("http://www.ncbi.nlm.nih.gov/protein/AID55019.1","AID55019.1")</f>
        <v>AID55019.1</v>
      </c>
      <c r="C837">
        <v>18</v>
      </c>
      <c r="D837" t="str">
        <f>HYPERLINK("http://www.ncbi.nlm.nih.gov/Taxonomy/Browser/wwwtax.cgi?mode=Info&amp;id=33616&amp;lvl=3&amp;lin=f&amp;keep=1&amp;srchmode=1&amp;unlock","33616")</f>
        <v>33616</v>
      </c>
      <c r="E837" t="s">
        <v>167</v>
      </c>
      <c r="F837" t="s">
        <v>167</v>
      </c>
      <c r="G837" t="str">
        <f>HYPERLINK("http://www.ncbi.nlm.nih.gov/Taxonomy/Browser/wwwtax.cgi?mode=Info&amp;id=33616&amp;lvl=3&amp;lin=f&amp;keep=1&amp;srchmode=1&amp;unlock","Gymnogyps californianus")</f>
        <v>Gymnogyps californianus</v>
      </c>
      <c r="H837" t="s">
        <v>1081</v>
      </c>
      <c r="I837" t="str">
        <f>HYPERLINK("http://www.ncbi.nlm.nih.gov/protein/AID55019.1","estrogen receptor 1")</f>
        <v>estrogen receptor 1</v>
      </c>
      <c r="J837">
        <v>174.87</v>
      </c>
      <c r="K837" t="s">
        <v>25</v>
      </c>
      <c r="L837">
        <v>157</v>
      </c>
      <c r="M837">
        <v>44.41</v>
      </c>
      <c r="N837">
        <v>9.31</v>
      </c>
      <c r="O837" t="s">
        <v>20</v>
      </c>
      <c r="P837" t="s">
        <v>965</v>
      </c>
      <c r="Q837" t="s">
        <v>20</v>
      </c>
      <c r="R837" t="str">
        <f>HYPERLINK("https://cfpub.epa.gov/ecotox/explore.cfm?ncbi=33616","Explore in ECOTOX")</f>
        <v>Explore in ECOTOX</v>
      </c>
    </row>
    <row r="838" spans="1:18" x14ac:dyDescent="0.25">
      <c r="A838">
        <v>6</v>
      </c>
      <c r="B838" t="str">
        <f>HYPERLINK("http://www.ncbi.nlm.nih.gov/protein/BAJ05031.1","BAJ05031.1")</f>
        <v>BAJ05031.1</v>
      </c>
      <c r="C838">
        <v>17</v>
      </c>
      <c r="D838" t="str">
        <f>HYPERLINK("http://www.ncbi.nlm.nih.gov/Taxonomy/Browser/wwwtax.cgi?mode=Info&amp;id=2040589&amp;lvl=3&amp;lin=f&amp;keep=1&amp;srchmode=1&amp;unlock","2040589")</f>
        <v>2040589</v>
      </c>
      <c r="E838" t="s">
        <v>134</v>
      </c>
      <c r="F838" t="s">
        <v>134</v>
      </c>
      <c r="G838" t="str">
        <f>HYPERLINK("http://www.ncbi.nlm.nih.gov/Taxonomy/Browser/wwwtax.cgi?mode=Info&amp;id=2040589&amp;lvl=3&amp;lin=f&amp;keep=1&amp;srchmode=1&amp;unlock","Sclerophrys capensis")</f>
        <v>Sclerophrys capensis</v>
      </c>
      <c r="H838" t="s">
        <v>1082</v>
      </c>
      <c r="I838" t="str">
        <f>HYPERLINK("http://www.ncbi.nlm.nih.gov/protein/BAJ05031.1","estrogen receptor alpha")</f>
        <v>estrogen receptor alpha</v>
      </c>
      <c r="J838">
        <v>174.48</v>
      </c>
      <c r="K838" t="s">
        <v>25</v>
      </c>
      <c r="L838">
        <v>157</v>
      </c>
      <c r="M838">
        <v>44.41</v>
      </c>
      <c r="N838">
        <v>9.2899999999999991</v>
      </c>
      <c r="O838" t="s">
        <v>20</v>
      </c>
      <c r="P838" t="s">
        <v>965</v>
      </c>
      <c r="Q838" t="s">
        <v>20</v>
      </c>
      <c r="R838" t="str">
        <f>HYPERLINK("https://cfpub.epa.gov/ecotox/explore.cfm?ncbi=2040589","Explore in ECOTOX")</f>
        <v>Explore in ECOTOX</v>
      </c>
    </row>
    <row r="839" spans="1:18" x14ac:dyDescent="0.25">
      <c r="A839">
        <v>6</v>
      </c>
      <c r="B839" t="str">
        <f>HYPERLINK("http://www.ncbi.nlm.nih.gov/protein/BAB79436.1","BAB79436.1")</f>
        <v>BAB79436.1</v>
      </c>
      <c r="C839">
        <v>377</v>
      </c>
      <c r="D839" t="str">
        <f>HYPERLINK("http://www.ncbi.nlm.nih.gov/Taxonomy/Browser/wwwtax.cgi?mode=Info&amp;id=8499&amp;lvl=3&amp;lin=f&amp;keep=1&amp;srchmode=1&amp;unlock","8499")</f>
        <v>8499</v>
      </c>
      <c r="E839" t="s">
        <v>371</v>
      </c>
      <c r="F839" t="s">
        <v>371</v>
      </c>
      <c r="G839" t="str">
        <f>HYPERLINK("http://www.ncbi.nlm.nih.gov/Taxonomy/Browser/wwwtax.cgi?mode=Info&amp;id=8499&amp;lvl=3&amp;lin=f&amp;keep=1&amp;srchmode=1&amp;unlock","Caiman crocodilus")</f>
        <v>Caiman crocodilus</v>
      </c>
      <c r="H839" t="s">
        <v>1083</v>
      </c>
      <c r="I839" t="str">
        <f>HYPERLINK("http://www.ncbi.nlm.nih.gov/protein/BAB79436.1","estrogen receptor")</f>
        <v>estrogen receptor</v>
      </c>
      <c r="J839">
        <v>173.71</v>
      </c>
      <c r="K839" t="s">
        <v>25</v>
      </c>
      <c r="L839">
        <v>157</v>
      </c>
      <c r="M839">
        <v>44.41</v>
      </c>
      <c r="N839">
        <v>9.25</v>
      </c>
      <c r="O839" t="s">
        <v>20</v>
      </c>
      <c r="P839" t="s">
        <v>965</v>
      </c>
      <c r="Q839" t="s">
        <v>20</v>
      </c>
      <c r="R839" t="str">
        <f>HYPERLINK("https://cfpub.epa.gov/ecotox/explore.cfm?ncbi=8499","Explore in ECOTOX")</f>
        <v>Explore in ECOTOX</v>
      </c>
    </row>
    <row r="840" spans="1:18" x14ac:dyDescent="0.25">
      <c r="A840">
        <v>6</v>
      </c>
      <c r="B840" t="str">
        <f>HYPERLINK("http://www.ncbi.nlm.nih.gov/protein/ART92267.1","ART92267.1")</f>
        <v>ART92267.1</v>
      </c>
      <c r="C840">
        <v>143</v>
      </c>
      <c r="D840" t="str">
        <f>HYPERLINK("http://www.ncbi.nlm.nih.gov/Taxonomy/Browser/wwwtax.cgi?mode=Info&amp;id=8485&amp;lvl=3&amp;lin=f&amp;keep=1&amp;srchmode=1&amp;unlock","8485")</f>
        <v>8485</v>
      </c>
      <c r="E840" t="s">
        <v>321</v>
      </c>
      <c r="F840" t="s">
        <v>321</v>
      </c>
      <c r="G840" t="str">
        <f>HYPERLINK("http://www.ncbi.nlm.nih.gov/Taxonomy/Browser/wwwtax.cgi?mode=Info&amp;id=8485&amp;lvl=3&amp;lin=f&amp;keep=1&amp;srchmode=1&amp;unlock","Malaclemys terrapin")</f>
        <v>Malaclemys terrapin</v>
      </c>
      <c r="H840" t="s">
        <v>1084</v>
      </c>
      <c r="I840" t="str">
        <f>HYPERLINK("http://www.ncbi.nlm.nih.gov/protein/ART92267.1","estrogen receptor 1")</f>
        <v>estrogen receptor 1</v>
      </c>
      <c r="J840">
        <v>173.71</v>
      </c>
      <c r="K840" t="s">
        <v>25</v>
      </c>
      <c r="L840">
        <v>157</v>
      </c>
      <c r="M840">
        <v>44.41</v>
      </c>
      <c r="N840">
        <v>9.25</v>
      </c>
      <c r="O840" t="s">
        <v>20</v>
      </c>
      <c r="P840" t="s">
        <v>965</v>
      </c>
      <c r="Q840" t="s">
        <v>20</v>
      </c>
      <c r="R840" t="str">
        <f>HYPERLINK("https://cfpub.epa.gov/ecotox/explore.cfm?ncbi=8485","Explore in ECOTOX")</f>
        <v>Explore in ECOTOX</v>
      </c>
    </row>
    <row r="841" spans="1:18" x14ac:dyDescent="0.25">
      <c r="A841">
        <v>6</v>
      </c>
      <c r="B841" t="str">
        <f>HYPERLINK("http://www.ncbi.nlm.nih.gov/protein/BAG82648.1","BAG82648.1")</f>
        <v>BAG82648.1</v>
      </c>
      <c r="C841">
        <v>139</v>
      </c>
      <c r="D841" t="str">
        <f>HYPERLINK("http://www.ncbi.nlm.nih.gov/Taxonomy/Browser/wwwtax.cgi?mode=Info&amp;id=27779&amp;lvl=3&amp;lin=f&amp;keep=1&amp;srchmode=1&amp;unlock","27779")</f>
        <v>27779</v>
      </c>
      <c r="E841" t="s">
        <v>687</v>
      </c>
      <c r="F841" t="s">
        <v>687</v>
      </c>
      <c r="G841" t="str">
        <f>HYPERLINK("http://www.ncbi.nlm.nih.gov/Taxonomy/Browser/wwwtax.cgi?mode=Info&amp;id=27779&amp;lvl=3&amp;lin=f&amp;keep=1&amp;srchmode=1&amp;unlock","Protopterus dolloi")</f>
        <v>Protopterus dolloi</v>
      </c>
      <c r="H841" t="s">
        <v>1085</v>
      </c>
      <c r="I841" t="str">
        <f>HYPERLINK("http://www.ncbi.nlm.nih.gov/protein/BAG82648.1","estrogen receptor alpha")</f>
        <v>estrogen receptor alpha</v>
      </c>
      <c r="J841">
        <v>173.71</v>
      </c>
      <c r="K841" t="s">
        <v>25</v>
      </c>
      <c r="L841">
        <v>157</v>
      </c>
      <c r="M841">
        <v>44.41</v>
      </c>
      <c r="N841">
        <v>9.25</v>
      </c>
      <c r="O841" t="s">
        <v>25</v>
      </c>
      <c r="P841" t="s">
        <v>965</v>
      </c>
      <c r="Q841" t="s">
        <v>20</v>
      </c>
      <c r="R841" t="str">
        <f>HYPERLINK("https://cfpub.epa.gov/ecotox/explore.cfm?ncbi=27779","Explore in ECOTOX")</f>
        <v>Explore in ECOTOX</v>
      </c>
    </row>
    <row r="842" spans="1:18" x14ac:dyDescent="0.25">
      <c r="A842">
        <v>6</v>
      </c>
      <c r="B842" t="str">
        <f>HYPERLINK("http://www.ncbi.nlm.nih.gov/protein/AEY83591.1","AEY83591.1")</f>
        <v>AEY83591.1</v>
      </c>
      <c r="C842">
        <v>96</v>
      </c>
      <c r="D842" t="str">
        <f>HYPERLINK("http://www.ncbi.nlm.nih.gov/Taxonomy/Browser/wwwtax.cgi?mode=Info&amp;id=9809&amp;lvl=3&amp;lin=f&amp;keep=1&amp;srchmode=1&amp;unlock","9809")</f>
        <v>9809</v>
      </c>
      <c r="E842" t="s">
        <v>18</v>
      </c>
      <c r="F842" t="s">
        <v>18</v>
      </c>
      <c r="G842" t="str">
        <f>HYPERLINK("http://www.ncbi.nlm.nih.gov/Taxonomy/Browser/wwwtax.cgi?mode=Info&amp;id=9809&amp;lvl=3&amp;lin=f&amp;keep=1&amp;srchmode=1&amp;unlock","Rhinoceros unicornis")</f>
        <v>Rhinoceros unicornis</v>
      </c>
      <c r="H842" t="s">
        <v>1086</v>
      </c>
      <c r="I842" t="str">
        <f>HYPERLINK("http://www.ncbi.nlm.nih.gov/protein/AEY83591.1","estrogen receptor alpha")</f>
        <v>estrogen receptor alpha</v>
      </c>
      <c r="J842">
        <v>173.33</v>
      </c>
      <c r="K842" t="s">
        <v>25</v>
      </c>
      <c r="L842">
        <v>157</v>
      </c>
      <c r="M842">
        <v>44.41</v>
      </c>
      <c r="N842">
        <v>9.23</v>
      </c>
      <c r="O842" t="s">
        <v>20</v>
      </c>
      <c r="P842" t="s">
        <v>965</v>
      </c>
      <c r="Q842" t="s">
        <v>20</v>
      </c>
      <c r="R842" t="str">
        <f>HYPERLINK("https://cfpub.epa.gov/ecotox/explore.cfm?ncbi=9809","Explore in ECOTOX")</f>
        <v>Explore in ECOTOX</v>
      </c>
    </row>
    <row r="843" spans="1:18" x14ac:dyDescent="0.25">
      <c r="A843">
        <v>6</v>
      </c>
      <c r="B843" t="str">
        <f>HYPERLINK("http://www.ncbi.nlm.nih.gov/protein/AFK26306.1","AFK26306.1")</f>
        <v>AFK26306.1</v>
      </c>
      <c r="C843">
        <v>233</v>
      </c>
      <c r="D843" t="str">
        <f>HYPERLINK("http://www.ncbi.nlm.nih.gov/Taxonomy/Browser/wwwtax.cgi?mode=Info&amp;id=558553&amp;lvl=3&amp;lin=f&amp;keep=1&amp;srchmode=1&amp;unlock","558553")</f>
        <v>558553</v>
      </c>
      <c r="E843" t="s">
        <v>709</v>
      </c>
      <c r="F843" t="s">
        <v>709</v>
      </c>
      <c r="G843" t="str">
        <f>HYPERLINK("http://www.ncbi.nlm.nih.gov/Taxonomy/Browser/wwwtax.cgi?mode=Info&amp;id=558553&amp;lvl=3&amp;lin=f&amp;keep=1&amp;srchmode=1&amp;unlock","Crassostrea angulata")</f>
        <v>Crassostrea angulata</v>
      </c>
      <c r="H843" t="s">
        <v>1087</v>
      </c>
      <c r="I843" t="str">
        <f>HYPERLINK("http://www.ncbi.nlm.nih.gov/protein/AFK26306.1","estrogen receptor")</f>
        <v>estrogen receptor</v>
      </c>
      <c r="J843">
        <v>172.94</v>
      </c>
      <c r="K843" t="s">
        <v>25</v>
      </c>
      <c r="L843">
        <v>157</v>
      </c>
      <c r="M843">
        <v>44.41</v>
      </c>
      <c r="N843">
        <v>9.2100000000000009</v>
      </c>
      <c r="O843" t="s">
        <v>25</v>
      </c>
      <c r="P843" t="s">
        <v>965</v>
      </c>
      <c r="Q843" t="s">
        <v>20</v>
      </c>
      <c r="R843" t="str">
        <f>HYPERLINK("https://cfpub.epa.gov/ecotox/explore.cfm?ncbi=558553","Explore in ECOTOX")</f>
        <v>Explore in ECOTOX</v>
      </c>
    </row>
    <row r="844" spans="1:18" x14ac:dyDescent="0.25">
      <c r="A844">
        <v>6</v>
      </c>
      <c r="B844" t="str">
        <f>HYPERLINK("http://www.ncbi.nlm.nih.gov/protein/BAE45626.1","BAE45626.1")</f>
        <v>BAE45626.1</v>
      </c>
      <c r="C844">
        <v>391</v>
      </c>
      <c r="D844" t="str">
        <f>HYPERLINK("http://www.ncbi.nlm.nih.gov/Taxonomy/Browser/wwwtax.cgi?mode=Info&amp;id=8501&amp;lvl=3&amp;lin=f&amp;keep=1&amp;srchmode=1&amp;unlock","8501")</f>
        <v>8501</v>
      </c>
      <c r="E844" t="s">
        <v>371</v>
      </c>
      <c r="F844" t="s">
        <v>371</v>
      </c>
      <c r="G844" t="str">
        <f>HYPERLINK("http://www.ncbi.nlm.nih.gov/Taxonomy/Browser/wwwtax.cgi?mode=Info&amp;id=8501&amp;lvl=3&amp;lin=f&amp;keep=1&amp;srchmode=1&amp;unlock","Crocodylus niloticus")</f>
        <v>Crocodylus niloticus</v>
      </c>
      <c r="H844" t="s">
        <v>1088</v>
      </c>
      <c r="I844" t="str">
        <f>HYPERLINK("http://www.ncbi.nlm.nih.gov/protein/BAE45626.1","estrogen receptor alpha")</f>
        <v>estrogen receptor alpha</v>
      </c>
      <c r="J844">
        <v>172.94</v>
      </c>
      <c r="K844" t="s">
        <v>25</v>
      </c>
      <c r="L844">
        <v>157</v>
      </c>
      <c r="M844">
        <v>44.41</v>
      </c>
      <c r="N844">
        <v>9.2100000000000009</v>
      </c>
      <c r="O844" t="s">
        <v>20</v>
      </c>
      <c r="P844" t="s">
        <v>965</v>
      </c>
      <c r="Q844" t="s">
        <v>20</v>
      </c>
      <c r="R844" t="str">
        <f>HYPERLINK("https://cfpub.epa.gov/ecotox/explore.cfm?ncbi=8501","Explore in ECOTOX")</f>
        <v>Explore in ECOTOX</v>
      </c>
    </row>
    <row r="845" spans="1:18" x14ac:dyDescent="0.25">
      <c r="A845">
        <v>6</v>
      </c>
      <c r="B845" t="str">
        <f>HYPERLINK("http://www.ncbi.nlm.nih.gov/protein/BAJ05027.1","BAJ05027.1")</f>
        <v>BAJ05027.1</v>
      </c>
      <c r="C845">
        <v>150</v>
      </c>
      <c r="D845" t="str">
        <f>HYPERLINK("http://www.ncbi.nlm.nih.gov/Taxonomy/Browser/wwwtax.cgi?mode=Info&amp;id=324344&amp;lvl=3&amp;lin=f&amp;keep=1&amp;srchmode=1&amp;unlock","324344")</f>
        <v>324344</v>
      </c>
      <c r="E845" t="s">
        <v>134</v>
      </c>
      <c r="F845" t="s">
        <v>134</v>
      </c>
      <c r="G845" t="str">
        <f>HYPERLINK("http://www.ncbi.nlm.nih.gov/Taxonomy/Browser/wwwtax.cgi?mode=Info&amp;id=324344&amp;lvl=3&amp;lin=f&amp;keep=1&amp;srchmode=1&amp;unlock","Hynobius tokyoensis")</f>
        <v>Hynobius tokyoensis</v>
      </c>
      <c r="H845" t="s">
        <v>1089</v>
      </c>
      <c r="I845" t="str">
        <f>HYPERLINK("http://www.ncbi.nlm.nih.gov/protein/BAJ05027.1","estrogen receptor alpha")</f>
        <v>estrogen receptor alpha</v>
      </c>
      <c r="J845">
        <v>172.56</v>
      </c>
      <c r="K845" t="s">
        <v>25</v>
      </c>
      <c r="L845">
        <v>157</v>
      </c>
      <c r="M845">
        <v>44.41</v>
      </c>
      <c r="N845">
        <v>9.19</v>
      </c>
      <c r="O845" t="s">
        <v>20</v>
      </c>
      <c r="P845" t="s">
        <v>965</v>
      </c>
      <c r="Q845" t="s">
        <v>20</v>
      </c>
      <c r="R845" t="str">
        <f>HYPERLINK("https://cfpub.epa.gov/ecotox/explore.cfm?ncbi=324344","Explore in ECOTOX")</f>
        <v>Explore in ECOTOX</v>
      </c>
    </row>
    <row r="846" spans="1:18" x14ac:dyDescent="0.25">
      <c r="A846">
        <v>6</v>
      </c>
      <c r="B846" t="str">
        <f>HYPERLINK("http://www.ncbi.nlm.nih.gov/protein/NP_001269175.1","NP_001269175.1")</f>
        <v>NP_001269175.1</v>
      </c>
      <c r="C846">
        <v>234</v>
      </c>
      <c r="D846" t="str">
        <f>HYPERLINK("http://www.ncbi.nlm.nih.gov/Taxonomy/Browser/wwwtax.cgi?mode=Info&amp;id=8479&amp;lvl=3&amp;lin=f&amp;keep=1&amp;srchmode=1&amp;unlock","8479")</f>
        <v>8479</v>
      </c>
      <c r="E846" t="s">
        <v>321</v>
      </c>
      <c r="F846" t="s">
        <v>321</v>
      </c>
      <c r="G846" t="str">
        <f>HYPERLINK("http://www.ncbi.nlm.nih.gov/Taxonomy/Browser/wwwtax.cgi?mode=Info&amp;id=8479&amp;lvl=3&amp;lin=f&amp;keep=1&amp;srchmode=1&amp;unlock","Chrysemys picta")</f>
        <v>Chrysemys picta</v>
      </c>
      <c r="H846" t="s">
        <v>1090</v>
      </c>
      <c r="I846" t="str">
        <f>HYPERLINK("http://www.ncbi.nlm.nih.gov/protein/NP_001269175.1","estrogen receptor")</f>
        <v>estrogen receptor</v>
      </c>
      <c r="J846">
        <v>172.56</v>
      </c>
      <c r="K846" t="s">
        <v>25</v>
      </c>
      <c r="L846">
        <v>157</v>
      </c>
      <c r="M846">
        <v>44.41</v>
      </c>
      <c r="N846">
        <v>9.19</v>
      </c>
      <c r="O846" t="s">
        <v>20</v>
      </c>
      <c r="P846" t="s">
        <v>965</v>
      </c>
      <c r="Q846" t="s">
        <v>20</v>
      </c>
      <c r="R846" t="str">
        <f>HYPERLINK("https://cfpub.epa.gov/ecotox/explore.cfm?ncbi=8479","Explore in ECOTOX")</f>
        <v>Explore in ECOTOX</v>
      </c>
    </row>
    <row r="847" spans="1:18" x14ac:dyDescent="0.25">
      <c r="A847">
        <v>6</v>
      </c>
      <c r="B847" t="str">
        <f>HYPERLINK("http://www.ncbi.nlm.nih.gov/protein/BAJ05029.1","BAJ05029.1")</f>
        <v>BAJ05029.1</v>
      </c>
      <c r="C847">
        <v>604</v>
      </c>
      <c r="D847" t="str">
        <f>HYPERLINK("http://www.ncbi.nlm.nih.gov/Taxonomy/Browser/wwwtax.cgi?mode=Info&amp;id=8296&amp;lvl=3&amp;lin=f&amp;keep=1&amp;srchmode=1&amp;unlock","8296")</f>
        <v>8296</v>
      </c>
      <c r="E847" t="s">
        <v>134</v>
      </c>
      <c r="F847" t="s">
        <v>134</v>
      </c>
      <c r="G847" t="str">
        <f>HYPERLINK("http://www.ncbi.nlm.nih.gov/Taxonomy/Browser/wwwtax.cgi?mode=Info&amp;id=8296&amp;lvl=3&amp;lin=f&amp;keep=1&amp;srchmode=1&amp;unlock","Ambystoma mexicanum")</f>
        <v>Ambystoma mexicanum</v>
      </c>
      <c r="H847" t="s">
        <v>391</v>
      </c>
      <c r="I847" t="str">
        <f>HYPERLINK("http://www.ncbi.nlm.nih.gov/protein/BAJ05029.1","estrogen receptor alpha")</f>
        <v>estrogen receptor alpha</v>
      </c>
      <c r="J847">
        <v>172.56</v>
      </c>
      <c r="K847" t="s">
        <v>25</v>
      </c>
      <c r="L847">
        <v>157</v>
      </c>
      <c r="M847">
        <v>44.41</v>
      </c>
      <c r="N847">
        <v>9.19</v>
      </c>
      <c r="O847" t="s">
        <v>20</v>
      </c>
      <c r="P847" t="s">
        <v>965</v>
      </c>
      <c r="Q847" t="s">
        <v>20</v>
      </c>
      <c r="R847" t="str">
        <f>HYPERLINK("https://cfpub.epa.gov/ecotox/explore.cfm?ncbi=8296","Explore in ECOTOX")</f>
        <v>Explore in ECOTOX</v>
      </c>
    </row>
    <row r="848" spans="1:18" x14ac:dyDescent="0.25">
      <c r="A848">
        <v>6</v>
      </c>
      <c r="B848" t="str">
        <f>HYPERLINK("http://www.ncbi.nlm.nih.gov/protein/AUW64608.1","AUW64608.1")</f>
        <v>AUW64608.1</v>
      </c>
      <c r="C848">
        <v>1082</v>
      </c>
      <c r="D848" t="str">
        <f>HYPERLINK("http://www.ncbi.nlm.nih.gov/Taxonomy/Browser/wwwtax.cgi?mode=Info&amp;id=141262&amp;lvl=3&amp;lin=f&amp;keep=1&amp;srchmode=1&amp;unlock","141262")</f>
        <v>141262</v>
      </c>
      <c r="E848" t="s">
        <v>134</v>
      </c>
      <c r="F848" t="s">
        <v>134</v>
      </c>
      <c r="G848" t="str">
        <f>HYPERLINK("http://www.ncbi.nlm.nih.gov/Taxonomy/Browser/wwwtax.cgi?mode=Info&amp;id=141262&amp;lvl=3&amp;lin=f&amp;keep=1&amp;srchmode=1&amp;unlock","Andrias davidianus")</f>
        <v>Andrias davidianus</v>
      </c>
      <c r="H848" t="s">
        <v>1091</v>
      </c>
      <c r="I848" t="str">
        <f>HYPERLINK("http://www.ncbi.nlm.nih.gov/protein/AUW64608.1","estrogen receptor alpha")</f>
        <v>estrogen receptor alpha</v>
      </c>
      <c r="J848">
        <v>172.17</v>
      </c>
      <c r="K848" t="s">
        <v>25</v>
      </c>
      <c r="L848">
        <v>157</v>
      </c>
      <c r="M848">
        <v>44.41</v>
      </c>
      <c r="N848">
        <v>9.16</v>
      </c>
      <c r="O848" t="s">
        <v>20</v>
      </c>
      <c r="P848" t="s">
        <v>965</v>
      </c>
      <c r="Q848" t="s">
        <v>20</v>
      </c>
      <c r="R848" t="str">
        <f>HYPERLINK("https://cfpub.epa.gov/ecotox/explore.cfm?ncbi=141262","Explore in ECOTOX")</f>
        <v>Explore in ECOTOX</v>
      </c>
    </row>
    <row r="849" spans="1:18" x14ac:dyDescent="0.25">
      <c r="A849">
        <v>6</v>
      </c>
      <c r="B849" t="str">
        <f>HYPERLINK("http://www.ncbi.nlm.nih.gov/protein/BAF45381.1","BAF45381.1")</f>
        <v>BAF45381.1</v>
      </c>
      <c r="C849">
        <v>64622</v>
      </c>
      <c r="D849" t="str">
        <f>HYPERLINK("http://www.ncbi.nlm.nih.gov/Taxonomy/Browser/wwwtax.cgi?mode=Info&amp;id=29159&amp;lvl=3&amp;lin=f&amp;keep=1&amp;srchmode=1&amp;unlock","29159")</f>
        <v>29159</v>
      </c>
      <c r="E849" t="s">
        <v>709</v>
      </c>
      <c r="F849" t="s">
        <v>709</v>
      </c>
      <c r="G849" t="str">
        <f>HYPERLINK("http://www.ncbi.nlm.nih.gov/Taxonomy/Browser/wwwtax.cgi?mode=Info&amp;id=29159&amp;lvl=3&amp;lin=f&amp;keep=1&amp;srchmode=1&amp;unlock","Crassostrea gigas")</f>
        <v>Crassostrea gigas</v>
      </c>
      <c r="H849" t="s">
        <v>875</v>
      </c>
      <c r="I849" t="str">
        <f>HYPERLINK("http://www.ncbi.nlm.nih.gov/protein/BAF45381.1","estrogen receptor")</f>
        <v>estrogen receptor</v>
      </c>
      <c r="J849">
        <v>172.17</v>
      </c>
      <c r="K849" t="s">
        <v>25</v>
      </c>
      <c r="L849">
        <v>157</v>
      </c>
      <c r="M849">
        <v>44.41</v>
      </c>
      <c r="N849">
        <v>9.16</v>
      </c>
      <c r="O849" t="s">
        <v>25</v>
      </c>
      <c r="P849" t="s">
        <v>965</v>
      </c>
      <c r="Q849" t="s">
        <v>20</v>
      </c>
      <c r="R849" t="str">
        <f>HYPERLINK("https://cfpub.epa.gov/ecotox/explore.cfm?ncbi=29159","Explore in ECOTOX")</f>
        <v>Explore in ECOTOX</v>
      </c>
    </row>
    <row r="850" spans="1:18" x14ac:dyDescent="0.25">
      <c r="A850">
        <v>6</v>
      </c>
      <c r="B850" t="str">
        <f>HYPERLINK("http://www.ncbi.nlm.nih.gov/protein/BAF30926.1","BAF30926.1")</f>
        <v>BAF30926.1</v>
      </c>
      <c r="C850">
        <v>51</v>
      </c>
      <c r="D850" t="str">
        <f>HYPERLINK("http://www.ncbi.nlm.nih.gov/Taxonomy/Browser/wwwtax.cgi?mode=Info&amp;id=166789&amp;lvl=3&amp;lin=f&amp;keep=1&amp;srchmode=1&amp;unlock","166789")</f>
        <v>166789</v>
      </c>
      <c r="E850" t="s">
        <v>134</v>
      </c>
      <c r="F850" t="s">
        <v>134</v>
      </c>
      <c r="G850" t="str">
        <f>HYPERLINK("http://www.ncbi.nlm.nih.gov/Taxonomy/Browser/wwwtax.cgi?mode=Info&amp;id=166789&amp;lvl=3&amp;lin=f&amp;keep=1&amp;srchmode=1&amp;unlock","Andrias japonicus")</f>
        <v>Andrias japonicus</v>
      </c>
      <c r="H850" t="s">
        <v>1092</v>
      </c>
      <c r="I850" t="str">
        <f>HYPERLINK("http://www.ncbi.nlm.nih.gov/protein/BAF30926.1","estrogen receptor alpha")</f>
        <v>estrogen receptor alpha</v>
      </c>
      <c r="J850">
        <v>171.78</v>
      </c>
      <c r="K850" t="s">
        <v>25</v>
      </c>
      <c r="L850">
        <v>157</v>
      </c>
      <c r="M850">
        <v>44.41</v>
      </c>
      <c r="N850">
        <v>9.14</v>
      </c>
      <c r="O850" t="s">
        <v>20</v>
      </c>
      <c r="P850" t="s">
        <v>965</v>
      </c>
      <c r="Q850" t="s">
        <v>20</v>
      </c>
      <c r="R850" t="str">
        <f>HYPERLINK("https://cfpub.epa.gov/ecotox/explore.cfm?ncbi=166789","Explore in ECOTOX")</f>
        <v>Explore in ECOTOX</v>
      </c>
    </row>
    <row r="851" spans="1:18" x14ac:dyDescent="0.25">
      <c r="A851">
        <v>6</v>
      </c>
      <c r="B851" t="str">
        <f>HYPERLINK("http://www.ncbi.nlm.nih.gov/protein/ABW24738.1","ABW24738.1")</f>
        <v>ABW24738.1</v>
      </c>
      <c r="C851">
        <v>306</v>
      </c>
      <c r="D851" t="str">
        <f>HYPERLINK("http://www.ncbi.nlm.nih.gov/Taxonomy/Browser/wwwtax.cgi?mode=Info&amp;id=8319&amp;lvl=3&amp;lin=f&amp;keep=1&amp;srchmode=1&amp;unlock","8319")</f>
        <v>8319</v>
      </c>
      <c r="E851" t="s">
        <v>134</v>
      </c>
      <c r="F851" t="s">
        <v>134</v>
      </c>
      <c r="G851" t="str">
        <f>HYPERLINK("http://www.ncbi.nlm.nih.gov/Taxonomy/Browser/wwwtax.cgi?mode=Info&amp;id=8319&amp;lvl=3&amp;lin=f&amp;keep=1&amp;srchmode=1&amp;unlock","Pleurodeles waltl")</f>
        <v>Pleurodeles waltl</v>
      </c>
      <c r="H851" t="s">
        <v>1093</v>
      </c>
      <c r="I851" t="str">
        <f>HYPERLINK("http://www.ncbi.nlm.nih.gov/protein/ABW24738.1","estrogen receptor alpha")</f>
        <v>estrogen receptor alpha</v>
      </c>
      <c r="J851">
        <v>171.78</v>
      </c>
      <c r="K851" t="s">
        <v>25</v>
      </c>
      <c r="L851">
        <v>157</v>
      </c>
      <c r="M851">
        <v>44.41</v>
      </c>
      <c r="N851">
        <v>9.14</v>
      </c>
      <c r="O851" t="s">
        <v>20</v>
      </c>
      <c r="P851" t="s">
        <v>965</v>
      </c>
      <c r="Q851" t="s">
        <v>20</v>
      </c>
      <c r="R851" t="str">
        <f>HYPERLINK("https://cfpub.epa.gov/ecotox/explore.cfm?ncbi=8319","Explore in ECOTOX")</f>
        <v>Explore in ECOTOX</v>
      </c>
    </row>
    <row r="852" spans="1:18" x14ac:dyDescent="0.25">
      <c r="A852">
        <v>6</v>
      </c>
      <c r="B852" t="str">
        <f>HYPERLINK("http://www.ncbi.nlm.nih.gov/protein/CAC5364525.1","CAC5364525.1")</f>
        <v>CAC5364525.1</v>
      </c>
      <c r="C852">
        <v>64941</v>
      </c>
      <c r="D852" t="str">
        <f>HYPERLINK("http://www.ncbi.nlm.nih.gov/Taxonomy/Browser/wwwtax.cgi?mode=Info&amp;id=42192&amp;lvl=3&amp;lin=f&amp;keep=1&amp;srchmode=1&amp;unlock","42192")</f>
        <v>42192</v>
      </c>
      <c r="E852" t="s">
        <v>709</v>
      </c>
      <c r="F852" t="s">
        <v>709</v>
      </c>
      <c r="G852" t="str">
        <f>HYPERLINK("http://www.ncbi.nlm.nih.gov/Taxonomy/Browser/wwwtax.cgi?mode=Info&amp;id=42192&amp;lvl=3&amp;lin=f&amp;keep=1&amp;srchmode=1&amp;unlock","Mytilus coruscus")</f>
        <v>Mytilus coruscus</v>
      </c>
      <c r="H852" t="s">
        <v>1094</v>
      </c>
      <c r="I852" t="str">
        <f>HYPERLINK("http://www.ncbi.nlm.nih.gov/protein/CAC5364525.1","ESR1")</f>
        <v>ESR1</v>
      </c>
      <c r="J852">
        <v>171.4</v>
      </c>
      <c r="K852" t="s">
        <v>25</v>
      </c>
      <c r="L852">
        <v>157</v>
      </c>
      <c r="M852">
        <v>44.41</v>
      </c>
      <c r="N852">
        <v>9.1199999999999992</v>
      </c>
      <c r="O852" t="s">
        <v>25</v>
      </c>
      <c r="P852" t="s">
        <v>965</v>
      </c>
      <c r="Q852" t="s">
        <v>20</v>
      </c>
      <c r="R852" t="str">
        <f>HYPERLINK("https://cfpub.epa.gov/ecotox/explore.cfm?ncbi=42192","Explore in ECOTOX")</f>
        <v>Explore in ECOTOX</v>
      </c>
    </row>
    <row r="853" spans="1:18" x14ac:dyDescent="0.25">
      <c r="A853">
        <v>6</v>
      </c>
      <c r="B853" t="str">
        <f>HYPERLINK("http://www.ncbi.nlm.nih.gov/protein/BAU36956.1","BAU36956.1")</f>
        <v>BAU36956.1</v>
      </c>
      <c r="C853">
        <v>37</v>
      </c>
      <c r="D853" t="str">
        <f>HYPERLINK("http://www.ncbi.nlm.nih.gov/Taxonomy/Browser/wwwtax.cgi?mode=Info&amp;id=179887&amp;lvl=3&amp;lin=f&amp;keep=1&amp;srchmode=1&amp;unlock","179887")</f>
        <v>179887</v>
      </c>
      <c r="E853" t="s">
        <v>236</v>
      </c>
      <c r="F853" t="s">
        <v>236</v>
      </c>
      <c r="G853" t="str">
        <f>HYPERLINK("http://www.ncbi.nlm.nih.gov/Taxonomy/Browser/wwwtax.cgi?mode=Info&amp;id=179887&amp;lvl=3&amp;lin=f&amp;keep=1&amp;srchmode=1&amp;unlock","Bradypodion pumilum")</f>
        <v>Bradypodion pumilum</v>
      </c>
      <c r="H853" t="s">
        <v>677</v>
      </c>
      <c r="I853" t="str">
        <f>HYPERLINK("http://www.ncbi.nlm.nih.gov/protein/BAU36956.1","estrogen receptor alpha")</f>
        <v>estrogen receptor alpha</v>
      </c>
      <c r="J853">
        <v>171.01</v>
      </c>
      <c r="K853" t="s">
        <v>25</v>
      </c>
      <c r="L853">
        <v>157</v>
      </c>
      <c r="M853">
        <v>44.41</v>
      </c>
      <c r="N853">
        <v>9.1</v>
      </c>
      <c r="O853" t="s">
        <v>20</v>
      </c>
      <c r="P853" t="s">
        <v>965</v>
      </c>
      <c r="Q853" t="s">
        <v>20</v>
      </c>
      <c r="R853" t="str">
        <f>HYPERLINK("https://cfpub.epa.gov/ecotox/explore.cfm?ncbi=179887","Explore in ECOTOX")</f>
        <v>Explore in ECOTOX</v>
      </c>
    </row>
    <row r="854" spans="1:18" x14ac:dyDescent="0.25">
      <c r="A854">
        <v>6</v>
      </c>
      <c r="B854" t="str">
        <f>HYPERLINK("http://www.ncbi.nlm.nih.gov/protein/XP_022331059.1","XP_022331059.1")</f>
        <v>XP_022331059.1</v>
      </c>
      <c r="C854">
        <v>60511</v>
      </c>
      <c r="D854" t="str">
        <f>HYPERLINK("http://www.ncbi.nlm.nih.gov/Taxonomy/Browser/wwwtax.cgi?mode=Info&amp;id=6565&amp;lvl=3&amp;lin=f&amp;keep=1&amp;srchmode=1&amp;unlock","6565")</f>
        <v>6565</v>
      </c>
      <c r="E854" t="s">
        <v>709</v>
      </c>
      <c r="F854" t="s">
        <v>709</v>
      </c>
      <c r="G854" t="str">
        <f>HYPERLINK("http://www.ncbi.nlm.nih.gov/Taxonomy/Browser/wwwtax.cgi?mode=Info&amp;id=6565&amp;lvl=3&amp;lin=f&amp;keep=1&amp;srchmode=1&amp;unlock","Crassostrea virginica")</f>
        <v>Crassostrea virginica</v>
      </c>
      <c r="H854" t="s">
        <v>888</v>
      </c>
      <c r="I854" t="str">
        <f>HYPERLINK("http://www.ncbi.nlm.nih.gov/protein/XP_022331059.1","LOW QUALITY PROTEIN: estrogen receptor beta-like")</f>
        <v>LOW QUALITY PROTEIN: estrogen receptor beta-like</v>
      </c>
      <c r="J854">
        <v>171.01</v>
      </c>
      <c r="K854" t="s">
        <v>25</v>
      </c>
      <c r="L854">
        <v>157</v>
      </c>
      <c r="M854">
        <v>44.41</v>
      </c>
      <c r="N854">
        <v>9.1</v>
      </c>
      <c r="O854" t="s">
        <v>25</v>
      </c>
      <c r="P854" t="s">
        <v>965</v>
      </c>
      <c r="Q854" t="s">
        <v>20</v>
      </c>
      <c r="R854" t="str">
        <f>HYPERLINK("https://cfpub.epa.gov/ecotox/explore.cfm?ncbi=6565","Explore in ECOTOX")</f>
        <v>Explore in ECOTOX</v>
      </c>
    </row>
    <row r="855" spans="1:18" x14ac:dyDescent="0.25">
      <c r="A855">
        <v>6</v>
      </c>
      <c r="B855" t="str">
        <f>HYPERLINK("http://www.ncbi.nlm.nih.gov/protein/ANC90315.1","ANC90315.1")</f>
        <v>ANC90315.1</v>
      </c>
      <c r="C855">
        <v>31</v>
      </c>
      <c r="D855" t="str">
        <f>HYPERLINK("http://www.ncbi.nlm.nih.gov/Taxonomy/Browser/wwwtax.cgi?mode=Info&amp;id=157728&amp;lvl=3&amp;lin=f&amp;keep=1&amp;srchmode=1&amp;unlock","157728")</f>
        <v>157728</v>
      </c>
      <c r="E855" t="s">
        <v>709</v>
      </c>
      <c r="F855" t="s">
        <v>709</v>
      </c>
      <c r="G855" t="str">
        <f>HYPERLINK("http://www.ncbi.nlm.nih.gov/Taxonomy/Browser/wwwtax.cgi?mode=Info&amp;id=157728&amp;lvl=3&amp;lin=f&amp;keep=1&amp;srchmode=1&amp;unlock","Saccostrea glomerata")</f>
        <v>Saccostrea glomerata</v>
      </c>
      <c r="H855" t="s">
        <v>1095</v>
      </c>
      <c r="I855" t="str">
        <f>HYPERLINK("http://www.ncbi.nlm.nih.gov/protein/ANC90315.1","estrogen receptor")</f>
        <v>estrogen receptor</v>
      </c>
      <c r="J855">
        <v>171.01</v>
      </c>
      <c r="K855" t="s">
        <v>25</v>
      </c>
      <c r="L855">
        <v>157</v>
      </c>
      <c r="M855">
        <v>44.41</v>
      </c>
      <c r="N855">
        <v>9.1</v>
      </c>
      <c r="O855" t="s">
        <v>25</v>
      </c>
      <c r="P855" t="s">
        <v>965</v>
      </c>
      <c r="Q855" t="s">
        <v>20</v>
      </c>
      <c r="R855" t="str">
        <f>HYPERLINK("https://cfpub.epa.gov/ecotox/explore.cfm?ncbi=157728","Explore in ECOTOX")</f>
        <v>Explore in ECOTOX</v>
      </c>
    </row>
    <row r="856" spans="1:18" x14ac:dyDescent="0.25">
      <c r="A856">
        <v>6</v>
      </c>
      <c r="B856" t="str">
        <f>HYPERLINK("http://www.ncbi.nlm.nih.gov/protein/ALF04772.1","ALF04772.1")</f>
        <v>ALF04772.1</v>
      </c>
      <c r="C856">
        <v>655</v>
      </c>
      <c r="D856" t="str">
        <f>HYPERLINK("http://www.ncbi.nlm.nih.gov/Taxonomy/Browser/wwwtax.cgi?mode=Info&amp;id=7764&amp;lvl=3&amp;lin=f&amp;keep=1&amp;srchmode=1&amp;unlock","7764")</f>
        <v>7764</v>
      </c>
      <c r="E856" t="s">
        <v>696</v>
      </c>
      <c r="F856" t="s">
        <v>696</v>
      </c>
      <c r="G856" t="str">
        <f>HYPERLINK("http://www.ncbi.nlm.nih.gov/Taxonomy/Browser/wwwtax.cgi?mode=Info&amp;id=7764&amp;lvl=3&amp;lin=f&amp;keep=1&amp;srchmode=1&amp;unlock","Eptatretus burgeri")</f>
        <v>Eptatretus burgeri</v>
      </c>
      <c r="H856" t="s">
        <v>1096</v>
      </c>
      <c r="I856" t="str">
        <f>HYPERLINK("http://www.ncbi.nlm.nih.gov/protein/ALF04772.1","estrogen receptor 1")</f>
        <v>estrogen receptor 1</v>
      </c>
      <c r="J856">
        <v>170.63</v>
      </c>
      <c r="K856" t="s">
        <v>25</v>
      </c>
      <c r="L856">
        <v>157</v>
      </c>
      <c r="M856">
        <v>44.41</v>
      </c>
      <c r="N856">
        <v>9.08</v>
      </c>
      <c r="O856" t="s">
        <v>25</v>
      </c>
      <c r="P856" t="s">
        <v>965</v>
      </c>
      <c r="Q856" t="s">
        <v>20</v>
      </c>
      <c r="R856" t="str">
        <f>HYPERLINK("https://cfpub.epa.gov/ecotox/explore.cfm?ncbi=7764","Explore in ECOTOX")</f>
        <v>Explore in ECOTOX</v>
      </c>
    </row>
    <row r="857" spans="1:18" x14ac:dyDescent="0.25">
      <c r="A857">
        <v>6</v>
      </c>
      <c r="B857" t="str">
        <f>HYPERLINK("http://www.ncbi.nlm.nih.gov/protein/CAC37560.1","CAC37560.1")</f>
        <v>CAC37560.1</v>
      </c>
      <c r="C857">
        <v>409</v>
      </c>
      <c r="D857" t="str">
        <f>HYPERLINK("http://www.ncbi.nlm.nih.gov/Taxonomy/Browser/wwwtax.cgi?mode=Info&amp;id=13013&amp;lvl=3&amp;lin=f&amp;keep=1&amp;srchmode=1&amp;unlock","13013")</f>
        <v>13013</v>
      </c>
      <c r="E857" t="s">
        <v>384</v>
      </c>
      <c r="F857" t="s">
        <v>384</v>
      </c>
      <c r="G857" t="str">
        <f>HYPERLINK("http://www.ncbi.nlm.nih.gov/Taxonomy/Browser/wwwtax.cgi?mode=Info&amp;id=13013&amp;lvl=3&amp;lin=f&amp;keep=1&amp;srchmode=1&amp;unlock","Clarias gariepinus")</f>
        <v>Clarias gariepinus</v>
      </c>
      <c r="H857" t="s">
        <v>1097</v>
      </c>
      <c r="I857" t="str">
        <f>HYPERLINK("http://www.ncbi.nlm.nih.gov/protein/CAC37560.1","estrogen receptor alpha")</f>
        <v>estrogen receptor alpha</v>
      </c>
      <c r="J857">
        <v>168.32</v>
      </c>
      <c r="K857" t="s">
        <v>25</v>
      </c>
      <c r="L857">
        <v>157</v>
      </c>
      <c r="M857">
        <v>44.41</v>
      </c>
      <c r="N857">
        <v>8.9600000000000009</v>
      </c>
      <c r="O857" t="s">
        <v>25</v>
      </c>
      <c r="P857" t="s">
        <v>965</v>
      </c>
      <c r="Q857" t="s">
        <v>20</v>
      </c>
      <c r="R857" t="str">
        <f>HYPERLINK("https://cfpub.epa.gov/ecotox/explore.cfm?ncbi=13013","Explore in ECOTOX")</f>
        <v>Explore in ECOTOX</v>
      </c>
    </row>
    <row r="858" spans="1:18" x14ac:dyDescent="0.25">
      <c r="A858">
        <v>6</v>
      </c>
      <c r="B858" t="str">
        <f>HYPERLINK("http://www.ncbi.nlm.nih.gov/protein/PSN48477.1","PSN48477.1")</f>
        <v>PSN48477.1</v>
      </c>
      <c r="C858">
        <v>30175</v>
      </c>
      <c r="D858" t="str">
        <f>HYPERLINK("http://www.ncbi.nlm.nih.gov/Taxonomy/Browser/wwwtax.cgi?mode=Info&amp;id=6973&amp;lvl=3&amp;lin=f&amp;keep=1&amp;srchmode=1&amp;unlock","6973")</f>
        <v>6973</v>
      </c>
      <c r="E858" t="s">
        <v>698</v>
      </c>
      <c r="F858" t="s">
        <v>698</v>
      </c>
      <c r="G858" t="str">
        <f>HYPERLINK("http://www.ncbi.nlm.nih.gov/Taxonomy/Browser/wwwtax.cgi?mode=Info&amp;id=6973&amp;lvl=3&amp;lin=f&amp;keep=1&amp;srchmode=1&amp;unlock","Blattella germanica")</f>
        <v>Blattella germanica</v>
      </c>
      <c r="H858" t="s">
        <v>1098</v>
      </c>
      <c r="I858" t="str">
        <f>HYPERLINK("http://www.ncbi.nlm.nih.gov/protein/PSN48477.1","Estrogen-related receptor gamma")</f>
        <v>Estrogen-related receptor gamma</v>
      </c>
      <c r="J858">
        <v>168.32</v>
      </c>
      <c r="K858" t="s">
        <v>25</v>
      </c>
      <c r="L858">
        <v>157</v>
      </c>
      <c r="M858">
        <v>44.41</v>
      </c>
      <c r="N858">
        <v>8.9600000000000009</v>
      </c>
      <c r="O858" t="s">
        <v>25</v>
      </c>
      <c r="P858" t="s">
        <v>965</v>
      </c>
      <c r="Q858" t="s">
        <v>20</v>
      </c>
      <c r="R858" t="str">
        <f>HYPERLINK("https://cfpub.epa.gov/ecotox/explore.cfm?ncbi=6973","Explore in ECOTOX")</f>
        <v>Explore in ECOTOX</v>
      </c>
    </row>
    <row r="859" spans="1:18" x14ac:dyDescent="0.25">
      <c r="A859">
        <v>6</v>
      </c>
      <c r="B859" t="str">
        <f>HYPERLINK("http://www.ncbi.nlm.nih.gov/protein/APL97835.1","APL97835.1")</f>
        <v>APL97835.1</v>
      </c>
      <c r="C859">
        <v>506</v>
      </c>
      <c r="D859" t="str">
        <f>HYPERLINK("http://www.ncbi.nlm.nih.gov/Taxonomy/Browser/wwwtax.cgi?mode=Info&amp;id=10185&amp;lvl=3&amp;lin=f&amp;keep=1&amp;srchmode=1&amp;unlock","10185")</f>
        <v>10185</v>
      </c>
      <c r="E859" t="s">
        <v>18</v>
      </c>
      <c r="F859" t="s">
        <v>18</v>
      </c>
      <c r="G859" t="str">
        <f>HYPERLINK("http://www.ncbi.nlm.nih.gov/Taxonomy/Browser/wwwtax.cgi?mode=Info&amp;id=10185&amp;lvl=3&amp;lin=f&amp;keep=1&amp;srchmode=1&amp;unlock","Castor fiber")</f>
        <v>Castor fiber</v>
      </c>
      <c r="H859" t="s">
        <v>1099</v>
      </c>
      <c r="I859" t="str">
        <f>HYPERLINK("http://www.ncbi.nlm.nih.gov/protein/APL97835.1","estrogen receptor 1")</f>
        <v>estrogen receptor 1</v>
      </c>
      <c r="J859">
        <v>168.32</v>
      </c>
      <c r="K859" t="s">
        <v>25</v>
      </c>
      <c r="L859">
        <v>157</v>
      </c>
      <c r="M859">
        <v>44.41</v>
      </c>
      <c r="N859">
        <v>8.9600000000000009</v>
      </c>
      <c r="O859" t="s">
        <v>20</v>
      </c>
      <c r="P859" t="s">
        <v>965</v>
      </c>
      <c r="Q859" t="s">
        <v>20</v>
      </c>
      <c r="R859" t="str">
        <f>HYPERLINK("https://cfpub.epa.gov/ecotox/explore.cfm?ncbi=10185","Explore in ECOTOX")</f>
        <v>Explore in ECOTOX</v>
      </c>
    </row>
    <row r="860" spans="1:18" x14ac:dyDescent="0.25">
      <c r="A860">
        <v>6</v>
      </c>
      <c r="B860" t="str">
        <f>HYPERLINK("http://www.ncbi.nlm.nih.gov/protein/BAA25900.1","BAA25900.1")</f>
        <v>BAA25900.1</v>
      </c>
      <c r="C860">
        <v>2</v>
      </c>
      <c r="D860" t="str">
        <f>HYPERLINK("http://www.ncbi.nlm.nih.gov/Taxonomy/Browser/wwwtax.cgi?mode=Info&amp;id=34775&amp;lvl=3&amp;lin=f&amp;keep=1&amp;srchmode=1&amp;unlock","34775")</f>
        <v>34775</v>
      </c>
      <c r="E860" t="s">
        <v>384</v>
      </c>
      <c r="F860" t="s">
        <v>384</v>
      </c>
      <c r="G860" t="str">
        <f>HYPERLINK("http://www.ncbi.nlm.nih.gov/Taxonomy/Browser/wwwtax.cgi?mode=Info&amp;id=34775&amp;lvl=3&amp;lin=f&amp;keep=1&amp;srchmode=1&amp;unlock","Oryzias sp.")</f>
        <v>Oryzias sp.</v>
      </c>
      <c r="H860" t="s">
        <v>1011</v>
      </c>
      <c r="I860" t="str">
        <f>HYPERLINK("http://www.ncbi.nlm.nih.gov/protein/BAA25900.1","estrogen receptor")</f>
        <v>estrogen receptor</v>
      </c>
      <c r="J860">
        <v>168.32</v>
      </c>
      <c r="K860" t="s">
        <v>25</v>
      </c>
      <c r="L860">
        <v>157</v>
      </c>
      <c r="M860">
        <v>44.41</v>
      </c>
      <c r="N860">
        <v>8.9600000000000009</v>
      </c>
      <c r="O860" t="s">
        <v>25</v>
      </c>
      <c r="P860" t="s">
        <v>965</v>
      </c>
      <c r="Q860" t="s">
        <v>20</v>
      </c>
      <c r="R860" t="str">
        <f>HYPERLINK("https://cfpub.epa.gov/ecotox/explore.cfm?ncbi=34775","Explore in ECOTOX")</f>
        <v>Explore in ECOTOX</v>
      </c>
    </row>
    <row r="861" spans="1:18" x14ac:dyDescent="0.25">
      <c r="A861">
        <v>6</v>
      </c>
      <c r="B861" t="str">
        <f>HYPERLINK("http://www.ncbi.nlm.nih.gov/protein/ACN39246.2","ACN39246.2")</f>
        <v>ACN39246.2</v>
      </c>
      <c r="C861">
        <v>183</v>
      </c>
      <c r="D861" t="str">
        <f>HYPERLINK("http://www.ncbi.nlm.nih.gov/Taxonomy/Browser/wwwtax.cgi?mode=Info&amp;id=214486&amp;lvl=3&amp;lin=f&amp;keep=1&amp;srchmode=1&amp;unlock","214486")</f>
        <v>214486</v>
      </c>
      <c r="E861" t="s">
        <v>384</v>
      </c>
      <c r="F861" t="s">
        <v>384</v>
      </c>
      <c r="G861" t="str">
        <f>HYPERLINK("http://www.ncbi.nlm.nih.gov/Taxonomy/Browser/wwwtax.cgi?mode=Info&amp;id=214486&amp;lvl=3&amp;lin=f&amp;keep=1&amp;srchmode=1&amp;unlock","Sebastes schlegelii")</f>
        <v>Sebastes schlegelii</v>
      </c>
      <c r="H861" t="s">
        <v>1100</v>
      </c>
      <c r="I861" t="str">
        <f>HYPERLINK("http://www.ncbi.nlm.nih.gov/protein/ACN39246.2","estrogen receptor alpha")</f>
        <v>estrogen receptor alpha</v>
      </c>
      <c r="J861">
        <v>167.93</v>
      </c>
      <c r="K861" t="s">
        <v>25</v>
      </c>
      <c r="L861">
        <v>157</v>
      </c>
      <c r="M861">
        <v>44.41</v>
      </c>
      <c r="N861">
        <v>8.94</v>
      </c>
      <c r="O861" t="s">
        <v>25</v>
      </c>
      <c r="P861" t="s">
        <v>965</v>
      </c>
      <c r="Q861" t="s">
        <v>20</v>
      </c>
      <c r="R861" t="str">
        <f>HYPERLINK("https://cfpub.epa.gov/ecotox/explore.cfm?ncbi=214486","Explore in ECOTOX")</f>
        <v>Explore in ECOTOX</v>
      </c>
    </row>
    <row r="862" spans="1:18" x14ac:dyDescent="0.25">
      <c r="A862">
        <v>6</v>
      </c>
      <c r="B862" t="str">
        <f>HYPERLINK("http://www.ncbi.nlm.nih.gov/protein/BAF34366.2","BAF34366.2")</f>
        <v>BAF34366.2</v>
      </c>
      <c r="C862">
        <v>960</v>
      </c>
      <c r="D862" t="str">
        <f>HYPERLINK("http://www.ncbi.nlm.nih.gov/Taxonomy/Browser/wwwtax.cgi?mode=Info&amp;id=6550&amp;lvl=3&amp;lin=f&amp;keep=1&amp;srchmode=1&amp;unlock","6550")</f>
        <v>6550</v>
      </c>
      <c r="E862" t="s">
        <v>709</v>
      </c>
      <c r="F862" t="s">
        <v>709</v>
      </c>
      <c r="G862" t="str">
        <f>HYPERLINK("http://www.ncbi.nlm.nih.gov/Taxonomy/Browser/wwwtax.cgi?mode=Info&amp;id=6550&amp;lvl=3&amp;lin=f&amp;keep=1&amp;srchmode=1&amp;unlock","Mytilus edulis")</f>
        <v>Mytilus edulis</v>
      </c>
      <c r="H862" t="s">
        <v>1101</v>
      </c>
      <c r="I862" t="str">
        <f>HYPERLINK("http://www.ncbi.nlm.nih.gov/protein/BAF34366.2","estrogen receptor")</f>
        <v>estrogen receptor</v>
      </c>
      <c r="J862">
        <v>167.93</v>
      </c>
      <c r="K862" t="s">
        <v>25</v>
      </c>
      <c r="L862">
        <v>157</v>
      </c>
      <c r="M862">
        <v>44.41</v>
      </c>
      <c r="N862">
        <v>8.94</v>
      </c>
      <c r="O862" t="s">
        <v>25</v>
      </c>
      <c r="P862" t="s">
        <v>965</v>
      </c>
      <c r="Q862" t="s">
        <v>20</v>
      </c>
      <c r="R862" t="str">
        <f>HYPERLINK("https://cfpub.epa.gov/ecotox/explore.cfm?ncbi=6550","Explore in ECOTOX")</f>
        <v>Explore in ECOTOX</v>
      </c>
    </row>
    <row r="863" spans="1:18" x14ac:dyDescent="0.25">
      <c r="A863">
        <v>6</v>
      </c>
      <c r="B863" t="str">
        <f>HYPERLINK("http://www.ncbi.nlm.nih.gov/protein/BAF34908.2","BAF34908.2")</f>
        <v>BAF34908.2</v>
      </c>
      <c r="C863">
        <v>83790</v>
      </c>
      <c r="D863" t="str">
        <f>HYPERLINK("http://www.ncbi.nlm.nih.gov/Taxonomy/Browser/wwwtax.cgi?mode=Info&amp;id=29158&amp;lvl=3&amp;lin=f&amp;keep=1&amp;srchmode=1&amp;unlock","29158")</f>
        <v>29158</v>
      </c>
      <c r="E863" t="s">
        <v>709</v>
      </c>
      <c r="F863" t="s">
        <v>709</v>
      </c>
      <c r="G863" t="str">
        <f>HYPERLINK("http://www.ncbi.nlm.nih.gov/Taxonomy/Browser/wwwtax.cgi?mode=Info&amp;id=29158&amp;lvl=3&amp;lin=f&amp;keep=1&amp;srchmode=1&amp;unlock","Mytilus galloprovincialis")</f>
        <v>Mytilus galloprovincialis</v>
      </c>
      <c r="H863" t="s">
        <v>745</v>
      </c>
      <c r="I863" t="str">
        <f>HYPERLINK("http://www.ncbi.nlm.nih.gov/protein/BAF34908.2","estrogen receptor, partial")</f>
        <v>estrogen receptor, partial</v>
      </c>
      <c r="J863">
        <v>167.93</v>
      </c>
      <c r="K863" t="s">
        <v>25</v>
      </c>
      <c r="L863">
        <v>157</v>
      </c>
      <c r="M863">
        <v>44.41</v>
      </c>
      <c r="N863">
        <v>8.94</v>
      </c>
      <c r="O863" t="s">
        <v>25</v>
      </c>
      <c r="P863" t="s">
        <v>965</v>
      </c>
      <c r="Q863" t="s">
        <v>20</v>
      </c>
      <c r="R863" t="str">
        <f>HYPERLINK("https://cfpub.epa.gov/ecotox/explore.cfm?ncbi=29158","Explore in ECOTOX")</f>
        <v>Explore in ECOTOX</v>
      </c>
    </row>
    <row r="864" spans="1:18" x14ac:dyDescent="0.25">
      <c r="A864">
        <v>6</v>
      </c>
      <c r="B864" t="str">
        <f>HYPERLINK("http://www.ncbi.nlm.nih.gov/protein/AAP72178.1","AAP72178.1")</f>
        <v>AAP72178.1</v>
      </c>
      <c r="C864">
        <v>58</v>
      </c>
      <c r="D864" t="str">
        <f>HYPERLINK("http://www.ncbi.nlm.nih.gov/Taxonomy/Browser/wwwtax.cgi?mode=Info&amp;id=217853&amp;lvl=3&amp;lin=f&amp;keep=1&amp;srchmode=1&amp;unlock","217853")</f>
        <v>217853</v>
      </c>
      <c r="E864" t="s">
        <v>384</v>
      </c>
      <c r="F864" t="s">
        <v>384</v>
      </c>
      <c r="G864" t="str">
        <f>HYPERLINK("http://www.ncbi.nlm.nih.gov/Taxonomy/Browser/wwwtax.cgi?mode=Info&amp;id=217853&amp;lvl=3&amp;lin=f&amp;keep=1&amp;srchmode=1&amp;unlock","Halichoeres tenuispinis")</f>
        <v>Halichoeres tenuispinis</v>
      </c>
      <c r="H864" t="s">
        <v>1102</v>
      </c>
      <c r="I864" t="str">
        <f>HYPERLINK("http://www.ncbi.nlm.nih.gov/protein/AAP72178.1","estrogen receptor alpha")</f>
        <v>estrogen receptor alpha</v>
      </c>
      <c r="J864">
        <v>167.55</v>
      </c>
      <c r="K864" t="s">
        <v>25</v>
      </c>
      <c r="L864">
        <v>157</v>
      </c>
      <c r="M864">
        <v>44.41</v>
      </c>
      <c r="N864">
        <v>8.92</v>
      </c>
      <c r="O864" t="s">
        <v>25</v>
      </c>
      <c r="P864" t="s">
        <v>965</v>
      </c>
      <c r="Q864" t="s">
        <v>20</v>
      </c>
      <c r="R864" t="str">
        <f>HYPERLINK("https://cfpub.epa.gov/ecotox/explore.cfm?ncbi=217853","Explore in ECOTOX")</f>
        <v>Explore in ECOTOX</v>
      </c>
    </row>
    <row r="865" spans="1:18" x14ac:dyDescent="0.25">
      <c r="A865">
        <v>6</v>
      </c>
      <c r="B865" t="str">
        <f>HYPERLINK("http://www.ncbi.nlm.nih.gov/protein/AHM88214.1","AHM88214.1")</f>
        <v>AHM88214.1</v>
      </c>
      <c r="C865">
        <v>1017</v>
      </c>
      <c r="D865" t="str">
        <f>HYPERLINK("http://www.ncbi.nlm.nih.gov/Taxonomy/Browser/wwwtax.cgi?mode=Info&amp;id=30521&amp;lvl=3&amp;lin=f&amp;keep=1&amp;srchmode=1&amp;unlock","30521")</f>
        <v>30521</v>
      </c>
      <c r="E865" t="s">
        <v>18</v>
      </c>
      <c r="F865" t="s">
        <v>18</v>
      </c>
      <c r="G865" t="str">
        <f>HYPERLINK("http://www.ncbi.nlm.nih.gov/Taxonomy/Browser/wwwtax.cgi?mode=Info&amp;id=30521&amp;lvl=3&amp;lin=f&amp;keep=1&amp;srchmode=1&amp;unlock","Bos grunniens")</f>
        <v>Bos grunniens</v>
      </c>
      <c r="H865" t="s">
        <v>1103</v>
      </c>
      <c r="I865" t="str">
        <f>HYPERLINK("http://www.ncbi.nlm.nih.gov/protein/AHM88214.1","estrogen receptor 1")</f>
        <v>estrogen receptor 1</v>
      </c>
      <c r="J865">
        <v>167.55</v>
      </c>
      <c r="K865" t="s">
        <v>25</v>
      </c>
      <c r="L865">
        <v>157</v>
      </c>
      <c r="M865">
        <v>44.41</v>
      </c>
      <c r="N865">
        <v>8.92</v>
      </c>
      <c r="O865" t="s">
        <v>20</v>
      </c>
      <c r="P865" t="s">
        <v>965</v>
      </c>
      <c r="Q865" t="s">
        <v>20</v>
      </c>
      <c r="R865" t="str">
        <f>HYPERLINK("https://cfpub.epa.gov/ecotox/explore.cfm?ncbi=30521","Explore in ECOTOX")</f>
        <v>Explore in ECOTOX</v>
      </c>
    </row>
    <row r="866" spans="1:18" x14ac:dyDescent="0.25">
      <c r="A866">
        <v>6</v>
      </c>
      <c r="B866" t="str">
        <f>HYPERLINK("http://www.ncbi.nlm.nih.gov/protein/XP_023711770.1","XP_023711770.1")</f>
        <v>XP_023711770.1</v>
      </c>
      <c r="C866">
        <v>59778</v>
      </c>
      <c r="D866" t="str">
        <f>HYPERLINK("http://www.ncbi.nlm.nih.gov/Taxonomy/Browser/wwwtax.cgi?mode=Info&amp;id=105785&amp;lvl=3&amp;lin=f&amp;keep=1&amp;srchmode=1&amp;unlock","105785")</f>
        <v>105785</v>
      </c>
      <c r="E866" t="s">
        <v>698</v>
      </c>
      <c r="F866" t="s">
        <v>698</v>
      </c>
      <c r="G866" t="str">
        <f>HYPERLINK("http://www.ncbi.nlm.nih.gov/Taxonomy/Browser/wwwtax.cgi?mode=Info&amp;id=105785&amp;lvl=3&amp;lin=f&amp;keep=1&amp;srchmode=1&amp;unlock","Cryptotermes secundus")</f>
        <v>Cryptotermes secundus</v>
      </c>
      <c r="H866" t="s">
        <v>733</v>
      </c>
      <c r="I866" t="str">
        <f>HYPERLINK("http://www.ncbi.nlm.nih.gov/protein/XP_023711770.1","steroid hormone receptor ERR1 isoform X2")</f>
        <v>steroid hormone receptor ERR1 isoform X2</v>
      </c>
      <c r="J866">
        <v>167.16</v>
      </c>
      <c r="K866" t="s">
        <v>25</v>
      </c>
      <c r="L866">
        <v>157</v>
      </c>
      <c r="M866">
        <v>44.41</v>
      </c>
      <c r="N866">
        <v>8.9</v>
      </c>
      <c r="O866" t="s">
        <v>25</v>
      </c>
      <c r="P866" t="s">
        <v>965</v>
      </c>
      <c r="Q866" t="s">
        <v>20</v>
      </c>
      <c r="R866" t="str">
        <f>HYPERLINK("https://cfpub.epa.gov/ecotox/explore.cfm?ncbi=105785","Explore in ECOTOX")</f>
        <v>Explore in ECOTOX</v>
      </c>
    </row>
    <row r="867" spans="1:18" x14ac:dyDescent="0.25">
      <c r="A867">
        <v>6</v>
      </c>
      <c r="B867" t="str">
        <f>HYPERLINK("http://www.ncbi.nlm.nih.gov/protein/ABQ96884.1","ABQ96884.1")</f>
        <v>ABQ96884.1</v>
      </c>
      <c r="C867">
        <v>67</v>
      </c>
      <c r="D867" t="str">
        <f>HYPERLINK("http://www.ncbi.nlm.nih.gov/Taxonomy/Browser/wwwtax.cgi?mode=Info&amp;id=51631&amp;lvl=3&amp;lin=f&amp;keep=1&amp;srchmode=1&amp;unlock","51631")</f>
        <v>51631</v>
      </c>
      <c r="E867" t="s">
        <v>763</v>
      </c>
      <c r="F867" t="s">
        <v>763</v>
      </c>
      <c r="G867" t="str">
        <f>HYPERLINK("http://www.ncbi.nlm.nih.gov/Taxonomy/Browser/wwwtax.cgi?mode=Info&amp;id=51631&amp;lvl=3&amp;lin=f&amp;keep=1&amp;srchmode=1&amp;unlock","Nucella lapillus")</f>
        <v>Nucella lapillus</v>
      </c>
      <c r="H867" t="s">
        <v>946</v>
      </c>
      <c r="I867" t="str">
        <f>HYPERLINK("http://www.ncbi.nlm.nih.gov/protein/ABQ96884.1","estrogen receptor")</f>
        <v>estrogen receptor</v>
      </c>
      <c r="J867">
        <v>166.39</v>
      </c>
      <c r="K867" t="s">
        <v>25</v>
      </c>
      <c r="L867">
        <v>157</v>
      </c>
      <c r="M867">
        <v>44.41</v>
      </c>
      <c r="N867">
        <v>8.86</v>
      </c>
      <c r="O867" t="s">
        <v>25</v>
      </c>
      <c r="P867" t="s">
        <v>965</v>
      </c>
      <c r="Q867" t="s">
        <v>20</v>
      </c>
      <c r="R867" t="str">
        <f>HYPERLINK("https://cfpub.epa.gov/ecotox/explore.cfm?ncbi=51631","Explore in ECOTOX")</f>
        <v>Explore in ECOTOX</v>
      </c>
    </row>
    <row r="868" spans="1:18" x14ac:dyDescent="0.25">
      <c r="A868">
        <v>6</v>
      </c>
      <c r="B868" t="str">
        <f>HYPERLINK("http://www.ncbi.nlm.nih.gov/protein/CAD32175.1","CAD32175.1")</f>
        <v>CAD32175.1</v>
      </c>
      <c r="C868">
        <v>70</v>
      </c>
      <c r="D868" t="str">
        <f>HYPERLINK("http://www.ncbi.nlm.nih.gov/Taxonomy/Browser/wwwtax.cgi?mode=Info&amp;id=160765&amp;lvl=3&amp;lin=f&amp;keep=1&amp;srchmode=1&amp;unlock","160765")</f>
        <v>160765</v>
      </c>
      <c r="E868" t="s">
        <v>384</v>
      </c>
      <c r="F868" t="s">
        <v>384</v>
      </c>
      <c r="G868" t="str">
        <f>HYPERLINK("http://www.ncbi.nlm.nih.gov/Taxonomy/Browser/wwwtax.cgi?mode=Info&amp;id=160765&amp;lvl=3&amp;lin=f&amp;keep=1&amp;srchmode=1&amp;unlock","Candidia barbata")</f>
        <v>Candidia barbata</v>
      </c>
      <c r="H868" t="s">
        <v>1104</v>
      </c>
      <c r="I868" t="str">
        <f>HYPERLINK("http://www.ncbi.nlm.nih.gov/protein/CAD32175.1","putative estrogen receptor alpha")</f>
        <v>putative estrogen receptor alpha</v>
      </c>
      <c r="J868">
        <v>166.01</v>
      </c>
      <c r="K868" t="s">
        <v>25</v>
      </c>
      <c r="L868">
        <v>157</v>
      </c>
      <c r="M868">
        <v>44.41</v>
      </c>
      <c r="N868">
        <v>8.84</v>
      </c>
      <c r="O868" t="s">
        <v>25</v>
      </c>
      <c r="P868" t="s">
        <v>965</v>
      </c>
      <c r="Q868" t="s">
        <v>20</v>
      </c>
      <c r="R868" t="str">
        <f>HYPERLINK("https://cfpub.epa.gov/ecotox/explore.cfm?ncbi=160765","Explore in ECOTOX")</f>
        <v>Explore in ECOTOX</v>
      </c>
    </row>
    <row r="869" spans="1:18" x14ac:dyDescent="0.25">
      <c r="A869">
        <v>6</v>
      </c>
      <c r="B869" t="str">
        <f>HYPERLINK("http://www.ncbi.nlm.nih.gov/protein/ABB96483.1","ABB96483.1")</f>
        <v>ABB96483.1</v>
      </c>
      <c r="C869">
        <v>9</v>
      </c>
      <c r="D869" t="str">
        <f>HYPERLINK("http://www.ncbi.nlm.nih.gov/Taxonomy/Browser/wwwtax.cgi?mode=Info&amp;id=83880&amp;lvl=3&amp;lin=f&amp;keep=1&amp;srchmode=1&amp;unlock","83880")</f>
        <v>83880</v>
      </c>
      <c r="E869" t="s">
        <v>384</v>
      </c>
      <c r="F869" t="s">
        <v>384</v>
      </c>
      <c r="G869" t="str">
        <f>HYPERLINK("http://www.ncbi.nlm.nih.gov/Taxonomy/Browser/wwwtax.cgi?mode=Info&amp;id=83880&amp;lvl=3&amp;lin=f&amp;keep=1&amp;srchmode=1&amp;unlock","Pseudolabrus japonicus")</f>
        <v>Pseudolabrus japonicus</v>
      </c>
      <c r="H869" t="s">
        <v>1105</v>
      </c>
      <c r="I869" t="str">
        <f>HYPERLINK("http://www.ncbi.nlm.nih.gov/protein/ABB96483.1","estrogen receptor alpha")</f>
        <v>estrogen receptor alpha</v>
      </c>
      <c r="J869">
        <v>165.62</v>
      </c>
      <c r="K869" t="s">
        <v>25</v>
      </c>
      <c r="L869">
        <v>157</v>
      </c>
      <c r="M869">
        <v>44.41</v>
      </c>
      <c r="N869">
        <v>8.82</v>
      </c>
      <c r="O869" t="s">
        <v>25</v>
      </c>
      <c r="P869" t="s">
        <v>965</v>
      </c>
      <c r="Q869" t="s">
        <v>20</v>
      </c>
      <c r="R869" t="str">
        <f>HYPERLINK("https://cfpub.epa.gov/ecotox/explore.cfm?ncbi=83880","Explore in ECOTOX")</f>
        <v>Explore in ECOTOX</v>
      </c>
    </row>
    <row r="870" spans="1:18" x14ac:dyDescent="0.25">
      <c r="A870">
        <v>6</v>
      </c>
      <c r="B870" t="str">
        <f>HYPERLINK("http://www.ncbi.nlm.nih.gov/protein/ABS87677.1","ABS87677.1")</f>
        <v>ABS87677.1</v>
      </c>
      <c r="C870">
        <v>355</v>
      </c>
      <c r="D870" t="str">
        <f>HYPERLINK("http://www.ncbi.nlm.nih.gov/Taxonomy/Browser/wwwtax.cgi?mode=Info&amp;id=38762&amp;lvl=3&amp;lin=f&amp;keep=1&amp;srchmode=1&amp;unlock","38762")</f>
        <v>38762</v>
      </c>
      <c r="E870" t="s">
        <v>384</v>
      </c>
      <c r="F870" t="s">
        <v>384</v>
      </c>
      <c r="G870" t="str">
        <f>HYPERLINK("http://www.ncbi.nlm.nih.gov/Taxonomy/Browser/wwwtax.cgi?mode=Info&amp;id=38762&amp;lvl=3&amp;lin=f&amp;keep=1&amp;srchmode=1&amp;unlock","Tanichthys albonubes")</f>
        <v>Tanichthys albonubes</v>
      </c>
      <c r="H870" t="s">
        <v>1106</v>
      </c>
      <c r="I870" t="str">
        <f>HYPERLINK("http://www.ncbi.nlm.nih.gov/protein/ABS87677.1","estrogen receptor alpha")</f>
        <v>estrogen receptor alpha</v>
      </c>
      <c r="J870">
        <v>165.62</v>
      </c>
      <c r="K870" t="s">
        <v>25</v>
      </c>
      <c r="L870">
        <v>157</v>
      </c>
      <c r="M870">
        <v>44.41</v>
      </c>
      <c r="N870">
        <v>8.82</v>
      </c>
      <c r="O870" t="s">
        <v>25</v>
      </c>
      <c r="P870" t="s">
        <v>965</v>
      </c>
      <c r="Q870" t="s">
        <v>20</v>
      </c>
      <c r="R870" t="str">
        <f>HYPERLINK("https://cfpub.epa.gov/ecotox/explore.cfm?ncbi=38762","Explore in ECOTOX")</f>
        <v>Explore in ECOTOX</v>
      </c>
    </row>
    <row r="871" spans="1:18" x14ac:dyDescent="0.25">
      <c r="A871">
        <v>6</v>
      </c>
      <c r="B871" t="str">
        <f>HYPERLINK("http://www.ncbi.nlm.nih.gov/protein/AAO66473.1","AAO66473.1")</f>
        <v>AAO66473.1</v>
      </c>
      <c r="C871">
        <v>74</v>
      </c>
      <c r="D871" t="str">
        <f>HYPERLINK("http://www.ncbi.nlm.nih.gov/Taxonomy/Browser/wwwtax.cgi?mode=Info&amp;id=48416&amp;lvl=3&amp;lin=f&amp;keep=1&amp;srchmode=1&amp;unlock","48416")</f>
        <v>48416</v>
      </c>
      <c r="E871" t="s">
        <v>384</v>
      </c>
      <c r="F871" t="s">
        <v>384</v>
      </c>
      <c r="G871" t="str">
        <f>HYPERLINK("http://www.ncbi.nlm.nih.gov/Taxonomy/Browser/wwwtax.cgi?mode=Info&amp;id=48416&amp;lvl=3&amp;lin=f&amp;keep=1&amp;srchmode=1&amp;unlock","Zoarces viviparus")</f>
        <v>Zoarces viviparus</v>
      </c>
      <c r="H871" t="s">
        <v>1107</v>
      </c>
      <c r="I871" t="str">
        <f>HYPERLINK("http://www.ncbi.nlm.nih.gov/protein/AAO66473.1","estrogen receptor alpha")</f>
        <v>estrogen receptor alpha</v>
      </c>
      <c r="J871">
        <v>165.24</v>
      </c>
      <c r="K871" t="s">
        <v>25</v>
      </c>
      <c r="L871">
        <v>157</v>
      </c>
      <c r="M871">
        <v>44.41</v>
      </c>
      <c r="N871">
        <v>8.8000000000000007</v>
      </c>
      <c r="O871" t="s">
        <v>25</v>
      </c>
      <c r="P871" t="s">
        <v>965</v>
      </c>
      <c r="Q871" t="s">
        <v>20</v>
      </c>
      <c r="R871" t="str">
        <f>HYPERLINK("https://cfpub.epa.gov/ecotox/explore.cfm?ncbi=48416","Explore in ECOTOX")</f>
        <v>Explore in ECOTOX</v>
      </c>
    </row>
    <row r="872" spans="1:18" x14ac:dyDescent="0.25">
      <c r="A872">
        <v>6</v>
      </c>
      <c r="B872" t="str">
        <f>HYPERLINK("http://www.ncbi.nlm.nih.gov/protein/XP_011696828.1","XP_011696828.1")</f>
        <v>XP_011696828.1</v>
      </c>
      <c r="C872">
        <v>24351</v>
      </c>
      <c r="D872" t="str">
        <f>HYPERLINK("http://www.ncbi.nlm.nih.gov/Taxonomy/Browser/wwwtax.cgi?mode=Info&amp;id=64793&amp;lvl=3&amp;lin=f&amp;keep=1&amp;srchmode=1&amp;unlock","64793")</f>
        <v>64793</v>
      </c>
      <c r="E872" t="s">
        <v>698</v>
      </c>
      <c r="F872" t="s">
        <v>698</v>
      </c>
      <c r="G872" t="str">
        <f>HYPERLINK("http://www.ncbi.nlm.nih.gov/Taxonomy/Browser/wwwtax.cgi?mode=Info&amp;id=64793&amp;lvl=3&amp;lin=f&amp;keep=1&amp;srchmode=1&amp;unlock","Wasmannia auropunctata")</f>
        <v>Wasmannia auropunctata</v>
      </c>
      <c r="H872" t="s">
        <v>843</v>
      </c>
      <c r="I872" t="str">
        <f>HYPERLINK("http://www.ncbi.nlm.nih.gov/protein/XP_011696828.1","PREDICTED: steroid hormone receptor ERR1 isoform X2")</f>
        <v>PREDICTED: steroid hormone receptor ERR1 isoform X2</v>
      </c>
      <c r="J872">
        <v>165.24</v>
      </c>
      <c r="K872" t="s">
        <v>25</v>
      </c>
      <c r="L872">
        <v>157</v>
      </c>
      <c r="M872">
        <v>44.41</v>
      </c>
      <c r="N872">
        <v>8.8000000000000007</v>
      </c>
      <c r="O872" t="s">
        <v>25</v>
      </c>
      <c r="P872" t="s">
        <v>965</v>
      </c>
      <c r="Q872" t="s">
        <v>20</v>
      </c>
      <c r="R872" t="str">
        <f>HYPERLINK("https://cfpub.epa.gov/ecotox/explore.cfm?ncbi=64793","Explore in ECOTOX")</f>
        <v>Explore in ECOTOX</v>
      </c>
    </row>
    <row r="873" spans="1:18" x14ac:dyDescent="0.25">
      <c r="A873">
        <v>6</v>
      </c>
      <c r="B873" t="str">
        <f>HYPERLINK("http://www.ncbi.nlm.nih.gov/protein/BAF46102.1","BAF46102.1")</f>
        <v>BAF46102.1</v>
      </c>
      <c r="C873">
        <v>34</v>
      </c>
      <c r="D873" t="str">
        <f>HYPERLINK("http://www.ncbi.nlm.nih.gov/Taxonomy/Browser/wwwtax.cgi?mode=Info&amp;id=86203&amp;lvl=3&amp;lin=f&amp;keep=1&amp;srchmode=1&amp;unlock","86203")</f>
        <v>86203</v>
      </c>
      <c r="E873" t="s">
        <v>384</v>
      </c>
      <c r="F873" t="s">
        <v>384</v>
      </c>
      <c r="G873" t="str">
        <f>HYPERLINK("http://www.ncbi.nlm.nih.gov/Taxonomy/Browser/wwwtax.cgi?mode=Info&amp;id=86203&amp;lvl=3&amp;lin=f&amp;keep=1&amp;srchmode=1&amp;unlock","Acanthogobius flavimanus")</f>
        <v>Acanthogobius flavimanus</v>
      </c>
      <c r="H873" t="s">
        <v>1108</v>
      </c>
      <c r="I873" t="str">
        <f>HYPERLINK("http://www.ncbi.nlm.nih.gov/protein/BAF46102.1","estrogen receptor alpha")</f>
        <v>estrogen receptor alpha</v>
      </c>
      <c r="J873">
        <v>164.47</v>
      </c>
      <c r="K873" t="s">
        <v>25</v>
      </c>
      <c r="L873">
        <v>157</v>
      </c>
      <c r="M873">
        <v>44.41</v>
      </c>
      <c r="N873">
        <v>8.75</v>
      </c>
      <c r="O873" t="s">
        <v>25</v>
      </c>
      <c r="P873" t="s">
        <v>965</v>
      </c>
      <c r="Q873" t="s">
        <v>20</v>
      </c>
      <c r="R873" t="str">
        <f>HYPERLINK("https://cfpub.epa.gov/ecotox/explore.cfm?ncbi=86203","Explore in ECOTOX")</f>
        <v>Explore in ECOTOX</v>
      </c>
    </row>
    <row r="874" spans="1:18" x14ac:dyDescent="0.25">
      <c r="A874">
        <v>6</v>
      </c>
      <c r="B874" t="str">
        <f>HYPERLINK("http://www.ncbi.nlm.nih.gov/protein/QOI58791.1","QOI58791.1")</f>
        <v>QOI58791.1</v>
      </c>
      <c r="C874">
        <v>290</v>
      </c>
      <c r="D874" t="str">
        <f>HYPERLINK("http://www.ncbi.nlm.nih.gov/Taxonomy/Browser/wwwtax.cgi?mode=Info&amp;id=8161&amp;lvl=3&amp;lin=f&amp;keep=1&amp;srchmode=1&amp;unlock","8161")</f>
        <v>8161</v>
      </c>
      <c r="E874" t="s">
        <v>384</v>
      </c>
      <c r="F874" t="s">
        <v>384</v>
      </c>
      <c r="G874" t="str">
        <f>HYPERLINK("http://www.ncbi.nlm.nih.gov/Taxonomy/Browser/wwwtax.cgi?mode=Info&amp;id=8161&amp;lvl=3&amp;lin=f&amp;keep=1&amp;srchmode=1&amp;unlock","Seriola quinqueradiata")</f>
        <v>Seriola quinqueradiata</v>
      </c>
      <c r="H874" t="s">
        <v>1109</v>
      </c>
      <c r="I874" t="str">
        <f>HYPERLINK("http://www.ncbi.nlm.nih.gov/protein/QOI58791.1","estrogen receptor alpha")</f>
        <v>estrogen receptor alpha</v>
      </c>
      <c r="J874">
        <v>164.47</v>
      </c>
      <c r="K874" t="s">
        <v>25</v>
      </c>
      <c r="L874">
        <v>157</v>
      </c>
      <c r="M874">
        <v>44.41</v>
      </c>
      <c r="N874">
        <v>8.75</v>
      </c>
      <c r="O874" t="s">
        <v>25</v>
      </c>
      <c r="P874" t="s">
        <v>965</v>
      </c>
      <c r="Q874" t="s">
        <v>20</v>
      </c>
      <c r="R874" t="str">
        <f>HYPERLINK("https://cfpub.epa.gov/ecotox/explore.cfm?ncbi=8161","Explore in ECOTOX")</f>
        <v>Explore in ECOTOX</v>
      </c>
    </row>
    <row r="875" spans="1:18" x14ac:dyDescent="0.25">
      <c r="A875">
        <v>6</v>
      </c>
      <c r="B875" t="str">
        <f>HYPERLINK("http://www.ncbi.nlm.nih.gov/protein/XP_024887200.1","XP_024887200.1")</f>
        <v>XP_024887200.1</v>
      </c>
      <c r="C875">
        <v>27309</v>
      </c>
      <c r="D875" t="str">
        <f>HYPERLINK("http://www.ncbi.nlm.nih.gov/Taxonomy/Browser/wwwtax.cgi?mode=Info&amp;id=300111&amp;lvl=3&amp;lin=f&amp;keep=1&amp;srchmode=1&amp;unlock","300111")</f>
        <v>300111</v>
      </c>
      <c r="E875" t="s">
        <v>698</v>
      </c>
      <c r="F875" t="s">
        <v>698</v>
      </c>
      <c r="G875" t="str">
        <f>HYPERLINK("http://www.ncbi.nlm.nih.gov/Taxonomy/Browser/wwwtax.cgi?mode=Info&amp;id=300111&amp;lvl=3&amp;lin=f&amp;keep=1&amp;srchmode=1&amp;unlock","Temnothorax curvispinosus")</f>
        <v>Temnothorax curvispinosus</v>
      </c>
      <c r="H875" t="s">
        <v>755</v>
      </c>
      <c r="I875" t="str">
        <f>HYPERLINK("http://www.ncbi.nlm.nih.gov/protein/XP_024887200.1","steroid hormone receptor ERR2 isoform X6")</f>
        <v>steroid hormone receptor ERR2 isoform X6</v>
      </c>
      <c r="J875">
        <v>164.47</v>
      </c>
      <c r="K875" t="s">
        <v>25</v>
      </c>
      <c r="L875">
        <v>157</v>
      </c>
      <c r="M875">
        <v>44.41</v>
      </c>
      <c r="N875">
        <v>8.75</v>
      </c>
      <c r="O875" t="s">
        <v>25</v>
      </c>
      <c r="P875" t="s">
        <v>965</v>
      </c>
      <c r="Q875" t="s">
        <v>20</v>
      </c>
      <c r="R875" t="str">
        <f>HYPERLINK("https://cfpub.epa.gov/ecotox/explore.cfm?ncbi=300111","Explore in ECOTOX")</f>
        <v>Explore in ECOTOX</v>
      </c>
    </row>
    <row r="876" spans="1:18" x14ac:dyDescent="0.25">
      <c r="A876">
        <v>6</v>
      </c>
      <c r="B876" t="str">
        <f>HYPERLINK("http://www.ncbi.nlm.nih.gov/protein/QEP54294.1","QEP54294.1")</f>
        <v>QEP54294.1</v>
      </c>
      <c r="C876">
        <v>31</v>
      </c>
      <c r="D876" t="str">
        <f>HYPERLINK("http://www.ncbi.nlm.nih.gov/Taxonomy/Browser/wwwtax.cgi?mode=Info&amp;id=2528762&amp;lvl=3&amp;lin=f&amp;keep=1&amp;srchmode=1&amp;unlock","2528762")</f>
        <v>2528762</v>
      </c>
      <c r="E876" t="s">
        <v>384</v>
      </c>
      <c r="F876" t="s">
        <v>384</v>
      </c>
      <c r="G876" t="str">
        <f>HYPERLINK("http://www.ncbi.nlm.nih.gov/Taxonomy/Browser/wwwtax.cgi?mode=Info&amp;id=2528762&amp;lvl=3&amp;lin=f&amp;keep=1&amp;srchmode=1&amp;unlock","Epinephelus fuscoguttatus x Epinephelus polyphekadion")</f>
        <v>Epinephelus fuscoguttatus x Epinephelus polyphekadion</v>
      </c>
      <c r="H876" t="s">
        <v>685</v>
      </c>
      <c r="I876" t="str">
        <f>HYPERLINK("http://www.ncbi.nlm.nih.gov/protein/QEP54294.1","estrogen receptor alpha")</f>
        <v>estrogen receptor alpha</v>
      </c>
      <c r="J876">
        <v>164.47</v>
      </c>
      <c r="K876" t="s">
        <v>25</v>
      </c>
      <c r="L876">
        <v>157</v>
      </c>
      <c r="M876">
        <v>44.41</v>
      </c>
      <c r="N876">
        <v>8.75</v>
      </c>
      <c r="O876" t="s">
        <v>25</v>
      </c>
      <c r="P876" t="s">
        <v>965</v>
      </c>
      <c r="Q876" t="s">
        <v>20</v>
      </c>
      <c r="R876" t="str">
        <f>HYPERLINK("https://cfpub.epa.gov/ecotox/explore.cfm?ncbi=2528762","Explore in ECOTOX")</f>
        <v>Explore in ECOTOX</v>
      </c>
    </row>
    <row r="877" spans="1:18" x14ac:dyDescent="0.25">
      <c r="A877">
        <v>6</v>
      </c>
      <c r="B877" t="str">
        <f>HYPERLINK("http://www.ncbi.nlm.nih.gov/protein/XP_021941214.1","XP_021941214.1")</f>
        <v>XP_021941214.1</v>
      </c>
      <c r="C877">
        <v>44815</v>
      </c>
      <c r="D877" t="str">
        <f>HYPERLINK("http://www.ncbi.nlm.nih.gov/Taxonomy/Browser/wwwtax.cgi?mode=Info&amp;id=136037&amp;lvl=3&amp;lin=f&amp;keep=1&amp;srchmode=1&amp;unlock","136037")</f>
        <v>136037</v>
      </c>
      <c r="E877" t="s">
        <v>698</v>
      </c>
      <c r="F877" t="s">
        <v>698</v>
      </c>
      <c r="G877" t="str">
        <f>HYPERLINK("http://www.ncbi.nlm.nih.gov/Taxonomy/Browser/wwwtax.cgi?mode=Info&amp;id=136037&amp;lvl=3&amp;lin=f&amp;keep=1&amp;srchmode=1&amp;unlock","Zootermopsis nevadensis")</f>
        <v>Zootermopsis nevadensis</v>
      </c>
      <c r="H877" t="s">
        <v>718</v>
      </c>
      <c r="I877" t="str">
        <f>HYPERLINK("http://www.ncbi.nlm.nih.gov/protein/XP_021941214.1","steroid hormone receptor ERR1 isoform X2")</f>
        <v>steroid hormone receptor ERR1 isoform X2</v>
      </c>
      <c r="J877">
        <v>164.47</v>
      </c>
      <c r="K877" t="s">
        <v>25</v>
      </c>
      <c r="L877">
        <v>157</v>
      </c>
      <c r="M877">
        <v>44.41</v>
      </c>
      <c r="N877">
        <v>8.75</v>
      </c>
      <c r="O877" t="s">
        <v>25</v>
      </c>
      <c r="P877" t="s">
        <v>965</v>
      </c>
      <c r="Q877" t="s">
        <v>20</v>
      </c>
      <c r="R877" t="str">
        <f>HYPERLINK("https://cfpub.epa.gov/ecotox/explore.cfm?ncbi=136037","Explore in ECOTOX")</f>
        <v>Explore in ECOTOX</v>
      </c>
    </row>
    <row r="878" spans="1:18" x14ac:dyDescent="0.25">
      <c r="A878">
        <v>6</v>
      </c>
      <c r="B878" t="str">
        <f>HYPERLINK("http://www.ncbi.nlm.nih.gov/protein/BAU36958.1","BAU36958.1")</f>
        <v>BAU36958.1</v>
      </c>
      <c r="C878">
        <v>73</v>
      </c>
      <c r="D878" t="str">
        <f>HYPERLINK("http://www.ncbi.nlm.nih.gov/Taxonomy/Browser/wwwtax.cgi?mode=Info&amp;id=1054201&amp;lvl=3&amp;lin=f&amp;keep=1&amp;srchmode=1&amp;unlock","1054201")</f>
        <v>1054201</v>
      </c>
      <c r="E878" t="s">
        <v>236</v>
      </c>
      <c r="F878" t="s">
        <v>236</v>
      </c>
      <c r="G878" t="str">
        <f>HYPERLINK("http://www.ncbi.nlm.nih.gov/Taxonomy/Browser/wwwtax.cgi?mode=Info&amp;id=1054201&amp;lvl=3&amp;lin=f&amp;keep=1&amp;srchmode=1&amp;unlock","Plestiodon finitimus")</f>
        <v>Plestiodon finitimus</v>
      </c>
      <c r="H878" t="s">
        <v>1110</v>
      </c>
      <c r="I878" t="str">
        <f>HYPERLINK("http://www.ncbi.nlm.nih.gov/protein/BAU36958.1","estrogen receptor alpha")</f>
        <v>estrogen receptor alpha</v>
      </c>
      <c r="J878">
        <v>164.08</v>
      </c>
      <c r="K878" t="s">
        <v>25</v>
      </c>
      <c r="L878">
        <v>157</v>
      </c>
      <c r="M878">
        <v>44.41</v>
      </c>
      <c r="N878">
        <v>8.73</v>
      </c>
      <c r="O878" t="s">
        <v>20</v>
      </c>
      <c r="P878" t="s">
        <v>965</v>
      </c>
      <c r="Q878" t="s">
        <v>20</v>
      </c>
      <c r="R878" t="str">
        <f>HYPERLINK("https://cfpub.epa.gov/ecotox/explore.cfm?ncbi=1054201","Explore in ECOTOX")</f>
        <v>Explore in ECOTOX</v>
      </c>
    </row>
    <row r="879" spans="1:18" x14ac:dyDescent="0.25">
      <c r="A879">
        <v>6</v>
      </c>
      <c r="B879" t="str">
        <f>HYPERLINK("http://www.ncbi.nlm.nih.gov/protein/AEB71792.1","AEB71792.1")</f>
        <v>AEB71792.1</v>
      </c>
      <c r="C879">
        <v>56</v>
      </c>
      <c r="D879" t="str">
        <f>HYPERLINK("http://www.ncbi.nlm.nih.gov/Taxonomy/Browser/wwwtax.cgi?mode=Info&amp;id=80790&amp;lvl=3&amp;lin=f&amp;keep=1&amp;srchmode=1&amp;unlock","80790")</f>
        <v>80790</v>
      </c>
      <c r="E879" t="s">
        <v>384</v>
      </c>
      <c r="F879" t="s">
        <v>384</v>
      </c>
      <c r="G879" t="str">
        <f>HYPERLINK("http://www.ncbi.nlm.nih.gov/Taxonomy/Browser/wwwtax.cgi?mode=Info&amp;id=80790&amp;lvl=3&amp;lin=f&amp;keep=1&amp;srchmode=1&amp;unlock","Acheilognathus yamatsutae")</f>
        <v>Acheilognathus yamatsutae</v>
      </c>
      <c r="H879" t="s">
        <v>1111</v>
      </c>
      <c r="I879" t="str">
        <f>HYPERLINK("http://www.ncbi.nlm.nih.gov/protein/AEB71792.1","estrogen receptor alpha")</f>
        <v>estrogen receptor alpha</v>
      </c>
      <c r="J879">
        <v>164.08</v>
      </c>
      <c r="K879" t="s">
        <v>25</v>
      </c>
      <c r="L879">
        <v>157</v>
      </c>
      <c r="M879">
        <v>44.41</v>
      </c>
      <c r="N879">
        <v>8.73</v>
      </c>
      <c r="O879" t="s">
        <v>25</v>
      </c>
      <c r="P879" t="s">
        <v>965</v>
      </c>
      <c r="Q879" t="s">
        <v>20</v>
      </c>
      <c r="R879" t="str">
        <f>HYPERLINK("https://cfpub.epa.gov/ecotox/explore.cfm?ncbi=80790","Explore in ECOTOX")</f>
        <v>Explore in ECOTOX</v>
      </c>
    </row>
    <row r="880" spans="1:18" x14ac:dyDescent="0.25">
      <c r="A880">
        <v>6</v>
      </c>
      <c r="B880" t="str">
        <f>HYPERLINK("http://www.ncbi.nlm.nih.gov/protein/XP_035720671.1","XP_035720671.1")</f>
        <v>XP_035720671.1</v>
      </c>
      <c r="C880">
        <v>27298</v>
      </c>
      <c r="D880" t="str">
        <f>HYPERLINK("http://www.ncbi.nlm.nih.gov/Taxonomy/Browser/wwwtax.cgi?mode=Info&amp;id=7446&amp;lvl=3&amp;lin=f&amp;keep=1&amp;srchmode=1&amp;unlock","7446")</f>
        <v>7446</v>
      </c>
      <c r="E880" t="s">
        <v>698</v>
      </c>
      <c r="F880" t="s">
        <v>698</v>
      </c>
      <c r="G880" t="str">
        <f>HYPERLINK("http://www.ncbi.nlm.nih.gov/Taxonomy/Browser/wwwtax.cgi?mode=Info&amp;id=7446&amp;lvl=3&amp;lin=f&amp;keep=1&amp;srchmode=1&amp;unlock","Vespa mandarinia")</f>
        <v>Vespa mandarinia</v>
      </c>
      <c r="H880" t="s">
        <v>830</v>
      </c>
      <c r="I880" t="str">
        <f>HYPERLINK("http://www.ncbi.nlm.nih.gov/protein/XP_035720671.1","steroid hormone receptor ERR1-like isoform X2")</f>
        <v>steroid hormone receptor ERR1-like isoform X2</v>
      </c>
      <c r="J880">
        <v>163.69999999999999</v>
      </c>
      <c r="K880" t="s">
        <v>25</v>
      </c>
      <c r="L880">
        <v>157</v>
      </c>
      <c r="M880">
        <v>44.41</v>
      </c>
      <c r="N880">
        <v>8.7100000000000009</v>
      </c>
      <c r="O880" t="s">
        <v>25</v>
      </c>
      <c r="P880" t="s">
        <v>965</v>
      </c>
      <c r="Q880" t="s">
        <v>20</v>
      </c>
      <c r="R880" t="str">
        <f>HYPERLINK("https://cfpub.epa.gov/ecotox/explore.cfm?ncbi=7446","Explore in ECOTOX")</f>
        <v>Explore in ECOTOX</v>
      </c>
    </row>
    <row r="881" spans="1:18" x14ac:dyDescent="0.25">
      <c r="A881">
        <v>6</v>
      </c>
      <c r="B881" t="str">
        <f>HYPERLINK("http://www.ncbi.nlm.nih.gov/protein/QKY76798.1","QKY76798.1")</f>
        <v>QKY76798.1</v>
      </c>
      <c r="C881">
        <v>46</v>
      </c>
      <c r="D881" t="str">
        <f>HYPERLINK("http://www.ncbi.nlm.nih.gov/Taxonomy/Browser/wwwtax.cgi?mode=Info&amp;id=100952&amp;lvl=3&amp;lin=f&amp;keep=1&amp;srchmode=1&amp;unlock","100952")</f>
        <v>100952</v>
      </c>
      <c r="E881" t="s">
        <v>384</v>
      </c>
      <c r="F881" t="s">
        <v>384</v>
      </c>
      <c r="G881" t="str">
        <f>HYPERLINK("http://www.ncbi.nlm.nih.gov/Taxonomy/Browser/wwwtax.cgi?mode=Info&amp;id=100952&amp;lvl=3&amp;lin=f&amp;keep=1&amp;srchmode=1&amp;unlock","Cottus gobio")</f>
        <v>Cottus gobio</v>
      </c>
      <c r="H881" t="s">
        <v>1112</v>
      </c>
      <c r="I881" t="str">
        <f>HYPERLINK("http://www.ncbi.nlm.nih.gov/protein/QKY76798.1","estrogen receptor alpha")</f>
        <v>estrogen receptor alpha</v>
      </c>
      <c r="J881">
        <v>163.31</v>
      </c>
      <c r="K881" t="s">
        <v>25</v>
      </c>
      <c r="L881">
        <v>157</v>
      </c>
      <c r="M881">
        <v>44.41</v>
      </c>
      <c r="N881">
        <v>8.69</v>
      </c>
      <c r="O881" t="s">
        <v>25</v>
      </c>
      <c r="P881" t="s">
        <v>965</v>
      </c>
      <c r="Q881" t="s">
        <v>20</v>
      </c>
      <c r="R881" t="str">
        <f>HYPERLINK("https://cfpub.epa.gov/ecotox/explore.cfm?ncbi=100952","Explore in ECOTOX")</f>
        <v>Explore in ECOTOX</v>
      </c>
    </row>
    <row r="882" spans="1:18" x14ac:dyDescent="0.25">
      <c r="A882">
        <v>6</v>
      </c>
      <c r="B882" t="str">
        <f>HYPERLINK("http://www.ncbi.nlm.nih.gov/protein/BCK86236.1","BCK86236.1")</f>
        <v>BCK86236.1</v>
      </c>
      <c r="C882">
        <v>194</v>
      </c>
      <c r="D882" t="str">
        <f>HYPERLINK("http://www.ncbi.nlm.nih.gov/Taxonomy/Browser/wwwtax.cgi?mode=Info&amp;id=30962&amp;lvl=3&amp;lin=f&amp;keep=1&amp;srchmode=1&amp;unlock","30962")</f>
        <v>30962</v>
      </c>
      <c r="E882" t="s">
        <v>384</v>
      </c>
      <c r="F882" t="s">
        <v>384</v>
      </c>
      <c r="G882" t="str">
        <f>HYPERLINK("http://www.ncbi.nlm.nih.gov/Taxonomy/Browser/wwwtax.cgi?mode=Info&amp;id=30962&amp;lvl=3&amp;lin=f&amp;keep=1&amp;srchmode=1&amp;unlock","Oncorhynchus clarkii")</f>
        <v>Oncorhynchus clarkii</v>
      </c>
      <c r="H882" t="s">
        <v>1113</v>
      </c>
      <c r="I882" t="str">
        <f>HYPERLINK("http://www.ncbi.nlm.nih.gov/protein/BCK86236.1","estrogen receptor 1b")</f>
        <v>estrogen receptor 1b</v>
      </c>
      <c r="J882">
        <v>163.31</v>
      </c>
      <c r="K882" t="s">
        <v>25</v>
      </c>
      <c r="L882">
        <v>157</v>
      </c>
      <c r="M882">
        <v>44.41</v>
      </c>
      <c r="N882">
        <v>8.69</v>
      </c>
      <c r="O882" t="s">
        <v>25</v>
      </c>
      <c r="P882" t="s">
        <v>965</v>
      </c>
      <c r="Q882" t="s">
        <v>20</v>
      </c>
      <c r="R882" t="str">
        <f>HYPERLINK("https://cfpub.epa.gov/ecotox/explore.cfm?ncbi=30962","Explore in ECOTOX")</f>
        <v>Explore in ECOTOX</v>
      </c>
    </row>
    <row r="883" spans="1:18" x14ac:dyDescent="0.25">
      <c r="A883">
        <v>6</v>
      </c>
      <c r="B883" t="str">
        <f>HYPERLINK("http://www.ncbi.nlm.nih.gov/protein/XP_018314008.1","XP_018314008.1")</f>
        <v>XP_018314008.1</v>
      </c>
      <c r="C883">
        <v>33332</v>
      </c>
      <c r="D883" t="str">
        <f>HYPERLINK("http://www.ncbi.nlm.nih.gov/Taxonomy/Browser/wwwtax.cgi?mode=Info&amp;id=64791&amp;lvl=3&amp;lin=f&amp;keep=1&amp;srchmode=1&amp;unlock","64791")</f>
        <v>64791</v>
      </c>
      <c r="E883" t="s">
        <v>698</v>
      </c>
      <c r="F883" t="s">
        <v>698</v>
      </c>
      <c r="G883" t="str">
        <f>HYPERLINK("http://www.ncbi.nlm.nih.gov/Taxonomy/Browser/wwwtax.cgi?mode=Info&amp;id=64791&amp;lvl=3&amp;lin=f&amp;keep=1&amp;srchmode=1&amp;unlock","Trachymyrmex zeteki")</f>
        <v>Trachymyrmex zeteki</v>
      </c>
      <c r="H883" t="s">
        <v>755</v>
      </c>
      <c r="I883" t="str">
        <f>HYPERLINK("http://www.ncbi.nlm.nih.gov/protein/XP_018314008.1","PREDICTED: steroid hormone receptor ERR1 isoform X4")</f>
        <v>PREDICTED: steroid hormone receptor ERR1 isoform X4</v>
      </c>
      <c r="J883">
        <v>163.31</v>
      </c>
      <c r="K883" t="s">
        <v>25</v>
      </c>
      <c r="L883">
        <v>157</v>
      </c>
      <c r="M883">
        <v>44.41</v>
      </c>
      <c r="N883">
        <v>8.69</v>
      </c>
      <c r="O883" t="s">
        <v>25</v>
      </c>
      <c r="P883" t="s">
        <v>965</v>
      </c>
      <c r="Q883" t="s">
        <v>20</v>
      </c>
      <c r="R883" t="str">
        <f>HYPERLINK("https://cfpub.epa.gov/ecotox/explore.cfm?ncbi=64791","Explore in ECOTOX")</f>
        <v>Explore in ECOTOX</v>
      </c>
    </row>
    <row r="884" spans="1:18" x14ac:dyDescent="0.25">
      <c r="A884">
        <v>6</v>
      </c>
      <c r="B884" t="str">
        <f>HYPERLINK("http://www.ncbi.nlm.nih.gov/protein/ABP96712.1","ABP96712.1")</f>
        <v>ABP96712.1</v>
      </c>
      <c r="C884">
        <v>227</v>
      </c>
      <c r="D884" t="str">
        <f>HYPERLINK("http://www.ncbi.nlm.nih.gov/Taxonomy/Browser/wwwtax.cgi?mode=Info&amp;id=13106&amp;lvl=3&amp;lin=f&amp;keep=1&amp;srchmode=1&amp;unlock","13106")</f>
        <v>13106</v>
      </c>
      <c r="E884" t="s">
        <v>384</v>
      </c>
      <c r="F884" t="s">
        <v>384</v>
      </c>
      <c r="G884" t="str">
        <f>HYPERLINK("http://www.ncbi.nlm.nih.gov/Taxonomy/Browser/wwwtax.cgi?mode=Info&amp;id=13106&amp;lvl=3&amp;lin=f&amp;keep=1&amp;srchmode=1&amp;unlock","Lepomis macrochirus")</f>
        <v>Lepomis macrochirus</v>
      </c>
      <c r="H884" t="s">
        <v>1114</v>
      </c>
      <c r="I884" t="str">
        <f>HYPERLINK("http://www.ncbi.nlm.nih.gov/protein/ABP96712.1","estrogen receptor alpha1")</f>
        <v>estrogen receptor alpha1</v>
      </c>
      <c r="J884">
        <v>162.93</v>
      </c>
      <c r="K884" t="s">
        <v>25</v>
      </c>
      <c r="L884">
        <v>157</v>
      </c>
      <c r="M884">
        <v>44.41</v>
      </c>
      <c r="N884">
        <v>8.67</v>
      </c>
      <c r="O884" t="s">
        <v>25</v>
      </c>
      <c r="P884" t="s">
        <v>965</v>
      </c>
      <c r="Q884" t="s">
        <v>20</v>
      </c>
      <c r="R884" t="str">
        <f>HYPERLINK("https://cfpub.epa.gov/ecotox/explore.cfm?ncbi=13106","Explore in ECOTOX")</f>
        <v>Explore in ECOTOX</v>
      </c>
    </row>
    <row r="885" spans="1:18" x14ac:dyDescent="0.25">
      <c r="A885">
        <v>6</v>
      </c>
      <c r="B885" t="str">
        <f>HYPERLINK("http://www.ncbi.nlm.nih.gov/protein/ACM16808.1","ACM16808.1")</f>
        <v>ACM16808.1</v>
      </c>
      <c r="C885">
        <v>362</v>
      </c>
      <c r="D885" t="str">
        <f>HYPERLINK("http://www.ncbi.nlm.nih.gov/Taxonomy/Browser/wwwtax.cgi?mode=Info&amp;id=106299&amp;lvl=3&amp;lin=f&amp;keep=1&amp;srchmode=1&amp;unlock","106299")</f>
        <v>106299</v>
      </c>
      <c r="E885" t="s">
        <v>709</v>
      </c>
      <c r="F885" t="s">
        <v>709</v>
      </c>
      <c r="G885" t="str">
        <f>HYPERLINK("http://www.ncbi.nlm.nih.gov/Taxonomy/Browser/wwwtax.cgi?mode=Info&amp;id=106299&amp;lvl=3&amp;lin=f&amp;keep=1&amp;srchmode=1&amp;unlock","Azumapecten farreri")</f>
        <v>Azumapecten farreri</v>
      </c>
      <c r="H885" t="s">
        <v>1115</v>
      </c>
      <c r="I885" t="str">
        <f>HYPERLINK("http://www.ncbi.nlm.nih.gov/protein/ACM16808.1","estrogen receptor")</f>
        <v>estrogen receptor</v>
      </c>
      <c r="J885">
        <v>162.54</v>
      </c>
      <c r="K885" t="s">
        <v>25</v>
      </c>
      <c r="L885">
        <v>157</v>
      </c>
      <c r="M885">
        <v>44.41</v>
      </c>
      <c r="N885">
        <v>8.65</v>
      </c>
      <c r="O885" t="s">
        <v>25</v>
      </c>
      <c r="P885" t="s">
        <v>965</v>
      </c>
      <c r="Q885" t="s">
        <v>20</v>
      </c>
      <c r="R885" t="str">
        <f>HYPERLINK("https://cfpub.epa.gov/ecotox/explore.cfm?ncbi=106299","Explore in ECOTOX")</f>
        <v>Explore in ECOTOX</v>
      </c>
    </row>
    <row r="886" spans="1:18" x14ac:dyDescent="0.25">
      <c r="A886">
        <v>6</v>
      </c>
      <c r="B886" t="str">
        <f>HYPERLINK("http://www.ncbi.nlm.nih.gov/protein/XP_039315097.1","XP_039315097.1")</f>
        <v>XP_039315097.1</v>
      </c>
      <c r="C886">
        <v>31288</v>
      </c>
      <c r="D886" t="str">
        <f>HYPERLINK("http://www.ncbi.nlm.nih.gov/Taxonomy/Browser/wwwtax.cgi?mode=Info&amp;id=13686&amp;lvl=3&amp;lin=f&amp;keep=1&amp;srchmode=1&amp;unlock","13686")</f>
        <v>13686</v>
      </c>
      <c r="E886" t="s">
        <v>698</v>
      </c>
      <c r="F886" t="s">
        <v>698</v>
      </c>
      <c r="G886" t="str">
        <f>HYPERLINK("http://www.ncbi.nlm.nih.gov/Taxonomy/Browser/wwwtax.cgi?mode=Info&amp;id=13686&amp;lvl=3&amp;lin=f&amp;keep=1&amp;srchmode=1&amp;unlock","Solenopsis invicta")</f>
        <v>Solenopsis invicta</v>
      </c>
      <c r="H886" t="s">
        <v>1116</v>
      </c>
      <c r="I886" t="str">
        <f>HYPERLINK("http://www.ncbi.nlm.nih.gov/protein/XP_039315097.1","steroid hormone receptor ERR2 isoform X3")</f>
        <v>steroid hormone receptor ERR2 isoform X3</v>
      </c>
      <c r="J886">
        <v>162.54</v>
      </c>
      <c r="K886" t="s">
        <v>25</v>
      </c>
      <c r="L886">
        <v>157</v>
      </c>
      <c r="M886">
        <v>44.41</v>
      </c>
      <c r="N886">
        <v>8.65</v>
      </c>
      <c r="O886" t="s">
        <v>25</v>
      </c>
      <c r="P886" t="s">
        <v>965</v>
      </c>
      <c r="Q886" t="s">
        <v>20</v>
      </c>
      <c r="R886" t="str">
        <f>HYPERLINK("https://cfpub.epa.gov/ecotox/explore.cfm?ncbi=13686","Explore in ECOTOX")</f>
        <v>Explore in ECOTOX</v>
      </c>
    </row>
    <row r="887" spans="1:18" x14ac:dyDescent="0.25">
      <c r="A887">
        <v>6</v>
      </c>
      <c r="B887" t="str">
        <f>HYPERLINK("http://www.ncbi.nlm.nih.gov/protein/KOX78864.1","KOX78864.1")</f>
        <v>KOX78864.1</v>
      </c>
      <c r="C887">
        <v>14311</v>
      </c>
      <c r="D887" t="str">
        <f>HYPERLINK("http://www.ncbi.nlm.nih.gov/Taxonomy/Browser/wwwtax.cgi?mode=Info&amp;id=166423&amp;lvl=3&amp;lin=f&amp;keep=1&amp;srchmode=1&amp;unlock","166423")</f>
        <v>166423</v>
      </c>
      <c r="E887" t="s">
        <v>698</v>
      </c>
      <c r="F887" t="s">
        <v>698</v>
      </c>
      <c r="G887" t="str">
        <f>HYPERLINK("http://www.ncbi.nlm.nih.gov/Taxonomy/Browser/wwwtax.cgi?mode=Info&amp;id=166423&amp;lvl=3&amp;lin=f&amp;keep=1&amp;srchmode=1&amp;unlock","Melipona quadrifasciata")</f>
        <v>Melipona quadrifasciata</v>
      </c>
      <c r="H887" t="s">
        <v>835</v>
      </c>
      <c r="I887" t="str">
        <f>HYPERLINK("http://www.ncbi.nlm.nih.gov/protein/KOX78864.1","Steroid hormone receptor ERR2")</f>
        <v>Steroid hormone receptor ERR2</v>
      </c>
      <c r="J887">
        <v>162.54</v>
      </c>
      <c r="K887" t="s">
        <v>25</v>
      </c>
      <c r="L887">
        <v>157</v>
      </c>
      <c r="M887">
        <v>44.41</v>
      </c>
      <c r="N887">
        <v>8.65</v>
      </c>
      <c r="O887" t="s">
        <v>25</v>
      </c>
      <c r="P887" t="s">
        <v>965</v>
      </c>
      <c r="Q887" t="s">
        <v>20</v>
      </c>
      <c r="R887" t="str">
        <f>HYPERLINK("https://cfpub.epa.gov/ecotox/explore.cfm?ncbi=166423","Explore in ECOTOX")</f>
        <v>Explore in ECOTOX</v>
      </c>
    </row>
    <row r="888" spans="1:18" x14ac:dyDescent="0.25">
      <c r="A888">
        <v>6</v>
      </c>
      <c r="B888" t="str">
        <f>HYPERLINK("http://www.ncbi.nlm.nih.gov/protein/XP_011867574.1","XP_011867574.1")</f>
        <v>XP_011867574.1</v>
      </c>
      <c r="C888">
        <v>26318</v>
      </c>
      <c r="D888" t="str">
        <f>HYPERLINK("http://www.ncbi.nlm.nih.gov/Taxonomy/Browser/wwwtax.cgi?mode=Info&amp;id=411798&amp;lvl=3&amp;lin=f&amp;keep=1&amp;srchmode=1&amp;unlock","411798")</f>
        <v>411798</v>
      </c>
      <c r="E888" t="s">
        <v>698</v>
      </c>
      <c r="F888" t="s">
        <v>698</v>
      </c>
      <c r="G888" t="str">
        <f>HYPERLINK("http://www.ncbi.nlm.nih.gov/Taxonomy/Browser/wwwtax.cgi?mode=Info&amp;id=411798&amp;lvl=3&amp;lin=f&amp;keep=1&amp;srchmode=1&amp;unlock","Vollenhovia emeryi")</f>
        <v>Vollenhovia emeryi</v>
      </c>
      <c r="H888" t="s">
        <v>755</v>
      </c>
      <c r="I888" t="str">
        <f>HYPERLINK("http://www.ncbi.nlm.nih.gov/protein/XP_011867574.1","PREDICTED: steroid hormone receptor ERR1 isoform X2")</f>
        <v>PREDICTED: steroid hormone receptor ERR1 isoform X2</v>
      </c>
      <c r="J888">
        <v>162.54</v>
      </c>
      <c r="K888" t="s">
        <v>25</v>
      </c>
      <c r="L888">
        <v>157</v>
      </c>
      <c r="M888">
        <v>44.41</v>
      </c>
      <c r="N888">
        <v>8.65</v>
      </c>
      <c r="O888" t="s">
        <v>25</v>
      </c>
      <c r="P888" t="s">
        <v>965</v>
      </c>
      <c r="Q888" t="s">
        <v>20</v>
      </c>
      <c r="R888" t="str">
        <f>HYPERLINK("https://cfpub.epa.gov/ecotox/explore.cfm?ncbi=411798","Explore in ECOTOX")</f>
        <v>Explore in ECOTOX</v>
      </c>
    </row>
    <row r="889" spans="1:18" x14ac:dyDescent="0.25">
      <c r="A889">
        <v>6</v>
      </c>
      <c r="B889" t="str">
        <f>HYPERLINK("http://www.ncbi.nlm.nih.gov/protein/XP_011057172.1","XP_011057172.1")</f>
        <v>XP_011057172.1</v>
      </c>
      <c r="C889">
        <v>34216</v>
      </c>
      <c r="D889" t="str">
        <f>HYPERLINK("http://www.ncbi.nlm.nih.gov/Taxonomy/Browser/wwwtax.cgi?mode=Info&amp;id=103372&amp;lvl=3&amp;lin=f&amp;keep=1&amp;srchmode=1&amp;unlock","103372")</f>
        <v>103372</v>
      </c>
      <c r="E889" t="s">
        <v>698</v>
      </c>
      <c r="F889" t="s">
        <v>698</v>
      </c>
      <c r="G889" t="str">
        <f>HYPERLINK("http://www.ncbi.nlm.nih.gov/Taxonomy/Browser/wwwtax.cgi?mode=Info&amp;id=103372&amp;lvl=3&amp;lin=f&amp;keep=1&amp;srchmode=1&amp;unlock","Acromyrmex echinatior")</f>
        <v>Acromyrmex echinatior</v>
      </c>
      <c r="H889" t="s">
        <v>821</v>
      </c>
      <c r="I889" t="str">
        <f>HYPERLINK("http://www.ncbi.nlm.nih.gov/protein/XP_011057172.1","PREDICTED: steroid hormone receptor ERR1 isoform X5")</f>
        <v>PREDICTED: steroid hormone receptor ERR1 isoform X5</v>
      </c>
      <c r="J889">
        <v>162.54</v>
      </c>
      <c r="K889" t="s">
        <v>25</v>
      </c>
      <c r="L889">
        <v>157</v>
      </c>
      <c r="M889">
        <v>44.41</v>
      </c>
      <c r="N889">
        <v>8.65</v>
      </c>
      <c r="O889" t="s">
        <v>25</v>
      </c>
      <c r="P889" t="s">
        <v>965</v>
      </c>
      <c r="Q889" t="s">
        <v>20</v>
      </c>
      <c r="R889" t="str">
        <f>HYPERLINK("https://cfpub.epa.gov/ecotox/explore.cfm?ncbi=103372","Explore in ECOTOX")</f>
        <v>Explore in ECOTOX</v>
      </c>
    </row>
    <row r="890" spans="1:18" x14ac:dyDescent="0.25">
      <c r="A890">
        <v>6</v>
      </c>
      <c r="B890" t="str">
        <f>HYPERLINK("http://www.ncbi.nlm.nih.gov/protein/AXA19790.1","AXA19790.1")</f>
        <v>AXA19790.1</v>
      </c>
      <c r="C890">
        <v>2173</v>
      </c>
      <c r="D890" t="str">
        <f>HYPERLINK("http://www.ncbi.nlm.nih.gov/Taxonomy/Browser/wwwtax.cgi?mode=Info&amp;id=7959&amp;lvl=3&amp;lin=f&amp;keep=1&amp;srchmode=1&amp;unlock","7959")</f>
        <v>7959</v>
      </c>
      <c r="E890" t="s">
        <v>384</v>
      </c>
      <c r="F890" t="s">
        <v>384</v>
      </c>
      <c r="G890" t="str">
        <f>HYPERLINK("http://www.ncbi.nlm.nih.gov/Taxonomy/Browser/wwwtax.cgi?mode=Info&amp;id=7959&amp;lvl=3&amp;lin=f&amp;keep=1&amp;srchmode=1&amp;unlock","Ctenopharyngodon idella")</f>
        <v>Ctenopharyngodon idella</v>
      </c>
      <c r="H890" t="s">
        <v>662</v>
      </c>
      <c r="I890" t="str">
        <f>HYPERLINK("http://www.ncbi.nlm.nih.gov/protein/AXA19790.1","estrogen receptor-alpha")</f>
        <v>estrogen receptor-alpha</v>
      </c>
      <c r="J890">
        <v>162.54</v>
      </c>
      <c r="K890" t="s">
        <v>25</v>
      </c>
      <c r="L890">
        <v>157</v>
      </c>
      <c r="M890">
        <v>44.41</v>
      </c>
      <c r="N890">
        <v>8.65</v>
      </c>
      <c r="O890" t="s">
        <v>25</v>
      </c>
      <c r="P890" t="s">
        <v>965</v>
      </c>
      <c r="Q890" t="s">
        <v>20</v>
      </c>
      <c r="R890" t="str">
        <f>HYPERLINK("https://cfpub.epa.gov/ecotox/explore.cfm?ncbi=7959","Explore in ECOTOX")</f>
        <v>Explore in ECOTOX</v>
      </c>
    </row>
    <row r="891" spans="1:18" x14ac:dyDescent="0.25">
      <c r="A891">
        <v>6</v>
      </c>
      <c r="B891" t="str">
        <f>HYPERLINK("http://www.ncbi.nlm.nih.gov/protein/CAD67996.3","CAD67996.3")</f>
        <v>CAD67996.3</v>
      </c>
      <c r="C891">
        <v>89</v>
      </c>
      <c r="D891" t="str">
        <f>HYPERLINK("http://www.ncbi.nlm.nih.gov/Taxonomy/Browser/wwwtax.cgi?mode=Info&amp;id=160766&amp;lvl=3&amp;lin=f&amp;keep=1&amp;srchmode=1&amp;unlock","160766")</f>
        <v>160766</v>
      </c>
      <c r="E891" t="s">
        <v>384</v>
      </c>
      <c r="F891" t="s">
        <v>384</v>
      </c>
      <c r="G891" t="str">
        <f>HYPERLINK("http://www.ncbi.nlm.nih.gov/Taxonomy/Browser/wwwtax.cgi?mode=Info&amp;id=160766&amp;lvl=3&amp;lin=f&amp;keep=1&amp;srchmode=1&amp;unlock","Onychostoma barbatulum")</f>
        <v>Onychostoma barbatulum</v>
      </c>
      <c r="H891" t="s">
        <v>1117</v>
      </c>
      <c r="I891" t="str">
        <f>HYPERLINK("http://www.ncbi.nlm.nih.gov/protein/CAD67996.3","putative estrogen receptor alpha protein")</f>
        <v>putative estrogen receptor alpha protein</v>
      </c>
      <c r="J891">
        <v>162.54</v>
      </c>
      <c r="K891" t="s">
        <v>25</v>
      </c>
      <c r="L891">
        <v>157</v>
      </c>
      <c r="M891">
        <v>44.41</v>
      </c>
      <c r="N891">
        <v>8.65</v>
      </c>
      <c r="O891" t="s">
        <v>25</v>
      </c>
      <c r="P891" t="s">
        <v>965</v>
      </c>
      <c r="Q891" t="s">
        <v>20</v>
      </c>
      <c r="R891" t="str">
        <f>HYPERLINK("https://cfpub.epa.gov/ecotox/explore.cfm?ncbi=160766","Explore in ECOTOX")</f>
        <v>Explore in ECOTOX</v>
      </c>
    </row>
    <row r="892" spans="1:18" x14ac:dyDescent="0.25">
      <c r="A892">
        <v>6</v>
      </c>
      <c r="B892" t="str">
        <f>HYPERLINK("http://www.ncbi.nlm.nih.gov/protein/KAF7393767.1","KAF7393767.1")</f>
        <v>KAF7393767.1</v>
      </c>
      <c r="C892">
        <v>17304</v>
      </c>
      <c r="D892" t="str">
        <f>HYPERLINK("http://www.ncbi.nlm.nih.gov/Taxonomy/Browser/wwwtax.cgi?mode=Info&amp;id=30212&amp;lvl=3&amp;lin=f&amp;keep=1&amp;srchmode=1&amp;unlock","30212")</f>
        <v>30212</v>
      </c>
      <c r="E892" t="s">
        <v>698</v>
      </c>
      <c r="F892" t="s">
        <v>698</v>
      </c>
      <c r="G892" t="str">
        <f>HYPERLINK("http://www.ncbi.nlm.nih.gov/Taxonomy/Browser/wwwtax.cgi?mode=Info&amp;id=30212&amp;lvl=3&amp;lin=f&amp;keep=1&amp;srchmode=1&amp;unlock","Vespula germanica")</f>
        <v>Vespula germanica</v>
      </c>
      <c r="H892" t="s">
        <v>800</v>
      </c>
      <c r="I892" t="str">
        <f>HYPERLINK("http://www.ncbi.nlm.nih.gov/protein/KAF7393767.1","hypothetical protein")</f>
        <v>hypothetical protein</v>
      </c>
      <c r="J892">
        <v>162.16</v>
      </c>
      <c r="K892" t="s">
        <v>25</v>
      </c>
      <c r="L892">
        <v>157</v>
      </c>
      <c r="M892">
        <v>44.41</v>
      </c>
      <c r="N892">
        <v>8.6300000000000008</v>
      </c>
      <c r="O892" t="s">
        <v>25</v>
      </c>
      <c r="P892" t="s">
        <v>965</v>
      </c>
      <c r="Q892" t="s">
        <v>20</v>
      </c>
      <c r="R892" t="str">
        <f>HYPERLINK("https://cfpub.epa.gov/ecotox/explore.cfm?ncbi=30212","Explore in ECOTOX")</f>
        <v>Explore in ECOTOX</v>
      </c>
    </row>
    <row r="893" spans="1:18" x14ac:dyDescent="0.25">
      <c r="A893">
        <v>6</v>
      </c>
      <c r="B893" t="str">
        <f>HYPERLINK("http://www.ncbi.nlm.nih.gov/protein/XP_033299043.1","XP_033299043.1")</f>
        <v>XP_033299043.1</v>
      </c>
      <c r="C893">
        <v>24027</v>
      </c>
      <c r="D893" t="str">
        <f>HYPERLINK("http://www.ncbi.nlm.nih.gov/Taxonomy/Browser/wwwtax.cgi?mode=Info&amp;id=103933&amp;lvl=3&amp;lin=f&amp;keep=1&amp;srchmode=1&amp;unlock","103933")</f>
        <v>103933</v>
      </c>
      <c r="E893" t="s">
        <v>698</v>
      </c>
      <c r="F893" t="s">
        <v>698</v>
      </c>
      <c r="G893" t="str">
        <f>HYPERLINK("http://www.ncbi.nlm.nih.gov/Taxonomy/Browser/wwwtax.cgi?mode=Info&amp;id=103933&amp;lvl=3&amp;lin=f&amp;keep=1&amp;srchmode=1&amp;unlock","Bombus bifarius")</f>
        <v>Bombus bifarius</v>
      </c>
      <c r="H893" t="s">
        <v>776</v>
      </c>
      <c r="I893" t="str">
        <f>HYPERLINK("http://www.ncbi.nlm.nih.gov/protein/XP_033299043.1","steroid hormone receptor ERR1 isoform X3")</f>
        <v>steroid hormone receptor ERR1 isoform X3</v>
      </c>
      <c r="J893">
        <v>162.16</v>
      </c>
      <c r="K893" t="s">
        <v>25</v>
      </c>
      <c r="L893">
        <v>157</v>
      </c>
      <c r="M893">
        <v>44.41</v>
      </c>
      <c r="N893">
        <v>8.6300000000000008</v>
      </c>
      <c r="O893" t="s">
        <v>25</v>
      </c>
      <c r="P893" t="s">
        <v>965</v>
      </c>
      <c r="Q893" t="s">
        <v>20</v>
      </c>
      <c r="R893" t="str">
        <f>HYPERLINK("https://cfpub.epa.gov/ecotox/explore.cfm?ncbi=103933","Explore in ECOTOX")</f>
        <v>Explore in ECOTOX</v>
      </c>
    </row>
    <row r="894" spans="1:18" x14ac:dyDescent="0.25">
      <c r="A894">
        <v>6</v>
      </c>
      <c r="B894" t="str">
        <f>HYPERLINK("http://www.ncbi.nlm.nih.gov/protein/XP_033205870.1","XP_033205870.1")</f>
        <v>XP_033205870.1</v>
      </c>
      <c r="C894">
        <v>24326</v>
      </c>
      <c r="D894" t="str">
        <f>HYPERLINK("http://www.ncbi.nlm.nih.gov/Taxonomy/Browser/wwwtax.cgi?mode=Info&amp;id=2705178&amp;lvl=3&amp;lin=f&amp;keep=1&amp;srchmode=1&amp;unlock","2705178")</f>
        <v>2705178</v>
      </c>
      <c r="E894" t="s">
        <v>698</v>
      </c>
      <c r="F894" t="s">
        <v>698</v>
      </c>
      <c r="G894" t="str">
        <f>HYPERLINK("http://www.ncbi.nlm.nih.gov/Taxonomy/Browser/wwwtax.cgi?mode=Info&amp;id=2705178&amp;lvl=3&amp;lin=f&amp;keep=1&amp;srchmode=1&amp;unlock","Bombus vancouverensis nearcticus")</f>
        <v>Bombus vancouverensis nearcticus</v>
      </c>
      <c r="H894" t="s">
        <v>776</v>
      </c>
      <c r="I894" t="str">
        <f>HYPERLINK("http://www.ncbi.nlm.nih.gov/protein/XP_033205870.1","steroid hormone receptor ERR1 isoform X3")</f>
        <v>steroid hormone receptor ERR1 isoform X3</v>
      </c>
      <c r="J894">
        <v>162.16</v>
      </c>
      <c r="K894" t="s">
        <v>25</v>
      </c>
      <c r="L894">
        <v>157</v>
      </c>
      <c r="M894">
        <v>44.41</v>
      </c>
      <c r="N894">
        <v>8.6300000000000008</v>
      </c>
      <c r="O894" t="s">
        <v>25</v>
      </c>
      <c r="P894" t="s">
        <v>965</v>
      </c>
      <c r="Q894" t="s">
        <v>20</v>
      </c>
      <c r="R894" t="str">
        <f>HYPERLINK("https://cfpub.epa.gov/ecotox/explore.cfm?ncbi=2705178","Explore in ECOTOX")</f>
        <v>Explore in ECOTOX</v>
      </c>
    </row>
    <row r="895" spans="1:18" x14ac:dyDescent="0.25">
      <c r="A895">
        <v>6</v>
      </c>
      <c r="B895" t="str">
        <f>HYPERLINK("http://www.ncbi.nlm.nih.gov/protein/KYN01293.1","KYN01293.1")</f>
        <v>KYN01293.1</v>
      </c>
      <c r="C895">
        <v>31447</v>
      </c>
      <c r="D895" t="str">
        <f>HYPERLINK("http://www.ncbi.nlm.nih.gov/Taxonomy/Browser/wwwtax.cgi?mode=Info&amp;id=456900&amp;lvl=3&amp;lin=f&amp;keep=1&amp;srchmode=1&amp;unlock","456900")</f>
        <v>456900</v>
      </c>
      <c r="E895" t="s">
        <v>698</v>
      </c>
      <c r="F895" t="s">
        <v>698</v>
      </c>
      <c r="G895" t="str">
        <f>HYPERLINK("http://www.ncbi.nlm.nih.gov/Taxonomy/Browser/wwwtax.cgi?mode=Info&amp;id=456900&amp;lvl=3&amp;lin=f&amp;keep=1&amp;srchmode=1&amp;unlock","Cyphomyrmex costatus")</f>
        <v>Cyphomyrmex costatus</v>
      </c>
      <c r="H895" t="s">
        <v>755</v>
      </c>
      <c r="I895" t="str">
        <f>HYPERLINK("http://www.ncbi.nlm.nih.gov/protein/KYN01293.1","Steroid hormone receptor ERR2")</f>
        <v>Steroid hormone receptor ERR2</v>
      </c>
      <c r="J895">
        <v>162.16</v>
      </c>
      <c r="K895" t="s">
        <v>25</v>
      </c>
      <c r="L895">
        <v>157</v>
      </c>
      <c r="M895">
        <v>44.41</v>
      </c>
      <c r="N895">
        <v>8.6300000000000008</v>
      </c>
      <c r="O895" t="s">
        <v>25</v>
      </c>
      <c r="P895" t="s">
        <v>965</v>
      </c>
      <c r="Q895" t="s">
        <v>20</v>
      </c>
      <c r="R895" t="str">
        <f>HYPERLINK("https://cfpub.epa.gov/ecotox/explore.cfm?ncbi=456900","Explore in ECOTOX")</f>
        <v>Explore in ECOTOX</v>
      </c>
    </row>
    <row r="896" spans="1:18" x14ac:dyDescent="0.25">
      <c r="A896">
        <v>6</v>
      </c>
      <c r="B896" t="str">
        <f>HYPERLINK("http://www.ncbi.nlm.nih.gov/protein/XP_012243858.1","XP_012243858.1")</f>
        <v>XP_012243858.1</v>
      </c>
      <c r="C896">
        <v>24525</v>
      </c>
      <c r="D896" t="str">
        <f>HYPERLINK("http://www.ncbi.nlm.nih.gov/Taxonomy/Browser/wwwtax.cgi?mode=Info&amp;id=132113&amp;lvl=3&amp;lin=f&amp;keep=1&amp;srchmode=1&amp;unlock","132113")</f>
        <v>132113</v>
      </c>
      <c r="E896" t="s">
        <v>698</v>
      </c>
      <c r="F896" t="s">
        <v>698</v>
      </c>
      <c r="G896" t="str">
        <f>HYPERLINK("http://www.ncbi.nlm.nih.gov/Taxonomy/Browser/wwwtax.cgi?mode=Info&amp;id=132113&amp;lvl=3&amp;lin=f&amp;keep=1&amp;srchmode=1&amp;unlock","Bombus impatiens")</f>
        <v>Bombus impatiens</v>
      </c>
      <c r="H896" t="s">
        <v>750</v>
      </c>
      <c r="I896" t="str">
        <f>HYPERLINK("http://www.ncbi.nlm.nih.gov/protein/XP_012243858.1","steroid hormone receptor ERR1 isoform X3")</f>
        <v>steroid hormone receptor ERR1 isoform X3</v>
      </c>
      <c r="J896">
        <v>162.16</v>
      </c>
      <c r="K896" t="s">
        <v>25</v>
      </c>
      <c r="L896">
        <v>157</v>
      </c>
      <c r="M896">
        <v>44.41</v>
      </c>
      <c r="N896">
        <v>8.6300000000000008</v>
      </c>
      <c r="O896" t="s">
        <v>25</v>
      </c>
      <c r="P896" t="s">
        <v>965</v>
      </c>
      <c r="Q896" t="s">
        <v>20</v>
      </c>
      <c r="R896" t="str">
        <f>HYPERLINK("https://cfpub.epa.gov/ecotox/explore.cfm?ncbi=132113","Explore in ECOTOX")</f>
        <v>Explore in ECOTOX</v>
      </c>
    </row>
    <row r="897" spans="1:18" x14ac:dyDescent="0.25">
      <c r="A897">
        <v>6</v>
      </c>
      <c r="B897" t="str">
        <f>HYPERLINK("http://www.ncbi.nlm.nih.gov/protein/XP_012164169.1","XP_012164169.1")</f>
        <v>XP_012164169.1</v>
      </c>
      <c r="C897">
        <v>22757</v>
      </c>
      <c r="D897" t="str">
        <f>HYPERLINK("http://www.ncbi.nlm.nih.gov/Taxonomy/Browser/wwwtax.cgi?mode=Info&amp;id=30195&amp;lvl=3&amp;lin=f&amp;keep=1&amp;srchmode=1&amp;unlock","30195")</f>
        <v>30195</v>
      </c>
      <c r="E897" t="s">
        <v>698</v>
      </c>
      <c r="F897" t="s">
        <v>698</v>
      </c>
      <c r="G897" t="str">
        <f>HYPERLINK("http://www.ncbi.nlm.nih.gov/Taxonomy/Browser/wwwtax.cgi?mode=Info&amp;id=30195&amp;lvl=3&amp;lin=f&amp;keep=1&amp;srchmode=1&amp;unlock","Bombus terrestris")</f>
        <v>Bombus terrestris</v>
      </c>
      <c r="H897" t="s">
        <v>770</v>
      </c>
      <c r="I897" t="str">
        <f>HYPERLINK("http://www.ncbi.nlm.nih.gov/protein/XP_012164169.1","steroid hormone receptor ERR1 isoform X3")</f>
        <v>steroid hormone receptor ERR1 isoform X3</v>
      </c>
      <c r="J897">
        <v>162.16</v>
      </c>
      <c r="K897" t="s">
        <v>25</v>
      </c>
      <c r="L897">
        <v>157</v>
      </c>
      <c r="M897">
        <v>44.41</v>
      </c>
      <c r="N897">
        <v>8.6300000000000008</v>
      </c>
      <c r="O897" t="s">
        <v>25</v>
      </c>
      <c r="P897" t="s">
        <v>965</v>
      </c>
      <c r="Q897" t="s">
        <v>20</v>
      </c>
      <c r="R897" t="str">
        <f>HYPERLINK("https://cfpub.epa.gov/ecotox/explore.cfm?ncbi=30195","Explore in ECOTOX")</f>
        <v>Explore in ECOTOX</v>
      </c>
    </row>
    <row r="898" spans="1:18" x14ac:dyDescent="0.25">
      <c r="A898">
        <v>6</v>
      </c>
      <c r="B898" t="str">
        <f>HYPERLINK("http://www.ncbi.nlm.nih.gov/protein/XP_033344978.1","XP_033344978.1")</f>
        <v>XP_033344978.1</v>
      </c>
      <c r="C898">
        <v>24081</v>
      </c>
      <c r="D898" t="str">
        <f>HYPERLINK("http://www.ncbi.nlm.nih.gov/Taxonomy/Browser/wwwtax.cgi?mode=Info&amp;id=207650&amp;lvl=3&amp;lin=f&amp;keep=1&amp;srchmode=1&amp;unlock","207650")</f>
        <v>207650</v>
      </c>
      <c r="E898" t="s">
        <v>698</v>
      </c>
      <c r="F898" t="s">
        <v>698</v>
      </c>
      <c r="G898" t="str">
        <f>HYPERLINK("http://www.ncbi.nlm.nih.gov/Taxonomy/Browser/wwwtax.cgi?mode=Info&amp;id=207650&amp;lvl=3&amp;lin=f&amp;keep=1&amp;srchmode=1&amp;unlock","Bombus vosnesenskii")</f>
        <v>Bombus vosnesenskii</v>
      </c>
      <c r="H898" t="s">
        <v>776</v>
      </c>
      <c r="I898" t="str">
        <f>HYPERLINK("http://www.ncbi.nlm.nih.gov/protein/XP_033344978.1","steroid hormone receptor ERR1 isoform X3")</f>
        <v>steroid hormone receptor ERR1 isoform X3</v>
      </c>
      <c r="J898">
        <v>161.77000000000001</v>
      </c>
      <c r="K898" t="s">
        <v>25</v>
      </c>
      <c r="L898">
        <v>157</v>
      </c>
      <c r="M898">
        <v>44.41</v>
      </c>
      <c r="N898">
        <v>8.61</v>
      </c>
      <c r="O898" t="s">
        <v>25</v>
      </c>
      <c r="P898" t="s">
        <v>965</v>
      </c>
      <c r="Q898" t="s">
        <v>20</v>
      </c>
      <c r="R898" t="str">
        <f>HYPERLINK("https://cfpub.epa.gov/ecotox/explore.cfm?ncbi=207650","Explore in ECOTOX")</f>
        <v>Explore in ECOTOX</v>
      </c>
    </row>
    <row r="899" spans="1:18" x14ac:dyDescent="0.25">
      <c r="A899">
        <v>6</v>
      </c>
      <c r="B899" t="str">
        <f>HYPERLINK("http://www.ncbi.nlm.nih.gov/protein/XP_033733859.1","XP_033733859.1")</f>
        <v>XP_033733859.1</v>
      </c>
      <c r="C899">
        <v>40008</v>
      </c>
      <c r="D899" t="str">
        <f>HYPERLINK("http://www.ncbi.nlm.nih.gov/Taxonomy/Browser/wwwtax.cgi?mode=Info&amp;id=6579&amp;lvl=3&amp;lin=f&amp;keep=1&amp;srchmode=1&amp;unlock","6579")</f>
        <v>6579</v>
      </c>
      <c r="E899" t="s">
        <v>709</v>
      </c>
      <c r="F899" t="s">
        <v>709</v>
      </c>
      <c r="G899" t="str">
        <f>HYPERLINK("http://www.ncbi.nlm.nih.gov/Taxonomy/Browser/wwwtax.cgi?mode=Info&amp;id=6579&amp;lvl=3&amp;lin=f&amp;keep=1&amp;srchmode=1&amp;unlock","Pecten maximus")</f>
        <v>Pecten maximus</v>
      </c>
      <c r="H899" t="s">
        <v>740</v>
      </c>
      <c r="I899" t="str">
        <f>HYPERLINK("http://www.ncbi.nlm.nih.gov/protein/XP_033733859.1","estrogen receptor-like isoform X2")</f>
        <v>estrogen receptor-like isoform X2</v>
      </c>
      <c r="J899">
        <v>161.38</v>
      </c>
      <c r="K899" t="s">
        <v>25</v>
      </c>
      <c r="L899">
        <v>157</v>
      </c>
      <c r="M899">
        <v>44.41</v>
      </c>
      <c r="N899">
        <v>8.59</v>
      </c>
      <c r="O899" t="s">
        <v>25</v>
      </c>
      <c r="P899" t="s">
        <v>965</v>
      </c>
      <c r="Q899" t="s">
        <v>20</v>
      </c>
      <c r="R899" t="str">
        <f>HYPERLINK("https://cfpub.epa.gov/ecotox/explore.cfm?ncbi=6579","Explore in ECOTOX")</f>
        <v>Explore in ECOTOX</v>
      </c>
    </row>
    <row r="900" spans="1:18" x14ac:dyDescent="0.25">
      <c r="A900">
        <v>6</v>
      </c>
      <c r="B900" t="str">
        <f>HYPERLINK("http://www.ncbi.nlm.nih.gov/protein/XP_011644938.1","XP_011644938.1")</f>
        <v>XP_011644938.1</v>
      </c>
      <c r="C900">
        <v>19251</v>
      </c>
      <c r="D900" t="str">
        <f>HYPERLINK("http://www.ncbi.nlm.nih.gov/Taxonomy/Browser/wwwtax.cgi?mode=Info&amp;id=144034&amp;lvl=3&amp;lin=f&amp;keep=1&amp;srchmode=1&amp;unlock","144034")</f>
        <v>144034</v>
      </c>
      <c r="E900" t="s">
        <v>698</v>
      </c>
      <c r="F900" t="s">
        <v>698</v>
      </c>
      <c r="G900" t="str">
        <f>HYPERLINK("http://www.ncbi.nlm.nih.gov/Taxonomy/Browser/wwwtax.cgi?mode=Info&amp;id=144034&amp;lvl=3&amp;lin=f&amp;keep=1&amp;srchmode=1&amp;unlock","Pogonomyrmex barbatus")</f>
        <v>Pogonomyrmex barbatus</v>
      </c>
      <c r="H900" t="s">
        <v>788</v>
      </c>
      <c r="I900" t="str">
        <f>HYPERLINK("http://www.ncbi.nlm.nih.gov/protein/XP_011644938.1","steroid hormone receptor ERR2 isoform X2")</f>
        <v>steroid hormone receptor ERR2 isoform X2</v>
      </c>
      <c r="J900">
        <v>161.38</v>
      </c>
      <c r="K900" t="s">
        <v>25</v>
      </c>
      <c r="L900">
        <v>157</v>
      </c>
      <c r="M900">
        <v>44.41</v>
      </c>
      <c r="N900">
        <v>8.59</v>
      </c>
      <c r="O900" t="s">
        <v>25</v>
      </c>
      <c r="P900" t="s">
        <v>965</v>
      </c>
      <c r="Q900" t="s">
        <v>20</v>
      </c>
      <c r="R900" t="str">
        <f>HYPERLINK("https://cfpub.epa.gov/ecotox/explore.cfm?ncbi=144034","Explore in ECOTOX")</f>
        <v>Explore in ECOTOX</v>
      </c>
    </row>
    <row r="901" spans="1:18" x14ac:dyDescent="0.25">
      <c r="A901">
        <v>6</v>
      </c>
      <c r="B901" t="str">
        <f>HYPERLINK("http://www.ncbi.nlm.nih.gov/protein/AAK71317.1","AAK71317.1")</f>
        <v>AAK71317.1</v>
      </c>
      <c r="C901">
        <v>172</v>
      </c>
      <c r="D901" t="str">
        <f>HYPERLINK("http://www.ncbi.nlm.nih.gov/Taxonomy/Browser/wwwtax.cgi?mode=Info&amp;id=9540&amp;lvl=3&amp;lin=f&amp;keep=1&amp;srchmode=1&amp;unlock","9540")</f>
        <v>9540</v>
      </c>
      <c r="E901" t="s">
        <v>18</v>
      </c>
      <c r="F901" t="s">
        <v>18</v>
      </c>
      <c r="G901" t="str">
        <f>HYPERLINK("http://www.ncbi.nlm.nih.gov/Taxonomy/Browser/wwwtax.cgi?mode=Info&amp;id=9540&amp;lvl=3&amp;lin=f&amp;keep=1&amp;srchmode=1&amp;unlock","Macaca arctoides")</f>
        <v>Macaca arctoides</v>
      </c>
      <c r="H901" t="s">
        <v>1118</v>
      </c>
      <c r="I901" t="str">
        <f>HYPERLINK("http://www.ncbi.nlm.nih.gov/protein/AAK71317.1","estrogen receptor beta 2")</f>
        <v>estrogen receptor beta 2</v>
      </c>
      <c r="J901">
        <v>161</v>
      </c>
      <c r="K901" t="s">
        <v>25</v>
      </c>
      <c r="L901">
        <v>157</v>
      </c>
      <c r="M901">
        <v>44.41</v>
      </c>
      <c r="N901">
        <v>8.57</v>
      </c>
      <c r="O901" t="s">
        <v>20</v>
      </c>
      <c r="P901" t="s">
        <v>965</v>
      </c>
      <c r="Q901" t="s">
        <v>20</v>
      </c>
      <c r="R901" t="str">
        <f>HYPERLINK("https://cfpub.epa.gov/ecotox/explore.cfm?ncbi=9540","Explore in ECOTOX")</f>
        <v>Explore in ECOTOX</v>
      </c>
    </row>
    <row r="902" spans="1:18" x14ac:dyDescent="0.25">
      <c r="A902">
        <v>6</v>
      </c>
      <c r="B902" t="str">
        <f>HYPERLINK("http://www.ncbi.nlm.nih.gov/protein/XP_037581544.1","XP_037581544.1")</f>
        <v>XP_037581544.1</v>
      </c>
      <c r="C902">
        <v>28879</v>
      </c>
      <c r="D902" t="str">
        <f>HYPERLINK("http://www.ncbi.nlm.nih.gov/Taxonomy/Browser/wwwtax.cgi?mode=Info&amp;id=543639&amp;lvl=3&amp;lin=f&amp;keep=1&amp;srchmode=1&amp;unlock","543639")</f>
        <v>543639</v>
      </c>
      <c r="E902" t="s">
        <v>700</v>
      </c>
      <c r="F902" t="s">
        <v>700</v>
      </c>
      <c r="G902" t="str">
        <f>HYPERLINK("http://www.ncbi.nlm.nih.gov/Taxonomy/Browser/wwwtax.cgi?mode=Info&amp;id=543639&amp;lvl=3&amp;lin=f&amp;keep=1&amp;srchmode=1&amp;unlock","Dermacentor silvarum")</f>
        <v>Dermacentor silvarum</v>
      </c>
      <c r="H902" t="s">
        <v>871</v>
      </c>
      <c r="I902" t="str">
        <f>HYPERLINK("http://www.ncbi.nlm.nih.gov/protein/XP_037581544.1","steroid hormone receptor ERR1-like")</f>
        <v>steroid hormone receptor ERR1-like</v>
      </c>
      <c r="J902">
        <v>160.61000000000001</v>
      </c>
      <c r="K902" t="s">
        <v>25</v>
      </c>
      <c r="L902">
        <v>157</v>
      </c>
      <c r="M902">
        <v>44.41</v>
      </c>
      <c r="N902">
        <v>8.5500000000000007</v>
      </c>
      <c r="O902" t="s">
        <v>25</v>
      </c>
      <c r="P902" t="s">
        <v>965</v>
      </c>
      <c r="Q902" t="s">
        <v>20</v>
      </c>
      <c r="R902" t="str">
        <f>HYPERLINK("https://cfpub.epa.gov/ecotox/explore.cfm?ncbi=543639","Explore in ECOTOX")</f>
        <v>Explore in ECOTOX</v>
      </c>
    </row>
    <row r="903" spans="1:18" x14ac:dyDescent="0.25">
      <c r="A903">
        <v>6</v>
      </c>
      <c r="B903" t="str">
        <f>HYPERLINK("http://www.ncbi.nlm.nih.gov/protein/XP_003696588.1","XP_003696588.1")</f>
        <v>XP_003696588.1</v>
      </c>
      <c r="C903">
        <v>18893</v>
      </c>
      <c r="D903" t="str">
        <f>HYPERLINK("http://www.ncbi.nlm.nih.gov/Taxonomy/Browser/wwwtax.cgi?mode=Info&amp;id=7463&amp;lvl=3&amp;lin=f&amp;keep=1&amp;srchmode=1&amp;unlock","7463")</f>
        <v>7463</v>
      </c>
      <c r="E903" t="s">
        <v>698</v>
      </c>
      <c r="F903" t="s">
        <v>698</v>
      </c>
      <c r="G903" t="str">
        <f>HYPERLINK("http://www.ncbi.nlm.nih.gov/Taxonomy/Browser/wwwtax.cgi?mode=Info&amp;id=7463&amp;lvl=3&amp;lin=f&amp;keep=1&amp;srchmode=1&amp;unlock","Apis florea")</f>
        <v>Apis florea</v>
      </c>
      <c r="H903" t="s">
        <v>1119</v>
      </c>
      <c r="I903" t="str">
        <f>HYPERLINK("http://www.ncbi.nlm.nih.gov/protein/XP_003696588.1","steroid hormone receptor ERR2 isoform X10")</f>
        <v>steroid hormone receptor ERR2 isoform X10</v>
      </c>
      <c r="J903">
        <v>160.61000000000001</v>
      </c>
      <c r="K903" t="s">
        <v>25</v>
      </c>
      <c r="L903">
        <v>157</v>
      </c>
      <c r="M903">
        <v>44.41</v>
      </c>
      <c r="N903">
        <v>8.5500000000000007</v>
      </c>
      <c r="O903" t="s">
        <v>25</v>
      </c>
      <c r="P903" t="s">
        <v>965</v>
      </c>
      <c r="Q903" t="s">
        <v>20</v>
      </c>
      <c r="R903" t="str">
        <f>HYPERLINK("https://cfpub.epa.gov/ecotox/explore.cfm?ncbi=7463","Explore in ECOTOX")</f>
        <v>Explore in ECOTOX</v>
      </c>
    </row>
    <row r="904" spans="1:18" x14ac:dyDescent="0.25">
      <c r="A904">
        <v>6</v>
      </c>
      <c r="B904" t="str">
        <f>HYPERLINK("http://www.ncbi.nlm.nih.gov/protein/XP_029670566.1","XP_029670566.1")</f>
        <v>XP_029670566.1</v>
      </c>
      <c r="C904">
        <v>22522</v>
      </c>
      <c r="D904" t="str">
        <f>HYPERLINK("http://www.ncbi.nlm.nih.gov/Taxonomy/Browser/wwwtax.cgi?mode=Info&amp;id=72781&amp;lvl=3&amp;lin=f&amp;keep=1&amp;srchmode=1&amp;unlock","72781")</f>
        <v>72781</v>
      </c>
      <c r="E904" t="s">
        <v>698</v>
      </c>
      <c r="F904" t="s">
        <v>698</v>
      </c>
      <c r="G904" t="str">
        <f>HYPERLINK("http://www.ncbi.nlm.nih.gov/Taxonomy/Browser/wwwtax.cgi?mode=Info&amp;id=72781&amp;lvl=3&amp;lin=f&amp;keep=1&amp;srchmode=1&amp;unlock","Formica exsecta")</f>
        <v>Formica exsecta</v>
      </c>
      <c r="H904" t="s">
        <v>755</v>
      </c>
      <c r="I904" t="str">
        <f>HYPERLINK("http://www.ncbi.nlm.nih.gov/protein/XP_029670566.1","steroid hormone receptor ERR1 isoform X4")</f>
        <v>steroid hormone receptor ERR1 isoform X4</v>
      </c>
      <c r="J904">
        <v>160.61000000000001</v>
      </c>
      <c r="K904" t="s">
        <v>25</v>
      </c>
      <c r="L904">
        <v>157</v>
      </c>
      <c r="M904">
        <v>44.41</v>
      </c>
      <c r="N904">
        <v>8.5500000000000007</v>
      </c>
      <c r="O904" t="s">
        <v>25</v>
      </c>
      <c r="P904" t="s">
        <v>965</v>
      </c>
      <c r="Q904" t="s">
        <v>20</v>
      </c>
      <c r="R904" t="str">
        <f>HYPERLINK("https://cfpub.epa.gov/ecotox/explore.cfm?ncbi=72781","Explore in ECOTOX")</f>
        <v>Explore in ECOTOX</v>
      </c>
    </row>
    <row r="905" spans="1:18" x14ac:dyDescent="0.25">
      <c r="A905">
        <v>6</v>
      </c>
      <c r="B905" t="str">
        <f>HYPERLINK("http://www.ncbi.nlm.nih.gov/protein/XP_006608071.1","XP_006608071.1")</f>
        <v>XP_006608071.1</v>
      </c>
      <c r="C905">
        <v>20400</v>
      </c>
      <c r="D905" t="str">
        <f>HYPERLINK("http://www.ncbi.nlm.nih.gov/Taxonomy/Browser/wwwtax.cgi?mode=Info&amp;id=7462&amp;lvl=3&amp;lin=f&amp;keep=1&amp;srchmode=1&amp;unlock","7462")</f>
        <v>7462</v>
      </c>
      <c r="E905" t="s">
        <v>698</v>
      </c>
      <c r="F905" t="s">
        <v>698</v>
      </c>
      <c r="G905" t="str">
        <f>HYPERLINK("http://www.ncbi.nlm.nih.gov/Taxonomy/Browser/wwwtax.cgi?mode=Info&amp;id=7462&amp;lvl=3&amp;lin=f&amp;keep=1&amp;srchmode=1&amp;unlock","Apis dorsata")</f>
        <v>Apis dorsata</v>
      </c>
      <c r="H905" t="s">
        <v>1120</v>
      </c>
      <c r="I905" t="str">
        <f>HYPERLINK("http://www.ncbi.nlm.nih.gov/protein/XP_006608071.1","steroid hormone receptor ERR2 isoform X10")</f>
        <v>steroid hormone receptor ERR2 isoform X10</v>
      </c>
      <c r="J905">
        <v>160.61000000000001</v>
      </c>
      <c r="K905" t="s">
        <v>25</v>
      </c>
      <c r="L905">
        <v>157</v>
      </c>
      <c r="M905">
        <v>44.41</v>
      </c>
      <c r="N905">
        <v>8.5500000000000007</v>
      </c>
      <c r="O905" t="s">
        <v>25</v>
      </c>
      <c r="P905" t="s">
        <v>965</v>
      </c>
      <c r="Q905" t="s">
        <v>20</v>
      </c>
      <c r="R905" t="str">
        <f>HYPERLINK("https://cfpub.epa.gov/ecotox/explore.cfm?ncbi=7462","Explore in ECOTOX")</f>
        <v>Explore in ECOTOX</v>
      </c>
    </row>
    <row r="906" spans="1:18" x14ac:dyDescent="0.25">
      <c r="A906">
        <v>6</v>
      </c>
      <c r="B906" t="str">
        <f>HYPERLINK("http://www.ncbi.nlm.nih.gov/protein/XP_018056402.1","XP_018056402.1")</f>
        <v>XP_018056402.1</v>
      </c>
      <c r="C906">
        <v>31103</v>
      </c>
      <c r="D906" t="str">
        <f>HYPERLINK("http://www.ncbi.nlm.nih.gov/Taxonomy/Browser/wwwtax.cgi?mode=Info&amp;id=520822&amp;lvl=3&amp;lin=f&amp;keep=1&amp;srchmode=1&amp;unlock","520822")</f>
        <v>520822</v>
      </c>
      <c r="E906" t="s">
        <v>698</v>
      </c>
      <c r="F906" t="s">
        <v>698</v>
      </c>
      <c r="G906" t="str">
        <f>HYPERLINK("http://www.ncbi.nlm.nih.gov/Taxonomy/Browser/wwwtax.cgi?mode=Info&amp;id=520822&amp;lvl=3&amp;lin=f&amp;keep=1&amp;srchmode=1&amp;unlock","Atta colombica")</f>
        <v>Atta colombica</v>
      </c>
      <c r="H906" t="s">
        <v>848</v>
      </c>
      <c r="I906" t="str">
        <f>HYPERLINK("http://www.ncbi.nlm.nih.gov/protein/XP_018056402.1","PREDICTED: steroid hormone receptor ERR1 isoform X3")</f>
        <v>PREDICTED: steroid hormone receptor ERR1 isoform X3</v>
      </c>
      <c r="J906">
        <v>160.61000000000001</v>
      </c>
      <c r="K906" t="s">
        <v>25</v>
      </c>
      <c r="L906">
        <v>157</v>
      </c>
      <c r="M906">
        <v>44.41</v>
      </c>
      <c r="N906">
        <v>8.5500000000000007</v>
      </c>
      <c r="O906" t="s">
        <v>25</v>
      </c>
      <c r="P906" t="s">
        <v>965</v>
      </c>
      <c r="Q906" t="s">
        <v>20</v>
      </c>
      <c r="R906" t="str">
        <f>HYPERLINK("https://cfpub.epa.gov/ecotox/explore.cfm?ncbi=520822","Explore in ECOTOX")</f>
        <v>Explore in ECOTOX</v>
      </c>
    </row>
    <row r="907" spans="1:18" x14ac:dyDescent="0.25">
      <c r="A907">
        <v>6</v>
      </c>
      <c r="B907" t="str">
        <f>HYPERLINK("http://www.ncbi.nlm.nih.gov/protein/XP_018346890.1","XP_018346890.1")</f>
        <v>XP_018346890.1</v>
      </c>
      <c r="C907">
        <v>35616</v>
      </c>
      <c r="D907" t="str">
        <f>HYPERLINK("http://www.ncbi.nlm.nih.gov/Taxonomy/Browser/wwwtax.cgi?mode=Info&amp;id=34720&amp;lvl=3&amp;lin=f&amp;keep=1&amp;srchmode=1&amp;unlock","34720")</f>
        <v>34720</v>
      </c>
      <c r="E907" t="s">
        <v>698</v>
      </c>
      <c r="F907" t="s">
        <v>698</v>
      </c>
      <c r="G907" t="str">
        <f>HYPERLINK("http://www.ncbi.nlm.nih.gov/Taxonomy/Browser/wwwtax.cgi?mode=Info&amp;id=34720&amp;lvl=3&amp;lin=f&amp;keep=1&amp;srchmode=1&amp;unlock","Trachymyrmex septentrionalis")</f>
        <v>Trachymyrmex septentrionalis</v>
      </c>
      <c r="H907" t="s">
        <v>755</v>
      </c>
      <c r="I907" t="str">
        <f>HYPERLINK("http://www.ncbi.nlm.nih.gov/protein/XP_018346890.1","PREDICTED: steroid hormone receptor ERR1 isoform X2")</f>
        <v>PREDICTED: steroid hormone receptor ERR1 isoform X2</v>
      </c>
      <c r="J907">
        <v>160.61000000000001</v>
      </c>
      <c r="K907" t="s">
        <v>25</v>
      </c>
      <c r="L907">
        <v>157</v>
      </c>
      <c r="M907">
        <v>44.41</v>
      </c>
      <c r="N907">
        <v>8.5500000000000007</v>
      </c>
      <c r="O907" t="s">
        <v>25</v>
      </c>
      <c r="P907" t="s">
        <v>965</v>
      </c>
      <c r="Q907" t="s">
        <v>20</v>
      </c>
      <c r="R907" t="str">
        <f>HYPERLINK("https://cfpub.epa.gov/ecotox/explore.cfm?ncbi=34720","Explore in ECOTOX")</f>
        <v>Explore in ECOTOX</v>
      </c>
    </row>
    <row r="908" spans="1:18" x14ac:dyDescent="0.25">
      <c r="A908">
        <v>6</v>
      </c>
      <c r="B908" t="str">
        <f>HYPERLINK("http://www.ncbi.nlm.nih.gov/protein/XP_018358009.1","XP_018358009.1")</f>
        <v>XP_018358009.1</v>
      </c>
      <c r="C908">
        <v>40088</v>
      </c>
      <c r="D908" t="str">
        <f>HYPERLINK("http://www.ncbi.nlm.nih.gov/Taxonomy/Browser/wwwtax.cgi?mode=Info&amp;id=471704&amp;lvl=3&amp;lin=f&amp;keep=1&amp;srchmode=1&amp;unlock","471704")</f>
        <v>471704</v>
      </c>
      <c r="E908" t="s">
        <v>698</v>
      </c>
      <c r="F908" t="s">
        <v>698</v>
      </c>
      <c r="G908" t="str">
        <f>HYPERLINK("http://www.ncbi.nlm.nih.gov/Taxonomy/Browser/wwwtax.cgi?mode=Info&amp;id=471704&amp;lvl=3&amp;lin=f&amp;keep=1&amp;srchmode=1&amp;unlock","Trachymyrmex cornetzi")</f>
        <v>Trachymyrmex cornetzi</v>
      </c>
      <c r="H908" t="s">
        <v>755</v>
      </c>
      <c r="I908" t="str">
        <f>HYPERLINK("http://www.ncbi.nlm.nih.gov/protein/XP_018358009.1","PREDICTED: steroid hormone receptor ERR1 isoform X3")</f>
        <v>PREDICTED: steroid hormone receptor ERR1 isoform X3</v>
      </c>
      <c r="J908">
        <v>160.22999999999999</v>
      </c>
      <c r="K908" t="s">
        <v>25</v>
      </c>
      <c r="L908">
        <v>157</v>
      </c>
      <c r="M908">
        <v>44.41</v>
      </c>
      <c r="N908">
        <v>8.5299999999999994</v>
      </c>
      <c r="O908" t="s">
        <v>25</v>
      </c>
      <c r="P908" t="s">
        <v>965</v>
      </c>
      <c r="Q908" t="s">
        <v>20</v>
      </c>
      <c r="R908" t="str">
        <f>HYPERLINK("https://cfpub.epa.gov/ecotox/explore.cfm?ncbi=471704","Explore in ECOTOX")</f>
        <v>Explore in ECOTOX</v>
      </c>
    </row>
    <row r="909" spans="1:18" x14ac:dyDescent="0.25">
      <c r="A909">
        <v>6</v>
      </c>
      <c r="B909" t="str">
        <f>HYPERLINK("http://www.ncbi.nlm.nih.gov/protein/NP_001155988.1","NP_001155988.1")</f>
        <v>NP_001155988.1</v>
      </c>
      <c r="C909">
        <v>27014</v>
      </c>
      <c r="D909" t="str">
        <f>HYPERLINK("http://www.ncbi.nlm.nih.gov/Taxonomy/Browser/wwwtax.cgi?mode=Info&amp;id=7460&amp;lvl=3&amp;lin=f&amp;keep=1&amp;srchmode=1&amp;unlock","7460")</f>
        <v>7460</v>
      </c>
      <c r="E909" t="s">
        <v>698</v>
      </c>
      <c r="F909" t="s">
        <v>698</v>
      </c>
      <c r="G909" t="str">
        <f>HYPERLINK("http://www.ncbi.nlm.nih.gov/Taxonomy/Browser/wwwtax.cgi?mode=Info&amp;id=7460&amp;lvl=3&amp;lin=f&amp;keep=1&amp;srchmode=1&amp;unlock","Apis mellifera")</f>
        <v>Apis mellifera</v>
      </c>
      <c r="H909" t="s">
        <v>1121</v>
      </c>
      <c r="I909" t="str">
        <f>HYPERLINK("http://www.ncbi.nlm.nih.gov/protein/NP_001155988.1","estrogen-related receptor")</f>
        <v>estrogen-related receptor</v>
      </c>
      <c r="J909">
        <v>160.22999999999999</v>
      </c>
      <c r="K909" t="s">
        <v>25</v>
      </c>
      <c r="L909">
        <v>157</v>
      </c>
      <c r="M909">
        <v>44.41</v>
      </c>
      <c r="N909">
        <v>8.5299999999999994</v>
      </c>
      <c r="O909" t="s">
        <v>25</v>
      </c>
      <c r="P909" t="s">
        <v>965</v>
      </c>
      <c r="Q909" t="s">
        <v>20</v>
      </c>
      <c r="R909" t="str">
        <f>HYPERLINK("https://cfpub.epa.gov/ecotox/explore.cfm?ncbi=7460","Explore in ECOTOX")</f>
        <v>Explore in ECOTOX</v>
      </c>
    </row>
    <row r="910" spans="1:18" x14ac:dyDescent="0.25">
      <c r="A910">
        <v>6</v>
      </c>
      <c r="B910" t="str">
        <f>HYPERLINK("http://www.ncbi.nlm.nih.gov/protein/XP_031846631.1","XP_031846631.1")</f>
        <v>XP_031846631.1</v>
      </c>
      <c r="C910">
        <v>25323</v>
      </c>
      <c r="D910" t="str">
        <f>HYPERLINK("http://www.ncbi.nlm.nih.gov/Taxonomy/Browser/wwwtax.cgi?mode=Info&amp;id=2448451&amp;lvl=3&amp;lin=f&amp;keep=1&amp;srchmode=1&amp;unlock","2448451")</f>
        <v>2448451</v>
      </c>
      <c r="E910" t="s">
        <v>698</v>
      </c>
      <c r="F910" t="s">
        <v>698</v>
      </c>
      <c r="G910" t="str">
        <f>HYPERLINK("http://www.ncbi.nlm.nih.gov/Taxonomy/Browser/wwwtax.cgi?mode=Info&amp;id=2448451&amp;lvl=3&amp;lin=f&amp;keep=1&amp;srchmode=1&amp;unlock","Nomia melanderi")</f>
        <v>Nomia melanderi</v>
      </c>
      <c r="H910" t="s">
        <v>810</v>
      </c>
      <c r="I910" t="str">
        <f>HYPERLINK("http://www.ncbi.nlm.nih.gov/protein/XP_031846631.1","steroid hormone receptor ERR1 isoform X2")</f>
        <v>steroid hormone receptor ERR1 isoform X2</v>
      </c>
      <c r="J910">
        <v>160.22999999999999</v>
      </c>
      <c r="K910" t="s">
        <v>25</v>
      </c>
      <c r="L910">
        <v>157</v>
      </c>
      <c r="M910">
        <v>44.41</v>
      </c>
      <c r="N910">
        <v>8.5299999999999994</v>
      </c>
      <c r="O910" t="s">
        <v>25</v>
      </c>
      <c r="P910" t="s">
        <v>965</v>
      </c>
      <c r="Q910" t="s">
        <v>20</v>
      </c>
      <c r="R910" t="str">
        <f>HYPERLINK("https://cfpub.epa.gov/ecotox/explore.cfm?ncbi=2448451","Explore in ECOTOX")</f>
        <v>Explore in ECOTOX</v>
      </c>
    </row>
    <row r="911" spans="1:18" x14ac:dyDescent="0.25">
      <c r="A911">
        <v>6</v>
      </c>
      <c r="B911" t="str">
        <f>HYPERLINK("http://www.ncbi.nlm.nih.gov/protein/XP_022688888.1","XP_022688888.1")</f>
        <v>XP_022688888.1</v>
      </c>
      <c r="C911">
        <v>26233</v>
      </c>
      <c r="D911" t="str">
        <f>HYPERLINK("http://www.ncbi.nlm.nih.gov/Taxonomy/Browser/wwwtax.cgi?mode=Info&amp;id=62625&amp;lvl=3&amp;lin=f&amp;keep=1&amp;srchmode=1&amp;unlock","62625")</f>
        <v>62625</v>
      </c>
      <c r="E911" t="s">
        <v>700</v>
      </c>
      <c r="F911" t="s">
        <v>700</v>
      </c>
      <c r="G911" t="str">
        <f>HYPERLINK("http://www.ncbi.nlm.nih.gov/Taxonomy/Browser/wwwtax.cgi?mode=Info&amp;id=62625&amp;lvl=3&amp;lin=f&amp;keep=1&amp;srchmode=1&amp;unlock","Varroa jacobsoni")</f>
        <v>Varroa jacobsoni</v>
      </c>
      <c r="H911" t="s">
        <v>701</v>
      </c>
      <c r="I911" t="str">
        <f>HYPERLINK("http://www.ncbi.nlm.nih.gov/protein/XP_022688888.1","steroid hormone receptor ERR1-like isoform X6")</f>
        <v>steroid hormone receptor ERR1-like isoform X6</v>
      </c>
      <c r="J911">
        <v>160.22999999999999</v>
      </c>
      <c r="K911" t="s">
        <v>25</v>
      </c>
      <c r="L911">
        <v>157</v>
      </c>
      <c r="M911">
        <v>44.41</v>
      </c>
      <c r="N911">
        <v>8.5299999999999994</v>
      </c>
      <c r="O911" t="s">
        <v>25</v>
      </c>
      <c r="P911" t="s">
        <v>965</v>
      </c>
      <c r="Q911" t="s">
        <v>20</v>
      </c>
      <c r="R911" t="str">
        <f>HYPERLINK("https://cfpub.epa.gov/ecotox/explore.cfm?ncbi=62625","Explore in ECOTOX")</f>
        <v>Explore in ECOTOX</v>
      </c>
    </row>
    <row r="912" spans="1:18" x14ac:dyDescent="0.25">
      <c r="A912">
        <v>6</v>
      </c>
      <c r="B912" t="str">
        <f>HYPERLINK("http://www.ncbi.nlm.nih.gov/protein/XP_016912222.1","XP_016912222.1")</f>
        <v>XP_016912222.1</v>
      </c>
      <c r="C912">
        <v>22011</v>
      </c>
      <c r="D912" t="str">
        <f>HYPERLINK("http://www.ncbi.nlm.nih.gov/Taxonomy/Browser/wwwtax.cgi?mode=Info&amp;id=7461&amp;lvl=3&amp;lin=f&amp;keep=1&amp;srchmode=1&amp;unlock","7461")</f>
        <v>7461</v>
      </c>
      <c r="E912" t="s">
        <v>698</v>
      </c>
      <c r="F912" t="s">
        <v>698</v>
      </c>
      <c r="G912" t="str">
        <f>HYPERLINK("http://www.ncbi.nlm.nih.gov/Taxonomy/Browser/wwwtax.cgi?mode=Info&amp;id=7461&amp;lvl=3&amp;lin=f&amp;keep=1&amp;srchmode=1&amp;unlock","Apis cerana")</f>
        <v>Apis cerana</v>
      </c>
      <c r="H912" t="s">
        <v>736</v>
      </c>
      <c r="I912" t="str">
        <f>HYPERLINK("http://www.ncbi.nlm.nih.gov/protein/XP_016912222.1","steroid hormone receptor ERR2 isoform X6")</f>
        <v>steroid hormone receptor ERR2 isoform X6</v>
      </c>
      <c r="J912">
        <v>160.22999999999999</v>
      </c>
      <c r="K912" t="s">
        <v>25</v>
      </c>
      <c r="L912">
        <v>157</v>
      </c>
      <c r="M912">
        <v>44.41</v>
      </c>
      <c r="N912">
        <v>8.5299999999999994</v>
      </c>
      <c r="O912" t="s">
        <v>25</v>
      </c>
      <c r="P912" t="s">
        <v>965</v>
      </c>
      <c r="Q912" t="s">
        <v>20</v>
      </c>
      <c r="R912" t="str">
        <f>HYPERLINK("https://cfpub.epa.gov/ecotox/explore.cfm?ncbi=7461","Explore in ECOTOX")</f>
        <v>Explore in ECOTOX</v>
      </c>
    </row>
    <row r="913" spans="1:18" x14ac:dyDescent="0.25">
      <c r="A913">
        <v>6</v>
      </c>
      <c r="B913" t="str">
        <f>HYPERLINK("http://www.ncbi.nlm.nih.gov/protein/AKQ06251.1","AKQ06251.1")</f>
        <v>AKQ06251.1</v>
      </c>
      <c r="C913">
        <v>10310</v>
      </c>
      <c r="D913" t="str">
        <f>HYPERLINK("http://www.ncbi.nlm.nih.gov/Taxonomy/Browser/wwwtax.cgi?mode=Info&amp;id=94128&amp;lvl=3&amp;lin=f&amp;keep=1&amp;srchmode=1&amp;unlock","94128")</f>
        <v>94128</v>
      </c>
      <c r="E913" t="s">
        <v>698</v>
      </c>
      <c r="F913" t="s">
        <v>698</v>
      </c>
      <c r="G913" t="str">
        <f>HYPERLINK("http://www.ncbi.nlm.nih.gov/Taxonomy/Browser/wwwtax.cgi?mode=Info&amp;id=94128&amp;lvl=3&amp;lin=f&amp;keep=1&amp;srchmode=1&amp;unlock","Apis cerana cerana")</f>
        <v>Apis cerana cerana</v>
      </c>
      <c r="H913" t="s">
        <v>736</v>
      </c>
      <c r="I913" t="str">
        <f>HYPERLINK("http://www.ncbi.nlm.nih.gov/protein/AKQ06251.1","ERR")</f>
        <v>ERR</v>
      </c>
      <c r="J913">
        <v>160.22999999999999</v>
      </c>
      <c r="K913" t="s">
        <v>25</v>
      </c>
      <c r="L913">
        <v>157</v>
      </c>
      <c r="M913">
        <v>44.41</v>
      </c>
      <c r="N913">
        <v>8.5299999999999994</v>
      </c>
      <c r="O913" t="s">
        <v>25</v>
      </c>
      <c r="P913" t="s">
        <v>965</v>
      </c>
      <c r="Q913" t="s">
        <v>20</v>
      </c>
      <c r="R913" t="str">
        <f>HYPERLINK("https://cfpub.epa.gov/ecotox/explore.cfm?ncbi=94128","Explore in ECOTOX")</f>
        <v>Explore in ECOTOX</v>
      </c>
    </row>
    <row r="914" spans="1:18" x14ac:dyDescent="0.25">
      <c r="A914">
        <v>6</v>
      </c>
      <c r="B914" t="str">
        <f>HYPERLINK("http://www.ncbi.nlm.nih.gov/protein/XP_026671089.1","XP_026671089.1")</f>
        <v>XP_026671089.1</v>
      </c>
      <c r="C914">
        <v>23322</v>
      </c>
      <c r="D914" t="str">
        <f>HYPERLINK("http://www.ncbi.nlm.nih.gov/Taxonomy/Browser/wwwtax.cgi?mode=Info&amp;id=156304&amp;lvl=3&amp;lin=f&amp;keep=1&amp;srchmode=1&amp;unlock","156304")</f>
        <v>156304</v>
      </c>
      <c r="E914" t="s">
        <v>698</v>
      </c>
      <c r="F914" t="s">
        <v>698</v>
      </c>
      <c r="G914" t="str">
        <f>HYPERLINK("http://www.ncbi.nlm.nih.gov/Taxonomy/Browser/wwwtax.cgi?mode=Info&amp;id=156304&amp;lvl=3&amp;lin=f&amp;keep=1&amp;srchmode=1&amp;unlock","Ceratina calcarata")</f>
        <v>Ceratina calcarata</v>
      </c>
      <c r="H914" t="s">
        <v>767</v>
      </c>
      <c r="I914" t="str">
        <f>HYPERLINK("http://www.ncbi.nlm.nih.gov/protein/XP_026671089.1","steroid hormone receptor ERR1 isoform X3")</f>
        <v>steroid hormone receptor ERR1 isoform X3</v>
      </c>
      <c r="J914">
        <v>160.22999999999999</v>
      </c>
      <c r="K914" t="s">
        <v>25</v>
      </c>
      <c r="L914">
        <v>157</v>
      </c>
      <c r="M914">
        <v>44.41</v>
      </c>
      <c r="N914">
        <v>8.5299999999999994</v>
      </c>
      <c r="O914" t="s">
        <v>25</v>
      </c>
      <c r="P914" t="s">
        <v>965</v>
      </c>
      <c r="Q914" t="s">
        <v>20</v>
      </c>
      <c r="R914" t="str">
        <f>HYPERLINK("https://cfpub.epa.gov/ecotox/explore.cfm?ncbi=156304","Explore in ECOTOX")</f>
        <v>Explore in ECOTOX</v>
      </c>
    </row>
    <row r="915" spans="1:18" x14ac:dyDescent="0.25">
      <c r="A915">
        <v>6</v>
      </c>
      <c r="B915" t="str">
        <f>HYPERLINK("http://www.ncbi.nlm.nih.gov/protein/XP_011352622.1","XP_011352622.1")</f>
        <v>XP_011352622.1</v>
      </c>
      <c r="C915">
        <v>53814</v>
      </c>
      <c r="D915" t="str">
        <f>HYPERLINK("http://www.ncbi.nlm.nih.gov/Taxonomy/Browser/wwwtax.cgi?mode=Info&amp;id=2015173&amp;lvl=3&amp;lin=f&amp;keep=1&amp;srchmode=1&amp;unlock","2015173")</f>
        <v>2015173</v>
      </c>
      <c r="E915" t="s">
        <v>698</v>
      </c>
      <c r="F915" t="s">
        <v>698</v>
      </c>
      <c r="G915" t="str">
        <f>HYPERLINK("http://www.ncbi.nlm.nih.gov/Taxonomy/Browser/wwwtax.cgi?mode=Info&amp;id=2015173&amp;lvl=3&amp;lin=f&amp;keep=1&amp;srchmode=1&amp;unlock","Ooceraea biroi")</f>
        <v>Ooceraea biroi</v>
      </c>
      <c r="H915" t="s">
        <v>813</v>
      </c>
      <c r="I915" t="str">
        <f>HYPERLINK("http://www.ncbi.nlm.nih.gov/protein/XP_011352622.1","steroid hormone receptor ERR2 isoform X10")</f>
        <v>steroid hormone receptor ERR2 isoform X10</v>
      </c>
      <c r="J915">
        <v>159.84</v>
      </c>
      <c r="K915" t="s">
        <v>25</v>
      </c>
      <c r="L915">
        <v>157</v>
      </c>
      <c r="M915">
        <v>44.41</v>
      </c>
      <c r="N915">
        <v>8.51</v>
      </c>
      <c r="O915" t="s">
        <v>25</v>
      </c>
      <c r="P915" t="s">
        <v>965</v>
      </c>
      <c r="Q915" t="s">
        <v>20</v>
      </c>
      <c r="R915" t="str">
        <f>HYPERLINK("https://cfpub.epa.gov/ecotox/explore.cfm?ncbi=2015173","Explore in ECOTOX")</f>
        <v>Explore in ECOTOX</v>
      </c>
    </row>
    <row r="916" spans="1:18" x14ac:dyDescent="0.25">
      <c r="A916">
        <v>6</v>
      </c>
      <c r="B916" t="str">
        <f>HYPERLINK("http://www.ncbi.nlm.nih.gov/protein/ACT33953.1","ACT33953.1")</f>
        <v>ACT33953.1</v>
      </c>
      <c r="C916">
        <v>648</v>
      </c>
      <c r="D916" t="str">
        <f>HYPERLINK("http://www.ncbi.nlm.nih.gov/Taxonomy/Browser/wwwtax.cgi?mode=Info&amp;id=9860&amp;lvl=3&amp;lin=f&amp;keep=1&amp;srchmode=1&amp;unlock","9860")</f>
        <v>9860</v>
      </c>
      <c r="E916" t="s">
        <v>18</v>
      </c>
      <c r="F916" t="s">
        <v>18</v>
      </c>
      <c r="G916" t="str">
        <f>HYPERLINK("http://www.ncbi.nlm.nih.gov/Taxonomy/Browser/wwwtax.cgi?mode=Info&amp;id=9860&amp;lvl=3&amp;lin=f&amp;keep=1&amp;srchmode=1&amp;unlock","Cervus elaphus")</f>
        <v>Cervus elaphus</v>
      </c>
      <c r="H916" t="s">
        <v>1122</v>
      </c>
      <c r="I916" t="str">
        <f>HYPERLINK("http://www.ncbi.nlm.nih.gov/protein/ACT33953.1","estrogen receptor beta transcript variant 2")</f>
        <v>estrogen receptor beta transcript variant 2</v>
      </c>
      <c r="J916">
        <v>159.84</v>
      </c>
      <c r="K916" t="s">
        <v>25</v>
      </c>
      <c r="L916">
        <v>157</v>
      </c>
      <c r="M916">
        <v>44.41</v>
      </c>
      <c r="N916">
        <v>8.51</v>
      </c>
      <c r="O916" t="s">
        <v>20</v>
      </c>
      <c r="P916" t="s">
        <v>965</v>
      </c>
      <c r="Q916" t="s">
        <v>20</v>
      </c>
      <c r="R916" t="str">
        <f>HYPERLINK("https://cfpub.epa.gov/ecotox/explore.cfm?ncbi=9860","Explore in ECOTOX")</f>
        <v>Explore in ECOTOX</v>
      </c>
    </row>
    <row r="917" spans="1:18" x14ac:dyDescent="0.25">
      <c r="A917">
        <v>6</v>
      </c>
      <c r="B917" t="str">
        <f>HYPERLINK("http://www.ncbi.nlm.nih.gov/protein/XP_015171696.1","XP_015171696.1")</f>
        <v>XP_015171696.1</v>
      </c>
      <c r="C917">
        <v>20991</v>
      </c>
      <c r="D917" t="str">
        <f>HYPERLINK("http://www.ncbi.nlm.nih.gov/Taxonomy/Browser/wwwtax.cgi?mode=Info&amp;id=743375&amp;lvl=3&amp;lin=f&amp;keep=1&amp;srchmode=1&amp;unlock","743375")</f>
        <v>743375</v>
      </c>
      <c r="E917" t="s">
        <v>698</v>
      </c>
      <c r="F917" t="s">
        <v>698</v>
      </c>
      <c r="G917" t="str">
        <f>HYPERLINK("http://www.ncbi.nlm.nih.gov/Taxonomy/Browser/wwwtax.cgi?mode=Info&amp;id=743375&amp;lvl=3&amp;lin=f&amp;keep=1&amp;srchmode=1&amp;unlock","Polistes dominula")</f>
        <v>Polistes dominula</v>
      </c>
      <c r="H917" t="s">
        <v>781</v>
      </c>
      <c r="I917" t="str">
        <f>HYPERLINK("http://www.ncbi.nlm.nih.gov/protein/XP_015171696.1","PREDICTED: steroid hormone receptor ERR1 isoform X5")</f>
        <v>PREDICTED: steroid hormone receptor ERR1 isoform X5</v>
      </c>
      <c r="J917">
        <v>159.84</v>
      </c>
      <c r="K917" t="s">
        <v>25</v>
      </c>
      <c r="L917">
        <v>157</v>
      </c>
      <c r="M917">
        <v>44.41</v>
      </c>
      <c r="N917">
        <v>8.51</v>
      </c>
      <c r="O917" t="s">
        <v>25</v>
      </c>
      <c r="P917" t="s">
        <v>965</v>
      </c>
      <c r="Q917" t="s">
        <v>20</v>
      </c>
      <c r="R917" t="str">
        <f>HYPERLINK("https://cfpub.epa.gov/ecotox/explore.cfm?ncbi=743375","Explore in ECOTOX")</f>
        <v>Explore in ECOTOX</v>
      </c>
    </row>
    <row r="918" spans="1:18" x14ac:dyDescent="0.25">
      <c r="A918">
        <v>6</v>
      </c>
      <c r="B918" t="str">
        <f>HYPERLINK("http://www.ncbi.nlm.nih.gov/protein/XP_037525182.1","XP_037525182.1")</f>
        <v>XP_037525182.1</v>
      </c>
      <c r="C918">
        <v>32522</v>
      </c>
      <c r="D918" t="str">
        <f>HYPERLINK("http://www.ncbi.nlm.nih.gov/Taxonomy/Browser/wwwtax.cgi?mode=Info&amp;id=34632&amp;lvl=3&amp;lin=f&amp;keep=1&amp;srchmode=1&amp;unlock","34632")</f>
        <v>34632</v>
      </c>
      <c r="E918" t="s">
        <v>700</v>
      </c>
      <c r="F918" t="s">
        <v>700</v>
      </c>
      <c r="G918" t="str">
        <f>HYPERLINK("http://www.ncbi.nlm.nih.gov/Taxonomy/Browser/wwwtax.cgi?mode=Info&amp;id=34632&amp;lvl=3&amp;lin=f&amp;keep=1&amp;srchmode=1&amp;unlock","Rhipicephalus sanguineus")</f>
        <v>Rhipicephalus sanguineus</v>
      </c>
      <c r="H918" t="s">
        <v>895</v>
      </c>
      <c r="I918" t="str">
        <f>HYPERLINK("http://www.ncbi.nlm.nih.gov/protein/XP_037525182.1","LOW QUALITY PROTEIN: steroid hormone receptor ERR1-like")</f>
        <v>LOW QUALITY PROTEIN: steroid hormone receptor ERR1-like</v>
      </c>
      <c r="J918">
        <v>159.84</v>
      </c>
      <c r="K918" t="s">
        <v>25</v>
      </c>
      <c r="L918">
        <v>157</v>
      </c>
      <c r="M918">
        <v>44.41</v>
      </c>
      <c r="N918">
        <v>8.51</v>
      </c>
      <c r="O918" t="s">
        <v>25</v>
      </c>
      <c r="P918" t="s">
        <v>965</v>
      </c>
      <c r="Q918" t="s">
        <v>20</v>
      </c>
      <c r="R918" t="str">
        <f>HYPERLINK("https://cfpub.epa.gov/ecotox/explore.cfm?ncbi=34632","Explore in ECOTOX")</f>
        <v>Explore in ECOTOX</v>
      </c>
    </row>
    <row r="919" spans="1:18" x14ac:dyDescent="0.25">
      <c r="A919">
        <v>6</v>
      </c>
      <c r="B919" t="str">
        <f>HYPERLINK("http://www.ncbi.nlm.nih.gov/protein/XP_020278714.1","XP_020278714.1")</f>
        <v>XP_020278714.1</v>
      </c>
      <c r="C919">
        <v>23521</v>
      </c>
      <c r="D919" t="str">
        <f>HYPERLINK("http://www.ncbi.nlm.nih.gov/Taxonomy/Browser/wwwtax.cgi?mode=Info&amp;id=219809&amp;lvl=3&amp;lin=f&amp;keep=1&amp;srchmode=1&amp;unlock","219809")</f>
        <v>219809</v>
      </c>
      <c r="E919" t="s">
        <v>698</v>
      </c>
      <c r="F919" t="s">
        <v>698</v>
      </c>
      <c r="G919" t="str">
        <f>HYPERLINK("http://www.ncbi.nlm.nih.gov/Taxonomy/Browser/wwwtax.cgi?mode=Info&amp;id=219809&amp;lvl=3&amp;lin=f&amp;keep=1&amp;srchmode=1&amp;unlock","Pseudomyrmex gracilis")</f>
        <v>Pseudomyrmex gracilis</v>
      </c>
      <c r="H919" t="s">
        <v>755</v>
      </c>
      <c r="I919" t="str">
        <f>HYPERLINK("http://www.ncbi.nlm.nih.gov/protein/XP_020278714.1","steroid hormone receptor ERR1 isoform X2")</f>
        <v>steroid hormone receptor ERR1 isoform X2</v>
      </c>
      <c r="J919">
        <v>159.84</v>
      </c>
      <c r="K919" t="s">
        <v>25</v>
      </c>
      <c r="L919">
        <v>157</v>
      </c>
      <c r="M919">
        <v>44.41</v>
      </c>
      <c r="N919">
        <v>8.51</v>
      </c>
      <c r="O919" t="s">
        <v>25</v>
      </c>
      <c r="P919" t="s">
        <v>965</v>
      </c>
      <c r="Q919" t="s">
        <v>20</v>
      </c>
      <c r="R919" t="str">
        <f>HYPERLINK("https://cfpub.epa.gov/ecotox/explore.cfm?ncbi=219809","Explore in ECOTOX")</f>
        <v>Explore in ECOTOX</v>
      </c>
    </row>
    <row r="920" spans="1:18" x14ac:dyDescent="0.25">
      <c r="A920">
        <v>6</v>
      </c>
      <c r="B920" t="str">
        <f>HYPERLINK("http://www.ncbi.nlm.nih.gov/protein/XP_033324395.1","XP_033324395.1")</f>
        <v>XP_033324395.1</v>
      </c>
      <c r="C920">
        <v>22393</v>
      </c>
      <c r="D920" t="str">
        <f>HYPERLINK("http://www.ncbi.nlm.nih.gov/Taxonomy/Browser/wwwtax.cgi?mode=Info&amp;id=115081&amp;lvl=3&amp;lin=f&amp;keep=1&amp;srchmode=1&amp;unlock","115081")</f>
        <v>115081</v>
      </c>
      <c r="E920" t="s">
        <v>698</v>
      </c>
      <c r="F920" t="s">
        <v>698</v>
      </c>
      <c r="G920" t="str">
        <f>HYPERLINK("http://www.ncbi.nlm.nih.gov/Taxonomy/Browser/wwwtax.cgi?mode=Info&amp;id=115081&amp;lvl=3&amp;lin=f&amp;keep=1&amp;srchmode=1&amp;unlock","Megalopta genalis")</f>
        <v>Megalopta genalis</v>
      </c>
      <c r="H920" t="s">
        <v>860</v>
      </c>
      <c r="I920" t="str">
        <f>HYPERLINK("http://www.ncbi.nlm.nih.gov/protein/XP_033324395.1","steroid hormone receptor ERR1 isoform X2")</f>
        <v>steroid hormone receptor ERR1 isoform X2</v>
      </c>
      <c r="J920">
        <v>159.84</v>
      </c>
      <c r="K920" t="s">
        <v>25</v>
      </c>
      <c r="L920">
        <v>157</v>
      </c>
      <c r="M920">
        <v>44.41</v>
      </c>
      <c r="N920">
        <v>8.51</v>
      </c>
      <c r="O920" t="s">
        <v>25</v>
      </c>
      <c r="P920" t="s">
        <v>965</v>
      </c>
      <c r="Q920" t="s">
        <v>20</v>
      </c>
      <c r="R920" t="str">
        <f>HYPERLINK("https://cfpub.epa.gov/ecotox/explore.cfm?ncbi=115081","Explore in ECOTOX")</f>
        <v>Explore in ECOTOX</v>
      </c>
    </row>
    <row r="921" spans="1:18" x14ac:dyDescent="0.25">
      <c r="A921">
        <v>6</v>
      </c>
      <c r="B921" t="str">
        <f>HYPERLINK("http://www.ncbi.nlm.nih.gov/protein/BAC66480.2","BAC66480.2")</f>
        <v>BAC66480.2</v>
      </c>
      <c r="C921">
        <v>155</v>
      </c>
      <c r="D921" t="str">
        <f>HYPERLINK("http://www.ncbi.nlm.nih.gov/Taxonomy/Browser/wwwtax.cgi?mode=Info&amp;id=272940&amp;lvl=3&amp;lin=f&amp;keep=1&amp;srchmode=1&amp;unlock","272940")</f>
        <v>272940</v>
      </c>
      <c r="E921" t="s">
        <v>763</v>
      </c>
      <c r="F921" t="s">
        <v>763</v>
      </c>
      <c r="G921" t="str">
        <f>HYPERLINK("http://www.ncbi.nlm.nih.gov/Taxonomy/Browser/wwwtax.cgi?mode=Info&amp;id=272940&amp;lvl=3&amp;lin=f&amp;keep=1&amp;srchmode=1&amp;unlock","Reishia clavigera")</f>
        <v>Reishia clavigera</v>
      </c>
      <c r="H921" t="s">
        <v>946</v>
      </c>
      <c r="I921" t="str">
        <f>HYPERLINK("http://www.ncbi.nlm.nih.gov/protein/BAC66480.2","estrogen receptor")</f>
        <v>estrogen receptor</v>
      </c>
      <c r="J921">
        <v>159.84</v>
      </c>
      <c r="K921" t="s">
        <v>25</v>
      </c>
      <c r="L921">
        <v>157</v>
      </c>
      <c r="M921">
        <v>44.41</v>
      </c>
      <c r="N921">
        <v>8.51</v>
      </c>
      <c r="O921" t="s">
        <v>25</v>
      </c>
      <c r="P921" t="s">
        <v>965</v>
      </c>
      <c r="Q921" t="s">
        <v>20</v>
      </c>
      <c r="R921" t="str">
        <f>HYPERLINK("https://cfpub.epa.gov/ecotox/explore.cfm?ncbi=272940","Explore in ECOTOX")</f>
        <v>Explore in ECOTOX</v>
      </c>
    </row>
    <row r="922" spans="1:18" x14ac:dyDescent="0.25">
      <c r="A922">
        <v>6</v>
      </c>
      <c r="B922" t="str">
        <f>HYPERLINK("http://www.ncbi.nlm.nih.gov/protein/XP_025156384.1","XP_025156384.1")</f>
        <v>XP_025156384.1</v>
      </c>
      <c r="C922">
        <v>41871</v>
      </c>
      <c r="D922" t="str">
        <f>HYPERLINK("http://www.ncbi.nlm.nih.gov/Taxonomy/Browser/wwwtax.cgi?mode=Info&amp;id=610380&amp;lvl=3&amp;lin=f&amp;keep=1&amp;srchmode=1&amp;unlock","610380")</f>
        <v>610380</v>
      </c>
      <c r="E922" t="s">
        <v>698</v>
      </c>
      <c r="F922" t="s">
        <v>698</v>
      </c>
      <c r="G922" t="str">
        <f>HYPERLINK("http://www.ncbi.nlm.nih.gov/Taxonomy/Browser/wwwtax.cgi?mode=Info&amp;id=610380&amp;lvl=3&amp;lin=f&amp;keep=1&amp;srchmode=1&amp;unlock","Harpegnathos saltator")</f>
        <v>Harpegnathos saltator</v>
      </c>
      <c r="H922" t="s">
        <v>815</v>
      </c>
      <c r="I922" t="str">
        <f>HYPERLINK("http://www.ncbi.nlm.nih.gov/protein/XP_025156384.1","steroid hormone receptor ERR2 isoform X13")</f>
        <v>steroid hormone receptor ERR2 isoform X13</v>
      </c>
      <c r="J922">
        <v>159.46</v>
      </c>
      <c r="K922" t="s">
        <v>25</v>
      </c>
      <c r="L922">
        <v>157</v>
      </c>
      <c r="M922">
        <v>44.41</v>
      </c>
      <c r="N922">
        <v>8.49</v>
      </c>
      <c r="O922" t="s">
        <v>25</v>
      </c>
      <c r="P922" t="s">
        <v>965</v>
      </c>
      <c r="Q922" t="s">
        <v>20</v>
      </c>
      <c r="R922" t="str">
        <f>HYPERLINK("https://cfpub.epa.gov/ecotox/explore.cfm?ncbi=610380","Explore in ECOTOX")</f>
        <v>Explore in ECOTOX</v>
      </c>
    </row>
    <row r="923" spans="1:18" x14ac:dyDescent="0.25">
      <c r="A923">
        <v>6</v>
      </c>
      <c r="B923" t="str">
        <f>HYPERLINK("http://www.ncbi.nlm.nih.gov/protein/TGZ54809.1","TGZ54809.1")</f>
        <v>TGZ54809.1</v>
      </c>
      <c r="C923">
        <v>13122</v>
      </c>
      <c r="D923" t="str">
        <f>HYPERLINK("http://www.ncbi.nlm.nih.gov/Taxonomy/Browser/wwwtax.cgi?mode=Info&amp;id=300112&amp;lvl=3&amp;lin=f&amp;keep=1&amp;srchmode=1&amp;unlock","300112")</f>
        <v>300112</v>
      </c>
      <c r="E923" t="s">
        <v>698</v>
      </c>
      <c r="F923" t="s">
        <v>698</v>
      </c>
      <c r="G923" t="str">
        <f>HYPERLINK("http://www.ncbi.nlm.nih.gov/Taxonomy/Browser/wwwtax.cgi?mode=Info&amp;id=300112&amp;lvl=3&amp;lin=f&amp;keep=1&amp;srchmode=1&amp;unlock","Temnothorax longispinosus")</f>
        <v>Temnothorax longispinosus</v>
      </c>
      <c r="H923" t="s">
        <v>755</v>
      </c>
      <c r="I923" t="str">
        <f>HYPERLINK("http://www.ncbi.nlm.nih.gov/protein/TGZ54809.1","Estrogen-related receptor")</f>
        <v>Estrogen-related receptor</v>
      </c>
      <c r="J923">
        <v>159.46</v>
      </c>
      <c r="K923" t="s">
        <v>25</v>
      </c>
      <c r="L923">
        <v>157</v>
      </c>
      <c r="M923">
        <v>44.41</v>
      </c>
      <c r="N923">
        <v>8.49</v>
      </c>
      <c r="O923" t="s">
        <v>25</v>
      </c>
      <c r="P923" t="s">
        <v>965</v>
      </c>
      <c r="Q923" t="s">
        <v>20</v>
      </c>
      <c r="R923" t="str">
        <f>HYPERLINK("https://cfpub.epa.gov/ecotox/explore.cfm?ncbi=300112","Explore in ECOTOX")</f>
        <v>Explore in ECOTOX</v>
      </c>
    </row>
    <row r="924" spans="1:18" x14ac:dyDescent="0.25">
      <c r="A924">
        <v>6</v>
      </c>
      <c r="B924" t="str">
        <f>HYPERLINK("http://www.ncbi.nlm.nih.gov/protein/XP_012149926.1","XP_012149926.1")</f>
        <v>XP_012149926.1</v>
      </c>
      <c r="C924">
        <v>26089</v>
      </c>
      <c r="D924" t="str">
        <f>HYPERLINK("http://www.ncbi.nlm.nih.gov/Taxonomy/Browser/wwwtax.cgi?mode=Info&amp;id=143995&amp;lvl=3&amp;lin=f&amp;keep=1&amp;srchmode=1&amp;unlock","143995")</f>
        <v>143995</v>
      </c>
      <c r="E924" t="s">
        <v>698</v>
      </c>
      <c r="F924" t="s">
        <v>698</v>
      </c>
      <c r="G924" t="str">
        <f>HYPERLINK("http://www.ncbi.nlm.nih.gov/Taxonomy/Browser/wwwtax.cgi?mode=Info&amp;id=143995&amp;lvl=3&amp;lin=f&amp;keep=1&amp;srchmode=1&amp;unlock","Megachile rotundata")</f>
        <v>Megachile rotundata</v>
      </c>
      <c r="H924" t="s">
        <v>771</v>
      </c>
      <c r="I924" t="str">
        <f>HYPERLINK("http://www.ncbi.nlm.nih.gov/protein/XP_012149926.1","PREDICTED: steroid hormone receptor ERR1 isoform X3")</f>
        <v>PREDICTED: steroid hormone receptor ERR1 isoform X3</v>
      </c>
      <c r="J924">
        <v>159.46</v>
      </c>
      <c r="K924" t="s">
        <v>25</v>
      </c>
      <c r="L924">
        <v>157</v>
      </c>
      <c r="M924">
        <v>44.41</v>
      </c>
      <c r="N924">
        <v>8.49</v>
      </c>
      <c r="O924" t="s">
        <v>25</v>
      </c>
      <c r="P924" t="s">
        <v>965</v>
      </c>
      <c r="Q924" t="s">
        <v>20</v>
      </c>
      <c r="R924" t="str">
        <f>HYPERLINK("https://cfpub.epa.gov/ecotox/explore.cfm?ncbi=143995","Explore in ECOTOX")</f>
        <v>Explore in ECOTOX</v>
      </c>
    </row>
    <row r="925" spans="1:18" x14ac:dyDescent="0.25">
      <c r="A925">
        <v>6</v>
      </c>
      <c r="B925" t="str">
        <f>HYPERLINK("http://www.ncbi.nlm.nih.gov/protein/ABY64738.1","ABY64738.1")</f>
        <v>ABY64738.1</v>
      </c>
      <c r="C925">
        <v>41</v>
      </c>
      <c r="D925" t="str">
        <f>HYPERLINK("http://www.ncbi.nlm.nih.gov/Taxonomy/Browser/wwwtax.cgi?mode=Info&amp;id=230833&amp;lvl=3&amp;lin=f&amp;keep=1&amp;srchmode=1&amp;unlock","230833")</f>
        <v>230833</v>
      </c>
      <c r="E925" t="s">
        <v>18</v>
      </c>
      <c r="F925" t="s">
        <v>18</v>
      </c>
      <c r="G925" t="str">
        <f>HYPERLINK("http://www.ncbi.nlm.nih.gov/Taxonomy/Browser/wwwtax.cgi?mode=Info&amp;id=230833&amp;lvl=3&amp;lin=f&amp;keep=1&amp;srchmode=1&amp;unlock","Plecturocebus donacophilus")</f>
        <v>Plecturocebus donacophilus</v>
      </c>
      <c r="H925" t="s">
        <v>1123</v>
      </c>
      <c r="I925" t="str">
        <f>HYPERLINK("http://www.ncbi.nlm.nih.gov/protein/ABY64738.1","estrogen receptor beta")</f>
        <v>estrogen receptor beta</v>
      </c>
      <c r="J925">
        <v>159.46</v>
      </c>
      <c r="K925" t="s">
        <v>25</v>
      </c>
      <c r="L925">
        <v>157</v>
      </c>
      <c r="M925">
        <v>44.41</v>
      </c>
      <c r="N925">
        <v>8.49</v>
      </c>
      <c r="O925" t="s">
        <v>20</v>
      </c>
      <c r="P925" t="s">
        <v>965</v>
      </c>
      <c r="Q925" t="s">
        <v>20</v>
      </c>
      <c r="R925" t="str">
        <f>HYPERLINK("https://cfpub.epa.gov/ecotox/explore.cfm?ncbi=230833","Explore in ECOTOX")</f>
        <v>Explore in ECOTOX</v>
      </c>
    </row>
    <row r="926" spans="1:18" x14ac:dyDescent="0.25">
      <c r="A926">
        <v>6</v>
      </c>
      <c r="B926" t="str">
        <f>HYPERLINK("http://www.ncbi.nlm.nih.gov/protein/XP_034177353.1","XP_034177353.1")</f>
        <v>XP_034177353.1</v>
      </c>
      <c r="C926">
        <v>25969</v>
      </c>
      <c r="D926" t="str">
        <f>HYPERLINK("http://www.ncbi.nlm.nih.gov/Taxonomy/Browser/wwwtax.cgi?mode=Info&amp;id=473952&amp;lvl=3&amp;lin=f&amp;keep=1&amp;srchmode=1&amp;unlock","473952")</f>
        <v>473952</v>
      </c>
      <c r="E926" t="s">
        <v>698</v>
      </c>
      <c r="F926" t="s">
        <v>698</v>
      </c>
      <c r="G926" t="str">
        <f>HYPERLINK("http://www.ncbi.nlm.nih.gov/Taxonomy/Browser/wwwtax.cgi?mode=Info&amp;id=473952&amp;lvl=3&amp;lin=f&amp;keep=1&amp;srchmode=1&amp;unlock","Osmia lignaria")</f>
        <v>Osmia lignaria</v>
      </c>
      <c r="H926" t="s">
        <v>784</v>
      </c>
      <c r="I926" t="str">
        <f>HYPERLINK("http://www.ncbi.nlm.nih.gov/protein/XP_034177353.1","steroid hormone receptor ERR2 isoform X2")</f>
        <v>steroid hormone receptor ERR2 isoform X2</v>
      </c>
      <c r="J926">
        <v>159.07</v>
      </c>
      <c r="K926" t="s">
        <v>25</v>
      </c>
      <c r="L926">
        <v>157</v>
      </c>
      <c r="M926">
        <v>44.41</v>
      </c>
      <c r="N926">
        <v>8.4700000000000006</v>
      </c>
      <c r="O926" t="s">
        <v>25</v>
      </c>
      <c r="P926" t="s">
        <v>965</v>
      </c>
      <c r="Q926" t="s">
        <v>20</v>
      </c>
      <c r="R926" t="str">
        <f>HYPERLINK("https://cfpub.epa.gov/ecotox/explore.cfm?ncbi=473952","Explore in ECOTOX")</f>
        <v>Explore in ECOTOX</v>
      </c>
    </row>
    <row r="927" spans="1:18" x14ac:dyDescent="0.25">
      <c r="A927">
        <v>6</v>
      </c>
      <c r="B927" t="str">
        <f>HYPERLINK("http://www.ncbi.nlm.nih.gov/protein/XP_014219263.1","XP_014219263.1")</f>
        <v>XP_014219263.1</v>
      </c>
      <c r="C927">
        <v>17495</v>
      </c>
      <c r="D927" t="str">
        <f>HYPERLINK("http://www.ncbi.nlm.nih.gov/Taxonomy/Browser/wwwtax.cgi?mode=Info&amp;id=29053&amp;lvl=3&amp;lin=f&amp;keep=1&amp;srchmode=1&amp;unlock","29053")</f>
        <v>29053</v>
      </c>
      <c r="E927" t="s">
        <v>698</v>
      </c>
      <c r="F927" t="s">
        <v>698</v>
      </c>
      <c r="G927" t="str">
        <f>HYPERLINK("http://www.ncbi.nlm.nih.gov/Taxonomy/Browser/wwwtax.cgi?mode=Info&amp;id=29053&amp;lvl=3&amp;lin=f&amp;keep=1&amp;srchmode=1&amp;unlock","Copidosoma floridanum")</f>
        <v>Copidosoma floridanum</v>
      </c>
      <c r="H927" t="s">
        <v>755</v>
      </c>
      <c r="I927" t="str">
        <f>HYPERLINK("http://www.ncbi.nlm.nih.gov/protein/XP_014219263.1","steroid hormone receptor ERR1 isoform X2")</f>
        <v>steroid hormone receptor ERR1 isoform X2</v>
      </c>
      <c r="J927">
        <v>159.07</v>
      </c>
      <c r="K927" t="s">
        <v>25</v>
      </c>
      <c r="L927">
        <v>157</v>
      </c>
      <c r="M927">
        <v>44.41</v>
      </c>
      <c r="N927">
        <v>8.4700000000000006</v>
      </c>
      <c r="O927" t="s">
        <v>25</v>
      </c>
      <c r="P927" t="s">
        <v>965</v>
      </c>
      <c r="Q927" t="s">
        <v>20</v>
      </c>
      <c r="R927" t="str">
        <f>HYPERLINK("https://cfpub.epa.gov/ecotox/explore.cfm?ncbi=29053","Explore in ECOTOX")</f>
        <v>Explore in ECOTOX</v>
      </c>
    </row>
    <row r="928" spans="1:18" x14ac:dyDescent="0.25">
      <c r="A928">
        <v>6</v>
      </c>
      <c r="B928" t="str">
        <f>HYPERLINK("http://www.ncbi.nlm.nih.gov/protein/KAF7992360.1","KAF7992360.1")</f>
        <v>KAF7992360.1</v>
      </c>
      <c r="C928">
        <v>11719</v>
      </c>
      <c r="D928" t="str">
        <f>HYPERLINK("http://www.ncbi.nlm.nih.gov/Taxonomy/Browser/wwwtax.cgi?mode=Info&amp;id=684658&amp;lvl=3&amp;lin=f&amp;keep=1&amp;srchmode=1&amp;unlock","684658")</f>
        <v>684658</v>
      </c>
      <c r="E928" t="s">
        <v>698</v>
      </c>
      <c r="F928" t="s">
        <v>698</v>
      </c>
      <c r="G928" t="str">
        <f>HYPERLINK("http://www.ncbi.nlm.nih.gov/Taxonomy/Browser/wwwtax.cgi?mode=Info&amp;id=684658&amp;lvl=3&amp;lin=f&amp;keep=1&amp;srchmode=1&amp;unlock","Aphidius gifuensis")</f>
        <v>Aphidius gifuensis</v>
      </c>
      <c r="H928" t="s">
        <v>755</v>
      </c>
      <c r="I928" t="str">
        <f>HYPERLINK("http://www.ncbi.nlm.nih.gov/protein/KAF7992360.1","hypothetical protein HCN44_001685")</f>
        <v>hypothetical protein HCN44_001685</v>
      </c>
      <c r="J928">
        <v>159.07</v>
      </c>
      <c r="K928" t="s">
        <v>25</v>
      </c>
      <c r="L928">
        <v>157</v>
      </c>
      <c r="M928">
        <v>44.41</v>
      </c>
      <c r="N928">
        <v>8.4700000000000006</v>
      </c>
      <c r="O928" t="s">
        <v>25</v>
      </c>
      <c r="P928" t="s">
        <v>965</v>
      </c>
      <c r="Q928" t="s">
        <v>20</v>
      </c>
      <c r="R928" t="str">
        <f>HYPERLINK("https://cfpub.epa.gov/ecotox/explore.cfm?ncbi=684658","Explore in ECOTOX")</f>
        <v>Explore in ECOTOX</v>
      </c>
    </row>
    <row r="929" spans="1:18" x14ac:dyDescent="0.25">
      <c r="A929">
        <v>6</v>
      </c>
      <c r="B929" t="str">
        <f>HYPERLINK("http://www.ncbi.nlm.nih.gov/protein/XP_012231091.1","XP_012231091.1")</f>
        <v>XP_012231091.1</v>
      </c>
      <c r="C929">
        <v>21824</v>
      </c>
      <c r="D929" t="str">
        <f>HYPERLINK("http://www.ncbi.nlm.nih.gov/Taxonomy/Browser/wwwtax.cgi?mode=Info&amp;id=83485&amp;lvl=3&amp;lin=f&amp;keep=1&amp;srchmode=1&amp;unlock","83485")</f>
        <v>83485</v>
      </c>
      <c r="E929" t="s">
        <v>698</v>
      </c>
      <c r="F929" t="s">
        <v>698</v>
      </c>
      <c r="G929" t="str">
        <f>HYPERLINK("http://www.ncbi.nlm.nih.gov/Taxonomy/Browser/wwwtax.cgi?mode=Info&amp;id=83485&amp;lvl=3&amp;lin=f&amp;keep=1&amp;srchmode=1&amp;unlock","Linepithema humile")</f>
        <v>Linepithema humile</v>
      </c>
      <c r="H929" t="s">
        <v>791</v>
      </c>
      <c r="I929" t="str">
        <f>HYPERLINK("http://www.ncbi.nlm.nih.gov/protein/XP_012231091.1","PREDICTED: steroid hormone receptor ERR2 isoform X2")</f>
        <v>PREDICTED: steroid hormone receptor ERR2 isoform X2</v>
      </c>
      <c r="J929">
        <v>159.07</v>
      </c>
      <c r="K929" t="s">
        <v>25</v>
      </c>
      <c r="L929">
        <v>157</v>
      </c>
      <c r="M929">
        <v>44.41</v>
      </c>
      <c r="N929">
        <v>8.4700000000000006</v>
      </c>
      <c r="O929" t="s">
        <v>25</v>
      </c>
      <c r="P929" t="s">
        <v>965</v>
      </c>
      <c r="Q929" t="s">
        <v>20</v>
      </c>
      <c r="R929" t="str">
        <f>HYPERLINK("https://cfpub.epa.gov/ecotox/explore.cfm?ncbi=83485","Explore in ECOTOX")</f>
        <v>Explore in ECOTOX</v>
      </c>
    </row>
    <row r="930" spans="1:18" x14ac:dyDescent="0.25">
      <c r="A930">
        <v>6</v>
      </c>
      <c r="B930" t="str">
        <f>HYPERLINK("http://www.ncbi.nlm.nih.gov/protein/XP_014605812.1","XP_014605812.1")</f>
        <v>XP_014605812.1</v>
      </c>
      <c r="C930">
        <v>19308</v>
      </c>
      <c r="D930" t="str">
        <f>HYPERLINK("http://www.ncbi.nlm.nih.gov/Taxonomy/Browser/wwwtax.cgi?mode=Info&amp;id=91411&amp;lvl=3&amp;lin=f&amp;keep=1&amp;srchmode=1&amp;unlock","91411")</f>
        <v>91411</v>
      </c>
      <c r="E930" t="s">
        <v>698</v>
      </c>
      <c r="F930" t="s">
        <v>698</v>
      </c>
      <c r="G930" t="str">
        <f>HYPERLINK("http://www.ncbi.nlm.nih.gov/Taxonomy/Browser/wwwtax.cgi?mode=Info&amp;id=91411&amp;lvl=3&amp;lin=f&amp;keep=1&amp;srchmode=1&amp;unlock","Polistes canadensis")</f>
        <v>Polistes canadensis</v>
      </c>
      <c r="H930" t="s">
        <v>853</v>
      </c>
      <c r="I930" t="str">
        <f>HYPERLINK("http://www.ncbi.nlm.nih.gov/protein/XP_014605812.1","PREDICTED: steroid hormone receptor ERR1 isoform X2")</f>
        <v>PREDICTED: steroid hormone receptor ERR1 isoform X2</v>
      </c>
      <c r="J930">
        <v>159.07</v>
      </c>
      <c r="K930" t="s">
        <v>25</v>
      </c>
      <c r="L930">
        <v>157</v>
      </c>
      <c r="M930">
        <v>44.41</v>
      </c>
      <c r="N930">
        <v>8.4700000000000006</v>
      </c>
      <c r="O930" t="s">
        <v>25</v>
      </c>
      <c r="P930" t="s">
        <v>965</v>
      </c>
      <c r="Q930" t="s">
        <v>20</v>
      </c>
      <c r="R930" t="str">
        <f>HYPERLINK("https://cfpub.epa.gov/ecotox/explore.cfm?ncbi=91411","Explore in ECOTOX")</f>
        <v>Explore in ECOTOX</v>
      </c>
    </row>
    <row r="931" spans="1:18" x14ac:dyDescent="0.25">
      <c r="A931">
        <v>6</v>
      </c>
      <c r="B931" t="str">
        <f>HYPERLINK("http://www.ncbi.nlm.nih.gov/protein/XP_012285430.1","XP_012285430.1")</f>
        <v>XP_012285430.1</v>
      </c>
      <c r="C931">
        <v>19714</v>
      </c>
      <c r="D931" t="str">
        <f>HYPERLINK("http://www.ncbi.nlm.nih.gov/Taxonomy/Browser/wwwtax.cgi?mode=Info&amp;id=222816&amp;lvl=3&amp;lin=f&amp;keep=1&amp;srchmode=1&amp;unlock","222816")</f>
        <v>222816</v>
      </c>
      <c r="E931" t="s">
        <v>698</v>
      </c>
      <c r="F931" t="s">
        <v>698</v>
      </c>
      <c r="G931" t="str">
        <f>HYPERLINK("http://www.ncbi.nlm.nih.gov/Taxonomy/Browser/wwwtax.cgi?mode=Info&amp;id=222816&amp;lvl=3&amp;lin=f&amp;keep=1&amp;srchmode=1&amp;unlock","Orussus abietinus")</f>
        <v>Orussus abietinus</v>
      </c>
      <c r="H931" t="s">
        <v>756</v>
      </c>
      <c r="I931" t="str">
        <f>HYPERLINK("http://www.ncbi.nlm.nih.gov/protein/XP_012285430.1","steroid hormone receptor ERR1 isoform X2")</f>
        <v>steroid hormone receptor ERR1 isoform X2</v>
      </c>
      <c r="J931">
        <v>159.07</v>
      </c>
      <c r="K931" t="s">
        <v>25</v>
      </c>
      <c r="L931">
        <v>157</v>
      </c>
      <c r="M931">
        <v>44.41</v>
      </c>
      <c r="N931">
        <v>8.4700000000000006</v>
      </c>
      <c r="O931" t="s">
        <v>25</v>
      </c>
      <c r="P931" t="s">
        <v>965</v>
      </c>
      <c r="Q931" t="s">
        <v>20</v>
      </c>
      <c r="R931" t="str">
        <f>HYPERLINK("https://cfpub.epa.gov/ecotox/explore.cfm?ncbi=222816","Explore in ECOTOX")</f>
        <v>Explore in ECOTOX</v>
      </c>
    </row>
    <row r="932" spans="1:18" x14ac:dyDescent="0.25">
      <c r="A932">
        <v>6</v>
      </c>
      <c r="B932" t="str">
        <f>HYPERLINK("http://www.ncbi.nlm.nih.gov/protein/KAF3428292.1","KAF3428292.1")</f>
        <v>KAF3428292.1</v>
      </c>
      <c r="C932">
        <v>11137</v>
      </c>
      <c r="D932" t="str">
        <f>HYPERLINK("http://www.ncbi.nlm.nih.gov/Taxonomy/Browser/wwwtax.cgi?mode=Info&amp;id=561572&amp;lvl=3&amp;lin=f&amp;keep=1&amp;srchmode=1&amp;unlock","561572")</f>
        <v>561572</v>
      </c>
      <c r="E932" t="s">
        <v>698</v>
      </c>
      <c r="F932" t="s">
        <v>698</v>
      </c>
      <c r="G932" t="str">
        <f>HYPERLINK("http://www.ncbi.nlm.nih.gov/Taxonomy/Browser/wwwtax.cgi?mode=Info&amp;id=561572&amp;lvl=3&amp;lin=f&amp;keep=1&amp;srchmode=1&amp;unlock","Frieseomelitta varia")</f>
        <v>Frieseomelitta varia</v>
      </c>
      <c r="H932" t="s">
        <v>835</v>
      </c>
      <c r="I932" t="str">
        <f>HYPERLINK("http://www.ncbi.nlm.nih.gov/protein/KAF3428292.1","hypothetical protein E2986_05317")</f>
        <v>hypothetical protein E2986_05317</v>
      </c>
      <c r="J932">
        <v>159.07</v>
      </c>
      <c r="K932" t="s">
        <v>25</v>
      </c>
      <c r="L932">
        <v>157</v>
      </c>
      <c r="M932">
        <v>44.41</v>
      </c>
      <c r="N932">
        <v>8.4700000000000006</v>
      </c>
      <c r="O932" t="s">
        <v>25</v>
      </c>
      <c r="P932" t="s">
        <v>965</v>
      </c>
      <c r="Q932" t="s">
        <v>20</v>
      </c>
      <c r="R932" t="str">
        <f>HYPERLINK("https://cfpub.epa.gov/ecotox/explore.cfm?ncbi=561572","Explore in ECOTOX")</f>
        <v>Explore in ECOTOX</v>
      </c>
    </row>
    <row r="933" spans="1:18" x14ac:dyDescent="0.25">
      <c r="A933">
        <v>6</v>
      </c>
      <c r="B933" t="str">
        <f>HYPERLINK("http://www.ncbi.nlm.nih.gov/protein/XP_021374788.1","XP_021374788.1")</f>
        <v>XP_021374788.1</v>
      </c>
      <c r="C933">
        <v>64380</v>
      </c>
      <c r="D933" t="str">
        <f>HYPERLINK("http://www.ncbi.nlm.nih.gov/Taxonomy/Browser/wwwtax.cgi?mode=Info&amp;id=6573&amp;lvl=3&amp;lin=f&amp;keep=1&amp;srchmode=1&amp;unlock","6573")</f>
        <v>6573</v>
      </c>
      <c r="E933" t="s">
        <v>709</v>
      </c>
      <c r="F933" t="s">
        <v>709</v>
      </c>
      <c r="G933" t="str">
        <f>HYPERLINK("http://www.ncbi.nlm.nih.gov/Taxonomy/Browser/wwwtax.cgi?mode=Info&amp;id=6573&amp;lvl=3&amp;lin=f&amp;keep=1&amp;srchmode=1&amp;unlock","Mizuhopecten yessoensis")</f>
        <v>Mizuhopecten yessoensis</v>
      </c>
      <c r="H933" t="s">
        <v>710</v>
      </c>
      <c r="I933" t="str">
        <f>HYPERLINK("http://www.ncbi.nlm.nih.gov/protein/XP_021374788.1","estrogen receptor-like isoform X2")</f>
        <v>estrogen receptor-like isoform X2</v>
      </c>
      <c r="J933">
        <v>159.07</v>
      </c>
      <c r="K933" t="s">
        <v>25</v>
      </c>
      <c r="L933">
        <v>157</v>
      </c>
      <c r="M933">
        <v>44.41</v>
      </c>
      <c r="N933">
        <v>8.4700000000000006</v>
      </c>
      <c r="O933" t="s">
        <v>25</v>
      </c>
      <c r="P933" t="s">
        <v>965</v>
      </c>
      <c r="Q933" t="s">
        <v>20</v>
      </c>
      <c r="R933" t="str">
        <f>HYPERLINK("https://cfpub.epa.gov/ecotox/explore.cfm?ncbi=6573","Explore in ECOTOX")</f>
        <v>Explore in ECOTOX</v>
      </c>
    </row>
    <row r="934" spans="1:18" x14ac:dyDescent="0.25">
      <c r="A934">
        <v>6</v>
      </c>
      <c r="B934" t="str">
        <f>HYPERLINK("http://www.ncbi.nlm.nih.gov/protein/XP_013094385.1","XP_013094385.1")</f>
        <v>XP_013094385.1</v>
      </c>
      <c r="C934">
        <v>37594</v>
      </c>
      <c r="D934" t="str">
        <f>HYPERLINK("http://www.ncbi.nlm.nih.gov/Taxonomy/Browser/wwwtax.cgi?mode=Info&amp;id=6526&amp;lvl=3&amp;lin=f&amp;keep=1&amp;srchmode=1&amp;unlock","6526")</f>
        <v>6526</v>
      </c>
      <c r="E934" t="s">
        <v>763</v>
      </c>
      <c r="F934" t="s">
        <v>763</v>
      </c>
      <c r="G934" t="str">
        <f>HYPERLINK("http://www.ncbi.nlm.nih.gov/Taxonomy/Browser/wwwtax.cgi?mode=Info&amp;id=6526&amp;lvl=3&amp;lin=f&amp;keep=1&amp;srchmode=1&amp;unlock","Biomphalaria glabrata")</f>
        <v>Biomphalaria glabrata</v>
      </c>
      <c r="H934" t="s">
        <v>919</v>
      </c>
      <c r="I934" t="str">
        <f>HYPERLINK("http://www.ncbi.nlm.nih.gov/protein/XP_013094385.1","PREDICTED: probable nuclear hormone receptor HR38")</f>
        <v>PREDICTED: probable nuclear hormone receptor HR38</v>
      </c>
      <c r="J934">
        <v>159.07</v>
      </c>
      <c r="K934" t="s">
        <v>25</v>
      </c>
      <c r="L934">
        <v>157</v>
      </c>
      <c r="M934">
        <v>44.41</v>
      </c>
      <c r="N934">
        <v>8.4700000000000006</v>
      </c>
      <c r="O934" t="s">
        <v>25</v>
      </c>
      <c r="P934" t="s">
        <v>965</v>
      </c>
      <c r="Q934" t="s">
        <v>20</v>
      </c>
      <c r="R934" t="str">
        <f>HYPERLINK("https://cfpub.epa.gov/ecotox/explore.cfm?ncbi=6526","Explore in ECOTOX")</f>
        <v>Explore in ECOTOX</v>
      </c>
    </row>
    <row r="935" spans="1:18" x14ac:dyDescent="0.25">
      <c r="A935">
        <v>6</v>
      </c>
      <c r="B935" t="str">
        <f>HYPERLINK("http://www.ncbi.nlm.nih.gov/protein/XP_025103791.1","XP_025103791.1")</f>
        <v>XP_025103791.1</v>
      </c>
      <c r="C935">
        <v>62143</v>
      </c>
      <c r="D935" t="str">
        <f>HYPERLINK("http://www.ncbi.nlm.nih.gov/Taxonomy/Browser/wwwtax.cgi?mode=Info&amp;id=400727&amp;lvl=3&amp;lin=f&amp;keep=1&amp;srchmode=1&amp;unlock","400727")</f>
        <v>400727</v>
      </c>
      <c r="E935" t="s">
        <v>763</v>
      </c>
      <c r="F935" t="s">
        <v>763</v>
      </c>
      <c r="G935" t="str">
        <f>HYPERLINK("http://www.ncbi.nlm.nih.gov/Taxonomy/Browser/wwwtax.cgi?mode=Info&amp;id=400727&amp;lvl=3&amp;lin=f&amp;keep=1&amp;srchmode=1&amp;unlock","Pomacea canaliculata")</f>
        <v>Pomacea canaliculata</v>
      </c>
      <c r="H935" t="s">
        <v>946</v>
      </c>
      <c r="I935" t="str">
        <f>HYPERLINK("http://www.ncbi.nlm.nih.gov/protein/XP_025103791.1","uncharacterized protein LOC112569923")</f>
        <v>uncharacterized protein LOC112569923</v>
      </c>
      <c r="J935">
        <v>158.69</v>
      </c>
      <c r="K935" t="s">
        <v>25</v>
      </c>
      <c r="L935">
        <v>157</v>
      </c>
      <c r="M935">
        <v>44.41</v>
      </c>
      <c r="N935">
        <v>8.4499999999999993</v>
      </c>
      <c r="O935" t="s">
        <v>25</v>
      </c>
      <c r="P935" t="s">
        <v>965</v>
      </c>
      <c r="Q935" t="s">
        <v>20</v>
      </c>
      <c r="R935" t="str">
        <f>HYPERLINK("https://cfpub.epa.gov/ecotox/explore.cfm?ncbi=400727","Explore in ECOTOX")</f>
        <v>Explore in ECOTOX</v>
      </c>
    </row>
    <row r="936" spans="1:18" x14ac:dyDescent="0.25">
      <c r="A936">
        <v>6</v>
      </c>
      <c r="B936" t="str">
        <f>HYPERLINK("http://www.ncbi.nlm.nih.gov/protein/KOC66682.1","KOC66682.1")</f>
        <v>KOC66682.1</v>
      </c>
      <c r="C936">
        <v>25085</v>
      </c>
      <c r="D936" t="str">
        <f>HYPERLINK("http://www.ncbi.nlm.nih.gov/Taxonomy/Browser/wwwtax.cgi?mode=Info&amp;id=597456&amp;lvl=3&amp;lin=f&amp;keep=1&amp;srchmode=1&amp;unlock","597456")</f>
        <v>597456</v>
      </c>
      <c r="E936" t="s">
        <v>698</v>
      </c>
      <c r="F936" t="s">
        <v>698</v>
      </c>
      <c r="G936" t="str">
        <f>HYPERLINK("http://www.ncbi.nlm.nih.gov/Taxonomy/Browser/wwwtax.cgi?mode=Info&amp;id=597456&amp;lvl=3&amp;lin=f&amp;keep=1&amp;srchmode=1&amp;unlock","Habropoda laboriosa")</f>
        <v>Habropoda laboriosa</v>
      </c>
      <c r="H936" t="s">
        <v>777</v>
      </c>
      <c r="I936" t="str">
        <f>HYPERLINK("http://www.ncbi.nlm.nih.gov/protein/KOC66682.1","Steroid hormone receptor ERR2, partial")</f>
        <v>Steroid hormone receptor ERR2, partial</v>
      </c>
      <c r="J936">
        <v>158.69</v>
      </c>
      <c r="K936" t="s">
        <v>25</v>
      </c>
      <c r="L936">
        <v>157</v>
      </c>
      <c r="M936">
        <v>44.41</v>
      </c>
      <c r="N936">
        <v>8.4499999999999993</v>
      </c>
      <c r="O936" t="s">
        <v>25</v>
      </c>
      <c r="P936" t="s">
        <v>965</v>
      </c>
      <c r="Q936" t="s">
        <v>20</v>
      </c>
      <c r="R936" t="str">
        <f>HYPERLINK("https://cfpub.epa.gov/ecotox/explore.cfm?ncbi=597456","Explore in ECOTOX")</f>
        <v>Explore in ECOTOX</v>
      </c>
    </row>
    <row r="937" spans="1:18" x14ac:dyDescent="0.25">
      <c r="A937">
        <v>6</v>
      </c>
      <c r="B937" t="str">
        <f>HYPERLINK("http://www.ncbi.nlm.nih.gov/protein/ALB78124.1","ALB78124.1")</f>
        <v>ALB78124.1</v>
      </c>
      <c r="C937">
        <v>129</v>
      </c>
      <c r="D937" t="str">
        <f>HYPERLINK("http://www.ncbi.nlm.nih.gov/Taxonomy/Browser/wwwtax.cgi?mode=Info&amp;id=9508&amp;lvl=3&amp;lin=f&amp;keep=1&amp;srchmode=1&amp;unlock","9508")</f>
        <v>9508</v>
      </c>
      <c r="E937" t="s">
        <v>18</v>
      </c>
      <c r="F937" t="s">
        <v>18</v>
      </c>
      <c r="G937" t="str">
        <f>HYPERLINK("http://www.ncbi.nlm.nih.gov/Taxonomy/Browser/wwwtax.cgi?mode=Info&amp;id=9508&amp;lvl=3&amp;lin=f&amp;keep=1&amp;srchmode=1&amp;unlock","Ateles fusciceps")</f>
        <v>Ateles fusciceps</v>
      </c>
      <c r="H937" t="s">
        <v>1124</v>
      </c>
      <c r="I937" t="str">
        <f>HYPERLINK("http://www.ncbi.nlm.nih.gov/protein/ALB78124.1","estrogen receptor beta")</f>
        <v>estrogen receptor beta</v>
      </c>
      <c r="J937">
        <v>158.69</v>
      </c>
      <c r="K937" t="s">
        <v>25</v>
      </c>
      <c r="L937">
        <v>157</v>
      </c>
      <c r="M937">
        <v>44.41</v>
      </c>
      <c r="N937">
        <v>8.4499999999999993</v>
      </c>
      <c r="O937" t="s">
        <v>20</v>
      </c>
      <c r="P937" t="s">
        <v>965</v>
      </c>
      <c r="Q937" t="s">
        <v>20</v>
      </c>
      <c r="R937" t="str">
        <f>HYPERLINK("https://cfpub.epa.gov/ecotox/explore.cfm?ncbi=9508","Explore in ECOTOX")</f>
        <v>Explore in ECOTOX</v>
      </c>
    </row>
    <row r="938" spans="1:18" x14ac:dyDescent="0.25">
      <c r="A938">
        <v>6</v>
      </c>
      <c r="B938" t="str">
        <f>HYPERLINK("http://www.ncbi.nlm.nih.gov/protein/XP_003743687.1","XP_003743687.1")</f>
        <v>XP_003743687.1</v>
      </c>
      <c r="C938">
        <v>11978</v>
      </c>
      <c r="D938" t="str">
        <f>HYPERLINK("http://www.ncbi.nlm.nih.gov/Taxonomy/Browser/wwwtax.cgi?mode=Info&amp;id=34638&amp;lvl=3&amp;lin=f&amp;keep=1&amp;srchmode=1&amp;unlock","34638")</f>
        <v>34638</v>
      </c>
      <c r="E938" t="s">
        <v>700</v>
      </c>
      <c r="F938" t="s">
        <v>700</v>
      </c>
      <c r="G938" t="str">
        <f>HYPERLINK("http://www.ncbi.nlm.nih.gov/Taxonomy/Browser/wwwtax.cgi?mode=Info&amp;id=34638&amp;lvl=3&amp;lin=f&amp;keep=1&amp;srchmode=1&amp;unlock","Galendromus occidentalis")</f>
        <v>Galendromus occidentalis</v>
      </c>
      <c r="H938" t="s">
        <v>1125</v>
      </c>
      <c r="I938" t="str">
        <f>HYPERLINK("http://www.ncbi.nlm.nih.gov/protein/XP_003743687.1","steroid hormone receptor ERR1")</f>
        <v>steroid hormone receptor ERR1</v>
      </c>
      <c r="J938">
        <v>158.69</v>
      </c>
      <c r="K938" t="s">
        <v>25</v>
      </c>
      <c r="L938">
        <v>157</v>
      </c>
      <c r="M938">
        <v>44.41</v>
      </c>
      <c r="N938">
        <v>8.4499999999999993</v>
      </c>
      <c r="O938" t="s">
        <v>25</v>
      </c>
      <c r="P938" t="s">
        <v>965</v>
      </c>
      <c r="Q938" t="s">
        <v>20</v>
      </c>
      <c r="R938" t="str">
        <f>HYPERLINK("https://cfpub.epa.gov/ecotox/explore.cfm?ncbi=34638","Explore in ECOTOX")</f>
        <v>Explore in ECOTOX</v>
      </c>
    </row>
    <row r="939" spans="1:18" x14ac:dyDescent="0.25">
      <c r="A939">
        <v>6</v>
      </c>
      <c r="B939" t="str">
        <f>HYPERLINK("http://www.ncbi.nlm.nih.gov/protein/ABY64737.1","ABY64737.1")</f>
        <v>ABY64737.1</v>
      </c>
      <c r="C939">
        <v>100</v>
      </c>
      <c r="D939" t="str">
        <f>HYPERLINK("http://www.ncbi.nlm.nih.gov/Taxonomy/Browser/wwwtax.cgi?mode=Info&amp;id=43777&amp;lvl=3&amp;lin=f&amp;keep=1&amp;srchmode=1&amp;unlock","43777")</f>
        <v>43777</v>
      </c>
      <c r="E939" t="s">
        <v>18</v>
      </c>
      <c r="F939" t="s">
        <v>18</v>
      </c>
      <c r="G939" t="str">
        <f>HYPERLINK("http://www.ncbi.nlm.nih.gov/Taxonomy/Browser/wwwtax.cgi?mode=Info&amp;id=43777&amp;lvl=3&amp;lin=f&amp;keep=1&amp;srchmode=1&amp;unlock","Pithecia pithecia")</f>
        <v>Pithecia pithecia</v>
      </c>
      <c r="H939" t="s">
        <v>1126</v>
      </c>
      <c r="I939" t="str">
        <f>HYPERLINK("http://www.ncbi.nlm.nih.gov/protein/ABY64737.1","estrogen receptor beta")</f>
        <v>estrogen receptor beta</v>
      </c>
      <c r="J939">
        <v>158.69</v>
      </c>
      <c r="K939" t="s">
        <v>25</v>
      </c>
      <c r="L939">
        <v>157</v>
      </c>
      <c r="M939">
        <v>44.41</v>
      </c>
      <c r="N939">
        <v>8.4499999999999993</v>
      </c>
      <c r="O939" t="s">
        <v>20</v>
      </c>
      <c r="P939" t="s">
        <v>965</v>
      </c>
      <c r="Q939" t="s">
        <v>20</v>
      </c>
      <c r="R939" t="str">
        <f>HYPERLINK("https://cfpub.epa.gov/ecotox/explore.cfm?ncbi=43777","Explore in ECOTOX")</f>
        <v>Explore in ECOTOX</v>
      </c>
    </row>
    <row r="940" spans="1:18" x14ac:dyDescent="0.25">
      <c r="A940">
        <v>6</v>
      </c>
      <c r="B940" t="str">
        <f>HYPERLINK("http://www.ncbi.nlm.nih.gov/protein/CAD6240917.1","CAD6240917.1")</f>
        <v>CAD6240917.1</v>
      </c>
      <c r="C940">
        <v>13971</v>
      </c>
      <c r="D940" t="str">
        <f>HYPERLINK("http://www.ncbi.nlm.nih.gov/Taxonomy/Browser/wwwtax.cgi?mode=Info&amp;id=51543&amp;lvl=3&amp;lin=f&amp;keep=1&amp;srchmode=1&amp;unlock","51543")</f>
        <v>51543</v>
      </c>
      <c r="E940" t="s">
        <v>698</v>
      </c>
      <c r="F940" t="s">
        <v>698</v>
      </c>
      <c r="G940" t="str">
        <f>HYPERLINK("http://www.ncbi.nlm.nih.gov/Taxonomy/Browser/wwwtax.cgi?mode=Info&amp;id=51543&amp;lvl=3&amp;lin=f&amp;keep=1&amp;srchmode=1&amp;unlock","Cotesia congregata")</f>
        <v>Cotesia congregata</v>
      </c>
      <c r="H940" t="s">
        <v>755</v>
      </c>
      <c r="I940" t="str">
        <f>HYPERLINK("http://www.ncbi.nlm.nih.gov/protein/CAD6240917.1","GSCOCG00009002001-RA-CDS")</f>
        <v>GSCOCG00009002001-RA-CDS</v>
      </c>
      <c r="J940">
        <v>158.30000000000001</v>
      </c>
      <c r="K940" t="s">
        <v>25</v>
      </c>
      <c r="L940">
        <v>157</v>
      </c>
      <c r="M940">
        <v>44.41</v>
      </c>
      <c r="N940">
        <v>8.43</v>
      </c>
      <c r="O940" t="s">
        <v>25</v>
      </c>
      <c r="P940" t="s">
        <v>965</v>
      </c>
      <c r="Q940" t="s">
        <v>20</v>
      </c>
      <c r="R940" t="str">
        <f>HYPERLINK("https://cfpub.epa.gov/ecotox/explore.cfm?ncbi=51543","Explore in ECOTOX")</f>
        <v>Explore in ECOTOX</v>
      </c>
    </row>
    <row r="941" spans="1:18" x14ac:dyDescent="0.25">
      <c r="A941">
        <v>6</v>
      </c>
      <c r="B941" t="str">
        <f>HYPERLINK("http://www.ncbi.nlm.nih.gov/protein/KFM71034.1","KFM71034.1")</f>
        <v>KFM71034.1</v>
      </c>
      <c r="C941">
        <v>27105</v>
      </c>
      <c r="D941" t="str">
        <f>HYPERLINK("http://www.ncbi.nlm.nih.gov/Taxonomy/Browser/wwwtax.cgi?mode=Info&amp;id=407821&amp;lvl=3&amp;lin=f&amp;keep=1&amp;srchmode=1&amp;unlock","407821")</f>
        <v>407821</v>
      </c>
      <c r="E941" t="s">
        <v>700</v>
      </c>
      <c r="F941" t="s">
        <v>700</v>
      </c>
      <c r="G941" t="str">
        <f>HYPERLINK("http://www.ncbi.nlm.nih.gov/Taxonomy/Browser/wwwtax.cgi?mode=Info&amp;id=407821&amp;lvl=3&amp;lin=f&amp;keep=1&amp;srchmode=1&amp;unlock","Stegodyphus mimosarum")</f>
        <v>Stegodyphus mimosarum</v>
      </c>
      <c r="H941" t="s">
        <v>754</v>
      </c>
      <c r="I941" t="str">
        <f>HYPERLINK("http://www.ncbi.nlm.nih.gov/protein/KFM71034.1","Estrogen-related receptor gamma, partial")</f>
        <v>Estrogen-related receptor gamma, partial</v>
      </c>
      <c r="J941">
        <v>158.30000000000001</v>
      </c>
      <c r="K941" t="s">
        <v>25</v>
      </c>
      <c r="L941">
        <v>157</v>
      </c>
      <c r="M941">
        <v>44.41</v>
      </c>
      <c r="N941">
        <v>8.43</v>
      </c>
      <c r="O941" t="s">
        <v>25</v>
      </c>
      <c r="P941" t="s">
        <v>965</v>
      </c>
      <c r="Q941" t="s">
        <v>20</v>
      </c>
      <c r="R941" t="str">
        <f>HYPERLINK("https://cfpub.epa.gov/ecotox/explore.cfm?ncbi=407821","Explore in ECOTOX")</f>
        <v>Explore in ECOTOX</v>
      </c>
    </row>
    <row r="942" spans="1:18" x14ac:dyDescent="0.25">
      <c r="A942">
        <v>6</v>
      </c>
      <c r="B942" t="str">
        <f>HYPERLINK("http://www.ncbi.nlm.nih.gov/protein/XP_029045725.1","XP_029045725.1")</f>
        <v>XP_029045725.1</v>
      </c>
      <c r="C942">
        <v>24844</v>
      </c>
      <c r="D942" t="str">
        <f>HYPERLINK("http://www.ncbi.nlm.nih.gov/Taxonomy/Browser/wwwtax.cgi?mode=Info&amp;id=1437191&amp;lvl=3&amp;lin=f&amp;keep=1&amp;srchmode=1&amp;unlock","1437191")</f>
        <v>1437191</v>
      </c>
      <c r="E942" t="s">
        <v>698</v>
      </c>
      <c r="F942" t="s">
        <v>698</v>
      </c>
      <c r="G942" t="str">
        <f>HYPERLINK("http://www.ncbi.nlm.nih.gov/Taxonomy/Browser/wwwtax.cgi?mode=Info&amp;id=1437191&amp;lvl=3&amp;lin=f&amp;keep=1&amp;srchmode=1&amp;unlock","Osmia bicornis bicornis")</f>
        <v>Osmia bicornis bicornis</v>
      </c>
      <c r="H942" t="s">
        <v>808</v>
      </c>
      <c r="I942" t="str">
        <f>HYPERLINK("http://www.ncbi.nlm.nih.gov/protein/XP_029045725.1","steroid hormone receptor ERR2 isoform X7")</f>
        <v>steroid hormone receptor ERR2 isoform X7</v>
      </c>
      <c r="J942">
        <v>157.91999999999999</v>
      </c>
      <c r="K942" t="s">
        <v>25</v>
      </c>
      <c r="L942">
        <v>157</v>
      </c>
      <c r="M942">
        <v>44.41</v>
      </c>
      <c r="N942">
        <v>8.41</v>
      </c>
      <c r="O942" t="s">
        <v>25</v>
      </c>
      <c r="P942" t="s">
        <v>965</v>
      </c>
      <c r="Q942" t="s">
        <v>20</v>
      </c>
      <c r="R942" t="str">
        <f>HYPERLINK("https://cfpub.epa.gov/ecotox/explore.cfm?ncbi=1437191","Explore in ECOTOX")</f>
        <v>Explore in ECOTOX</v>
      </c>
    </row>
    <row r="943" spans="1:18" x14ac:dyDescent="0.25">
      <c r="A943">
        <v>6</v>
      </c>
      <c r="B943" t="str">
        <f>HYPERLINK("http://www.ncbi.nlm.nih.gov/protein/XP_035214039.1","XP_035214039.1")</f>
        <v>XP_035214039.1</v>
      </c>
      <c r="C943">
        <v>29968</v>
      </c>
      <c r="D943" t="str">
        <f>HYPERLINK("http://www.ncbi.nlm.nih.gov/Taxonomy/Browser/wwwtax.cgi?mode=Info&amp;id=202533&amp;lvl=3&amp;lin=f&amp;keep=1&amp;srchmode=1&amp;unlock","202533")</f>
        <v>202533</v>
      </c>
      <c r="E943" t="s">
        <v>700</v>
      </c>
      <c r="F943" t="s">
        <v>700</v>
      </c>
      <c r="G943" t="str">
        <f>HYPERLINK("http://www.ncbi.nlm.nih.gov/Taxonomy/Browser/wwwtax.cgi?mode=Info&amp;id=202533&amp;lvl=3&amp;lin=f&amp;keep=1&amp;srchmode=1&amp;unlock","Stegodyphus dumicola")</f>
        <v>Stegodyphus dumicola</v>
      </c>
      <c r="H943" t="s">
        <v>754</v>
      </c>
      <c r="I943" t="str">
        <f>HYPERLINK("http://www.ncbi.nlm.nih.gov/protein/XP_035214039.1","steroid hormone receptor ERR1-like isoform X3")</f>
        <v>steroid hormone receptor ERR1-like isoform X3</v>
      </c>
      <c r="J943">
        <v>157.91999999999999</v>
      </c>
      <c r="K943" t="s">
        <v>25</v>
      </c>
      <c r="L943">
        <v>157</v>
      </c>
      <c r="M943">
        <v>44.41</v>
      </c>
      <c r="N943">
        <v>8.41</v>
      </c>
      <c r="O943" t="s">
        <v>25</v>
      </c>
      <c r="P943" t="s">
        <v>965</v>
      </c>
      <c r="Q943" t="s">
        <v>20</v>
      </c>
      <c r="R943" t="str">
        <f>HYPERLINK("https://cfpub.epa.gov/ecotox/explore.cfm?ncbi=202533","Explore in ECOTOX")</f>
        <v>Explore in ECOTOX</v>
      </c>
    </row>
    <row r="944" spans="1:18" x14ac:dyDescent="0.25">
      <c r="A944">
        <v>6</v>
      </c>
      <c r="B944" t="str">
        <f>HYPERLINK("http://www.ncbi.nlm.nih.gov/protein/NP_001191648.1","NP_001191648.1")</f>
        <v>NP_001191648.1</v>
      </c>
      <c r="C944">
        <v>27878</v>
      </c>
      <c r="D944" t="str">
        <f>HYPERLINK("http://www.ncbi.nlm.nih.gov/Taxonomy/Browser/wwwtax.cgi?mode=Info&amp;id=6500&amp;lvl=3&amp;lin=f&amp;keep=1&amp;srchmode=1&amp;unlock","6500")</f>
        <v>6500</v>
      </c>
      <c r="E944" t="s">
        <v>763</v>
      </c>
      <c r="F944" t="s">
        <v>763</v>
      </c>
      <c r="G944" t="str">
        <f>HYPERLINK("http://www.ncbi.nlm.nih.gov/Taxonomy/Browser/wwwtax.cgi?mode=Info&amp;id=6500&amp;lvl=3&amp;lin=f&amp;keep=1&amp;srchmode=1&amp;unlock","Aplysia californica")</f>
        <v>Aplysia californica</v>
      </c>
      <c r="H944" t="s">
        <v>764</v>
      </c>
      <c r="I944" t="str">
        <f>HYPERLINK("http://www.ncbi.nlm.nih.gov/protein/NP_001191648.1","estrogen receptor")</f>
        <v>estrogen receptor</v>
      </c>
      <c r="J944">
        <v>157.91999999999999</v>
      </c>
      <c r="K944" t="s">
        <v>25</v>
      </c>
      <c r="L944">
        <v>157</v>
      </c>
      <c r="M944">
        <v>44.41</v>
      </c>
      <c r="N944">
        <v>8.41</v>
      </c>
      <c r="O944" t="s">
        <v>25</v>
      </c>
      <c r="P944" t="s">
        <v>965</v>
      </c>
      <c r="Q944" t="s">
        <v>20</v>
      </c>
      <c r="R944" t="str">
        <f>HYPERLINK("https://cfpub.epa.gov/ecotox/explore.cfm?ncbi=6500","Explore in ECOTOX")</f>
        <v>Explore in ECOTOX</v>
      </c>
    </row>
    <row r="945" spans="1:18" x14ac:dyDescent="0.25">
      <c r="A945">
        <v>6</v>
      </c>
      <c r="B945" t="str">
        <f>HYPERLINK("http://www.ncbi.nlm.nih.gov/protein/NP_001071700.1","NP_001071700.1")</f>
        <v>NP_001071700.1</v>
      </c>
      <c r="C945">
        <v>23440</v>
      </c>
      <c r="D945" t="str">
        <f>HYPERLINK("http://www.ncbi.nlm.nih.gov/Taxonomy/Browser/wwwtax.cgi?mode=Info&amp;id=7719&amp;lvl=3&amp;lin=f&amp;keep=1&amp;srchmode=1&amp;unlock","7719")</f>
        <v>7719</v>
      </c>
      <c r="E945" t="s">
        <v>691</v>
      </c>
      <c r="F945" t="s">
        <v>691</v>
      </c>
      <c r="G945" t="str">
        <f>HYPERLINK("http://www.ncbi.nlm.nih.gov/Taxonomy/Browser/wwwtax.cgi?mode=Info&amp;id=7719&amp;lvl=3&amp;lin=f&amp;keep=1&amp;srchmode=1&amp;unlock","Ciona intestinalis")</f>
        <v>Ciona intestinalis</v>
      </c>
      <c r="H945" t="s">
        <v>695</v>
      </c>
      <c r="I945" t="str">
        <f>HYPERLINK("http://www.ncbi.nlm.nih.gov/protein/NP_001071700.1","nuclear receptor")</f>
        <v>nuclear receptor</v>
      </c>
      <c r="J945">
        <v>157.53</v>
      </c>
      <c r="K945" t="s">
        <v>25</v>
      </c>
      <c r="L945">
        <v>157</v>
      </c>
      <c r="M945">
        <v>44.41</v>
      </c>
      <c r="N945">
        <v>8.39</v>
      </c>
      <c r="O945" t="s">
        <v>25</v>
      </c>
      <c r="P945" t="s">
        <v>965</v>
      </c>
      <c r="Q945" t="s">
        <v>20</v>
      </c>
      <c r="R945" t="str">
        <f>HYPERLINK("https://cfpub.epa.gov/ecotox/explore.cfm?ncbi=7719","Explore in ECOTOX")</f>
        <v>Explore in ECOTOX</v>
      </c>
    </row>
    <row r="946" spans="1:18" x14ac:dyDescent="0.25">
      <c r="A946">
        <v>6</v>
      </c>
      <c r="B946" t="str">
        <f>HYPERLINK("http://www.ncbi.nlm.nih.gov/protein/XP_015585202.1","XP_015585202.1")</f>
        <v>XP_015585202.1</v>
      </c>
      <c r="C946">
        <v>32236</v>
      </c>
      <c r="D946" t="str">
        <f>HYPERLINK("http://www.ncbi.nlm.nih.gov/Taxonomy/Browser/wwwtax.cgi?mode=Info&amp;id=211228&amp;lvl=3&amp;lin=f&amp;keep=1&amp;srchmode=1&amp;unlock","211228")</f>
        <v>211228</v>
      </c>
      <c r="E946" t="s">
        <v>698</v>
      </c>
      <c r="F946" t="s">
        <v>698</v>
      </c>
      <c r="G946" t="str">
        <f>HYPERLINK("http://www.ncbi.nlm.nih.gov/Taxonomy/Browser/wwwtax.cgi?mode=Info&amp;id=211228&amp;lvl=3&amp;lin=f&amp;keep=1&amp;srchmode=1&amp;unlock","Cephus cinctus")</f>
        <v>Cephus cinctus</v>
      </c>
      <c r="H946" t="s">
        <v>883</v>
      </c>
      <c r="I946" t="str">
        <f>HYPERLINK("http://www.ncbi.nlm.nih.gov/protein/XP_015585202.1","steroid hormone receptor ERR1 isoform X2")</f>
        <v>steroid hormone receptor ERR1 isoform X2</v>
      </c>
      <c r="J946">
        <v>157.53</v>
      </c>
      <c r="K946" t="s">
        <v>25</v>
      </c>
      <c r="L946">
        <v>157</v>
      </c>
      <c r="M946">
        <v>44.41</v>
      </c>
      <c r="N946">
        <v>8.39</v>
      </c>
      <c r="O946" t="s">
        <v>25</v>
      </c>
      <c r="P946" t="s">
        <v>965</v>
      </c>
      <c r="Q946" t="s">
        <v>20</v>
      </c>
      <c r="R946" t="str">
        <f>HYPERLINK("https://cfpub.epa.gov/ecotox/explore.cfm?ncbi=211228","Explore in ECOTOX")</f>
        <v>Explore in ECOTOX</v>
      </c>
    </row>
    <row r="947" spans="1:18" x14ac:dyDescent="0.25">
      <c r="A947">
        <v>6</v>
      </c>
      <c r="B947" t="str">
        <f>HYPERLINK("http://www.ncbi.nlm.nih.gov/protein/ADB43256.1","ADB43256.1")</f>
        <v>ADB43256.1</v>
      </c>
      <c r="C947">
        <v>975</v>
      </c>
      <c r="D947" t="str">
        <f>HYPERLINK("http://www.ncbi.nlm.nih.gov/Taxonomy/Browser/wwwtax.cgi?mode=Info&amp;id=85552&amp;lvl=3&amp;lin=f&amp;keep=1&amp;srchmode=1&amp;unlock","85552")</f>
        <v>85552</v>
      </c>
      <c r="E947" t="s">
        <v>742</v>
      </c>
      <c r="F947" t="s">
        <v>742</v>
      </c>
      <c r="G947" t="str">
        <f>HYPERLINK("http://www.ncbi.nlm.nih.gov/Taxonomy/Browser/wwwtax.cgi?mode=Info&amp;id=85552&amp;lvl=3&amp;lin=f&amp;keep=1&amp;srchmode=1&amp;unlock","Scylla paramamosain")</f>
        <v>Scylla paramamosain</v>
      </c>
      <c r="H947" t="s">
        <v>851</v>
      </c>
      <c r="I947" t="str">
        <f>HYPERLINK("http://www.ncbi.nlm.nih.gov/protein/ADB43256.1","estrogen-related receptor")</f>
        <v>estrogen-related receptor</v>
      </c>
      <c r="J947">
        <v>157.53</v>
      </c>
      <c r="K947" t="s">
        <v>25</v>
      </c>
      <c r="L947">
        <v>157</v>
      </c>
      <c r="M947">
        <v>44.41</v>
      </c>
      <c r="N947">
        <v>8.39</v>
      </c>
      <c r="O947" t="s">
        <v>25</v>
      </c>
      <c r="P947" t="s">
        <v>965</v>
      </c>
      <c r="Q947" t="s">
        <v>20</v>
      </c>
      <c r="R947" t="str">
        <f>HYPERLINK("https://cfpub.epa.gov/ecotox/explore.cfm?ncbi=85552","Explore in ECOTOX")</f>
        <v>Explore in ECOTOX</v>
      </c>
    </row>
    <row r="948" spans="1:18" x14ac:dyDescent="0.25">
      <c r="A948">
        <v>6</v>
      </c>
      <c r="B948" t="str">
        <f>HYPERLINK("http://www.ncbi.nlm.nih.gov/protein/QIL68862.1","QIL68862.1")</f>
        <v>QIL68862.1</v>
      </c>
      <c r="C948">
        <v>176</v>
      </c>
      <c r="D948" t="str">
        <f>HYPERLINK("http://www.ncbi.nlm.nih.gov/Taxonomy/Browser/wwwtax.cgi?mode=Info&amp;id=392227&amp;lvl=3&amp;lin=f&amp;keep=1&amp;srchmode=1&amp;unlock","392227")</f>
        <v>392227</v>
      </c>
      <c r="E948" t="s">
        <v>742</v>
      </c>
      <c r="F948" t="s">
        <v>742</v>
      </c>
      <c r="G948" t="str">
        <f>HYPERLINK("http://www.ncbi.nlm.nih.gov/Taxonomy/Browser/wwwtax.cgi?mode=Info&amp;id=392227&amp;lvl=3&amp;lin=f&amp;keep=1&amp;srchmode=1&amp;unlock","Palaemon carinicauda")</f>
        <v>Palaemon carinicauda</v>
      </c>
      <c r="H948" t="s">
        <v>820</v>
      </c>
      <c r="I948" t="str">
        <f>HYPERLINK("http://www.ncbi.nlm.nih.gov/protein/QIL68862.1","estrogen-related receptor")</f>
        <v>estrogen-related receptor</v>
      </c>
      <c r="J948">
        <v>157.53</v>
      </c>
      <c r="K948" t="s">
        <v>25</v>
      </c>
      <c r="L948">
        <v>157</v>
      </c>
      <c r="M948">
        <v>44.41</v>
      </c>
      <c r="N948">
        <v>8.39</v>
      </c>
      <c r="O948" t="s">
        <v>25</v>
      </c>
      <c r="P948" t="s">
        <v>965</v>
      </c>
      <c r="Q948" t="s">
        <v>20</v>
      </c>
      <c r="R948" t="str">
        <f>HYPERLINK("https://cfpub.epa.gov/ecotox/explore.cfm?ncbi=392227","Explore in ECOTOX")</f>
        <v>Explore in ECOTOX</v>
      </c>
    </row>
    <row r="949" spans="1:18" x14ac:dyDescent="0.25">
      <c r="A949">
        <v>6</v>
      </c>
      <c r="B949" t="str">
        <f>HYPERLINK("http://www.ncbi.nlm.nih.gov/protein/XP_019623148.1","XP_019623148.1")</f>
        <v>XP_019623148.1</v>
      </c>
      <c r="C949">
        <v>35242</v>
      </c>
      <c r="D949" t="str">
        <f>HYPERLINK("http://www.ncbi.nlm.nih.gov/Taxonomy/Browser/wwwtax.cgi?mode=Info&amp;id=7741&amp;lvl=3&amp;lin=f&amp;keep=1&amp;srchmode=1&amp;unlock","7741")</f>
        <v>7741</v>
      </c>
      <c r="E949" t="s">
        <v>725</v>
      </c>
      <c r="F949" t="s">
        <v>725</v>
      </c>
      <c r="G949" t="str">
        <f>HYPERLINK("http://www.ncbi.nlm.nih.gov/Taxonomy/Browser/wwwtax.cgi?mode=Info&amp;id=7741&amp;lvl=3&amp;lin=f&amp;keep=1&amp;srchmode=1&amp;unlock","Branchiostoma belcheri")</f>
        <v>Branchiostoma belcheri</v>
      </c>
      <c r="H949" t="s">
        <v>726</v>
      </c>
      <c r="I949" t="str">
        <f>HYPERLINK("http://www.ncbi.nlm.nih.gov/protein/XP_019623148.1","PREDICTED: estrogen-related receptor gamma-like isoform X6")</f>
        <v>PREDICTED: estrogen-related receptor gamma-like isoform X6</v>
      </c>
      <c r="J949">
        <v>157.53</v>
      </c>
      <c r="K949" t="s">
        <v>25</v>
      </c>
      <c r="L949">
        <v>157</v>
      </c>
      <c r="M949">
        <v>44.41</v>
      </c>
      <c r="N949">
        <v>8.39</v>
      </c>
      <c r="O949" t="s">
        <v>25</v>
      </c>
      <c r="P949" t="s">
        <v>965</v>
      </c>
      <c r="Q949" t="s">
        <v>20</v>
      </c>
      <c r="R949" t="str">
        <f>HYPERLINK("https://cfpub.epa.gov/ecotox/explore.cfm?ncbi=7741","Explore in ECOTOX")</f>
        <v>Explore in ECOTOX</v>
      </c>
    </row>
    <row r="950" spans="1:18" x14ac:dyDescent="0.25">
      <c r="A950">
        <v>6</v>
      </c>
      <c r="B950" t="str">
        <f>HYPERLINK("http://www.ncbi.nlm.nih.gov/protein/XP_029169484.1","XP_029169484.1")</f>
        <v>XP_029169484.1</v>
      </c>
      <c r="C950">
        <v>24986</v>
      </c>
      <c r="D950" t="str">
        <f>HYPERLINK("http://www.ncbi.nlm.nih.gov/Taxonomy/Browser/wwwtax.cgi?mode=Info&amp;id=613905&amp;lvl=3&amp;lin=f&amp;keep=1&amp;srchmode=1&amp;unlock","613905")</f>
        <v>613905</v>
      </c>
      <c r="E950" t="s">
        <v>698</v>
      </c>
      <c r="F950" t="s">
        <v>698</v>
      </c>
      <c r="G950" t="str">
        <f>HYPERLINK("http://www.ncbi.nlm.nih.gov/Taxonomy/Browser/wwwtax.cgi?mode=Info&amp;id=613905&amp;lvl=3&amp;lin=f&amp;keep=1&amp;srchmode=1&amp;unlock","Nylanderia fulva")</f>
        <v>Nylanderia fulva</v>
      </c>
      <c r="H950" t="s">
        <v>755</v>
      </c>
      <c r="I950" t="str">
        <f>HYPERLINK("http://www.ncbi.nlm.nih.gov/protein/XP_029169484.1","steroid hormone receptor ERR2 isoform X6")</f>
        <v>steroid hormone receptor ERR2 isoform X6</v>
      </c>
      <c r="J950">
        <v>157.53</v>
      </c>
      <c r="K950" t="s">
        <v>25</v>
      </c>
      <c r="L950">
        <v>157</v>
      </c>
      <c r="M950">
        <v>44.41</v>
      </c>
      <c r="N950">
        <v>8.39</v>
      </c>
      <c r="O950" t="s">
        <v>25</v>
      </c>
      <c r="P950" t="s">
        <v>965</v>
      </c>
      <c r="Q950" t="s">
        <v>20</v>
      </c>
      <c r="R950" t="str">
        <f>HYPERLINK("https://cfpub.epa.gov/ecotox/explore.cfm?ncbi=613905","Explore in ECOTOX")</f>
        <v>Explore in ECOTOX</v>
      </c>
    </row>
    <row r="951" spans="1:18" x14ac:dyDescent="0.25">
      <c r="A951">
        <v>6</v>
      </c>
      <c r="B951" t="str">
        <f>HYPERLINK("http://www.ncbi.nlm.nih.gov/protein/XP_033216257.1","XP_033216257.1")</f>
        <v>XP_033216257.1</v>
      </c>
      <c r="C951">
        <v>25334</v>
      </c>
      <c r="D951" t="str">
        <f>HYPERLINK("http://www.ncbi.nlm.nih.gov/Taxonomy/Browser/wwwtax.cgi?mode=Info&amp;id=1159321&amp;lvl=3&amp;lin=f&amp;keep=1&amp;srchmode=1&amp;unlock","1159321")</f>
        <v>1159321</v>
      </c>
      <c r="E951" t="s">
        <v>698</v>
      </c>
      <c r="F951" t="s">
        <v>698</v>
      </c>
      <c r="G951" t="str">
        <f>HYPERLINK("http://www.ncbi.nlm.nih.gov/Taxonomy/Browser/wwwtax.cgi?mode=Info&amp;id=1159321&amp;lvl=3&amp;lin=f&amp;keep=1&amp;srchmode=1&amp;unlock","Belonocnema treatae")</f>
        <v>Belonocnema treatae</v>
      </c>
      <c r="H951" t="s">
        <v>863</v>
      </c>
      <c r="I951" t="str">
        <f>HYPERLINK("http://www.ncbi.nlm.nih.gov/protein/XP_033216257.1","steroid hormone receptor ERR1 isoform X4")</f>
        <v>steroid hormone receptor ERR1 isoform X4</v>
      </c>
      <c r="J951">
        <v>157.15</v>
      </c>
      <c r="K951" t="s">
        <v>25</v>
      </c>
      <c r="L951">
        <v>157</v>
      </c>
      <c r="M951">
        <v>44.41</v>
      </c>
      <c r="N951">
        <v>8.3699999999999992</v>
      </c>
      <c r="O951" t="s">
        <v>25</v>
      </c>
      <c r="P951" t="s">
        <v>965</v>
      </c>
      <c r="Q951" t="s">
        <v>20</v>
      </c>
      <c r="R951" t="str">
        <f>HYPERLINK("https://cfpub.epa.gov/ecotox/explore.cfm?ncbi=1159321","Explore in ECOTOX")</f>
        <v>Explore in ECOTOX</v>
      </c>
    </row>
    <row r="952" spans="1:18" x14ac:dyDescent="0.25">
      <c r="A952">
        <v>6</v>
      </c>
      <c r="B952" t="str">
        <f>HYPERLINK("http://www.ncbi.nlm.nih.gov/protein/KMQ89782.1","KMQ89782.1")</f>
        <v>KMQ89782.1</v>
      </c>
      <c r="C952">
        <v>18335</v>
      </c>
      <c r="D952" t="str">
        <f>HYPERLINK("http://www.ncbi.nlm.nih.gov/Taxonomy/Browser/wwwtax.cgi?mode=Info&amp;id=67767&amp;lvl=3&amp;lin=f&amp;keep=1&amp;srchmode=1&amp;unlock","67767")</f>
        <v>67767</v>
      </c>
      <c r="E952" t="s">
        <v>698</v>
      </c>
      <c r="F952" t="s">
        <v>698</v>
      </c>
      <c r="G952" t="str">
        <f>HYPERLINK("http://www.ncbi.nlm.nih.gov/Taxonomy/Browser/wwwtax.cgi?mode=Info&amp;id=67767&amp;lvl=3&amp;lin=f&amp;keep=1&amp;srchmode=1&amp;unlock","Lasius niger")</f>
        <v>Lasius niger</v>
      </c>
      <c r="H952" t="s">
        <v>755</v>
      </c>
      <c r="I952" t="str">
        <f>HYPERLINK("http://www.ncbi.nlm.nih.gov/protein/KMQ89782.1","steroid hormone receptor err2")</f>
        <v>steroid hormone receptor err2</v>
      </c>
      <c r="J952">
        <v>157.15</v>
      </c>
      <c r="K952" t="s">
        <v>25</v>
      </c>
      <c r="L952">
        <v>157</v>
      </c>
      <c r="M952">
        <v>44.41</v>
      </c>
      <c r="N952">
        <v>8.3699999999999992</v>
      </c>
      <c r="O952" t="s">
        <v>25</v>
      </c>
      <c r="P952" t="s">
        <v>965</v>
      </c>
      <c r="Q952" t="s">
        <v>20</v>
      </c>
      <c r="R952" t="str">
        <f>HYPERLINK("https://cfpub.epa.gov/ecotox/explore.cfm?ncbi=67767","Explore in ECOTOX")</f>
        <v>Explore in ECOTOX</v>
      </c>
    </row>
    <row r="953" spans="1:18" x14ac:dyDescent="0.25">
      <c r="A953">
        <v>6</v>
      </c>
      <c r="B953" t="str">
        <f>HYPERLINK("http://www.ncbi.nlm.nih.gov/protein/AAU88063.1","AAU88063.1")</f>
        <v>AAU88063.1</v>
      </c>
      <c r="C953">
        <v>44085</v>
      </c>
      <c r="D953" t="str">
        <f>HYPERLINK("http://www.ncbi.nlm.nih.gov/Taxonomy/Browser/wwwtax.cgi?mode=Info&amp;id=7739&amp;lvl=3&amp;lin=f&amp;keep=1&amp;srchmode=1&amp;unlock","7739")</f>
        <v>7739</v>
      </c>
      <c r="E953" t="s">
        <v>725</v>
      </c>
      <c r="F953" t="s">
        <v>725</v>
      </c>
      <c r="G953" t="str">
        <f>HYPERLINK("http://www.ncbi.nlm.nih.gov/Taxonomy/Browser/wwwtax.cgi?mode=Info&amp;id=7739&amp;lvl=3&amp;lin=f&amp;keep=1&amp;srchmode=1&amp;unlock","Branchiostoma floridae")</f>
        <v>Branchiostoma floridae</v>
      </c>
      <c r="H953" t="s">
        <v>727</v>
      </c>
      <c r="I953" t="str">
        <f>HYPERLINK("http://www.ncbi.nlm.nih.gov/protein/AAU88063.1","estrogen receptor-related receptor short isoform")</f>
        <v>estrogen receptor-related receptor short isoform</v>
      </c>
      <c r="J953">
        <v>157.15</v>
      </c>
      <c r="K953" t="s">
        <v>25</v>
      </c>
      <c r="L953">
        <v>157</v>
      </c>
      <c r="M953">
        <v>44.41</v>
      </c>
      <c r="N953">
        <v>8.3699999999999992</v>
      </c>
      <c r="O953" t="s">
        <v>25</v>
      </c>
      <c r="P953" t="s">
        <v>965</v>
      </c>
      <c r="Q953" t="s">
        <v>20</v>
      </c>
      <c r="R953" t="str">
        <f>HYPERLINK("https://cfpub.epa.gov/ecotox/explore.cfm?ncbi=7739","Explore in ECOTOX")</f>
        <v>Explore in ECOTOX</v>
      </c>
    </row>
    <row r="954" spans="1:18" x14ac:dyDescent="0.25">
      <c r="A954">
        <v>6</v>
      </c>
      <c r="B954" t="str">
        <f>HYPERLINK("http://www.ncbi.nlm.nih.gov/protein/NXR99065.1","NXR99065.1")</f>
        <v>NXR99065.1</v>
      </c>
      <c r="C954">
        <v>9012</v>
      </c>
      <c r="D954" t="str">
        <f>HYPERLINK("http://www.ncbi.nlm.nih.gov/Taxonomy/Browser/wwwtax.cgi?mode=Info&amp;id=98144&amp;lvl=3&amp;lin=f&amp;keep=1&amp;srchmode=1&amp;unlock","98144")</f>
        <v>98144</v>
      </c>
      <c r="E954" t="s">
        <v>167</v>
      </c>
      <c r="F954" t="s">
        <v>167</v>
      </c>
      <c r="G954" t="str">
        <f>HYPERLINK("http://www.ncbi.nlm.nih.gov/Taxonomy/Browser/wwwtax.cgi?mode=Info&amp;id=98144&amp;lvl=3&amp;lin=f&amp;keep=1&amp;srchmode=1&amp;unlock","Oxylabes madagascariensis")</f>
        <v>Oxylabes madagascariensis</v>
      </c>
      <c r="H954" t="s">
        <v>374</v>
      </c>
      <c r="I954" t="str">
        <f>HYPERLINK("http://www.ncbi.nlm.nih.gov/protein/NXR99065.1","ERR2 protein")</f>
        <v>ERR2 protein</v>
      </c>
      <c r="J954">
        <v>157.15</v>
      </c>
      <c r="K954" t="s">
        <v>25</v>
      </c>
      <c r="L954">
        <v>157</v>
      </c>
      <c r="M954">
        <v>44.41</v>
      </c>
      <c r="N954">
        <v>8.3699999999999992</v>
      </c>
      <c r="O954" t="s">
        <v>20</v>
      </c>
      <c r="P954" t="s">
        <v>965</v>
      </c>
      <c r="Q954" t="s">
        <v>20</v>
      </c>
      <c r="R954" t="str">
        <f>HYPERLINK("https://cfpub.epa.gov/ecotox/explore.cfm?ncbi=98144","Explore in ECOTOX")</f>
        <v>Explore in ECOTOX</v>
      </c>
    </row>
    <row r="955" spans="1:18" x14ac:dyDescent="0.25">
      <c r="A955">
        <v>6</v>
      </c>
      <c r="B955" t="str">
        <f>HYPERLINK("http://www.ncbi.nlm.nih.gov/protein/AFC36881.1","AFC36881.1")</f>
        <v>AFC36881.1</v>
      </c>
      <c r="C955">
        <v>306</v>
      </c>
      <c r="D955" t="str">
        <f>HYPERLINK("http://www.ncbi.nlm.nih.gov/Taxonomy/Browser/wwwtax.cgi?mode=Info&amp;id=90735&amp;lvl=3&amp;lin=f&amp;keep=1&amp;srchmode=1&amp;unlock","90735")</f>
        <v>90735</v>
      </c>
      <c r="E955" t="s">
        <v>384</v>
      </c>
      <c r="F955" t="s">
        <v>384</v>
      </c>
      <c r="G955" t="str">
        <f>HYPERLINK("http://www.ncbi.nlm.nih.gov/Taxonomy/Browser/wwwtax.cgi?mode=Info&amp;id=90735&amp;lvl=3&amp;lin=f&amp;keep=1&amp;srchmode=1&amp;unlock","Paramisgurnus dabryanus")</f>
        <v>Paramisgurnus dabryanus</v>
      </c>
      <c r="H955" t="s">
        <v>1127</v>
      </c>
      <c r="I955" t="str">
        <f>HYPERLINK("http://www.ncbi.nlm.nih.gov/protein/AFC36881.1","estrogen receptor alpha")</f>
        <v>estrogen receptor alpha</v>
      </c>
      <c r="J955">
        <v>156.76</v>
      </c>
      <c r="K955" t="s">
        <v>25</v>
      </c>
      <c r="L955">
        <v>157</v>
      </c>
      <c r="M955">
        <v>44.41</v>
      </c>
      <c r="N955">
        <v>8.34</v>
      </c>
      <c r="O955" t="s">
        <v>25</v>
      </c>
      <c r="P955" t="s">
        <v>965</v>
      </c>
      <c r="Q955" t="s">
        <v>20</v>
      </c>
      <c r="R955" t="str">
        <f>HYPERLINK("https://cfpub.epa.gov/ecotox/explore.cfm?ncbi=90735","Explore in ECOTOX")</f>
        <v>Explore in ECOTOX</v>
      </c>
    </row>
    <row r="956" spans="1:18" x14ac:dyDescent="0.25">
      <c r="A956">
        <v>6</v>
      </c>
      <c r="B956" t="str">
        <f>HYPERLINK("http://www.ncbi.nlm.nih.gov/protein/BAF43298.1","BAF43298.1")</f>
        <v>BAF43298.1</v>
      </c>
      <c r="C956">
        <v>747</v>
      </c>
      <c r="D956" t="str">
        <f>HYPERLINK("http://www.ncbi.nlm.nih.gov/Taxonomy/Browser/wwwtax.cgi?mode=Info&amp;id=48193&amp;lvl=3&amp;lin=f&amp;keep=1&amp;srchmode=1&amp;unlock","48193")</f>
        <v>48193</v>
      </c>
      <c r="E956" t="s">
        <v>384</v>
      </c>
      <c r="F956" t="s">
        <v>384</v>
      </c>
      <c r="G956" t="str">
        <f>HYPERLINK("http://www.ncbi.nlm.nih.gov/Taxonomy/Browser/wwwtax.cgi?mode=Info&amp;id=48193&amp;lvl=3&amp;lin=f&amp;keep=1&amp;srchmode=1&amp;unlock","Mugil cephalus")</f>
        <v>Mugil cephalus</v>
      </c>
      <c r="H956" t="s">
        <v>1128</v>
      </c>
      <c r="I956" t="str">
        <f>HYPERLINK("http://www.ncbi.nlm.nih.gov/protein/BAF43298.1","estrogen receptor alpha, partial")</f>
        <v>estrogen receptor alpha, partial</v>
      </c>
      <c r="J956">
        <v>156.76</v>
      </c>
      <c r="K956" t="s">
        <v>25</v>
      </c>
      <c r="L956">
        <v>157</v>
      </c>
      <c r="M956">
        <v>44.41</v>
      </c>
      <c r="N956">
        <v>8.34</v>
      </c>
      <c r="O956" t="s">
        <v>25</v>
      </c>
      <c r="P956" t="s">
        <v>965</v>
      </c>
      <c r="Q956" t="s">
        <v>20</v>
      </c>
      <c r="R956" t="str">
        <f>HYPERLINK("https://cfpub.epa.gov/ecotox/explore.cfm?ncbi=48193","Explore in ECOTOX")</f>
        <v>Explore in ECOTOX</v>
      </c>
    </row>
    <row r="957" spans="1:18" x14ac:dyDescent="0.25">
      <c r="A957">
        <v>6</v>
      </c>
      <c r="B957" t="str">
        <f>HYPERLINK("http://www.ncbi.nlm.nih.gov/protein/KAF7416924.1","KAF7416924.1")</f>
        <v>KAF7416924.1</v>
      </c>
      <c r="C957">
        <v>18619</v>
      </c>
      <c r="D957" t="str">
        <f>HYPERLINK("http://www.ncbi.nlm.nih.gov/Taxonomy/Browser/wwwtax.cgi?mode=Info&amp;id=30213&amp;lvl=3&amp;lin=f&amp;keep=1&amp;srchmode=1&amp;unlock","30213")</f>
        <v>30213</v>
      </c>
      <c r="E957" t="s">
        <v>698</v>
      </c>
      <c r="F957" t="s">
        <v>698</v>
      </c>
      <c r="G957" t="str">
        <f>HYPERLINK("http://www.ncbi.nlm.nih.gov/Taxonomy/Browser/wwwtax.cgi?mode=Info&amp;id=30213&amp;lvl=3&amp;lin=f&amp;keep=1&amp;srchmode=1&amp;unlock","Vespula pensylvanica")</f>
        <v>Vespula pensylvanica</v>
      </c>
      <c r="H957" t="s">
        <v>819</v>
      </c>
      <c r="I957" t="str">
        <f>HYPERLINK("http://www.ncbi.nlm.nih.gov/protein/KAF7416924.1","hypothetical protein")</f>
        <v>hypothetical protein</v>
      </c>
      <c r="J957">
        <v>156.76</v>
      </c>
      <c r="K957" t="s">
        <v>25</v>
      </c>
      <c r="L957">
        <v>157</v>
      </c>
      <c r="M957">
        <v>44.41</v>
      </c>
      <c r="N957">
        <v>8.34</v>
      </c>
      <c r="O957" t="s">
        <v>25</v>
      </c>
      <c r="P957" t="s">
        <v>965</v>
      </c>
      <c r="Q957" t="s">
        <v>20</v>
      </c>
      <c r="R957" t="str">
        <f>HYPERLINK("https://cfpub.epa.gov/ecotox/explore.cfm?ncbi=30213","Explore in ECOTOX")</f>
        <v>Explore in ECOTOX</v>
      </c>
    </row>
    <row r="958" spans="1:18" x14ac:dyDescent="0.25">
      <c r="A958">
        <v>6</v>
      </c>
      <c r="B958" t="str">
        <f>HYPERLINK("http://www.ncbi.nlm.nih.gov/protein/XP_022662920.1","XP_022662920.1")</f>
        <v>XP_022662920.1</v>
      </c>
      <c r="C958">
        <v>30490</v>
      </c>
      <c r="D958" t="str">
        <f>HYPERLINK("http://www.ncbi.nlm.nih.gov/Taxonomy/Browser/wwwtax.cgi?mode=Info&amp;id=109461&amp;lvl=3&amp;lin=f&amp;keep=1&amp;srchmode=1&amp;unlock","109461")</f>
        <v>109461</v>
      </c>
      <c r="E958" t="s">
        <v>700</v>
      </c>
      <c r="F958" t="s">
        <v>700</v>
      </c>
      <c r="G958" t="str">
        <f>HYPERLINK("http://www.ncbi.nlm.nih.gov/Taxonomy/Browser/wwwtax.cgi?mode=Info&amp;id=109461&amp;lvl=3&amp;lin=f&amp;keep=1&amp;srchmode=1&amp;unlock","Varroa destructor")</f>
        <v>Varroa destructor</v>
      </c>
      <c r="H958" t="s">
        <v>954</v>
      </c>
      <c r="I958" t="str">
        <f>HYPERLINK("http://www.ncbi.nlm.nih.gov/protein/XP_022662920.1","steroid hormone receptor ERR1-like isoform X2")</f>
        <v>steroid hormone receptor ERR1-like isoform X2</v>
      </c>
      <c r="J958">
        <v>156.76</v>
      </c>
      <c r="K958" t="s">
        <v>25</v>
      </c>
      <c r="L958">
        <v>157</v>
      </c>
      <c r="M958">
        <v>44.41</v>
      </c>
      <c r="N958">
        <v>8.34</v>
      </c>
      <c r="O958" t="s">
        <v>25</v>
      </c>
      <c r="P958" t="s">
        <v>965</v>
      </c>
      <c r="Q958" t="s">
        <v>20</v>
      </c>
      <c r="R958" t="str">
        <f>HYPERLINK("https://cfpub.epa.gov/ecotox/explore.cfm?ncbi=109461","Explore in ECOTOX")</f>
        <v>Explore in ECOTOX</v>
      </c>
    </row>
    <row r="959" spans="1:18" x14ac:dyDescent="0.25">
      <c r="A959">
        <v>6</v>
      </c>
      <c r="B959" t="str">
        <f>HYPERLINK("http://www.ncbi.nlm.nih.gov/protein/XP_014229048.1","XP_014229048.1")</f>
        <v>XP_014229048.1</v>
      </c>
      <c r="C959">
        <v>21179</v>
      </c>
      <c r="D959" t="str">
        <f>HYPERLINK("http://www.ncbi.nlm.nih.gov/Taxonomy/Browser/wwwtax.cgi?mode=Info&amp;id=7493&amp;lvl=3&amp;lin=f&amp;keep=1&amp;srchmode=1&amp;unlock","7493")</f>
        <v>7493</v>
      </c>
      <c r="E959" t="s">
        <v>698</v>
      </c>
      <c r="F959" t="s">
        <v>698</v>
      </c>
      <c r="G959" t="str">
        <f>HYPERLINK("http://www.ncbi.nlm.nih.gov/Taxonomy/Browser/wwwtax.cgi?mode=Info&amp;id=7493&amp;lvl=3&amp;lin=f&amp;keep=1&amp;srchmode=1&amp;unlock","Trichogramma pretiosum")</f>
        <v>Trichogramma pretiosum</v>
      </c>
      <c r="H959" t="s">
        <v>849</v>
      </c>
      <c r="I959" t="str">
        <f>HYPERLINK("http://www.ncbi.nlm.nih.gov/protein/XP_014229048.1","steroid hormone receptor ERR2 isoform X2")</f>
        <v>steroid hormone receptor ERR2 isoform X2</v>
      </c>
      <c r="J959">
        <v>156.76</v>
      </c>
      <c r="K959" t="s">
        <v>25</v>
      </c>
      <c r="L959">
        <v>157</v>
      </c>
      <c r="M959">
        <v>44.41</v>
      </c>
      <c r="N959">
        <v>8.34</v>
      </c>
      <c r="O959" t="s">
        <v>25</v>
      </c>
      <c r="P959" t="s">
        <v>965</v>
      </c>
      <c r="Q959" t="s">
        <v>20</v>
      </c>
      <c r="R959" t="str">
        <f>HYPERLINK("https://cfpub.epa.gov/ecotox/explore.cfm?ncbi=7493","Explore in ECOTOX")</f>
        <v>Explore in ECOTOX</v>
      </c>
    </row>
    <row r="960" spans="1:18" x14ac:dyDescent="0.25">
      <c r="A960">
        <v>6</v>
      </c>
      <c r="B960" t="str">
        <f>HYPERLINK("http://www.ncbi.nlm.nih.gov/protein/XP_025017986.1","XP_025017986.1")</f>
        <v>XP_025017986.1</v>
      </c>
      <c r="C960">
        <v>16309</v>
      </c>
      <c r="D960" t="str">
        <f>HYPERLINK("http://www.ncbi.nlm.nih.gov/Taxonomy/Browser/wwwtax.cgi?mode=Info&amp;id=32264&amp;lvl=3&amp;lin=f&amp;keep=1&amp;srchmode=1&amp;unlock","32264")</f>
        <v>32264</v>
      </c>
      <c r="E960" t="s">
        <v>700</v>
      </c>
      <c r="F960" t="s">
        <v>700</v>
      </c>
      <c r="G960" t="str">
        <f>HYPERLINK("http://www.ncbi.nlm.nih.gov/Taxonomy/Browser/wwwtax.cgi?mode=Info&amp;id=32264&amp;lvl=3&amp;lin=f&amp;keep=1&amp;srchmode=1&amp;unlock","Tetranychus urticae")</f>
        <v>Tetranychus urticae</v>
      </c>
      <c r="H960" t="s">
        <v>852</v>
      </c>
      <c r="I960" t="str">
        <f>HYPERLINK("http://www.ncbi.nlm.nih.gov/protein/XP_025017986.1","steroid hormone receptor ERR1 isoform X2")</f>
        <v>steroid hormone receptor ERR1 isoform X2</v>
      </c>
      <c r="J960">
        <v>156.76</v>
      </c>
      <c r="K960" t="s">
        <v>25</v>
      </c>
      <c r="L960">
        <v>157</v>
      </c>
      <c r="M960">
        <v>44.41</v>
      </c>
      <c r="N960">
        <v>8.34</v>
      </c>
      <c r="O960" t="s">
        <v>25</v>
      </c>
      <c r="P960" t="s">
        <v>965</v>
      </c>
      <c r="Q960" t="s">
        <v>20</v>
      </c>
      <c r="R960" t="str">
        <f>HYPERLINK("https://cfpub.epa.gov/ecotox/explore.cfm?ncbi=32264","Explore in ECOTOX")</f>
        <v>Explore in ECOTOX</v>
      </c>
    </row>
    <row r="961" spans="1:18" x14ac:dyDescent="0.25">
      <c r="A961">
        <v>6</v>
      </c>
      <c r="B961" t="str">
        <f>HYPERLINK("http://www.ncbi.nlm.nih.gov/protein/XP_002431237.1","XP_002431237.1")</f>
        <v>XP_002431237.1</v>
      </c>
      <c r="C961">
        <v>21853</v>
      </c>
      <c r="D961" t="str">
        <f>HYPERLINK("http://www.ncbi.nlm.nih.gov/Taxonomy/Browser/wwwtax.cgi?mode=Info&amp;id=121224&amp;lvl=3&amp;lin=f&amp;keep=1&amp;srchmode=1&amp;unlock","121224")</f>
        <v>121224</v>
      </c>
      <c r="E961" t="s">
        <v>698</v>
      </c>
      <c r="F961" t="s">
        <v>698</v>
      </c>
      <c r="G961" t="str">
        <f>HYPERLINK("http://www.ncbi.nlm.nih.gov/Taxonomy/Browser/wwwtax.cgi?mode=Info&amp;id=121224&amp;lvl=3&amp;lin=f&amp;keep=1&amp;srchmode=1&amp;unlock","Pediculus humanus corporis")</f>
        <v>Pediculus humanus corporis</v>
      </c>
      <c r="H961" t="s">
        <v>959</v>
      </c>
      <c r="I961" t="str">
        <f>HYPERLINK("http://www.ncbi.nlm.nih.gov/protein/XP_002431237.1","retinoid X receptor, putative")</f>
        <v>retinoid X receptor, putative</v>
      </c>
      <c r="J961">
        <v>156.76</v>
      </c>
      <c r="K961" t="s">
        <v>25</v>
      </c>
      <c r="L961">
        <v>157</v>
      </c>
      <c r="M961">
        <v>44.41</v>
      </c>
      <c r="N961">
        <v>8.34</v>
      </c>
      <c r="O961" t="s">
        <v>25</v>
      </c>
      <c r="P961" t="s">
        <v>965</v>
      </c>
      <c r="Q961" t="s">
        <v>20</v>
      </c>
      <c r="R961" t="str">
        <f>HYPERLINK("https://cfpub.epa.gov/ecotox/explore.cfm?ncbi=121224","Explore in ECOTOX")</f>
        <v>Explore in ECOTOX</v>
      </c>
    </row>
    <row r="962" spans="1:18" x14ac:dyDescent="0.25">
      <c r="A962">
        <v>6</v>
      </c>
      <c r="B962" t="str">
        <f>HYPERLINK("http://www.ncbi.nlm.nih.gov/protein/XP_036151348.1","XP_036151348.1")</f>
        <v>XP_036151348.1</v>
      </c>
      <c r="C962">
        <v>29219</v>
      </c>
      <c r="D962" t="str">
        <f>HYPERLINK("http://www.ncbi.nlm.nih.gov/Taxonomy/Browser/wwwtax.cgi?mode=Info&amp;id=307658&amp;lvl=3&amp;lin=f&amp;keep=1&amp;srchmode=1&amp;unlock","307658")</f>
        <v>307658</v>
      </c>
      <c r="E962" t="s">
        <v>698</v>
      </c>
      <c r="F962" t="s">
        <v>698</v>
      </c>
      <c r="G962" t="str">
        <f>HYPERLINK("http://www.ncbi.nlm.nih.gov/Taxonomy/Browser/wwwtax.cgi?mode=Info&amp;id=307658&amp;lvl=3&amp;lin=f&amp;keep=1&amp;srchmode=1&amp;unlock","Monomorium pharaonis")</f>
        <v>Monomorium pharaonis</v>
      </c>
      <c r="H962" t="s">
        <v>1129</v>
      </c>
      <c r="I962" t="str">
        <f>HYPERLINK("http://www.ncbi.nlm.nih.gov/protein/XP_036151348.1","steroid hormone receptor ERR2 isoform X7")</f>
        <v>steroid hormone receptor ERR2 isoform X7</v>
      </c>
      <c r="J962">
        <v>156.38</v>
      </c>
      <c r="K962" t="s">
        <v>25</v>
      </c>
      <c r="L962">
        <v>157</v>
      </c>
      <c r="M962">
        <v>44.41</v>
      </c>
      <c r="N962">
        <v>8.32</v>
      </c>
      <c r="O962" t="s">
        <v>25</v>
      </c>
      <c r="P962" t="s">
        <v>965</v>
      </c>
      <c r="Q962" t="s">
        <v>20</v>
      </c>
      <c r="R962" t="str">
        <f>HYPERLINK("https://cfpub.epa.gov/ecotox/explore.cfm?ncbi=307658","Explore in ECOTOX")</f>
        <v>Explore in ECOTOX</v>
      </c>
    </row>
    <row r="963" spans="1:18" x14ac:dyDescent="0.25">
      <c r="A963">
        <v>6</v>
      </c>
      <c r="B963" t="str">
        <f>HYPERLINK("http://www.ncbi.nlm.nih.gov/protein/CAF0775408.1","CAF0775408.1")</f>
        <v>CAF0775408.1</v>
      </c>
      <c r="C963">
        <v>412312</v>
      </c>
      <c r="D963" t="str">
        <f>HYPERLINK("http://www.ncbi.nlm.nih.gov/Taxonomy/Browser/wwwtax.cgi?mode=Info&amp;id=433720&amp;lvl=3&amp;lin=f&amp;keep=1&amp;srchmode=1&amp;unlock","433720")</f>
        <v>433720</v>
      </c>
      <c r="E963" t="s">
        <v>855</v>
      </c>
      <c r="F963" t="s">
        <v>855</v>
      </c>
      <c r="G963" t="str">
        <f>HYPERLINK("http://www.ncbi.nlm.nih.gov/Taxonomy/Browser/wwwtax.cgi?mode=Info&amp;id=433720&amp;lvl=3&amp;lin=f&amp;keep=1&amp;srchmode=1&amp;unlock","Adineta steineri")</f>
        <v>Adineta steineri</v>
      </c>
      <c r="H963" t="s">
        <v>856</v>
      </c>
      <c r="I963" t="str">
        <f>HYPERLINK("http://www.ncbi.nlm.nih.gov/protein/CAF0775408.1","unnamed protein product")</f>
        <v>unnamed protein product</v>
      </c>
      <c r="J963">
        <v>156.38</v>
      </c>
      <c r="K963" t="s">
        <v>25</v>
      </c>
      <c r="L963">
        <v>157</v>
      </c>
      <c r="M963">
        <v>44.41</v>
      </c>
      <c r="N963">
        <v>8.32</v>
      </c>
      <c r="O963" t="s">
        <v>25</v>
      </c>
      <c r="P963" t="s">
        <v>965</v>
      </c>
      <c r="Q963" t="s">
        <v>20</v>
      </c>
      <c r="R963" t="str">
        <f>HYPERLINK("https://cfpub.epa.gov/ecotox/explore.cfm?ncbi=433720","Explore in ECOTOX")</f>
        <v>Explore in ECOTOX</v>
      </c>
    </row>
    <row r="964" spans="1:18" x14ac:dyDescent="0.25">
      <c r="A964">
        <v>6</v>
      </c>
      <c r="B964" t="str">
        <f>HYPERLINK("http://www.ncbi.nlm.nih.gov/protein/XP_015120014.1","XP_015120014.1")</f>
        <v>XP_015120014.1</v>
      </c>
      <c r="C964">
        <v>19520</v>
      </c>
      <c r="D964" t="str">
        <f>HYPERLINK("http://www.ncbi.nlm.nih.gov/Taxonomy/Browser/wwwtax.cgi?mode=Info&amp;id=454923&amp;lvl=3&amp;lin=f&amp;keep=1&amp;srchmode=1&amp;unlock","454923")</f>
        <v>454923</v>
      </c>
      <c r="E964" t="s">
        <v>698</v>
      </c>
      <c r="F964" t="s">
        <v>698</v>
      </c>
      <c r="G964" t="str">
        <f>HYPERLINK("http://www.ncbi.nlm.nih.gov/Taxonomy/Browser/wwwtax.cgi?mode=Info&amp;id=454923&amp;lvl=3&amp;lin=f&amp;keep=1&amp;srchmode=1&amp;unlock","Diachasma alloeum")</f>
        <v>Diachasma alloeum</v>
      </c>
      <c r="H964" t="s">
        <v>755</v>
      </c>
      <c r="I964" t="str">
        <f>HYPERLINK("http://www.ncbi.nlm.nih.gov/protein/XP_015120014.1","steroid hormone receptor ERR1 isoform X5")</f>
        <v>steroid hormone receptor ERR1 isoform X5</v>
      </c>
      <c r="J964">
        <v>156.38</v>
      </c>
      <c r="K964" t="s">
        <v>25</v>
      </c>
      <c r="L964">
        <v>157</v>
      </c>
      <c r="M964">
        <v>44.41</v>
      </c>
      <c r="N964">
        <v>8.32</v>
      </c>
      <c r="O964" t="s">
        <v>25</v>
      </c>
      <c r="P964" t="s">
        <v>965</v>
      </c>
      <c r="Q964" t="s">
        <v>20</v>
      </c>
      <c r="R964" t="str">
        <f>HYPERLINK("https://cfpub.epa.gov/ecotox/explore.cfm?ncbi=454923","Explore in ECOTOX")</f>
        <v>Explore in ECOTOX</v>
      </c>
    </row>
    <row r="965" spans="1:18" x14ac:dyDescent="0.25">
      <c r="A965">
        <v>6</v>
      </c>
      <c r="B965" t="str">
        <f>HYPERLINK("http://www.ncbi.nlm.nih.gov/protein/XP_015512856.1","XP_015512856.1")</f>
        <v>XP_015512856.1</v>
      </c>
      <c r="C965">
        <v>16016</v>
      </c>
      <c r="D965" t="str">
        <f>HYPERLINK("http://www.ncbi.nlm.nih.gov/Taxonomy/Browser/wwwtax.cgi?mode=Info&amp;id=441921&amp;lvl=3&amp;lin=f&amp;keep=1&amp;srchmode=1&amp;unlock","441921")</f>
        <v>441921</v>
      </c>
      <c r="E965" t="s">
        <v>698</v>
      </c>
      <c r="F965" t="s">
        <v>698</v>
      </c>
      <c r="G965" t="str">
        <f>HYPERLINK("http://www.ncbi.nlm.nih.gov/Taxonomy/Browser/wwwtax.cgi?mode=Info&amp;id=441921&amp;lvl=3&amp;lin=f&amp;keep=1&amp;srchmode=1&amp;unlock","Neodiprion lecontei")</f>
        <v>Neodiprion lecontei</v>
      </c>
      <c r="H965" t="s">
        <v>772</v>
      </c>
      <c r="I965" t="str">
        <f>HYPERLINK("http://www.ncbi.nlm.nih.gov/protein/XP_015512856.1","PREDICTED: steroid hormone receptor ERR2 isoform X1")</f>
        <v>PREDICTED: steroid hormone receptor ERR2 isoform X1</v>
      </c>
      <c r="J965">
        <v>156.38</v>
      </c>
      <c r="K965" t="s">
        <v>25</v>
      </c>
      <c r="L965">
        <v>157</v>
      </c>
      <c r="M965">
        <v>44.41</v>
      </c>
      <c r="N965">
        <v>8.32</v>
      </c>
      <c r="O965" t="s">
        <v>25</v>
      </c>
      <c r="P965" t="s">
        <v>965</v>
      </c>
      <c r="Q965" t="s">
        <v>20</v>
      </c>
      <c r="R965" t="str">
        <f>HYPERLINK("https://cfpub.epa.gov/ecotox/explore.cfm?ncbi=441921","Explore in ECOTOX")</f>
        <v>Explore in ECOTOX</v>
      </c>
    </row>
    <row r="966" spans="1:18" x14ac:dyDescent="0.25">
      <c r="A966">
        <v>6</v>
      </c>
      <c r="B966" t="str">
        <f>HYPERLINK("http://www.ncbi.nlm.nih.gov/protein/ATU32602.1","ATU32602.1")</f>
        <v>ATU32602.1</v>
      </c>
      <c r="C966">
        <v>7</v>
      </c>
      <c r="D966" t="str">
        <f>HYPERLINK("http://www.ncbi.nlm.nih.gov/Taxonomy/Browser/wwwtax.cgi?mode=Info&amp;id=2005664&amp;lvl=3&amp;lin=f&amp;keep=1&amp;srchmode=1&amp;unlock","2005664")</f>
        <v>2005664</v>
      </c>
      <c r="E966" t="s">
        <v>763</v>
      </c>
      <c r="F966" t="s">
        <v>763</v>
      </c>
      <c r="G966" t="str">
        <f>HYPERLINK("http://www.ncbi.nlm.nih.gov/Taxonomy/Browser/wwwtax.cgi?mode=Info&amp;id=2005664&amp;lvl=3&amp;lin=f&amp;keep=1&amp;srchmode=1&amp;unlock","Parafossarulus striatulus")</f>
        <v>Parafossarulus striatulus</v>
      </c>
      <c r="H966" t="s">
        <v>946</v>
      </c>
      <c r="I966" t="str">
        <f>HYPERLINK("http://www.ncbi.nlm.nih.gov/protein/ATU32602.1","estrogen receptor")</f>
        <v>estrogen receptor</v>
      </c>
      <c r="J966">
        <v>155.99</v>
      </c>
      <c r="K966" t="s">
        <v>25</v>
      </c>
      <c r="L966">
        <v>157</v>
      </c>
      <c r="M966">
        <v>44.41</v>
      </c>
      <c r="N966">
        <v>8.3000000000000007</v>
      </c>
      <c r="O966" t="s">
        <v>25</v>
      </c>
      <c r="P966" t="s">
        <v>965</v>
      </c>
      <c r="Q966" t="s">
        <v>20</v>
      </c>
      <c r="R966" t="str">
        <f>HYPERLINK("https://cfpub.epa.gov/ecotox/explore.cfm?ncbi=2005664","Explore in ECOTOX")</f>
        <v>Explore in ECOTOX</v>
      </c>
    </row>
    <row r="967" spans="1:18" x14ac:dyDescent="0.25">
      <c r="A967">
        <v>6</v>
      </c>
      <c r="B967" t="str">
        <f>HYPERLINK("http://www.ncbi.nlm.nih.gov/protein/XP_011267689.1","XP_011267689.1")</f>
        <v>XP_011267689.1</v>
      </c>
      <c r="C967">
        <v>38841</v>
      </c>
      <c r="D967" t="str">
        <f>HYPERLINK("http://www.ncbi.nlm.nih.gov/Taxonomy/Browser/wwwtax.cgi?mode=Info&amp;id=104421&amp;lvl=3&amp;lin=f&amp;keep=1&amp;srchmode=1&amp;unlock","104421")</f>
        <v>104421</v>
      </c>
      <c r="E967" t="s">
        <v>698</v>
      </c>
      <c r="F967" t="s">
        <v>698</v>
      </c>
      <c r="G967" t="str">
        <f>HYPERLINK("http://www.ncbi.nlm.nih.gov/Taxonomy/Browser/wwwtax.cgi?mode=Info&amp;id=104421&amp;lvl=3&amp;lin=f&amp;keep=1&amp;srchmode=1&amp;unlock","Camponotus floridanus")</f>
        <v>Camponotus floridanus</v>
      </c>
      <c r="H967" t="s">
        <v>775</v>
      </c>
      <c r="I967" t="str">
        <f>HYPERLINK("http://www.ncbi.nlm.nih.gov/protein/XP_011267689.1","steroid hormone receptor ERR1 isoform X8")</f>
        <v>steroid hormone receptor ERR1 isoform X8</v>
      </c>
      <c r="J967">
        <v>155.99</v>
      </c>
      <c r="K967" t="s">
        <v>25</v>
      </c>
      <c r="L967">
        <v>157</v>
      </c>
      <c r="M967">
        <v>44.41</v>
      </c>
      <c r="N967">
        <v>8.3000000000000007</v>
      </c>
      <c r="O967" t="s">
        <v>25</v>
      </c>
      <c r="P967" t="s">
        <v>965</v>
      </c>
      <c r="Q967" t="s">
        <v>20</v>
      </c>
      <c r="R967" t="str">
        <f>HYPERLINK("https://cfpub.epa.gov/ecotox/explore.cfm?ncbi=104421","Explore in ECOTOX")</f>
        <v>Explore in ECOTOX</v>
      </c>
    </row>
    <row r="968" spans="1:18" x14ac:dyDescent="0.25">
      <c r="A968">
        <v>6</v>
      </c>
      <c r="B968" t="str">
        <f>HYPERLINK("http://www.ncbi.nlm.nih.gov/protein/XP_009064842.1","XP_009064842.1")</f>
        <v>XP_009064842.1</v>
      </c>
      <c r="C968">
        <v>47717</v>
      </c>
      <c r="D968" t="str">
        <f>HYPERLINK("http://www.ncbi.nlm.nih.gov/Taxonomy/Browser/wwwtax.cgi?mode=Info&amp;id=225164&amp;lvl=3&amp;lin=f&amp;keep=1&amp;srchmode=1&amp;unlock","225164")</f>
        <v>225164</v>
      </c>
      <c r="E968" t="s">
        <v>763</v>
      </c>
      <c r="F968" t="s">
        <v>763</v>
      </c>
      <c r="G968" t="str">
        <f>HYPERLINK("http://www.ncbi.nlm.nih.gov/Taxonomy/Browser/wwwtax.cgi?mode=Info&amp;id=225164&amp;lvl=3&amp;lin=f&amp;keep=1&amp;srchmode=1&amp;unlock","Lottia gigantea")</f>
        <v>Lottia gigantea</v>
      </c>
      <c r="H968" t="s">
        <v>839</v>
      </c>
      <c r="I968" t="str">
        <f>HYPERLINK("http://www.ncbi.nlm.nih.gov/protein/XP_009064842.1","hypothetical protein LOTGIDRAFT_132166")</f>
        <v>hypothetical protein LOTGIDRAFT_132166</v>
      </c>
      <c r="J968">
        <v>155.99</v>
      </c>
      <c r="K968" t="s">
        <v>25</v>
      </c>
      <c r="L968">
        <v>157</v>
      </c>
      <c r="M968">
        <v>44.41</v>
      </c>
      <c r="N968">
        <v>8.3000000000000007</v>
      </c>
      <c r="O968" t="s">
        <v>25</v>
      </c>
      <c r="P968" t="s">
        <v>965</v>
      </c>
      <c r="Q968" t="s">
        <v>20</v>
      </c>
      <c r="R968" t="str">
        <f>HYPERLINK("https://cfpub.epa.gov/ecotox/explore.cfm?ncbi=225164","Explore in ECOTOX")</f>
        <v>Explore in ECOTOX</v>
      </c>
    </row>
    <row r="969" spans="1:18" x14ac:dyDescent="0.25">
      <c r="A969">
        <v>6</v>
      </c>
      <c r="B969" t="str">
        <f>HYPERLINK("http://www.ncbi.nlm.nih.gov/protein/GFG31069.1","GFG31069.1")</f>
        <v>GFG31069.1</v>
      </c>
      <c r="C969">
        <v>14160</v>
      </c>
      <c r="D969" t="str">
        <f>HYPERLINK("http://www.ncbi.nlm.nih.gov/Taxonomy/Browser/wwwtax.cgi?mode=Info&amp;id=36987&amp;lvl=3&amp;lin=f&amp;keep=1&amp;srchmode=1&amp;unlock","36987")</f>
        <v>36987</v>
      </c>
      <c r="E969" t="s">
        <v>698</v>
      </c>
      <c r="F969" t="s">
        <v>698</v>
      </c>
      <c r="G969" t="str">
        <f>HYPERLINK("http://www.ncbi.nlm.nih.gov/Taxonomy/Browser/wwwtax.cgi?mode=Info&amp;id=36987&amp;lvl=3&amp;lin=f&amp;keep=1&amp;srchmode=1&amp;unlock","Coptotermes formosanus")</f>
        <v>Coptotermes formosanus</v>
      </c>
      <c r="H969" t="s">
        <v>732</v>
      </c>
      <c r="I969" t="str">
        <f>HYPERLINK("http://www.ncbi.nlm.nih.gov/protein/GFG31069.1","hypothetical protein Cfor_00687")</f>
        <v>hypothetical protein Cfor_00687</v>
      </c>
      <c r="J969">
        <v>155.99</v>
      </c>
      <c r="K969" t="s">
        <v>25</v>
      </c>
      <c r="L969">
        <v>157</v>
      </c>
      <c r="M969">
        <v>44.41</v>
      </c>
      <c r="N969">
        <v>8.3000000000000007</v>
      </c>
      <c r="O969" t="s">
        <v>25</v>
      </c>
      <c r="P969" t="s">
        <v>965</v>
      </c>
      <c r="Q969" t="s">
        <v>20</v>
      </c>
      <c r="R969" t="str">
        <f>HYPERLINK("https://cfpub.epa.gov/ecotox/explore.cfm?ncbi=36987","Explore in ECOTOX")</f>
        <v>Explore in ECOTOX</v>
      </c>
    </row>
    <row r="970" spans="1:18" x14ac:dyDescent="0.25">
      <c r="A970">
        <v>6</v>
      </c>
      <c r="B970" t="str">
        <f>HYPERLINK("http://www.ncbi.nlm.nih.gov/protein/ADJ96333.1","ADJ96333.1")</f>
        <v>ADJ96333.1</v>
      </c>
      <c r="C970">
        <v>83</v>
      </c>
      <c r="D970" t="str">
        <f>HYPERLINK("http://www.ncbi.nlm.nih.gov/Taxonomy/Browser/wwwtax.cgi?mode=Info&amp;id=229072&amp;lvl=3&amp;lin=f&amp;keep=1&amp;srchmode=1&amp;unlock","229072")</f>
        <v>229072</v>
      </c>
      <c r="E970" t="s">
        <v>384</v>
      </c>
      <c r="F970" t="s">
        <v>384</v>
      </c>
      <c r="G970" t="str">
        <f>HYPERLINK("http://www.ncbi.nlm.nih.gov/Taxonomy/Browser/wwwtax.cgi?mode=Info&amp;id=229072&amp;lvl=3&amp;lin=f&amp;keep=1&amp;srchmode=1&amp;unlock","Amphiprion melanopus")</f>
        <v>Amphiprion melanopus</v>
      </c>
      <c r="H970" t="s">
        <v>1130</v>
      </c>
      <c r="I970" t="str">
        <f>HYPERLINK("http://www.ncbi.nlm.nih.gov/protein/ADJ96333.1","estrogen receptor beta 1, partial")</f>
        <v>estrogen receptor beta 1, partial</v>
      </c>
      <c r="J970">
        <v>155.61000000000001</v>
      </c>
      <c r="K970" t="s">
        <v>25</v>
      </c>
      <c r="L970">
        <v>157</v>
      </c>
      <c r="M970">
        <v>44.41</v>
      </c>
      <c r="N970">
        <v>8.2799999999999994</v>
      </c>
      <c r="O970" t="s">
        <v>25</v>
      </c>
      <c r="P970" t="s">
        <v>965</v>
      </c>
      <c r="Q970" t="s">
        <v>20</v>
      </c>
      <c r="R970" t="str">
        <f>HYPERLINK("https://cfpub.epa.gov/ecotox/explore.cfm?ncbi=229072","Explore in ECOTOX")</f>
        <v>Explore in ECOTOX</v>
      </c>
    </row>
    <row r="971" spans="1:18" x14ac:dyDescent="0.25">
      <c r="A971">
        <v>6</v>
      </c>
      <c r="B971" t="str">
        <f>HYPERLINK("http://www.ncbi.nlm.nih.gov/protein/KAF7391073.1","KAF7391073.1")</f>
        <v>KAF7391073.1</v>
      </c>
      <c r="C971">
        <v>15690</v>
      </c>
      <c r="D971" t="str">
        <f>HYPERLINK("http://www.ncbi.nlm.nih.gov/Taxonomy/Browser/wwwtax.cgi?mode=Info&amp;id=7454&amp;lvl=3&amp;lin=f&amp;keep=1&amp;srchmode=1&amp;unlock","7454")</f>
        <v>7454</v>
      </c>
      <c r="E971" t="s">
        <v>698</v>
      </c>
      <c r="F971" t="s">
        <v>698</v>
      </c>
      <c r="G971" t="str">
        <f>HYPERLINK("http://www.ncbi.nlm.nih.gov/Taxonomy/Browser/wwwtax.cgi?mode=Info&amp;id=7454&amp;lvl=3&amp;lin=f&amp;keep=1&amp;srchmode=1&amp;unlock","Vespula vulgaris")</f>
        <v>Vespula vulgaris</v>
      </c>
      <c r="H971" t="s">
        <v>800</v>
      </c>
      <c r="I971" t="str">
        <f>HYPERLINK("http://www.ncbi.nlm.nih.gov/protein/KAF7391073.1","hypothetical protein")</f>
        <v>hypothetical protein</v>
      </c>
      <c r="J971">
        <v>155.61000000000001</v>
      </c>
      <c r="K971" t="s">
        <v>25</v>
      </c>
      <c r="L971">
        <v>157</v>
      </c>
      <c r="M971">
        <v>44.41</v>
      </c>
      <c r="N971">
        <v>8.2799999999999994</v>
      </c>
      <c r="O971" t="s">
        <v>25</v>
      </c>
      <c r="P971" t="s">
        <v>965</v>
      </c>
      <c r="Q971" t="s">
        <v>20</v>
      </c>
      <c r="R971" t="str">
        <f>HYPERLINK("https://cfpub.epa.gov/ecotox/explore.cfm?ncbi=7454","Explore in ECOTOX")</f>
        <v>Explore in ECOTOX</v>
      </c>
    </row>
    <row r="972" spans="1:18" x14ac:dyDescent="0.25">
      <c r="A972">
        <v>6</v>
      </c>
      <c r="B972" t="str">
        <f>HYPERLINK("http://www.ncbi.nlm.nih.gov/protein/XP_037272566.1","XP_037272566.1")</f>
        <v>XP_037272566.1</v>
      </c>
      <c r="C972">
        <v>25380</v>
      </c>
      <c r="D972" t="str">
        <f>HYPERLINK("http://www.ncbi.nlm.nih.gov/Taxonomy/Browser/wwwtax.cgi?mode=Info&amp;id=6941&amp;lvl=3&amp;lin=f&amp;keep=1&amp;srchmode=1&amp;unlock","6941")</f>
        <v>6941</v>
      </c>
      <c r="E972" t="s">
        <v>700</v>
      </c>
      <c r="F972" t="s">
        <v>700</v>
      </c>
      <c r="G972" t="str">
        <f>HYPERLINK("http://www.ncbi.nlm.nih.gov/Taxonomy/Browser/wwwtax.cgi?mode=Info&amp;id=6941&amp;lvl=3&amp;lin=f&amp;keep=1&amp;srchmode=1&amp;unlock","Rhipicephalus microplus")</f>
        <v>Rhipicephalus microplus</v>
      </c>
      <c r="H972" t="s">
        <v>872</v>
      </c>
      <c r="I972" t="str">
        <f>HYPERLINK("http://www.ncbi.nlm.nih.gov/protein/XP_037272566.1","steroid hormone receptor ERR1-like")</f>
        <v>steroid hormone receptor ERR1-like</v>
      </c>
      <c r="J972">
        <v>155.61000000000001</v>
      </c>
      <c r="K972" t="s">
        <v>25</v>
      </c>
      <c r="L972">
        <v>157</v>
      </c>
      <c r="M972">
        <v>44.41</v>
      </c>
      <c r="N972">
        <v>8.2799999999999994</v>
      </c>
      <c r="O972" t="s">
        <v>25</v>
      </c>
      <c r="P972" t="s">
        <v>965</v>
      </c>
      <c r="Q972" t="s">
        <v>20</v>
      </c>
      <c r="R972" t="str">
        <f>HYPERLINK("https://cfpub.epa.gov/ecotox/explore.cfm?ncbi=6941","Explore in ECOTOX")</f>
        <v>Explore in ECOTOX</v>
      </c>
    </row>
    <row r="973" spans="1:18" x14ac:dyDescent="0.25">
      <c r="A973">
        <v>6</v>
      </c>
      <c r="B973" t="str">
        <f>HYPERLINK("http://www.ncbi.nlm.nih.gov/protein/XP_012257458.1","XP_012257458.1")</f>
        <v>XP_012257458.1</v>
      </c>
      <c r="C973">
        <v>22153</v>
      </c>
      <c r="D973" t="str">
        <f>HYPERLINK("http://www.ncbi.nlm.nih.gov/Taxonomy/Browser/wwwtax.cgi?mode=Info&amp;id=37344&amp;lvl=3&amp;lin=f&amp;keep=1&amp;srchmode=1&amp;unlock","37344")</f>
        <v>37344</v>
      </c>
      <c r="E973" t="s">
        <v>698</v>
      </c>
      <c r="F973" t="s">
        <v>698</v>
      </c>
      <c r="G973" t="str">
        <f>HYPERLINK("http://www.ncbi.nlm.nih.gov/Taxonomy/Browser/wwwtax.cgi?mode=Info&amp;id=37344&amp;lvl=3&amp;lin=f&amp;keep=1&amp;srchmode=1&amp;unlock","Athalia rosae")</f>
        <v>Athalia rosae</v>
      </c>
      <c r="H973" t="s">
        <v>735</v>
      </c>
      <c r="I973" t="str">
        <f>HYPERLINK("http://www.ncbi.nlm.nih.gov/protein/XP_012257458.1","steroid hormone receptor ERR2 isoform X5")</f>
        <v>steroid hormone receptor ERR2 isoform X5</v>
      </c>
      <c r="J973">
        <v>155.22</v>
      </c>
      <c r="K973" t="s">
        <v>25</v>
      </c>
      <c r="L973">
        <v>157</v>
      </c>
      <c r="M973">
        <v>44.41</v>
      </c>
      <c r="N973">
        <v>8.26</v>
      </c>
      <c r="O973" t="s">
        <v>25</v>
      </c>
      <c r="P973" t="s">
        <v>965</v>
      </c>
      <c r="Q973" t="s">
        <v>20</v>
      </c>
      <c r="R973" t="str">
        <f>HYPERLINK("https://cfpub.epa.gov/ecotox/explore.cfm?ncbi=37344","Explore in ECOTOX")</f>
        <v>Explore in ECOTOX</v>
      </c>
    </row>
    <row r="974" spans="1:18" x14ac:dyDescent="0.25">
      <c r="A974">
        <v>6</v>
      </c>
      <c r="B974" t="str">
        <f>HYPERLINK("http://www.ncbi.nlm.nih.gov/protein/XP_034942586.1","XP_034942586.1")</f>
        <v>XP_034942586.1</v>
      </c>
      <c r="C974">
        <v>19262</v>
      </c>
      <c r="D974" t="str">
        <f>HYPERLINK("http://www.ncbi.nlm.nih.gov/Taxonomy/Browser/wwwtax.cgi?mode=Info&amp;id=460826&amp;lvl=3&amp;lin=f&amp;keep=1&amp;srchmode=1&amp;unlock","460826")</f>
        <v>460826</v>
      </c>
      <c r="E974" t="s">
        <v>698</v>
      </c>
      <c r="F974" t="s">
        <v>698</v>
      </c>
      <c r="G974" t="str">
        <f>HYPERLINK("http://www.ncbi.nlm.nih.gov/Taxonomy/Browser/wwwtax.cgi?mode=Info&amp;id=460826&amp;lvl=3&amp;lin=f&amp;keep=1&amp;srchmode=1&amp;unlock","Chelonus insularis")</f>
        <v>Chelonus insularis</v>
      </c>
      <c r="H974" t="s">
        <v>755</v>
      </c>
      <c r="I974" t="str">
        <f>HYPERLINK("http://www.ncbi.nlm.nih.gov/protein/XP_034942586.1","steroid hormone receptor ERR2 isoform X5")</f>
        <v>steroid hormone receptor ERR2 isoform X5</v>
      </c>
      <c r="J974">
        <v>155.22</v>
      </c>
      <c r="K974" t="s">
        <v>25</v>
      </c>
      <c r="L974">
        <v>157</v>
      </c>
      <c r="M974">
        <v>44.41</v>
      </c>
      <c r="N974">
        <v>8.26</v>
      </c>
      <c r="O974" t="s">
        <v>25</v>
      </c>
      <c r="P974" t="s">
        <v>965</v>
      </c>
      <c r="Q974" t="s">
        <v>20</v>
      </c>
      <c r="R974" t="str">
        <f>HYPERLINK("https://cfpub.epa.gov/ecotox/explore.cfm?ncbi=460826","Explore in ECOTOX")</f>
        <v>Explore in ECOTOX</v>
      </c>
    </row>
    <row r="975" spans="1:18" x14ac:dyDescent="0.25">
      <c r="A975">
        <v>6</v>
      </c>
      <c r="B975" t="str">
        <f>HYPERLINK("http://www.ncbi.nlm.nih.gov/protein/XP_032684548.1","XP_032684548.1")</f>
        <v>XP_032684548.1</v>
      </c>
      <c r="C975">
        <v>29195</v>
      </c>
      <c r="D975" t="str">
        <f>HYPERLINK("http://www.ncbi.nlm.nih.gov/Taxonomy/Browser/wwwtax.cgi?mode=Info&amp;id=486640&amp;lvl=3&amp;lin=f&amp;keep=1&amp;srchmode=1&amp;unlock","486640")</f>
        <v>486640</v>
      </c>
      <c r="E975" t="s">
        <v>698</v>
      </c>
      <c r="F975" t="s">
        <v>698</v>
      </c>
      <c r="G975" t="str">
        <f>HYPERLINK("http://www.ncbi.nlm.nih.gov/Taxonomy/Browser/wwwtax.cgi?mode=Info&amp;id=486640&amp;lvl=3&amp;lin=f&amp;keep=1&amp;srchmode=1&amp;unlock","Odontomachus brunneus")</f>
        <v>Odontomachus brunneus</v>
      </c>
      <c r="H975" t="s">
        <v>755</v>
      </c>
      <c r="I975" t="str">
        <f>HYPERLINK("http://www.ncbi.nlm.nih.gov/protein/XP_032684548.1","steroid hormone receptor ERR2 isoform X2")</f>
        <v>steroid hormone receptor ERR2 isoform X2</v>
      </c>
      <c r="J975">
        <v>154.84</v>
      </c>
      <c r="K975" t="s">
        <v>25</v>
      </c>
      <c r="L975">
        <v>157</v>
      </c>
      <c r="M975">
        <v>44.41</v>
      </c>
      <c r="N975">
        <v>8.24</v>
      </c>
      <c r="O975" t="s">
        <v>25</v>
      </c>
      <c r="P975" t="s">
        <v>965</v>
      </c>
      <c r="Q975" t="s">
        <v>20</v>
      </c>
      <c r="R975" t="str">
        <f>HYPERLINK("https://cfpub.epa.gov/ecotox/explore.cfm?ncbi=486640","Explore in ECOTOX")</f>
        <v>Explore in ECOTOX</v>
      </c>
    </row>
    <row r="976" spans="1:18" x14ac:dyDescent="0.25">
      <c r="A976">
        <v>6</v>
      </c>
      <c r="B976" t="str">
        <f>HYPERLINK("http://www.ncbi.nlm.nih.gov/protein/ELT99464.1","ELT99464.1")</f>
        <v>ELT99464.1</v>
      </c>
      <c r="C976">
        <v>32041</v>
      </c>
      <c r="D976" t="str">
        <f>HYPERLINK("http://www.ncbi.nlm.nih.gov/Taxonomy/Browser/wwwtax.cgi?mode=Info&amp;id=283909&amp;lvl=3&amp;lin=f&amp;keep=1&amp;srchmode=1&amp;unlock","283909")</f>
        <v>283909</v>
      </c>
      <c r="E976" t="s">
        <v>822</v>
      </c>
      <c r="F976" t="s">
        <v>822</v>
      </c>
      <c r="G976" t="str">
        <f>HYPERLINK("http://www.ncbi.nlm.nih.gov/Taxonomy/Browser/wwwtax.cgi?mode=Info&amp;id=283909&amp;lvl=3&amp;lin=f&amp;keep=1&amp;srchmode=1&amp;unlock","Capitella teleta")</f>
        <v>Capitella teleta</v>
      </c>
      <c r="H976" t="s">
        <v>823</v>
      </c>
      <c r="I976" t="str">
        <f>HYPERLINK("http://www.ncbi.nlm.nih.gov/protein/ELT99464.1","hypothetical protein CAPTEDRAFT_108381")</f>
        <v>hypothetical protein CAPTEDRAFT_108381</v>
      </c>
      <c r="J976">
        <v>154.84</v>
      </c>
      <c r="K976" t="s">
        <v>25</v>
      </c>
      <c r="L976">
        <v>157</v>
      </c>
      <c r="M976">
        <v>44.41</v>
      </c>
      <c r="N976">
        <v>8.24</v>
      </c>
      <c r="O976" t="s">
        <v>25</v>
      </c>
      <c r="P976" t="s">
        <v>965</v>
      </c>
      <c r="Q976" t="s">
        <v>20</v>
      </c>
      <c r="R976" t="str">
        <f>HYPERLINK("https://cfpub.epa.gov/ecotox/explore.cfm?ncbi=283909","Explore in ECOTOX")</f>
        <v>Explore in ECOTOX</v>
      </c>
    </row>
    <row r="977" spans="1:18" x14ac:dyDescent="0.25">
      <c r="A977">
        <v>6</v>
      </c>
      <c r="B977" t="str">
        <f>HYPERLINK("http://www.ncbi.nlm.nih.gov/protein/CAD7194429.1","CAD7194429.1")</f>
        <v>CAD7194429.1</v>
      </c>
      <c r="C977">
        <v>14083</v>
      </c>
      <c r="D977" t="str">
        <f>HYPERLINK("http://www.ncbi.nlm.nih.gov/Taxonomy/Browser/wwwtax.cgi?mode=Info&amp;id=61478&amp;lvl=3&amp;lin=f&amp;keep=1&amp;srchmode=1&amp;unlock","61478")</f>
        <v>61478</v>
      </c>
      <c r="E977" t="s">
        <v>698</v>
      </c>
      <c r="F977" t="s">
        <v>698</v>
      </c>
      <c r="G977" t="str">
        <f>HYPERLINK("http://www.ncbi.nlm.nih.gov/Taxonomy/Browser/wwwtax.cgi?mode=Info&amp;id=61478&amp;lvl=3&amp;lin=f&amp;keep=1&amp;srchmode=1&amp;unlock","Timema douglasi")</f>
        <v>Timema douglasi</v>
      </c>
      <c r="H977" t="s">
        <v>728</v>
      </c>
      <c r="I977" t="str">
        <f>HYPERLINK("http://www.ncbi.nlm.nih.gov/protein/CAD7194429.1","unnamed protein product")</f>
        <v>unnamed protein product</v>
      </c>
      <c r="J977">
        <v>154.84</v>
      </c>
      <c r="K977" t="s">
        <v>25</v>
      </c>
      <c r="L977">
        <v>157</v>
      </c>
      <c r="M977">
        <v>44.41</v>
      </c>
      <c r="N977">
        <v>8.24</v>
      </c>
      <c r="O977" t="s">
        <v>25</v>
      </c>
      <c r="P977" t="s">
        <v>965</v>
      </c>
      <c r="Q977" t="s">
        <v>20</v>
      </c>
      <c r="R977" t="str">
        <f>HYPERLINK("https://cfpub.epa.gov/ecotox/explore.cfm?ncbi=61478","Explore in ECOTOX")</f>
        <v>Explore in ECOTOX</v>
      </c>
    </row>
    <row r="978" spans="1:18" x14ac:dyDescent="0.25">
      <c r="A978">
        <v>6</v>
      </c>
      <c r="B978" t="str">
        <f>HYPERLINK("http://www.ncbi.nlm.nih.gov/protein/NP_001135406.1","NP_001135406.1")</f>
        <v>NP_001135406.1</v>
      </c>
      <c r="C978">
        <v>42331</v>
      </c>
      <c r="D978" t="str">
        <f>HYPERLINK("http://www.ncbi.nlm.nih.gov/Taxonomy/Browser/wwwtax.cgi?mode=Info&amp;id=7070&amp;lvl=3&amp;lin=f&amp;keep=1&amp;srchmode=1&amp;unlock","7070")</f>
        <v>7070</v>
      </c>
      <c r="E978" t="s">
        <v>698</v>
      </c>
      <c r="F978" t="s">
        <v>698</v>
      </c>
      <c r="G978" t="str">
        <f>HYPERLINK("http://www.ncbi.nlm.nih.gov/Taxonomy/Browser/wwwtax.cgi?mode=Info&amp;id=7070&amp;lvl=3&amp;lin=f&amp;keep=1&amp;srchmode=1&amp;unlock","Tribolium castaneum")</f>
        <v>Tribolium castaneum</v>
      </c>
      <c r="H978" t="s">
        <v>938</v>
      </c>
      <c r="I978" t="str">
        <f>HYPERLINK("http://www.ncbi.nlm.nih.gov/protein/NP_001135406.1","estrogen-related receptor")</f>
        <v>estrogen-related receptor</v>
      </c>
      <c r="J978">
        <v>154.84</v>
      </c>
      <c r="K978" t="s">
        <v>25</v>
      </c>
      <c r="L978">
        <v>157</v>
      </c>
      <c r="M978">
        <v>44.41</v>
      </c>
      <c r="N978">
        <v>8.24</v>
      </c>
      <c r="O978" t="s">
        <v>25</v>
      </c>
      <c r="P978" t="s">
        <v>965</v>
      </c>
      <c r="Q978" t="s">
        <v>20</v>
      </c>
      <c r="R978" t="str">
        <f>HYPERLINK("https://cfpub.epa.gov/ecotox/explore.cfm?ncbi=7070","Explore in ECOTOX")</f>
        <v>Explore in ECOTOX</v>
      </c>
    </row>
    <row r="979" spans="1:18" x14ac:dyDescent="0.25">
      <c r="A979">
        <v>6</v>
      </c>
      <c r="B979" t="str">
        <f>HYPERLINK("http://www.ncbi.nlm.nih.gov/protein/XP_014668376.1","XP_014668376.1")</f>
        <v>XP_014668376.1</v>
      </c>
      <c r="C979">
        <v>20818</v>
      </c>
      <c r="D979" t="str">
        <f>HYPERLINK("http://www.ncbi.nlm.nih.gov/Taxonomy/Browser/wwwtax.cgi?mode=Info&amp;id=37621&amp;lvl=3&amp;lin=f&amp;keep=1&amp;srchmode=1&amp;unlock","37621")</f>
        <v>37621</v>
      </c>
      <c r="E979" t="s">
        <v>720</v>
      </c>
      <c r="F979" t="s">
        <v>720</v>
      </c>
      <c r="G979" t="str">
        <f>HYPERLINK("http://www.ncbi.nlm.nih.gov/Taxonomy/Browser/wwwtax.cgi?mode=Info&amp;id=37621&amp;lvl=3&amp;lin=f&amp;keep=1&amp;srchmode=1&amp;unlock","Priapulus caudatus")</f>
        <v>Priapulus caudatus</v>
      </c>
      <c r="H979" t="s">
        <v>721</v>
      </c>
      <c r="I979" t="str">
        <f>HYPERLINK("http://www.ncbi.nlm.nih.gov/protein/XP_014668376.1","PREDICTED: estrogen receptor beta-like")</f>
        <v>PREDICTED: estrogen receptor beta-like</v>
      </c>
      <c r="J979">
        <v>154.84</v>
      </c>
      <c r="K979" t="s">
        <v>25</v>
      </c>
      <c r="L979">
        <v>157</v>
      </c>
      <c r="M979">
        <v>44.41</v>
      </c>
      <c r="N979">
        <v>8.24</v>
      </c>
      <c r="O979" t="s">
        <v>25</v>
      </c>
      <c r="P979" t="s">
        <v>965</v>
      </c>
      <c r="Q979" t="s">
        <v>20</v>
      </c>
      <c r="R979" t="str">
        <f>HYPERLINK("https://cfpub.epa.gov/ecotox/explore.cfm?ncbi=37621","Explore in ECOTOX")</f>
        <v>Explore in ECOTOX</v>
      </c>
    </row>
    <row r="980" spans="1:18" x14ac:dyDescent="0.25">
      <c r="A980">
        <v>6</v>
      </c>
      <c r="B980" t="str">
        <f>HYPERLINK("http://www.ncbi.nlm.nih.gov/protein/CAD7243309.1","CAD7243309.1")</f>
        <v>CAD7243309.1</v>
      </c>
      <c r="C980">
        <v>15698</v>
      </c>
      <c r="D980" t="str">
        <f>HYPERLINK("http://www.ncbi.nlm.nih.gov/Taxonomy/Browser/wwwtax.cgi?mode=Info&amp;id=69355&amp;lvl=3&amp;lin=f&amp;keep=1&amp;srchmode=1&amp;unlock","69355")</f>
        <v>69355</v>
      </c>
      <c r="E980" t="s">
        <v>1131</v>
      </c>
      <c r="F980" t="s">
        <v>1131</v>
      </c>
      <c r="G980" t="str">
        <f>HYPERLINK("http://www.ncbi.nlm.nih.gov/Taxonomy/Browser/wwwtax.cgi?mode=Info&amp;id=69355&amp;lvl=3&amp;lin=f&amp;keep=1&amp;srchmode=1&amp;unlock","Darwinula stevensoni")</f>
        <v>Darwinula stevensoni</v>
      </c>
      <c r="H980" t="s">
        <v>1132</v>
      </c>
      <c r="I980" t="str">
        <f>HYPERLINK("http://www.ncbi.nlm.nih.gov/protein/CAD7243309.1","unnamed protein product, partial")</f>
        <v>unnamed protein product, partial</v>
      </c>
      <c r="J980">
        <v>154.44999999999999</v>
      </c>
      <c r="K980" t="s">
        <v>25</v>
      </c>
      <c r="L980">
        <v>157</v>
      </c>
      <c r="M980">
        <v>44.41</v>
      </c>
      <c r="N980">
        <v>8.2200000000000006</v>
      </c>
      <c r="O980" t="s">
        <v>25</v>
      </c>
      <c r="P980" t="s">
        <v>965</v>
      </c>
      <c r="Q980" t="s">
        <v>20</v>
      </c>
      <c r="R980" t="str">
        <f>HYPERLINK("https://cfpub.epa.gov/ecotox/explore.cfm?ncbi=69355","Explore in ECOTOX")</f>
        <v>Explore in ECOTOX</v>
      </c>
    </row>
    <row r="981" spans="1:18" x14ac:dyDescent="0.25">
      <c r="A981">
        <v>6</v>
      </c>
      <c r="B981" t="str">
        <f>HYPERLINK("http://www.ncbi.nlm.nih.gov/protein/XP_030765079.1","XP_030765079.1")</f>
        <v>XP_030765079.1</v>
      </c>
      <c r="C981">
        <v>23735</v>
      </c>
      <c r="D981" t="str">
        <f>HYPERLINK("http://www.ncbi.nlm.nih.gov/Taxonomy/Browser/wwwtax.cgi?mode=Info&amp;id=7048&amp;lvl=3&amp;lin=f&amp;keep=1&amp;srchmode=1&amp;unlock","7048")</f>
        <v>7048</v>
      </c>
      <c r="E981" t="s">
        <v>698</v>
      </c>
      <c r="F981" t="s">
        <v>698</v>
      </c>
      <c r="G981" t="str">
        <f>HYPERLINK("http://www.ncbi.nlm.nih.gov/Taxonomy/Browser/wwwtax.cgi?mode=Info&amp;id=7048&amp;lvl=3&amp;lin=f&amp;keep=1&amp;srchmode=1&amp;unlock","Sitophilus oryzae")</f>
        <v>Sitophilus oryzae</v>
      </c>
      <c r="H981" t="s">
        <v>877</v>
      </c>
      <c r="I981" t="str">
        <f>HYPERLINK("http://www.ncbi.nlm.nih.gov/protein/XP_030765079.1","steroid hormone receptor ERR2 isoform X2")</f>
        <v>steroid hormone receptor ERR2 isoform X2</v>
      </c>
      <c r="J981">
        <v>154.44999999999999</v>
      </c>
      <c r="K981" t="s">
        <v>25</v>
      </c>
      <c r="L981">
        <v>157</v>
      </c>
      <c r="M981">
        <v>44.41</v>
      </c>
      <c r="N981">
        <v>8.2200000000000006</v>
      </c>
      <c r="O981" t="s">
        <v>25</v>
      </c>
      <c r="P981" t="s">
        <v>965</v>
      </c>
      <c r="Q981" t="s">
        <v>20</v>
      </c>
      <c r="R981" t="str">
        <f>HYPERLINK("https://cfpub.epa.gov/ecotox/explore.cfm?ncbi=7048","Explore in ECOTOX")</f>
        <v>Explore in ECOTOX</v>
      </c>
    </row>
    <row r="982" spans="1:18" x14ac:dyDescent="0.25">
      <c r="A982">
        <v>6</v>
      </c>
      <c r="B982" t="str">
        <f>HYPERLINK("http://www.ncbi.nlm.nih.gov/protein/CAD7408652.1","CAD7408652.1")</f>
        <v>CAD7408652.1</v>
      </c>
      <c r="C982">
        <v>15907</v>
      </c>
      <c r="D982" t="str">
        <f>HYPERLINK("http://www.ncbi.nlm.nih.gov/Taxonomy/Browser/wwwtax.cgi?mode=Info&amp;id=170557&amp;lvl=3&amp;lin=f&amp;keep=1&amp;srchmode=1&amp;unlock","170557")</f>
        <v>170557</v>
      </c>
      <c r="E982" t="s">
        <v>698</v>
      </c>
      <c r="F982" t="s">
        <v>698</v>
      </c>
      <c r="G982" t="str">
        <f>HYPERLINK("http://www.ncbi.nlm.nih.gov/Taxonomy/Browser/wwwtax.cgi?mode=Info&amp;id=170557&amp;lvl=3&amp;lin=f&amp;keep=1&amp;srchmode=1&amp;unlock","Timema poppensis")</f>
        <v>Timema poppensis</v>
      </c>
      <c r="H982" t="s">
        <v>728</v>
      </c>
      <c r="I982" t="str">
        <f>HYPERLINK("http://www.ncbi.nlm.nih.gov/protein/CAD7408652.1","unnamed protein product")</f>
        <v>unnamed protein product</v>
      </c>
      <c r="J982">
        <v>154.44999999999999</v>
      </c>
      <c r="K982" t="s">
        <v>25</v>
      </c>
      <c r="L982">
        <v>157</v>
      </c>
      <c r="M982">
        <v>44.41</v>
      </c>
      <c r="N982">
        <v>8.2200000000000006</v>
      </c>
      <c r="O982" t="s">
        <v>25</v>
      </c>
      <c r="P982" t="s">
        <v>965</v>
      </c>
      <c r="Q982" t="s">
        <v>20</v>
      </c>
      <c r="R982" t="str">
        <f>HYPERLINK("https://cfpub.epa.gov/ecotox/explore.cfm?ncbi=170557","Explore in ECOTOX")</f>
        <v>Explore in ECOTOX</v>
      </c>
    </row>
    <row r="983" spans="1:18" x14ac:dyDescent="0.25">
      <c r="A983">
        <v>6</v>
      </c>
      <c r="B983" t="str">
        <f>HYPERLINK("http://www.ncbi.nlm.nih.gov/protein/XP_012057256.1","XP_012057256.1")</f>
        <v>XP_012057256.1</v>
      </c>
      <c r="C983">
        <v>10762</v>
      </c>
      <c r="D983" t="str">
        <f>HYPERLINK("http://www.ncbi.nlm.nih.gov/Taxonomy/Browser/wwwtax.cgi?mode=Info&amp;id=12957&amp;lvl=3&amp;lin=f&amp;keep=1&amp;srchmode=1&amp;unlock","12957")</f>
        <v>12957</v>
      </c>
      <c r="E983" t="s">
        <v>698</v>
      </c>
      <c r="F983" t="s">
        <v>698</v>
      </c>
      <c r="G983" t="str">
        <f>HYPERLINK("http://www.ncbi.nlm.nih.gov/Taxonomy/Browser/wwwtax.cgi?mode=Info&amp;id=12957&amp;lvl=3&amp;lin=f&amp;keep=1&amp;srchmode=1&amp;unlock","Atta cephalotes")</f>
        <v>Atta cephalotes</v>
      </c>
      <c r="H983" t="s">
        <v>848</v>
      </c>
      <c r="I983" t="str">
        <f>HYPERLINK("http://www.ncbi.nlm.nih.gov/protein/XP_012057256.1","PREDICTED: steroid hormone receptor ERR1")</f>
        <v>PREDICTED: steroid hormone receptor ERR1</v>
      </c>
      <c r="J983">
        <v>154.07</v>
      </c>
      <c r="K983" t="s">
        <v>25</v>
      </c>
      <c r="L983">
        <v>157</v>
      </c>
      <c r="M983">
        <v>44.41</v>
      </c>
      <c r="N983">
        <v>8.1999999999999993</v>
      </c>
      <c r="O983" t="s">
        <v>25</v>
      </c>
      <c r="P983" t="s">
        <v>965</v>
      </c>
      <c r="Q983" t="s">
        <v>20</v>
      </c>
      <c r="R983" t="str">
        <f>HYPERLINK("https://cfpub.epa.gov/ecotox/explore.cfm?ncbi=12957","Explore in ECOTOX")</f>
        <v>Explore in ECOTOX</v>
      </c>
    </row>
    <row r="984" spans="1:18" x14ac:dyDescent="0.25">
      <c r="A984">
        <v>6</v>
      </c>
      <c r="B984" t="str">
        <f>HYPERLINK("http://www.ncbi.nlm.nih.gov/protein/KAF7262888.1","KAF7262888.1")</f>
        <v>KAF7262888.1</v>
      </c>
      <c r="C984">
        <v>25887</v>
      </c>
      <c r="D984" t="str">
        <f>HYPERLINK("http://www.ncbi.nlm.nih.gov/Taxonomy/Browser/wwwtax.cgi?mode=Info&amp;id=354439&amp;lvl=3&amp;lin=f&amp;keep=1&amp;srchmode=1&amp;unlock","354439")</f>
        <v>354439</v>
      </c>
      <c r="E984" t="s">
        <v>698</v>
      </c>
      <c r="F984" t="s">
        <v>698</v>
      </c>
      <c r="G984" t="str">
        <f>HYPERLINK("http://www.ncbi.nlm.nih.gov/Taxonomy/Browser/wwwtax.cgi?mode=Info&amp;id=354439&amp;lvl=3&amp;lin=f&amp;keep=1&amp;srchmode=1&amp;unlock","Rhynchophorus ferrugineus")</f>
        <v>Rhynchophorus ferrugineus</v>
      </c>
      <c r="H984" t="s">
        <v>898</v>
      </c>
      <c r="I984" t="str">
        <f>HYPERLINK("http://www.ncbi.nlm.nih.gov/protein/KAF7262888.1","hypothetical protein GWI33_003929")</f>
        <v>hypothetical protein GWI33_003929</v>
      </c>
      <c r="J984">
        <v>153.68</v>
      </c>
      <c r="K984" t="s">
        <v>25</v>
      </c>
      <c r="L984">
        <v>157</v>
      </c>
      <c r="M984">
        <v>44.41</v>
      </c>
      <c r="N984">
        <v>8.18</v>
      </c>
      <c r="O984" t="s">
        <v>25</v>
      </c>
      <c r="P984" t="s">
        <v>965</v>
      </c>
      <c r="Q984" t="s">
        <v>20</v>
      </c>
      <c r="R984" t="str">
        <f>HYPERLINK("https://cfpub.epa.gov/ecotox/explore.cfm?ncbi=354439","Explore in ECOTOX")</f>
        <v>Explore in ECOTOX</v>
      </c>
    </row>
    <row r="985" spans="1:18" x14ac:dyDescent="0.25">
      <c r="A985">
        <v>6</v>
      </c>
      <c r="B985" t="str">
        <f>HYPERLINK("http://www.ncbi.nlm.nih.gov/protein/XP_011312293.1","XP_011312293.1")</f>
        <v>XP_011312293.1</v>
      </c>
      <c r="C985">
        <v>18958</v>
      </c>
      <c r="D985" t="str">
        <f>HYPERLINK("http://www.ncbi.nlm.nih.gov/Taxonomy/Browser/wwwtax.cgi?mode=Info&amp;id=64838&amp;lvl=3&amp;lin=f&amp;keep=1&amp;srchmode=1&amp;unlock","64838")</f>
        <v>64838</v>
      </c>
      <c r="E985" t="s">
        <v>698</v>
      </c>
      <c r="F985" t="s">
        <v>698</v>
      </c>
      <c r="G985" t="str">
        <f>HYPERLINK("http://www.ncbi.nlm.nih.gov/Taxonomy/Browser/wwwtax.cgi?mode=Info&amp;id=64838&amp;lvl=3&amp;lin=f&amp;keep=1&amp;srchmode=1&amp;unlock","Fopius arisanus")</f>
        <v>Fopius arisanus</v>
      </c>
      <c r="H985" t="s">
        <v>755</v>
      </c>
      <c r="I985" t="str">
        <f>HYPERLINK("http://www.ncbi.nlm.nih.gov/protein/XP_011312293.1","PREDICTED: steroid hormone receptor ERR2 isoform X2")</f>
        <v>PREDICTED: steroid hormone receptor ERR2 isoform X2</v>
      </c>
      <c r="J985">
        <v>153.68</v>
      </c>
      <c r="K985" t="s">
        <v>25</v>
      </c>
      <c r="L985">
        <v>157</v>
      </c>
      <c r="M985">
        <v>44.41</v>
      </c>
      <c r="N985">
        <v>8.18</v>
      </c>
      <c r="O985" t="s">
        <v>25</v>
      </c>
      <c r="P985" t="s">
        <v>965</v>
      </c>
      <c r="Q985" t="s">
        <v>20</v>
      </c>
      <c r="R985" t="str">
        <f>HYPERLINK("https://cfpub.epa.gov/ecotox/explore.cfm?ncbi=64838","Explore in ECOTOX")</f>
        <v>Explore in ECOTOX</v>
      </c>
    </row>
    <row r="986" spans="1:18" x14ac:dyDescent="0.25">
      <c r="A986">
        <v>6</v>
      </c>
      <c r="B986" t="str">
        <f>HYPERLINK("http://www.ncbi.nlm.nih.gov/protein/KAG5319133.1","KAG5319133.1")</f>
        <v>KAG5319133.1</v>
      </c>
      <c r="C986">
        <v>9123</v>
      </c>
      <c r="D986" t="str">
        <f>HYPERLINK("http://www.ncbi.nlm.nih.gov/Taxonomy/Browser/wwwtax.cgi?mode=Info&amp;id=230685&amp;lvl=3&amp;lin=f&amp;keep=1&amp;srchmode=1&amp;unlock","230685")</f>
        <v>230685</v>
      </c>
      <c r="E986" t="s">
        <v>698</v>
      </c>
      <c r="F986" t="s">
        <v>698</v>
      </c>
      <c r="G986" t="str">
        <f>HYPERLINK("http://www.ncbi.nlm.nih.gov/Taxonomy/Browser/wwwtax.cgi?mode=Info&amp;id=230685&amp;lvl=3&amp;lin=f&amp;keep=1&amp;srchmode=1&amp;unlock","Acromyrmex heyeri")</f>
        <v>Acromyrmex heyeri</v>
      </c>
      <c r="H986" t="s">
        <v>755</v>
      </c>
      <c r="I986" t="str">
        <f>HYPERLINK("http://www.ncbi.nlm.nih.gov/protein/KAG5319133.1","ERR3 protein, partial")</f>
        <v>ERR3 protein, partial</v>
      </c>
      <c r="J986">
        <v>153.68</v>
      </c>
      <c r="K986" t="s">
        <v>25</v>
      </c>
      <c r="L986">
        <v>157</v>
      </c>
      <c r="M986">
        <v>44.41</v>
      </c>
      <c r="N986">
        <v>8.18</v>
      </c>
      <c r="O986" t="s">
        <v>25</v>
      </c>
      <c r="P986" t="s">
        <v>965</v>
      </c>
      <c r="Q986" t="s">
        <v>20</v>
      </c>
      <c r="R986" t="str">
        <f>HYPERLINK("https://cfpub.epa.gov/ecotox/explore.cfm?ncbi=230685","Explore in ECOTOX")</f>
        <v>Explore in ECOTOX</v>
      </c>
    </row>
    <row r="987" spans="1:18" x14ac:dyDescent="0.25">
      <c r="A987">
        <v>6</v>
      </c>
      <c r="B987" t="str">
        <f>HYPERLINK("http://www.ncbi.nlm.nih.gov/protein/ACY66850.1","ACY66850.1")</f>
        <v>ACY66850.1</v>
      </c>
      <c r="C987">
        <v>251</v>
      </c>
      <c r="D987" t="str">
        <f>HYPERLINK("http://www.ncbi.nlm.nih.gov/Taxonomy/Browser/wwwtax.cgi?mode=Info&amp;id=315576&amp;lvl=3&amp;lin=f&amp;keep=1&amp;srchmode=1&amp;unlock","315576")</f>
        <v>315576</v>
      </c>
      <c r="E987" t="s">
        <v>698</v>
      </c>
      <c r="F987" t="s">
        <v>698</v>
      </c>
      <c r="G987" t="str">
        <f>HYPERLINK("http://www.ncbi.nlm.nih.gov/Taxonomy/Browser/wwwtax.cgi?mode=Info&amp;id=315576&amp;lvl=3&amp;lin=f&amp;keep=1&amp;srchmode=1&amp;unlock","Chironomus riparius")</f>
        <v>Chironomus riparius</v>
      </c>
      <c r="H987" t="s">
        <v>905</v>
      </c>
      <c r="I987" t="str">
        <f>HYPERLINK("http://www.ncbi.nlm.nih.gov/protein/ACY66850.1","estrogen-related receptor")</f>
        <v>estrogen-related receptor</v>
      </c>
      <c r="J987">
        <v>153.29</v>
      </c>
      <c r="K987" t="s">
        <v>25</v>
      </c>
      <c r="L987">
        <v>157</v>
      </c>
      <c r="M987">
        <v>44.41</v>
      </c>
      <c r="N987">
        <v>8.16</v>
      </c>
      <c r="O987" t="s">
        <v>25</v>
      </c>
      <c r="P987" t="s">
        <v>965</v>
      </c>
      <c r="Q987" t="s">
        <v>20</v>
      </c>
      <c r="R987" t="str">
        <f>HYPERLINK("https://cfpub.epa.gov/ecotox/explore.cfm?ncbi=315576","Explore in ECOTOX")</f>
        <v>Explore in ECOTOX</v>
      </c>
    </row>
    <row r="988" spans="1:18" x14ac:dyDescent="0.25">
      <c r="A988">
        <v>6</v>
      </c>
      <c r="B988" t="str">
        <f>HYPERLINK("http://www.ncbi.nlm.nih.gov/protein/CAD7568503.1","CAD7568503.1")</f>
        <v>CAD7568503.1</v>
      </c>
      <c r="C988">
        <v>14803</v>
      </c>
      <c r="D988" t="str">
        <f>HYPERLINK("http://www.ncbi.nlm.nih.gov/Taxonomy/Browser/wwwtax.cgi?mode=Info&amp;id=61474&amp;lvl=3&amp;lin=f&amp;keep=1&amp;srchmode=1&amp;unlock","61474")</f>
        <v>61474</v>
      </c>
      <c r="E988" t="s">
        <v>698</v>
      </c>
      <c r="F988" t="s">
        <v>698</v>
      </c>
      <c r="G988" t="str">
        <f>HYPERLINK("http://www.ncbi.nlm.nih.gov/Taxonomy/Browser/wwwtax.cgi?mode=Info&amp;id=61474&amp;lvl=3&amp;lin=f&amp;keep=1&amp;srchmode=1&amp;unlock","Timema californicum")</f>
        <v>Timema californicum</v>
      </c>
      <c r="H988" t="s">
        <v>752</v>
      </c>
      <c r="I988" t="str">
        <f>HYPERLINK("http://www.ncbi.nlm.nih.gov/protein/CAD7568503.1","unnamed protein product")</f>
        <v>unnamed protein product</v>
      </c>
      <c r="J988">
        <v>153.29</v>
      </c>
      <c r="K988" t="s">
        <v>25</v>
      </c>
      <c r="L988">
        <v>157</v>
      </c>
      <c r="M988">
        <v>44.41</v>
      </c>
      <c r="N988">
        <v>8.16</v>
      </c>
      <c r="O988" t="s">
        <v>25</v>
      </c>
      <c r="P988" t="s">
        <v>965</v>
      </c>
      <c r="Q988" t="s">
        <v>20</v>
      </c>
      <c r="R988" t="str">
        <f>HYPERLINK("https://cfpub.epa.gov/ecotox/explore.cfm?ncbi=61474","Explore in ECOTOX")</f>
        <v>Explore in ECOTOX</v>
      </c>
    </row>
    <row r="989" spans="1:18" x14ac:dyDescent="0.25">
      <c r="A989">
        <v>6</v>
      </c>
      <c r="B989" t="str">
        <f>HYPERLINK("http://www.ncbi.nlm.nih.gov/protein/KZC06469.1","KZC06469.1")</f>
        <v>KZC06469.1</v>
      </c>
      <c r="C989">
        <v>23634</v>
      </c>
      <c r="D989" t="str">
        <f>HYPERLINK("http://www.ncbi.nlm.nih.gov/Taxonomy/Browser/wwwtax.cgi?mode=Info&amp;id=178035&amp;lvl=3&amp;lin=f&amp;keep=1&amp;srchmode=1&amp;unlock","178035")</f>
        <v>178035</v>
      </c>
      <c r="E989" t="s">
        <v>698</v>
      </c>
      <c r="F989" t="s">
        <v>698</v>
      </c>
      <c r="G989" t="str">
        <f>HYPERLINK("http://www.ncbi.nlm.nih.gov/Taxonomy/Browser/wwwtax.cgi?mode=Info&amp;id=178035&amp;lvl=3&amp;lin=f&amp;keep=1&amp;srchmode=1&amp;unlock","Dufourea novaeangliae")</f>
        <v>Dufourea novaeangliae</v>
      </c>
      <c r="H989" t="s">
        <v>964</v>
      </c>
      <c r="I989" t="str">
        <f>HYPERLINK("http://www.ncbi.nlm.nih.gov/protein/KZC06469.1","Steroid hormone receptor ERR2")</f>
        <v>Steroid hormone receptor ERR2</v>
      </c>
      <c r="J989">
        <v>153.29</v>
      </c>
      <c r="K989" t="s">
        <v>25</v>
      </c>
      <c r="L989">
        <v>157</v>
      </c>
      <c r="M989">
        <v>44.41</v>
      </c>
      <c r="N989">
        <v>8.16</v>
      </c>
      <c r="O989" t="s">
        <v>25</v>
      </c>
      <c r="P989" t="s">
        <v>965</v>
      </c>
      <c r="Q989" t="s">
        <v>20</v>
      </c>
      <c r="R989" t="str">
        <f>HYPERLINK("https://cfpub.epa.gov/ecotox/explore.cfm?ncbi=178035","Explore in ECOTOX")</f>
        <v>Explore in ECOTOX</v>
      </c>
    </row>
    <row r="990" spans="1:18" x14ac:dyDescent="0.25">
      <c r="A990">
        <v>6</v>
      </c>
      <c r="B990" t="str">
        <f>HYPERLINK("http://www.ncbi.nlm.nih.gov/protein/CAB3243764.1","CAB3243764.1")</f>
        <v>CAB3243764.1</v>
      </c>
      <c r="C990">
        <v>9702</v>
      </c>
      <c r="D990" t="str">
        <f>HYPERLINK("http://www.ncbi.nlm.nih.gov/Taxonomy/Browser/wwwtax.cgi?mode=Info&amp;id=59560&amp;lvl=3&amp;lin=f&amp;keep=1&amp;srchmode=1&amp;unlock","59560")</f>
        <v>59560</v>
      </c>
      <c r="E990" t="s">
        <v>691</v>
      </c>
      <c r="F990" t="s">
        <v>691</v>
      </c>
      <c r="G990" t="str">
        <f>HYPERLINK("http://www.ncbi.nlm.nih.gov/Taxonomy/Browser/wwwtax.cgi?mode=Info&amp;id=59560&amp;lvl=3&amp;lin=f&amp;keep=1&amp;srchmode=1&amp;unlock","Phallusia mammillata")</f>
        <v>Phallusia mammillata</v>
      </c>
      <c r="H990" t="s">
        <v>692</v>
      </c>
      <c r="I990" t="str">
        <f>HYPERLINK("http://www.ncbi.nlm.nih.gov/protein/CAB3243764.1","ERR estrogen-related receptor")</f>
        <v>ERR estrogen-related receptor</v>
      </c>
      <c r="J990">
        <v>153.29</v>
      </c>
      <c r="K990" t="s">
        <v>25</v>
      </c>
      <c r="L990">
        <v>157</v>
      </c>
      <c r="M990">
        <v>44.41</v>
      </c>
      <c r="N990">
        <v>8.16</v>
      </c>
      <c r="O990" t="s">
        <v>25</v>
      </c>
      <c r="P990" t="s">
        <v>965</v>
      </c>
      <c r="Q990" t="s">
        <v>20</v>
      </c>
      <c r="R990" t="str">
        <f>HYPERLINK("https://cfpub.epa.gov/ecotox/explore.cfm?ncbi=59560","Explore in ECOTOX")</f>
        <v>Explore in ECOTOX</v>
      </c>
    </row>
    <row r="991" spans="1:18" x14ac:dyDescent="0.25">
      <c r="A991">
        <v>6</v>
      </c>
      <c r="B991" t="str">
        <f>HYPERLINK("http://www.ncbi.nlm.nih.gov/protein/CAF1422525.1","CAF1422525.1")</f>
        <v>CAF1422525.1</v>
      </c>
      <c r="C991">
        <v>113535</v>
      </c>
      <c r="D991" t="str">
        <f>HYPERLINK("http://www.ncbi.nlm.nih.gov/Taxonomy/Browser/wwwtax.cgi?mode=Info&amp;id=249248&amp;lvl=3&amp;lin=f&amp;keep=1&amp;srchmode=1&amp;unlock","249248")</f>
        <v>249248</v>
      </c>
      <c r="E991" t="s">
        <v>855</v>
      </c>
      <c r="F991" t="s">
        <v>855</v>
      </c>
      <c r="G991" t="str">
        <f>HYPERLINK("http://www.ncbi.nlm.nih.gov/Taxonomy/Browser/wwwtax.cgi?mode=Info&amp;id=249248&amp;lvl=3&amp;lin=f&amp;keep=1&amp;srchmode=1&amp;unlock","Adineta ricciae")</f>
        <v>Adineta ricciae</v>
      </c>
      <c r="H991" t="s">
        <v>856</v>
      </c>
      <c r="I991" t="str">
        <f>HYPERLINK("http://www.ncbi.nlm.nih.gov/protein/CAF1422525.1","unnamed protein product")</f>
        <v>unnamed protein product</v>
      </c>
      <c r="J991">
        <v>153.29</v>
      </c>
      <c r="K991" t="s">
        <v>25</v>
      </c>
      <c r="L991">
        <v>157</v>
      </c>
      <c r="M991">
        <v>44.41</v>
      </c>
      <c r="N991">
        <v>8.16</v>
      </c>
      <c r="O991" t="s">
        <v>25</v>
      </c>
      <c r="P991" t="s">
        <v>965</v>
      </c>
      <c r="Q991" t="s">
        <v>20</v>
      </c>
      <c r="R991" t="str">
        <f>HYPERLINK("https://cfpub.epa.gov/ecotox/explore.cfm?ncbi=249248","Explore in ECOTOX")</f>
        <v>Explore in ECOTOX</v>
      </c>
    </row>
    <row r="992" spans="1:18" x14ac:dyDescent="0.25">
      <c r="A992">
        <v>6</v>
      </c>
      <c r="B992" t="str">
        <f>HYPERLINK("http://www.ncbi.nlm.nih.gov/protein/AOY10609.1","AOY10609.1")</f>
        <v>AOY10609.1</v>
      </c>
      <c r="C992">
        <v>657</v>
      </c>
      <c r="D992" t="str">
        <f>HYPERLINK("http://www.ncbi.nlm.nih.gov/Taxonomy/Browser/wwwtax.cgi?mode=Info&amp;id=79674&amp;lvl=3&amp;lin=f&amp;keep=1&amp;srchmode=1&amp;unlock","79674")</f>
        <v>79674</v>
      </c>
      <c r="E992" t="s">
        <v>742</v>
      </c>
      <c r="F992" t="s">
        <v>742</v>
      </c>
      <c r="G992" t="str">
        <f>HYPERLINK("http://www.ncbi.nlm.nih.gov/Taxonomy/Browser/wwwtax.cgi?mode=Info&amp;id=79674&amp;lvl=3&amp;lin=f&amp;keep=1&amp;srchmode=1&amp;unlock","Macrobrachium rosenbergii")</f>
        <v>Macrobrachium rosenbergii</v>
      </c>
      <c r="H992" t="s">
        <v>1133</v>
      </c>
      <c r="I992" t="str">
        <f>HYPERLINK("http://www.ncbi.nlm.nih.gov/protein/AOY10609.1","estrogen-related receptor")</f>
        <v>estrogen-related receptor</v>
      </c>
      <c r="J992">
        <v>153.29</v>
      </c>
      <c r="K992" t="s">
        <v>25</v>
      </c>
      <c r="L992">
        <v>157</v>
      </c>
      <c r="M992">
        <v>44.41</v>
      </c>
      <c r="N992">
        <v>8.16</v>
      </c>
      <c r="O992" t="s">
        <v>25</v>
      </c>
      <c r="P992" t="s">
        <v>965</v>
      </c>
      <c r="Q992" t="s">
        <v>20</v>
      </c>
      <c r="R992" t="str">
        <f>HYPERLINK("https://cfpub.epa.gov/ecotox/explore.cfm?ncbi=79674","Explore in ECOTOX")</f>
        <v>Explore in ECOTOX</v>
      </c>
    </row>
    <row r="993" spans="1:18" x14ac:dyDescent="0.25">
      <c r="A993">
        <v>6</v>
      </c>
      <c r="B993" t="str">
        <f>HYPERLINK("http://www.ncbi.nlm.nih.gov/protein/ABI97117.1","ABI97117.1")</f>
        <v>ABI97117.1</v>
      </c>
      <c r="C993">
        <v>45</v>
      </c>
      <c r="D993" t="str">
        <f>HYPERLINK("http://www.ncbi.nlm.nih.gov/Taxonomy/Browser/wwwtax.cgi?mode=Info&amp;id=75126&amp;lvl=3&amp;lin=f&amp;keep=1&amp;srchmode=1&amp;unlock","75126")</f>
        <v>75126</v>
      </c>
      <c r="E993" t="s">
        <v>763</v>
      </c>
      <c r="F993" t="s">
        <v>763</v>
      </c>
      <c r="G993" t="str">
        <f>HYPERLINK("http://www.ncbi.nlm.nih.gov/Taxonomy/Browser/wwwtax.cgi?mode=Info&amp;id=75126&amp;lvl=3&amp;lin=f&amp;keep=1&amp;srchmode=1&amp;unlock","Marisa cornuarietis")</f>
        <v>Marisa cornuarietis</v>
      </c>
      <c r="H993" t="s">
        <v>946</v>
      </c>
      <c r="I993" t="str">
        <f>HYPERLINK("http://www.ncbi.nlm.nih.gov/protein/ABI97117.1","estrogen receptor-like protein isoform variant 1")</f>
        <v>estrogen receptor-like protein isoform variant 1</v>
      </c>
      <c r="J993">
        <v>153.29</v>
      </c>
      <c r="K993" t="s">
        <v>25</v>
      </c>
      <c r="L993">
        <v>157</v>
      </c>
      <c r="M993">
        <v>44.41</v>
      </c>
      <c r="N993">
        <v>8.16</v>
      </c>
      <c r="O993" t="s">
        <v>25</v>
      </c>
      <c r="P993" t="s">
        <v>965</v>
      </c>
      <c r="Q993" t="s">
        <v>20</v>
      </c>
      <c r="R993" t="str">
        <f>HYPERLINK("https://cfpub.epa.gov/ecotox/explore.cfm?ncbi=75126","Explore in ECOTOX")</f>
        <v>Explore in ECOTOX</v>
      </c>
    </row>
    <row r="994" spans="1:18" x14ac:dyDescent="0.25">
      <c r="A994">
        <v>6</v>
      </c>
      <c r="B994" t="str">
        <f>HYPERLINK("http://www.ncbi.nlm.nih.gov/protein/ABR88112.1","ABR88112.1")</f>
        <v>ABR88112.1</v>
      </c>
      <c r="C994">
        <v>42</v>
      </c>
      <c r="D994" t="str">
        <f>HYPERLINK("http://www.ncbi.nlm.nih.gov/Taxonomy/Browser/wwwtax.cgi?mode=Info&amp;id=455035&amp;lvl=3&amp;lin=f&amp;keep=1&amp;srchmode=1&amp;unlock","455035")</f>
        <v>455035</v>
      </c>
      <c r="E994" t="s">
        <v>698</v>
      </c>
      <c r="F994" t="s">
        <v>698</v>
      </c>
      <c r="G994" t="str">
        <f>HYPERLINK("http://www.ncbi.nlm.nih.gov/Taxonomy/Browser/wwwtax.cgi?mode=Info&amp;id=455035&amp;lvl=3&amp;lin=f&amp;keep=1&amp;srchmode=1&amp;unlock","Polyrhachis vicina")</f>
        <v>Polyrhachis vicina</v>
      </c>
      <c r="H994" t="s">
        <v>1134</v>
      </c>
      <c r="I994" t="str">
        <f>HYPERLINK("http://www.ncbi.nlm.nih.gov/protein/ABR88112.1","estrogen-related receptor")</f>
        <v>estrogen-related receptor</v>
      </c>
      <c r="J994">
        <v>153.29</v>
      </c>
      <c r="K994" t="s">
        <v>25</v>
      </c>
      <c r="L994">
        <v>157</v>
      </c>
      <c r="M994">
        <v>44.41</v>
      </c>
      <c r="N994">
        <v>8.16</v>
      </c>
      <c r="O994" t="s">
        <v>25</v>
      </c>
      <c r="P994" t="s">
        <v>965</v>
      </c>
      <c r="Q994" t="s">
        <v>20</v>
      </c>
      <c r="R994" t="str">
        <f>HYPERLINK("https://cfpub.epa.gov/ecotox/explore.cfm?ncbi=455035","Explore in ECOTOX")</f>
        <v>Explore in ECOTOX</v>
      </c>
    </row>
    <row r="995" spans="1:18" x14ac:dyDescent="0.25">
      <c r="A995">
        <v>6</v>
      </c>
      <c r="B995" t="str">
        <f>HYPERLINK("http://www.ncbi.nlm.nih.gov/protein/CAB3372817.1","CAB3372817.1")</f>
        <v>CAB3372817.1</v>
      </c>
      <c r="C995">
        <v>31082</v>
      </c>
      <c r="D995" t="str">
        <f>HYPERLINK("http://www.ncbi.nlm.nih.gov/Taxonomy/Browser/wwwtax.cgi?mode=Info&amp;id=197152&amp;lvl=3&amp;lin=f&amp;keep=1&amp;srchmode=1&amp;unlock","197152")</f>
        <v>197152</v>
      </c>
      <c r="E995" t="s">
        <v>698</v>
      </c>
      <c r="F995" t="s">
        <v>698</v>
      </c>
      <c r="G995" t="str">
        <f>HYPERLINK("http://www.ncbi.nlm.nih.gov/Taxonomy/Browser/wwwtax.cgi?mode=Info&amp;id=197152&amp;lvl=3&amp;lin=f&amp;keep=1&amp;srchmode=1&amp;unlock","Cloeon dipterum")</f>
        <v>Cloeon dipterum</v>
      </c>
      <c r="H995" t="s">
        <v>730</v>
      </c>
      <c r="I995" t="str">
        <f>HYPERLINK("http://www.ncbi.nlm.nih.gov/protein/CAB3372817.1","Hypothetical predicted protein")</f>
        <v>Hypothetical predicted protein</v>
      </c>
      <c r="J995">
        <v>152.91</v>
      </c>
      <c r="K995" t="s">
        <v>25</v>
      </c>
      <c r="L995">
        <v>157</v>
      </c>
      <c r="M995">
        <v>44.41</v>
      </c>
      <c r="N995">
        <v>8.14</v>
      </c>
      <c r="O995" t="s">
        <v>25</v>
      </c>
      <c r="P995" t="s">
        <v>965</v>
      </c>
      <c r="Q995" t="s">
        <v>20</v>
      </c>
      <c r="R995" t="str">
        <f>HYPERLINK("https://cfpub.epa.gov/ecotox/explore.cfm?ncbi=197152","Explore in ECOTOX")</f>
        <v>Explore in ECOTOX</v>
      </c>
    </row>
    <row r="996" spans="1:18" x14ac:dyDescent="0.25">
      <c r="A996">
        <v>6</v>
      </c>
      <c r="B996" t="str">
        <f>HYPERLINK("http://www.ncbi.nlm.nih.gov/protein/KAG5309615.1","KAG5309615.1")</f>
        <v>KAG5309615.1</v>
      </c>
      <c r="C996">
        <v>8970</v>
      </c>
      <c r="D996" t="str">
        <f>HYPERLINK("http://www.ncbi.nlm.nih.gov/Taxonomy/Browser/wwwtax.cgi?mode=Info&amp;id=230686&amp;lvl=3&amp;lin=f&amp;keep=1&amp;srchmode=1&amp;unlock","230686")</f>
        <v>230686</v>
      </c>
      <c r="E996" t="s">
        <v>698</v>
      </c>
      <c r="F996" t="s">
        <v>698</v>
      </c>
      <c r="G996" t="str">
        <f>HYPERLINK("http://www.ncbi.nlm.nih.gov/Taxonomy/Browser/wwwtax.cgi?mode=Info&amp;id=230686&amp;lvl=3&amp;lin=f&amp;keep=1&amp;srchmode=1&amp;unlock","Acromyrmex insinuator")</f>
        <v>Acromyrmex insinuator</v>
      </c>
      <c r="H996" t="s">
        <v>755</v>
      </c>
      <c r="I996" t="str">
        <f>HYPERLINK("http://www.ncbi.nlm.nih.gov/protein/KAG5309615.1","ERR2 protein, partial")</f>
        <v>ERR2 protein, partial</v>
      </c>
      <c r="J996">
        <v>152.91</v>
      </c>
      <c r="K996" t="s">
        <v>25</v>
      </c>
      <c r="L996">
        <v>157</v>
      </c>
      <c r="M996">
        <v>44.41</v>
      </c>
      <c r="N996">
        <v>8.14</v>
      </c>
      <c r="O996" t="s">
        <v>25</v>
      </c>
      <c r="P996" t="s">
        <v>965</v>
      </c>
      <c r="Q996" t="s">
        <v>20</v>
      </c>
      <c r="R996" t="str">
        <f>HYPERLINK("https://cfpub.epa.gov/ecotox/explore.cfm?ncbi=230686","Explore in ECOTOX")</f>
        <v>Explore in ECOTOX</v>
      </c>
    </row>
    <row r="997" spans="1:18" x14ac:dyDescent="0.25">
      <c r="A997">
        <v>6</v>
      </c>
      <c r="B997" t="str">
        <f>HYPERLINK("http://www.ncbi.nlm.nih.gov/protein/MPC32344.1","MPC32344.1")</f>
        <v>MPC32344.1</v>
      </c>
      <c r="C997">
        <v>99936</v>
      </c>
      <c r="D997" t="str">
        <f>HYPERLINK("http://www.ncbi.nlm.nih.gov/Taxonomy/Browser/wwwtax.cgi?mode=Info&amp;id=210409&amp;lvl=3&amp;lin=f&amp;keep=1&amp;srchmode=1&amp;unlock","210409")</f>
        <v>210409</v>
      </c>
      <c r="E997" t="s">
        <v>742</v>
      </c>
      <c r="F997" t="s">
        <v>742</v>
      </c>
      <c r="G997" t="str">
        <f>HYPERLINK("http://www.ncbi.nlm.nih.gov/Taxonomy/Browser/wwwtax.cgi?mode=Info&amp;id=210409&amp;lvl=3&amp;lin=f&amp;keep=1&amp;srchmode=1&amp;unlock","Portunus trituberculatus")</f>
        <v>Portunus trituberculatus</v>
      </c>
      <c r="H997" t="s">
        <v>859</v>
      </c>
      <c r="I997" t="str">
        <f>HYPERLINK("http://www.ncbi.nlm.nih.gov/protein/MPC32344.1","Estrogen-related receptor gamma")</f>
        <v>Estrogen-related receptor gamma</v>
      </c>
      <c r="J997">
        <v>152.91</v>
      </c>
      <c r="K997" t="s">
        <v>25</v>
      </c>
      <c r="L997">
        <v>157</v>
      </c>
      <c r="M997">
        <v>44.41</v>
      </c>
      <c r="N997">
        <v>8.14</v>
      </c>
      <c r="O997" t="s">
        <v>25</v>
      </c>
      <c r="P997" t="s">
        <v>965</v>
      </c>
      <c r="Q997" t="s">
        <v>20</v>
      </c>
      <c r="R997" t="str">
        <f>HYPERLINK("https://cfpub.epa.gov/ecotox/explore.cfm?ncbi=210409","Explore in ECOTOX")</f>
        <v>Explore in ECOTOX</v>
      </c>
    </row>
    <row r="998" spans="1:18" x14ac:dyDescent="0.25">
      <c r="A998">
        <v>6</v>
      </c>
      <c r="B998" t="str">
        <f>HYPERLINK("http://www.ncbi.nlm.nih.gov/protein/XP_017761351.1","XP_017761351.1")</f>
        <v>XP_017761351.1</v>
      </c>
      <c r="C998">
        <v>26942</v>
      </c>
      <c r="D998" t="str">
        <f>HYPERLINK("http://www.ncbi.nlm.nih.gov/Taxonomy/Browser/wwwtax.cgi?mode=Info&amp;id=516756&amp;lvl=3&amp;lin=f&amp;keep=1&amp;srchmode=1&amp;unlock","516756")</f>
        <v>516756</v>
      </c>
      <c r="E998" t="s">
        <v>698</v>
      </c>
      <c r="F998" t="s">
        <v>698</v>
      </c>
      <c r="G998" t="str">
        <f>HYPERLINK("http://www.ncbi.nlm.nih.gov/Taxonomy/Browser/wwwtax.cgi?mode=Info&amp;id=516756&amp;lvl=3&amp;lin=f&amp;keep=1&amp;srchmode=1&amp;unlock","Eufriesea mexicana")</f>
        <v>Eufriesea mexicana</v>
      </c>
      <c r="H998" t="s">
        <v>831</v>
      </c>
      <c r="I998" t="str">
        <f>HYPERLINK("http://www.ncbi.nlm.nih.gov/protein/XP_017761351.1","PREDICTED: steroid hormone receptor ERR1")</f>
        <v>PREDICTED: steroid hormone receptor ERR1</v>
      </c>
      <c r="J998">
        <v>152.91</v>
      </c>
      <c r="K998" t="s">
        <v>25</v>
      </c>
      <c r="L998">
        <v>157</v>
      </c>
      <c r="M998">
        <v>44.41</v>
      </c>
      <c r="N998">
        <v>8.14</v>
      </c>
      <c r="O998" t="s">
        <v>25</v>
      </c>
      <c r="P998" t="s">
        <v>965</v>
      </c>
      <c r="Q998" t="s">
        <v>20</v>
      </c>
      <c r="R998" t="str">
        <f>HYPERLINK("https://cfpub.epa.gov/ecotox/explore.cfm?ncbi=516756","Explore in ECOTOX")</f>
        <v>Explore in ECOTOX</v>
      </c>
    </row>
    <row r="999" spans="1:18" x14ac:dyDescent="0.25">
      <c r="A999">
        <v>6</v>
      </c>
      <c r="B999" t="str">
        <f>HYPERLINK("http://www.ncbi.nlm.nih.gov/protein/XP_014467184.1","XP_014467184.1")</f>
        <v>XP_014467184.1</v>
      </c>
      <c r="C999">
        <v>22424</v>
      </c>
      <c r="D999" t="str">
        <f>HYPERLINK("http://www.ncbi.nlm.nih.gov/Taxonomy/Browser/wwwtax.cgi?mode=Info&amp;id=609295&amp;lvl=3&amp;lin=f&amp;keep=1&amp;srchmode=1&amp;unlock","609295")</f>
        <v>609295</v>
      </c>
      <c r="E999" t="s">
        <v>698</v>
      </c>
      <c r="F999" t="s">
        <v>698</v>
      </c>
      <c r="G999" t="str">
        <f>HYPERLINK("http://www.ncbi.nlm.nih.gov/Taxonomy/Browser/wwwtax.cgi?mode=Info&amp;id=609295&amp;lvl=3&amp;lin=f&amp;keep=1&amp;srchmode=1&amp;unlock","Dinoponera quadriceps")</f>
        <v>Dinoponera quadriceps</v>
      </c>
      <c r="H999" t="s">
        <v>755</v>
      </c>
      <c r="I999" t="str">
        <f>HYPERLINK("http://www.ncbi.nlm.nih.gov/protein/XP_014467184.1","PREDICTED: steroid hormone receptor ERR2 isoform X2")</f>
        <v>PREDICTED: steroid hormone receptor ERR2 isoform X2</v>
      </c>
      <c r="J999">
        <v>152.53</v>
      </c>
      <c r="K999" t="s">
        <v>25</v>
      </c>
      <c r="L999">
        <v>157</v>
      </c>
      <c r="M999">
        <v>44.41</v>
      </c>
      <c r="N999">
        <v>8.1199999999999992</v>
      </c>
      <c r="O999" t="s">
        <v>25</v>
      </c>
      <c r="P999" t="s">
        <v>965</v>
      </c>
      <c r="Q999" t="s">
        <v>20</v>
      </c>
      <c r="R999" t="str">
        <f>HYPERLINK("https://cfpub.epa.gov/ecotox/explore.cfm?ncbi=609295","Explore in ECOTOX")</f>
        <v>Explore in ECOTOX</v>
      </c>
    </row>
    <row r="1000" spans="1:18" x14ac:dyDescent="0.25">
      <c r="A1000">
        <v>6</v>
      </c>
      <c r="B1000" t="str">
        <f>HYPERLINK("http://www.ncbi.nlm.nih.gov/protein/XP_018025020.1","XP_018025020.1")</f>
        <v>XP_018025020.1</v>
      </c>
      <c r="C1000">
        <v>32131</v>
      </c>
      <c r="D1000" t="str">
        <f>HYPERLINK("http://www.ncbi.nlm.nih.gov/Taxonomy/Browser/wwwtax.cgi?mode=Info&amp;id=294128&amp;lvl=3&amp;lin=f&amp;keep=1&amp;srchmode=1&amp;unlock","294128")</f>
        <v>294128</v>
      </c>
      <c r="E1000" t="s">
        <v>742</v>
      </c>
      <c r="F1000" t="s">
        <v>742</v>
      </c>
      <c r="G1000" t="str">
        <f>HYPERLINK("http://www.ncbi.nlm.nih.gov/Taxonomy/Browser/wwwtax.cgi?mode=Info&amp;id=294128&amp;lvl=3&amp;lin=f&amp;keep=1&amp;srchmode=1&amp;unlock","Hyalella azteca")</f>
        <v>Hyalella azteca</v>
      </c>
      <c r="H1000" t="s">
        <v>773</v>
      </c>
      <c r="I1000" t="str">
        <f>HYPERLINK("http://www.ncbi.nlm.nih.gov/protein/XP_018025020.1","PREDICTED: steroid hormone receptor ERR1-like isoform X3")</f>
        <v>PREDICTED: steroid hormone receptor ERR1-like isoform X3</v>
      </c>
      <c r="J1000">
        <v>152.53</v>
      </c>
      <c r="K1000" t="s">
        <v>25</v>
      </c>
      <c r="L1000">
        <v>157</v>
      </c>
      <c r="M1000">
        <v>44.41</v>
      </c>
      <c r="N1000">
        <v>8.1199999999999992</v>
      </c>
      <c r="O1000" t="s">
        <v>25</v>
      </c>
      <c r="P1000" t="s">
        <v>965</v>
      </c>
      <c r="Q1000" t="s">
        <v>20</v>
      </c>
      <c r="R1000" t="str">
        <f>HYPERLINK("https://cfpub.epa.gov/ecotox/explore.cfm?ncbi=294128","Explore in ECOTOX")</f>
        <v>Explore in ECOTOX</v>
      </c>
    </row>
    <row r="1001" spans="1:18" x14ac:dyDescent="0.25">
      <c r="A1001">
        <v>6</v>
      </c>
      <c r="B1001" t="str">
        <f>HYPERLINK("http://www.ncbi.nlm.nih.gov/protein/XP_029847411.2","XP_029847411.2")</f>
        <v>XP_029847411.2</v>
      </c>
      <c r="C1001">
        <v>57720</v>
      </c>
      <c r="D1001" t="str">
        <f>HYPERLINK("http://www.ncbi.nlm.nih.gov/Taxonomy/Browser/wwwtax.cgi?mode=Info&amp;id=6945&amp;lvl=3&amp;lin=f&amp;keep=1&amp;srchmode=1&amp;unlock","6945")</f>
        <v>6945</v>
      </c>
      <c r="E1001" t="s">
        <v>700</v>
      </c>
      <c r="F1001" t="s">
        <v>700</v>
      </c>
      <c r="G1001" t="str">
        <f>HYPERLINK("http://www.ncbi.nlm.nih.gov/Taxonomy/Browser/wwwtax.cgi?mode=Info&amp;id=6945&amp;lvl=3&amp;lin=f&amp;keep=1&amp;srchmode=1&amp;unlock","Ixodes scapularis")</f>
        <v>Ixodes scapularis</v>
      </c>
      <c r="H1001" t="s">
        <v>953</v>
      </c>
      <c r="I1001" t="str">
        <f>HYPERLINK("http://www.ncbi.nlm.nih.gov/protein/XP_029847411.2","steroid hormone receptor ERR1 isoform X1")</f>
        <v>steroid hormone receptor ERR1 isoform X1</v>
      </c>
      <c r="J1001">
        <v>152.53</v>
      </c>
      <c r="K1001" t="s">
        <v>25</v>
      </c>
      <c r="L1001">
        <v>157</v>
      </c>
      <c r="M1001">
        <v>44.41</v>
      </c>
      <c r="N1001">
        <v>8.1199999999999992</v>
      </c>
      <c r="O1001" t="s">
        <v>25</v>
      </c>
      <c r="P1001" t="s">
        <v>965</v>
      </c>
      <c r="Q1001" t="s">
        <v>20</v>
      </c>
      <c r="R1001" t="str">
        <f>HYPERLINK("https://cfpub.epa.gov/ecotox/explore.cfm?ncbi=6945","Explore in ECOTOX")</f>
        <v>Explore in ECOTOX</v>
      </c>
    </row>
    <row r="1002" spans="1:18" x14ac:dyDescent="0.25">
      <c r="A1002">
        <v>6</v>
      </c>
      <c r="B1002" t="str">
        <f>HYPERLINK("http://www.ncbi.nlm.nih.gov/protein/XP_031785280.2","XP_031785280.2")</f>
        <v>XP_031785280.2</v>
      </c>
      <c r="C1002">
        <v>34745</v>
      </c>
      <c r="D1002" t="str">
        <f>HYPERLINK("http://www.ncbi.nlm.nih.gov/Taxonomy/Browser/wwwtax.cgi?mode=Info&amp;id=7425&amp;lvl=3&amp;lin=f&amp;keep=1&amp;srchmode=1&amp;unlock","7425")</f>
        <v>7425</v>
      </c>
      <c r="E1002" t="s">
        <v>698</v>
      </c>
      <c r="F1002" t="s">
        <v>698</v>
      </c>
      <c r="G1002" t="str">
        <f>HYPERLINK("http://www.ncbi.nlm.nih.gov/Taxonomy/Browser/wwwtax.cgi?mode=Info&amp;id=7425&amp;lvl=3&amp;lin=f&amp;keep=1&amp;srchmode=1&amp;unlock","Nasonia vitripennis")</f>
        <v>Nasonia vitripennis</v>
      </c>
      <c r="H1002" t="s">
        <v>874</v>
      </c>
      <c r="I1002" t="str">
        <f>HYPERLINK("http://www.ncbi.nlm.nih.gov/protein/XP_031785280.2","steroid hormone receptor ERR2 isoform X5")</f>
        <v>steroid hormone receptor ERR2 isoform X5</v>
      </c>
      <c r="J1002">
        <v>152.53</v>
      </c>
      <c r="K1002" t="s">
        <v>25</v>
      </c>
      <c r="L1002">
        <v>157</v>
      </c>
      <c r="M1002">
        <v>44.41</v>
      </c>
      <c r="N1002">
        <v>8.1199999999999992</v>
      </c>
      <c r="O1002" t="s">
        <v>25</v>
      </c>
      <c r="P1002" t="s">
        <v>965</v>
      </c>
      <c r="Q1002" t="s">
        <v>20</v>
      </c>
      <c r="R1002" t="str">
        <f>HYPERLINK("https://cfpub.epa.gov/ecotox/explore.cfm?ncbi=7425","Explore in ECOTOX")</f>
        <v>Explore in ECOTOX</v>
      </c>
    </row>
    <row r="1003" spans="1:18" x14ac:dyDescent="0.25">
      <c r="A1003">
        <v>6</v>
      </c>
      <c r="B1003" t="str">
        <f>HYPERLINK("http://www.ncbi.nlm.nih.gov/protein/XP_037789095.1","XP_037789095.1")</f>
        <v>XP_037789095.1</v>
      </c>
      <c r="C1003">
        <v>33871</v>
      </c>
      <c r="D1003" t="str">
        <f>HYPERLINK("http://www.ncbi.nlm.nih.gov/Taxonomy/Browser/wwwtax.cgi?mode=Info&amp;id=6687&amp;lvl=3&amp;lin=f&amp;keep=1&amp;srchmode=1&amp;unlock","6687")</f>
        <v>6687</v>
      </c>
      <c r="E1003" t="s">
        <v>742</v>
      </c>
      <c r="F1003" t="s">
        <v>742</v>
      </c>
      <c r="G1003" t="str">
        <f>HYPERLINK("http://www.ncbi.nlm.nih.gov/Taxonomy/Browser/wwwtax.cgi?mode=Info&amp;id=6687&amp;lvl=3&amp;lin=f&amp;keep=1&amp;srchmode=1&amp;unlock","Penaeus monodon")</f>
        <v>Penaeus monodon</v>
      </c>
      <c r="H1003" t="s">
        <v>743</v>
      </c>
      <c r="I1003" t="str">
        <f>HYPERLINK("http://www.ncbi.nlm.nih.gov/protein/XP_037789095.1","steroid hormone receptor ERR1-like isoform X1")</f>
        <v>steroid hormone receptor ERR1-like isoform X1</v>
      </c>
      <c r="J1003">
        <v>152.13999999999999</v>
      </c>
      <c r="K1003" t="s">
        <v>25</v>
      </c>
      <c r="L1003">
        <v>157</v>
      </c>
      <c r="M1003">
        <v>44.41</v>
      </c>
      <c r="N1003">
        <v>8.1</v>
      </c>
      <c r="O1003" t="s">
        <v>25</v>
      </c>
      <c r="P1003" t="s">
        <v>965</v>
      </c>
      <c r="Q1003" t="s">
        <v>20</v>
      </c>
      <c r="R1003" t="str">
        <f>HYPERLINK("https://cfpub.epa.gov/ecotox/explore.cfm?ncbi=6687","Explore in ECOTOX")</f>
        <v>Explore in ECOTOX</v>
      </c>
    </row>
    <row r="1004" spans="1:18" x14ac:dyDescent="0.25">
      <c r="A1004">
        <v>6</v>
      </c>
      <c r="B1004" t="str">
        <f>HYPERLINK("http://www.ncbi.nlm.nih.gov/protein/AQN67829.1","AQN67829.1")</f>
        <v>AQN67829.1</v>
      </c>
      <c r="C1004">
        <v>20114</v>
      </c>
      <c r="D1004" t="str">
        <f>HYPERLINK("http://www.ncbi.nlm.nih.gov/Taxonomy/Browser/wwwtax.cgi?mode=Info&amp;id=7539&amp;lvl=3&amp;lin=f&amp;keep=1&amp;srchmode=1&amp;unlock","7539")</f>
        <v>7539</v>
      </c>
      <c r="E1004" t="s">
        <v>698</v>
      </c>
      <c r="F1004" t="s">
        <v>698</v>
      </c>
      <c r="G1004" t="str">
        <f>HYPERLINK("http://www.ncbi.nlm.nih.gov/Taxonomy/Browser/wwwtax.cgi?mode=Info&amp;id=7539&amp;lvl=3&amp;lin=f&amp;keep=1&amp;srchmode=1&amp;unlock","Leptinotarsa decemlineata")</f>
        <v>Leptinotarsa decemlineata</v>
      </c>
      <c r="H1004" t="s">
        <v>866</v>
      </c>
      <c r="I1004" t="str">
        <f>HYPERLINK("http://www.ncbi.nlm.nih.gov/protein/AQN67829.1","estrogen related receptor")</f>
        <v>estrogen related receptor</v>
      </c>
      <c r="J1004">
        <v>152.13999999999999</v>
      </c>
      <c r="K1004" t="s">
        <v>25</v>
      </c>
      <c r="L1004">
        <v>157</v>
      </c>
      <c r="M1004">
        <v>44.41</v>
      </c>
      <c r="N1004">
        <v>8.1</v>
      </c>
      <c r="O1004" t="s">
        <v>25</v>
      </c>
      <c r="P1004" t="s">
        <v>965</v>
      </c>
      <c r="Q1004" t="s">
        <v>20</v>
      </c>
      <c r="R1004" t="str">
        <f>HYPERLINK("https://cfpub.epa.gov/ecotox/explore.cfm?ncbi=7539","Explore in ECOTOX")</f>
        <v>Explore in ECOTOX</v>
      </c>
    </row>
    <row r="1005" spans="1:18" x14ac:dyDescent="0.25">
      <c r="A1005">
        <v>6</v>
      </c>
      <c r="B1005" t="str">
        <f>HYPERLINK("http://www.ncbi.nlm.nih.gov/protein/CAF4249112.1","CAF4249112.1")</f>
        <v>CAF4249112.1</v>
      </c>
      <c r="C1005">
        <v>331713</v>
      </c>
      <c r="D1005" t="str">
        <f>HYPERLINK("http://www.ncbi.nlm.nih.gov/Taxonomy/Browser/wwwtax.cgi?mode=Info&amp;id=392032&amp;lvl=3&amp;lin=f&amp;keep=1&amp;srchmode=1&amp;unlock","392032")</f>
        <v>392032</v>
      </c>
      <c r="E1005" t="s">
        <v>855</v>
      </c>
      <c r="F1005" t="s">
        <v>855</v>
      </c>
      <c r="G1005" t="str">
        <f>HYPERLINK("http://www.ncbi.nlm.nih.gov/Taxonomy/Browser/wwwtax.cgi?mode=Info&amp;id=392032&amp;lvl=3&amp;lin=f&amp;keep=1&amp;srchmode=1&amp;unlock","Rotaria socialis")</f>
        <v>Rotaria socialis</v>
      </c>
      <c r="H1005" t="s">
        <v>856</v>
      </c>
      <c r="I1005" t="str">
        <f>HYPERLINK("http://www.ncbi.nlm.nih.gov/protein/CAF4249112.1","unnamed protein product")</f>
        <v>unnamed protein product</v>
      </c>
      <c r="J1005">
        <v>151.75</v>
      </c>
      <c r="K1005" t="s">
        <v>25</v>
      </c>
      <c r="L1005">
        <v>157</v>
      </c>
      <c r="M1005">
        <v>44.41</v>
      </c>
      <c r="N1005">
        <v>8.08</v>
      </c>
      <c r="O1005" t="s">
        <v>25</v>
      </c>
      <c r="P1005" t="s">
        <v>965</v>
      </c>
      <c r="Q1005" t="s">
        <v>20</v>
      </c>
      <c r="R1005" t="str">
        <f>HYPERLINK("https://cfpub.epa.gov/ecotox/explore.cfm?ncbi=392032","Explore in ECOTOX")</f>
        <v>Explore in ECOTOX</v>
      </c>
    </row>
    <row r="1006" spans="1:18" x14ac:dyDescent="0.25">
      <c r="A1006">
        <v>6</v>
      </c>
      <c r="B1006" t="str">
        <f>HYPERLINK("http://www.ncbi.nlm.nih.gov/protein/XP_015925326.1","XP_015925326.1")</f>
        <v>XP_015925326.1</v>
      </c>
      <c r="C1006">
        <v>27787</v>
      </c>
      <c r="D1006" t="str">
        <f>HYPERLINK("http://www.ncbi.nlm.nih.gov/Taxonomy/Browser/wwwtax.cgi?mode=Info&amp;id=114398&amp;lvl=3&amp;lin=f&amp;keep=1&amp;srchmode=1&amp;unlock","114398")</f>
        <v>114398</v>
      </c>
      <c r="E1006" t="s">
        <v>700</v>
      </c>
      <c r="F1006" t="s">
        <v>700</v>
      </c>
      <c r="G1006" t="str">
        <f>HYPERLINK("http://www.ncbi.nlm.nih.gov/Taxonomy/Browser/wwwtax.cgi?mode=Info&amp;id=114398&amp;lvl=3&amp;lin=f&amp;keep=1&amp;srchmode=1&amp;unlock","Parasteatoda tepidariorum")</f>
        <v>Parasteatoda tepidariorum</v>
      </c>
      <c r="H1006" t="s">
        <v>867</v>
      </c>
      <c r="I1006" t="str">
        <f>HYPERLINK("http://www.ncbi.nlm.nih.gov/protein/XP_015925326.1","estrogen-related receptor gamma isoform X2")</f>
        <v>estrogen-related receptor gamma isoform X2</v>
      </c>
      <c r="J1006">
        <v>151.37</v>
      </c>
      <c r="K1006" t="s">
        <v>25</v>
      </c>
      <c r="L1006">
        <v>157</v>
      </c>
      <c r="M1006">
        <v>44.41</v>
      </c>
      <c r="N1006">
        <v>8.06</v>
      </c>
      <c r="O1006" t="s">
        <v>25</v>
      </c>
      <c r="P1006" t="s">
        <v>965</v>
      </c>
      <c r="Q1006" t="s">
        <v>20</v>
      </c>
      <c r="R1006" t="str">
        <f>HYPERLINK("https://cfpub.epa.gov/ecotox/explore.cfm?ncbi=114398","Explore in ECOTOX")</f>
        <v>Explore in ECOTOX</v>
      </c>
    </row>
    <row r="1007" spans="1:18" x14ac:dyDescent="0.25">
      <c r="A1007">
        <v>6</v>
      </c>
      <c r="B1007" t="str">
        <f>HYPERLINK("http://www.ncbi.nlm.nih.gov/protein/KAG5321068.1","KAG5321068.1")</f>
        <v>KAG5321068.1</v>
      </c>
      <c r="C1007">
        <v>9299</v>
      </c>
      <c r="D1007" t="str">
        <f>HYPERLINK("http://www.ncbi.nlm.nih.gov/Taxonomy/Browser/wwwtax.cgi?mode=Info&amp;id=621737&amp;lvl=3&amp;lin=f&amp;keep=1&amp;srchmode=1&amp;unlock","621737")</f>
        <v>621737</v>
      </c>
      <c r="E1007" t="s">
        <v>698</v>
      </c>
      <c r="F1007" t="s">
        <v>698</v>
      </c>
      <c r="G1007" t="str">
        <f>HYPERLINK("http://www.ncbi.nlm.nih.gov/Taxonomy/Browser/wwwtax.cgi?mode=Info&amp;id=621737&amp;lvl=3&amp;lin=f&amp;keep=1&amp;srchmode=1&amp;unlock","Pseudoatta argentina")</f>
        <v>Pseudoatta argentina</v>
      </c>
      <c r="H1007" t="s">
        <v>755</v>
      </c>
      <c r="I1007" t="str">
        <f>HYPERLINK("http://www.ncbi.nlm.nih.gov/protein/KAG5321068.1","ERR2 protein, partial")</f>
        <v>ERR2 protein, partial</v>
      </c>
      <c r="J1007">
        <v>151.37</v>
      </c>
      <c r="K1007" t="s">
        <v>25</v>
      </c>
      <c r="L1007">
        <v>157</v>
      </c>
      <c r="M1007">
        <v>44.41</v>
      </c>
      <c r="N1007">
        <v>8.06</v>
      </c>
      <c r="O1007" t="s">
        <v>25</v>
      </c>
      <c r="P1007" t="s">
        <v>965</v>
      </c>
      <c r="Q1007" t="s">
        <v>20</v>
      </c>
      <c r="R1007" t="str">
        <f>HYPERLINK("https://cfpub.epa.gov/ecotox/explore.cfm?ncbi=621737","Explore in ECOTOX")</f>
        <v>Explore in ECOTOX</v>
      </c>
    </row>
    <row r="1008" spans="1:18" x14ac:dyDescent="0.25">
      <c r="A1008">
        <v>6</v>
      </c>
      <c r="B1008" t="str">
        <f>HYPERLINK("http://www.ncbi.nlm.nih.gov/protein/CRL02986.1","CRL02986.1")</f>
        <v>CRL02986.1</v>
      </c>
      <c r="C1008">
        <v>22648</v>
      </c>
      <c r="D1008" t="str">
        <f>HYPERLINK("http://www.ncbi.nlm.nih.gov/Taxonomy/Browser/wwwtax.cgi?mode=Info&amp;id=568069&amp;lvl=3&amp;lin=f&amp;keep=1&amp;srchmode=1&amp;unlock","568069")</f>
        <v>568069</v>
      </c>
      <c r="E1008" t="s">
        <v>698</v>
      </c>
      <c r="F1008" t="s">
        <v>698</v>
      </c>
      <c r="G1008" t="str">
        <f>HYPERLINK("http://www.ncbi.nlm.nih.gov/Taxonomy/Browser/wwwtax.cgi?mode=Info&amp;id=568069&amp;lvl=3&amp;lin=f&amp;keep=1&amp;srchmode=1&amp;unlock","Clunio marinus")</f>
        <v>Clunio marinus</v>
      </c>
      <c r="H1008" t="s">
        <v>905</v>
      </c>
      <c r="I1008" t="str">
        <f>HYPERLINK("http://www.ncbi.nlm.nih.gov/protein/CRL02986.1","CLUMA_CG016461, isoform A")</f>
        <v>CLUMA_CG016461, isoform A</v>
      </c>
      <c r="J1008">
        <v>151.37</v>
      </c>
      <c r="K1008" t="s">
        <v>25</v>
      </c>
      <c r="L1008">
        <v>157</v>
      </c>
      <c r="M1008">
        <v>44.41</v>
      </c>
      <c r="N1008">
        <v>8.06</v>
      </c>
      <c r="O1008" t="s">
        <v>25</v>
      </c>
      <c r="P1008" t="s">
        <v>965</v>
      </c>
      <c r="Q1008" t="s">
        <v>20</v>
      </c>
      <c r="R1008" t="str">
        <f>HYPERLINK("https://cfpub.epa.gov/ecotox/explore.cfm?ncbi=568069","Explore in ECOTOX")</f>
        <v>Explore in ECOTOX</v>
      </c>
    </row>
    <row r="1009" spans="1:18" x14ac:dyDescent="0.25">
      <c r="A1009">
        <v>6</v>
      </c>
      <c r="B1009" t="str">
        <f>HYPERLINK("http://www.ncbi.nlm.nih.gov/protein/AXU37748.1","AXU37748.1")</f>
        <v>AXU37748.1</v>
      </c>
      <c r="C1009">
        <v>714</v>
      </c>
      <c r="D1009" t="str">
        <f>HYPERLINK("http://www.ncbi.nlm.nih.gov/Taxonomy/Browser/wwwtax.cgi?mode=Info&amp;id=95602&amp;lvl=3&amp;lin=f&amp;keep=1&amp;srchmode=1&amp;unlock","95602")</f>
        <v>95602</v>
      </c>
      <c r="E1009" t="s">
        <v>742</v>
      </c>
      <c r="F1009" t="s">
        <v>742</v>
      </c>
      <c r="G1009" t="str">
        <f>HYPERLINK("http://www.ncbi.nlm.nih.gov/Taxonomy/Browser/wwwtax.cgi?mode=Info&amp;id=95602&amp;lvl=3&amp;lin=f&amp;keep=1&amp;srchmode=1&amp;unlock","Eriocheir sinensis")</f>
        <v>Eriocheir sinensis</v>
      </c>
      <c r="H1009" t="s">
        <v>828</v>
      </c>
      <c r="I1009" t="str">
        <f>HYPERLINK("http://www.ncbi.nlm.nih.gov/protein/AXU37748.1","estrogen-related receptor")</f>
        <v>estrogen-related receptor</v>
      </c>
      <c r="J1009">
        <v>151.37</v>
      </c>
      <c r="K1009" t="s">
        <v>25</v>
      </c>
      <c r="L1009">
        <v>157</v>
      </c>
      <c r="M1009">
        <v>44.41</v>
      </c>
      <c r="N1009">
        <v>8.06</v>
      </c>
      <c r="O1009" t="s">
        <v>25</v>
      </c>
      <c r="P1009" t="s">
        <v>965</v>
      </c>
      <c r="Q1009" t="s">
        <v>20</v>
      </c>
      <c r="R1009" t="str">
        <f>HYPERLINK("https://cfpub.epa.gov/ecotox/explore.cfm?ncbi=95602","Explore in ECOTOX")</f>
        <v>Explore in ECOTOX</v>
      </c>
    </row>
    <row r="1010" spans="1:18" x14ac:dyDescent="0.25">
      <c r="A1010">
        <v>6</v>
      </c>
      <c r="B1010" t="str">
        <f>HYPERLINK("http://www.ncbi.nlm.nih.gov/protein/KAF5299097.1","KAF5299097.1")</f>
        <v>KAF5299097.1</v>
      </c>
      <c r="C1010">
        <v>20480</v>
      </c>
      <c r="D1010" t="str">
        <f>HYPERLINK("http://www.ncbi.nlm.nih.gov/Taxonomy/Browser/wwwtax.cgi?mode=Info&amp;id=2069292&amp;lvl=3&amp;lin=f&amp;keep=1&amp;srchmode=1&amp;unlock","2069292")</f>
        <v>2069292</v>
      </c>
      <c r="E1010" t="s">
        <v>698</v>
      </c>
      <c r="F1010" t="s">
        <v>698</v>
      </c>
      <c r="G1010" t="str">
        <f>HYPERLINK("http://www.ncbi.nlm.nih.gov/Taxonomy/Browser/wwwtax.cgi?mode=Info&amp;id=2069292&amp;lvl=3&amp;lin=f&amp;keep=1&amp;srchmode=1&amp;unlock","Abscondita terminalis")</f>
        <v>Abscondita terminalis</v>
      </c>
      <c r="H1010" t="s">
        <v>892</v>
      </c>
      <c r="I1010" t="str">
        <f>HYPERLINK("http://www.ncbi.nlm.nih.gov/protein/KAF5299097.1","hypothetical protein FQR65_LT09455")</f>
        <v>hypothetical protein FQR65_LT09455</v>
      </c>
      <c r="J1010">
        <v>150.97999999999999</v>
      </c>
      <c r="K1010" t="s">
        <v>25</v>
      </c>
      <c r="L1010">
        <v>157</v>
      </c>
      <c r="M1010">
        <v>44.41</v>
      </c>
      <c r="N1010">
        <v>8.0399999999999991</v>
      </c>
      <c r="O1010" t="s">
        <v>25</v>
      </c>
      <c r="P1010" t="s">
        <v>965</v>
      </c>
      <c r="Q1010" t="s">
        <v>20</v>
      </c>
      <c r="R1010" t="str">
        <f>HYPERLINK("https://cfpub.epa.gov/ecotox/explore.cfm?ncbi=2069292","Explore in ECOTOX")</f>
        <v>Explore in ECOTOX</v>
      </c>
    </row>
    <row r="1011" spans="1:18" x14ac:dyDescent="0.25">
      <c r="A1011">
        <v>6</v>
      </c>
      <c r="B1011" t="str">
        <f>HYPERLINK("http://www.ncbi.nlm.nih.gov/protein/QIH29348.2","QIH29348.2")</f>
        <v>QIH29348.2</v>
      </c>
      <c r="C1011">
        <v>1177</v>
      </c>
      <c r="D1011" t="str">
        <f>HYPERLINK("http://www.ncbi.nlm.nih.gov/Taxonomy/Browser/wwwtax.cgi?mode=Info&amp;id=6523&amp;lvl=3&amp;lin=f&amp;keep=1&amp;srchmode=1&amp;unlock","6523")</f>
        <v>6523</v>
      </c>
      <c r="E1011" t="s">
        <v>763</v>
      </c>
      <c r="F1011" t="s">
        <v>763</v>
      </c>
      <c r="G1011" t="str">
        <f>HYPERLINK("http://www.ncbi.nlm.nih.gov/Taxonomy/Browser/wwwtax.cgi?mode=Info&amp;id=6523&amp;lvl=3&amp;lin=f&amp;keep=1&amp;srchmode=1&amp;unlock","Lymnaea stagnalis")</f>
        <v>Lymnaea stagnalis</v>
      </c>
      <c r="H1011" t="s">
        <v>1135</v>
      </c>
      <c r="I1011" t="str">
        <f>HYPERLINK("http://www.ncbi.nlm.nih.gov/protein/QIH29348.2","NR3D nuclear hormone receptor")</f>
        <v>NR3D nuclear hormone receptor</v>
      </c>
      <c r="J1011">
        <v>150.97999999999999</v>
      </c>
      <c r="K1011" t="s">
        <v>25</v>
      </c>
      <c r="L1011">
        <v>157</v>
      </c>
      <c r="M1011">
        <v>44.41</v>
      </c>
      <c r="N1011">
        <v>8.0399999999999991</v>
      </c>
      <c r="O1011" t="s">
        <v>25</v>
      </c>
      <c r="P1011" t="s">
        <v>965</v>
      </c>
      <c r="Q1011" t="s">
        <v>20</v>
      </c>
      <c r="R1011" t="str">
        <f>HYPERLINK("https://cfpub.epa.gov/ecotox/explore.cfm?ncbi=6523","Explore in ECOTOX")</f>
        <v>Explore in ECOTOX</v>
      </c>
    </row>
    <row r="1012" spans="1:18" x14ac:dyDescent="0.25">
      <c r="A1012">
        <v>6</v>
      </c>
      <c r="B1012" t="str">
        <f>HYPERLINK("http://www.ncbi.nlm.nih.gov/protein/KAG5334961.1","KAG5334961.1")</f>
        <v>KAG5334961.1</v>
      </c>
      <c r="C1012">
        <v>8971</v>
      </c>
      <c r="D1012" t="str">
        <f>HYPERLINK("http://www.ncbi.nlm.nih.gov/Taxonomy/Browser/wwwtax.cgi?mode=Info&amp;id=2715315&amp;lvl=3&amp;lin=f&amp;keep=1&amp;srchmode=1&amp;unlock","2715315")</f>
        <v>2715315</v>
      </c>
      <c r="E1012" t="s">
        <v>698</v>
      </c>
      <c r="F1012" t="s">
        <v>698</v>
      </c>
      <c r="G1012" t="str">
        <f>HYPERLINK("http://www.ncbi.nlm.nih.gov/Taxonomy/Browser/wwwtax.cgi?mode=Info&amp;id=2715315&amp;lvl=3&amp;lin=f&amp;keep=1&amp;srchmode=1&amp;unlock","Acromyrmex charruanus")</f>
        <v>Acromyrmex charruanus</v>
      </c>
      <c r="H1012" t="s">
        <v>755</v>
      </c>
      <c r="I1012" t="str">
        <f>HYPERLINK("http://www.ncbi.nlm.nih.gov/protein/KAG5334961.1","ERR2 protein, partial")</f>
        <v>ERR2 protein, partial</v>
      </c>
      <c r="J1012">
        <v>150.97999999999999</v>
      </c>
      <c r="K1012" t="s">
        <v>25</v>
      </c>
      <c r="L1012">
        <v>157</v>
      </c>
      <c r="M1012">
        <v>44.41</v>
      </c>
      <c r="N1012">
        <v>8.0399999999999991</v>
      </c>
      <c r="O1012" t="s">
        <v>25</v>
      </c>
      <c r="P1012" t="s">
        <v>965</v>
      </c>
      <c r="Q1012" t="s">
        <v>20</v>
      </c>
      <c r="R1012" t="str">
        <f>HYPERLINK("https://cfpub.epa.gov/ecotox/explore.cfm?ncbi=2715315","Explore in ECOTOX")</f>
        <v>Explore in ECOTOX</v>
      </c>
    </row>
    <row r="1013" spans="1:18" x14ac:dyDescent="0.25">
      <c r="A1013">
        <v>6</v>
      </c>
      <c r="B1013" t="str">
        <f>HYPERLINK("http://www.ncbi.nlm.nih.gov/protein/XP_039262947.1","XP_039262947.1")</f>
        <v>XP_039262947.1</v>
      </c>
      <c r="C1013">
        <v>27543</v>
      </c>
      <c r="D1013" t="str">
        <f>HYPERLINK("http://www.ncbi.nlm.nih.gov/Taxonomy/Browser/wwwtax.cgi?mode=Info&amp;id=7725&amp;lvl=3&amp;lin=f&amp;keep=1&amp;srchmode=1&amp;unlock","7725")</f>
        <v>7725</v>
      </c>
      <c r="E1013" t="s">
        <v>691</v>
      </c>
      <c r="F1013" t="s">
        <v>691</v>
      </c>
      <c r="G1013" t="str">
        <f>HYPERLINK("http://www.ncbi.nlm.nih.gov/Taxonomy/Browser/wwwtax.cgi?mode=Info&amp;id=7725&amp;lvl=3&amp;lin=f&amp;keep=1&amp;srchmode=1&amp;unlock","Styela clava")</f>
        <v>Styela clava</v>
      </c>
      <c r="H1013" t="s">
        <v>693</v>
      </c>
      <c r="I1013" t="str">
        <f>HYPERLINK("http://www.ncbi.nlm.nih.gov/protein/XP_039262947.1","estrogen-related receptor gamma-like isoform X2")</f>
        <v>estrogen-related receptor gamma-like isoform X2</v>
      </c>
      <c r="J1013">
        <v>150.6</v>
      </c>
      <c r="K1013" t="s">
        <v>25</v>
      </c>
      <c r="L1013">
        <v>157</v>
      </c>
      <c r="M1013">
        <v>44.41</v>
      </c>
      <c r="N1013">
        <v>8.02</v>
      </c>
      <c r="O1013" t="s">
        <v>25</v>
      </c>
      <c r="P1013" t="s">
        <v>965</v>
      </c>
      <c r="Q1013" t="s">
        <v>20</v>
      </c>
      <c r="R1013" t="str">
        <f>HYPERLINK("https://cfpub.epa.gov/ecotox/explore.cfm?ncbi=7725","Explore in ECOTOX")</f>
        <v>Explore in ECOTOX</v>
      </c>
    </row>
    <row r="1014" spans="1:18" x14ac:dyDescent="0.25">
      <c r="A1014">
        <v>6</v>
      </c>
      <c r="B1014" t="str">
        <f>HYPERLINK("http://www.ncbi.nlm.nih.gov/protein/XP_040565089.1","XP_040565089.1")</f>
        <v>XP_040565089.1</v>
      </c>
      <c r="C1014">
        <v>58528</v>
      </c>
      <c r="D1014" t="str">
        <f>HYPERLINK("http://www.ncbi.nlm.nih.gov/Taxonomy/Browser/wwwtax.cgi?mode=Info&amp;id=72036&amp;lvl=3&amp;lin=f&amp;keep=1&amp;srchmode=1&amp;unlock","72036")</f>
        <v>72036</v>
      </c>
      <c r="E1014" t="s">
        <v>760</v>
      </c>
      <c r="F1014" t="s">
        <v>760</v>
      </c>
      <c r="G1014" t="str">
        <f>HYPERLINK("http://www.ncbi.nlm.nih.gov/Taxonomy/Browser/wwwtax.cgi?mode=Info&amp;id=72036&amp;lvl=3&amp;lin=f&amp;keep=1&amp;srchmode=1&amp;unlock","Lepeophtheirus salmonis")</f>
        <v>Lepeophtheirus salmonis</v>
      </c>
      <c r="H1014" t="s">
        <v>917</v>
      </c>
      <c r="I1014" t="str">
        <f>HYPERLINK("http://www.ncbi.nlm.nih.gov/protein/XP_040565089.1","steroid hormone receptor ERR2-like isoform X4")</f>
        <v>steroid hormone receptor ERR2-like isoform X4</v>
      </c>
      <c r="J1014">
        <v>150.6</v>
      </c>
      <c r="K1014" t="s">
        <v>25</v>
      </c>
      <c r="L1014">
        <v>157</v>
      </c>
      <c r="M1014">
        <v>44.41</v>
      </c>
      <c r="N1014">
        <v>8.02</v>
      </c>
      <c r="O1014" t="s">
        <v>25</v>
      </c>
      <c r="P1014" t="s">
        <v>965</v>
      </c>
      <c r="Q1014" t="s">
        <v>20</v>
      </c>
      <c r="R1014" t="str">
        <f>HYPERLINK("https://cfpub.epa.gov/ecotox/explore.cfm?ncbi=72036","Explore in ECOTOX")</f>
        <v>Explore in ECOTOX</v>
      </c>
    </row>
    <row r="1015" spans="1:18" x14ac:dyDescent="0.25">
      <c r="A1015">
        <v>6</v>
      </c>
      <c r="B1015" t="str">
        <f>HYPERLINK("http://www.ncbi.nlm.nih.gov/protein/QIM58148.1","QIM58148.1")</f>
        <v>QIM58148.1</v>
      </c>
      <c r="C1015">
        <v>1685</v>
      </c>
      <c r="D1015" t="str">
        <f>HYPERLINK("http://www.ncbi.nlm.nih.gov/Taxonomy/Browser/wwwtax.cgi?mode=Info&amp;id=7750&amp;lvl=3&amp;lin=f&amp;keep=1&amp;srchmode=1&amp;unlock","7750")</f>
        <v>7750</v>
      </c>
      <c r="E1015" t="s">
        <v>680</v>
      </c>
      <c r="F1015" t="s">
        <v>680</v>
      </c>
      <c r="G1015" t="str">
        <f>HYPERLINK("http://www.ncbi.nlm.nih.gov/Taxonomy/Browser/wwwtax.cgi?mode=Info&amp;id=7750&amp;lvl=3&amp;lin=f&amp;keep=1&amp;srchmode=1&amp;unlock","Lampetra planeri")</f>
        <v>Lampetra planeri</v>
      </c>
      <c r="H1015" t="s">
        <v>1136</v>
      </c>
      <c r="I1015" t="str">
        <f>HYPERLINK("http://www.ncbi.nlm.nih.gov/protein/QIM58148.1","estrogen related receptor a, partial")</f>
        <v>estrogen related receptor a, partial</v>
      </c>
      <c r="J1015">
        <v>150.6</v>
      </c>
      <c r="K1015" t="s">
        <v>25</v>
      </c>
      <c r="L1015">
        <v>157</v>
      </c>
      <c r="M1015">
        <v>44.41</v>
      </c>
      <c r="N1015">
        <v>8.02</v>
      </c>
      <c r="O1015" t="s">
        <v>25</v>
      </c>
      <c r="P1015" t="s">
        <v>965</v>
      </c>
      <c r="Q1015" t="s">
        <v>20</v>
      </c>
      <c r="R1015" t="str">
        <f>HYPERLINK("https://cfpub.epa.gov/ecotox/explore.cfm?ncbi=7750","Explore in ECOTOX")</f>
        <v>Explore in ECOTOX</v>
      </c>
    </row>
    <row r="1016" spans="1:18" x14ac:dyDescent="0.25">
      <c r="A1016">
        <v>6</v>
      </c>
      <c r="B1016" t="str">
        <f>HYPERLINK("http://www.ncbi.nlm.nih.gov/protein/CAF1162890.1","CAF1162890.1")</f>
        <v>CAF1162890.1</v>
      </c>
      <c r="C1016">
        <v>348871</v>
      </c>
      <c r="D1016" t="str">
        <f>HYPERLINK("http://www.ncbi.nlm.nih.gov/Taxonomy/Browser/wwwtax.cgi?mode=Info&amp;id=392033&amp;lvl=3&amp;lin=f&amp;keep=1&amp;srchmode=1&amp;unlock","392033")</f>
        <v>392033</v>
      </c>
      <c r="E1016" t="s">
        <v>855</v>
      </c>
      <c r="F1016" t="s">
        <v>855</v>
      </c>
      <c r="G1016" t="str">
        <f>HYPERLINK("http://www.ncbi.nlm.nih.gov/Taxonomy/Browser/wwwtax.cgi?mode=Info&amp;id=392033&amp;lvl=3&amp;lin=f&amp;keep=1&amp;srchmode=1&amp;unlock","Rotaria sordida")</f>
        <v>Rotaria sordida</v>
      </c>
      <c r="H1016" t="s">
        <v>856</v>
      </c>
      <c r="I1016" t="str">
        <f>HYPERLINK("http://www.ncbi.nlm.nih.gov/protein/CAF1162890.1","unnamed protein product")</f>
        <v>unnamed protein product</v>
      </c>
      <c r="J1016">
        <v>150.21</v>
      </c>
      <c r="K1016" t="s">
        <v>25</v>
      </c>
      <c r="L1016">
        <v>157</v>
      </c>
      <c r="M1016">
        <v>44.41</v>
      </c>
      <c r="N1016">
        <v>8</v>
      </c>
      <c r="O1016" t="s">
        <v>25</v>
      </c>
      <c r="P1016" t="s">
        <v>965</v>
      </c>
      <c r="Q1016" t="s">
        <v>20</v>
      </c>
      <c r="R1016" t="str">
        <f>HYPERLINK("https://cfpub.epa.gov/ecotox/explore.cfm?ncbi=392033","Explore in ECOTOX")</f>
        <v>Explore in ECOTOX</v>
      </c>
    </row>
    <row r="1017" spans="1:18" x14ac:dyDescent="0.25">
      <c r="A1017">
        <v>6</v>
      </c>
      <c r="B1017" t="str">
        <f>HYPERLINK("http://www.ncbi.nlm.nih.gov/protein/AGO64304.1","AGO64304.1")</f>
        <v>AGO64304.1</v>
      </c>
      <c r="C1017">
        <v>233</v>
      </c>
      <c r="D1017" t="str">
        <f>HYPERLINK("http://www.ncbi.nlm.nih.gov/Taxonomy/Browser/wwwtax.cgi?mode=Info&amp;id=13225&amp;lvl=3&amp;lin=f&amp;keep=1&amp;srchmode=1&amp;unlock","13225")</f>
        <v>13225</v>
      </c>
      <c r="E1017" t="s">
        <v>384</v>
      </c>
      <c r="F1017" t="s">
        <v>384</v>
      </c>
      <c r="G1017" t="str">
        <f>HYPERLINK("http://www.ncbi.nlm.nih.gov/Taxonomy/Browser/wwwtax.cgi?mode=Info&amp;id=13225&amp;lvl=3&amp;lin=f&amp;keep=1&amp;srchmode=1&amp;unlock","Pomatoschistus minutus")</f>
        <v>Pomatoschistus minutus</v>
      </c>
      <c r="H1017" t="s">
        <v>1137</v>
      </c>
      <c r="I1017" t="str">
        <f>HYPERLINK("http://www.ncbi.nlm.nih.gov/protein/AGO64304.1","oestrogen receptor alpha, partial")</f>
        <v>oestrogen receptor alpha, partial</v>
      </c>
      <c r="J1017">
        <v>149.83000000000001</v>
      </c>
      <c r="K1017" t="s">
        <v>25</v>
      </c>
      <c r="L1017">
        <v>157</v>
      </c>
      <c r="M1017">
        <v>44.41</v>
      </c>
      <c r="N1017">
        <v>7.98</v>
      </c>
      <c r="O1017" t="s">
        <v>25</v>
      </c>
      <c r="P1017" t="s">
        <v>965</v>
      </c>
      <c r="Q1017" t="s">
        <v>20</v>
      </c>
      <c r="R1017" t="str">
        <f>HYPERLINK("https://cfpub.epa.gov/ecotox/explore.cfm?ncbi=13225","Explore in ECOTOX")</f>
        <v>Explore in ECOTOX</v>
      </c>
    </row>
    <row r="1018" spans="1:18" x14ac:dyDescent="0.25">
      <c r="A1018">
        <v>6</v>
      </c>
      <c r="B1018" t="str">
        <f>HYPERLINK("http://www.ncbi.nlm.nih.gov/protein/CAF3596236.1","CAF3596236.1")</f>
        <v>CAF3596236.1</v>
      </c>
      <c r="C1018">
        <v>441131</v>
      </c>
      <c r="D1018" t="str">
        <f>HYPERLINK("http://www.ncbi.nlm.nih.gov/Taxonomy/Browser/wwwtax.cgi?mode=Info&amp;id=2762511&amp;lvl=3&amp;lin=f&amp;keep=1&amp;srchmode=1&amp;unlock","2762511")</f>
        <v>2762511</v>
      </c>
      <c r="E1018" t="s">
        <v>855</v>
      </c>
      <c r="F1018" t="s">
        <v>855</v>
      </c>
      <c r="G1018" t="str">
        <f>HYPERLINK("http://www.ncbi.nlm.nih.gov/Taxonomy/Browser/wwwtax.cgi?mode=Info&amp;id=2762511&amp;lvl=3&amp;lin=f&amp;keep=1&amp;srchmode=1&amp;unlock","Rotaria sp. Silwood1")</f>
        <v>Rotaria sp. Silwood1</v>
      </c>
      <c r="H1018" t="s">
        <v>856</v>
      </c>
      <c r="I1018" t="str">
        <f>HYPERLINK("http://www.ncbi.nlm.nih.gov/protein/CAF3596236.1","unnamed protein product")</f>
        <v>unnamed protein product</v>
      </c>
      <c r="J1018">
        <v>149.83000000000001</v>
      </c>
      <c r="K1018" t="s">
        <v>25</v>
      </c>
      <c r="L1018">
        <v>157</v>
      </c>
      <c r="M1018">
        <v>44.41</v>
      </c>
      <c r="N1018">
        <v>7.98</v>
      </c>
      <c r="O1018" t="s">
        <v>25</v>
      </c>
      <c r="P1018" t="s">
        <v>965</v>
      </c>
      <c r="Q1018" t="s">
        <v>20</v>
      </c>
      <c r="R1018" t="str">
        <f>HYPERLINK("https://cfpub.epa.gov/ecotox/explore.cfm?ncbi=2762511","Explore in ECOTOX")</f>
        <v>Explore in ECOTOX</v>
      </c>
    </row>
    <row r="1019" spans="1:18" x14ac:dyDescent="0.25">
      <c r="A1019">
        <v>6</v>
      </c>
      <c r="B1019" t="str">
        <f>HYPERLINK("http://www.ncbi.nlm.nih.gov/protein/CAD7264360.1","CAD7264360.1")</f>
        <v>CAD7264360.1</v>
      </c>
      <c r="C1019">
        <v>14260</v>
      </c>
      <c r="D1019" t="str">
        <f>HYPERLINK("http://www.ncbi.nlm.nih.gov/Taxonomy/Browser/wwwtax.cgi?mode=Info&amp;id=629360&amp;lvl=3&amp;lin=f&amp;keep=1&amp;srchmode=1&amp;unlock","629360")</f>
        <v>629360</v>
      </c>
      <c r="E1019" t="s">
        <v>698</v>
      </c>
      <c r="F1019" t="s">
        <v>698</v>
      </c>
      <c r="G1019" t="str">
        <f>HYPERLINK("http://www.ncbi.nlm.nih.gov/Taxonomy/Browser/wwwtax.cgi?mode=Info&amp;id=629360&amp;lvl=3&amp;lin=f&amp;keep=1&amp;srchmode=1&amp;unlock","Timema shepardi")</f>
        <v>Timema shepardi</v>
      </c>
      <c r="H1019" t="s">
        <v>728</v>
      </c>
      <c r="I1019" t="str">
        <f>HYPERLINK("http://www.ncbi.nlm.nih.gov/protein/CAD7264360.1","unnamed protein product")</f>
        <v>unnamed protein product</v>
      </c>
      <c r="J1019">
        <v>149.83000000000001</v>
      </c>
      <c r="K1019" t="s">
        <v>25</v>
      </c>
      <c r="L1019">
        <v>157</v>
      </c>
      <c r="M1019">
        <v>44.41</v>
      </c>
      <c r="N1019">
        <v>7.98</v>
      </c>
      <c r="O1019" t="s">
        <v>25</v>
      </c>
      <c r="P1019" t="s">
        <v>965</v>
      </c>
      <c r="Q1019" t="s">
        <v>20</v>
      </c>
      <c r="R1019" t="str">
        <f>HYPERLINK("https://cfpub.epa.gov/ecotox/explore.cfm?ncbi=629360","Explore in ECOTOX")</f>
        <v>Explore in ECOTOX</v>
      </c>
    </row>
    <row r="1020" spans="1:18" x14ac:dyDescent="0.25">
      <c r="A1020">
        <v>6</v>
      </c>
      <c r="B1020" t="str">
        <f>HYPERLINK("http://www.ncbi.nlm.nih.gov/protein/CAF3816380.1","CAF3816380.1")</f>
        <v>CAF3816380.1</v>
      </c>
      <c r="C1020">
        <v>277955</v>
      </c>
      <c r="D1020" t="str">
        <f>HYPERLINK("http://www.ncbi.nlm.nih.gov/Taxonomy/Browser/wwwtax.cgi?mode=Info&amp;id=392030&amp;lvl=3&amp;lin=f&amp;keep=1&amp;srchmode=1&amp;unlock","392030")</f>
        <v>392030</v>
      </c>
      <c r="E1020" t="s">
        <v>855</v>
      </c>
      <c r="F1020" t="s">
        <v>855</v>
      </c>
      <c r="G1020" t="str">
        <f>HYPERLINK("http://www.ncbi.nlm.nih.gov/Taxonomy/Browser/wwwtax.cgi?mode=Info&amp;id=392030&amp;lvl=3&amp;lin=f&amp;keep=1&amp;srchmode=1&amp;unlock","Rotaria magnacalcarata")</f>
        <v>Rotaria magnacalcarata</v>
      </c>
      <c r="H1020" t="s">
        <v>856</v>
      </c>
      <c r="I1020" t="str">
        <f>HYPERLINK("http://www.ncbi.nlm.nih.gov/protein/CAF3816380.1","unnamed protein product")</f>
        <v>unnamed protein product</v>
      </c>
      <c r="J1020">
        <v>149.83000000000001</v>
      </c>
      <c r="K1020" t="s">
        <v>25</v>
      </c>
      <c r="L1020">
        <v>157</v>
      </c>
      <c r="M1020">
        <v>44.41</v>
      </c>
      <c r="N1020">
        <v>7.98</v>
      </c>
      <c r="O1020" t="s">
        <v>25</v>
      </c>
      <c r="P1020" t="s">
        <v>965</v>
      </c>
      <c r="Q1020" t="s">
        <v>20</v>
      </c>
      <c r="R1020" t="str">
        <f>HYPERLINK("https://cfpub.epa.gov/ecotox/explore.cfm?ncbi=392030","Explore in ECOTOX")</f>
        <v>Explore in ECOTOX</v>
      </c>
    </row>
    <row r="1021" spans="1:18" x14ac:dyDescent="0.25">
      <c r="A1021">
        <v>6</v>
      </c>
      <c r="B1021" t="str">
        <f>HYPERLINK("http://www.ncbi.nlm.nih.gov/protein/KZS19653.1","KZS19653.1")</f>
        <v>KZS19653.1</v>
      </c>
      <c r="C1021">
        <v>55137</v>
      </c>
      <c r="D1021" t="str">
        <f>HYPERLINK("http://www.ncbi.nlm.nih.gov/Taxonomy/Browser/wwwtax.cgi?mode=Info&amp;id=35525&amp;lvl=3&amp;lin=f&amp;keep=1&amp;srchmode=1&amp;unlock","35525")</f>
        <v>35525</v>
      </c>
      <c r="E1021" t="s">
        <v>715</v>
      </c>
      <c r="F1021" t="s">
        <v>715</v>
      </c>
      <c r="G1021" t="str">
        <f>HYPERLINK("http://www.ncbi.nlm.nih.gov/Taxonomy/Browser/wwwtax.cgi?mode=Info&amp;id=35525&amp;lvl=3&amp;lin=f&amp;keep=1&amp;srchmode=1&amp;unlock","Daphnia magna")</f>
        <v>Daphnia magna</v>
      </c>
      <c r="H1021" t="s">
        <v>717</v>
      </c>
      <c r="I1021" t="str">
        <f>HYPERLINK("http://www.ncbi.nlm.nih.gov/protein/KZS19653.1","Estrogen-related receptor splice variant")</f>
        <v>Estrogen-related receptor splice variant</v>
      </c>
      <c r="J1021">
        <v>149.83000000000001</v>
      </c>
      <c r="K1021" t="s">
        <v>25</v>
      </c>
      <c r="L1021">
        <v>157</v>
      </c>
      <c r="M1021">
        <v>44.41</v>
      </c>
      <c r="N1021">
        <v>7.98</v>
      </c>
      <c r="O1021" t="s">
        <v>25</v>
      </c>
      <c r="P1021" t="s">
        <v>965</v>
      </c>
      <c r="Q1021" t="s">
        <v>20</v>
      </c>
      <c r="R1021" t="str">
        <f>HYPERLINK("https://cfpub.epa.gov/ecotox/explore.cfm?ncbi=35525","Explore in ECOTOX")</f>
        <v>Explore in ECOTOX</v>
      </c>
    </row>
    <row r="1022" spans="1:18" x14ac:dyDescent="0.25">
      <c r="A1022">
        <v>6</v>
      </c>
      <c r="B1022" t="str">
        <f>HYPERLINK("http://www.ncbi.nlm.nih.gov/protein/ROT74072.1","ROT74072.1")</f>
        <v>ROT74072.1</v>
      </c>
      <c r="C1022">
        <v>60071</v>
      </c>
      <c r="D1022" t="str">
        <f>HYPERLINK("http://www.ncbi.nlm.nih.gov/Taxonomy/Browser/wwwtax.cgi?mode=Info&amp;id=6689&amp;lvl=3&amp;lin=f&amp;keep=1&amp;srchmode=1&amp;unlock","6689")</f>
        <v>6689</v>
      </c>
      <c r="E1022" t="s">
        <v>742</v>
      </c>
      <c r="F1022" t="s">
        <v>742</v>
      </c>
      <c r="G1022" t="str">
        <f>HYPERLINK("http://www.ncbi.nlm.nih.gov/Taxonomy/Browser/wwwtax.cgi?mode=Info&amp;id=6689&amp;lvl=3&amp;lin=f&amp;keep=1&amp;srchmode=1&amp;unlock","Penaeus vannamei")</f>
        <v>Penaeus vannamei</v>
      </c>
      <c r="H1022" t="s">
        <v>744</v>
      </c>
      <c r="I1022" t="str">
        <f>HYPERLINK("http://www.ncbi.nlm.nih.gov/protein/ROT74072.1","estrogen-related receptor")</f>
        <v>estrogen-related receptor</v>
      </c>
      <c r="J1022">
        <v>149.44</v>
      </c>
      <c r="K1022" t="s">
        <v>25</v>
      </c>
      <c r="L1022">
        <v>157</v>
      </c>
      <c r="M1022">
        <v>44.41</v>
      </c>
      <c r="N1022">
        <v>7.96</v>
      </c>
      <c r="O1022" t="s">
        <v>25</v>
      </c>
      <c r="P1022" t="s">
        <v>965</v>
      </c>
      <c r="Q1022" t="s">
        <v>20</v>
      </c>
      <c r="R1022" t="str">
        <f>HYPERLINK("https://cfpub.epa.gov/ecotox/explore.cfm?ncbi=6689","Explore in ECOTOX")</f>
        <v>Explore in ECOTOX</v>
      </c>
    </row>
    <row r="1023" spans="1:18" x14ac:dyDescent="0.25">
      <c r="A1023">
        <v>6</v>
      </c>
      <c r="B1023" t="str">
        <f>HYPERLINK("http://www.ncbi.nlm.nih.gov/protein/XP_026314901.1","XP_026314901.1")</f>
        <v>XP_026314901.1</v>
      </c>
      <c r="C1023">
        <v>20440</v>
      </c>
      <c r="D1023" t="str">
        <f>HYPERLINK("http://www.ncbi.nlm.nih.gov/Taxonomy/Browser/wwwtax.cgi?mode=Info&amp;id=1477025&amp;lvl=3&amp;lin=f&amp;keep=1&amp;srchmode=1&amp;unlock","1477025")</f>
        <v>1477025</v>
      </c>
      <c r="E1023" t="s">
        <v>698</v>
      </c>
      <c r="F1023" t="s">
        <v>698</v>
      </c>
      <c r="G1023" t="str">
        <f>HYPERLINK("http://www.ncbi.nlm.nih.gov/Taxonomy/Browser/wwwtax.cgi?mode=Info&amp;id=1477025&amp;lvl=3&amp;lin=f&amp;keep=1&amp;srchmode=1&amp;unlock","Hyposmocoma kahamanoa")</f>
        <v>Hyposmocoma kahamanoa</v>
      </c>
      <c r="H1023" t="s">
        <v>868</v>
      </c>
      <c r="I1023" t="str">
        <f>HYPERLINK("http://www.ncbi.nlm.nih.gov/protein/XP_026314901.1","steroid hormone receptor ERR1")</f>
        <v>steroid hormone receptor ERR1</v>
      </c>
      <c r="J1023">
        <v>149.44</v>
      </c>
      <c r="K1023" t="s">
        <v>25</v>
      </c>
      <c r="L1023">
        <v>157</v>
      </c>
      <c r="M1023">
        <v>44.41</v>
      </c>
      <c r="N1023">
        <v>7.96</v>
      </c>
      <c r="O1023" t="s">
        <v>25</v>
      </c>
      <c r="P1023" t="s">
        <v>965</v>
      </c>
      <c r="Q1023" t="s">
        <v>20</v>
      </c>
      <c r="R1023" t="str">
        <f>HYPERLINK("https://cfpub.epa.gov/ecotox/explore.cfm?ncbi=1477025","Explore in ECOTOX")</f>
        <v>Explore in ECOTOX</v>
      </c>
    </row>
    <row r="1024" spans="1:18" x14ac:dyDescent="0.25">
      <c r="A1024">
        <v>6</v>
      </c>
      <c r="B1024" t="str">
        <f>HYPERLINK("http://www.ncbi.nlm.nih.gov/protein/ABO42263.1","ABO42263.1")</f>
        <v>ABO42263.1</v>
      </c>
      <c r="C1024">
        <v>344</v>
      </c>
      <c r="D1024" t="str">
        <f>HYPERLINK("http://www.ncbi.nlm.nih.gov/Taxonomy/Browser/wwwtax.cgi?mode=Info&amp;id=7729&amp;lvl=3&amp;lin=f&amp;keep=1&amp;srchmode=1&amp;unlock","7729")</f>
        <v>7729</v>
      </c>
      <c r="E1024" t="s">
        <v>691</v>
      </c>
      <c r="F1024" t="s">
        <v>691</v>
      </c>
      <c r="G1024" t="str">
        <f>HYPERLINK("http://www.ncbi.nlm.nih.gov/Taxonomy/Browser/wwwtax.cgi?mode=Info&amp;id=7729&amp;lvl=3&amp;lin=f&amp;keep=1&amp;srchmode=1&amp;unlock","Halocynthia roretzi")</f>
        <v>Halocynthia roretzi</v>
      </c>
      <c r="H1024" t="s">
        <v>693</v>
      </c>
      <c r="I1024" t="str">
        <f>HYPERLINK("http://www.ncbi.nlm.nih.gov/protein/ABO42263.1","estrogen-related receptor isoform 1")</f>
        <v>estrogen-related receptor isoform 1</v>
      </c>
      <c r="J1024">
        <v>149.44</v>
      </c>
      <c r="K1024" t="s">
        <v>25</v>
      </c>
      <c r="L1024">
        <v>157</v>
      </c>
      <c r="M1024">
        <v>44.41</v>
      </c>
      <c r="N1024">
        <v>7.96</v>
      </c>
      <c r="O1024" t="s">
        <v>25</v>
      </c>
      <c r="P1024" t="s">
        <v>965</v>
      </c>
      <c r="Q1024" t="s">
        <v>20</v>
      </c>
      <c r="R1024" t="str">
        <f>HYPERLINK("https://cfpub.epa.gov/ecotox/explore.cfm?ncbi=7729","Explore in ECOTOX")</f>
        <v>Explore in ECOTOX</v>
      </c>
    </row>
    <row r="1025" spans="1:18" x14ac:dyDescent="0.25">
      <c r="A1025">
        <v>6</v>
      </c>
      <c r="B1025" t="str">
        <f>HYPERLINK("http://www.ncbi.nlm.nih.gov/protein/CAD7601116.1","CAD7601116.1")</f>
        <v>CAD7601116.1</v>
      </c>
      <c r="C1025">
        <v>12278</v>
      </c>
      <c r="D1025" t="str">
        <f>HYPERLINK("http://www.ncbi.nlm.nih.gov/Taxonomy/Browser/wwwtax.cgi?mode=Info&amp;id=629358&amp;lvl=3&amp;lin=f&amp;keep=1&amp;srchmode=1&amp;unlock","629358")</f>
        <v>629358</v>
      </c>
      <c r="E1025" t="s">
        <v>698</v>
      </c>
      <c r="F1025" t="s">
        <v>698</v>
      </c>
      <c r="G1025" t="str">
        <f>HYPERLINK("http://www.ncbi.nlm.nih.gov/Taxonomy/Browser/wwwtax.cgi?mode=Info&amp;id=629358&amp;lvl=3&amp;lin=f&amp;keep=1&amp;srchmode=1&amp;unlock","Timema genevievae")</f>
        <v>Timema genevievae</v>
      </c>
      <c r="H1025" t="s">
        <v>728</v>
      </c>
      <c r="I1025" t="str">
        <f>HYPERLINK("http://www.ncbi.nlm.nih.gov/protein/CAD7601116.1","unnamed protein product")</f>
        <v>unnamed protein product</v>
      </c>
      <c r="J1025">
        <v>149.06</v>
      </c>
      <c r="K1025" t="s">
        <v>25</v>
      </c>
      <c r="L1025">
        <v>157</v>
      </c>
      <c r="M1025">
        <v>44.41</v>
      </c>
      <c r="N1025">
        <v>7.93</v>
      </c>
      <c r="O1025" t="s">
        <v>25</v>
      </c>
      <c r="P1025" t="s">
        <v>965</v>
      </c>
      <c r="Q1025" t="s">
        <v>20</v>
      </c>
      <c r="R1025" t="str">
        <f>HYPERLINK("https://cfpub.epa.gov/ecotox/explore.cfm?ncbi=629358","Explore in ECOTOX")</f>
        <v>Explore in ECOTOX</v>
      </c>
    </row>
    <row r="1026" spans="1:18" x14ac:dyDescent="0.25">
      <c r="A1026">
        <v>6</v>
      </c>
      <c r="B1026" t="str">
        <f>HYPERLINK("http://www.ncbi.nlm.nih.gov/protein/AHY03422.1","AHY03422.1")</f>
        <v>AHY03422.1</v>
      </c>
      <c r="C1026">
        <v>76</v>
      </c>
      <c r="D1026" t="str">
        <f>HYPERLINK("http://www.ncbi.nlm.nih.gov/Taxonomy/Browser/wwwtax.cgi?mode=Info&amp;id=126650&amp;lvl=3&amp;lin=f&amp;keep=1&amp;srchmode=1&amp;unlock","126650")</f>
        <v>126650</v>
      </c>
      <c r="E1026" t="s">
        <v>822</v>
      </c>
      <c r="F1026" t="s">
        <v>822</v>
      </c>
      <c r="G1026" t="str">
        <f>HYPERLINK("http://www.ncbi.nlm.nih.gov/Taxonomy/Browser/wwwtax.cgi?mode=Info&amp;id=126650&amp;lvl=3&amp;lin=f&amp;keep=1&amp;srchmode=1&amp;unlock","Perinereis aibuhitensis")</f>
        <v>Perinereis aibuhitensis</v>
      </c>
      <c r="H1026" t="s">
        <v>1138</v>
      </c>
      <c r="I1026" t="str">
        <f>HYPERLINK("http://www.ncbi.nlm.nih.gov/protein/AHY03422.1","estrogen receptor")</f>
        <v>estrogen receptor</v>
      </c>
      <c r="J1026">
        <v>149.06</v>
      </c>
      <c r="K1026" t="s">
        <v>25</v>
      </c>
      <c r="L1026">
        <v>157</v>
      </c>
      <c r="M1026">
        <v>44.41</v>
      </c>
      <c r="N1026">
        <v>7.93</v>
      </c>
      <c r="O1026" t="s">
        <v>25</v>
      </c>
      <c r="P1026" t="s">
        <v>965</v>
      </c>
      <c r="Q1026" t="s">
        <v>20</v>
      </c>
      <c r="R1026" t="str">
        <f>HYPERLINK("https://cfpub.epa.gov/ecotox/explore.cfm?ncbi=126650","Explore in ECOTOX")</f>
        <v>Explore in ECOTOX</v>
      </c>
    </row>
    <row r="1027" spans="1:18" x14ac:dyDescent="0.25">
      <c r="A1027">
        <v>6</v>
      </c>
      <c r="B1027" t="str">
        <f>HYPERLINK("http://www.ncbi.nlm.nih.gov/protein/ACW84414.1","ACW84414.1")</f>
        <v>ACW84414.1</v>
      </c>
      <c r="C1027">
        <v>72</v>
      </c>
      <c r="D1027" t="str">
        <f>HYPERLINK("http://www.ncbi.nlm.nih.gov/Taxonomy/Browser/wwwtax.cgi?mode=Info&amp;id=62746&amp;lvl=3&amp;lin=f&amp;keep=1&amp;srchmode=1&amp;unlock","62746")</f>
        <v>62746</v>
      </c>
      <c r="E1027" t="s">
        <v>698</v>
      </c>
      <c r="F1027" t="s">
        <v>698</v>
      </c>
      <c r="G1027" t="str">
        <f>HYPERLINK("http://www.ncbi.nlm.nih.gov/Taxonomy/Browser/wwwtax.cgi?mode=Info&amp;id=62746&amp;lvl=3&amp;lin=f&amp;keep=1&amp;srchmode=1&amp;unlock","Teleogryllus emma")</f>
        <v>Teleogryllus emma</v>
      </c>
      <c r="H1027" t="s">
        <v>1139</v>
      </c>
      <c r="I1027" t="str">
        <f>HYPERLINK("http://www.ncbi.nlm.nih.gov/protein/ACW84414.1","estrogen receptor-like protein")</f>
        <v>estrogen receptor-like protein</v>
      </c>
      <c r="J1027">
        <v>149.06</v>
      </c>
      <c r="K1027" t="s">
        <v>25</v>
      </c>
      <c r="L1027">
        <v>157</v>
      </c>
      <c r="M1027">
        <v>44.41</v>
      </c>
      <c r="N1027">
        <v>7.93</v>
      </c>
      <c r="O1027" t="s">
        <v>25</v>
      </c>
      <c r="P1027" t="s">
        <v>965</v>
      </c>
      <c r="Q1027" t="s">
        <v>20</v>
      </c>
      <c r="R1027" t="str">
        <f>HYPERLINK("https://cfpub.epa.gov/ecotox/explore.cfm?ncbi=62746","Explore in ECOTOX")</f>
        <v>Explore in ECOTOX</v>
      </c>
    </row>
    <row r="1028" spans="1:18" x14ac:dyDescent="0.25">
      <c r="A1028">
        <v>6</v>
      </c>
      <c r="B1028" t="str">
        <f>HYPERLINK("http://www.ncbi.nlm.nih.gov/protein/XP_011496296.1","XP_011496296.1")</f>
        <v>XP_011496296.1</v>
      </c>
      <c r="C1028">
        <v>12848</v>
      </c>
      <c r="D1028" t="str">
        <f>HYPERLINK("http://www.ncbi.nlm.nih.gov/Taxonomy/Browser/wwwtax.cgi?mode=Info&amp;id=326594&amp;lvl=3&amp;lin=f&amp;keep=1&amp;srchmode=1&amp;unlock","326594")</f>
        <v>326594</v>
      </c>
      <c r="E1028" t="s">
        <v>698</v>
      </c>
      <c r="F1028" t="s">
        <v>698</v>
      </c>
      <c r="G1028" t="str">
        <f>HYPERLINK("http://www.ncbi.nlm.nih.gov/Taxonomy/Browser/wwwtax.cgi?mode=Info&amp;id=326594&amp;lvl=3&amp;lin=f&amp;keep=1&amp;srchmode=1&amp;unlock","Ceratosolen solmsi marchali")</f>
        <v>Ceratosolen solmsi marchali</v>
      </c>
      <c r="H1028" t="s">
        <v>825</v>
      </c>
      <c r="I1028" t="str">
        <f>HYPERLINK("http://www.ncbi.nlm.nih.gov/protein/XP_011496296.1","PREDICTED: steroid hormone receptor ERR2 isoform X2")</f>
        <v>PREDICTED: steroid hormone receptor ERR2 isoform X2</v>
      </c>
      <c r="J1028">
        <v>148.66999999999999</v>
      </c>
      <c r="K1028" t="s">
        <v>25</v>
      </c>
      <c r="L1028">
        <v>157</v>
      </c>
      <c r="M1028">
        <v>44.41</v>
      </c>
      <c r="N1028">
        <v>7.91</v>
      </c>
      <c r="O1028" t="s">
        <v>25</v>
      </c>
      <c r="P1028" t="s">
        <v>965</v>
      </c>
      <c r="Q1028" t="s">
        <v>20</v>
      </c>
      <c r="R1028" t="str">
        <f>HYPERLINK("https://cfpub.epa.gov/ecotox/explore.cfm?ncbi=326594","Explore in ECOTOX")</f>
        <v>Explore in ECOTOX</v>
      </c>
    </row>
    <row r="1029" spans="1:18" x14ac:dyDescent="0.25">
      <c r="A1029">
        <v>6</v>
      </c>
      <c r="B1029" t="str">
        <f>HYPERLINK("http://www.ncbi.nlm.nih.gov/protein/ENN81341.1","ENN81341.1")</f>
        <v>ENN81341.1</v>
      </c>
      <c r="C1029">
        <v>49508</v>
      </c>
      <c r="D1029" t="str">
        <f>HYPERLINK("http://www.ncbi.nlm.nih.gov/Taxonomy/Browser/wwwtax.cgi?mode=Info&amp;id=77166&amp;lvl=3&amp;lin=f&amp;keep=1&amp;srchmode=1&amp;unlock","77166")</f>
        <v>77166</v>
      </c>
      <c r="E1029" t="s">
        <v>698</v>
      </c>
      <c r="F1029" t="s">
        <v>698</v>
      </c>
      <c r="G1029" t="str">
        <f>HYPERLINK("http://www.ncbi.nlm.nih.gov/Taxonomy/Browser/wwwtax.cgi?mode=Info&amp;id=77166&amp;lvl=3&amp;lin=f&amp;keep=1&amp;srchmode=1&amp;unlock","Dendroctonus ponderosae")</f>
        <v>Dendroctonus ponderosae</v>
      </c>
      <c r="H1029" t="s">
        <v>1140</v>
      </c>
      <c r="I1029" t="str">
        <f>HYPERLINK("http://www.ncbi.nlm.nih.gov/protein/ENN81341.1","hypothetical protein YQE_02252, partial")</f>
        <v>hypothetical protein YQE_02252, partial</v>
      </c>
      <c r="J1029">
        <v>148.66999999999999</v>
      </c>
      <c r="K1029" t="s">
        <v>25</v>
      </c>
      <c r="L1029">
        <v>157</v>
      </c>
      <c r="M1029">
        <v>44.41</v>
      </c>
      <c r="N1029">
        <v>7.91</v>
      </c>
      <c r="O1029" t="s">
        <v>25</v>
      </c>
      <c r="P1029" t="s">
        <v>965</v>
      </c>
      <c r="Q1029" t="s">
        <v>20</v>
      </c>
      <c r="R1029" t="str">
        <f>HYPERLINK("https://cfpub.epa.gov/ecotox/explore.cfm?ncbi=77166","Explore in ECOTOX")</f>
        <v>Explore in ECOTOX</v>
      </c>
    </row>
    <row r="1030" spans="1:18" x14ac:dyDescent="0.25">
      <c r="A1030">
        <v>6</v>
      </c>
      <c r="B1030" t="str">
        <f>HYPERLINK("http://www.ncbi.nlm.nih.gov/protein/XP_017785267.1","XP_017785267.1")</f>
        <v>XP_017785267.1</v>
      </c>
      <c r="C1030">
        <v>19616</v>
      </c>
      <c r="D1030" t="str">
        <f>HYPERLINK("http://www.ncbi.nlm.nih.gov/Taxonomy/Browser/wwwtax.cgi?mode=Info&amp;id=110193&amp;lvl=3&amp;lin=f&amp;keep=1&amp;srchmode=1&amp;unlock","110193")</f>
        <v>110193</v>
      </c>
      <c r="E1030" t="s">
        <v>698</v>
      </c>
      <c r="F1030" t="s">
        <v>698</v>
      </c>
      <c r="G1030" t="str">
        <f>HYPERLINK("http://www.ncbi.nlm.nih.gov/Taxonomy/Browser/wwwtax.cgi?mode=Info&amp;id=110193&amp;lvl=3&amp;lin=f&amp;keep=1&amp;srchmode=1&amp;unlock","Nicrophorus vespilloides")</f>
        <v>Nicrophorus vespilloides</v>
      </c>
      <c r="H1030" t="s">
        <v>935</v>
      </c>
      <c r="I1030" t="str">
        <f>HYPERLINK("http://www.ncbi.nlm.nih.gov/protein/XP_017785267.1","PREDICTED: steroid hormone receptor ERR2")</f>
        <v>PREDICTED: steroid hormone receptor ERR2</v>
      </c>
      <c r="J1030">
        <v>148.29</v>
      </c>
      <c r="K1030" t="s">
        <v>25</v>
      </c>
      <c r="L1030">
        <v>157</v>
      </c>
      <c r="M1030">
        <v>44.41</v>
      </c>
      <c r="N1030">
        <v>7.89</v>
      </c>
      <c r="O1030" t="s">
        <v>25</v>
      </c>
      <c r="P1030" t="s">
        <v>965</v>
      </c>
      <c r="Q1030" t="s">
        <v>20</v>
      </c>
      <c r="R1030" t="str">
        <f>HYPERLINK("https://cfpub.epa.gov/ecotox/explore.cfm?ncbi=110193","Explore in ECOTOX")</f>
        <v>Explore in ECOTOX</v>
      </c>
    </row>
    <row r="1031" spans="1:18" x14ac:dyDescent="0.25">
      <c r="A1031">
        <v>6</v>
      </c>
      <c r="B1031" t="str">
        <f>HYPERLINK("http://www.ncbi.nlm.nih.gov/protein/XP_024216821.1","XP_024216821.1")</f>
        <v>XP_024216821.1</v>
      </c>
      <c r="C1031">
        <v>26486</v>
      </c>
      <c r="D1031" t="str">
        <f>HYPERLINK("http://www.ncbi.nlm.nih.gov/Taxonomy/Browser/wwwtax.cgi?mode=Info&amp;id=286706&amp;lvl=3&amp;lin=f&amp;keep=1&amp;srchmode=1&amp;unlock","286706")</f>
        <v>286706</v>
      </c>
      <c r="E1031" t="s">
        <v>698</v>
      </c>
      <c r="F1031" t="s">
        <v>698</v>
      </c>
      <c r="G1031" t="str">
        <f>HYPERLINK("http://www.ncbi.nlm.nih.gov/Taxonomy/Browser/wwwtax.cgi?mode=Info&amp;id=286706&amp;lvl=3&amp;lin=f&amp;keep=1&amp;srchmode=1&amp;unlock","Halyomorpha halys")</f>
        <v>Halyomorpha halys</v>
      </c>
      <c r="H1031" t="s">
        <v>739</v>
      </c>
      <c r="I1031" t="str">
        <f>HYPERLINK("http://www.ncbi.nlm.nih.gov/protein/XP_024216821.1","steroid hormone receptor ERR1 isoform X1")</f>
        <v>steroid hormone receptor ERR1 isoform X1</v>
      </c>
      <c r="J1031">
        <v>148.29</v>
      </c>
      <c r="K1031" t="s">
        <v>25</v>
      </c>
      <c r="L1031">
        <v>157</v>
      </c>
      <c r="M1031">
        <v>44.41</v>
      </c>
      <c r="N1031">
        <v>7.89</v>
      </c>
      <c r="O1031" t="s">
        <v>25</v>
      </c>
      <c r="P1031" t="s">
        <v>965</v>
      </c>
      <c r="Q1031" t="s">
        <v>20</v>
      </c>
      <c r="R1031" t="str">
        <f>HYPERLINK("https://cfpub.epa.gov/ecotox/explore.cfm?ncbi=286706","Explore in ECOTOX")</f>
        <v>Explore in ECOTOX</v>
      </c>
    </row>
    <row r="1032" spans="1:18" x14ac:dyDescent="0.25">
      <c r="A1032">
        <v>6</v>
      </c>
      <c r="B1032" t="str">
        <f>HYPERLINK("http://www.ncbi.nlm.nih.gov/protein/CAL09961.1","CAL09961.1")</f>
        <v>CAL09961.1</v>
      </c>
      <c r="C1032">
        <v>464</v>
      </c>
      <c r="D1032" t="str">
        <f>HYPERLINK("http://www.ncbi.nlm.nih.gov/Taxonomy/Browser/wwwtax.cgi?mode=Info&amp;id=90069&amp;lvl=3&amp;lin=f&amp;keep=1&amp;srchmode=1&amp;unlock","90069")</f>
        <v>90069</v>
      </c>
      <c r="E1032" t="s">
        <v>384</v>
      </c>
      <c r="F1032" t="s">
        <v>384</v>
      </c>
      <c r="G1032" t="str">
        <f>HYPERLINK("http://www.ncbi.nlm.nih.gov/Taxonomy/Browser/wwwtax.cgi?mode=Info&amp;id=90069&amp;lvl=3&amp;lin=f&amp;keep=1&amp;srchmode=1&amp;unlock","Solea solea")</f>
        <v>Solea solea</v>
      </c>
      <c r="H1032" t="s">
        <v>1141</v>
      </c>
      <c r="I1032" t="str">
        <f>HYPERLINK("http://www.ncbi.nlm.nih.gov/protein/CAL09961.1","estrogen receptor beta")</f>
        <v>estrogen receptor beta</v>
      </c>
      <c r="J1032">
        <v>148.29</v>
      </c>
      <c r="K1032" t="s">
        <v>25</v>
      </c>
      <c r="L1032">
        <v>157</v>
      </c>
      <c r="M1032">
        <v>44.41</v>
      </c>
      <c r="N1032">
        <v>7.89</v>
      </c>
      <c r="O1032" t="s">
        <v>25</v>
      </c>
      <c r="P1032" t="s">
        <v>965</v>
      </c>
      <c r="Q1032" t="s">
        <v>20</v>
      </c>
      <c r="R1032" t="str">
        <f>HYPERLINK("https://cfpub.epa.gov/ecotox/explore.cfm?ncbi=90069","Explore in ECOTOX")</f>
        <v>Explore in ECOTOX</v>
      </c>
    </row>
    <row r="1033" spans="1:18" x14ac:dyDescent="0.25">
      <c r="A1033">
        <v>6</v>
      </c>
      <c r="B1033" t="str">
        <f>HYPERLINK("http://www.ncbi.nlm.nih.gov/protein/XP_018328922.1","XP_018328922.1")</f>
        <v>XP_018328922.1</v>
      </c>
      <c r="C1033">
        <v>22259</v>
      </c>
      <c r="D1033" t="str">
        <f>HYPERLINK("http://www.ncbi.nlm.nih.gov/Taxonomy/Browser/wwwtax.cgi?mode=Info&amp;id=224129&amp;lvl=3&amp;lin=f&amp;keep=1&amp;srchmode=1&amp;unlock","224129")</f>
        <v>224129</v>
      </c>
      <c r="E1033" t="s">
        <v>698</v>
      </c>
      <c r="F1033" t="s">
        <v>698</v>
      </c>
      <c r="G1033" t="str">
        <f>HYPERLINK("http://www.ncbi.nlm.nih.gov/Taxonomy/Browser/wwwtax.cgi?mode=Info&amp;id=224129&amp;lvl=3&amp;lin=f&amp;keep=1&amp;srchmode=1&amp;unlock","Agrilus planipennis")</f>
        <v>Agrilus planipennis</v>
      </c>
      <c r="H1033" t="s">
        <v>931</v>
      </c>
      <c r="I1033" t="str">
        <f>HYPERLINK("http://www.ncbi.nlm.nih.gov/protein/XP_018328922.1","steroid hormone receptor ERR1 isoform X2")</f>
        <v>steroid hormone receptor ERR1 isoform X2</v>
      </c>
      <c r="J1033">
        <v>147.9</v>
      </c>
      <c r="K1033" t="s">
        <v>25</v>
      </c>
      <c r="L1033">
        <v>157</v>
      </c>
      <c r="M1033">
        <v>44.41</v>
      </c>
      <c r="N1033">
        <v>7.87</v>
      </c>
      <c r="O1033" t="s">
        <v>25</v>
      </c>
      <c r="P1033" t="s">
        <v>965</v>
      </c>
      <c r="Q1033" t="s">
        <v>20</v>
      </c>
      <c r="R1033" t="str">
        <f>HYPERLINK("https://cfpub.epa.gov/ecotox/explore.cfm?ncbi=224129","Explore in ECOTOX")</f>
        <v>Explore in ECOTOX</v>
      </c>
    </row>
    <row r="1034" spans="1:18" x14ac:dyDescent="0.25">
      <c r="A1034">
        <v>6</v>
      </c>
      <c r="B1034" t="str">
        <f>HYPERLINK("http://www.ncbi.nlm.nih.gov/protein/AAA49552.1","AAA49552.1")</f>
        <v>AAA49552.1</v>
      </c>
      <c r="C1034">
        <v>2</v>
      </c>
      <c r="D1034" t="str">
        <f>HYPERLINK("http://www.ncbi.nlm.nih.gov/Taxonomy/Browser/wwwtax.cgi?mode=Info&amp;id=857569&amp;lvl=3&amp;lin=f&amp;keep=1&amp;srchmode=1&amp;unlock","857569")</f>
        <v>857569</v>
      </c>
      <c r="E1034" t="s">
        <v>384</v>
      </c>
      <c r="F1034" t="s">
        <v>384</v>
      </c>
      <c r="G1034" t="str">
        <f>HYPERLINK("http://www.ncbi.nlm.nih.gov/Taxonomy/Browser/wwwtax.cgi?mode=Info&amp;id=857569&amp;lvl=3&amp;lin=f&amp;keep=1&amp;srchmode=1&amp;unlock","Oncorhynchus mykiss irideus")</f>
        <v>Oncorhynchus mykiss irideus</v>
      </c>
      <c r="H1034" t="s">
        <v>482</v>
      </c>
      <c r="I1034" t="str">
        <f>HYPERLINK("http://www.ncbi.nlm.nih.gov/protein/AAA49552.1","estrogen receptor, partial")</f>
        <v>estrogen receptor, partial</v>
      </c>
      <c r="J1034">
        <v>147.13</v>
      </c>
      <c r="K1034" t="s">
        <v>25</v>
      </c>
      <c r="L1034">
        <v>157</v>
      </c>
      <c r="M1034">
        <v>44.41</v>
      </c>
      <c r="N1034">
        <v>7.83</v>
      </c>
      <c r="O1034" t="s">
        <v>25</v>
      </c>
      <c r="P1034" t="s">
        <v>965</v>
      </c>
      <c r="Q1034" t="s">
        <v>20</v>
      </c>
      <c r="R1034" t="str">
        <f>HYPERLINK("https://cfpub.epa.gov/ecotox/explore.cfm?ncbi=857569","Explore in ECOTOX")</f>
        <v>Explore in ECOTOX</v>
      </c>
    </row>
    <row r="1035" spans="1:18" x14ac:dyDescent="0.25">
      <c r="A1035">
        <v>6</v>
      </c>
      <c r="B1035" t="str">
        <f>HYPERLINK("http://www.ncbi.nlm.nih.gov/protein/CAD5111294.1","CAD5111294.1")</f>
        <v>CAD5111294.1</v>
      </c>
      <c r="C1035">
        <v>16184</v>
      </c>
      <c r="D1035" t="str">
        <f>HYPERLINK("http://www.ncbi.nlm.nih.gov/Taxonomy/Browser/wwwtax.cgi?mode=Info&amp;id=2664684&amp;lvl=3&amp;lin=f&amp;keep=1&amp;srchmode=1&amp;unlock","2664684")</f>
        <v>2664684</v>
      </c>
      <c r="E1035" t="s">
        <v>822</v>
      </c>
      <c r="F1035" t="s">
        <v>822</v>
      </c>
      <c r="G1035" t="str">
        <f>HYPERLINK("http://www.ncbi.nlm.nih.gov/Taxonomy/Browser/wwwtax.cgi?mode=Info&amp;id=2664684&amp;lvl=3&amp;lin=f&amp;keep=1&amp;srchmode=1&amp;unlock","Dimorphilus gyrociliatus")</f>
        <v>Dimorphilus gyrociliatus</v>
      </c>
      <c r="H1035" t="s">
        <v>823</v>
      </c>
      <c r="I1035" t="str">
        <f>HYPERLINK("http://www.ncbi.nlm.nih.gov/protein/CAD5111294.1","DgyrCDS613")</f>
        <v>DgyrCDS613</v>
      </c>
      <c r="J1035">
        <v>146.75</v>
      </c>
      <c r="K1035" t="s">
        <v>25</v>
      </c>
      <c r="L1035">
        <v>157</v>
      </c>
      <c r="M1035">
        <v>44.41</v>
      </c>
      <c r="N1035">
        <v>7.81</v>
      </c>
      <c r="O1035" t="s">
        <v>25</v>
      </c>
      <c r="P1035" t="s">
        <v>965</v>
      </c>
      <c r="Q1035" t="s">
        <v>20</v>
      </c>
      <c r="R1035" t="str">
        <f>HYPERLINK("https://cfpub.epa.gov/ecotox/explore.cfm?ncbi=2664684","Explore in ECOTOX")</f>
        <v>Explore in ECOTOX</v>
      </c>
    </row>
    <row r="1036" spans="1:18" x14ac:dyDescent="0.25">
      <c r="A1036">
        <v>6</v>
      </c>
      <c r="B1036" t="str">
        <f>HYPERLINK("http://www.ncbi.nlm.nih.gov/protein/CAF0884844.1","CAF0884844.1")</f>
        <v>CAF0884844.1</v>
      </c>
      <c r="C1036">
        <v>54041</v>
      </c>
      <c r="D1036" t="str">
        <f>HYPERLINK("http://www.ncbi.nlm.nih.gov/Taxonomy/Browser/wwwtax.cgi?mode=Info&amp;id=1234261&amp;lvl=3&amp;lin=f&amp;keep=1&amp;srchmode=1&amp;unlock","1234261")</f>
        <v>1234261</v>
      </c>
      <c r="E1036" t="s">
        <v>855</v>
      </c>
      <c r="F1036" t="s">
        <v>855</v>
      </c>
      <c r="G1036" t="str">
        <f>HYPERLINK("http://www.ncbi.nlm.nih.gov/Taxonomy/Browser/wwwtax.cgi?mode=Info&amp;id=1234261&amp;lvl=3&amp;lin=f&amp;keep=1&amp;srchmode=1&amp;unlock","Didymodactylos carnosus")</f>
        <v>Didymodactylos carnosus</v>
      </c>
      <c r="H1036" t="s">
        <v>856</v>
      </c>
      <c r="I1036" t="str">
        <f>HYPERLINK("http://www.ncbi.nlm.nih.gov/protein/CAF0884844.1","unnamed protein product")</f>
        <v>unnamed protein product</v>
      </c>
      <c r="J1036">
        <v>146.75</v>
      </c>
      <c r="K1036" t="s">
        <v>25</v>
      </c>
      <c r="L1036">
        <v>157</v>
      </c>
      <c r="M1036">
        <v>44.41</v>
      </c>
      <c r="N1036">
        <v>7.81</v>
      </c>
      <c r="O1036" t="s">
        <v>25</v>
      </c>
      <c r="P1036" t="s">
        <v>965</v>
      </c>
      <c r="Q1036" t="s">
        <v>20</v>
      </c>
      <c r="R1036" t="str">
        <f>HYPERLINK("https://cfpub.epa.gov/ecotox/explore.cfm?ncbi=1234261","Explore in ECOTOX")</f>
        <v>Explore in ECOTOX</v>
      </c>
    </row>
    <row r="1037" spans="1:18" x14ac:dyDescent="0.25">
      <c r="A1037">
        <v>6</v>
      </c>
      <c r="B1037" t="str">
        <f>HYPERLINK("http://www.ncbi.nlm.nih.gov/protein/KAF9796367.1","KAF9796367.1")</f>
        <v>KAF9796367.1</v>
      </c>
      <c r="C1037">
        <v>54042</v>
      </c>
      <c r="D1037" t="str">
        <f>HYPERLINK("http://www.ncbi.nlm.nih.gov/Taxonomy/Browser/wwwtax.cgi?mode=Info&amp;id=7108&amp;lvl=3&amp;lin=f&amp;keep=1&amp;srchmode=1&amp;unlock","7108")</f>
        <v>7108</v>
      </c>
      <c r="E1037" t="s">
        <v>698</v>
      </c>
      <c r="F1037" t="s">
        <v>698</v>
      </c>
      <c r="G1037" t="str">
        <f>HYPERLINK("http://www.ncbi.nlm.nih.gov/Taxonomy/Browser/wwwtax.cgi?mode=Info&amp;id=7108&amp;lvl=3&amp;lin=f&amp;keep=1&amp;srchmode=1&amp;unlock","Spodoptera frugiperda")</f>
        <v>Spodoptera frugiperda</v>
      </c>
      <c r="H1037" t="s">
        <v>933</v>
      </c>
      <c r="I1037" t="str">
        <f>HYPERLINK("http://www.ncbi.nlm.nih.gov/protein/KAF9796367.1","hypothetical protein SFRURICE_001940, partial")</f>
        <v>hypothetical protein SFRURICE_001940, partial</v>
      </c>
      <c r="J1037">
        <v>146.36000000000001</v>
      </c>
      <c r="K1037" t="s">
        <v>25</v>
      </c>
      <c r="L1037">
        <v>157</v>
      </c>
      <c r="M1037">
        <v>44.41</v>
      </c>
      <c r="N1037">
        <v>7.79</v>
      </c>
      <c r="O1037" t="s">
        <v>25</v>
      </c>
      <c r="P1037" t="s">
        <v>965</v>
      </c>
      <c r="Q1037" t="s">
        <v>20</v>
      </c>
      <c r="R1037" t="str">
        <f>HYPERLINK("https://cfpub.epa.gov/ecotox/explore.cfm?ncbi=7108","Explore in ECOTOX")</f>
        <v>Explore in ECOTOX</v>
      </c>
    </row>
    <row r="1038" spans="1:18" x14ac:dyDescent="0.25">
      <c r="A1038">
        <v>6</v>
      </c>
      <c r="B1038" t="str">
        <f>HYPERLINK("http://www.ncbi.nlm.nih.gov/protein/ADO51071.1","ADO51071.1")</f>
        <v>ADO51071.1</v>
      </c>
      <c r="C1038">
        <v>188</v>
      </c>
      <c r="D1038" t="str">
        <f>HYPERLINK("http://www.ncbi.nlm.nih.gov/Taxonomy/Browser/wwwtax.cgi?mode=Info&amp;id=6853&amp;lvl=3&amp;lin=f&amp;keep=1&amp;srchmode=1&amp;unlock","6853")</f>
        <v>6853</v>
      </c>
      <c r="E1038" t="s">
        <v>806</v>
      </c>
      <c r="F1038" t="s">
        <v>806</v>
      </c>
      <c r="G1038" t="str">
        <f>HYPERLINK("http://www.ncbi.nlm.nih.gov/Taxonomy/Browser/wwwtax.cgi?mode=Info&amp;id=6853&amp;lvl=3&amp;lin=f&amp;keep=1&amp;srchmode=1&amp;unlock","Tachypleus tridentatus")</f>
        <v>Tachypleus tridentatus</v>
      </c>
      <c r="H1038" t="s">
        <v>1142</v>
      </c>
      <c r="I1038" t="str">
        <f>HYPERLINK("http://www.ncbi.nlm.nih.gov/protein/ADO51071.1","estrogen-related receptor")</f>
        <v>estrogen-related receptor</v>
      </c>
      <c r="J1038">
        <v>146.36000000000001</v>
      </c>
      <c r="K1038" t="s">
        <v>25</v>
      </c>
      <c r="L1038">
        <v>157</v>
      </c>
      <c r="M1038">
        <v>44.41</v>
      </c>
      <c r="N1038">
        <v>7.79</v>
      </c>
      <c r="O1038" t="s">
        <v>25</v>
      </c>
      <c r="P1038" t="s">
        <v>965</v>
      </c>
      <c r="Q1038" t="s">
        <v>20</v>
      </c>
      <c r="R1038" t="str">
        <f>HYPERLINK("https://cfpub.epa.gov/ecotox/explore.cfm?ncbi=6853","Explore in ECOTOX")</f>
        <v>Explore in ECOTOX</v>
      </c>
    </row>
    <row r="1039" spans="1:18" x14ac:dyDescent="0.25">
      <c r="A1039">
        <v>6</v>
      </c>
      <c r="B1039" t="str">
        <f>HYPERLINK("http://www.ncbi.nlm.nih.gov/protein/XP_019880248.1","XP_019880248.1")</f>
        <v>XP_019880248.1</v>
      </c>
      <c r="C1039">
        <v>17652</v>
      </c>
      <c r="D1039" t="str">
        <f>HYPERLINK("http://www.ncbi.nlm.nih.gov/Taxonomy/Browser/wwwtax.cgi?mode=Info&amp;id=116153&amp;lvl=3&amp;lin=f&amp;keep=1&amp;srchmode=1&amp;unlock","116153")</f>
        <v>116153</v>
      </c>
      <c r="E1039" t="s">
        <v>698</v>
      </c>
      <c r="F1039" t="s">
        <v>698</v>
      </c>
      <c r="G1039" t="str">
        <f>HYPERLINK("http://www.ncbi.nlm.nih.gov/Taxonomy/Browser/wwwtax.cgi?mode=Info&amp;id=116153&amp;lvl=3&amp;lin=f&amp;keep=1&amp;srchmode=1&amp;unlock","Aethina tumida")</f>
        <v>Aethina tumida</v>
      </c>
      <c r="H1039" t="s">
        <v>921</v>
      </c>
      <c r="I1039" t="str">
        <f>HYPERLINK("http://www.ncbi.nlm.nih.gov/protein/XP_019880248.1","PREDICTED: steroid hormone receptor ERR1 isoform X2")</f>
        <v>PREDICTED: steroid hormone receptor ERR1 isoform X2</v>
      </c>
      <c r="J1039">
        <v>146.36000000000001</v>
      </c>
      <c r="K1039" t="s">
        <v>25</v>
      </c>
      <c r="L1039">
        <v>157</v>
      </c>
      <c r="M1039">
        <v>44.41</v>
      </c>
      <c r="N1039">
        <v>7.79</v>
      </c>
      <c r="O1039" t="s">
        <v>25</v>
      </c>
      <c r="P1039" t="s">
        <v>965</v>
      </c>
      <c r="Q1039" t="s">
        <v>20</v>
      </c>
      <c r="R1039" t="str">
        <f>HYPERLINK("https://cfpub.epa.gov/ecotox/explore.cfm?ncbi=116153","Explore in ECOTOX")</f>
        <v>Explore in ECOTOX</v>
      </c>
    </row>
    <row r="1040" spans="1:18" x14ac:dyDescent="0.25">
      <c r="A1040">
        <v>6</v>
      </c>
      <c r="B1040" t="str">
        <f>HYPERLINK("http://www.ncbi.nlm.nih.gov/protein/XP_022244536.1","XP_022244536.1")</f>
        <v>XP_022244536.1</v>
      </c>
      <c r="C1040">
        <v>39074</v>
      </c>
      <c r="D1040" t="str">
        <f>HYPERLINK("http://www.ncbi.nlm.nih.gov/Taxonomy/Browser/wwwtax.cgi?mode=Info&amp;id=6850&amp;lvl=3&amp;lin=f&amp;keep=1&amp;srchmode=1&amp;unlock","6850")</f>
        <v>6850</v>
      </c>
      <c r="E1040" t="s">
        <v>806</v>
      </c>
      <c r="F1040" t="s">
        <v>806</v>
      </c>
      <c r="G1040" t="str">
        <f>HYPERLINK("http://www.ncbi.nlm.nih.gov/Taxonomy/Browser/wwwtax.cgi?mode=Info&amp;id=6850&amp;lvl=3&amp;lin=f&amp;keep=1&amp;srchmode=1&amp;unlock","Limulus polyphemus")</f>
        <v>Limulus polyphemus</v>
      </c>
      <c r="H1040" t="s">
        <v>807</v>
      </c>
      <c r="I1040" t="str">
        <f>HYPERLINK("http://www.ncbi.nlm.nih.gov/protein/XP_022244536.1","steroid hormone receptor ERR1-like")</f>
        <v>steroid hormone receptor ERR1-like</v>
      </c>
      <c r="J1040">
        <v>145.97999999999999</v>
      </c>
      <c r="K1040" t="s">
        <v>25</v>
      </c>
      <c r="L1040">
        <v>157</v>
      </c>
      <c r="M1040">
        <v>44.41</v>
      </c>
      <c r="N1040">
        <v>7.77</v>
      </c>
      <c r="O1040" t="s">
        <v>25</v>
      </c>
      <c r="P1040" t="s">
        <v>965</v>
      </c>
      <c r="Q1040" t="s">
        <v>20</v>
      </c>
      <c r="R1040" t="str">
        <f>HYPERLINK("https://cfpub.epa.gov/ecotox/explore.cfm?ncbi=6850","Explore in ECOTOX")</f>
        <v>Explore in ECOTOX</v>
      </c>
    </row>
    <row r="1041" spans="1:18" x14ac:dyDescent="0.25">
      <c r="A1041">
        <v>6</v>
      </c>
      <c r="B1041" t="str">
        <f>HYPERLINK("http://www.ncbi.nlm.nih.gov/protein/XP_021944806.1","XP_021944806.1")</f>
        <v>XP_021944806.1</v>
      </c>
      <c r="C1041">
        <v>66111</v>
      </c>
      <c r="D1041" t="str">
        <f>HYPERLINK("http://www.ncbi.nlm.nih.gov/Taxonomy/Browser/wwwtax.cgi?mode=Info&amp;id=158441&amp;lvl=3&amp;lin=f&amp;keep=1&amp;srchmode=1&amp;unlock","158441")</f>
        <v>158441</v>
      </c>
      <c r="E1041" t="s">
        <v>765</v>
      </c>
      <c r="F1041" t="s">
        <v>765</v>
      </c>
      <c r="G1041" t="str">
        <f>HYPERLINK("http://www.ncbi.nlm.nih.gov/Taxonomy/Browser/wwwtax.cgi?mode=Info&amp;id=158441&amp;lvl=3&amp;lin=f&amp;keep=1&amp;srchmode=1&amp;unlock","Folsomia candida")</f>
        <v>Folsomia candida</v>
      </c>
      <c r="H1041" t="s">
        <v>804</v>
      </c>
      <c r="I1041" t="str">
        <f>HYPERLINK("http://www.ncbi.nlm.nih.gov/protein/XP_021944806.1","steroid hormone receptor ERR2")</f>
        <v>steroid hormone receptor ERR2</v>
      </c>
      <c r="J1041">
        <v>145.97999999999999</v>
      </c>
      <c r="K1041" t="s">
        <v>25</v>
      </c>
      <c r="L1041">
        <v>157</v>
      </c>
      <c r="M1041">
        <v>44.41</v>
      </c>
      <c r="N1041">
        <v>7.77</v>
      </c>
      <c r="O1041" t="s">
        <v>25</v>
      </c>
      <c r="P1041" t="s">
        <v>965</v>
      </c>
      <c r="Q1041" t="s">
        <v>20</v>
      </c>
      <c r="R1041" t="str">
        <f>HYPERLINK("https://cfpub.epa.gov/ecotox/explore.cfm?ncbi=158441","Explore in ECOTOX")</f>
        <v>Explore in ECOTOX</v>
      </c>
    </row>
    <row r="1042" spans="1:18" x14ac:dyDescent="0.25">
      <c r="A1042">
        <v>6</v>
      </c>
      <c r="B1042" t="str">
        <f>HYPERLINK("http://www.ncbi.nlm.nih.gov/protein/XP_013193713.1","XP_013193713.1")</f>
        <v>XP_013193713.1</v>
      </c>
      <c r="C1042">
        <v>18524</v>
      </c>
      <c r="D1042" t="str">
        <f>HYPERLINK("http://www.ncbi.nlm.nih.gov/Taxonomy/Browser/wwwtax.cgi?mode=Info&amp;id=680683&amp;lvl=3&amp;lin=f&amp;keep=1&amp;srchmode=1&amp;unlock","680683")</f>
        <v>680683</v>
      </c>
      <c r="E1042" t="s">
        <v>698</v>
      </c>
      <c r="F1042" t="s">
        <v>698</v>
      </c>
      <c r="G1042" t="str">
        <f>HYPERLINK("http://www.ncbi.nlm.nih.gov/Taxonomy/Browser/wwwtax.cgi?mode=Info&amp;id=680683&amp;lvl=3&amp;lin=f&amp;keep=1&amp;srchmode=1&amp;unlock","Amyelois transitella")</f>
        <v>Amyelois transitella</v>
      </c>
      <c r="H1042" t="s">
        <v>824</v>
      </c>
      <c r="I1042" t="str">
        <f>HYPERLINK("http://www.ncbi.nlm.nih.gov/protein/XP_013193713.1","PREDICTED: steroid hormone receptor ERR1 isoform X1")</f>
        <v>PREDICTED: steroid hormone receptor ERR1 isoform X1</v>
      </c>
      <c r="J1042">
        <v>145.97999999999999</v>
      </c>
      <c r="K1042" t="s">
        <v>25</v>
      </c>
      <c r="L1042">
        <v>157</v>
      </c>
      <c r="M1042">
        <v>44.41</v>
      </c>
      <c r="N1042">
        <v>7.77</v>
      </c>
      <c r="O1042" t="s">
        <v>25</v>
      </c>
      <c r="P1042" t="s">
        <v>965</v>
      </c>
      <c r="Q1042" t="s">
        <v>20</v>
      </c>
      <c r="R1042" t="str">
        <f>HYPERLINK("https://cfpub.epa.gov/ecotox/explore.cfm?ncbi=680683","Explore in ECOTOX")</f>
        <v>Explore in ECOTOX</v>
      </c>
    </row>
    <row r="1043" spans="1:18" x14ac:dyDescent="0.25">
      <c r="A1043">
        <v>6</v>
      </c>
      <c r="B1043" t="str">
        <f>HYPERLINK("http://www.ncbi.nlm.nih.gov/protein/XP_034238593.1","XP_034238593.1")</f>
        <v>XP_034238593.1</v>
      </c>
      <c r="C1043">
        <v>27547</v>
      </c>
      <c r="D1043" t="str">
        <f>HYPERLINK("http://www.ncbi.nlm.nih.gov/Taxonomy/Browser/wwwtax.cgi?mode=Info&amp;id=161013&amp;lvl=3&amp;lin=f&amp;keep=1&amp;srchmode=1&amp;unlock","161013")</f>
        <v>161013</v>
      </c>
      <c r="E1043" t="s">
        <v>698</v>
      </c>
      <c r="F1043" t="s">
        <v>698</v>
      </c>
      <c r="G1043" t="str">
        <f>HYPERLINK("http://www.ncbi.nlm.nih.gov/Taxonomy/Browser/wwwtax.cgi?mode=Info&amp;id=161013&amp;lvl=3&amp;lin=f&amp;keep=1&amp;srchmode=1&amp;unlock","Thrips palmi")</f>
        <v>Thrips palmi</v>
      </c>
      <c r="H1043" t="s">
        <v>1143</v>
      </c>
      <c r="I1043" t="str">
        <f>HYPERLINK("http://www.ncbi.nlm.nih.gov/protein/XP_034238593.1","steroid hormone receptor ERR1 isoform X2")</f>
        <v>steroid hormone receptor ERR1 isoform X2</v>
      </c>
      <c r="J1043">
        <v>145.97999999999999</v>
      </c>
      <c r="K1043" t="s">
        <v>25</v>
      </c>
      <c r="L1043">
        <v>157</v>
      </c>
      <c r="M1043">
        <v>44.41</v>
      </c>
      <c r="N1043">
        <v>7.77</v>
      </c>
      <c r="O1043" t="s">
        <v>25</v>
      </c>
      <c r="P1043" t="s">
        <v>965</v>
      </c>
      <c r="Q1043" t="s">
        <v>20</v>
      </c>
      <c r="R1043" t="str">
        <f>HYPERLINK("https://cfpub.epa.gov/ecotox/explore.cfm?ncbi=161013","Explore in ECOTOX")</f>
        <v>Explore in ECOTOX</v>
      </c>
    </row>
    <row r="1044" spans="1:18" x14ac:dyDescent="0.25">
      <c r="A1044">
        <v>6</v>
      </c>
      <c r="B1044" t="str">
        <f>HYPERLINK("http://www.ncbi.nlm.nih.gov/protein/XP_018913880.1","XP_018913880.1")</f>
        <v>XP_018913880.1</v>
      </c>
      <c r="C1044">
        <v>29850</v>
      </c>
      <c r="D1044" t="str">
        <f>HYPERLINK("http://www.ncbi.nlm.nih.gov/Taxonomy/Browser/wwwtax.cgi?mode=Info&amp;id=7038&amp;lvl=3&amp;lin=f&amp;keep=1&amp;srchmode=1&amp;unlock","7038")</f>
        <v>7038</v>
      </c>
      <c r="E1044" t="s">
        <v>698</v>
      </c>
      <c r="F1044" t="s">
        <v>698</v>
      </c>
      <c r="G1044" t="str">
        <f>HYPERLINK("http://www.ncbi.nlm.nih.gov/Taxonomy/Browser/wwwtax.cgi?mode=Info&amp;id=7038&amp;lvl=3&amp;lin=f&amp;keep=1&amp;srchmode=1&amp;unlock","Bemisia tabaci")</f>
        <v>Bemisia tabaci</v>
      </c>
      <c r="H1044" t="s">
        <v>799</v>
      </c>
      <c r="I1044" t="str">
        <f>HYPERLINK("http://www.ncbi.nlm.nih.gov/protein/XP_018913880.1","PREDICTED: steroid hormone receptor ERR1 isoform X4")</f>
        <v>PREDICTED: steroid hormone receptor ERR1 isoform X4</v>
      </c>
      <c r="J1044">
        <v>145.97999999999999</v>
      </c>
      <c r="K1044" t="s">
        <v>25</v>
      </c>
      <c r="L1044">
        <v>157</v>
      </c>
      <c r="M1044">
        <v>44.41</v>
      </c>
      <c r="N1044">
        <v>7.77</v>
      </c>
      <c r="O1044" t="s">
        <v>25</v>
      </c>
      <c r="P1044" t="s">
        <v>965</v>
      </c>
      <c r="Q1044" t="s">
        <v>20</v>
      </c>
      <c r="R1044" t="str">
        <f>HYPERLINK("https://cfpub.epa.gov/ecotox/explore.cfm?ncbi=7038","Explore in ECOTOX")</f>
        <v>Explore in ECOTOX</v>
      </c>
    </row>
    <row r="1045" spans="1:18" x14ac:dyDescent="0.25">
      <c r="A1045">
        <v>6</v>
      </c>
      <c r="B1045" t="str">
        <f>HYPERLINK("http://www.ncbi.nlm.nih.gov/protein/XP_022913055.1","XP_022913055.1")</f>
        <v>XP_022913055.1</v>
      </c>
      <c r="C1045">
        <v>21694</v>
      </c>
      <c r="D1045" t="str">
        <f>HYPERLINK("http://www.ncbi.nlm.nih.gov/Taxonomy/Browser/wwwtax.cgi?mode=Info&amp;id=166361&amp;lvl=3&amp;lin=f&amp;keep=1&amp;srchmode=1&amp;unlock","166361")</f>
        <v>166361</v>
      </c>
      <c r="E1045" t="s">
        <v>698</v>
      </c>
      <c r="F1045" t="s">
        <v>698</v>
      </c>
      <c r="G1045" t="str">
        <f>HYPERLINK("http://www.ncbi.nlm.nih.gov/Taxonomy/Browser/wwwtax.cgi?mode=Info&amp;id=166361&amp;lvl=3&amp;lin=f&amp;keep=1&amp;srchmode=1&amp;unlock","Onthophagus taurus")</f>
        <v>Onthophagus taurus</v>
      </c>
      <c r="H1045" t="s">
        <v>880</v>
      </c>
      <c r="I1045" t="str">
        <f>HYPERLINK("http://www.ncbi.nlm.nih.gov/protein/XP_022913055.1","steroid hormone receptor ERR1 isoform X2")</f>
        <v>steroid hormone receptor ERR1 isoform X2</v>
      </c>
      <c r="J1045">
        <v>145.97999999999999</v>
      </c>
      <c r="K1045" t="s">
        <v>25</v>
      </c>
      <c r="L1045">
        <v>157</v>
      </c>
      <c r="M1045">
        <v>44.41</v>
      </c>
      <c r="N1045">
        <v>7.77</v>
      </c>
      <c r="O1045" t="s">
        <v>25</v>
      </c>
      <c r="P1045" t="s">
        <v>965</v>
      </c>
      <c r="Q1045" t="s">
        <v>20</v>
      </c>
      <c r="R1045" t="str">
        <f>HYPERLINK("https://cfpub.epa.gov/ecotox/explore.cfm?ncbi=166361","Explore in ECOTOX")</f>
        <v>Explore in ECOTOX</v>
      </c>
    </row>
    <row r="1046" spans="1:18" x14ac:dyDescent="0.25">
      <c r="A1046">
        <v>6</v>
      </c>
      <c r="B1046" t="str">
        <f>HYPERLINK("http://www.ncbi.nlm.nih.gov/protein/RUS86260.1","RUS86260.1")</f>
        <v>RUS86260.1</v>
      </c>
      <c r="C1046">
        <v>23933</v>
      </c>
      <c r="D1046" t="str">
        <f>HYPERLINK("http://www.ncbi.nlm.nih.gov/Taxonomy/Browser/wwwtax.cgi?mode=Info&amp;id=188477&amp;lvl=3&amp;lin=f&amp;keep=1&amp;srchmode=1&amp;unlock","188477")</f>
        <v>188477</v>
      </c>
      <c r="E1046" t="s">
        <v>763</v>
      </c>
      <c r="F1046" t="s">
        <v>763</v>
      </c>
      <c r="G1046" t="str">
        <f>HYPERLINK("http://www.ncbi.nlm.nih.gov/Taxonomy/Browser/wwwtax.cgi?mode=Info&amp;id=188477&amp;lvl=3&amp;lin=f&amp;keep=1&amp;srchmode=1&amp;unlock","Elysia chlorotica")</f>
        <v>Elysia chlorotica</v>
      </c>
      <c r="H1046" t="s">
        <v>899</v>
      </c>
      <c r="I1046" t="str">
        <f>HYPERLINK("http://www.ncbi.nlm.nih.gov/protein/RUS86260.1","hypothetical protein EGW08_006002")</f>
        <v>hypothetical protein EGW08_006002</v>
      </c>
      <c r="J1046">
        <v>145.59</v>
      </c>
      <c r="K1046" t="s">
        <v>25</v>
      </c>
      <c r="L1046">
        <v>157</v>
      </c>
      <c r="M1046">
        <v>44.41</v>
      </c>
      <c r="N1046">
        <v>7.75</v>
      </c>
      <c r="O1046" t="s">
        <v>25</v>
      </c>
      <c r="P1046" t="s">
        <v>965</v>
      </c>
      <c r="Q1046" t="s">
        <v>20</v>
      </c>
      <c r="R1046" t="str">
        <f>HYPERLINK("https://cfpub.epa.gov/ecotox/explore.cfm?ncbi=188477","Explore in ECOTOX")</f>
        <v>Explore in ECOTOX</v>
      </c>
    </row>
    <row r="1047" spans="1:18" x14ac:dyDescent="0.25">
      <c r="A1047">
        <v>6</v>
      </c>
      <c r="B1047" t="str">
        <f>HYPERLINK("http://www.ncbi.nlm.nih.gov/protein/XP_018575647.1","XP_018575647.1")</f>
        <v>XP_018575647.1</v>
      </c>
      <c r="C1047">
        <v>20924</v>
      </c>
      <c r="D1047" t="str">
        <f>HYPERLINK("http://www.ncbi.nlm.nih.gov/Taxonomy/Browser/wwwtax.cgi?mode=Info&amp;id=217634&amp;lvl=3&amp;lin=f&amp;keep=1&amp;srchmode=1&amp;unlock","217634")</f>
        <v>217634</v>
      </c>
      <c r="E1047" t="s">
        <v>698</v>
      </c>
      <c r="F1047" t="s">
        <v>698</v>
      </c>
      <c r="G1047" t="str">
        <f>HYPERLINK("http://www.ncbi.nlm.nih.gov/Taxonomy/Browser/wwwtax.cgi?mode=Info&amp;id=217634&amp;lvl=3&amp;lin=f&amp;keep=1&amp;srchmode=1&amp;unlock","Anoplophora glabripennis")</f>
        <v>Anoplophora glabripennis</v>
      </c>
      <c r="H1047" t="s">
        <v>878</v>
      </c>
      <c r="I1047" t="str">
        <f>HYPERLINK("http://www.ncbi.nlm.nih.gov/protein/XP_018575647.1","steroid hormone receptor ERR1 isoform X2")</f>
        <v>steroid hormone receptor ERR1 isoform X2</v>
      </c>
      <c r="J1047">
        <v>145.59</v>
      </c>
      <c r="K1047" t="s">
        <v>25</v>
      </c>
      <c r="L1047">
        <v>157</v>
      </c>
      <c r="M1047">
        <v>44.41</v>
      </c>
      <c r="N1047">
        <v>7.75</v>
      </c>
      <c r="O1047" t="s">
        <v>25</v>
      </c>
      <c r="P1047" t="s">
        <v>965</v>
      </c>
      <c r="Q1047" t="s">
        <v>20</v>
      </c>
      <c r="R1047" t="str">
        <f>HYPERLINK("https://cfpub.epa.gov/ecotox/explore.cfm?ncbi=217634","Explore in ECOTOX")</f>
        <v>Explore in ECOTOX</v>
      </c>
    </row>
    <row r="1048" spans="1:18" x14ac:dyDescent="0.25">
      <c r="A1048">
        <v>6</v>
      </c>
      <c r="B1048" t="str">
        <f>HYPERLINK("http://www.ncbi.nlm.nih.gov/protein/KAF5273107.1","KAF5273107.1")</f>
        <v>KAF5273107.1</v>
      </c>
      <c r="C1048">
        <v>19498</v>
      </c>
      <c r="D1048" t="str">
        <f>HYPERLINK("http://www.ncbi.nlm.nih.gov/Taxonomy/Browser/wwwtax.cgi?mode=Info&amp;id=370605&amp;lvl=3&amp;lin=f&amp;keep=1&amp;srchmode=1&amp;unlock","370605")</f>
        <v>370605</v>
      </c>
      <c r="E1048" t="s">
        <v>698</v>
      </c>
      <c r="F1048" t="s">
        <v>698</v>
      </c>
      <c r="G1048" t="str">
        <f>HYPERLINK("http://www.ncbi.nlm.nih.gov/Taxonomy/Browser/wwwtax.cgi?mode=Info&amp;id=370605&amp;lvl=3&amp;lin=f&amp;keep=1&amp;srchmode=1&amp;unlock","Lamprigera yunnana")</f>
        <v>Lamprigera yunnana</v>
      </c>
      <c r="H1048" t="s">
        <v>892</v>
      </c>
      <c r="I1048" t="str">
        <f>HYPERLINK("http://www.ncbi.nlm.nih.gov/protein/KAF5273107.1","hypothetical protein FQA39_LY07597")</f>
        <v>hypothetical protein FQA39_LY07597</v>
      </c>
      <c r="J1048">
        <v>145.59</v>
      </c>
      <c r="K1048" t="s">
        <v>25</v>
      </c>
      <c r="L1048">
        <v>157</v>
      </c>
      <c r="M1048">
        <v>44.41</v>
      </c>
      <c r="N1048">
        <v>7.75</v>
      </c>
      <c r="O1048" t="s">
        <v>25</v>
      </c>
      <c r="P1048" t="s">
        <v>965</v>
      </c>
      <c r="Q1048" t="s">
        <v>20</v>
      </c>
      <c r="R1048" t="str">
        <f>HYPERLINK("https://cfpub.epa.gov/ecotox/explore.cfm?ncbi=370605","Explore in ECOTOX")</f>
        <v>Explore in ECOTOX</v>
      </c>
    </row>
    <row r="1049" spans="1:18" x14ac:dyDescent="0.25">
      <c r="A1049">
        <v>6</v>
      </c>
      <c r="B1049" t="str">
        <f>HYPERLINK("http://www.ncbi.nlm.nih.gov/protein/ABU88378.1","ABU88378.1")</f>
        <v>ABU88378.1</v>
      </c>
      <c r="C1049">
        <v>246</v>
      </c>
      <c r="D1049" t="str">
        <f>HYPERLINK("http://www.ncbi.nlm.nih.gov/Taxonomy/Browser/wwwtax.cgi?mode=Info&amp;id=99804&amp;lvl=3&amp;lin=f&amp;keep=1&amp;srchmode=1&amp;unlock","99804")</f>
        <v>99804</v>
      </c>
      <c r="E1049" t="s">
        <v>384</v>
      </c>
      <c r="F1049" t="s">
        <v>384</v>
      </c>
      <c r="G1049" t="str">
        <f>HYPERLINK("http://www.ncbi.nlm.nih.gov/Taxonomy/Browser/wwwtax.cgi?mode=Info&amp;id=99804&amp;lvl=3&amp;lin=f&amp;keep=1&amp;srchmode=1&amp;unlock","Salmo trutta fario")</f>
        <v>Salmo trutta fario</v>
      </c>
      <c r="H1049" t="s">
        <v>491</v>
      </c>
      <c r="I1049" t="str">
        <f>HYPERLINK("http://www.ncbi.nlm.nih.gov/protein/ABU88378.1","mineralocorticoid receptor, partial")</f>
        <v>mineralocorticoid receptor, partial</v>
      </c>
      <c r="J1049">
        <v>145.21</v>
      </c>
      <c r="K1049" t="s">
        <v>25</v>
      </c>
      <c r="L1049">
        <v>157</v>
      </c>
      <c r="M1049">
        <v>44.41</v>
      </c>
      <c r="N1049">
        <v>7.73</v>
      </c>
      <c r="O1049" t="s">
        <v>25</v>
      </c>
      <c r="P1049" t="s">
        <v>965</v>
      </c>
      <c r="Q1049" t="s">
        <v>20</v>
      </c>
      <c r="R1049" t="str">
        <f>HYPERLINK("https://cfpub.epa.gov/ecotox/explore.cfm?ncbi=99804","Explore in ECOTOX")</f>
        <v>Explore in ECOTOX</v>
      </c>
    </row>
    <row r="1050" spans="1:18" x14ac:dyDescent="0.25">
      <c r="A1050">
        <v>6</v>
      </c>
      <c r="B1050" t="str">
        <f>HYPERLINK("http://www.ncbi.nlm.nih.gov/protein/XP_026276829.1","XP_026276829.1")</f>
        <v>XP_026276829.1</v>
      </c>
      <c r="C1050">
        <v>40710</v>
      </c>
      <c r="D1050" t="str">
        <f>HYPERLINK("http://www.ncbi.nlm.nih.gov/Taxonomy/Browser/wwwtax.cgi?mode=Info&amp;id=133901&amp;lvl=3&amp;lin=f&amp;keep=1&amp;srchmode=1&amp;unlock","133901")</f>
        <v>133901</v>
      </c>
      <c r="E1050" t="s">
        <v>698</v>
      </c>
      <c r="F1050" t="s">
        <v>698</v>
      </c>
      <c r="G1050" t="str">
        <f>HYPERLINK("http://www.ncbi.nlm.nih.gov/Taxonomy/Browser/wwwtax.cgi?mode=Info&amp;id=133901&amp;lvl=3&amp;lin=f&amp;keep=1&amp;srchmode=1&amp;unlock","Frankliniella occidentalis")</f>
        <v>Frankliniella occidentalis</v>
      </c>
      <c r="H1050" t="s">
        <v>1144</v>
      </c>
      <c r="I1050" t="str">
        <f>HYPERLINK("http://www.ncbi.nlm.nih.gov/protein/XP_026276829.1","steroid hormone receptor ERR1 isoform X3")</f>
        <v>steroid hormone receptor ERR1 isoform X3</v>
      </c>
      <c r="J1050">
        <v>145.21</v>
      </c>
      <c r="K1050" t="s">
        <v>25</v>
      </c>
      <c r="L1050">
        <v>157</v>
      </c>
      <c r="M1050">
        <v>44.41</v>
      </c>
      <c r="N1050">
        <v>7.73</v>
      </c>
      <c r="O1050" t="s">
        <v>25</v>
      </c>
      <c r="P1050" t="s">
        <v>965</v>
      </c>
      <c r="Q1050" t="s">
        <v>20</v>
      </c>
      <c r="R1050" t="str">
        <f>HYPERLINK("https://cfpub.epa.gov/ecotox/explore.cfm?ncbi=133901","Explore in ECOTOX")</f>
        <v>Explore in ECOTOX</v>
      </c>
    </row>
    <row r="1051" spans="1:18" x14ac:dyDescent="0.25">
      <c r="A1051">
        <v>6</v>
      </c>
      <c r="B1051" t="str">
        <f>HYPERLINK("http://www.ncbi.nlm.nih.gov/protein/XP_037073014.1","XP_037073014.1")</f>
        <v>XP_037073014.1</v>
      </c>
      <c r="C1051">
        <v>27127</v>
      </c>
      <c r="D1051" t="str">
        <f>HYPERLINK("http://www.ncbi.nlm.nih.gov/Taxonomy/Browser/wwwtax.cgi?mode=Info&amp;id=41117&amp;lvl=3&amp;lin=f&amp;keep=1&amp;srchmode=1&amp;unlock","41117")</f>
        <v>41117</v>
      </c>
      <c r="E1051" t="s">
        <v>760</v>
      </c>
      <c r="F1051" t="s">
        <v>760</v>
      </c>
      <c r="G1051" t="str">
        <f>HYPERLINK("http://www.ncbi.nlm.nih.gov/Taxonomy/Browser/wwwtax.cgi?mode=Info&amp;id=41117&amp;lvl=3&amp;lin=f&amp;keep=1&amp;srchmode=1&amp;unlock","Pollicipes pollicipes")</f>
        <v>Pollicipes pollicipes</v>
      </c>
      <c r="H1051" t="s">
        <v>816</v>
      </c>
      <c r="I1051" t="str">
        <f>HYPERLINK("http://www.ncbi.nlm.nih.gov/protein/XP_037073014.1","steroid hormone receptor ERR1-like")</f>
        <v>steroid hormone receptor ERR1-like</v>
      </c>
      <c r="J1051">
        <v>145.21</v>
      </c>
      <c r="K1051" t="s">
        <v>25</v>
      </c>
      <c r="L1051">
        <v>157</v>
      </c>
      <c r="M1051">
        <v>44.41</v>
      </c>
      <c r="N1051">
        <v>7.73</v>
      </c>
      <c r="O1051" t="s">
        <v>25</v>
      </c>
      <c r="P1051" t="s">
        <v>965</v>
      </c>
      <c r="Q1051" t="s">
        <v>20</v>
      </c>
      <c r="R1051" t="str">
        <f>HYPERLINK("https://cfpub.epa.gov/ecotox/explore.cfm?ncbi=41117","Explore in ECOTOX")</f>
        <v>Explore in ECOTOX</v>
      </c>
    </row>
    <row r="1052" spans="1:18" x14ac:dyDescent="0.25">
      <c r="A1052">
        <v>6</v>
      </c>
      <c r="B1052" t="str">
        <f>HYPERLINK("http://www.ncbi.nlm.nih.gov/protein/XP_037913555.1","XP_037913555.1")</f>
        <v>XP_037913555.1</v>
      </c>
      <c r="C1052">
        <v>42562</v>
      </c>
      <c r="D1052" t="str">
        <f>HYPERLINK("http://www.ncbi.nlm.nih.gov/Taxonomy/Browser/wwwtax.cgi?mode=Info&amp;id=343691&amp;lvl=3&amp;lin=f&amp;keep=1&amp;srchmode=1&amp;unlock","343691")</f>
        <v>343691</v>
      </c>
      <c r="E1052" t="s">
        <v>698</v>
      </c>
      <c r="F1052" t="s">
        <v>698</v>
      </c>
      <c r="G1052" t="str">
        <f>HYPERLINK("http://www.ncbi.nlm.nih.gov/Taxonomy/Browser/wwwtax.cgi?mode=Info&amp;id=343691&amp;lvl=3&amp;lin=f&amp;keep=1&amp;srchmode=1&amp;unlock","Hermetia illucens")</f>
        <v>Hermetia illucens</v>
      </c>
      <c r="H1052" t="s">
        <v>741</v>
      </c>
      <c r="I1052" t="str">
        <f>HYPERLINK("http://www.ncbi.nlm.nih.gov/protein/XP_037913555.1","steroid hormone receptor ERR1 isoform X3")</f>
        <v>steroid hormone receptor ERR1 isoform X3</v>
      </c>
      <c r="J1052">
        <v>144.82</v>
      </c>
      <c r="K1052" t="s">
        <v>25</v>
      </c>
      <c r="L1052">
        <v>157</v>
      </c>
      <c r="M1052">
        <v>44.41</v>
      </c>
      <c r="N1052">
        <v>7.71</v>
      </c>
      <c r="O1052" t="s">
        <v>25</v>
      </c>
      <c r="P1052" t="s">
        <v>965</v>
      </c>
      <c r="Q1052" t="s">
        <v>20</v>
      </c>
      <c r="R1052" t="str">
        <f>HYPERLINK("https://cfpub.epa.gov/ecotox/explore.cfm?ncbi=343691","Explore in ECOTOX")</f>
        <v>Explore in ECOTOX</v>
      </c>
    </row>
    <row r="1053" spans="1:18" x14ac:dyDescent="0.25">
      <c r="A1053">
        <v>6</v>
      </c>
      <c r="B1053" t="str">
        <f>HYPERLINK("http://www.ncbi.nlm.nih.gov/protein/PCG77221.1","PCG77221.1")</f>
        <v>PCG77221.1</v>
      </c>
      <c r="C1053">
        <v>19089</v>
      </c>
      <c r="D1053" t="str">
        <f>HYPERLINK("http://www.ncbi.nlm.nih.gov/Taxonomy/Browser/wwwtax.cgi?mode=Info&amp;id=7102&amp;lvl=3&amp;lin=f&amp;keep=1&amp;srchmode=1&amp;unlock","7102")</f>
        <v>7102</v>
      </c>
      <c r="E1053" t="s">
        <v>698</v>
      </c>
      <c r="F1053" t="s">
        <v>698</v>
      </c>
      <c r="G1053" t="str">
        <f>HYPERLINK("http://www.ncbi.nlm.nih.gov/Taxonomy/Browser/wwwtax.cgi?mode=Info&amp;id=7102&amp;lvl=3&amp;lin=f&amp;keep=1&amp;srchmode=1&amp;unlock","Heliothis virescens")</f>
        <v>Heliothis virescens</v>
      </c>
      <c r="H1053" t="s">
        <v>902</v>
      </c>
      <c r="I1053" t="str">
        <f>HYPERLINK("http://www.ncbi.nlm.nih.gov/protein/PCG77221.1","hypothetical protein B5V51_7898")</f>
        <v>hypothetical protein B5V51_7898</v>
      </c>
      <c r="J1053">
        <v>144.82</v>
      </c>
      <c r="K1053" t="s">
        <v>25</v>
      </c>
      <c r="L1053">
        <v>157</v>
      </c>
      <c r="M1053">
        <v>44.41</v>
      </c>
      <c r="N1053">
        <v>7.71</v>
      </c>
      <c r="O1053" t="s">
        <v>25</v>
      </c>
      <c r="P1053" t="s">
        <v>965</v>
      </c>
      <c r="Q1053" t="s">
        <v>20</v>
      </c>
      <c r="R1053" t="str">
        <f>HYPERLINK("https://cfpub.epa.gov/ecotox/explore.cfm?ncbi=7102","Explore in ECOTOX")</f>
        <v>Explore in ECOTOX</v>
      </c>
    </row>
    <row r="1054" spans="1:18" x14ac:dyDescent="0.25">
      <c r="A1054">
        <v>6</v>
      </c>
      <c r="B1054" t="str">
        <f>HYPERLINK("http://www.ncbi.nlm.nih.gov/protein/XP_031358871.1","XP_031358871.1")</f>
        <v>XP_031358871.1</v>
      </c>
      <c r="C1054">
        <v>48184</v>
      </c>
      <c r="D1054" t="str">
        <f>HYPERLINK("http://www.ncbi.nlm.nih.gov/Taxonomy/Browser/wwwtax.cgi?mode=Info&amp;id=7054&amp;lvl=3&amp;lin=f&amp;keep=1&amp;srchmode=1&amp;unlock","7054")</f>
        <v>7054</v>
      </c>
      <c r="E1054" t="s">
        <v>698</v>
      </c>
      <c r="F1054" t="s">
        <v>698</v>
      </c>
      <c r="G1054" t="str">
        <f>HYPERLINK("http://www.ncbi.nlm.nih.gov/Taxonomy/Browser/wwwtax.cgi?mode=Info&amp;id=7054&amp;lvl=3&amp;lin=f&amp;keep=1&amp;srchmode=1&amp;unlock","Photinus pyralis")</f>
        <v>Photinus pyralis</v>
      </c>
      <c r="H1054" t="s">
        <v>854</v>
      </c>
      <c r="I1054" t="str">
        <f>HYPERLINK("http://www.ncbi.nlm.nih.gov/protein/XP_031358871.1","steroid hormone receptor ERR1-like")</f>
        <v>steroid hormone receptor ERR1-like</v>
      </c>
      <c r="J1054">
        <v>144.82</v>
      </c>
      <c r="K1054" t="s">
        <v>25</v>
      </c>
      <c r="L1054">
        <v>157</v>
      </c>
      <c r="M1054">
        <v>44.41</v>
      </c>
      <c r="N1054">
        <v>7.71</v>
      </c>
      <c r="O1054" t="s">
        <v>25</v>
      </c>
      <c r="P1054" t="s">
        <v>965</v>
      </c>
      <c r="Q1054" t="s">
        <v>20</v>
      </c>
      <c r="R1054" t="str">
        <f>HYPERLINK("https://cfpub.epa.gov/ecotox/explore.cfm?ncbi=7054","Explore in ECOTOX")</f>
        <v>Explore in ECOTOX</v>
      </c>
    </row>
    <row r="1055" spans="1:18" x14ac:dyDescent="0.25">
      <c r="A1055">
        <v>6</v>
      </c>
      <c r="B1055" t="str">
        <f>HYPERLINK("http://www.ncbi.nlm.nih.gov/protein/O76202.1","O76202.1")</f>
        <v>O76202.1</v>
      </c>
      <c r="C1055">
        <v>241</v>
      </c>
      <c r="D1055" t="str">
        <f>HYPERLINK("http://www.ncbi.nlm.nih.gov/Taxonomy/Browser/wwwtax.cgi?mode=Info&amp;id=7141&amp;lvl=3&amp;lin=f&amp;keep=1&amp;srchmode=1&amp;unlock","7141")</f>
        <v>7141</v>
      </c>
      <c r="E1055" t="s">
        <v>698</v>
      </c>
      <c r="F1055" t="s">
        <v>698</v>
      </c>
      <c r="G1055" t="str">
        <f>HYPERLINK("http://www.ncbi.nlm.nih.gov/Taxonomy/Browser/wwwtax.cgi?mode=Info&amp;id=7141&amp;lvl=3&amp;lin=f&amp;keep=1&amp;srchmode=1&amp;unlock","Choristoneura fumiferana")</f>
        <v>Choristoneura fumiferana</v>
      </c>
      <c r="H1055" t="s">
        <v>1145</v>
      </c>
      <c r="I1055" t="str">
        <f>HYPERLINK("http://www.ncbi.nlm.nih.gov/protein/O76202.1","RecName: Full=Protein ultraspiracle homolog; AltName: Full=Nuclear receptor subfamily 2 group B member 4")</f>
        <v>RecName: Full=Protein ultraspiracle homolog; AltName: Full=Nuclear receptor subfamily 2 group B member 4</v>
      </c>
      <c r="J1055">
        <v>144.44</v>
      </c>
      <c r="K1055" t="s">
        <v>25</v>
      </c>
      <c r="L1055">
        <v>157</v>
      </c>
      <c r="M1055">
        <v>44.41</v>
      </c>
      <c r="N1055">
        <v>7.69</v>
      </c>
      <c r="O1055" t="s">
        <v>25</v>
      </c>
      <c r="P1055" t="s">
        <v>965</v>
      </c>
      <c r="Q1055" t="s">
        <v>20</v>
      </c>
      <c r="R1055" t="str">
        <f>HYPERLINK("https://cfpub.epa.gov/ecotox/explore.cfm?ncbi=7141","Explore in ECOTOX")</f>
        <v>Explore in ECOTOX</v>
      </c>
    </row>
    <row r="1056" spans="1:18" x14ac:dyDescent="0.25">
      <c r="A1056">
        <v>6</v>
      </c>
      <c r="B1056" t="str">
        <f>HYPERLINK("http://www.ncbi.nlm.nih.gov/protein/QJE49261.1","QJE49261.1")</f>
        <v>QJE49261.1</v>
      </c>
      <c r="C1056">
        <v>182</v>
      </c>
      <c r="D1056" t="str">
        <f>HYPERLINK("http://www.ncbi.nlm.nih.gov/Taxonomy/Browser/wwwtax.cgi?mode=Info&amp;id=2184134&amp;lvl=3&amp;lin=f&amp;keep=1&amp;srchmode=1&amp;unlock","2184134")</f>
        <v>2184134</v>
      </c>
      <c r="E1056" t="s">
        <v>715</v>
      </c>
      <c r="F1056" t="s">
        <v>715</v>
      </c>
      <c r="G1056" t="str">
        <f>HYPERLINK("http://www.ncbi.nlm.nih.gov/Taxonomy/Browser/wwwtax.cgi?mode=Info&amp;id=2184134&amp;lvl=3&amp;lin=f&amp;keep=1&amp;srchmode=1&amp;unlock","Diaphanosoma celebensis")</f>
        <v>Diaphanosoma celebensis</v>
      </c>
      <c r="H1056" t="s">
        <v>1146</v>
      </c>
      <c r="I1056" t="str">
        <f>HYPERLINK("http://www.ncbi.nlm.nih.gov/protein/QJE49261.1","estrogen-related receptor")</f>
        <v>estrogen-related receptor</v>
      </c>
      <c r="J1056">
        <v>144.44</v>
      </c>
      <c r="K1056" t="s">
        <v>25</v>
      </c>
      <c r="L1056">
        <v>157</v>
      </c>
      <c r="M1056">
        <v>44.41</v>
      </c>
      <c r="N1056">
        <v>7.69</v>
      </c>
      <c r="O1056" t="s">
        <v>25</v>
      </c>
      <c r="P1056" t="s">
        <v>965</v>
      </c>
      <c r="Q1056" t="s">
        <v>20</v>
      </c>
      <c r="R1056" t="str">
        <f>HYPERLINK("https://cfpub.epa.gov/ecotox/explore.cfm?ncbi=2184134","Explore in ECOTOX")</f>
        <v>Explore in ECOTOX</v>
      </c>
    </row>
    <row r="1057" spans="1:18" x14ac:dyDescent="0.25">
      <c r="A1057">
        <v>6</v>
      </c>
      <c r="B1057" t="str">
        <f>HYPERLINK("http://www.ncbi.nlm.nih.gov/protein/AOZ56905.1","AOZ56905.1")</f>
        <v>AOZ56905.1</v>
      </c>
      <c r="C1057">
        <v>280</v>
      </c>
      <c r="D1057" t="str">
        <f>HYPERLINK("http://www.ncbi.nlm.nih.gov/Taxonomy/Browser/wwwtax.cgi?mode=Info&amp;id=56364&amp;lvl=3&amp;lin=f&amp;keep=1&amp;srchmode=1&amp;unlock","56364")</f>
        <v>56364</v>
      </c>
      <c r="E1057" t="s">
        <v>698</v>
      </c>
      <c r="F1057" t="s">
        <v>698</v>
      </c>
      <c r="G1057" t="str">
        <f>HYPERLINK("http://www.ncbi.nlm.nih.gov/Taxonomy/Browser/wwwtax.cgi?mode=Info&amp;id=56364&amp;lvl=3&amp;lin=f&amp;keep=1&amp;srchmode=1&amp;unlock","Agrotis ipsilon")</f>
        <v>Agrotis ipsilon</v>
      </c>
      <c r="H1057" t="s">
        <v>1147</v>
      </c>
      <c r="I1057" t="str">
        <f>HYPERLINK("http://www.ncbi.nlm.nih.gov/protein/AOZ56905.1","estrogen-related receptor")</f>
        <v>estrogen-related receptor</v>
      </c>
      <c r="J1057">
        <v>144.05000000000001</v>
      </c>
      <c r="K1057" t="s">
        <v>25</v>
      </c>
      <c r="L1057">
        <v>157</v>
      </c>
      <c r="M1057">
        <v>44.41</v>
      </c>
      <c r="N1057">
        <v>7.67</v>
      </c>
      <c r="O1057" t="s">
        <v>25</v>
      </c>
      <c r="P1057" t="s">
        <v>965</v>
      </c>
      <c r="Q1057" t="s">
        <v>20</v>
      </c>
      <c r="R1057" t="str">
        <f>HYPERLINK("https://cfpub.epa.gov/ecotox/explore.cfm?ncbi=56364","Explore in ECOTOX")</f>
        <v>Explore in ECOTOX</v>
      </c>
    </row>
    <row r="1058" spans="1:18" x14ac:dyDescent="0.25">
      <c r="A1058">
        <v>6</v>
      </c>
      <c r="B1058" t="str">
        <f>HYPERLINK("http://www.ncbi.nlm.nih.gov/protein/XP_021712962.1","XP_021712962.1")</f>
        <v>XP_021712962.1</v>
      </c>
      <c r="C1058">
        <v>49790</v>
      </c>
      <c r="D1058" t="str">
        <f>HYPERLINK("http://www.ncbi.nlm.nih.gov/Taxonomy/Browser/wwwtax.cgi?mode=Info&amp;id=7159&amp;lvl=3&amp;lin=f&amp;keep=1&amp;srchmode=1&amp;unlock","7159")</f>
        <v>7159</v>
      </c>
      <c r="E1058" t="s">
        <v>698</v>
      </c>
      <c r="F1058" t="s">
        <v>698</v>
      </c>
      <c r="G1058" t="str">
        <f>HYPERLINK("http://www.ncbi.nlm.nih.gov/Taxonomy/Browser/wwwtax.cgi?mode=Info&amp;id=7159&amp;lvl=3&amp;lin=f&amp;keep=1&amp;srchmode=1&amp;unlock","Aedes aegypti")</f>
        <v>Aedes aegypti</v>
      </c>
      <c r="H1058" t="s">
        <v>712</v>
      </c>
      <c r="I1058" t="str">
        <f>HYPERLINK("http://www.ncbi.nlm.nih.gov/protein/XP_021712962.1","steroid hormone receptor ERR2 isoform X2")</f>
        <v>steroid hormone receptor ERR2 isoform X2</v>
      </c>
      <c r="J1058">
        <v>144.05000000000001</v>
      </c>
      <c r="K1058" t="s">
        <v>25</v>
      </c>
      <c r="L1058">
        <v>157</v>
      </c>
      <c r="M1058">
        <v>44.41</v>
      </c>
      <c r="N1058">
        <v>7.67</v>
      </c>
      <c r="O1058" t="s">
        <v>25</v>
      </c>
      <c r="P1058" t="s">
        <v>965</v>
      </c>
      <c r="Q1058" t="s">
        <v>20</v>
      </c>
      <c r="R1058" t="str">
        <f>HYPERLINK("https://cfpub.epa.gov/ecotox/explore.cfm?ncbi=7159","Explore in ECOTOX")</f>
        <v>Explore in ECOTOX</v>
      </c>
    </row>
    <row r="1059" spans="1:18" x14ac:dyDescent="0.25">
      <c r="A1059">
        <v>6</v>
      </c>
      <c r="B1059" t="str">
        <f>HYPERLINK("http://www.ncbi.nlm.nih.gov/protein/XP_022817483.1","XP_022817483.1")</f>
        <v>XP_022817483.1</v>
      </c>
      <c r="C1059">
        <v>25389</v>
      </c>
      <c r="D1059" t="str">
        <f>HYPERLINK("http://www.ncbi.nlm.nih.gov/Taxonomy/Browser/wwwtax.cgi?mode=Info&amp;id=69820&amp;lvl=3&amp;lin=f&amp;keep=1&amp;srchmode=1&amp;unlock","69820")</f>
        <v>69820</v>
      </c>
      <c r="E1059" t="s">
        <v>698</v>
      </c>
      <c r="F1059" t="s">
        <v>698</v>
      </c>
      <c r="G1059" t="str">
        <f>HYPERLINK("http://www.ncbi.nlm.nih.gov/Taxonomy/Browser/wwwtax.cgi?mode=Info&amp;id=69820&amp;lvl=3&amp;lin=f&amp;keep=1&amp;srchmode=1&amp;unlock","Spodoptera litura")</f>
        <v>Spodoptera litura</v>
      </c>
      <c r="H1059" t="s">
        <v>1148</v>
      </c>
      <c r="I1059" t="str">
        <f>HYPERLINK("http://www.ncbi.nlm.nih.gov/protein/XP_022817483.1","steroid hormone receptor ERR1 isoform X2")</f>
        <v>steroid hormone receptor ERR1 isoform X2</v>
      </c>
      <c r="J1059">
        <v>144.05000000000001</v>
      </c>
      <c r="K1059" t="s">
        <v>25</v>
      </c>
      <c r="L1059">
        <v>157</v>
      </c>
      <c r="M1059">
        <v>44.41</v>
      </c>
      <c r="N1059">
        <v>7.67</v>
      </c>
      <c r="O1059" t="s">
        <v>25</v>
      </c>
      <c r="P1059" t="s">
        <v>965</v>
      </c>
      <c r="Q1059" t="s">
        <v>20</v>
      </c>
      <c r="R1059" t="str">
        <f>HYPERLINK("https://cfpub.epa.gov/ecotox/explore.cfm?ncbi=69820","Explore in ECOTOX")</f>
        <v>Explore in ECOTOX</v>
      </c>
    </row>
    <row r="1060" spans="1:18" x14ac:dyDescent="0.25">
      <c r="A1060">
        <v>6</v>
      </c>
      <c r="B1060" t="str">
        <f>HYPERLINK("http://www.ncbi.nlm.nih.gov/protein/KAF6216280.1","KAF6216280.1")</f>
        <v>KAF6216280.1</v>
      </c>
      <c r="C1060">
        <v>20517</v>
      </c>
      <c r="D1060" t="str">
        <f>HYPERLINK("http://www.ncbi.nlm.nih.gov/Taxonomy/Browser/wwwtax.cgi?mode=Info&amp;id=248454&amp;lvl=3&amp;lin=f&amp;keep=1&amp;srchmode=1&amp;unlock","248454")</f>
        <v>248454</v>
      </c>
      <c r="E1060" t="s">
        <v>698</v>
      </c>
      <c r="F1060" t="s">
        <v>698</v>
      </c>
      <c r="G1060" t="str">
        <f>HYPERLINK("http://www.ncbi.nlm.nih.gov/Taxonomy/Browser/wwwtax.cgi?mode=Info&amp;id=248454&amp;lvl=3&amp;lin=f&amp;keep=1&amp;srchmode=1&amp;unlock","Apolygus lucorum")</f>
        <v>Apolygus lucorum</v>
      </c>
      <c r="H1060" t="s">
        <v>729</v>
      </c>
      <c r="I1060" t="str">
        <f>HYPERLINK("http://www.ncbi.nlm.nih.gov/protein/KAF6216280.1","hypothetical protein GE061_000620")</f>
        <v>hypothetical protein GE061_000620</v>
      </c>
      <c r="J1060">
        <v>144.05000000000001</v>
      </c>
      <c r="K1060" t="s">
        <v>25</v>
      </c>
      <c r="L1060">
        <v>157</v>
      </c>
      <c r="M1060">
        <v>44.41</v>
      </c>
      <c r="N1060">
        <v>7.67</v>
      </c>
      <c r="O1060" t="s">
        <v>25</v>
      </c>
      <c r="P1060" t="s">
        <v>965</v>
      </c>
      <c r="Q1060" t="s">
        <v>20</v>
      </c>
      <c r="R1060" t="str">
        <f>HYPERLINK("https://cfpub.epa.gov/ecotox/explore.cfm?ncbi=248454","Explore in ECOTOX")</f>
        <v>Explore in ECOTOX</v>
      </c>
    </row>
    <row r="1061" spans="1:18" x14ac:dyDescent="0.25">
      <c r="A1061">
        <v>6</v>
      </c>
      <c r="B1061" t="str">
        <f>HYPERLINK("http://www.ncbi.nlm.nih.gov/protein/XP_021196875.1","XP_021196875.1")</f>
        <v>XP_021196875.1</v>
      </c>
      <c r="C1061">
        <v>40265</v>
      </c>
      <c r="D1061" t="str">
        <f>HYPERLINK("http://www.ncbi.nlm.nih.gov/Taxonomy/Browser/wwwtax.cgi?mode=Info&amp;id=29058&amp;lvl=3&amp;lin=f&amp;keep=1&amp;srchmode=1&amp;unlock","29058")</f>
        <v>29058</v>
      </c>
      <c r="E1061" t="s">
        <v>698</v>
      </c>
      <c r="F1061" t="s">
        <v>698</v>
      </c>
      <c r="G1061" t="str">
        <f>HYPERLINK("http://www.ncbi.nlm.nih.gov/Taxonomy/Browser/wwwtax.cgi?mode=Info&amp;id=29058&amp;lvl=3&amp;lin=f&amp;keep=1&amp;srchmode=1&amp;unlock","Helicoverpa armigera")</f>
        <v>Helicoverpa armigera</v>
      </c>
      <c r="H1061" t="s">
        <v>932</v>
      </c>
      <c r="I1061" t="str">
        <f>HYPERLINK("http://www.ncbi.nlm.nih.gov/protein/XP_021196875.1","steroid hormone receptor ERR1 isoform X2")</f>
        <v>steroid hormone receptor ERR1 isoform X2</v>
      </c>
      <c r="J1061">
        <v>143.66</v>
      </c>
      <c r="K1061" t="s">
        <v>25</v>
      </c>
      <c r="L1061">
        <v>157</v>
      </c>
      <c r="M1061">
        <v>44.41</v>
      </c>
      <c r="N1061">
        <v>7.65</v>
      </c>
      <c r="O1061" t="s">
        <v>25</v>
      </c>
      <c r="P1061" t="s">
        <v>965</v>
      </c>
      <c r="Q1061" t="s">
        <v>20</v>
      </c>
      <c r="R1061" t="str">
        <f>HYPERLINK("https://cfpub.epa.gov/ecotox/explore.cfm?ncbi=29058","Explore in ECOTOX")</f>
        <v>Explore in ECOTOX</v>
      </c>
    </row>
    <row r="1062" spans="1:18" x14ac:dyDescent="0.25">
      <c r="A1062">
        <v>6</v>
      </c>
      <c r="B1062" t="str">
        <f>HYPERLINK("http://www.ncbi.nlm.nih.gov/protein/AID52852.1","AID52852.1")</f>
        <v>AID52852.1</v>
      </c>
      <c r="C1062">
        <v>524</v>
      </c>
      <c r="D1062" t="str">
        <f>HYPERLINK("http://www.ncbi.nlm.nih.gov/Taxonomy/Browser/wwwtax.cgi?mode=Info&amp;id=158387&amp;lvl=3&amp;lin=f&amp;keep=1&amp;srchmode=1&amp;unlock","158387")</f>
        <v>158387</v>
      </c>
      <c r="E1062" t="s">
        <v>760</v>
      </c>
      <c r="F1062" t="s">
        <v>760</v>
      </c>
      <c r="G1062" t="str">
        <f>HYPERLINK("http://www.ncbi.nlm.nih.gov/Taxonomy/Browser/wwwtax.cgi?mode=Info&amp;id=158387&amp;lvl=3&amp;lin=f&amp;keep=1&amp;srchmode=1&amp;unlock","Tigriopus japonicus")</f>
        <v>Tigriopus japonicus</v>
      </c>
      <c r="H1062" t="s">
        <v>778</v>
      </c>
      <c r="I1062" t="str">
        <f>HYPERLINK("http://www.ncbi.nlm.nih.gov/protein/AID52852.1","estrogen related receptor")</f>
        <v>estrogen related receptor</v>
      </c>
      <c r="J1062">
        <v>143.66</v>
      </c>
      <c r="K1062" t="s">
        <v>25</v>
      </c>
      <c r="L1062">
        <v>157</v>
      </c>
      <c r="M1062">
        <v>44.41</v>
      </c>
      <c r="N1062">
        <v>7.65</v>
      </c>
      <c r="O1062" t="s">
        <v>25</v>
      </c>
      <c r="P1062" t="s">
        <v>965</v>
      </c>
      <c r="Q1062" t="s">
        <v>20</v>
      </c>
      <c r="R1062" t="str">
        <f>HYPERLINK("https://cfpub.epa.gov/ecotox/explore.cfm?ncbi=158387","Explore in ECOTOX")</f>
        <v>Explore in ECOTOX</v>
      </c>
    </row>
    <row r="1063" spans="1:18" x14ac:dyDescent="0.25">
      <c r="A1063">
        <v>6</v>
      </c>
      <c r="B1063" t="str">
        <f>HYPERLINK("http://www.ncbi.nlm.nih.gov/protein/ALT07179.1","ALT07179.1")</f>
        <v>ALT07179.1</v>
      </c>
      <c r="C1063">
        <v>191</v>
      </c>
      <c r="D1063" t="str">
        <f>HYPERLINK("http://www.ncbi.nlm.nih.gov/Taxonomy/Browser/wwwtax.cgi?mode=Info&amp;id=1169899&amp;lvl=3&amp;lin=f&amp;keep=1&amp;srchmode=1&amp;unlock","1169899")</f>
        <v>1169899</v>
      </c>
      <c r="E1063" t="s">
        <v>698</v>
      </c>
      <c r="F1063" t="s">
        <v>698</v>
      </c>
      <c r="G1063" t="str">
        <f>HYPERLINK("http://www.ncbi.nlm.nih.gov/Taxonomy/Browser/wwwtax.cgi?mode=Info&amp;id=1169899&amp;lvl=3&amp;lin=f&amp;keep=1&amp;srchmode=1&amp;unlock","Dastarcus helophoroides")</f>
        <v>Dastarcus helophoroides</v>
      </c>
      <c r="H1063" t="s">
        <v>1149</v>
      </c>
      <c r="I1063" t="str">
        <f>HYPERLINK("http://www.ncbi.nlm.nih.gov/protein/ALT07179.1","estrogen-related receptor")</f>
        <v>estrogen-related receptor</v>
      </c>
      <c r="J1063">
        <v>143.66</v>
      </c>
      <c r="K1063" t="s">
        <v>25</v>
      </c>
      <c r="L1063">
        <v>157</v>
      </c>
      <c r="M1063">
        <v>44.41</v>
      </c>
      <c r="N1063">
        <v>7.65</v>
      </c>
      <c r="O1063" t="s">
        <v>25</v>
      </c>
      <c r="P1063" t="s">
        <v>965</v>
      </c>
      <c r="Q1063" t="s">
        <v>20</v>
      </c>
      <c r="R1063" t="str">
        <f>HYPERLINK("https://cfpub.epa.gov/ecotox/explore.cfm?ncbi=1169899","Explore in ECOTOX")</f>
        <v>Explore in ECOTOX</v>
      </c>
    </row>
    <row r="1064" spans="1:18" x14ac:dyDescent="0.25">
      <c r="A1064">
        <v>6</v>
      </c>
      <c r="B1064" t="str">
        <f>HYPERLINK("http://www.ncbi.nlm.nih.gov/protein/XP_028031248.1","XP_028031248.1")</f>
        <v>XP_028031248.1</v>
      </c>
      <c r="C1064">
        <v>19923</v>
      </c>
      <c r="D1064" t="str">
        <f>HYPERLINK("http://www.ncbi.nlm.nih.gov/Taxonomy/Browser/wwwtax.cgi?mode=Info&amp;id=7092&amp;lvl=3&amp;lin=f&amp;keep=1&amp;srchmode=1&amp;unlock","7092")</f>
        <v>7092</v>
      </c>
      <c r="E1064" t="s">
        <v>698</v>
      </c>
      <c r="F1064" t="s">
        <v>698</v>
      </c>
      <c r="G1064" t="str">
        <f>HYPERLINK("http://www.ncbi.nlm.nih.gov/Taxonomy/Browser/wwwtax.cgi?mode=Info&amp;id=7092&amp;lvl=3&amp;lin=f&amp;keep=1&amp;srchmode=1&amp;unlock","Bombyx mandarina")</f>
        <v>Bombyx mandarina</v>
      </c>
      <c r="H1064" t="s">
        <v>927</v>
      </c>
      <c r="I1064" t="str">
        <f>HYPERLINK("http://www.ncbi.nlm.nih.gov/protein/XP_028031248.1","steroid hormone receptor ERR1 isoform X4")</f>
        <v>steroid hormone receptor ERR1 isoform X4</v>
      </c>
      <c r="J1064">
        <v>143.28</v>
      </c>
      <c r="K1064" t="s">
        <v>25</v>
      </c>
      <c r="L1064">
        <v>157</v>
      </c>
      <c r="M1064">
        <v>44.41</v>
      </c>
      <c r="N1064">
        <v>7.63</v>
      </c>
      <c r="O1064" t="s">
        <v>25</v>
      </c>
      <c r="P1064" t="s">
        <v>965</v>
      </c>
      <c r="Q1064" t="s">
        <v>20</v>
      </c>
      <c r="R1064" t="str">
        <f>HYPERLINK("https://cfpub.epa.gov/ecotox/explore.cfm?ncbi=7092","Explore in ECOTOX")</f>
        <v>Explore in ECOTOX</v>
      </c>
    </row>
    <row r="1065" spans="1:18" x14ac:dyDescent="0.25">
      <c r="A1065">
        <v>6</v>
      </c>
      <c r="B1065" t="str">
        <f>HYPERLINK("http://www.ncbi.nlm.nih.gov/protein/XP_037876255.1","XP_037876255.1")</f>
        <v>XP_037876255.1</v>
      </c>
      <c r="C1065">
        <v>33238</v>
      </c>
      <c r="D1065" t="str">
        <f>HYPERLINK("http://www.ncbi.nlm.nih.gov/Taxonomy/Browser/wwwtax.cgi?mode=Info&amp;id=7091&amp;lvl=3&amp;lin=f&amp;keep=1&amp;srchmode=1&amp;unlock","7091")</f>
        <v>7091</v>
      </c>
      <c r="E1065" t="s">
        <v>698</v>
      </c>
      <c r="F1065" t="s">
        <v>698</v>
      </c>
      <c r="G1065" t="str">
        <f>HYPERLINK("http://www.ncbi.nlm.nih.gov/Taxonomy/Browser/wwwtax.cgi?mode=Info&amp;id=7091&amp;lvl=3&amp;lin=f&amp;keep=1&amp;srchmode=1&amp;unlock","Bombyx mori")</f>
        <v>Bombyx mori</v>
      </c>
      <c r="H1065" t="s">
        <v>926</v>
      </c>
      <c r="I1065" t="str">
        <f>HYPERLINK("http://www.ncbi.nlm.nih.gov/protein/XP_037876255.1","steroid hormone receptor ERR1 isoform X4")</f>
        <v>steroid hormone receptor ERR1 isoform X4</v>
      </c>
      <c r="J1065">
        <v>143.28</v>
      </c>
      <c r="K1065" t="s">
        <v>25</v>
      </c>
      <c r="L1065">
        <v>157</v>
      </c>
      <c r="M1065">
        <v>44.41</v>
      </c>
      <c r="N1065">
        <v>7.63</v>
      </c>
      <c r="O1065" t="s">
        <v>25</v>
      </c>
      <c r="P1065" t="s">
        <v>965</v>
      </c>
      <c r="Q1065" t="s">
        <v>20</v>
      </c>
      <c r="R1065" t="str">
        <f>HYPERLINK("https://cfpub.epa.gov/ecotox/explore.cfm?ncbi=7091","Explore in ECOTOX")</f>
        <v>Explore in ECOTOX</v>
      </c>
    </row>
    <row r="1066" spans="1:18" x14ac:dyDescent="0.25">
      <c r="A1066">
        <v>6</v>
      </c>
      <c r="B1066" t="str">
        <f>HYPERLINK("http://www.ncbi.nlm.nih.gov/protein/ACD11039.1","ACD11039.1")</f>
        <v>ACD11039.1</v>
      </c>
      <c r="C1066">
        <v>23</v>
      </c>
      <c r="D1066" t="str">
        <f>HYPERLINK("http://www.ncbi.nlm.nih.gov/Taxonomy/Browser/wwwtax.cgi?mode=Info&amp;id=51294&amp;lvl=3&amp;lin=f&amp;keep=1&amp;srchmode=1&amp;unlock","51294")</f>
        <v>51294</v>
      </c>
      <c r="E1066" t="s">
        <v>822</v>
      </c>
      <c r="F1066" t="s">
        <v>822</v>
      </c>
      <c r="G1066" t="str">
        <f>HYPERLINK("http://www.ncbi.nlm.nih.gov/Taxonomy/Browser/wwwtax.cgi?mode=Info&amp;id=51294&amp;lvl=3&amp;lin=f&amp;keep=1&amp;srchmode=1&amp;unlock","Capitella capitata")</f>
        <v>Capitella capitata</v>
      </c>
      <c r="H1066" t="s">
        <v>823</v>
      </c>
      <c r="I1066" t="str">
        <f>HYPERLINK("http://www.ncbi.nlm.nih.gov/protein/ACD11039.1","estrogen receptor, partial")</f>
        <v>estrogen receptor, partial</v>
      </c>
      <c r="J1066">
        <v>143.28</v>
      </c>
      <c r="K1066" t="s">
        <v>25</v>
      </c>
      <c r="L1066">
        <v>157</v>
      </c>
      <c r="M1066">
        <v>44.41</v>
      </c>
      <c r="N1066">
        <v>7.63</v>
      </c>
      <c r="O1066" t="s">
        <v>25</v>
      </c>
      <c r="P1066" t="s">
        <v>965</v>
      </c>
      <c r="Q1066" t="s">
        <v>20</v>
      </c>
      <c r="R1066" t="str">
        <f>HYPERLINK("https://cfpub.epa.gov/ecotox/explore.cfm?ncbi=51294","Explore in ECOTOX")</f>
        <v>Explore in ECOTOX</v>
      </c>
    </row>
    <row r="1067" spans="1:18" x14ac:dyDescent="0.25">
      <c r="A1067">
        <v>6</v>
      </c>
      <c r="B1067" t="str">
        <f>HYPERLINK("http://www.ncbi.nlm.nih.gov/protein/XP_008549918.1","XP_008549918.1")</f>
        <v>XP_008549918.1</v>
      </c>
      <c r="C1067">
        <v>18603</v>
      </c>
      <c r="D1067" t="str">
        <f>HYPERLINK("http://www.ncbi.nlm.nih.gov/Taxonomy/Browser/wwwtax.cgi?mode=Info&amp;id=69319&amp;lvl=3&amp;lin=f&amp;keep=1&amp;srchmode=1&amp;unlock","69319")</f>
        <v>69319</v>
      </c>
      <c r="E1067" t="s">
        <v>698</v>
      </c>
      <c r="F1067" t="s">
        <v>698</v>
      </c>
      <c r="G1067" t="str">
        <f>HYPERLINK("http://www.ncbi.nlm.nih.gov/Taxonomy/Browser/wwwtax.cgi?mode=Info&amp;id=69319&amp;lvl=3&amp;lin=f&amp;keep=1&amp;srchmode=1&amp;unlock","Microplitis demolitor")</f>
        <v>Microplitis demolitor</v>
      </c>
      <c r="H1067" t="s">
        <v>755</v>
      </c>
      <c r="I1067" t="str">
        <f>HYPERLINK("http://www.ncbi.nlm.nih.gov/protein/XP_008549918.1","PREDICTED: steroid hormone receptor ERR1")</f>
        <v>PREDICTED: steroid hormone receptor ERR1</v>
      </c>
      <c r="J1067">
        <v>143.28</v>
      </c>
      <c r="K1067" t="s">
        <v>25</v>
      </c>
      <c r="L1067">
        <v>157</v>
      </c>
      <c r="M1067">
        <v>44.41</v>
      </c>
      <c r="N1067">
        <v>7.63</v>
      </c>
      <c r="O1067" t="s">
        <v>25</v>
      </c>
      <c r="P1067" t="s">
        <v>965</v>
      </c>
      <c r="Q1067" t="s">
        <v>20</v>
      </c>
      <c r="R1067" t="str">
        <f>HYPERLINK("https://cfpub.epa.gov/ecotox/explore.cfm?ncbi=69319","Explore in ECOTOX")</f>
        <v>Explore in ECOTOX</v>
      </c>
    </row>
    <row r="1068" spans="1:18" x14ac:dyDescent="0.25">
      <c r="A1068">
        <v>6</v>
      </c>
      <c r="B1068" t="str">
        <f>HYPERLINK("http://www.ncbi.nlm.nih.gov/protein/GBM86989.1","GBM86989.1")</f>
        <v>GBM86989.1</v>
      </c>
      <c r="C1068">
        <v>278502</v>
      </c>
      <c r="D1068" t="str">
        <f>HYPERLINK("http://www.ncbi.nlm.nih.gov/Taxonomy/Browser/wwwtax.cgi?mode=Info&amp;id=182803&amp;lvl=3&amp;lin=f&amp;keep=1&amp;srchmode=1&amp;unlock","182803")</f>
        <v>182803</v>
      </c>
      <c r="E1068" t="s">
        <v>700</v>
      </c>
      <c r="F1068" t="s">
        <v>700</v>
      </c>
      <c r="G1068" t="str">
        <f>HYPERLINK("http://www.ncbi.nlm.nih.gov/Taxonomy/Browser/wwwtax.cgi?mode=Info&amp;id=182803&amp;lvl=3&amp;lin=f&amp;keep=1&amp;srchmode=1&amp;unlock","Araneus ventricosus")</f>
        <v>Araneus ventricosus</v>
      </c>
      <c r="H1068" t="s">
        <v>722</v>
      </c>
      <c r="I1068" t="str">
        <f>HYPERLINK("http://www.ncbi.nlm.nih.gov/protein/GBM86989.1","Steroid hormone receptor ERR2")</f>
        <v>Steroid hormone receptor ERR2</v>
      </c>
      <c r="J1068">
        <v>143.28</v>
      </c>
      <c r="K1068" t="s">
        <v>25</v>
      </c>
      <c r="L1068">
        <v>157</v>
      </c>
      <c r="M1068">
        <v>44.41</v>
      </c>
      <c r="N1068">
        <v>7.63</v>
      </c>
      <c r="O1068" t="s">
        <v>25</v>
      </c>
      <c r="P1068" t="s">
        <v>965</v>
      </c>
      <c r="Q1068" t="s">
        <v>20</v>
      </c>
      <c r="R1068" t="str">
        <f>HYPERLINK("https://cfpub.epa.gov/ecotox/explore.cfm?ncbi=182803","Explore in ECOTOX")</f>
        <v>Explore in ECOTOX</v>
      </c>
    </row>
    <row r="1069" spans="1:18" x14ac:dyDescent="0.25">
      <c r="A1069">
        <v>6</v>
      </c>
      <c r="B1069" t="str">
        <f>HYPERLINK("http://www.ncbi.nlm.nih.gov/protein/CAD7645481.1","CAD7645481.1")</f>
        <v>CAD7645481.1</v>
      </c>
      <c r="C1069">
        <v>23751</v>
      </c>
      <c r="D1069" t="str">
        <f>HYPERLINK("http://www.ncbi.nlm.nih.gov/Taxonomy/Browser/wwwtax.cgi?mode=Info&amp;id=334625&amp;lvl=3&amp;lin=f&amp;keep=1&amp;srchmode=1&amp;unlock","334625")</f>
        <v>334625</v>
      </c>
      <c r="E1069" t="s">
        <v>700</v>
      </c>
      <c r="F1069" t="s">
        <v>700</v>
      </c>
      <c r="G1069" t="str">
        <f>HYPERLINK("http://www.ncbi.nlm.nih.gov/Taxonomy/Browser/wwwtax.cgi?mode=Info&amp;id=334625&amp;lvl=3&amp;lin=f&amp;keep=1&amp;srchmode=1&amp;unlock","Oppiella nova")</f>
        <v>Oppiella nova</v>
      </c>
      <c r="H1069" t="s">
        <v>714</v>
      </c>
      <c r="I1069" t="str">
        <f>HYPERLINK("http://www.ncbi.nlm.nih.gov/protein/CAD7645481.1","unnamed protein product")</f>
        <v>unnamed protein product</v>
      </c>
      <c r="J1069">
        <v>142.9</v>
      </c>
      <c r="K1069" t="s">
        <v>25</v>
      </c>
      <c r="L1069">
        <v>157</v>
      </c>
      <c r="M1069">
        <v>44.41</v>
      </c>
      <c r="N1069">
        <v>7.61</v>
      </c>
      <c r="O1069" t="s">
        <v>25</v>
      </c>
      <c r="P1069" t="s">
        <v>965</v>
      </c>
      <c r="Q1069" t="s">
        <v>20</v>
      </c>
      <c r="R1069" t="str">
        <f>HYPERLINK("https://cfpub.epa.gov/ecotox/explore.cfm?ncbi=334625","Explore in ECOTOX")</f>
        <v>Explore in ECOTOX</v>
      </c>
    </row>
    <row r="1070" spans="1:18" x14ac:dyDescent="0.25">
      <c r="A1070">
        <v>6</v>
      </c>
      <c r="B1070" t="str">
        <f>HYPERLINK("http://www.ncbi.nlm.nih.gov/protein/XP_028162042.1","XP_028162042.1")</f>
        <v>XP_028162042.1</v>
      </c>
      <c r="C1070">
        <v>24721</v>
      </c>
      <c r="D1070" t="str">
        <f>HYPERLINK("http://www.ncbi.nlm.nih.gov/Taxonomy/Browser/wwwtax.cgi?mode=Info&amp;id=93504&amp;lvl=3&amp;lin=f&amp;keep=1&amp;srchmode=1&amp;unlock","93504")</f>
        <v>93504</v>
      </c>
      <c r="E1070" t="s">
        <v>698</v>
      </c>
      <c r="F1070" t="s">
        <v>698</v>
      </c>
      <c r="G1070" t="str">
        <f>HYPERLINK("http://www.ncbi.nlm.nih.gov/Taxonomy/Browser/wwwtax.cgi?mode=Info&amp;id=93504&amp;lvl=3&amp;lin=f&amp;keep=1&amp;srchmode=1&amp;unlock","Ostrinia furnacalis")</f>
        <v>Ostrinia furnacalis</v>
      </c>
      <c r="H1070" t="s">
        <v>1150</v>
      </c>
      <c r="I1070" t="str">
        <f>HYPERLINK("http://www.ncbi.nlm.nih.gov/protein/XP_028162042.1","steroid hormone receptor ERR1-like isoform X3")</f>
        <v>steroid hormone receptor ERR1-like isoform X3</v>
      </c>
      <c r="J1070">
        <v>142.9</v>
      </c>
      <c r="K1070" t="s">
        <v>25</v>
      </c>
      <c r="L1070">
        <v>157</v>
      </c>
      <c r="M1070">
        <v>44.41</v>
      </c>
      <c r="N1070">
        <v>7.61</v>
      </c>
      <c r="O1070" t="s">
        <v>25</v>
      </c>
      <c r="P1070" t="s">
        <v>965</v>
      </c>
      <c r="Q1070" t="s">
        <v>20</v>
      </c>
      <c r="R1070" t="str">
        <f>HYPERLINK("https://cfpub.epa.gov/ecotox/explore.cfm?ncbi=93504","Explore in ECOTOX")</f>
        <v>Explore in ECOTOX</v>
      </c>
    </row>
    <row r="1071" spans="1:18" x14ac:dyDescent="0.25">
      <c r="A1071">
        <v>6</v>
      </c>
      <c r="B1071" t="str">
        <f>HYPERLINK("http://www.ncbi.nlm.nih.gov/protein/XP_038206722.1","XP_038206722.1")</f>
        <v>XP_038206722.1</v>
      </c>
      <c r="C1071">
        <v>17482</v>
      </c>
      <c r="D1071" t="str">
        <f>HYPERLINK("http://www.ncbi.nlm.nih.gov/Taxonomy/Browser/wwwtax.cgi?mode=Info&amp;id=33412&amp;lvl=3&amp;lin=f&amp;keep=1&amp;srchmode=1&amp;unlock","33412")</f>
        <v>33412</v>
      </c>
      <c r="E1071" t="s">
        <v>698</v>
      </c>
      <c r="F1071" t="s">
        <v>698</v>
      </c>
      <c r="G1071" t="str">
        <f>HYPERLINK("http://www.ncbi.nlm.nih.gov/Taxonomy/Browser/wwwtax.cgi?mode=Info&amp;id=33412&amp;lvl=3&amp;lin=f&amp;keep=1&amp;srchmode=1&amp;unlock","Zerene cesonia")</f>
        <v>Zerene cesonia</v>
      </c>
      <c r="H1071" t="s">
        <v>956</v>
      </c>
      <c r="I1071" t="str">
        <f>HYPERLINK("http://www.ncbi.nlm.nih.gov/protein/XP_038206722.1","steroid hormone receptor ERR2 isoform X3")</f>
        <v>steroid hormone receptor ERR2 isoform X3</v>
      </c>
      <c r="J1071">
        <v>142.51</v>
      </c>
      <c r="K1071" t="s">
        <v>25</v>
      </c>
      <c r="L1071">
        <v>157</v>
      </c>
      <c r="M1071">
        <v>44.41</v>
      </c>
      <c r="N1071">
        <v>7.59</v>
      </c>
      <c r="O1071" t="s">
        <v>25</v>
      </c>
      <c r="P1071" t="s">
        <v>965</v>
      </c>
      <c r="Q1071" t="s">
        <v>20</v>
      </c>
      <c r="R1071" t="str">
        <f>HYPERLINK("https://cfpub.epa.gov/ecotox/explore.cfm?ncbi=33412","Explore in ECOTOX")</f>
        <v>Explore in ECOTOX</v>
      </c>
    </row>
    <row r="1072" spans="1:18" x14ac:dyDescent="0.25">
      <c r="A1072">
        <v>6</v>
      </c>
      <c r="B1072" t="str">
        <f>HYPERLINK("http://www.ncbi.nlm.nih.gov/protein/EFX85143.1","EFX85143.1")</f>
        <v>EFX85143.1</v>
      </c>
      <c r="C1072">
        <v>33790</v>
      </c>
      <c r="D1072" t="str">
        <f>HYPERLINK("http://www.ncbi.nlm.nih.gov/Taxonomy/Browser/wwwtax.cgi?mode=Info&amp;id=6669&amp;lvl=3&amp;lin=f&amp;keep=1&amp;srchmode=1&amp;unlock","6669")</f>
        <v>6669</v>
      </c>
      <c r="E1072" t="s">
        <v>715</v>
      </c>
      <c r="F1072" t="s">
        <v>715</v>
      </c>
      <c r="G1072" t="str">
        <f>HYPERLINK("http://www.ncbi.nlm.nih.gov/Taxonomy/Browser/wwwtax.cgi?mode=Info&amp;id=6669&amp;lvl=3&amp;lin=f&amp;keep=1&amp;srchmode=1&amp;unlock","Daphnia pulex")</f>
        <v>Daphnia pulex</v>
      </c>
      <c r="H1072" t="s">
        <v>716</v>
      </c>
      <c r="I1072" t="str">
        <f>HYPERLINK("http://www.ncbi.nlm.nih.gov/protein/EFX85143.1","hypothetical protein DAPPUDRAFT_46682, partial")</f>
        <v>hypothetical protein DAPPUDRAFT_46682, partial</v>
      </c>
      <c r="J1072">
        <v>142.51</v>
      </c>
      <c r="K1072" t="s">
        <v>25</v>
      </c>
      <c r="L1072">
        <v>157</v>
      </c>
      <c r="M1072">
        <v>44.41</v>
      </c>
      <c r="N1072">
        <v>7.59</v>
      </c>
      <c r="O1072" t="s">
        <v>25</v>
      </c>
      <c r="P1072" t="s">
        <v>965</v>
      </c>
      <c r="Q1072" t="s">
        <v>20</v>
      </c>
      <c r="R1072" t="str">
        <f>HYPERLINK("https://cfpub.epa.gov/ecotox/explore.cfm?ncbi=6669","Explore in ECOTOX")</f>
        <v>Explore in ECOTOX</v>
      </c>
    </row>
    <row r="1073" spans="1:18" x14ac:dyDescent="0.25">
      <c r="A1073">
        <v>6</v>
      </c>
      <c r="B1073" t="str">
        <f>HYPERLINK("http://www.ncbi.nlm.nih.gov/protein/RXG52466.1","RXG52466.1")</f>
        <v>RXG52466.1</v>
      </c>
      <c r="C1073">
        <v>19211</v>
      </c>
      <c r="D1073" t="str">
        <f>HYPERLINK("http://www.ncbi.nlm.nih.gov/Taxonomy/Browser/wwwtax.cgi?mode=Info&amp;id=13347&amp;lvl=3&amp;lin=f&amp;keep=1&amp;srchmode=1&amp;unlock","13347")</f>
        <v>13347</v>
      </c>
      <c r="E1073" t="s">
        <v>742</v>
      </c>
      <c r="F1073" t="s">
        <v>742</v>
      </c>
      <c r="G1073" t="str">
        <f>HYPERLINK("http://www.ncbi.nlm.nih.gov/Taxonomy/Browser/wwwtax.cgi?mode=Info&amp;id=13347&amp;lvl=3&amp;lin=f&amp;keep=1&amp;srchmode=1&amp;unlock","Armadillidium vulgare")</f>
        <v>Armadillidium vulgare</v>
      </c>
      <c r="H1073" t="s">
        <v>1151</v>
      </c>
      <c r="I1073" t="str">
        <f>HYPERLINK("http://www.ncbi.nlm.nih.gov/protein/RXG52466.1","Estrogen-related receptor gamma, partial")</f>
        <v>Estrogen-related receptor gamma, partial</v>
      </c>
      <c r="J1073">
        <v>142.12</v>
      </c>
      <c r="K1073" t="s">
        <v>25</v>
      </c>
      <c r="L1073">
        <v>157</v>
      </c>
      <c r="M1073">
        <v>44.41</v>
      </c>
      <c r="N1073">
        <v>7.57</v>
      </c>
      <c r="O1073" t="s">
        <v>25</v>
      </c>
      <c r="P1073" t="s">
        <v>965</v>
      </c>
      <c r="Q1073" t="s">
        <v>20</v>
      </c>
      <c r="R1073" t="str">
        <f>HYPERLINK("https://cfpub.epa.gov/ecotox/explore.cfm?ncbi=13347","Explore in ECOTOX")</f>
        <v>Explore in ECOTOX</v>
      </c>
    </row>
    <row r="1074" spans="1:18" x14ac:dyDescent="0.25">
      <c r="A1074">
        <v>6</v>
      </c>
      <c r="B1074" t="str">
        <f>HYPERLINK("http://www.ncbi.nlm.nih.gov/protein/XP_023939533.1","XP_023939533.1")</f>
        <v>XP_023939533.1</v>
      </c>
      <c r="C1074">
        <v>21983</v>
      </c>
      <c r="D1074" t="str">
        <f>HYPERLINK("http://www.ncbi.nlm.nih.gov/Taxonomy/Browser/wwwtax.cgi?mode=Info&amp;id=110368&amp;lvl=3&amp;lin=f&amp;keep=1&amp;srchmode=1&amp;unlock","110368")</f>
        <v>110368</v>
      </c>
      <c r="E1074" t="s">
        <v>698</v>
      </c>
      <c r="F1074" t="s">
        <v>698</v>
      </c>
      <c r="G1074" t="str">
        <f>HYPERLINK("http://www.ncbi.nlm.nih.gov/Taxonomy/Browser/wwwtax.cgi?mode=Info&amp;id=110368&amp;lvl=3&amp;lin=f&amp;keep=1&amp;srchmode=1&amp;unlock","Bicyclus anynana")</f>
        <v>Bicyclus anynana</v>
      </c>
      <c r="H1074" t="s">
        <v>909</v>
      </c>
      <c r="I1074" t="str">
        <f>HYPERLINK("http://www.ncbi.nlm.nih.gov/protein/XP_023939533.1","steroid hormone receptor ERR2")</f>
        <v>steroid hormone receptor ERR2</v>
      </c>
      <c r="J1074">
        <v>142.12</v>
      </c>
      <c r="K1074" t="s">
        <v>25</v>
      </c>
      <c r="L1074">
        <v>157</v>
      </c>
      <c r="M1074">
        <v>44.41</v>
      </c>
      <c r="N1074">
        <v>7.57</v>
      </c>
      <c r="O1074" t="s">
        <v>25</v>
      </c>
      <c r="P1074" t="s">
        <v>965</v>
      </c>
      <c r="Q1074" t="s">
        <v>20</v>
      </c>
      <c r="R1074" t="str">
        <f>HYPERLINK("https://cfpub.epa.gov/ecotox/explore.cfm?ncbi=110368","Explore in ECOTOX")</f>
        <v>Explore in ECOTOX</v>
      </c>
    </row>
    <row r="1075" spans="1:18" x14ac:dyDescent="0.25">
      <c r="A1075">
        <v>6</v>
      </c>
      <c r="B1075" t="str">
        <f>HYPERLINK("http://www.ncbi.nlm.nih.gov/protein/XP_039757573.1","XP_039757573.1")</f>
        <v>XP_039757573.1</v>
      </c>
      <c r="C1075">
        <v>21135</v>
      </c>
      <c r="D1075" t="str">
        <f>HYPERLINK("http://www.ncbi.nlm.nih.gov/Taxonomy/Browser/wwwtax.cgi?mode=Info&amp;id=116150&amp;lvl=3&amp;lin=f&amp;keep=1&amp;srchmode=1&amp;unlock","116150")</f>
        <v>116150</v>
      </c>
      <c r="E1075" t="s">
        <v>698</v>
      </c>
      <c r="F1075" t="s">
        <v>698</v>
      </c>
      <c r="G1075" t="str">
        <f>HYPERLINK("http://www.ncbi.nlm.nih.gov/Taxonomy/Browser/wwwtax.cgi?mode=Info&amp;id=116150&amp;lvl=3&amp;lin=f&amp;keep=1&amp;srchmode=1&amp;unlock","Pararge aegeria")</f>
        <v>Pararge aegeria</v>
      </c>
      <c r="H1075" t="s">
        <v>952</v>
      </c>
      <c r="I1075" t="str">
        <f>HYPERLINK("http://www.ncbi.nlm.nih.gov/protein/XP_039757573.1","steroid hormone receptor ERR1")</f>
        <v>steroid hormone receptor ERR1</v>
      </c>
      <c r="J1075">
        <v>142.12</v>
      </c>
      <c r="K1075" t="s">
        <v>25</v>
      </c>
      <c r="L1075">
        <v>157</v>
      </c>
      <c r="M1075">
        <v>44.41</v>
      </c>
      <c r="N1075">
        <v>7.57</v>
      </c>
      <c r="O1075" t="s">
        <v>25</v>
      </c>
      <c r="P1075" t="s">
        <v>965</v>
      </c>
      <c r="Q1075" t="s">
        <v>20</v>
      </c>
      <c r="R1075" t="str">
        <f>HYPERLINK("https://cfpub.epa.gov/ecotox/explore.cfm?ncbi=116150","Explore in ECOTOX")</f>
        <v>Explore in ECOTOX</v>
      </c>
    </row>
    <row r="1076" spans="1:18" x14ac:dyDescent="0.25">
      <c r="A1076">
        <v>6</v>
      </c>
      <c r="B1076" t="str">
        <f>HYPERLINK("http://www.ncbi.nlm.nih.gov/protein/RVE55258.1","RVE55258.1")</f>
        <v>RVE55258.1</v>
      </c>
      <c r="C1076">
        <v>16640</v>
      </c>
      <c r="D1076" t="str">
        <f>HYPERLINK("http://www.ncbi.nlm.nih.gov/Taxonomy/Browser/wwwtax.cgi?mode=Info&amp;id=168631&amp;lvl=3&amp;lin=f&amp;keep=1&amp;srchmode=1&amp;unlock","168631")</f>
        <v>168631</v>
      </c>
      <c r="E1076" t="s">
        <v>698</v>
      </c>
      <c r="F1076" t="s">
        <v>698</v>
      </c>
      <c r="G1076" t="str">
        <f>HYPERLINK("http://www.ncbi.nlm.nih.gov/Taxonomy/Browser/wwwtax.cgi?mode=Info&amp;id=168631&amp;lvl=3&amp;lin=f&amp;keep=1&amp;srchmode=1&amp;unlock","Chilo suppressalis")</f>
        <v>Chilo suppressalis</v>
      </c>
      <c r="H1076" t="s">
        <v>1152</v>
      </c>
      <c r="I1076" t="str">
        <f>HYPERLINK("http://www.ncbi.nlm.nih.gov/protein/RVE55258.1","hypothetical protein evm_000156")</f>
        <v>hypothetical protein evm_000156</v>
      </c>
      <c r="J1076">
        <v>142.12</v>
      </c>
      <c r="K1076" t="s">
        <v>25</v>
      </c>
      <c r="L1076">
        <v>157</v>
      </c>
      <c r="M1076">
        <v>44.41</v>
      </c>
      <c r="N1076">
        <v>7.57</v>
      </c>
      <c r="O1076" t="s">
        <v>25</v>
      </c>
      <c r="P1076" t="s">
        <v>965</v>
      </c>
      <c r="Q1076" t="s">
        <v>20</v>
      </c>
      <c r="R1076" t="str">
        <f>HYPERLINK("https://cfpub.epa.gov/ecotox/explore.cfm?ncbi=168631","Explore in ECOTOX")</f>
        <v>Explore in ECOTOX</v>
      </c>
    </row>
    <row r="1077" spans="1:18" x14ac:dyDescent="0.25">
      <c r="A1077">
        <v>6</v>
      </c>
      <c r="B1077" t="str">
        <f>HYPERLINK("http://www.ncbi.nlm.nih.gov/protein/QCI03097.1","QCI03097.1")</f>
        <v>QCI03097.1</v>
      </c>
      <c r="C1077">
        <v>297</v>
      </c>
      <c r="D1077" t="str">
        <f>HYPERLINK("http://www.ncbi.nlm.nih.gov/Taxonomy/Browser/wwwtax.cgi?mode=Info&amp;id=6396&amp;lvl=3&amp;lin=f&amp;keep=1&amp;srchmode=1&amp;unlock","6396")</f>
        <v>6396</v>
      </c>
      <c r="E1077" t="s">
        <v>1153</v>
      </c>
      <c r="F1077" t="s">
        <v>1153</v>
      </c>
      <c r="G1077" t="str">
        <f>HYPERLINK("http://www.ncbi.nlm.nih.gov/Taxonomy/Browser/wwwtax.cgi?mode=Info&amp;id=6396&amp;lvl=3&amp;lin=f&amp;keep=1&amp;srchmode=1&amp;unlock","Eisenia fetida")</f>
        <v>Eisenia fetida</v>
      </c>
      <c r="H1077" t="s">
        <v>1154</v>
      </c>
      <c r="I1077" t="str">
        <f>HYPERLINK("http://www.ncbi.nlm.nih.gov/protein/QCI03097.1","estrogen receptor")</f>
        <v>estrogen receptor</v>
      </c>
      <c r="J1077">
        <v>141.74</v>
      </c>
      <c r="K1077" t="s">
        <v>25</v>
      </c>
      <c r="L1077">
        <v>157</v>
      </c>
      <c r="M1077">
        <v>44.41</v>
      </c>
      <c r="N1077">
        <v>7.54</v>
      </c>
      <c r="O1077" t="s">
        <v>25</v>
      </c>
      <c r="P1077" t="s">
        <v>965</v>
      </c>
      <c r="Q1077" t="s">
        <v>20</v>
      </c>
      <c r="R1077" t="str">
        <f>HYPERLINK("https://cfpub.epa.gov/ecotox/explore.cfm?ncbi=6396","Explore in ECOTOX")</f>
        <v>Explore in ECOTOX</v>
      </c>
    </row>
    <row r="1078" spans="1:18" x14ac:dyDescent="0.25">
      <c r="A1078">
        <v>6</v>
      </c>
      <c r="B1078" t="str">
        <f>HYPERLINK("http://www.ncbi.nlm.nih.gov/protein/OWR55793.1","OWR55793.1")</f>
        <v>OWR55793.1</v>
      </c>
      <c r="C1078">
        <v>34969</v>
      </c>
      <c r="D1078" t="str">
        <f>HYPERLINK("http://www.ncbi.nlm.nih.gov/Taxonomy/Browser/wwwtax.cgi?mode=Info&amp;id=278856&amp;lvl=3&amp;lin=f&amp;keep=1&amp;srchmode=1&amp;unlock","278856")</f>
        <v>278856</v>
      </c>
      <c r="E1078" t="s">
        <v>698</v>
      </c>
      <c r="F1078" t="s">
        <v>698</v>
      </c>
      <c r="G1078" t="str">
        <f>HYPERLINK("http://www.ncbi.nlm.nih.gov/Taxonomy/Browser/wwwtax.cgi?mode=Info&amp;id=278856&amp;lvl=3&amp;lin=f&amp;keep=1&amp;srchmode=1&amp;unlock","Danaus plexippus plexippus")</f>
        <v>Danaus plexippus plexippus</v>
      </c>
      <c r="H1078" t="s">
        <v>901</v>
      </c>
      <c r="I1078" t="str">
        <f>HYPERLINK("http://www.ncbi.nlm.nih.gov/protein/OWR55793.1","Steroid hormone receptor ERR2")</f>
        <v>Steroid hormone receptor ERR2</v>
      </c>
      <c r="J1078">
        <v>141.74</v>
      </c>
      <c r="K1078" t="s">
        <v>25</v>
      </c>
      <c r="L1078">
        <v>157</v>
      </c>
      <c r="M1078">
        <v>44.41</v>
      </c>
      <c r="N1078">
        <v>7.54</v>
      </c>
      <c r="O1078" t="s">
        <v>25</v>
      </c>
      <c r="P1078" t="s">
        <v>965</v>
      </c>
      <c r="Q1078" t="s">
        <v>20</v>
      </c>
      <c r="R1078" t="str">
        <f>HYPERLINK("https://cfpub.epa.gov/ecotox/explore.cfm?ncbi=278856","Explore in ECOTOX")</f>
        <v>Explore in ECOTOX</v>
      </c>
    </row>
    <row r="1079" spans="1:18" x14ac:dyDescent="0.25">
      <c r="A1079">
        <v>6</v>
      </c>
      <c r="B1079" t="str">
        <f>HYPERLINK("http://www.ncbi.nlm.nih.gov/protein/XP_009020000.1","XP_009020000.1")</f>
        <v>XP_009020000.1</v>
      </c>
      <c r="C1079">
        <v>46878</v>
      </c>
      <c r="D1079" t="str">
        <f>HYPERLINK("http://www.ncbi.nlm.nih.gov/Taxonomy/Browser/wwwtax.cgi?mode=Info&amp;id=6412&amp;lvl=3&amp;lin=f&amp;keep=1&amp;srchmode=1&amp;unlock","6412")</f>
        <v>6412</v>
      </c>
      <c r="E1079" t="s">
        <v>1153</v>
      </c>
      <c r="F1079" t="s">
        <v>1153</v>
      </c>
      <c r="G1079" t="str">
        <f>HYPERLINK("http://www.ncbi.nlm.nih.gov/Taxonomy/Browser/wwwtax.cgi?mode=Info&amp;id=6412&amp;lvl=3&amp;lin=f&amp;keep=1&amp;srchmode=1&amp;unlock","Helobdella robusta")</f>
        <v>Helobdella robusta</v>
      </c>
      <c r="H1079" t="s">
        <v>1155</v>
      </c>
      <c r="I1079" t="str">
        <f>HYPERLINK("http://www.ncbi.nlm.nih.gov/protein/XP_009020000.1","hypothetical protein HELRODRAFT_106750")</f>
        <v>hypothetical protein HELRODRAFT_106750</v>
      </c>
      <c r="J1079">
        <v>141.74</v>
      </c>
      <c r="K1079" t="s">
        <v>25</v>
      </c>
      <c r="L1079">
        <v>157</v>
      </c>
      <c r="M1079">
        <v>44.41</v>
      </c>
      <c r="N1079">
        <v>7.54</v>
      </c>
      <c r="O1079" t="s">
        <v>25</v>
      </c>
      <c r="P1079" t="s">
        <v>965</v>
      </c>
      <c r="Q1079" t="s">
        <v>20</v>
      </c>
      <c r="R1079" t="str">
        <f>HYPERLINK("https://cfpub.epa.gov/ecotox/explore.cfm?ncbi=6412","Explore in ECOTOX")</f>
        <v>Explore in ECOTOX</v>
      </c>
    </row>
    <row r="1080" spans="1:18" x14ac:dyDescent="0.25">
      <c r="A1080">
        <v>6</v>
      </c>
      <c r="B1080" t="str">
        <f>HYPERLINK("http://www.ncbi.nlm.nih.gov/protein/KAF2353317.1","KAF2353317.1")</f>
        <v>KAF2353317.1</v>
      </c>
      <c r="C1080">
        <v>26118</v>
      </c>
      <c r="D1080" t="str">
        <f>HYPERLINK("http://www.ncbi.nlm.nih.gov/Taxonomy/Browser/wwwtax.cgi?mode=Info&amp;id=1923959&amp;lvl=3&amp;lin=f&amp;keep=1&amp;srchmode=1&amp;unlock","1923959")</f>
        <v>1923959</v>
      </c>
      <c r="E1080" t="s">
        <v>742</v>
      </c>
      <c r="F1080" t="s">
        <v>742</v>
      </c>
      <c r="G1080" t="str">
        <f>HYPERLINK("http://www.ncbi.nlm.nih.gov/Taxonomy/Browser/wwwtax.cgi?mode=Info&amp;id=1923959&amp;lvl=3&amp;lin=f&amp;keep=1&amp;srchmode=1&amp;unlock","Trinorchestia longiramus")</f>
        <v>Trinorchestia longiramus</v>
      </c>
      <c r="H1080" t="s">
        <v>773</v>
      </c>
      <c r="I1080" t="str">
        <f>HYPERLINK("http://www.ncbi.nlm.nih.gov/protein/KAF2353317.1","Nuclear hormone receptor ligand-binding domain")</f>
        <v>Nuclear hormone receptor ligand-binding domain</v>
      </c>
      <c r="J1080">
        <v>141.74</v>
      </c>
      <c r="K1080" t="s">
        <v>25</v>
      </c>
      <c r="L1080">
        <v>157</v>
      </c>
      <c r="M1080">
        <v>44.41</v>
      </c>
      <c r="N1080">
        <v>7.54</v>
      </c>
      <c r="O1080" t="s">
        <v>25</v>
      </c>
      <c r="P1080" t="s">
        <v>965</v>
      </c>
      <c r="Q1080" t="s">
        <v>20</v>
      </c>
      <c r="R1080" t="str">
        <f>HYPERLINK("https://cfpub.epa.gov/ecotox/explore.cfm?ncbi=1923959","Explore in ECOTOX")</f>
        <v>Explore in ECOTOX</v>
      </c>
    </row>
    <row r="1081" spans="1:18" x14ac:dyDescent="0.25">
      <c r="A1081">
        <v>6</v>
      </c>
      <c r="B1081" t="str">
        <f>HYPERLINK("http://www.ncbi.nlm.nih.gov/protein/XP_034833806.1","XP_034833806.1")</f>
        <v>XP_034833806.1</v>
      </c>
      <c r="C1081">
        <v>17742</v>
      </c>
      <c r="D1081" t="str">
        <f>HYPERLINK("http://www.ncbi.nlm.nih.gov/Taxonomy/Browser/wwwtax.cgi?mode=Info&amp;id=2795564&amp;lvl=3&amp;lin=f&amp;keep=1&amp;srchmode=1&amp;unlock","2795564")</f>
        <v>2795564</v>
      </c>
      <c r="E1081" t="s">
        <v>698</v>
      </c>
      <c r="F1081" t="s">
        <v>698</v>
      </c>
      <c r="G1081" t="str">
        <f>HYPERLINK("http://www.ncbi.nlm.nih.gov/Taxonomy/Browser/wwwtax.cgi?mode=Info&amp;id=2795564&amp;lvl=3&amp;lin=f&amp;keep=1&amp;srchmode=1&amp;unlock","Maniola hyperantus")</f>
        <v>Maniola hyperantus</v>
      </c>
      <c r="H1081" t="s">
        <v>844</v>
      </c>
      <c r="I1081" t="str">
        <f>HYPERLINK("http://www.ncbi.nlm.nih.gov/protein/XP_034833806.1","steroid hormone receptor ERR1 isoform X3")</f>
        <v>steroid hormone receptor ERR1 isoform X3</v>
      </c>
      <c r="J1081">
        <v>141.74</v>
      </c>
      <c r="K1081" t="s">
        <v>25</v>
      </c>
      <c r="L1081">
        <v>157</v>
      </c>
      <c r="M1081">
        <v>44.41</v>
      </c>
      <c r="N1081">
        <v>7.54</v>
      </c>
      <c r="O1081" t="s">
        <v>25</v>
      </c>
      <c r="P1081" t="s">
        <v>965</v>
      </c>
      <c r="Q1081" t="s">
        <v>20</v>
      </c>
      <c r="R1081" t="str">
        <f>HYPERLINK("https://cfpub.epa.gov/ecotox/explore.cfm?ncbi=2795564","Explore in ECOTOX")</f>
        <v>Explore in ECOTOX</v>
      </c>
    </row>
    <row r="1082" spans="1:18" x14ac:dyDescent="0.25">
      <c r="A1082">
        <v>6</v>
      </c>
      <c r="B1082" t="str">
        <f>HYPERLINK("http://www.ncbi.nlm.nih.gov/protein/KAF8777700.1","KAF8777700.1")</f>
        <v>KAF8777700.1</v>
      </c>
      <c r="C1082">
        <v>26463</v>
      </c>
      <c r="D1082" t="str">
        <f>HYPERLINK("http://www.ncbi.nlm.nih.gov/Taxonomy/Browser/wwwtax.cgi?mode=Info&amp;id=94029&amp;lvl=3&amp;lin=f&amp;keep=1&amp;srchmode=1&amp;unlock","94029")</f>
        <v>94029</v>
      </c>
      <c r="E1082" t="s">
        <v>700</v>
      </c>
      <c r="F1082" t="s">
        <v>700</v>
      </c>
      <c r="G1082" t="str">
        <f>HYPERLINK("http://www.ncbi.nlm.nih.gov/Taxonomy/Browser/wwwtax.cgi?mode=Info&amp;id=94029&amp;lvl=3&amp;lin=f&amp;keep=1&amp;srchmode=1&amp;unlock","Argiope bruennichi")</f>
        <v>Argiope bruennichi</v>
      </c>
      <c r="H1082" t="s">
        <v>722</v>
      </c>
      <c r="I1082" t="str">
        <f>HYPERLINK("http://www.ncbi.nlm.nih.gov/protein/KAF8777700.1","Steroid hormone receptor ERR2 like protein")</f>
        <v>Steroid hormone receptor ERR2 like protein</v>
      </c>
      <c r="J1082">
        <v>141.74</v>
      </c>
      <c r="K1082" t="s">
        <v>25</v>
      </c>
      <c r="L1082">
        <v>157</v>
      </c>
      <c r="M1082">
        <v>44.41</v>
      </c>
      <c r="N1082">
        <v>7.54</v>
      </c>
      <c r="O1082" t="s">
        <v>25</v>
      </c>
      <c r="P1082" t="s">
        <v>965</v>
      </c>
      <c r="Q1082" t="s">
        <v>20</v>
      </c>
      <c r="R1082" t="str">
        <f>HYPERLINK("https://cfpub.epa.gov/ecotox/explore.cfm?ncbi=94029","Explore in ECOTOX")</f>
        <v>Explore in ECOTOX</v>
      </c>
    </row>
    <row r="1083" spans="1:18" x14ac:dyDescent="0.25">
      <c r="A1083">
        <v>6</v>
      </c>
      <c r="B1083" t="str">
        <f>HYPERLINK("http://www.ncbi.nlm.nih.gov/protein/XP_023932889.1","XP_023932889.1")</f>
        <v>XP_023932889.1</v>
      </c>
      <c r="C1083">
        <v>41484</v>
      </c>
      <c r="D1083" t="str">
        <f>HYPERLINK("http://www.ncbi.nlm.nih.gov/Taxonomy/Browser/wwwtax.cgi?mode=Info&amp;id=7574&amp;lvl=3&amp;lin=f&amp;keep=1&amp;srchmode=1&amp;unlock","7574")</f>
        <v>7574</v>
      </c>
      <c r="E1083" t="s">
        <v>797</v>
      </c>
      <c r="F1083" t="s">
        <v>797</v>
      </c>
      <c r="G1083" t="str">
        <f>HYPERLINK("http://www.ncbi.nlm.nih.gov/Taxonomy/Browser/wwwtax.cgi?mode=Info&amp;id=7574&amp;lvl=3&amp;lin=f&amp;keep=1&amp;srchmode=1&amp;unlock","Lingula anatina")</f>
        <v>Lingula anatina</v>
      </c>
      <c r="H1083" t="s">
        <v>798</v>
      </c>
      <c r="I1083" t="str">
        <f>HYPERLINK("http://www.ncbi.nlm.nih.gov/protein/XP_023932889.1","estrogen-related receptor gamma")</f>
        <v>estrogen-related receptor gamma</v>
      </c>
      <c r="J1083">
        <v>141.74</v>
      </c>
      <c r="K1083" t="s">
        <v>25</v>
      </c>
      <c r="L1083">
        <v>157</v>
      </c>
      <c r="M1083">
        <v>44.41</v>
      </c>
      <c r="N1083">
        <v>7.54</v>
      </c>
      <c r="O1083" t="s">
        <v>25</v>
      </c>
      <c r="P1083" t="s">
        <v>965</v>
      </c>
      <c r="Q1083" t="s">
        <v>20</v>
      </c>
      <c r="R1083" t="str">
        <f>HYPERLINK("https://cfpub.epa.gov/ecotox/explore.cfm?ncbi=7574","Explore in ECOTOX")</f>
        <v>Explore in ECOTOX</v>
      </c>
    </row>
    <row r="1084" spans="1:18" x14ac:dyDescent="0.25">
      <c r="A1084">
        <v>6</v>
      </c>
      <c r="B1084" t="str">
        <f>HYPERLINK("http://www.ncbi.nlm.nih.gov/protein/XP_026757001.1","XP_026757001.1")</f>
        <v>XP_026757001.1</v>
      </c>
      <c r="C1084">
        <v>20714</v>
      </c>
      <c r="D1084" t="str">
        <f>HYPERLINK("http://www.ncbi.nlm.nih.gov/Taxonomy/Browser/wwwtax.cgi?mode=Info&amp;id=7137&amp;lvl=3&amp;lin=f&amp;keep=1&amp;srchmode=1&amp;unlock","7137")</f>
        <v>7137</v>
      </c>
      <c r="E1084" t="s">
        <v>698</v>
      </c>
      <c r="F1084" t="s">
        <v>698</v>
      </c>
      <c r="G1084" t="str">
        <f>HYPERLINK("http://www.ncbi.nlm.nih.gov/Taxonomy/Browser/wwwtax.cgi?mode=Info&amp;id=7137&amp;lvl=3&amp;lin=f&amp;keep=1&amp;srchmode=1&amp;unlock","Galleria mellonella")</f>
        <v>Galleria mellonella</v>
      </c>
      <c r="H1084" t="s">
        <v>937</v>
      </c>
      <c r="I1084" t="str">
        <f>HYPERLINK("http://www.ncbi.nlm.nih.gov/protein/XP_026757001.1","protein ultraspiracle homolog isoform X1")</f>
        <v>protein ultraspiracle homolog isoform X1</v>
      </c>
      <c r="J1084">
        <v>141.35</v>
      </c>
      <c r="K1084" t="s">
        <v>25</v>
      </c>
      <c r="L1084">
        <v>157</v>
      </c>
      <c r="M1084">
        <v>44.41</v>
      </c>
      <c r="N1084">
        <v>7.52</v>
      </c>
      <c r="O1084" t="s">
        <v>25</v>
      </c>
      <c r="P1084" t="s">
        <v>965</v>
      </c>
      <c r="Q1084" t="s">
        <v>20</v>
      </c>
      <c r="R1084" t="str">
        <f>HYPERLINK("https://cfpub.epa.gov/ecotox/explore.cfm?ncbi=7137","Explore in ECOTOX")</f>
        <v>Explore in ECOTOX</v>
      </c>
    </row>
    <row r="1085" spans="1:18" x14ac:dyDescent="0.25">
      <c r="A1085">
        <v>6</v>
      </c>
      <c r="B1085" t="str">
        <f>HYPERLINK("http://www.ncbi.nlm.nih.gov/protein/KAG4067952.1","KAG4067952.1")</f>
        <v>KAG4067952.1</v>
      </c>
      <c r="C1085">
        <v>16460</v>
      </c>
      <c r="D1085" t="str">
        <f>HYPERLINK("http://www.ncbi.nlm.nih.gov/Taxonomy/Browser/wwwtax.cgi?mode=Info&amp;id=1564500&amp;lvl=3&amp;lin=f&amp;keep=1&amp;srchmode=1&amp;unlock","1564500")</f>
        <v>1564500</v>
      </c>
      <c r="E1085" t="s">
        <v>698</v>
      </c>
      <c r="F1085" t="s">
        <v>698</v>
      </c>
      <c r="G1085" t="str">
        <f>HYPERLINK("http://www.ncbi.nlm.nih.gov/Taxonomy/Browser/wwwtax.cgi?mode=Info&amp;id=1564500&amp;lvl=3&amp;lin=f&amp;keep=1&amp;srchmode=1&amp;unlock","Bradysia odoriphaga")</f>
        <v>Bradysia odoriphaga</v>
      </c>
      <c r="H1085" t="s">
        <v>774</v>
      </c>
      <c r="I1085" t="str">
        <f>HYPERLINK("http://www.ncbi.nlm.nih.gov/protein/KAG4067952.1","hypothetical protein HA402_010638")</f>
        <v>hypothetical protein HA402_010638</v>
      </c>
      <c r="J1085">
        <v>141.35</v>
      </c>
      <c r="K1085" t="s">
        <v>25</v>
      </c>
      <c r="L1085">
        <v>157</v>
      </c>
      <c r="M1085">
        <v>44.41</v>
      </c>
      <c r="N1085">
        <v>7.52</v>
      </c>
      <c r="O1085" t="s">
        <v>25</v>
      </c>
      <c r="P1085" t="s">
        <v>965</v>
      </c>
      <c r="Q1085" t="s">
        <v>20</v>
      </c>
      <c r="R1085" t="str">
        <f>HYPERLINK("https://cfpub.epa.gov/ecotox/explore.cfm?ncbi=1564500","Explore in ECOTOX")</f>
        <v>Explore in ECOTOX</v>
      </c>
    </row>
    <row r="1086" spans="1:18" x14ac:dyDescent="0.25">
      <c r="A1086">
        <v>6</v>
      </c>
      <c r="B1086" t="str">
        <f>HYPERLINK("http://www.ncbi.nlm.nih.gov/protein/CAB3246412.1","CAB3246412.1")</f>
        <v>CAB3246412.1</v>
      </c>
      <c r="C1086">
        <v>38600</v>
      </c>
      <c r="D1086" t="str">
        <f>HYPERLINK("http://www.ncbi.nlm.nih.gov/Taxonomy/Browser/wwwtax.cgi?mode=Info&amp;id=874455&amp;lvl=3&amp;lin=f&amp;keep=1&amp;srchmode=1&amp;unlock","874455")</f>
        <v>874455</v>
      </c>
      <c r="E1086" t="s">
        <v>698</v>
      </c>
      <c r="F1086" t="s">
        <v>698</v>
      </c>
      <c r="G1086" t="str">
        <f>HYPERLINK("http://www.ncbi.nlm.nih.gov/Taxonomy/Browser/wwwtax.cgi?mode=Info&amp;id=874455&amp;lvl=3&amp;lin=f&amp;keep=1&amp;srchmode=1&amp;unlock","Arctia plantaginis")</f>
        <v>Arctia plantaginis</v>
      </c>
      <c r="H1086" t="s">
        <v>904</v>
      </c>
      <c r="I1086" t="str">
        <f>HYPERLINK("http://www.ncbi.nlm.nih.gov/protein/CAB3246412.1","unnamed protein product")</f>
        <v>unnamed protein product</v>
      </c>
      <c r="J1086">
        <v>141.35</v>
      </c>
      <c r="K1086" t="s">
        <v>25</v>
      </c>
      <c r="L1086">
        <v>157</v>
      </c>
      <c r="M1086">
        <v>44.41</v>
      </c>
      <c r="N1086">
        <v>7.52</v>
      </c>
      <c r="O1086" t="s">
        <v>25</v>
      </c>
      <c r="P1086" t="s">
        <v>965</v>
      </c>
      <c r="Q1086" t="s">
        <v>20</v>
      </c>
      <c r="R1086" t="str">
        <f>HYPERLINK("https://cfpub.epa.gov/ecotox/explore.cfm?ncbi=874455","Explore in ECOTOX")</f>
        <v>Explore in ECOTOX</v>
      </c>
    </row>
    <row r="1087" spans="1:18" x14ac:dyDescent="0.25">
      <c r="A1087">
        <v>6</v>
      </c>
      <c r="B1087" t="str">
        <f>HYPERLINK("http://www.ncbi.nlm.nih.gov/protein/TRY71690.1","TRY71690.1")</f>
        <v>TRY71690.1</v>
      </c>
      <c r="C1087">
        <v>16349</v>
      </c>
      <c r="D1087" t="str">
        <f>HYPERLINK("http://www.ncbi.nlm.nih.gov/Taxonomy/Browser/wwwtax.cgi?mode=Info&amp;id=6832&amp;lvl=3&amp;lin=f&amp;keep=1&amp;srchmode=1&amp;unlock","6832")</f>
        <v>6832</v>
      </c>
      <c r="E1087" t="s">
        <v>760</v>
      </c>
      <c r="F1087" t="s">
        <v>760</v>
      </c>
      <c r="G1087" t="str">
        <f>HYPERLINK("http://www.ncbi.nlm.nih.gov/Taxonomy/Browser/wwwtax.cgi?mode=Info&amp;id=6832&amp;lvl=3&amp;lin=f&amp;keep=1&amp;srchmode=1&amp;unlock","Tigriopus californicus")</f>
        <v>Tigriopus californicus</v>
      </c>
      <c r="H1087" t="s">
        <v>795</v>
      </c>
      <c r="I1087" t="str">
        <f>HYPERLINK("http://www.ncbi.nlm.nih.gov/protein/TRY71690.1","hypothetical protein TCAL_01014")</f>
        <v>hypothetical protein TCAL_01014</v>
      </c>
      <c r="J1087">
        <v>140.97</v>
      </c>
      <c r="K1087" t="s">
        <v>25</v>
      </c>
      <c r="L1087">
        <v>157</v>
      </c>
      <c r="M1087">
        <v>44.41</v>
      </c>
      <c r="N1087">
        <v>7.5</v>
      </c>
      <c r="O1087" t="s">
        <v>25</v>
      </c>
      <c r="P1087" t="s">
        <v>965</v>
      </c>
      <c r="Q1087" t="s">
        <v>20</v>
      </c>
      <c r="R1087" t="str">
        <f>HYPERLINK("https://cfpub.epa.gov/ecotox/explore.cfm?ncbi=6832","Explore in ECOTOX")</f>
        <v>Explore in ECOTOX</v>
      </c>
    </row>
    <row r="1088" spans="1:18" x14ac:dyDescent="0.25">
      <c r="A1088">
        <v>6</v>
      </c>
      <c r="B1088" t="str">
        <f>HYPERLINK("http://www.ncbi.nlm.nih.gov/protein/XP_037963176.1","XP_037963176.1")</f>
        <v>XP_037963176.1</v>
      </c>
      <c r="C1088">
        <v>41454</v>
      </c>
      <c r="D1088" t="str">
        <f>HYPERLINK("http://www.ncbi.nlm.nih.gov/Taxonomy/Browser/wwwtax.cgi?mode=Info&amp;id=51655&amp;lvl=3&amp;lin=f&amp;keep=1&amp;srchmode=1&amp;unlock","51655")</f>
        <v>51655</v>
      </c>
      <c r="E1088" t="s">
        <v>698</v>
      </c>
      <c r="F1088" t="s">
        <v>698</v>
      </c>
      <c r="G1088" t="str">
        <f>HYPERLINK("http://www.ncbi.nlm.nih.gov/Taxonomy/Browser/wwwtax.cgi?mode=Info&amp;id=51655&amp;lvl=3&amp;lin=f&amp;keep=1&amp;srchmode=1&amp;unlock","Plutella xylostella")</f>
        <v>Plutella xylostella</v>
      </c>
      <c r="H1088" t="s">
        <v>891</v>
      </c>
      <c r="I1088" t="str">
        <f>HYPERLINK("http://www.ncbi.nlm.nih.gov/protein/XP_037963176.1","steroid hormone receptor ERR1 isoform X4")</f>
        <v>steroid hormone receptor ERR1 isoform X4</v>
      </c>
      <c r="J1088">
        <v>140.97</v>
      </c>
      <c r="K1088" t="s">
        <v>25</v>
      </c>
      <c r="L1088">
        <v>157</v>
      </c>
      <c r="M1088">
        <v>44.41</v>
      </c>
      <c r="N1088">
        <v>7.5</v>
      </c>
      <c r="O1088" t="s">
        <v>25</v>
      </c>
      <c r="P1088" t="s">
        <v>965</v>
      </c>
      <c r="Q1088" t="s">
        <v>20</v>
      </c>
      <c r="R1088" t="str">
        <f>HYPERLINK("https://cfpub.epa.gov/ecotox/explore.cfm?ncbi=51655","Explore in ECOTOX")</f>
        <v>Explore in ECOTOX</v>
      </c>
    </row>
    <row r="1089" spans="1:18" x14ac:dyDescent="0.25">
      <c r="A1089">
        <v>6</v>
      </c>
      <c r="B1089" t="str">
        <f>HYPERLINK("http://www.ncbi.nlm.nih.gov/protein/XP_039283298.1","XP_039283298.1")</f>
        <v>XP_039283298.1</v>
      </c>
      <c r="C1089">
        <v>35296</v>
      </c>
      <c r="D1089" t="str">
        <f>HYPERLINK("http://www.ncbi.nlm.nih.gov/Taxonomy/Browser/wwwtax.cgi?mode=Info&amp;id=108931&amp;lvl=3&amp;lin=f&amp;keep=1&amp;srchmode=1&amp;unlock","108931")</f>
        <v>108931</v>
      </c>
      <c r="E1089" t="s">
        <v>698</v>
      </c>
      <c r="F1089" t="s">
        <v>698</v>
      </c>
      <c r="G1089" t="str">
        <f>HYPERLINK("http://www.ncbi.nlm.nih.gov/Taxonomy/Browser/wwwtax.cgi?mode=Info&amp;id=108931&amp;lvl=3&amp;lin=f&amp;keep=1&amp;srchmode=1&amp;unlock","Nilaparvata lugens")</f>
        <v>Nilaparvata lugens</v>
      </c>
      <c r="H1089" t="s">
        <v>737</v>
      </c>
      <c r="I1089" t="str">
        <f>HYPERLINK("http://www.ncbi.nlm.nih.gov/protein/XP_039283298.1","steroid hormone receptor ERR2 isoform X7")</f>
        <v>steroid hormone receptor ERR2 isoform X7</v>
      </c>
      <c r="J1089">
        <v>140.97</v>
      </c>
      <c r="K1089" t="s">
        <v>25</v>
      </c>
      <c r="L1089">
        <v>157</v>
      </c>
      <c r="M1089">
        <v>44.41</v>
      </c>
      <c r="N1089">
        <v>7.5</v>
      </c>
      <c r="O1089" t="s">
        <v>25</v>
      </c>
      <c r="P1089" t="s">
        <v>965</v>
      </c>
      <c r="Q1089" t="s">
        <v>20</v>
      </c>
      <c r="R1089" t="str">
        <f>HYPERLINK("https://cfpub.epa.gov/ecotox/explore.cfm?ncbi=108931","Explore in ECOTOX")</f>
        <v>Explore in ECOTOX</v>
      </c>
    </row>
    <row r="1090" spans="1:18" x14ac:dyDescent="0.25">
      <c r="A1090">
        <v>6</v>
      </c>
      <c r="B1090" t="str">
        <f>HYPERLINK("http://www.ncbi.nlm.nih.gov/protein/XP_026490955.1","XP_026490955.1")</f>
        <v>XP_026490955.1</v>
      </c>
      <c r="C1090">
        <v>18776</v>
      </c>
      <c r="D1090" t="str">
        <f>HYPERLINK("http://www.ncbi.nlm.nih.gov/Taxonomy/Browser/wwwtax.cgi?mode=Info&amp;id=334116&amp;lvl=3&amp;lin=f&amp;keep=1&amp;srchmode=1&amp;unlock","334116")</f>
        <v>334116</v>
      </c>
      <c r="E1090" t="s">
        <v>698</v>
      </c>
      <c r="F1090" t="s">
        <v>698</v>
      </c>
      <c r="G1090" t="str">
        <f>HYPERLINK("http://www.ncbi.nlm.nih.gov/Taxonomy/Browser/wwwtax.cgi?mode=Info&amp;id=334116&amp;lvl=3&amp;lin=f&amp;keep=1&amp;srchmode=1&amp;unlock","Vanessa tameamea")</f>
        <v>Vanessa tameamea</v>
      </c>
      <c r="H1090" t="s">
        <v>962</v>
      </c>
      <c r="I1090" t="str">
        <f>HYPERLINK("http://www.ncbi.nlm.nih.gov/protein/XP_026490955.1","steroid hormone receptor ERR1 isoform X3")</f>
        <v>steroid hormone receptor ERR1 isoform X3</v>
      </c>
      <c r="J1090">
        <v>140.58000000000001</v>
      </c>
      <c r="K1090" t="s">
        <v>25</v>
      </c>
      <c r="L1090">
        <v>157</v>
      </c>
      <c r="M1090">
        <v>44.41</v>
      </c>
      <c r="N1090">
        <v>7.48</v>
      </c>
      <c r="O1090" t="s">
        <v>25</v>
      </c>
      <c r="P1090" t="s">
        <v>965</v>
      </c>
      <c r="Q1090" t="s">
        <v>20</v>
      </c>
      <c r="R1090" t="str">
        <f>HYPERLINK("https://cfpub.epa.gov/ecotox/explore.cfm?ncbi=334116","Explore in ECOTOX")</f>
        <v>Explore in ECOTOX</v>
      </c>
    </row>
    <row r="1091" spans="1:18" x14ac:dyDescent="0.25">
      <c r="A1091">
        <v>6</v>
      </c>
      <c r="B1091" t="str">
        <f>HYPERLINK("http://www.ncbi.nlm.nih.gov/protein/XP_026725744.1","XP_026725744.1")</f>
        <v>XP_026725744.1</v>
      </c>
      <c r="C1091">
        <v>24079</v>
      </c>
      <c r="D1091" t="str">
        <f>HYPERLINK("http://www.ncbi.nlm.nih.gov/Taxonomy/Browser/wwwtax.cgi?mode=Info&amp;id=7111&amp;lvl=3&amp;lin=f&amp;keep=1&amp;srchmode=1&amp;unlock","7111")</f>
        <v>7111</v>
      </c>
      <c r="E1091" t="s">
        <v>698</v>
      </c>
      <c r="F1091" t="s">
        <v>698</v>
      </c>
      <c r="G1091" t="str">
        <f>HYPERLINK("http://www.ncbi.nlm.nih.gov/Taxonomy/Browser/wwwtax.cgi?mode=Info&amp;id=7111&amp;lvl=3&amp;lin=f&amp;keep=1&amp;srchmode=1&amp;unlock","Trichoplusia ni")</f>
        <v>Trichoplusia ni</v>
      </c>
      <c r="H1091" t="s">
        <v>1156</v>
      </c>
      <c r="I1091" t="str">
        <f>HYPERLINK("http://www.ncbi.nlm.nih.gov/protein/XP_026725744.1","steroid hormone receptor ERR1 isoform X2")</f>
        <v>steroid hormone receptor ERR1 isoform X2</v>
      </c>
      <c r="J1091">
        <v>140.58000000000001</v>
      </c>
      <c r="K1091" t="s">
        <v>25</v>
      </c>
      <c r="L1091">
        <v>157</v>
      </c>
      <c r="M1091">
        <v>44.41</v>
      </c>
      <c r="N1091">
        <v>7.48</v>
      </c>
      <c r="O1091" t="s">
        <v>25</v>
      </c>
      <c r="P1091" t="s">
        <v>965</v>
      </c>
      <c r="Q1091" t="s">
        <v>20</v>
      </c>
      <c r="R1091" t="str">
        <f>HYPERLINK("https://cfpub.epa.gov/ecotox/explore.cfm?ncbi=7111","Explore in ECOTOX")</f>
        <v>Explore in ECOTOX</v>
      </c>
    </row>
    <row r="1092" spans="1:18" x14ac:dyDescent="0.25">
      <c r="A1092">
        <v>6</v>
      </c>
      <c r="B1092" t="str">
        <f>HYPERLINK("http://www.ncbi.nlm.nih.gov/protein/XP_029713781.1","XP_029713781.1")</f>
        <v>XP_029713781.1</v>
      </c>
      <c r="C1092">
        <v>59378</v>
      </c>
      <c r="D1092" t="str">
        <f>HYPERLINK("http://www.ncbi.nlm.nih.gov/Taxonomy/Browser/wwwtax.cgi?mode=Info&amp;id=7160&amp;lvl=3&amp;lin=f&amp;keep=1&amp;srchmode=1&amp;unlock","7160")</f>
        <v>7160</v>
      </c>
      <c r="E1092" t="s">
        <v>698</v>
      </c>
      <c r="F1092" t="s">
        <v>698</v>
      </c>
      <c r="G1092" t="str">
        <f>HYPERLINK("http://www.ncbi.nlm.nih.gov/Taxonomy/Browser/wwwtax.cgi?mode=Info&amp;id=7160&amp;lvl=3&amp;lin=f&amp;keep=1&amp;srchmode=1&amp;unlock","Aedes albopictus")</f>
        <v>Aedes albopictus</v>
      </c>
      <c r="H1092" t="s">
        <v>703</v>
      </c>
      <c r="I1092" t="str">
        <f>HYPERLINK("http://www.ncbi.nlm.nih.gov/protein/XP_029713781.1","steroid hormone receptor ERR2-like isoform X2")</f>
        <v>steroid hormone receptor ERR2-like isoform X2</v>
      </c>
      <c r="J1092">
        <v>140.58000000000001</v>
      </c>
      <c r="K1092" t="s">
        <v>25</v>
      </c>
      <c r="L1092">
        <v>157</v>
      </c>
      <c r="M1092">
        <v>44.41</v>
      </c>
      <c r="N1092">
        <v>7.48</v>
      </c>
      <c r="O1092" t="s">
        <v>25</v>
      </c>
      <c r="P1092" t="s">
        <v>965</v>
      </c>
      <c r="Q1092" t="s">
        <v>20</v>
      </c>
      <c r="R1092" t="str">
        <f>HYPERLINK("https://cfpub.epa.gov/ecotox/explore.cfm?ncbi=7160","Explore in ECOTOX")</f>
        <v>Explore in ECOTOX</v>
      </c>
    </row>
    <row r="1093" spans="1:18" x14ac:dyDescent="0.25">
      <c r="A1093">
        <v>6</v>
      </c>
      <c r="B1093" t="str">
        <f>HYPERLINK("http://www.ncbi.nlm.nih.gov/protein/CAD7402288.1","CAD7402288.1")</f>
        <v>CAD7402288.1</v>
      </c>
      <c r="C1093">
        <v>14355</v>
      </c>
      <c r="D1093" t="str">
        <f>HYPERLINK("http://www.ncbi.nlm.nih.gov/Taxonomy/Browser/wwwtax.cgi?mode=Info&amp;id=61476&amp;lvl=3&amp;lin=f&amp;keep=1&amp;srchmode=1&amp;unlock","61476")</f>
        <v>61476</v>
      </c>
      <c r="E1093" t="s">
        <v>698</v>
      </c>
      <c r="F1093" t="s">
        <v>698</v>
      </c>
      <c r="G1093" t="str">
        <f>HYPERLINK("http://www.ncbi.nlm.nih.gov/Taxonomy/Browser/wwwtax.cgi?mode=Info&amp;id=61476&amp;lvl=3&amp;lin=f&amp;keep=1&amp;srchmode=1&amp;unlock","Timema cristinae")</f>
        <v>Timema cristinae</v>
      </c>
      <c r="H1093" t="s">
        <v>728</v>
      </c>
      <c r="I1093" t="str">
        <f>HYPERLINK("http://www.ncbi.nlm.nih.gov/protein/CAD7402288.1","unnamed protein product")</f>
        <v>unnamed protein product</v>
      </c>
      <c r="J1093">
        <v>140.19999999999999</v>
      </c>
      <c r="K1093" t="s">
        <v>25</v>
      </c>
      <c r="L1093">
        <v>157</v>
      </c>
      <c r="M1093">
        <v>44.41</v>
      </c>
      <c r="N1093">
        <v>7.46</v>
      </c>
      <c r="O1093" t="s">
        <v>25</v>
      </c>
      <c r="P1093" t="s">
        <v>965</v>
      </c>
      <c r="Q1093" t="s">
        <v>20</v>
      </c>
      <c r="R1093" t="str">
        <f>HYPERLINK("https://cfpub.epa.gov/ecotox/explore.cfm?ncbi=61476","Explore in ECOTOX")</f>
        <v>Explore in ECOTOX</v>
      </c>
    </row>
    <row r="1094" spans="1:18" x14ac:dyDescent="0.25">
      <c r="A1094">
        <v>6</v>
      </c>
      <c r="B1094" t="str">
        <f>HYPERLINK("http://www.ncbi.nlm.nih.gov/protein/XP_037030098.1","XP_037030098.1")</f>
        <v>XP_037030098.1</v>
      </c>
      <c r="C1094">
        <v>28500</v>
      </c>
      <c r="D1094" t="str">
        <f>HYPERLINK("http://www.ncbi.nlm.nih.gov/Taxonomy/Browser/wwwtax.cgi?mode=Info&amp;id=38358&amp;lvl=3&amp;lin=f&amp;keep=1&amp;srchmode=1&amp;unlock","38358")</f>
        <v>38358</v>
      </c>
      <c r="E1094" t="s">
        <v>698</v>
      </c>
      <c r="F1094" t="s">
        <v>698</v>
      </c>
      <c r="G1094" t="str">
        <f>HYPERLINK("http://www.ncbi.nlm.nih.gov/Taxonomy/Browser/wwwtax.cgi?mode=Info&amp;id=38358&amp;lvl=3&amp;lin=f&amp;keep=1&amp;srchmode=1&amp;unlock","Bradysia coprophila")</f>
        <v>Bradysia coprophila</v>
      </c>
      <c r="H1094" t="s">
        <v>774</v>
      </c>
      <c r="I1094" t="str">
        <f>HYPERLINK("http://www.ncbi.nlm.nih.gov/protein/XP_037030098.1","steroid hormone receptor ERR1 isoform X2")</f>
        <v>steroid hormone receptor ERR1 isoform X2</v>
      </c>
      <c r="J1094">
        <v>139.81</v>
      </c>
      <c r="K1094" t="s">
        <v>25</v>
      </c>
      <c r="L1094">
        <v>157</v>
      </c>
      <c r="M1094">
        <v>44.41</v>
      </c>
      <c r="N1094">
        <v>7.44</v>
      </c>
      <c r="O1094" t="s">
        <v>25</v>
      </c>
      <c r="P1094" t="s">
        <v>965</v>
      </c>
      <c r="Q1094" t="s">
        <v>20</v>
      </c>
      <c r="R1094" t="str">
        <f>HYPERLINK("https://cfpub.epa.gov/ecotox/explore.cfm?ncbi=38358","Explore in ECOTOX")</f>
        <v>Explore in ECOTOX</v>
      </c>
    </row>
    <row r="1095" spans="1:18" x14ac:dyDescent="0.25">
      <c r="A1095">
        <v>6</v>
      </c>
      <c r="B1095" t="str">
        <f>HYPERLINK("http://www.ncbi.nlm.nih.gov/protein/ACJ22907.1","ACJ22907.1")</f>
        <v>ACJ22907.1</v>
      </c>
      <c r="C1095">
        <v>557</v>
      </c>
      <c r="D1095" t="str">
        <f>HYPERLINK("http://www.ncbi.nlm.nih.gov/Taxonomy/Browser/wwwtax.cgi?mode=Info&amp;id=8346&amp;lvl=3&amp;lin=f&amp;keep=1&amp;srchmode=1&amp;unlock","8346")</f>
        <v>8346</v>
      </c>
      <c r="E1095" t="s">
        <v>134</v>
      </c>
      <c r="F1095" t="s">
        <v>134</v>
      </c>
      <c r="G1095" t="str">
        <f>HYPERLINK("http://www.ncbi.nlm.nih.gov/Taxonomy/Browser/wwwtax.cgi?mode=Info&amp;id=8346&amp;lvl=3&amp;lin=f&amp;keep=1&amp;srchmode=1&amp;unlock","Bombina orientalis")</f>
        <v>Bombina orientalis</v>
      </c>
      <c r="H1095" t="s">
        <v>1157</v>
      </c>
      <c r="I1095" t="str">
        <f>HYPERLINK("http://www.ncbi.nlm.nih.gov/protein/ACJ22907.1","estrogen receptor alpha 1, partial")</f>
        <v>estrogen receptor alpha 1, partial</v>
      </c>
      <c r="J1095">
        <v>139.81</v>
      </c>
      <c r="K1095" t="s">
        <v>25</v>
      </c>
      <c r="L1095">
        <v>157</v>
      </c>
      <c r="M1095">
        <v>44.41</v>
      </c>
      <c r="N1095">
        <v>7.44</v>
      </c>
      <c r="O1095" t="s">
        <v>20</v>
      </c>
      <c r="P1095" t="s">
        <v>965</v>
      </c>
      <c r="Q1095" t="s">
        <v>20</v>
      </c>
      <c r="R1095" t="str">
        <f>HYPERLINK("https://cfpub.epa.gov/ecotox/explore.cfm?ncbi=8346","Explore in ECOTOX")</f>
        <v>Explore in ECOTOX</v>
      </c>
    </row>
    <row r="1096" spans="1:18" x14ac:dyDescent="0.25">
      <c r="A1096">
        <v>6</v>
      </c>
      <c r="B1096" t="str">
        <f>HYPERLINK("http://www.ncbi.nlm.nih.gov/protein/XP_028134004.1","XP_028134004.1")</f>
        <v>XP_028134004.1</v>
      </c>
      <c r="C1096">
        <v>28186</v>
      </c>
      <c r="D1096" t="str">
        <f>HYPERLINK("http://www.ncbi.nlm.nih.gov/Taxonomy/Browser/wwwtax.cgi?mode=Info&amp;id=50390&amp;lvl=3&amp;lin=f&amp;keep=1&amp;srchmode=1&amp;unlock","50390")</f>
        <v>50390</v>
      </c>
      <c r="E1096" t="s">
        <v>698</v>
      </c>
      <c r="F1096" t="s">
        <v>698</v>
      </c>
      <c r="G1096" t="str">
        <f>HYPERLINK("http://www.ncbi.nlm.nih.gov/Taxonomy/Browser/wwwtax.cgi?mode=Info&amp;id=50390&amp;lvl=3&amp;lin=f&amp;keep=1&amp;srchmode=1&amp;unlock","Diabrotica virgifera virgifera")</f>
        <v>Diabrotica virgifera virgifera</v>
      </c>
      <c r="H1096" t="s">
        <v>876</v>
      </c>
      <c r="I1096" t="str">
        <f>HYPERLINK("http://www.ncbi.nlm.nih.gov/protein/XP_028134004.1","steroid hormone receptor ERR1")</f>
        <v>steroid hormone receptor ERR1</v>
      </c>
      <c r="J1096">
        <v>139.81</v>
      </c>
      <c r="K1096" t="s">
        <v>25</v>
      </c>
      <c r="L1096">
        <v>157</v>
      </c>
      <c r="M1096">
        <v>44.41</v>
      </c>
      <c r="N1096">
        <v>7.44</v>
      </c>
      <c r="O1096" t="s">
        <v>25</v>
      </c>
      <c r="P1096" t="s">
        <v>965</v>
      </c>
      <c r="Q1096" t="s">
        <v>20</v>
      </c>
      <c r="R1096" t="str">
        <f>HYPERLINK("https://cfpub.epa.gov/ecotox/explore.cfm?ncbi=50390","Explore in ECOTOX")</f>
        <v>Explore in ECOTOX</v>
      </c>
    </row>
    <row r="1097" spans="1:18" x14ac:dyDescent="0.25">
      <c r="A1097">
        <v>6</v>
      </c>
      <c r="B1097" t="str">
        <f>HYPERLINK("http://www.ncbi.nlm.nih.gov/protein/CAD7430456.1","CAD7430456.1")</f>
        <v>CAD7430456.1</v>
      </c>
      <c r="C1097">
        <v>13140</v>
      </c>
      <c r="D1097" t="str">
        <f>HYPERLINK("http://www.ncbi.nlm.nih.gov/Taxonomy/Browser/wwwtax.cgi?mode=Info&amp;id=170555&amp;lvl=3&amp;lin=f&amp;keep=1&amp;srchmode=1&amp;unlock","170555")</f>
        <v>170555</v>
      </c>
      <c r="E1097" t="s">
        <v>698</v>
      </c>
      <c r="F1097" t="s">
        <v>698</v>
      </c>
      <c r="G1097" t="str">
        <f>HYPERLINK("http://www.ncbi.nlm.nih.gov/Taxonomy/Browser/wwwtax.cgi?mode=Info&amp;id=170555&amp;lvl=3&amp;lin=f&amp;keep=1&amp;srchmode=1&amp;unlock","Timema monikensis")</f>
        <v>Timema monikensis</v>
      </c>
      <c r="H1097" t="s">
        <v>728</v>
      </c>
      <c r="I1097" t="str">
        <f>HYPERLINK("http://www.ncbi.nlm.nih.gov/protein/CAD7430456.1","unnamed protein product")</f>
        <v>unnamed protein product</v>
      </c>
      <c r="J1097">
        <v>139.81</v>
      </c>
      <c r="K1097" t="s">
        <v>25</v>
      </c>
      <c r="L1097">
        <v>157</v>
      </c>
      <c r="M1097">
        <v>44.41</v>
      </c>
      <c r="N1097">
        <v>7.44</v>
      </c>
      <c r="O1097" t="s">
        <v>25</v>
      </c>
      <c r="P1097" t="s">
        <v>965</v>
      </c>
      <c r="Q1097" t="s">
        <v>20</v>
      </c>
      <c r="R1097" t="str">
        <f>HYPERLINK("https://cfpub.epa.gov/ecotox/explore.cfm?ncbi=170555","Explore in ECOTOX")</f>
        <v>Explore in ECOTOX</v>
      </c>
    </row>
    <row r="1098" spans="1:18" x14ac:dyDescent="0.25">
      <c r="A1098">
        <v>6</v>
      </c>
      <c r="B1098" t="str">
        <f>HYPERLINK("http://www.ncbi.nlm.nih.gov/protein/CAE1287858.1","CAE1287858.1")</f>
        <v>CAE1287858.1</v>
      </c>
      <c r="C1098">
        <v>53695</v>
      </c>
      <c r="D1098" t="str">
        <f>HYPERLINK("http://www.ncbi.nlm.nih.gov/Taxonomy/Browser/wwwtax.cgi?mode=Info&amp;id=158019&amp;lvl=3&amp;lin=f&amp;keep=1&amp;srchmode=1&amp;unlock","158019")</f>
        <v>158019</v>
      </c>
      <c r="E1098" t="s">
        <v>786</v>
      </c>
      <c r="F1098" t="s">
        <v>786</v>
      </c>
      <c r="G1098" t="str">
        <f>HYPERLINK("http://www.ncbi.nlm.nih.gov/Taxonomy/Browser/wwwtax.cgi?mode=Info&amp;id=158019&amp;lvl=3&amp;lin=f&amp;keep=1&amp;srchmode=1&amp;unlock","Sepia pharaonis")</f>
        <v>Sepia pharaonis</v>
      </c>
      <c r="H1098" t="s">
        <v>1158</v>
      </c>
      <c r="I1098" t="str">
        <f>HYPERLINK("http://www.ncbi.nlm.nih.gov/protein/CAE1287858.1","ESR1")</f>
        <v>ESR1</v>
      </c>
      <c r="J1098">
        <v>139.43</v>
      </c>
      <c r="K1098" t="s">
        <v>25</v>
      </c>
      <c r="L1098">
        <v>157</v>
      </c>
      <c r="M1098">
        <v>44.41</v>
      </c>
      <c r="N1098">
        <v>7.42</v>
      </c>
      <c r="O1098" t="s">
        <v>25</v>
      </c>
      <c r="P1098" t="s">
        <v>965</v>
      </c>
      <c r="Q1098" t="s">
        <v>20</v>
      </c>
      <c r="R1098" t="str">
        <f>HYPERLINK("https://cfpub.epa.gov/ecotox/explore.cfm?ncbi=158019","Explore in ECOTOX")</f>
        <v>Explore in ECOTOX</v>
      </c>
    </row>
    <row r="1099" spans="1:18" x14ac:dyDescent="0.25">
      <c r="A1099">
        <v>6</v>
      </c>
      <c r="B1099" t="str">
        <f>HYPERLINK("http://www.ncbi.nlm.nih.gov/protein/ODN05709.1","ODN05709.1")</f>
        <v>ODN05709.1</v>
      </c>
      <c r="C1099">
        <v>20400</v>
      </c>
      <c r="D1099" t="str">
        <f>HYPERLINK("http://www.ncbi.nlm.nih.gov/Taxonomy/Browser/wwwtax.cgi?mode=Info&amp;id=48709&amp;lvl=3&amp;lin=f&amp;keep=1&amp;srchmode=1&amp;unlock","48709")</f>
        <v>48709</v>
      </c>
      <c r="E1099" t="s">
        <v>765</v>
      </c>
      <c r="F1099" t="s">
        <v>765</v>
      </c>
      <c r="G1099" t="str">
        <f>HYPERLINK("http://www.ncbi.nlm.nih.gov/Taxonomy/Browser/wwwtax.cgi?mode=Info&amp;id=48709&amp;lvl=3&amp;lin=f&amp;keep=1&amp;srchmode=1&amp;unlock","Orchesella cincta")</f>
        <v>Orchesella cincta</v>
      </c>
      <c r="H1099" t="s">
        <v>766</v>
      </c>
      <c r="I1099" t="str">
        <f>HYPERLINK("http://www.ncbi.nlm.nih.gov/protein/ODN05709.1","Estrogen-related receptor gamma")</f>
        <v>Estrogen-related receptor gamma</v>
      </c>
      <c r="J1099">
        <v>139.43</v>
      </c>
      <c r="K1099" t="s">
        <v>25</v>
      </c>
      <c r="L1099">
        <v>157</v>
      </c>
      <c r="M1099">
        <v>44.41</v>
      </c>
      <c r="N1099">
        <v>7.42</v>
      </c>
      <c r="O1099" t="s">
        <v>25</v>
      </c>
      <c r="P1099" t="s">
        <v>965</v>
      </c>
      <c r="Q1099" t="s">
        <v>20</v>
      </c>
      <c r="R1099" t="str">
        <f>HYPERLINK("https://cfpub.epa.gov/ecotox/explore.cfm?ncbi=48709","Explore in ECOTOX")</f>
        <v>Explore in ECOTOX</v>
      </c>
    </row>
    <row r="1100" spans="1:18" x14ac:dyDescent="0.25">
      <c r="A1100">
        <v>6</v>
      </c>
      <c r="B1100" t="str">
        <f>HYPERLINK("http://www.ncbi.nlm.nih.gov/protein/CAD7459316.1","CAD7459316.1")</f>
        <v>CAD7459316.1</v>
      </c>
      <c r="C1100">
        <v>13064</v>
      </c>
      <c r="D1100" t="str">
        <f>HYPERLINK("http://www.ncbi.nlm.nih.gov/Taxonomy/Browser/wwwtax.cgi?mode=Info&amp;id=61484&amp;lvl=3&amp;lin=f&amp;keep=1&amp;srchmode=1&amp;unlock","61484")</f>
        <v>61484</v>
      </c>
      <c r="E1100" t="s">
        <v>698</v>
      </c>
      <c r="F1100" t="s">
        <v>698</v>
      </c>
      <c r="G1100" t="str">
        <f>HYPERLINK("http://www.ncbi.nlm.nih.gov/Taxonomy/Browser/wwwtax.cgi?mode=Info&amp;id=61484&amp;lvl=3&amp;lin=f&amp;keep=1&amp;srchmode=1&amp;unlock","Timema tahoe")</f>
        <v>Timema tahoe</v>
      </c>
      <c r="H1100" t="s">
        <v>728</v>
      </c>
      <c r="I1100" t="str">
        <f>HYPERLINK("http://www.ncbi.nlm.nih.gov/protein/CAD7459316.1","unnamed protein product")</f>
        <v>unnamed protein product</v>
      </c>
      <c r="J1100">
        <v>139.43</v>
      </c>
      <c r="K1100" t="s">
        <v>25</v>
      </c>
      <c r="L1100">
        <v>157</v>
      </c>
      <c r="M1100">
        <v>44.41</v>
      </c>
      <c r="N1100">
        <v>7.42</v>
      </c>
      <c r="O1100" t="s">
        <v>25</v>
      </c>
      <c r="P1100" t="s">
        <v>965</v>
      </c>
      <c r="Q1100" t="s">
        <v>20</v>
      </c>
      <c r="R1100" t="str">
        <f>HYPERLINK("https://cfpub.epa.gov/ecotox/explore.cfm?ncbi=61484","Explore in ECOTOX")</f>
        <v>Explore in ECOTOX</v>
      </c>
    </row>
    <row r="1101" spans="1:18" x14ac:dyDescent="0.25">
      <c r="A1101">
        <v>6</v>
      </c>
      <c r="B1101" t="str">
        <f>HYPERLINK("http://www.ncbi.nlm.nih.gov/protein/AMR55387.1","AMR55387.1")</f>
        <v>AMR55387.1</v>
      </c>
      <c r="C1101">
        <v>53</v>
      </c>
      <c r="D1101" t="str">
        <f>HYPERLINK("http://www.ncbi.nlm.nih.gov/Taxonomy/Browser/wwwtax.cgi?mode=Info&amp;id=153280&amp;lvl=3&amp;lin=f&amp;keep=1&amp;srchmode=1&amp;unlock","153280")</f>
        <v>153280</v>
      </c>
      <c r="E1101" t="s">
        <v>786</v>
      </c>
      <c r="F1101" t="s">
        <v>786</v>
      </c>
      <c r="G1101" t="str">
        <f>HYPERLINK("http://www.ncbi.nlm.nih.gov/Taxonomy/Browser/wwwtax.cgi?mode=Info&amp;id=153280&amp;lvl=3&amp;lin=f&amp;keep=1&amp;srchmode=1&amp;unlock","Sepiella maindroni")</f>
        <v>Sepiella maindroni</v>
      </c>
      <c r="H1101" t="s">
        <v>1158</v>
      </c>
      <c r="I1101" t="str">
        <f>HYPERLINK("http://www.ncbi.nlm.nih.gov/protein/AMR55387.1","estrogen receptor")</f>
        <v>estrogen receptor</v>
      </c>
      <c r="J1101">
        <v>139.04</v>
      </c>
      <c r="K1101" t="s">
        <v>25</v>
      </c>
      <c r="L1101">
        <v>157</v>
      </c>
      <c r="M1101">
        <v>44.41</v>
      </c>
      <c r="N1101">
        <v>7.4</v>
      </c>
      <c r="O1101" t="s">
        <v>25</v>
      </c>
      <c r="P1101" t="s">
        <v>965</v>
      </c>
      <c r="Q1101" t="s">
        <v>20</v>
      </c>
      <c r="R1101" t="str">
        <f>HYPERLINK("https://cfpub.epa.gov/ecotox/explore.cfm?ncbi=153280","Explore in ECOTOX")</f>
        <v>Explore in ECOTOX</v>
      </c>
    </row>
    <row r="1102" spans="1:18" x14ac:dyDescent="0.25">
      <c r="A1102">
        <v>6</v>
      </c>
      <c r="B1102" t="str">
        <f>HYPERLINK("http://www.ncbi.nlm.nih.gov/protein/BAD02929.1","BAD02929.1")</f>
        <v>BAD02929.1</v>
      </c>
      <c r="C1102">
        <v>120</v>
      </c>
      <c r="D1102" t="str">
        <f>HYPERLINK("http://www.ncbi.nlm.nih.gov/Taxonomy/Browser/wwwtax.cgi?mode=Info&amp;id=7943&amp;lvl=3&amp;lin=f&amp;keep=1&amp;srchmode=1&amp;unlock","7943")</f>
        <v>7943</v>
      </c>
      <c r="E1102" t="s">
        <v>384</v>
      </c>
      <c r="F1102" t="s">
        <v>384</v>
      </c>
      <c r="G1102" t="str">
        <f>HYPERLINK("http://www.ncbi.nlm.nih.gov/Taxonomy/Browser/wwwtax.cgi?mode=Info&amp;id=7943&amp;lvl=3&amp;lin=f&amp;keep=1&amp;srchmode=1&amp;unlock","Conger myriaster")</f>
        <v>Conger myriaster</v>
      </c>
      <c r="H1102" t="s">
        <v>1159</v>
      </c>
      <c r="I1102" t="str">
        <f>HYPERLINK("http://www.ncbi.nlm.nih.gov/protein/BAD02929.1","estrogen receptor beta")</f>
        <v>estrogen receptor beta</v>
      </c>
      <c r="J1102">
        <v>138.66</v>
      </c>
      <c r="K1102" t="s">
        <v>25</v>
      </c>
      <c r="L1102">
        <v>157</v>
      </c>
      <c r="M1102">
        <v>44.41</v>
      </c>
      <c r="N1102">
        <v>7.38</v>
      </c>
      <c r="O1102" t="s">
        <v>25</v>
      </c>
      <c r="P1102" t="s">
        <v>965</v>
      </c>
      <c r="Q1102" t="s">
        <v>20</v>
      </c>
      <c r="R1102" t="str">
        <f>HYPERLINK("https://cfpub.epa.gov/ecotox/explore.cfm?ncbi=7943","Explore in ECOTOX")</f>
        <v>Explore in ECOTOX</v>
      </c>
    </row>
    <row r="1103" spans="1:18" x14ac:dyDescent="0.25">
      <c r="A1103">
        <v>6</v>
      </c>
      <c r="B1103" t="str">
        <f>HYPERLINK("http://www.ncbi.nlm.nih.gov/protein/CAD7445281.1","CAD7445281.1")</f>
        <v>CAD7445281.1</v>
      </c>
      <c r="C1103">
        <v>14365</v>
      </c>
      <c r="D1103" t="str">
        <f>HYPERLINK("http://www.ncbi.nlm.nih.gov/Taxonomy/Browser/wwwtax.cgi?mode=Info&amp;id=61472&amp;lvl=3&amp;lin=f&amp;keep=1&amp;srchmode=1&amp;unlock","61472")</f>
        <v>61472</v>
      </c>
      <c r="E1103" t="s">
        <v>698</v>
      </c>
      <c r="F1103" t="s">
        <v>698</v>
      </c>
      <c r="G1103" t="str">
        <f>HYPERLINK("http://www.ncbi.nlm.nih.gov/Taxonomy/Browser/wwwtax.cgi?mode=Info&amp;id=61472&amp;lvl=3&amp;lin=f&amp;keep=1&amp;srchmode=1&amp;unlock","Timema bartmani")</f>
        <v>Timema bartmani</v>
      </c>
      <c r="H1103" t="s">
        <v>728</v>
      </c>
      <c r="I1103" t="str">
        <f>HYPERLINK("http://www.ncbi.nlm.nih.gov/protein/CAD7445281.1","unnamed protein product")</f>
        <v>unnamed protein product</v>
      </c>
      <c r="J1103">
        <v>138.66</v>
      </c>
      <c r="K1103" t="s">
        <v>25</v>
      </c>
      <c r="L1103">
        <v>157</v>
      </c>
      <c r="M1103">
        <v>44.41</v>
      </c>
      <c r="N1103">
        <v>7.38</v>
      </c>
      <c r="O1103" t="s">
        <v>25</v>
      </c>
      <c r="P1103" t="s">
        <v>965</v>
      </c>
      <c r="Q1103" t="s">
        <v>20</v>
      </c>
      <c r="R1103" t="str">
        <f>HYPERLINK("https://cfpub.epa.gov/ecotox/explore.cfm?ncbi=61472","Explore in ECOTOX")</f>
        <v>Explore in ECOTOX</v>
      </c>
    </row>
    <row r="1104" spans="1:18" x14ac:dyDescent="0.25">
      <c r="A1104">
        <v>6</v>
      </c>
      <c r="B1104" t="str">
        <f>HYPERLINK("http://www.ncbi.nlm.nih.gov/protein/ASL70079.1","ASL70079.1")</f>
        <v>ASL70079.1</v>
      </c>
      <c r="C1104">
        <v>18448</v>
      </c>
      <c r="D1104" t="str">
        <f>HYPERLINK("http://www.ncbi.nlm.nih.gov/Taxonomy/Browser/wwwtax.cgi?mode=Info&amp;id=195883&amp;lvl=3&amp;lin=f&amp;keep=1&amp;srchmode=1&amp;unlock","195883")</f>
        <v>195883</v>
      </c>
      <c r="E1104" t="s">
        <v>698</v>
      </c>
      <c r="F1104" t="s">
        <v>698</v>
      </c>
      <c r="G1104" t="str">
        <f>HYPERLINK("http://www.ncbi.nlm.nih.gov/Taxonomy/Browser/wwwtax.cgi?mode=Info&amp;id=195883&amp;lvl=3&amp;lin=f&amp;keep=1&amp;srchmode=1&amp;unlock","Laodelphax striatellus")</f>
        <v>Laodelphax striatellus</v>
      </c>
      <c r="H1104" t="s">
        <v>842</v>
      </c>
      <c r="I1104" t="str">
        <f>HYPERLINK("http://www.ncbi.nlm.nih.gov/protein/ASL70079.1","estrogen-related receptor")</f>
        <v>estrogen-related receptor</v>
      </c>
      <c r="J1104">
        <v>138.66</v>
      </c>
      <c r="K1104" t="s">
        <v>25</v>
      </c>
      <c r="L1104">
        <v>157</v>
      </c>
      <c r="M1104">
        <v>44.41</v>
      </c>
      <c r="N1104">
        <v>7.38</v>
      </c>
      <c r="O1104" t="s">
        <v>25</v>
      </c>
      <c r="P1104" t="s">
        <v>965</v>
      </c>
      <c r="Q1104" t="s">
        <v>20</v>
      </c>
      <c r="R1104" t="str">
        <f>HYPERLINK("https://cfpub.epa.gov/ecotox/explore.cfm?ncbi=195883","Explore in ECOTOX")</f>
        <v>Explore in ECOTOX</v>
      </c>
    </row>
    <row r="1105" spans="1:18" x14ac:dyDescent="0.25">
      <c r="A1105">
        <v>6</v>
      </c>
      <c r="B1105" t="str">
        <f>HYPERLINK("http://www.ncbi.nlm.nih.gov/protein/AXP83834.1","AXP83834.1")</f>
        <v>AXP83834.1</v>
      </c>
      <c r="C1105">
        <v>77</v>
      </c>
      <c r="D1105" t="str">
        <f>HYPERLINK("http://www.ncbi.nlm.nih.gov/Taxonomy/Browser/wwwtax.cgi?mode=Info&amp;id=279094&amp;lvl=3&amp;lin=f&amp;keep=1&amp;srchmode=1&amp;unlock","279094")</f>
        <v>279094</v>
      </c>
      <c r="E1105" t="s">
        <v>786</v>
      </c>
      <c r="F1105" t="s">
        <v>786</v>
      </c>
      <c r="G1105" t="str">
        <f>HYPERLINK("http://www.ncbi.nlm.nih.gov/Taxonomy/Browser/wwwtax.cgi?mode=Info&amp;id=279094&amp;lvl=3&amp;lin=f&amp;keep=1&amp;srchmode=1&amp;unlock","Sepiella japonica")</f>
        <v>Sepiella japonica</v>
      </c>
      <c r="H1105" t="s">
        <v>1160</v>
      </c>
      <c r="I1105" t="str">
        <f>HYPERLINK("http://www.ncbi.nlm.nih.gov/protein/AXP83834.1","estrogen-related receptor gamma")</f>
        <v>estrogen-related receptor gamma</v>
      </c>
      <c r="J1105">
        <v>138.66</v>
      </c>
      <c r="K1105" t="s">
        <v>25</v>
      </c>
      <c r="L1105">
        <v>157</v>
      </c>
      <c r="M1105">
        <v>44.41</v>
      </c>
      <c r="N1105">
        <v>7.38</v>
      </c>
      <c r="O1105" t="s">
        <v>25</v>
      </c>
      <c r="P1105" t="s">
        <v>965</v>
      </c>
      <c r="Q1105" t="s">
        <v>20</v>
      </c>
      <c r="R1105" t="str">
        <f>HYPERLINK("https://cfpub.epa.gov/ecotox/explore.cfm?ncbi=279094","Explore in ECOTOX")</f>
        <v>Explore in ECOTOX</v>
      </c>
    </row>
    <row r="1106" spans="1:18" x14ac:dyDescent="0.25">
      <c r="A1106">
        <v>6</v>
      </c>
      <c r="B1106" t="str">
        <f>HYPERLINK("http://www.ncbi.nlm.nih.gov/protein/XP_014784337.1","XP_014784337.1")</f>
        <v>XP_014784337.1</v>
      </c>
      <c r="C1106">
        <v>62925</v>
      </c>
      <c r="D1106" t="str">
        <f>HYPERLINK("http://www.ncbi.nlm.nih.gov/Taxonomy/Browser/wwwtax.cgi?mode=Info&amp;id=37653&amp;lvl=3&amp;lin=f&amp;keep=1&amp;srchmode=1&amp;unlock","37653")</f>
        <v>37653</v>
      </c>
      <c r="E1106" t="s">
        <v>786</v>
      </c>
      <c r="F1106" t="s">
        <v>786</v>
      </c>
      <c r="G1106" t="str">
        <f>HYPERLINK("http://www.ncbi.nlm.nih.gov/Taxonomy/Browser/wwwtax.cgi?mode=Info&amp;id=37653&amp;lvl=3&amp;lin=f&amp;keep=1&amp;srchmode=1&amp;unlock","Octopus bimaculoides")</f>
        <v>Octopus bimaculoides</v>
      </c>
      <c r="H1106" t="s">
        <v>834</v>
      </c>
      <c r="I1106" t="str">
        <f>HYPERLINK("http://www.ncbi.nlm.nih.gov/protein/XP_014784337.1","PREDICTED: estrogen receptor-like, partial")</f>
        <v>PREDICTED: estrogen receptor-like, partial</v>
      </c>
      <c r="J1106">
        <v>138.27000000000001</v>
      </c>
      <c r="K1106" t="s">
        <v>25</v>
      </c>
      <c r="L1106">
        <v>157</v>
      </c>
      <c r="M1106">
        <v>44.41</v>
      </c>
      <c r="N1106">
        <v>7.36</v>
      </c>
      <c r="O1106" t="s">
        <v>25</v>
      </c>
      <c r="P1106" t="s">
        <v>965</v>
      </c>
      <c r="Q1106" t="s">
        <v>20</v>
      </c>
      <c r="R1106" t="str">
        <f>HYPERLINK("https://cfpub.epa.gov/ecotox/explore.cfm?ncbi=37653","Explore in ECOTOX")</f>
        <v>Explore in ECOTOX</v>
      </c>
    </row>
    <row r="1107" spans="1:18" x14ac:dyDescent="0.25">
      <c r="A1107">
        <v>6</v>
      </c>
      <c r="B1107" t="str">
        <f>HYPERLINK("http://www.ncbi.nlm.nih.gov/protein/AGT02381.1","AGT02381.1")</f>
        <v>AGT02381.1</v>
      </c>
      <c r="C1107">
        <v>24</v>
      </c>
      <c r="D1107" t="str">
        <f>HYPERLINK("http://www.ncbi.nlm.nih.gov/Taxonomy/Browser/wwwtax.cgi?mode=Info&amp;id=386629&amp;lvl=3&amp;lin=f&amp;keep=1&amp;srchmode=1&amp;unlock","386629")</f>
        <v>386629</v>
      </c>
      <c r="E1107" t="s">
        <v>698</v>
      </c>
      <c r="F1107" t="s">
        <v>698</v>
      </c>
      <c r="G1107" t="str">
        <f>HYPERLINK("http://www.ncbi.nlm.nih.gov/Taxonomy/Browser/wwwtax.cgi?mode=Info&amp;id=386629&amp;lvl=3&amp;lin=f&amp;keep=1&amp;srchmode=1&amp;unlock","Omphisa fuscidentalis")</f>
        <v>Omphisa fuscidentalis</v>
      </c>
      <c r="H1107" t="s">
        <v>1161</v>
      </c>
      <c r="I1107" t="str">
        <f>HYPERLINK("http://www.ncbi.nlm.nih.gov/protein/AGT02381.1","ultraspiracle protein isoform 2")</f>
        <v>ultraspiracle protein isoform 2</v>
      </c>
      <c r="J1107">
        <v>138.27000000000001</v>
      </c>
      <c r="K1107" t="s">
        <v>25</v>
      </c>
      <c r="L1107">
        <v>157</v>
      </c>
      <c r="M1107">
        <v>44.41</v>
      </c>
      <c r="N1107">
        <v>7.36</v>
      </c>
      <c r="O1107" t="s">
        <v>25</v>
      </c>
      <c r="P1107" t="s">
        <v>965</v>
      </c>
      <c r="Q1107" t="s">
        <v>20</v>
      </c>
      <c r="R1107" t="str">
        <f>HYPERLINK("https://cfpub.epa.gov/ecotox/explore.cfm?ncbi=386629","Explore in ECOTOX")</f>
        <v>Explore in ECOTOX</v>
      </c>
    </row>
    <row r="1108" spans="1:18" x14ac:dyDescent="0.25">
      <c r="A1108">
        <v>6</v>
      </c>
      <c r="B1108" t="str">
        <f>HYPERLINK("http://www.ncbi.nlm.nih.gov/protein/XP_029644785.1","XP_029644785.1")</f>
        <v>XP_029644785.1</v>
      </c>
      <c r="C1108">
        <v>36125</v>
      </c>
      <c r="D1108" t="str">
        <f>HYPERLINK("http://www.ncbi.nlm.nih.gov/Taxonomy/Browser/wwwtax.cgi?mode=Info&amp;id=2607531&amp;lvl=3&amp;lin=f&amp;keep=1&amp;srchmode=1&amp;unlock","2607531")</f>
        <v>2607531</v>
      </c>
      <c r="E1108" t="s">
        <v>786</v>
      </c>
      <c r="F1108" t="s">
        <v>786</v>
      </c>
      <c r="G1108" t="str">
        <f>HYPERLINK("http://www.ncbi.nlm.nih.gov/Taxonomy/Browser/wwwtax.cgi?mode=Info&amp;id=2607531&amp;lvl=3&amp;lin=f&amp;keep=1&amp;srchmode=1&amp;unlock","Octopus sinensis")</f>
        <v>Octopus sinensis</v>
      </c>
      <c r="H1108" t="s">
        <v>787</v>
      </c>
      <c r="I1108" t="str">
        <f>HYPERLINK("http://www.ncbi.nlm.nih.gov/protein/XP_029644785.1","estrogen receptor isoform X4")</f>
        <v>estrogen receptor isoform X4</v>
      </c>
      <c r="J1108">
        <v>138.27000000000001</v>
      </c>
      <c r="K1108" t="s">
        <v>25</v>
      </c>
      <c r="L1108">
        <v>157</v>
      </c>
      <c r="M1108">
        <v>44.41</v>
      </c>
      <c r="N1108">
        <v>7.36</v>
      </c>
      <c r="O1108" t="s">
        <v>25</v>
      </c>
      <c r="P1108" t="s">
        <v>965</v>
      </c>
      <c r="Q1108" t="s">
        <v>20</v>
      </c>
      <c r="R1108" t="str">
        <f>HYPERLINK("https://cfpub.epa.gov/ecotox/explore.cfm?ncbi=2607531","Explore in ECOTOX")</f>
        <v>Explore in ECOTOX</v>
      </c>
    </row>
    <row r="1109" spans="1:18" x14ac:dyDescent="0.25">
      <c r="A1109">
        <v>6</v>
      </c>
      <c r="B1109" t="str">
        <f>HYPERLINK("http://www.ncbi.nlm.nih.gov/protein/ARD05166.1","ARD05166.1")</f>
        <v>ARD05166.1</v>
      </c>
      <c r="C1109">
        <v>365</v>
      </c>
      <c r="D1109" t="str">
        <f>HYPERLINK("http://www.ncbi.nlm.nih.gov/Taxonomy/Browser/wwwtax.cgi?mode=Info&amp;id=7119&amp;lvl=3&amp;lin=f&amp;keep=1&amp;srchmode=1&amp;unlock","7119")</f>
        <v>7119</v>
      </c>
      <c r="E1109" t="s">
        <v>698</v>
      </c>
      <c r="F1109" t="s">
        <v>698</v>
      </c>
      <c r="G1109" t="str">
        <f>HYPERLINK("http://www.ncbi.nlm.nih.gov/Taxonomy/Browser/wwwtax.cgi?mode=Info&amp;id=7119&amp;lvl=3&amp;lin=f&amp;keep=1&amp;srchmode=1&amp;unlock","Antheraea pernyi")</f>
        <v>Antheraea pernyi</v>
      </c>
      <c r="H1109" t="s">
        <v>1162</v>
      </c>
      <c r="I1109" t="str">
        <f>HYPERLINK("http://www.ncbi.nlm.nih.gov/protein/ARD05166.1","ultraspiracle protein 1")</f>
        <v>ultraspiracle protein 1</v>
      </c>
      <c r="J1109">
        <v>137.88999999999999</v>
      </c>
      <c r="K1109" t="s">
        <v>25</v>
      </c>
      <c r="L1109">
        <v>157</v>
      </c>
      <c r="M1109">
        <v>44.41</v>
      </c>
      <c r="N1109">
        <v>7.34</v>
      </c>
      <c r="O1109" t="s">
        <v>25</v>
      </c>
      <c r="P1109" t="s">
        <v>965</v>
      </c>
      <c r="Q1109" t="s">
        <v>20</v>
      </c>
      <c r="R1109" t="str">
        <f>HYPERLINK("https://cfpub.epa.gov/ecotox/explore.cfm?ncbi=7119","Explore in ECOTOX")</f>
        <v>Explore in ECOTOX</v>
      </c>
    </row>
    <row r="1110" spans="1:18" x14ac:dyDescent="0.25">
      <c r="A1110">
        <v>6</v>
      </c>
      <c r="B1110" t="str">
        <f>HYPERLINK("http://www.ncbi.nlm.nih.gov/protein/XP_038105868.1","XP_038105868.1")</f>
        <v>XP_038105868.1</v>
      </c>
      <c r="C1110">
        <v>44279</v>
      </c>
      <c r="D1110" t="str">
        <f>HYPERLINK("http://www.ncbi.nlm.nih.gov/Taxonomy/Browser/wwwtax.cgi?mode=Info&amp;id=7176&amp;lvl=3&amp;lin=f&amp;keep=1&amp;srchmode=1&amp;unlock","7176")</f>
        <v>7176</v>
      </c>
      <c r="E1110" t="s">
        <v>698</v>
      </c>
      <c r="F1110" t="s">
        <v>698</v>
      </c>
      <c r="G1110" t="str">
        <f>HYPERLINK("http://www.ncbi.nlm.nih.gov/Taxonomy/Browser/wwwtax.cgi?mode=Info&amp;id=7176&amp;lvl=3&amp;lin=f&amp;keep=1&amp;srchmode=1&amp;unlock","Culex quinquefasciatus")</f>
        <v>Culex quinquefasciatus</v>
      </c>
      <c r="H1110" t="s">
        <v>724</v>
      </c>
      <c r="I1110" t="str">
        <f>HYPERLINK("http://www.ncbi.nlm.nih.gov/protein/XP_038105868.1","steroid hormone receptor ERR2 isoform X3")</f>
        <v>steroid hormone receptor ERR2 isoform X3</v>
      </c>
      <c r="J1110">
        <v>137.88999999999999</v>
      </c>
      <c r="K1110" t="s">
        <v>25</v>
      </c>
      <c r="L1110">
        <v>157</v>
      </c>
      <c r="M1110">
        <v>44.41</v>
      </c>
      <c r="N1110">
        <v>7.34</v>
      </c>
      <c r="O1110" t="s">
        <v>25</v>
      </c>
      <c r="P1110" t="s">
        <v>965</v>
      </c>
      <c r="Q1110" t="s">
        <v>20</v>
      </c>
      <c r="R1110" t="str">
        <f>HYPERLINK("https://cfpub.epa.gov/ecotox/explore.cfm?ncbi=7176","Explore in ECOTOX")</f>
        <v>Explore in ECOTOX</v>
      </c>
    </row>
    <row r="1111" spans="1:18" x14ac:dyDescent="0.25">
      <c r="A1111">
        <v>6</v>
      </c>
      <c r="B1111" t="str">
        <f>HYPERLINK("http://www.ncbi.nlm.nih.gov/protein/XP_022113315.1","XP_022113315.1")</f>
        <v>XP_022113315.1</v>
      </c>
      <c r="C1111">
        <v>19670</v>
      </c>
      <c r="D1111" t="str">
        <f>HYPERLINK("http://www.ncbi.nlm.nih.gov/Taxonomy/Browser/wwwtax.cgi?mode=Info&amp;id=64459&amp;lvl=3&amp;lin=f&amp;keep=1&amp;srchmode=1&amp;unlock","64459")</f>
        <v>64459</v>
      </c>
      <c r="E1111" t="s">
        <v>698</v>
      </c>
      <c r="F1111" t="s">
        <v>698</v>
      </c>
      <c r="G1111" t="str">
        <f>HYPERLINK("http://www.ncbi.nlm.nih.gov/Taxonomy/Browser/wwwtax.cgi?mode=Info&amp;id=64459&amp;lvl=3&amp;lin=f&amp;keep=1&amp;srchmode=1&amp;unlock","Pieris rapae")</f>
        <v>Pieris rapae</v>
      </c>
      <c r="H1111" t="s">
        <v>1163</v>
      </c>
      <c r="I1111" t="str">
        <f>HYPERLINK("http://www.ncbi.nlm.nih.gov/protein/XP_022113315.1","steroid hormone receptor ERR2 isoform X3")</f>
        <v>steroid hormone receptor ERR2 isoform X3</v>
      </c>
      <c r="J1111">
        <v>137.88999999999999</v>
      </c>
      <c r="K1111" t="s">
        <v>25</v>
      </c>
      <c r="L1111">
        <v>157</v>
      </c>
      <c r="M1111">
        <v>44.41</v>
      </c>
      <c r="N1111">
        <v>7.34</v>
      </c>
      <c r="O1111" t="s">
        <v>25</v>
      </c>
      <c r="P1111" t="s">
        <v>965</v>
      </c>
      <c r="Q1111" t="s">
        <v>20</v>
      </c>
      <c r="R1111" t="str">
        <f>HYPERLINK("https://cfpub.epa.gov/ecotox/explore.cfm?ncbi=64459","Explore in ECOTOX")</f>
        <v>Explore in ECOTOX</v>
      </c>
    </row>
    <row r="1112" spans="1:18" x14ac:dyDescent="0.25">
      <c r="A1112">
        <v>6</v>
      </c>
      <c r="B1112" t="str">
        <f>HYPERLINK("http://www.ncbi.nlm.nih.gov/protein/ABG00286.1","ABG00286.1")</f>
        <v>ABG00286.1</v>
      </c>
      <c r="C1112">
        <v>549</v>
      </c>
      <c r="D1112" t="str">
        <f>HYPERLINK("http://www.ncbi.nlm.nih.gov/Taxonomy/Browser/wwwtax.cgi?mode=Info&amp;id=6645&amp;lvl=3&amp;lin=f&amp;keep=1&amp;srchmode=1&amp;unlock","6645")</f>
        <v>6645</v>
      </c>
      <c r="E1112" t="s">
        <v>786</v>
      </c>
      <c r="F1112" t="s">
        <v>786</v>
      </c>
      <c r="G1112" t="str">
        <f>HYPERLINK("http://www.ncbi.nlm.nih.gov/Taxonomy/Browser/wwwtax.cgi?mode=Info&amp;id=6645&amp;lvl=3&amp;lin=f&amp;keep=1&amp;srchmode=1&amp;unlock","Octopus vulgaris")</f>
        <v>Octopus vulgaris</v>
      </c>
      <c r="H1112" t="s">
        <v>1164</v>
      </c>
      <c r="I1112" t="str">
        <f>HYPERLINK("http://www.ncbi.nlm.nih.gov/protein/ABG00286.1","estrogen receptor")</f>
        <v>estrogen receptor</v>
      </c>
      <c r="J1112">
        <v>137.88999999999999</v>
      </c>
      <c r="K1112" t="s">
        <v>25</v>
      </c>
      <c r="L1112">
        <v>157</v>
      </c>
      <c r="M1112">
        <v>44.41</v>
      </c>
      <c r="N1112">
        <v>7.34</v>
      </c>
      <c r="O1112" t="s">
        <v>25</v>
      </c>
      <c r="P1112" t="s">
        <v>965</v>
      </c>
      <c r="Q1112" t="s">
        <v>20</v>
      </c>
      <c r="R1112" t="str">
        <f>HYPERLINK("https://cfpub.epa.gov/ecotox/explore.cfm?ncbi=6645","Explore in ECOTOX")</f>
        <v>Explore in ECOTOX</v>
      </c>
    </row>
    <row r="1113" spans="1:18" x14ac:dyDescent="0.25">
      <c r="A1113">
        <v>6</v>
      </c>
      <c r="B1113" t="str">
        <f>HYPERLINK("http://www.ncbi.nlm.nih.gov/protein/CAF4797690.1","CAF4797690.1")</f>
        <v>CAF4797690.1</v>
      </c>
      <c r="C1113">
        <v>18656</v>
      </c>
      <c r="D1113" t="str">
        <f>HYPERLINK("http://www.ncbi.nlm.nih.gov/Taxonomy/Browser/wwwtax.cgi?mode=Info&amp;id=345717&amp;lvl=3&amp;lin=f&amp;keep=1&amp;srchmode=1&amp;unlock","345717")</f>
        <v>345717</v>
      </c>
      <c r="E1113" t="s">
        <v>698</v>
      </c>
      <c r="F1113" t="s">
        <v>698</v>
      </c>
      <c r="G1113" t="str">
        <f>HYPERLINK("http://www.ncbi.nlm.nih.gov/Taxonomy/Browser/wwwtax.cgi?mode=Info&amp;id=345717&amp;lvl=3&amp;lin=f&amp;keep=1&amp;srchmode=1&amp;unlock","Pieris macdunnoughi")</f>
        <v>Pieris macdunnoughi</v>
      </c>
      <c r="H1113" t="s">
        <v>951</v>
      </c>
      <c r="I1113" t="str">
        <f>HYPERLINK("http://www.ncbi.nlm.nih.gov/protein/CAF4797690.1","unnamed protein product")</f>
        <v>unnamed protein product</v>
      </c>
      <c r="J1113">
        <v>137.5</v>
      </c>
      <c r="K1113" t="s">
        <v>25</v>
      </c>
      <c r="L1113">
        <v>157</v>
      </c>
      <c r="M1113">
        <v>44.41</v>
      </c>
      <c r="N1113">
        <v>7.32</v>
      </c>
      <c r="O1113" t="s">
        <v>25</v>
      </c>
      <c r="P1113" t="s">
        <v>965</v>
      </c>
      <c r="Q1113" t="s">
        <v>20</v>
      </c>
      <c r="R1113" t="str">
        <f>HYPERLINK("https://cfpub.epa.gov/ecotox/explore.cfm?ncbi=345717","Explore in ECOTOX")</f>
        <v>Explore in ECOTOX</v>
      </c>
    </row>
    <row r="1114" spans="1:18" x14ac:dyDescent="0.25">
      <c r="A1114">
        <v>6</v>
      </c>
      <c r="B1114" t="str">
        <f>HYPERLINK("http://www.ncbi.nlm.nih.gov/protein/ADO64596.1","ADO64596.1")</f>
        <v>ADO64596.1</v>
      </c>
      <c r="C1114">
        <v>534</v>
      </c>
      <c r="D1114" t="str">
        <f>HYPERLINK("http://www.ncbi.nlm.nih.gov/Taxonomy/Browser/wwwtax.cgi?mode=Info&amp;id=7109&amp;lvl=3&amp;lin=f&amp;keep=1&amp;srchmode=1&amp;unlock","7109")</f>
        <v>7109</v>
      </c>
      <c r="E1114" t="s">
        <v>698</v>
      </c>
      <c r="F1114" t="s">
        <v>698</v>
      </c>
      <c r="G1114" t="str">
        <f>HYPERLINK("http://www.ncbi.nlm.nih.gov/Taxonomy/Browser/wwwtax.cgi?mode=Info&amp;id=7109&amp;lvl=3&amp;lin=f&amp;keep=1&amp;srchmode=1&amp;unlock","Spodoptera littoralis")</f>
        <v>Spodoptera littoralis</v>
      </c>
      <c r="H1114" t="s">
        <v>1165</v>
      </c>
      <c r="I1114" t="str">
        <f>HYPERLINK("http://www.ncbi.nlm.nih.gov/protein/ADO64596.1","ultraspiracle")</f>
        <v>ultraspiracle</v>
      </c>
      <c r="J1114">
        <v>137.12</v>
      </c>
      <c r="K1114" t="s">
        <v>25</v>
      </c>
      <c r="L1114">
        <v>157</v>
      </c>
      <c r="M1114">
        <v>44.41</v>
      </c>
      <c r="N1114">
        <v>7.3</v>
      </c>
      <c r="O1114" t="s">
        <v>25</v>
      </c>
      <c r="P1114" t="s">
        <v>965</v>
      </c>
      <c r="Q1114" t="s">
        <v>20</v>
      </c>
      <c r="R1114" t="str">
        <f>HYPERLINK("https://cfpub.epa.gov/ecotox/explore.cfm?ncbi=7109","Explore in ECOTOX")</f>
        <v>Explore in ECOTOX</v>
      </c>
    </row>
    <row r="1115" spans="1:18" x14ac:dyDescent="0.25">
      <c r="A1115">
        <v>6</v>
      </c>
      <c r="B1115" t="str">
        <f>HYPERLINK("http://www.ncbi.nlm.nih.gov/protein/XP_030037836.1","XP_030037836.1")</f>
        <v>XP_030037836.1</v>
      </c>
      <c r="C1115">
        <v>25955</v>
      </c>
      <c r="D1115" t="str">
        <f>HYPERLINK("http://www.ncbi.nlm.nih.gov/Taxonomy/Browser/wwwtax.cgi?mode=Info&amp;id=7130&amp;lvl=3&amp;lin=f&amp;keep=1&amp;srchmode=1&amp;unlock","7130")</f>
        <v>7130</v>
      </c>
      <c r="E1115" t="s">
        <v>698</v>
      </c>
      <c r="F1115" t="s">
        <v>698</v>
      </c>
      <c r="G1115" t="str">
        <f>HYPERLINK("http://www.ncbi.nlm.nih.gov/Taxonomy/Browser/wwwtax.cgi?mode=Info&amp;id=7130&amp;lvl=3&amp;lin=f&amp;keep=1&amp;srchmode=1&amp;unlock","Manduca sexta")</f>
        <v>Manduca sexta</v>
      </c>
      <c r="H1115" t="s">
        <v>915</v>
      </c>
      <c r="I1115" t="str">
        <f>HYPERLINK("http://www.ncbi.nlm.nih.gov/protein/XP_030037836.1","steroid hormone receptor ERR2 isoform X2")</f>
        <v>steroid hormone receptor ERR2 isoform X2</v>
      </c>
      <c r="J1115">
        <v>137.12</v>
      </c>
      <c r="K1115" t="s">
        <v>25</v>
      </c>
      <c r="L1115">
        <v>157</v>
      </c>
      <c r="M1115">
        <v>44.41</v>
      </c>
      <c r="N1115">
        <v>7.3</v>
      </c>
      <c r="O1115" t="s">
        <v>25</v>
      </c>
      <c r="P1115" t="s">
        <v>965</v>
      </c>
      <c r="Q1115" t="s">
        <v>20</v>
      </c>
      <c r="R1115" t="str">
        <f>HYPERLINK("https://cfpub.epa.gov/ecotox/explore.cfm?ncbi=7130","Explore in ECOTOX")</f>
        <v>Explore in ECOTOX</v>
      </c>
    </row>
    <row r="1116" spans="1:18" x14ac:dyDescent="0.25">
      <c r="A1116">
        <v>6</v>
      </c>
      <c r="B1116" t="str">
        <f>HYPERLINK("http://www.ncbi.nlm.nih.gov/protein/XP_017492231.1","XP_017492231.1")</f>
        <v>XP_017492231.1</v>
      </c>
      <c r="C1116">
        <v>34640</v>
      </c>
      <c r="D1116" t="str">
        <f>HYPERLINK("http://www.ncbi.nlm.nih.gov/Taxonomy/Browser/wwwtax.cgi?mode=Info&amp;id=28612&amp;lvl=3&amp;lin=f&amp;keep=1&amp;srchmode=1&amp;unlock","28612")</f>
        <v>28612</v>
      </c>
      <c r="E1116" t="s">
        <v>698</v>
      </c>
      <c r="F1116" t="s">
        <v>698</v>
      </c>
      <c r="G1116" t="str">
        <f>HYPERLINK("http://www.ncbi.nlm.nih.gov/Taxonomy/Browser/wwwtax.cgi?mode=Info&amp;id=28612&amp;lvl=3&amp;lin=f&amp;keep=1&amp;srchmode=1&amp;unlock","Rhagoletis zephyria")</f>
        <v>Rhagoletis zephyria</v>
      </c>
      <c r="H1116" t="s">
        <v>708</v>
      </c>
      <c r="I1116" t="str">
        <f>HYPERLINK("http://www.ncbi.nlm.nih.gov/protein/XP_017492231.1","PREDICTED: steroid hormone receptor ERR2-like, partial")</f>
        <v>PREDICTED: steroid hormone receptor ERR2-like, partial</v>
      </c>
      <c r="J1116">
        <v>137.12</v>
      </c>
      <c r="K1116" t="s">
        <v>25</v>
      </c>
      <c r="L1116">
        <v>157</v>
      </c>
      <c r="M1116">
        <v>44.41</v>
      </c>
      <c r="N1116">
        <v>7.3</v>
      </c>
      <c r="O1116" t="s">
        <v>25</v>
      </c>
      <c r="P1116" t="s">
        <v>965</v>
      </c>
      <c r="Q1116" t="s">
        <v>20</v>
      </c>
      <c r="R1116" t="str">
        <f>HYPERLINK("https://cfpub.epa.gov/ecotox/explore.cfm?ncbi=28612","Explore in ECOTOX")</f>
        <v>Explore in ECOTOX</v>
      </c>
    </row>
    <row r="1117" spans="1:18" x14ac:dyDescent="0.25">
      <c r="A1117">
        <v>6</v>
      </c>
      <c r="B1117" t="str">
        <f>HYPERLINK("http://www.ncbi.nlm.nih.gov/protein/BBE52666.1","BBE52666.1")</f>
        <v>BBE52666.1</v>
      </c>
      <c r="C1117">
        <v>48</v>
      </c>
      <c r="D1117" t="str">
        <f>HYPERLINK("http://www.ncbi.nlm.nih.gov/Taxonomy/Browser/wwwtax.cgi?mode=Info&amp;id=85585&amp;lvl=3&amp;lin=f&amp;keep=1&amp;srchmode=1&amp;unlock","85585")</f>
        <v>85585</v>
      </c>
      <c r="E1117" t="s">
        <v>698</v>
      </c>
      <c r="F1117" t="s">
        <v>698</v>
      </c>
      <c r="G1117" t="str">
        <f>HYPERLINK("http://www.ncbi.nlm.nih.gov/Taxonomy/Browser/wwwtax.cgi?mode=Info&amp;id=85585&amp;lvl=3&amp;lin=f&amp;keep=1&amp;srchmode=1&amp;unlock","Adoxophyes honmai")</f>
        <v>Adoxophyes honmai</v>
      </c>
      <c r="H1117" t="s">
        <v>1166</v>
      </c>
      <c r="I1117" t="str">
        <f>HYPERLINK("http://www.ncbi.nlm.nih.gov/protein/BBE52666.1","Ultraspiracle")</f>
        <v>Ultraspiracle</v>
      </c>
      <c r="J1117">
        <v>137.12</v>
      </c>
      <c r="K1117" t="s">
        <v>25</v>
      </c>
      <c r="L1117">
        <v>157</v>
      </c>
      <c r="M1117">
        <v>44.41</v>
      </c>
      <c r="N1117">
        <v>7.3</v>
      </c>
      <c r="O1117" t="s">
        <v>25</v>
      </c>
      <c r="P1117" t="s">
        <v>965</v>
      </c>
      <c r="Q1117" t="s">
        <v>20</v>
      </c>
      <c r="R1117" t="str">
        <f>HYPERLINK("https://cfpub.epa.gov/ecotox/explore.cfm?ncbi=85585","Explore in ECOTOX")</f>
        <v>Explore in ECOTOX</v>
      </c>
    </row>
    <row r="1118" spans="1:18" x14ac:dyDescent="0.25">
      <c r="A1118">
        <v>6</v>
      </c>
      <c r="B1118" t="str">
        <f>HYPERLINK("http://www.ncbi.nlm.nih.gov/protein/AHN16691.1","AHN16691.1")</f>
        <v>AHN16691.1</v>
      </c>
      <c r="C1118">
        <v>42</v>
      </c>
      <c r="D1118" t="str">
        <f>HYPERLINK("http://www.ncbi.nlm.nih.gov/Taxonomy/Browser/wwwtax.cgi?mode=Info&amp;id=6837&amp;lvl=3&amp;lin=f&amp;keep=1&amp;srchmode=1&amp;unlock","6837")</f>
        <v>6837</v>
      </c>
      <c r="E1118" t="s">
        <v>760</v>
      </c>
      <c r="F1118" t="s">
        <v>760</v>
      </c>
      <c r="G1118" t="str">
        <f>HYPERLINK("http://www.ncbi.nlm.nih.gov/Taxonomy/Browser/wwwtax.cgi?mode=Info&amp;id=6837&amp;lvl=3&amp;lin=f&amp;keep=1&amp;srchmode=1&amp;unlock","Calanus finmarchicus")</f>
        <v>Calanus finmarchicus</v>
      </c>
      <c r="H1118" t="s">
        <v>778</v>
      </c>
      <c r="I1118" t="str">
        <f>HYPERLINK("http://www.ncbi.nlm.nih.gov/protein/AHN16691.1","putative estrogen related nuclear receptor, partial")</f>
        <v>putative estrogen related nuclear receptor, partial</v>
      </c>
      <c r="J1118">
        <v>136.72999999999999</v>
      </c>
      <c r="K1118" t="s">
        <v>25</v>
      </c>
      <c r="L1118">
        <v>157</v>
      </c>
      <c r="M1118">
        <v>44.41</v>
      </c>
      <c r="N1118">
        <v>7.28</v>
      </c>
      <c r="O1118" t="s">
        <v>25</v>
      </c>
      <c r="P1118" t="s">
        <v>965</v>
      </c>
      <c r="Q1118" t="s">
        <v>20</v>
      </c>
      <c r="R1118" t="str">
        <f>HYPERLINK("https://cfpub.epa.gov/ecotox/explore.cfm?ncbi=6837","Explore in ECOTOX")</f>
        <v>Explore in ECOTOX</v>
      </c>
    </row>
    <row r="1119" spans="1:18" x14ac:dyDescent="0.25">
      <c r="A1119">
        <v>6</v>
      </c>
      <c r="B1119" t="str">
        <f>HYPERLINK("http://www.ncbi.nlm.nih.gov/protein/XP_039452505.1","XP_039452505.1")</f>
        <v>XP_039452505.1</v>
      </c>
      <c r="C1119">
        <v>25415</v>
      </c>
      <c r="D1119" t="str">
        <f>HYPERLINK("http://www.ncbi.nlm.nih.gov/Taxonomy/Browser/wwwtax.cgi?mode=Info&amp;id=42434&amp;lvl=3&amp;lin=f&amp;keep=1&amp;srchmode=1&amp;unlock","42434")</f>
        <v>42434</v>
      </c>
      <c r="E1119" t="s">
        <v>698</v>
      </c>
      <c r="F1119" t="s">
        <v>698</v>
      </c>
      <c r="G1119" t="str">
        <f>HYPERLINK("http://www.ncbi.nlm.nih.gov/Taxonomy/Browser/wwwtax.cgi?mode=Info&amp;id=42434&amp;lvl=3&amp;lin=f&amp;keep=1&amp;srchmode=1&amp;unlock","Culex pipiens pallens")</f>
        <v>Culex pipiens pallens</v>
      </c>
      <c r="H1119" t="s">
        <v>723</v>
      </c>
      <c r="I1119" t="str">
        <f>HYPERLINK("http://www.ncbi.nlm.nih.gov/protein/XP_039452505.1","steroid hormone receptor ERR2 isoform X2")</f>
        <v>steroid hormone receptor ERR2 isoform X2</v>
      </c>
      <c r="J1119">
        <v>136.72999999999999</v>
      </c>
      <c r="K1119" t="s">
        <v>25</v>
      </c>
      <c r="L1119">
        <v>157</v>
      </c>
      <c r="M1119">
        <v>44.41</v>
      </c>
      <c r="N1119">
        <v>7.28</v>
      </c>
      <c r="O1119" t="s">
        <v>25</v>
      </c>
      <c r="P1119" t="s">
        <v>965</v>
      </c>
      <c r="Q1119" t="s">
        <v>20</v>
      </c>
      <c r="R1119" t="str">
        <f>HYPERLINK("https://cfpub.epa.gov/ecotox/explore.cfm?ncbi=42434","Explore in ECOTOX")</f>
        <v>Explore in ECOTOX</v>
      </c>
    </row>
    <row r="1120" spans="1:18" x14ac:dyDescent="0.25">
      <c r="A1120">
        <v>6</v>
      </c>
      <c r="B1120" t="str">
        <f>HYPERLINK("http://www.ncbi.nlm.nih.gov/protein/KPJ10088.1","KPJ10088.1")</f>
        <v>KPJ10088.1</v>
      </c>
      <c r="C1120">
        <v>33312</v>
      </c>
      <c r="D1120" t="str">
        <f>HYPERLINK("http://www.ncbi.nlm.nih.gov/Taxonomy/Browser/wwwtax.cgi?mode=Info&amp;id=76193&amp;lvl=3&amp;lin=f&amp;keep=1&amp;srchmode=1&amp;unlock","76193")</f>
        <v>76193</v>
      </c>
      <c r="E1120" t="s">
        <v>698</v>
      </c>
      <c r="F1120" t="s">
        <v>698</v>
      </c>
      <c r="G1120" t="str">
        <f>HYPERLINK("http://www.ncbi.nlm.nih.gov/Taxonomy/Browser/wwwtax.cgi?mode=Info&amp;id=76193&amp;lvl=3&amp;lin=f&amp;keep=1&amp;srchmode=1&amp;unlock","Papilio machaon")</f>
        <v>Papilio machaon</v>
      </c>
      <c r="H1120" t="s">
        <v>870</v>
      </c>
      <c r="I1120" t="str">
        <f>HYPERLINK("http://www.ncbi.nlm.nih.gov/protein/KPJ10088.1","Steroid hormone receptor ERR2")</f>
        <v>Steroid hormone receptor ERR2</v>
      </c>
      <c r="J1120">
        <v>136.35</v>
      </c>
      <c r="K1120" t="s">
        <v>25</v>
      </c>
      <c r="L1120">
        <v>157</v>
      </c>
      <c r="M1120">
        <v>44.41</v>
      </c>
      <c r="N1120">
        <v>7.26</v>
      </c>
      <c r="O1120" t="s">
        <v>25</v>
      </c>
      <c r="P1120" t="s">
        <v>965</v>
      </c>
      <c r="Q1120" t="s">
        <v>20</v>
      </c>
      <c r="R1120" t="str">
        <f>HYPERLINK("https://cfpub.epa.gov/ecotox/explore.cfm?ncbi=76193","Explore in ECOTOX")</f>
        <v>Explore in ECOTOX</v>
      </c>
    </row>
    <row r="1121" spans="1:18" x14ac:dyDescent="0.25">
      <c r="A1121">
        <v>6</v>
      </c>
      <c r="B1121" t="str">
        <f>HYPERLINK("http://www.ncbi.nlm.nih.gov/protein/XP_035919033.1","XP_035919033.1")</f>
        <v>XP_035919033.1</v>
      </c>
      <c r="C1121">
        <v>30158</v>
      </c>
      <c r="D1121" t="str">
        <f>HYPERLINK("http://www.ncbi.nlm.nih.gov/Taxonomy/Browser/wwwtax.cgi?mode=Info&amp;id=30069&amp;lvl=3&amp;lin=f&amp;keep=1&amp;srchmode=1&amp;unlock","30069")</f>
        <v>30069</v>
      </c>
      <c r="E1121" t="s">
        <v>698</v>
      </c>
      <c r="F1121" t="s">
        <v>698</v>
      </c>
      <c r="G1121" t="str">
        <f>HYPERLINK("http://www.ncbi.nlm.nih.gov/Taxonomy/Browser/wwwtax.cgi?mode=Info&amp;id=30069&amp;lvl=3&amp;lin=f&amp;keep=1&amp;srchmode=1&amp;unlock","Anopheles stephensi")</f>
        <v>Anopheles stephensi</v>
      </c>
      <c r="H1121" t="s">
        <v>783</v>
      </c>
      <c r="I1121" t="str">
        <f>HYPERLINK("http://www.ncbi.nlm.nih.gov/protein/XP_035919033.1","steroid hormone receptor ERR2-like isoform X4")</f>
        <v>steroid hormone receptor ERR2-like isoform X4</v>
      </c>
      <c r="J1121">
        <v>135.96</v>
      </c>
      <c r="K1121" t="s">
        <v>25</v>
      </c>
      <c r="L1121">
        <v>157</v>
      </c>
      <c r="M1121">
        <v>44.41</v>
      </c>
      <c r="N1121">
        <v>7.24</v>
      </c>
      <c r="O1121" t="s">
        <v>25</v>
      </c>
      <c r="P1121" t="s">
        <v>965</v>
      </c>
      <c r="Q1121" t="s">
        <v>20</v>
      </c>
      <c r="R1121" t="str">
        <f>HYPERLINK("https://cfpub.epa.gov/ecotox/explore.cfm?ncbi=30069","Explore in ECOTOX")</f>
        <v>Explore in ECOTOX</v>
      </c>
    </row>
    <row r="1122" spans="1:18" x14ac:dyDescent="0.25">
      <c r="A1122">
        <v>6</v>
      </c>
      <c r="B1122" t="str">
        <f>HYPERLINK("http://www.ncbi.nlm.nih.gov/protein/KAF7487730.1","KAF7487730.1")</f>
        <v>KAF7487730.1</v>
      </c>
      <c r="C1122">
        <v>20026</v>
      </c>
      <c r="D1122" t="str">
        <f>HYPERLINK("http://www.ncbi.nlm.nih.gov/Taxonomy/Browser/wwwtax.cgi?mode=Info&amp;id=52283&amp;lvl=3&amp;lin=f&amp;keep=1&amp;srchmode=1&amp;unlock","52283")</f>
        <v>52283</v>
      </c>
      <c r="E1122" t="s">
        <v>700</v>
      </c>
      <c r="F1122" t="s">
        <v>700</v>
      </c>
      <c r="G1122" t="str">
        <f>HYPERLINK("http://www.ncbi.nlm.nih.gov/Taxonomy/Browser/wwwtax.cgi?mode=Info&amp;id=52283&amp;lvl=3&amp;lin=f&amp;keep=1&amp;srchmode=1&amp;unlock","Sarcoptes scabiei")</f>
        <v>Sarcoptes scabiei</v>
      </c>
      <c r="H1122" t="s">
        <v>701</v>
      </c>
      <c r="I1122" t="str">
        <f>HYPERLINK("http://www.ncbi.nlm.nih.gov/protein/KAF7487730.1","Estrogen-related receptor gamma")</f>
        <v>Estrogen-related receptor gamma</v>
      </c>
      <c r="J1122">
        <v>135.58000000000001</v>
      </c>
      <c r="K1122" t="s">
        <v>25</v>
      </c>
      <c r="L1122">
        <v>157</v>
      </c>
      <c r="M1122">
        <v>44.41</v>
      </c>
      <c r="N1122">
        <v>7.22</v>
      </c>
      <c r="O1122" t="s">
        <v>25</v>
      </c>
      <c r="P1122" t="s">
        <v>965</v>
      </c>
      <c r="Q1122" t="s">
        <v>20</v>
      </c>
      <c r="R1122" t="str">
        <f>HYPERLINK("https://cfpub.epa.gov/ecotox/explore.cfm?ncbi=52283","Explore in ECOTOX")</f>
        <v>Explore in ECOTOX</v>
      </c>
    </row>
    <row r="1123" spans="1:18" x14ac:dyDescent="0.25">
      <c r="A1123">
        <v>6</v>
      </c>
      <c r="B1123" t="str">
        <f>HYPERLINK("http://www.ncbi.nlm.nih.gov/protein/XP_026478160.1","XP_026478160.1")</f>
        <v>XP_026478160.1</v>
      </c>
      <c r="C1123">
        <v>22235</v>
      </c>
      <c r="D1123" t="str">
        <f>HYPERLINK("http://www.ncbi.nlm.nih.gov/Taxonomy/Browser/wwwtax.cgi?mode=Info&amp;id=7515&amp;lvl=3&amp;lin=f&amp;keep=1&amp;srchmode=1&amp;unlock","7515")</f>
        <v>7515</v>
      </c>
      <c r="E1123" t="s">
        <v>698</v>
      </c>
      <c r="F1123" t="s">
        <v>698</v>
      </c>
      <c r="G1123" t="str">
        <f>HYPERLINK("http://www.ncbi.nlm.nih.gov/Taxonomy/Browser/wwwtax.cgi?mode=Info&amp;id=7515&amp;lvl=3&amp;lin=f&amp;keep=1&amp;srchmode=1&amp;unlock","Ctenocephalides felis")</f>
        <v>Ctenocephalides felis</v>
      </c>
      <c r="H1123" t="s">
        <v>780</v>
      </c>
      <c r="I1123" t="str">
        <f>HYPERLINK("http://www.ncbi.nlm.nih.gov/protein/XP_026478160.1","steroid hormone receptor ERR2-like")</f>
        <v>steroid hormone receptor ERR2-like</v>
      </c>
      <c r="J1123">
        <v>135.58000000000001</v>
      </c>
      <c r="K1123" t="s">
        <v>25</v>
      </c>
      <c r="L1123">
        <v>157</v>
      </c>
      <c r="M1123">
        <v>44.41</v>
      </c>
      <c r="N1123">
        <v>7.22</v>
      </c>
      <c r="O1123" t="s">
        <v>25</v>
      </c>
      <c r="P1123" t="s">
        <v>965</v>
      </c>
      <c r="Q1123" t="s">
        <v>20</v>
      </c>
      <c r="R1123" t="str">
        <f>HYPERLINK("https://cfpub.epa.gov/ecotox/explore.cfm?ncbi=7515","Explore in ECOTOX")</f>
        <v>Explore in ECOTOX</v>
      </c>
    </row>
    <row r="1124" spans="1:18" x14ac:dyDescent="0.25">
      <c r="A1124">
        <v>6</v>
      </c>
      <c r="B1124" t="str">
        <f>HYPERLINK("http://www.ncbi.nlm.nih.gov/protein/XP_030854544.1","XP_030854544.1")</f>
        <v>XP_030854544.1</v>
      </c>
      <c r="C1124">
        <v>40365</v>
      </c>
      <c r="D1124" t="str">
        <f>HYPERLINK("http://www.ncbi.nlm.nih.gov/Taxonomy/Browser/wwwtax.cgi?mode=Info&amp;id=7668&amp;lvl=3&amp;lin=f&amp;keep=1&amp;srchmode=1&amp;unlock","7668")</f>
        <v>7668</v>
      </c>
      <c r="E1124" t="s">
        <v>811</v>
      </c>
      <c r="F1124" t="s">
        <v>811</v>
      </c>
      <c r="G1124" t="str">
        <f>HYPERLINK("http://www.ncbi.nlm.nih.gov/Taxonomy/Browser/wwwtax.cgi?mode=Info&amp;id=7668&amp;lvl=3&amp;lin=f&amp;keep=1&amp;srchmode=1&amp;unlock","Strongylocentrotus purpuratus")</f>
        <v>Strongylocentrotus purpuratus</v>
      </c>
      <c r="H1124" t="s">
        <v>812</v>
      </c>
      <c r="I1124" t="str">
        <f>HYPERLINK("http://www.ncbi.nlm.nih.gov/protein/XP_030854544.1","estrogen-related receptor gamma")</f>
        <v>estrogen-related receptor gamma</v>
      </c>
      <c r="J1124">
        <v>135.19</v>
      </c>
      <c r="K1124" t="s">
        <v>25</v>
      </c>
      <c r="L1124">
        <v>157</v>
      </c>
      <c r="M1124">
        <v>44.41</v>
      </c>
      <c r="N1124">
        <v>7.2</v>
      </c>
      <c r="O1124" t="s">
        <v>25</v>
      </c>
      <c r="P1124" t="s">
        <v>965</v>
      </c>
      <c r="Q1124" t="s">
        <v>20</v>
      </c>
      <c r="R1124" t="str">
        <f>HYPERLINK("https://cfpub.epa.gov/ecotox/explore.cfm?ncbi=7668","Explore in ECOTOX")</f>
        <v>Explore in ECOTOX</v>
      </c>
    </row>
    <row r="1125" spans="1:18" x14ac:dyDescent="0.25">
      <c r="A1125">
        <v>6</v>
      </c>
      <c r="B1125" t="str">
        <f>HYPERLINK("http://www.ncbi.nlm.nih.gov/protein/XP_023033105.1","XP_023033105.1")</f>
        <v>XP_023033105.1</v>
      </c>
      <c r="C1125">
        <v>34285</v>
      </c>
      <c r="D1125" t="str">
        <f>HYPERLINK("http://www.ncbi.nlm.nih.gov/Taxonomy/Browser/wwwtax.cgi?mode=Info&amp;id=7260&amp;lvl=3&amp;lin=f&amp;keep=1&amp;srchmode=1&amp;unlock","7260")</f>
        <v>7260</v>
      </c>
      <c r="E1125" t="s">
        <v>698</v>
      </c>
      <c r="F1125" t="s">
        <v>698</v>
      </c>
      <c r="G1125" t="str">
        <f>HYPERLINK("http://www.ncbi.nlm.nih.gov/Taxonomy/Browser/wwwtax.cgi?mode=Info&amp;id=7260&amp;lvl=3&amp;lin=f&amp;keep=1&amp;srchmode=1&amp;unlock","Drosophila willistoni")</f>
        <v>Drosophila willistoni</v>
      </c>
      <c r="H1125" t="s">
        <v>753</v>
      </c>
      <c r="I1125" t="str">
        <f>HYPERLINK("http://www.ncbi.nlm.nih.gov/protein/XP_023033105.1","steroid hormone receptor ERR2")</f>
        <v>steroid hormone receptor ERR2</v>
      </c>
      <c r="J1125">
        <v>134.81</v>
      </c>
      <c r="K1125" t="s">
        <v>25</v>
      </c>
      <c r="L1125">
        <v>157</v>
      </c>
      <c r="M1125">
        <v>44.41</v>
      </c>
      <c r="N1125">
        <v>7.18</v>
      </c>
      <c r="O1125" t="s">
        <v>25</v>
      </c>
      <c r="P1125" t="s">
        <v>965</v>
      </c>
      <c r="Q1125" t="s">
        <v>20</v>
      </c>
      <c r="R1125" t="str">
        <f>HYPERLINK("https://cfpub.epa.gov/ecotox/explore.cfm?ncbi=7260","Explore in ECOTOX")</f>
        <v>Explore in ECOTOX</v>
      </c>
    </row>
    <row r="1126" spans="1:18" x14ac:dyDescent="0.25">
      <c r="A1126">
        <v>6</v>
      </c>
      <c r="B1126" t="str">
        <f>HYPERLINK("http://www.ncbi.nlm.nih.gov/protein/XP_017842967.2","XP_017842967.2")</f>
        <v>XP_017842967.2</v>
      </c>
      <c r="C1126">
        <v>31279</v>
      </c>
      <c r="D1126" t="str">
        <f>HYPERLINK("http://www.ncbi.nlm.nih.gov/Taxonomy/Browser/wwwtax.cgi?mode=Info&amp;id=30019&amp;lvl=3&amp;lin=f&amp;keep=1&amp;srchmode=1&amp;unlock","30019")</f>
        <v>30019</v>
      </c>
      <c r="E1126" t="s">
        <v>698</v>
      </c>
      <c r="F1126" t="s">
        <v>698</v>
      </c>
      <c r="G1126" t="str">
        <f>HYPERLINK("http://www.ncbi.nlm.nih.gov/Taxonomy/Browser/wwwtax.cgi?mode=Info&amp;id=30019&amp;lvl=3&amp;lin=f&amp;keep=1&amp;srchmode=1&amp;unlock","Drosophila busckii")</f>
        <v>Drosophila busckii</v>
      </c>
      <c r="H1126" t="s">
        <v>753</v>
      </c>
      <c r="I1126" t="str">
        <f>HYPERLINK("http://www.ncbi.nlm.nih.gov/protein/XP_017842967.2","LOW QUALITY PROTEIN: steroid hormone receptor ERR2")</f>
        <v>LOW QUALITY PROTEIN: steroid hormone receptor ERR2</v>
      </c>
      <c r="J1126">
        <v>134.81</v>
      </c>
      <c r="K1126" t="s">
        <v>25</v>
      </c>
      <c r="L1126">
        <v>157</v>
      </c>
      <c r="M1126">
        <v>44.41</v>
      </c>
      <c r="N1126">
        <v>7.18</v>
      </c>
      <c r="O1126" t="s">
        <v>25</v>
      </c>
      <c r="P1126" t="s">
        <v>965</v>
      </c>
      <c r="Q1126" t="s">
        <v>20</v>
      </c>
      <c r="R1126" t="str">
        <f>HYPERLINK("https://cfpub.epa.gov/ecotox/explore.cfm?ncbi=30019","Explore in ECOTOX")</f>
        <v>Explore in ECOTOX</v>
      </c>
    </row>
    <row r="1127" spans="1:18" x14ac:dyDescent="0.25">
      <c r="A1127">
        <v>6</v>
      </c>
      <c r="B1127" t="str">
        <f>HYPERLINK("http://www.ncbi.nlm.nih.gov/protein/XP_031627642.1","XP_031627642.1")</f>
        <v>XP_031627642.1</v>
      </c>
      <c r="C1127">
        <v>24972</v>
      </c>
      <c r="D1127" t="str">
        <f>HYPERLINK("http://www.ncbi.nlm.nih.gov/Taxonomy/Browser/wwwtax.cgi?mode=Info&amp;id=265458&amp;lvl=3&amp;lin=f&amp;keep=1&amp;srchmode=1&amp;unlock","265458")</f>
        <v>265458</v>
      </c>
      <c r="E1127" t="s">
        <v>698</v>
      </c>
      <c r="F1127" t="s">
        <v>698</v>
      </c>
      <c r="G1127" t="str">
        <f>HYPERLINK("http://www.ncbi.nlm.nih.gov/Taxonomy/Browser/wwwtax.cgi?mode=Info&amp;id=265458&amp;lvl=3&amp;lin=f&amp;keep=1&amp;srchmode=1&amp;unlock","Contarinia nasturtii")</f>
        <v>Contarinia nasturtii</v>
      </c>
      <c r="H1127" t="s">
        <v>789</v>
      </c>
      <c r="I1127" t="str">
        <f>HYPERLINK("http://www.ncbi.nlm.nih.gov/protein/XP_031627642.1","steroid hormone receptor ERR2 isoform X1")</f>
        <v>steroid hormone receptor ERR2 isoform X1</v>
      </c>
      <c r="J1127">
        <v>134.81</v>
      </c>
      <c r="K1127" t="s">
        <v>25</v>
      </c>
      <c r="L1127">
        <v>157</v>
      </c>
      <c r="M1127">
        <v>44.41</v>
      </c>
      <c r="N1127">
        <v>7.18</v>
      </c>
      <c r="O1127" t="s">
        <v>25</v>
      </c>
      <c r="P1127" t="s">
        <v>965</v>
      </c>
      <c r="Q1127" t="s">
        <v>20</v>
      </c>
      <c r="R1127" t="str">
        <f>HYPERLINK("https://cfpub.epa.gov/ecotox/explore.cfm?ncbi=265458","Explore in ECOTOX")</f>
        <v>Explore in ECOTOX</v>
      </c>
    </row>
    <row r="1128" spans="1:18" x14ac:dyDescent="0.25">
      <c r="A1128">
        <v>6</v>
      </c>
      <c r="B1128" t="str">
        <f>HYPERLINK("http://www.ncbi.nlm.nih.gov/protein/AYJ00905.1","AYJ00905.1")</f>
        <v>AYJ00905.1</v>
      </c>
      <c r="C1128">
        <v>807</v>
      </c>
      <c r="D1128" t="str">
        <f>HYPERLINK("http://www.ncbi.nlm.nih.gov/Taxonomy/Browser/wwwtax.cgi?mode=Info&amp;id=129788&amp;lvl=3&amp;lin=f&amp;keep=1&amp;srchmode=1&amp;unlock","129788")</f>
        <v>129788</v>
      </c>
      <c r="E1128" t="s">
        <v>709</v>
      </c>
      <c r="F1128" t="s">
        <v>709</v>
      </c>
      <c r="G1128" t="str">
        <f>HYPERLINK("http://www.ncbi.nlm.nih.gov/Taxonomy/Browser/wwwtax.cgi?mode=Info&amp;id=129788&amp;lvl=3&amp;lin=f&amp;keep=1&amp;srchmode=1&amp;unlock","Ruditapes philippinarum")</f>
        <v>Ruditapes philippinarum</v>
      </c>
      <c r="H1128" t="s">
        <v>1167</v>
      </c>
      <c r="I1128" t="str">
        <f>HYPERLINK("http://www.ncbi.nlm.nih.gov/protein/AYJ00905.1","estrogen receptor, partial")</f>
        <v>estrogen receptor, partial</v>
      </c>
      <c r="J1128">
        <v>134.41999999999999</v>
      </c>
      <c r="K1128" t="s">
        <v>25</v>
      </c>
      <c r="L1128">
        <v>157</v>
      </c>
      <c r="M1128">
        <v>44.41</v>
      </c>
      <c r="N1128">
        <v>7.16</v>
      </c>
      <c r="O1128" t="s">
        <v>25</v>
      </c>
      <c r="P1128" t="s">
        <v>965</v>
      </c>
      <c r="Q1128" t="s">
        <v>20</v>
      </c>
      <c r="R1128" t="str">
        <f>HYPERLINK("https://cfpub.epa.gov/ecotox/explore.cfm?ncbi=129788","Explore in ECOTOX")</f>
        <v>Explore in ECOTOX</v>
      </c>
    </row>
    <row r="1129" spans="1:18" x14ac:dyDescent="0.25">
      <c r="A1129">
        <v>6</v>
      </c>
      <c r="B1129" t="str">
        <f>HYPERLINK("http://www.ncbi.nlm.nih.gov/protein/KAF0288423.1","KAF0288423.1")</f>
        <v>KAF0288423.1</v>
      </c>
      <c r="C1129">
        <v>28245</v>
      </c>
      <c r="D1129" t="str">
        <f>HYPERLINK("http://www.ncbi.nlm.nih.gov/Taxonomy/Browser/wwwtax.cgi?mode=Info&amp;id=1232801&amp;lvl=3&amp;lin=f&amp;keep=1&amp;srchmode=1&amp;unlock","1232801")</f>
        <v>1232801</v>
      </c>
      <c r="E1129" t="s">
        <v>760</v>
      </c>
      <c r="F1129" t="s">
        <v>760</v>
      </c>
      <c r="G1129" t="str">
        <f>HYPERLINK("http://www.ncbi.nlm.nih.gov/Taxonomy/Browser/wwwtax.cgi?mode=Info&amp;id=1232801&amp;lvl=3&amp;lin=f&amp;keep=1&amp;srchmode=1&amp;unlock","Amphibalanus amphitrite")</f>
        <v>Amphibalanus amphitrite</v>
      </c>
      <c r="H1129" t="s">
        <v>761</v>
      </c>
      <c r="I1129" t="str">
        <f>HYPERLINK("http://www.ncbi.nlm.nih.gov/protein/KAF0288423.1","Steroid hormone receptor ERR2")</f>
        <v>Steroid hormone receptor ERR2</v>
      </c>
      <c r="J1129">
        <v>134.41999999999999</v>
      </c>
      <c r="K1129" t="s">
        <v>25</v>
      </c>
      <c r="L1129">
        <v>157</v>
      </c>
      <c r="M1129">
        <v>44.41</v>
      </c>
      <c r="N1129">
        <v>7.16</v>
      </c>
      <c r="O1129" t="s">
        <v>25</v>
      </c>
      <c r="P1129" t="s">
        <v>965</v>
      </c>
      <c r="Q1129" t="s">
        <v>20</v>
      </c>
      <c r="R1129" t="str">
        <f>HYPERLINK("https://cfpub.epa.gov/ecotox/explore.cfm?ncbi=1232801","Explore in ECOTOX")</f>
        <v>Explore in ECOTOX</v>
      </c>
    </row>
    <row r="1130" spans="1:18" x14ac:dyDescent="0.25">
      <c r="A1130">
        <v>6</v>
      </c>
      <c r="B1130" t="str">
        <f>HYPERLINK("http://www.ncbi.nlm.nih.gov/protein/AZZ69695.1","AZZ69695.1")</f>
        <v>AZZ69695.1</v>
      </c>
      <c r="C1130">
        <v>106</v>
      </c>
      <c r="D1130" t="str">
        <f>HYPERLINK("http://www.ncbi.nlm.nih.gov/Taxonomy/Browser/wwwtax.cgi?mode=Info&amp;id=148819&amp;lvl=3&amp;lin=f&amp;keep=1&amp;srchmode=1&amp;unlock","148819")</f>
        <v>148819</v>
      </c>
      <c r="E1130" t="s">
        <v>709</v>
      </c>
      <c r="F1130" t="s">
        <v>709</v>
      </c>
      <c r="G1130" t="str">
        <f>HYPERLINK("http://www.ncbi.nlm.nih.gov/Taxonomy/Browser/wwwtax.cgi?mode=Info&amp;id=148819&amp;lvl=3&amp;lin=f&amp;keep=1&amp;srchmode=1&amp;unlock","Anadara broughtonii")</f>
        <v>Anadara broughtonii</v>
      </c>
      <c r="H1130" t="s">
        <v>1168</v>
      </c>
      <c r="I1130" t="str">
        <f>HYPERLINK("http://www.ncbi.nlm.nih.gov/protein/AZZ69695.1","estrogen receptor")</f>
        <v>estrogen receptor</v>
      </c>
      <c r="J1130">
        <v>134.03</v>
      </c>
      <c r="K1130" t="s">
        <v>25</v>
      </c>
      <c r="L1130">
        <v>157</v>
      </c>
      <c r="M1130">
        <v>44.41</v>
      </c>
      <c r="N1130">
        <v>7.13</v>
      </c>
      <c r="O1130" t="s">
        <v>25</v>
      </c>
      <c r="P1130" t="s">
        <v>965</v>
      </c>
      <c r="Q1130" t="s">
        <v>20</v>
      </c>
      <c r="R1130" t="str">
        <f>HYPERLINK("https://cfpub.epa.gov/ecotox/explore.cfm?ncbi=148819","Explore in ECOTOX")</f>
        <v>Explore in ECOTOX</v>
      </c>
    </row>
    <row r="1131" spans="1:18" x14ac:dyDescent="0.25">
      <c r="A1131">
        <v>6</v>
      </c>
      <c r="B1131" t="str">
        <f>HYPERLINK("http://www.ncbi.nlm.nih.gov/protein/KPJ01521.1","KPJ01521.1")</f>
        <v>KPJ01521.1</v>
      </c>
      <c r="C1131">
        <v>39510</v>
      </c>
      <c r="D1131" t="str">
        <f>HYPERLINK("http://www.ncbi.nlm.nih.gov/Taxonomy/Browser/wwwtax.cgi?mode=Info&amp;id=66420&amp;lvl=3&amp;lin=f&amp;keep=1&amp;srchmode=1&amp;unlock","66420")</f>
        <v>66420</v>
      </c>
      <c r="E1131" t="s">
        <v>698</v>
      </c>
      <c r="F1131" t="s">
        <v>698</v>
      </c>
      <c r="G1131" t="str">
        <f>HYPERLINK("http://www.ncbi.nlm.nih.gov/Taxonomy/Browser/wwwtax.cgi?mode=Info&amp;id=66420&amp;lvl=3&amp;lin=f&amp;keep=1&amp;srchmode=1&amp;unlock","Papilio xuthus")</f>
        <v>Papilio xuthus</v>
      </c>
      <c r="H1131" t="s">
        <v>923</v>
      </c>
      <c r="I1131" t="str">
        <f>HYPERLINK("http://www.ncbi.nlm.nih.gov/protein/KPJ01521.1","Estrogen-related receptor gamma")</f>
        <v>Estrogen-related receptor gamma</v>
      </c>
      <c r="J1131">
        <v>133.65</v>
      </c>
      <c r="K1131" t="s">
        <v>25</v>
      </c>
      <c r="L1131">
        <v>157</v>
      </c>
      <c r="M1131">
        <v>44.41</v>
      </c>
      <c r="N1131">
        <v>7.11</v>
      </c>
      <c r="O1131" t="s">
        <v>25</v>
      </c>
      <c r="P1131" t="s">
        <v>965</v>
      </c>
      <c r="Q1131" t="s">
        <v>20</v>
      </c>
      <c r="R1131" t="str">
        <f>HYPERLINK("https://cfpub.epa.gov/ecotox/explore.cfm?ncbi=66420","Explore in ECOTOX")</f>
        <v>Explore in ECOTOX</v>
      </c>
    </row>
    <row r="1132" spans="1:18" x14ac:dyDescent="0.25">
      <c r="A1132">
        <v>6</v>
      </c>
      <c r="B1132" t="str">
        <f>HYPERLINK("http://www.ncbi.nlm.nih.gov/protein/XP_020809519.1","XP_020809519.1")</f>
        <v>XP_020809519.1</v>
      </c>
      <c r="C1132">
        <v>20997</v>
      </c>
      <c r="D1132" t="str">
        <f>HYPERLINK("http://www.ncbi.nlm.nih.gov/Taxonomy/Browser/wwwtax.cgi?mode=Info&amp;id=7274&amp;lvl=3&amp;lin=f&amp;keep=1&amp;srchmode=1&amp;unlock","7274")</f>
        <v>7274</v>
      </c>
      <c r="E1132" t="s">
        <v>698</v>
      </c>
      <c r="F1132" t="s">
        <v>698</v>
      </c>
      <c r="G1132" t="str">
        <f>HYPERLINK("http://www.ncbi.nlm.nih.gov/Taxonomy/Browser/wwwtax.cgi?mode=Info&amp;id=7274&amp;lvl=3&amp;lin=f&amp;keep=1&amp;srchmode=1&amp;unlock","Drosophila serrata")</f>
        <v>Drosophila serrata</v>
      </c>
      <c r="H1132" t="s">
        <v>753</v>
      </c>
      <c r="I1132" t="str">
        <f>HYPERLINK("http://www.ncbi.nlm.nih.gov/protein/XP_020809519.1","steroid hormone receptor ERR2 isoform X1")</f>
        <v>steroid hormone receptor ERR2 isoform X1</v>
      </c>
      <c r="J1132">
        <v>133.26</v>
      </c>
      <c r="K1132" t="s">
        <v>25</v>
      </c>
      <c r="L1132">
        <v>157</v>
      </c>
      <c r="M1132">
        <v>44.41</v>
      </c>
      <c r="N1132">
        <v>7.09</v>
      </c>
      <c r="O1132" t="s">
        <v>25</v>
      </c>
      <c r="P1132" t="s">
        <v>965</v>
      </c>
      <c r="Q1132" t="s">
        <v>20</v>
      </c>
      <c r="R1132" t="str">
        <f>HYPERLINK("https://cfpub.epa.gov/ecotox/explore.cfm?ncbi=7274","Explore in ECOTOX")</f>
        <v>Explore in ECOTOX</v>
      </c>
    </row>
    <row r="1133" spans="1:18" x14ac:dyDescent="0.25">
      <c r="A1133">
        <v>6</v>
      </c>
      <c r="B1133" t="str">
        <f>HYPERLINK("http://www.ncbi.nlm.nih.gov/protein/ADL71443.1","ADL71443.1")</f>
        <v>ADL71443.1</v>
      </c>
      <c r="C1133">
        <v>148</v>
      </c>
      <c r="D1133" t="str">
        <f>HYPERLINK("http://www.ncbi.nlm.nih.gov/Taxonomy/Browser/wwwtax.cgi?mode=Info&amp;id=7666&amp;lvl=3&amp;lin=f&amp;keep=1&amp;srchmode=1&amp;unlock","7666")</f>
        <v>7666</v>
      </c>
      <c r="E1133" t="s">
        <v>811</v>
      </c>
      <c r="F1133" t="s">
        <v>811</v>
      </c>
      <c r="G1133" t="str">
        <f>HYPERLINK("http://www.ncbi.nlm.nih.gov/Taxonomy/Browser/wwwtax.cgi?mode=Info&amp;id=7666&amp;lvl=3&amp;lin=f&amp;keep=1&amp;srchmode=1&amp;unlock","Mesocentrotus nudus")</f>
        <v>Mesocentrotus nudus</v>
      </c>
      <c r="H1133" t="s">
        <v>1169</v>
      </c>
      <c r="I1133" t="str">
        <f>HYPERLINK("http://www.ncbi.nlm.nih.gov/protein/ADL71443.1","estrogen receptor-like receptor")</f>
        <v>estrogen receptor-like receptor</v>
      </c>
      <c r="J1133">
        <v>133.26</v>
      </c>
      <c r="K1133" t="s">
        <v>25</v>
      </c>
      <c r="L1133">
        <v>157</v>
      </c>
      <c r="M1133">
        <v>44.41</v>
      </c>
      <c r="N1133">
        <v>7.09</v>
      </c>
      <c r="O1133" t="s">
        <v>25</v>
      </c>
      <c r="P1133" t="s">
        <v>965</v>
      </c>
      <c r="Q1133" t="s">
        <v>20</v>
      </c>
      <c r="R1133" t="str">
        <f>HYPERLINK("https://cfpub.epa.gov/ecotox/explore.cfm?ncbi=7666","Explore in ECOTOX")</f>
        <v>Explore in ECOTOX</v>
      </c>
    </row>
    <row r="1134" spans="1:18" x14ac:dyDescent="0.25">
      <c r="A1134">
        <v>6</v>
      </c>
      <c r="B1134" t="str">
        <f>HYPERLINK("http://www.ncbi.nlm.nih.gov/protein/XP_034102522.1","XP_034102522.1")</f>
        <v>XP_034102522.1</v>
      </c>
      <c r="C1134">
        <v>23268</v>
      </c>
      <c r="D1134" t="str">
        <f>HYPERLINK("http://www.ncbi.nlm.nih.gov/Taxonomy/Browser/wwwtax.cgi?mode=Info&amp;id=7291&amp;lvl=3&amp;lin=f&amp;keep=1&amp;srchmode=1&amp;unlock","7291")</f>
        <v>7291</v>
      </c>
      <c r="E1134" t="s">
        <v>698</v>
      </c>
      <c r="F1134" t="s">
        <v>698</v>
      </c>
      <c r="G1134" t="str">
        <f>HYPERLINK("http://www.ncbi.nlm.nih.gov/Taxonomy/Browser/wwwtax.cgi?mode=Info&amp;id=7291&amp;lvl=3&amp;lin=f&amp;keep=1&amp;srchmode=1&amp;unlock","Drosophila albomicans")</f>
        <v>Drosophila albomicans</v>
      </c>
      <c r="H1134" t="s">
        <v>753</v>
      </c>
      <c r="I1134" t="str">
        <f>HYPERLINK("http://www.ncbi.nlm.nih.gov/protein/XP_034102522.1","steroid hormone receptor ERR2")</f>
        <v>steroid hormone receptor ERR2</v>
      </c>
      <c r="J1134">
        <v>133.26</v>
      </c>
      <c r="K1134" t="s">
        <v>25</v>
      </c>
      <c r="L1134">
        <v>157</v>
      </c>
      <c r="M1134">
        <v>44.41</v>
      </c>
      <c r="N1134">
        <v>7.09</v>
      </c>
      <c r="O1134" t="s">
        <v>25</v>
      </c>
      <c r="P1134" t="s">
        <v>965</v>
      </c>
      <c r="Q1134" t="s">
        <v>20</v>
      </c>
      <c r="R1134" t="str">
        <f>HYPERLINK("https://cfpub.epa.gov/ecotox/explore.cfm?ncbi=7291","Explore in ECOTOX")</f>
        <v>Explore in ECOTOX</v>
      </c>
    </row>
    <row r="1135" spans="1:18" x14ac:dyDescent="0.25">
      <c r="A1135">
        <v>6</v>
      </c>
      <c r="B1135" t="str">
        <f>HYPERLINK("http://www.ncbi.nlm.nih.gov/protein/XP_023331701.1","XP_023331701.1")</f>
        <v>XP_023331701.1</v>
      </c>
      <c r="C1135">
        <v>30734</v>
      </c>
      <c r="D1135" t="str">
        <f>HYPERLINK("http://www.ncbi.nlm.nih.gov/Taxonomy/Browser/wwwtax.cgi?mode=Info&amp;id=88015&amp;lvl=3&amp;lin=f&amp;keep=1&amp;srchmode=1&amp;unlock","88015")</f>
        <v>88015</v>
      </c>
      <c r="E1135" t="s">
        <v>760</v>
      </c>
      <c r="F1135" t="s">
        <v>760</v>
      </c>
      <c r="G1135" t="str">
        <f>HYPERLINK("http://www.ncbi.nlm.nih.gov/Taxonomy/Browser/wwwtax.cgi?mode=Info&amp;id=88015&amp;lvl=3&amp;lin=f&amp;keep=1&amp;srchmode=1&amp;unlock","Eurytemora affinis")</f>
        <v>Eurytemora affinis</v>
      </c>
      <c r="H1135" t="s">
        <v>778</v>
      </c>
      <c r="I1135" t="str">
        <f>HYPERLINK("http://www.ncbi.nlm.nih.gov/protein/XP_023331701.1","uncharacterized protein LOC111703860 isoform X2")</f>
        <v>uncharacterized protein LOC111703860 isoform X2</v>
      </c>
      <c r="J1135">
        <v>133.26</v>
      </c>
      <c r="K1135" t="s">
        <v>25</v>
      </c>
      <c r="L1135">
        <v>157</v>
      </c>
      <c r="M1135">
        <v>44.41</v>
      </c>
      <c r="N1135">
        <v>7.09</v>
      </c>
      <c r="O1135" t="s">
        <v>25</v>
      </c>
      <c r="P1135" t="s">
        <v>965</v>
      </c>
      <c r="Q1135" t="s">
        <v>20</v>
      </c>
      <c r="R1135" t="str">
        <f>HYPERLINK("https://cfpub.epa.gov/ecotox/explore.cfm?ncbi=88015","Explore in ECOTOX")</f>
        <v>Explore in ECOTOX</v>
      </c>
    </row>
    <row r="1136" spans="1:18" x14ac:dyDescent="0.25">
      <c r="A1136">
        <v>6</v>
      </c>
      <c r="B1136" t="str">
        <f>HYPERLINK("http://www.ncbi.nlm.nih.gov/protein/XP_013147747.1","XP_013147747.1")</f>
        <v>XP_013147747.1</v>
      </c>
      <c r="C1136">
        <v>17827</v>
      </c>
      <c r="D1136" t="str">
        <f>HYPERLINK("http://www.ncbi.nlm.nih.gov/Taxonomy/Browser/wwwtax.cgi?mode=Info&amp;id=76194&amp;lvl=3&amp;lin=f&amp;keep=1&amp;srchmode=1&amp;unlock","76194")</f>
        <v>76194</v>
      </c>
      <c r="E1136" t="s">
        <v>698</v>
      </c>
      <c r="F1136" t="s">
        <v>698</v>
      </c>
      <c r="G1136" t="str">
        <f>HYPERLINK("http://www.ncbi.nlm.nih.gov/Taxonomy/Browser/wwwtax.cgi?mode=Info&amp;id=76194&amp;lvl=3&amp;lin=f&amp;keep=1&amp;srchmode=1&amp;unlock","Papilio polytes")</f>
        <v>Papilio polytes</v>
      </c>
      <c r="H1136" t="s">
        <v>881</v>
      </c>
      <c r="I1136" t="str">
        <f>HYPERLINK("http://www.ncbi.nlm.nih.gov/protein/XP_013147747.1","PREDICTED: steroid hormone receptor ERR1-like isoform X4")</f>
        <v>PREDICTED: steroid hormone receptor ERR1-like isoform X4</v>
      </c>
      <c r="J1136">
        <v>132.88</v>
      </c>
      <c r="K1136" t="s">
        <v>25</v>
      </c>
      <c r="L1136">
        <v>157</v>
      </c>
      <c r="M1136">
        <v>44.41</v>
      </c>
      <c r="N1136">
        <v>7.07</v>
      </c>
      <c r="O1136" t="s">
        <v>25</v>
      </c>
      <c r="P1136" t="s">
        <v>965</v>
      </c>
      <c r="Q1136" t="s">
        <v>20</v>
      </c>
      <c r="R1136" t="str">
        <f>HYPERLINK("https://cfpub.epa.gov/ecotox/explore.cfm?ncbi=76194","Explore in ECOTOX")</f>
        <v>Explore in ECOTOX</v>
      </c>
    </row>
    <row r="1137" spans="1:18" x14ac:dyDescent="0.25">
      <c r="A1137">
        <v>6</v>
      </c>
      <c r="B1137" t="str">
        <f>HYPERLINK("http://www.ncbi.nlm.nih.gov/protein/AAT44330.1","AAT44330.1")</f>
        <v>AAT44330.1</v>
      </c>
      <c r="C1137">
        <v>207</v>
      </c>
      <c r="D1137" t="str">
        <f>HYPERLINK("http://www.ncbi.nlm.nih.gov/Taxonomy/Browser/wwwtax.cgi?mode=Info&amp;id=58824&amp;lvl=3&amp;lin=f&amp;keep=1&amp;srchmode=1&amp;unlock","58824")</f>
        <v>58824</v>
      </c>
      <c r="E1137" t="s">
        <v>698</v>
      </c>
      <c r="F1137" t="s">
        <v>698</v>
      </c>
      <c r="G1137" t="str">
        <f>HYPERLINK("http://www.ncbi.nlm.nih.gov/Taxonomy/Browser/wwwtax.cgi?mode=Info&amp;id=58824&amp;lvl=3&amp;lin=f&amp;keep=1&amp;srchmode=1&amp;unlock","Plodia interpunctella")</f>
        <v>Plodia interpunctella</v>
      </c>
      <c r="H1137" t="s">
        <v>1170</v>
      </c>
      <c r="I1137" t="str">
        <f>HYPERLINK("http://www.ncbi.nlm.nih.gov/protein/AAT44330.1","USP")</f>
        <v>USP</v>
      </c>
      <c r="J1137">
        <v>132.11000000000001</v>
      </c>
      <c r="K1137" t="s">
        <v>25</v>
      </c>
      <c r="L1137">
        <v>157</v>
      </c>
      <c r="M1137">
        <v>44.41</v>
      </c>
      <c r="N1137">
        <v>7.03</v>
      </c>
      <c r="O1137" t="s">
        <v>25</v>
      </c>
      <c r="P1137" t="s">
        <v>965</v>
      </c>
      <c r="Q1137" t="s">
        <v>20</v>
      </c>
      <c r="R1137" t="str">
        <f>HYPERLINK("https://cfpub.epa.gov/ecotox/explore.cfm?ncbi=58824","Explore in ECOTOX")</f>
        <v>Explore in ECOTOX</v>
      </c>
    </row>
    <row r="1138" spans="1:18" x14ac:dyDescent="0.25">
      <c r="A1138">
        <v>6</v>
      </c>
      <c r="B1138" t="str">
        <f>HYPERLINK("http://www.ncbi.nlm.nih.gov/protein/ANP24206.1","ANP24206.1")</f>
        <v>ANP24206.1</v>
      </c>
      <c r="C1138">
        <v>610</v>
      </c>
      <c r="D1138" t="str">
        <f>HYPERLINK("http://www.ncbi.nlm.nih.gov/Taxonomy/Browser/wwwtax.cgi?mode=Info&amp;id=7740&amp;lvl=3&amp;lin=f&amp;keep=1&amp;srchmode=1&amp;unlock","7740")</f>
        <v>7740</v>
      </c>
      <c r="E1138" t="s">
        <v>725</v>
      </c>
      <c r="F1138" t="s">
        <v>725</v>
      </c>
      <c r="G1138" t="str">
        <f>HYPERLINK("http://www.ncbi.nlm.nih.gov/Taxonomy/Browser/wwwtax.cgi?mode=Info&amp;id=7740&amp;lvl=3&amp;lin=f&amp;keep=1&amp;srchmode=1&amp;unlock","Branchiostoma lanceolatum")</f>
        <v>Branchiostoma lanceolatum</v>
      </c>
      <c r="H1138" t="s">
        <v>1171</v>
      </c>
      <c r="I1138" t="str">
        <f>HYPERLINK("http://www.ncbi.nlm.nih.gov/protein/ANP24206.1","retinoid X receptor")</f>
        <v>retinoid X receptor</v>
      </c>
      <c r="J1138">
        <v>132.11000000000001</v>
      </c>
      <c r="K1138" t="s">
        <v>25</v>
      </c>
      <c r="L1138">
        <v>157</v>
      </c>
      <c r="M1138">
        <v>44.41</v>
      </c>
      <c r="N1138">
        <v>7.03</v>
      </c>
      <c r="O1138" t="s">
        <v>25</v>
      </c>
      <c r="P1138" t="s">
        <v>965</v>
      </c>
      <c r="Q1138" t="s">
        <v>20</v>
      </c>
      <c r="R1138" t="str">
        <f>HYPERLINK("https://cfpub.epa.gov/ecotox/explore.cfm?ncbi=7740","Explore in ECOTOX")</f>
        <v>Explore in ECOTOX</v>
      </c>
    </row>
    <row r="1139" spans="1:18" x14ac:dyDescent="0.25">
      <c r="A1139">
        <v>6</v>
      </c>
      <c r="B1139" t="str">
        <f>HYPERLINK("http://www.ncbi.nlm.nih.gov/protein/XP_022215374.1","XP_022215374.1")</f>
        <v>XP_022215374.1</v>
      </c>
      <c r="C1139">
        <v>26945</v>
      </c>
      <c r="D1139" t="str">
        <f>HYPERLINK("http://www.ncbi.nlm.nih.gov/Taxonomy/Browser/wwwtax.cgi?mode=Info&amp;id=7282&amp;lvl=3&amp;lin=f&amp;keep=1&amp;srchmode=1&amp;unlock","7282")</f>
        <v>7282</v>
      </c>
      <c r="E1139" t="s">
        <v>698</v>
      </c>
      <c r="F1139" t="s">
        <v>698</v>
      </c>
      <c r="G1139" t="str">
        <f>HYPERLINK("http://www.ncbi.nlm.nih.gov/Taxonomy/Browser/wwwtax.cgi?mode=Info&amp;id=7282&amp;lvl=3&amp;lin=f&amp;keep=1&amp;srchmode=1&amp;unlock","Drosophila obscura")</f>
        <v>Drosophila obscura</v>
      </c>
      <c r="H1139" t="s">
        <v>753</v>
      </c>
      <c r="I1139" t="str">
        <f>HYPERLINK("http://www.ncbi.nlm.nih.gov/protein/XP_022215374.1","steroid hormone receptor ERR2")</f>
        <v>steroid hormone receptor ERR2</v>
      </c>
      <c r="J1139">
        <v>132.11000000000001</v>
      </c>
      <c r="K1139" t="s">
        <v>25</v>
      </c>
      <c r="L1139">
        <v>157</v>
      </c>
      <c r="M1139">
        <v>44.41</v>
      </c>
      <c r="N1139">
        <v>7.03</v>
      </c>
      <c r="O1139" t="s">
        <v>25</v>
      </c>
      <c r="P1139" t="s">
        <v>965</v>
      </c>
      <c r="Q1139" t="s">
        <v>20</v>
      </c>
      <c r="R1139" t="str">
        <f>HYPERLINK("https://cfpub.epa.gov/ecotox/explore.cfm?ncbi=7282","Explore in ECOTOX")</f>
        <v>Explore in ECOTOX</v>
      </c>
    </row>
    <row r="1140" spans="1:18" x14ac:dyDescent="0.25">
      <c r="A1140">
        <v>6</v>
      </c>
      <c r="B1140" t="str">
        <f>HYPERLINK("http://www.ncbi.nlm.nih.gov/protein/QOU81379.1","QOU81379.1")</f>
        <v>QOU81379.1</v>
      </c>
      <c r="C1140">
        <v>162</v>
      </c>
      <c r="D1140" t="str">
        <f>HYPERLINK("http://www.ncbi.nlm.nih.gov/Taxonomy/Browser/wwwtax.cgi?mode=Info&amp;id=940481&amp;lvl=3&amp;lin=f&amp;keep=1&amp;srchmode=1&amp;unlock","940481")</f>
        <v>940481</v>
      </c>
      <c r="E1140" t="s">
        <v>698</v>
      </c>
      <c r="F1140" t="s">
        <v>698</v>
      </c>
      <c r="G1140" t="str">
        <f>HYPERLINK("http://www.ncbi.nlm.nih.gov/Taxonomy/Browser/wwwtax.cgi?mode=Info&amp;id=940481&amp;lvl=3&amp;lin=f&amp;keep=1&amp;srchmode=1&amp;unlock","Conopomorpha sinensis")</f>
        <v>Conopomorpha sinensis</v>
      </c>
      <c r="H1140" t="s">
        <v>1172</v>
      </c>
      <c r="I1140" t="str">
        <f>HYPERLINK("http://www.ncbi.nlm.nih.gov/protein/QOU81379.1","ultraspiracle protein isoform 2")</f>
        <v>ultraspiracle protein isoform 2</v>
      </c>
      <c r="J1140">
        <v>131.72</v>
      </c>
      <c r="K1140" t="s">
        <v>25</v>
      </c>
      <c r="L1140">
        <v>157</v>
      </c>
      <c r="M1140">
        <v>44.41</v>
      </c>
      <c r="N1140">
        <v>7.01</v>
      </c>
      <c r="O1140" t="s">
        <v>25</v>
      </c>
      <c r="P1140" t="s">
        <v>965</v>
      </c>
      <c r="Q1140" t="s">
        <v>20</v>
      </c>
      <c r="R1140" t="str">
        <f>HYPERLINK("https://cfpub.epa.gov/ecotox/explore.cfm?ncbi=940481","Explore in ECOTOX")</f>
        <v>Explore in ECOTOX</v>
      </c>
    </row>
    <row r="1141" spans="1:18" x14ac:dyDescent="0.25">
      <c r="A1141">
        <v>6</v>
      </c>
      <c r="B1141" t="str">
        <f>HYPERLINK("http://www.ncbi.nlm.nih.gov/protein/XP_001983597.1","XP_001983597.1")</f>
        <v>XP_001983597.1</v>
      </c>
      <c r="C1141">
        <v>35106</v>
      </c>
      <c r="D1141" t="str">
        <f>HYPERLINK("http://www.ncbi.nlm.nih.gov/Taxonomy/Browser/wwwtax.cgi?mode=Info&amp;id=7222&amp;lvl=3&amp;lin=f&amp;keep=1&amp;srchmode=1&amp;unlock","7222")</f>
        <v>7222</v>
      </c>
      <c r="E1141" t="s">
        <v>698</v>
      </c>
      <c r="F1141" t="s">
        <v>698</v>
      </c>
      <c r="G1141" t="str">
        <f>HYPERLINK("http://www.ncbi.nlm.nih.gov/Taxonomy/Browser/wwwtax.cgi?mode=Info&amp;id=7222&amp;lvl=3&amp;lin=f&amp;keep=1&amp;srchmode=1&amp;unlock","Drosophila grimshawi")</f>
        <v>Drosophila grimshawi</v>
      </c>
      <c r="H1141" t="s">
        <v>753</v>
      </c>
      <c r="I1141" t="str">
        <f>HYPERLINK("http://www.ncbi.nlm.nih.gov/protein/XP_001983597.1","steroid hormone receptor ERR2")</f>
        <v>steroid hormone receptor ERR2</v>
      </c>
      <c r="J1141">
        <v>131.34</v>
      </c>
      <c r="K1141" t="s">
        <v>25</v>
      </c>
      <c r="L1141">
        <v>157</v>
      </c>
      <c r="M1141">
        <v>44.41</v>
      </c>
      <c r="N1141">
        <v>6.99</v>
      </c>
      <c r="O1141" t="s">
        <v>25</v>
      </c>
      <c r="P1141" t="s">
        <v>965</v>
      </c>
      <c r="Q1141" t="s">
        <v>20</v>
      </c>
      <c r="R1141" t="str">
        <f>HYPERLINK("https://cfpub.epa.gov/ecotox/explore.cfm?ncbi=7222","Explore in ECOTOX")</f>
        <v>Explore in ECOTOX</v>
      </c>
    </row>
    <row r="1142" spans="1:18" x14ac:dyDescent="0.25">
      <c r="A1142">
        <v>6</v>
      </c>
      <c r="B1142" t="str">
        <f>HYPERLINK("http://www.ncbi.nlm.nih.gov/protein/BAL41655.1","BAL41655.1")</f>
        <v>BAL41655.1</v>
      </c>
      <c r="C1142">
        <v>130</v>
      </c>
      <c r="D1142" t="str">
        <f>HYPERLINK("http://www.ncbi.nlm.nih.gov/Taxonomy/Browser/wwwtax.cgi?mode=Info&amp;id=72366&amp;lvl=3&amp;lin=f&amp;keep=1&amp;srchmode=1&amp;unlock","72366")</f>
        <v>72366</v>
      </c>
      <c r="E1142" t="s">
        <v>698</v>
      </c>
      <c r="F1142" t="s">
        <v>698</v>
      </c>
      <c r="G1142" t="str">
        <f>HYPERLINK("http://www.ncbi.nlm.nih.gov/Taxonomy/Browser/wwwtax.cgi?mode=Info&amp;id=72366&amp;lvl=3&amp;lin=f&amp;keep=1&amp;srchmode=1&amp;unlock","Scirpophaga incertulas")</f>
        <v>Scirpophaga incertulas</v>
      </c>
      <c r="H1142" t="s">
        <v>1173</v>
      </c>
      <c r="I1142" t="str">
        <f>HYPERLINK("http://www.ncbi.nlm.nih.gov/protein/BAL41655.1","ultraspiracle protein")</f>
        <v>ultraspiracle protein</v>
      </c>
      <c r="J1142">
        <v>131.34</v>
      </c>
      <c r="K1142" t="s">
        <v>25</v>
      </c>
      <c r="L1142">
        <v>157</v>
      </c>
      <c r="M1142">
        <v>44.41</v>
      </c>
      <c r="N1142">
        <v>6.99</v>
      </c>
      <c r="O1142" t="s">
        <v>25</v>
      </c>
      <c r="P1142" t="s">
        <v>965</v>
      </c>
      <c r="Q1142" t="s">
        <v>20</v>
      </c>
      <c r="R1142" t="str">
        <f>HYPERLINK("https://cfpub.epa.gov/ecotox/explore.cfm?ncbi=72366","Explore in ECOTOX")</f>
        <v>Explore in ECOTOX</v>
      </c>
    </row>
    <row r="1143" spans="1:18" x14ac:dyDescent="0.25">
      <c r="A1143">
        <v>6</v>
      </c>
      <c r="B1143" t="str">
        <f>HYPERLINK("http://www.ncbi.nlm.nih.gov/protein/XP_017018410.1","XP_017018410.1")</f>
        <v>XP_017018410.1</v>
      </c>
      <c r="C1143">
        <v>22493</v>
      </c>
      <c r="D1143" t="str">
        <f>HYPERLINK("http://www.ncbi.nlm.nih.gov/Taxonomy/Browser/wwwtax.cgi?mode=Info&amp;id=30033&amp;lvl=3&amp;lin=f&amp;keep=1&amp;srchmode=1&amp;unlock","30033")</f>
        <v>30033</v>
      </c>
      <c r="E1143" t="s">
        <v>698</v>
      </c>
      <c r="F1143" t="s">
        <v>698</v>
      </c>
      <c r="G1143" t="str">
        <f>HYPERLINK("http://www.ncbi.nlm.nih.gov/Taxonomy/Browser/wwwtax.cgi?mode=Info&amp;id=30033&amp;lvl=3&amp;lin=f&amp;keep=1&amp;srchmode=1&amp;unlock","Drosophila kikkawai")</f>
        <v>Drosophila kikkawai</v>
      </c>
      <c r="H1143" t="s">
        <v>753</v>
      </c>
      <c r="I1143" t="str">
        <f>HYPERLINK("http://www.ncbi.nlm.nih.gov/protein/XP_017018410.1","PREDICTED: steroid hormone receptor ERR1 isoform X1")</f>
        <v>PREDICTED: steroid hormone receptor ERR1 isoform X1</v>
      </c>
      <c r="J1143">
        <v>131.34</v>
      </c>
      <c r="K1143" t="s">
        <v>25</v>
      </c>
      <c r="L1143">
        <v>157</v>
      </c>
      <c r="M1143">
        <v>44.41</v>
      </c>
      <c r="N1143">
        <v>6.99</v>
      </c>
      <c r="O1143" t="s">
        <v>25</v>
      </c>
      <c r="P1143" t="s">
        <v>965</v>
      </c>
      <c r="Q1143" t="s">
        <v>20</v>
      </c>
      <c r="R1143" t="str">
        <f>HYPERLINK("https://cfpub.epa.gov/ecotox/explore.cfm?ncbi=30033","Explore in ECOTOX")</f>
        <v>Explore in ECOTOX</v>
      </c>
    </row>
    <row r="1144" spans="1:18" x14ac:dyDescent="0.25">
      <c r="A1144">
        <v>6</v>
      </c>
      <c r="B1144" t="str">
        <f>HYPERLINK("http://www.ncbi.nlm.nih.gov/protein/AHM10266.1","AHM10266.1")</f>
        <v>AHM10266.1</v>
      </c>
      <c r="C1144">
        <v>15</v>
      </c>
      <c r="D1144" t="str">
        <f>HYPERLINK("http://www.ncbi.nlm.nih.gov/Taxonomy/Browser/wwwtax.cgi?mode=Info&amp;id=6478&amp;lvl=3&amp;lin=f&amp;keep=1&amp;srchmode=1&amp;unlock","6478")</f>
        <v>6478</v>
      </c>
      <c r="E1144" t="s">
        <v>763</v>
      </c>
      <c r="F1144" t="s">
        <v>763</v>
      </c>
      <c r="G1144" t="str">
        <f>HYPERLINK("http://www.ncbi.nlm.nih.gov/Taxonomy/Browser/wwwtax.cgi?mode=Info&amp;id=6478&amp;lvl=3&amp;lin=f&amp;keep=1&amp;srchmode=1&amp;unlock","Bithynia tentaculata")</f>
        <v>Bithynia tentaculata</v>
      </c>
      <c r="H1144" t="s">
        <v>946</v>
      </c>
      <c r="I1144" t="str">
        <f>HYPERLINK("http://www.ncbi.nlm.nih.gov/protein/AHM10266.1","estrogen receptor, partial")</f>
        <v>estrogen receptor, partial</v>
      </c>
      <c r="J1144">
        <v>130.94999999999999</v>
      </c>
      <c r="K1144" t="s">
        <v>25</v>
      </c>
      <c r="L1144">
        <v>157</v>
      </c>
      <c r="M1144">
        <v>44.41</v>
      </c>
      <c r="N1144">
        <v>6.97</v>
      </c>
      <c r="O1144" t="s">
        <v>25</v>
      </c>
      <c r="P1144" t="s">
        <v>965</v>
      </c>
      <c r="Q1144" t="s">
        <v>20</v>
      </c>
      <c r="R1144" t="str">
        <f>HYPERLINK("https://cfpub.epa.gov/ecotox/explore.cfm?ncbi=6478","Explore in ECOTOX")</f>
        <v>Explore in ECOTOX</v>
      </c>
    </row>
    <row r="1145" spans="1:18" x14ac:dyDescent="0.25">
      <c r="A1145">
        <v>6</v>
      </c>
      <c r="B1145" t="str">
        <f>HYPERLINK("http://www.ncbi.nlm.nih.gov/protein/XP_034482804.1","XP_034482804.1")</f>
        <v>XP_034482804.1</v>
      </c>
      <c r="C1145">
        <v>19612</v>
      </c>
      <c r="D1145" t="str">
        <f>HYPERLINK("http://www.ncbi.nlm.nih.gov/Taxonomy/Browser/wwwtax.cgi?mode=Info&amp;id=198719&amp;lvl=3&amp;lin=f&amp;keep=1&amp;srchmode=1&amp;unlock","198719")</f>
        <v>198719</v>
      </c>
      <c r="E1145" t="s">
        <v>698</v>
      </c>
      <c r="F1145" t="s">
        <v>698</v>
      </c>
      <c r="G1145" t="str">
        <f>HYPERLINK("http://www.ncbi.nlm.nih.gov/Taxonomy/Browser/wwwtax.cgi?mode=Info&amp;id=198719&amp;lvl=3&amp;lin=f&amp;keep=1&amp;srchmode=1&amp;unlock","Drosophila innubila")</f>
        <v>Drosophila innubila</v>
      </c>
      <c r="H1145" t="s">
        <v>753</v>
      </c>
      <c r="I1145" t="str">
        <f>HYPERLINK("http://www.ncbi.nlm.nih.gov/protein/XP_034482804.1","steroid hormone receptor ERR2")</f>
        <v>steroid hormone receptor ERR2</v>
      </c>
      <c r="J1145">
        <v>130.57</v>
      </c>
      <c r="K1145" t="s">
        <v>25</v>
      </c>
      <c r="L1145">
        <v>157</v>
      </c>
      <c r="M1145">
        <v>44.41</v>
      </c>
      <c r="N1145">
        <v>6.95</v>
      </c>
      <c r="O1145" t="s">
        <v>25</v>
      </c>
      <c r="P1145" t="s">
        <v>965</v>
      </c>
      <c r="Q1145" t="s">
        <v>20</v>
      </c>
      <c r="R1145" t="str">
        <f>HYPERLINK("https://cfpub.epa.gov/ecotox/explore.cfm?ncbi=198719","Explore in ECOTOX")</f>
        <v>Explore in ECOTOX</v>
      </c>
    </row>
    <row r="1146" spans="1:18" x14ac:dyDescent="0.25">
      <c r="A1146">
        <v>6</v>
      </c>
      <c r="B1146" t="str">
        <f>HYPERLINK("http://www.ncbi.nlm.nih.gov/protein/GAV07733.1","GAV07733.1")</f>
        <v>GAV07733.1</v>
      </c>
      <c r="C1146">
        <v>23052</v>
      </c>
      <c r="D1146" t="str">
        <f>HYPERLINK("http://www.ncbi.nlm.nih.gov/Taxonomy/Browser/wwwtax.cgi?mode=Info&amp;id=947166&amp;lvl=3&amp;lin=f&amp;keep=1&amp;srchmode=1&amp;unlock","947166")</f>
        <v>947166</v>
      </c>
      <c r="E1146" t="s">
        <v>746</v>
      </c>
      <c r="F1146" t="s">
        <v>746</v>
      </c>
      <c r="G1146" t="str">
        <f>HYPERLINK("http://www.ncbi.nlm.nih.gov/Taxonomy/Browser/wwwtax.cgi?mode=Info&amp;id=947166&amp;lvl=3&amp;lin=f&amp;keep=1&amp;srchmode=1&amp;unlock","Ramazzottius varieornatus")</f>
        <v>Ramazzottius varieornatus</v>
      </c>
      <c r="H1146" t="s">
        <v>747</v>
      </c>
      <c r="I1146" t="str">
        <f>HYPERLINK("http://www.ncbi.nlm.nih.gov/protein/GAV07733.1","hypothetical protein RvY_17540")</f>
        <v>hypothetical protein RvY_17540</v>
      </c>
      <c r="J1146">
        <v>130.57</v>
      </c>
      <c r="K1146" t="s">
        <v>25</v>
      </c>
      <c r="L1146">
        <v>157</v>
      </c>
      <c r="M1146">
        <v>44.41</v>
      </c>
      <c r="N1146">
        <v>6.95</v>
      </c>
      <c r="O1146" t="s">
        <v>25</v>
      </c>
      <c r="P1146" t="s">
        <v>965</v>
      </c>
      <c r="Q1146" t="s">
        <v>20</v>
      </c>
      <c r="R1146" t="str">
        <f>HYPERLINK("https://cfpub.epa.gov/ecotox/explore.cfm?ncbi=947166","Explore in ECOTOX")</f>
        <v>Explore in ECOTOX</v>
      </c>
    </row>
    <row r="1147" spans="1:18" x14ac:dyDescent="0.25">
      <c r="A1147">
        <v>6</v>
      </c>
      <c r="B1147" t="str">
        <f>HYPERLINK("http://www.ncbi.nlm.nih.gov/protein/ACD39740.1","ACD39740.1")</f>
        <v>ACD39740.1</v>
      </c>
      <c r="C1147">
        <v>15823</v>
      </c>
      <c r="D1147" t="str">
        <f>HYPERLINK("http://www.ncbi.nlm.nih.gov/Taxonomy/Browser/wwwtax.cgi?mode=Info&amp;id=7107&amp;lvl=3&amp;lin=f&amp;keep=1&amp;srchmode=1&amp;unlock","7107")</f>
        <v>7107</v>
      </c>
      <c r="E1147" t="s">
        <v>698</v>
      </c>
      <c r="F1147" t="s">
        <v>698</v>
      </c>
      <c r="G1147" t="str">
        <f>HYPERLINK("http://www.ncbi.nlm.nih.gov/Taxonomy/Browser/wwwtax.cgi?mode=Info&amp;id=7107&amp;lvl=3&amp;lin=f&amp;keep=1&amp;srchmode=1&amp;unlock","Spodoptera exigua")</f>
        <v>Spodoptera exigua</v>
      </c>
      <c r="H1147" t="s">
        <v>1174</v>
      </c>
      <c r="I1147" t="str">
        <f>HYPERLINK("http://www.ncbi.nlm.nih.gov/protein/ACD39740.1","ultraspiracle protein")</f>
        <v>ultraspiracle protein</v>
      </c>
      <c r="J1147">
        <v>130.18</v>
      </c>
      <c r="K1147" t="s">
        <v>25</v>
      </c>
      <c r="L1147">
        <v>157</v>
      </c>
      <c r="M1147">
        <v>44.41</v>
      </c>
      <c r="N1147">
        <v>6.93</v>
      </c>
      <c r="O1147" t="s">
        <v>25</v>
      </c>
      <c r="P1147" t="s">
        <v>965</v>
      </c>
      <c r="Q1147" t="s">
        <v>20</v>
      </c>
      <c r="R1147" t="str">
        <f>HYPERLINK("https://cfpub.epa.gov/ecotox/explore.cfm?ncbi=7107","Explore in ECOTOX")</f>
        <v>Explore in ECOTOX</v>
      </c>
    </row>
    <row r="1148" spans="1:18" x14ac:dyDescent="0.25">
      <c r="A1148">
        <v>6</v>
      </c>
      <c r="B1148" t="str">
        <f>HYPERLINK("http://www.ncbi.nlm.nih.gov/protein/XP_015042418.2","XP_015042418.2")</f>
        <v>XP_015042418.2</v>
      </c>
      <c r="C1148">
        <v>29498</v>
      </c>
      <c r="D1148" t="str">
        <f>HYPERLINK("http://www.ncbi.nlm.nih.gov/Taxonomy/Browser/wwwtax.cgi?mode=Info&amp;id=7237&amp;lvl=3&amp;lin=f&amp;keep=1&amp;srchmode=1&amp;unlock","7237")</f>
        <v>7237</v>
      </c>
      <c r="E1148" t="s">
        <v>698</v>
      </c>
      <c r="F1148" t="s">
        <v>698</v>
      </c>
      <c r="G1148" t="str">
        <f>HYPERLINK("http://www.ncbi.nlm.nih.gov/Taxonomy/Browser/wwwtax.cgi?mode=Info&amp;id=7237&amp;lvl=3&amp;lin=f&amp;keep=1&amp;srchmode=1&amp;unlock","Drosophila pseudoobscura")</f>
        <v>Drosophila pseudoobscura</v>
      </c>
      <c r="H1148" t="s">
        <v>753</v>
      </c>
      <c r="I1148" t="str">
        <f>HYPERLINK("http://www.ncbi.nlm.nih.gov/protein/XP_015042418.2","steroid hormone receptor ERR2 isoform X2")</f>
        <v>steroid hormone receptor ERR2 isoform X2</v>
      </c>
      <c r="J1148">
        <v>129.80000000000001</v>
      </c>
      <c r="K1148" t="s">
        <v>25</v>
      </c>
      <c r="L1148">
        <v>157</v>
      </c>
      <c r="M1148">
        <v>44.41</v>
      </c>
      <c r="N1148">
        <v>6.91</v>
      </c>
      <c r="O1148" t="s">
        <v>25</v>
      </c>
      <c r="P1148" t="s">
        <v>965</v>
      </c>
      <c r="Q1148" t="s">
        <v>20</v>
      </c>
      <c r="R1148" t="str">
        <f>HYPERLINK("https://cfpub.epa.gov/ecotox/explore.cfm?ncbi=7237","Explore in ECOTOX")</f>
        <v>Explore in ECOTOX</v>
      </c>
    </row>
    <row r="1149" spans="1:18" x14ac:dyDescent="0.25">
      <c r="A1149">
        <v>6</v>
      </c>
      <c r="B1149" t="str">
        <f>HYPERLINK("http://www.ncbi.nlm.nih.gov/protein/XP_023215958.1","XP_023215958.1")</f>
        <v>XP_023215958.1</v>
      </c>
      <c r="C1149">
        <v>35591</v>
      </c>
      <c r="D1149" t="str">
        <f>HYPERLINK("http://www.ncbi.nlm.nih.gov/Taxonomy/Browser/wwwtax.cgi?mode=Info&amp;id=218467&amp;lvl=3&amp;lin=f&amp;keep=1&amp;srchmode=1&amp;unlock","218467")</f>
        <v>218467</v>
      </c>
      <c r="E1149" t="s">
        <v>700</v>
      </c>
      <c r="F1149" t="s">
        <v>700</v>
      </c>
      <c r="G1149" t="str">
        <f>HYPERLINK("http://www.ncbi.nlm.nih.gov/Taxonomy/Browser/wwwtax.cgi?mode=Info&amp;id=218467&amp;lvl=3&amp;lin=f&amp;keep=1&amp;srchmode=1&amp;unlock","Centruroides sculpturatus")</f>
        <v>Centruroides sculpturatus</v>
      </c>
      <c r="H1149" t="s">
        <v>759</v>
      </c>
      <c r="I1149" t="str">
        <f>HYPERLINK("http://www.ncbi.nlm.nih.gov/protein/XP_023215958.1","nuclear hormone receptor FTZ-F1 beta-like isoform X3")</f>
        <v>nuclear hormone receptor FTZ-F1 beta-like isoform X3</v>
      </c>
      <c r="J1149">
        <v>129.80000000000001</v>
      </c>
      <c r="K1149" t="s">
        <v>25</v>
      </c>
      <c r="L1149">
        <v>157</v>
      </c>
      <c r="M1149">
        <v>44.41</v>
      </c>
      <c r="N1149">
        <v>6.91</v>
      </c>
      <c r="O1149" t="s">
        <v>25</v>
      </c>
      <c r="P1149" t="s">
        <v>965</v>
      </c>
      <c r="Q1149" t="s">
        <v>20</v>
      </c>
      <c r="R1149" t="str">
        <f>HYPERLINK("https://cfpub.epa.gov/ecotox/explore.cfm?ncbi=218467","Explore in ECOTOX")</f>
        <v>Explore in ECOTOX</v>
      </c>
    </row>
    <row r="1150" spans="1:18" x14ac:dyDescent="0.25">
      <c r="A1150">
        <v>6</v>
      </c>
      <c r="B1150" t="str">
        <f>HYPERLINK("http://www.ncbi.nlm.nih.gov/protein/AXP83841.1","AXP83841.1")</f>
        <v>AXP83841.1</v>
      </c>
      <c r="C1150">
        <v>65</v>
      </c>
      <c r="D1150" t="str">
        <f>HYPERLINK("http://www.ncbi.nlm.nih.gov/Taxonomy/Browser/wwwtax.cgi?mode=Info&amp;id=34528&amp;lvl=3&amp;lin=f&amp;keep=1&amp;srchmode=1&amp;unlock","34528")</f>
        <v>34528</v>
      </c>
      <c r="E1150" t="s">
        <v>786</v>
      </c>
      <c r="F1150" t="s">
        <v>786</v>
      </c>
      <c r="G1150" t="str">
        <f>HYPERLINK("http://www.ncbi.nlm.nih.gov/Taxonomy/Browser/wwwtax.cgi?mode=Info&amp;id=34528&amp;lvl=3&amp;lin=f&amp;keep=1&amp;srchmode=1&amp;unlock","Sepia latimanus")</f>
        <v>Sepia latimanus</v>
      </c>
      <c r="H1150" t="s">
        <v>1158</v>
      </c>
      <c r="I1150" t="str">
        <f>HYPERLINK("http://www.ncbi.nlm.nih.gov/protein/AXP83841.1","estrogen-related receptor gamma")</f>
        <v>estrogen-related receptor gamma</v>
      </c>
      <c r="J1150">
        <v>129.80000000000001</v>
      </c>
      <c r="K1150" t="s">
        <v>25</v>
      </c>
      <c r="L1150">
        <v>157</v>
      </c>
      <c r="M1150">
        <v>44.41</v>
      </c>
      <c r="N1150">
        <v>6.91</v>
      </c>
      <c r="O1150" t="s">
        <v>25</v>
      </c>
      <c r="P1150" t="s">
        <v>965</v>
      </c>
      <c r="Q1150" t="s">
        <v>20</v>
      </c>
      <c r="R1150" t="str">
        <f>HYPERLINK("https://cfpub.epa.gov/ecotox/explore.cfm?ncbi=34528","Explore in ECOTOX")</f>
        <v>Explore in ECOTOX</v>
      </c>
    </row>
    <row r="1151" spans="1:18" x14ac:dyDescent="0.25">
      <c r="A1151">
        <v>6</v>
      </c>
      <c r="B1151" t="str">
        <f>HYPERLINK("http://www.ncbi.nlm.nih.gov/protein/ABP98990.1","ABP98990.1")</f>
        <v>ABP98990.1</v>
      </c>
      <c r="C1151">
        <v>802</v>
      </c>
      <c r="D1151" t="str">
        <f>HYPERLINK("http://www.ncbi.nlm.nih.gov/Taxonomy/Browser/wwwtax.cgi?mode=Info&amp;id=75329&amp;lvl=3&amp;lin=f&amp;keep=1&amp;srchmode=1&amp;unlock","75329")</f>
        <v>75329</v>
      </c>
      <c r="E1151" t="s">
        <v>384</v>
      </c>
      <c r="F1151" t="s">
        <v>384</v>
      </c>
      <c r="G1151" t="str">
        <f>HYPERLINK("http://www.ncbi.nlm.nih.gov/Taxonomy/Browser/wwwtax.cgi?mode=Info&amp;id=75329&amp;lvl=3&amp;lin=f&amp;keep=1&amp;srchmode=1&amp;unlock","Misgurnus anguillicaudatus")</f>
        <v>Misgurnus anguillicaudatus</v>
      </c>
      <c r="H1151" t="s">
        <v>1175</v>
      </c>
      <c r="I1151" t="str">
        <f>HYPERLINK("http://www.ncbi.nlm.nih.gov/protein/ABP98990.1","estrogen receptor beta, partial")</f>
        <v>estrogen receptor beta, partial</v>
      </c>
      <c r="J1151">
        <v>129.41</v>
      </c>
      <c r="K1151" t="s">
        <v>25</v>
      </c>
      <c r="L1151">
        <v>157</v>
      </c>
      <c r="M1151">
        <v>44.41</v>
      </c>
      <c r="N1151">
        <v>6.89</v>
      </c>
      <c r="O1151" t="s">
        <v>25</v>
      </c>
      <c r="P1151" t="s">
        <v>965</v>
      </c>
      <c r="Q1151" t="s">
        <v>20</v>
      </c>
      <c r="R1151" t="str">
        <f>HYPERLINK("https://cfpub.epa.gov/ecotox/explore.cfm?ncbi=75329","Explore in ECOTOX")</f>
        <v>Explore in ECOTOX</v>
      </c>
    </row>
    <row r="1152" spans="1:18" x14ac:dyDescent="0.25">
      <c r="A1152">
        <v>6</v>
      </c>
      <c r="B1152" t="str">
        <f>HYPERLINK("http://www.ncbi.nlm.nih.gov/protein/XP_002024605.1","XP_002024605.1")</f>
        <v>XP_002024605.1</v>
      </c>
      <c r="C1152">
        <v>37444</v>
      </c>
      <c r="D1152" t="str">
        <f>HYPERLINK("http://www.ncbi.nlm.nih.gov/Taxonomy/Browser/wwwtax.cgi?mode=Info&amp;id=7234&amp;lvl=3&amp;lin=f&amp;keep=1&amp;srchmode=1&amp;unlock","7234")</f>
        <v>7234</v>
      </c>
      <c r="E1152" t="s">
        <v>698</v>
      </c>
      <c r="F1152" t="s">
        <v>698</v>
      </c>
      <c r="G1152" t="str">
        <f>HYPERLINK("http://www.ncbi.nlm.nih.gov/Taxonomy/Browser/wwwtax.cgi?mode=Info&amp;id=7234&amp;lvl=3&amp;lin=f&amp;keep=1&amp;srchmode=1&amp;unlock","Drosophila persimilis")</f>
        <v>Drosophila persimilis</v>
      </c>
      <c r="H1152" t="s">
        <v>753</v>
      </c>
      <c r="I1152" t="str">
        <f>HYPERLINK("http://www.ncbi.nlm.nih.gov/protein/XP_002024605.1","steroid hormone receptor ERR2")</f>
        <v>steroid hormone receptor ERR2</v>
      </c>
      <c r="J1152">
        <v>129.41</v>
      </c>
      <c r="K1152" t="s">
        <v>25</v>
      </c>
      <c r="L1152">
        <v>157</v>
      </c>
      <c r="M1152">
        <v>44.41</v>
      </c>
      <c r="N1152">
        <v>6.89</v>
      </c>
      <c r="O1152" t="s">
        <v>25</v>
      </c>
      <c r="P1152" t="s">
        <v>965</v>
      </c>
      <c r="Q1152" t="s">
        <v>20</v>
      </c>
      <c r="R1152" t="str">
        <f>HYPERLINK("https://cfpub.epa.gov/ecotox/explore.cfm?ncbi=7234","Explore in ECOTOX")</f>
        <v>Explore in ECOTOX</v>
      </c>
    </row>
    <row r="1153" spans="1:18" x14ac:dyDescent="0.25">
      <c r="A1153">
        <v>6</v>
      </c>
      <c r="B1153" t="str">
        <f>HYPERLINK("http://www.ncbi.nlm.nih.gov/protein/AUF71655.1","AUF71655.1")</f>
        <v>AUF71655.1</v>
      </c>
      <c r="C1153">
        <v>1688</v>
      </c>
      <c r="D1153" t="str">
        <f>HYPERLINK("http://www.ncbi.nlm.nih.gov/Taxonomy/Browser/wwwtax.cgi?mode=Info&amp;id=13123&amp;lvl=3&amp;lin=f&amp;keep=1&amp;srchmode=1&amp;unlock","13123")</f>
        <v>13123</v>
      </c>
      <c r="E1153" t="s">
        <v>698</v>
      </c>
      <c r="F1153" t="s">
        <v>698</v>
      </c>
      <c r="G1153" t="str">
        <f>HYPERLINK("http://www.ncbi.nlm.nih.gov/Taxonomy/Browser/wwwtax.cgi?mode=Info&amp;id=13123&amp;lvl=3&amp;lin=f&amp;keep=1&amp;srchmode=1&amp;unlock","Lymantria dispar")</f>
        <v>Lymantria dispar</v>
      </c>
      <c r="H1153" t="s">
        <v>1176</v>
      </c>
      <c r="I1153" t="str">
        <f>HYPERLINK("http://www.ncbi.nlm.nih.gov/protein/AUF71655.1","ultraspiracle")</f>
        <v>ultraspiracle</v>
      </c>
      <c r="J1153">
        <v>129.03</v>
      </c>
      <c r="K1153" t="s">
        <v>25</v>
      </c>
      <c r="L1153">
        <v>157</v>
      </c>
      <c r="M1153">
        <v>44.41</v>
      </c>
      <c r="N1153">
        <v>6.87</v>
      </c>
      <c r="O1153" t="s">
        <v>25</v>
      </c>
      <c r="P1153" t="s">
        <v>965</v>
      </c>
      <c r="Q1153" t="s">
        <v>20</v>
      </c>
      <c r="R1153" t="str">
        <f>HYPERLINK("https://cfpub.epa.gov/ecotox/explore.cfm?ncbi=13123","Explore in ECOTOX")</f>
        <v>Explore in ECOTOX</v>
      </c>
    </row>
    <row r="1154" spans="1:18" x14ac:dyDescent="0.25">
      <c r="A1154">
        <v>6</v>
      </c>
      <c r="B1154" t="str">
        <f>HYPERLINK("http://www.ncbi.nlm.nih.gov/protein/XP_017157033.1","XP_017157033.1")</f>
        <v>XP_017157033.1</v>
      </c>
      <c r="C1154">
        <v>33726</v>
      </c>
      <c r="D1154" t="str">
        <f>HYPERLINK("http://www.ncbi.nlm.nih.gov/Taxonomy/Browser/wwwtax.cgi?mode=Info&amp;id=7229&amp;lvl=3&amp;lin=f&amp;keep=1&amp;srchmode=1&amp;unlock","7229")</f>
        <v>7229</v>
      </c>
      <c r="E1154" t="s">
        <v>698</v>
      </c>
      <c r="F1154" t="s">
        <v>698</v>
      </c>
      <c r="G1154" t="str">
        <f>HYPERLINK("http://www.ncbi.nlm.nih.gov/Taxonomy/Browser/wwwtax.cgi?mode=Info&amp;id=7229&amp;lvl=3&amp;lin=f&amp;keep=1&amp;srchmode=1&amp;unlock","Drosophila miranda")</f>
        <v>Drosophila miranda</v>
      </c>
      <c r="H1154" t="s">
        <v>753</v>
      </c>
      <c r="I1154" t="str">
        <f>HYPERLINK("http://www.ncbi.nlm.nih.gov/protein/XP_017157033.1","steroid hormone receptor ERR2")</f>
        <v>steroid hormone receptor ERR2</v>
      </c>
      <c r="J1154">
        <v>129.03</v>
      </c>
      <c r="K1154" t="s">
        <v>25</v>
      </c>
      <c r="L1154">
        <v>157</v>
      </c>
      <c r="M1154">
        <v>44.41</v>
      </c>
      <c r="N1154">
        <v>6.87</v>
      </c>
      <c r="O1154" t="s">
        <v>25</v>
      </c>
      <c r="P1154" t="s">
        <v>965</v>
      </c>
      <c r="Q1154" t="s">
        <v>20</v>
      </c>
      <c r="R1154" t="str">
        <f>HYPERLINK("https://cfpub.epa.gov/ecotox/explore.cfm?ncbi=7229","Explore in ECOTOX")</f>
        <v>Explore in ECOTOX</v>
      </c>
    </row>
    <row r="1155" spans="1:18" x14ac:dyDescent="0.25">
      <c r="A1155">
        <v>6</v>
      </c>
      <c r="B1155" t="str">
        <f>HYPERLINK("http://www.ncbi.nlm.nih.gov/protein/XP_022080403.1","XP_022080403.1")</f>
        <v>XP_022080403.1</v>
      </c>
      <c r="C1155">
        <v>33325</v>
      </c>
      <c r="D1155" t="str">
        <f>HYPERLINK("http://www.ncbi.nlm.nih.gov/Taxonomy/Browser/wwwtax.cgi?mode=Info&amp;id=133434&amp;lvl=3&amp;lin=f&amp;keep=1&amp;srchmode=1&amp;unlock","133434")</f>
        <v>133434</v>
      </c>
      <c r="E1155" t="s">
        <v>704</v>
      </c>
      <c r="F1155" t="s">
        <v>704</v>
      </c>
      <c r="G1155" t="str">
        <f>HYPERLINK("http://www.ncbi.nlm.nih.gov/Taxonomy/Browser/wwwtax.cgi?mode=Info&amp;id=133434&amp;lvl=3&amp;lin=f&amp;keep=1&amp;srchmode=1&amp;unlock","Acanthaster planci")</f>
        <v>Acanthaster planci</v>
      </c>
      <c r="H1155" t="s">
        <v>706</v>
      </c>
      <c r="I1155" t="str">
        <f>HYPERLINK("http://www.ncbi.nlm.nih.gov/protein/XP_022080403.1","hepatocyte nuclear factor 4-gamma-like isoform X3")</f>
        <v>hepatocyte nuclear factor 4-gamma-like isoform X3</v>
      </c>
      <c r="J1155">
        <v>129.03</v>
      </c>
      <c r="K1155" t="s">
        <v>25</v>
      </c>
      <c r="L1155">
        <v>157</v>
      </c>
      <c r="M1155">
        <v>44.41</v>
      </c>
      <c r="N1155">
        <v>6.87</v>
      </c>
      <c r="O1155" t="s">
        <v>25</v>
      </c>
      <c r="P1155" t="s">
        <v>965</v>
      </c>
      <c r="Q1155" t="s">
        <v>20</v>
      </c>
      <c r="R1155" t="str">
        <f>HYPERLINK("https://cfpub.epa.gov/ecotox/explore.cfm?ncbi=133434","Explore in ECOTOX")</f>
        <v>Explore in ECOTOX</v>
      </c>
    </row>
    <row r="1156" spans="1:18" x14ac:dyDescent="0.25">
      <c r="A1156">
        <v>6</v>
      </c>
      <c r="B1156" t="str">
        <f>HYPERLINK("http://www.ncbi.nlm.nih.gov/protein/XP_034136819.1","XP_034136819.1")</f>
        <v>XP_034136819.1</v>
      </c>
      <c r="C1156">
        <v>40503</v>
      </c>
      <c r="D1156" t="str">
        <f>HYPERLINK("http://www.ncbi.nlm.nih.gov/Taxonomy/Browser/wwwtax.cgi?mode=Info&amp;id=7266&amp;lvl=3&amp;lin=f&amp;keep=1&amp;srchmode=1&amp;unlock","7266")</f>
        <v>7266</v>
      </c>
      <c r="E1156" t="s">
        <v>698</v>
      </c>
      <c r="F1156" t="s">
        <v>698</v>
      </c>
      <c r="G1156" t="str">
        <f>HYPERLINK("http://www.ncbi.nlm.nih.gov/Taxonomy/Browser/wwwtax.cgi?mode=Info&amp;id=7266&amp;lvl=3&amp;lin=f&amp;keep=1&amp;srchmode=1&amp;unlock","Drosophila guanche")</f>
        <v>Drosophila guanche</v>
      </c>
      <c r="H1156" t="s">
        <v>753</v>
      </c>
      <c r="I1156" t="str">
        <f>HYPERLINK("http://www.ncbi.nlm.nih.gov/protein/XP_034136819.1","steroid hormone receptor ERR2 isoform X2")</f>
        <v>steroid hormone receptor ERR2 isoform X2</v>
      </c>
      <c r="J1156">
        <v>128.63999999999999</v>
      </c>
      <c r="K1156" t="s">
        <v>25</v>
      </c>
      <c r="L1156">
        <v>157</v>
      </c>
      <c r="M1156">
        <v>44.41</v>
      </c>
      <c r="N1156">
        <v>6.85</v>
      </c>
      <c r="O1156" t="s">
        <v>25</v>
      </c>
      <c r="P1156" t="s">
        <v>965</v>
      </c>
      <c r="Q1156" t="s">
        <v>20</v>
      </c>
      <c r="R1156" t="str">
        <f>HYPERLINK("https://cfpub.epa.gov/ecotox/explore.cfm?ncbi=7266","Explore in ECOTOX")</f>
        <v>Explore in ECOTOX</v>
      </c>
    </row>
    <row r="1157" spans="1:18" x14ac:dyDescent="0.25">
      <c r="A1157">
        <v>6</v>
      </c>
      <c r="B1157" t="str">
        <f>HYPERLINK("http://www.ncbi.nlm.nih.gov/protein/XP_037930664.1","XP_037930664.1")</f>
        <v>XP_037930664.1</v>
      </c>
      <c r="C1157">
        <v>34229</v>
      </c>
      <c r="D1157" t="str">
        <f>HYPERLINK("http://www.ncbi.nlm.nih.gov/Taxonomy/Browser/wwwtax.cgi?mode=Info&amp;id=139649&amp;lvl=3&amp;lin=f&amp;keep=1&amp;srchmode=1&amp;unlock","139649")</f>
        <v>139649</v>
      </c>
      <c r="E1157" t="s">
        <v>698</v>
      </c>
      <c r="F1157" t="s">
        <v>698</v>
      </c>
      <c r="G1157" t="str">
        <f>HYPERLINK("http://www.ncbi.nlm.nih.gov/Taxonomy/Browser/wwwtax.cgi?mode=Info&amp;id=139649&amp;lvl=3&amp;lin=f&amp;keep=1&amp;srchmode=1&amp;unlock","Teleopsis dalmanni")</f>
        <v>Teleopsis dalmanni</v>
      </c>
      <c r="H1157" t="s">
        <v>762</v>
      </c>
      <c r="I1157" t="str">
        <f>HYPERLINK("http://www.ncbi.nlm.nih.gov/protein/XP_037930664.1","steroid hormone receptor ERR2")</f>
        <v>steroid hormone receptor ERR2</v>
      </c>
      <c r="J1157">
        <v>128.63999999999999</v>
      </c>
      <c r="K1157" t="s">
        <v>25</v>
      </c>
      <c r="L1157">
        <v>157</v>
      </c>
      <c r="M1157">
        <v>44.41</v>
      </c>
      <c r="N1157">
        <v>6.85</v>
      </c>
      <c r="O1157" t="s">
        <v>25</v>
      </c>
      <c r="P1157" t="s">
        <v>965</v>
      </c>
      <c r="Q1157" t="s">
        <v>20</v>
      </c>
      <c r="R1157" t="str">
        <f>HYPERLINK("https://cfpub.epa.gov/ecotox/explore.cfm?ncbi=139649","Explore in ECOTOX")</f>
        <v>Explore in ECOTOX</v>
      </c>
    </row>
    <row r="1158" spans="1:18" x14ac:dyDescent="0.25">
      <c r="A1158">
        <v>6</v>
      </c>
      <c r="B1158" t="str">
        <f>HYPERLINK("http://www.ncbi.nlm.nih.gov/protein/ASL70568.1","ASL70568.1")</f>
        <v>ASL70568.1</v>
      </c>
      <c r="C1158">
        <v>53037</v>
      </c>
      <c r="D1158" t="str">
        <f>HYPERLINK("http://www.ncbi.nlm.nih.gov/Taxonomy/Browser/wwwtax.cgi?mode=Info&amp;id=10195&amp;lvl=3&amp;lin=f&amp;keep=1&amp;srchmode=1&amp;unlock","10195")</f>
        <v>10195</v>
      </c>
      <c r="E1158" t="s">
        <v>855</v>
      </c>
      <c r="F1158" t="s">
        <v>855</v>
      </c>
      <c r="G1158" t="str">
        <f>HYPERLINK("http://www.ncbi.nlm.nih.gov/Taxonomy/Browser/wwwtax.cgi?mode=Info&amp;id=10195&amp;lvl=3&amp;lin=f&amp;keep=1&amp;srchmode=1&amp;unlock","Brachionus plicatilis")</f>
        <v>Brachionus plicatilis</v>
      </c>
      <c r="H1158" t="s">
        <v>856</v>
      </c>
      <c r="I1158" t="str">
        <f>HYPERLINK("http://www.ncbi.nlm.nih.gov/protein/ASL70568.1","nuclear receptor")</f>
        <v>nuclear receptor</v>
      </c>
      <c r="J1158">
        <v>128.63999999999999</v>
      </c>
      <c r="K1158" t="s">
        <v>25</v>
      </c>
      <c r="L1158">
        <v>157</v>
      </c>
      <c r="M1158">
        <v>44.41</v>
      </c>
      <c r="N1158">
        <v>6.85</v>
      </c>
      <c r="O1158" t="s">
        <v>25</v>
      </c>
      <c r="P1158" t="s">
        <v>965</v>
      </c>
      <c r="Q1158" t="s">
        <v>20</v>
      </c>
      <c r="R1158" t="str">
        <f>HYPERLINK("https://cfpub.epa.gov/ecotox/explore.cfm?ncbi=10195","Explore in ECOTOX")</f>
        <v>Explore in ECOTOX</v>
      </c>
    </row>
    <row r="1159" spans="1:18" x14ac:dyDescent="0.25">
      <c r="A1159">
        <v>6</v>
      </c>
      <c r="B1159" t="str">
        <f>HYPERLINK("http://www.ncbi.nlm.nih.gov/protein/XP_034655283.1","XP_034655283.1")</f>
        <v>XP_034655283.1</v>
      </c>
      <c r="C1159">
        <v>23553</v>
      </c>
      <c r="D1159" t="str">
        <f>HYPERLINK("http://www.ncbi.nlm.nih.gov/Taxonomy/Browser/wwwtax.cgi?mode=Info&amp;id=7241&amp;lvl=3&amp;lin=f&amp;keep=1&amp;srchmode=1&amp;unlock","7241")</f>
        <v>7241</v>
      </c>
      <c r="E1159" t="s">
        <v>698</v>
      </c>
      <c r="F1159" t="s">
        <v>698</v>
      </c>
      <c r="G1159" t="str">
        <f>HYPERLINK("http://www.ncbi.nlm.nih.gov/Taxonomy/Browser/wwwtax.cgi?mode=Info&amp;id=7241&amp;lvl=3&amp;lin=f&amp;keep=1&amp;srchmode=1&amp;unlock","Drosophila subobscura")</f>
        <v>Drosophila subobscura</v>
      </c>
      <c r="H1159" t="s">
        <v>753</v>
      </c>
      <c r="I1159" t="str">
        <f>HYPERLINK("http://www.ncbi.nlm.nih.gov/protein/XP_034655283.1","steroid hormone receptor ERR2")</f>
        <v>steroid hormone receptor ERR2</v>
      </c>
      <c r="J1159">
        <v>128.63999999999999</v>
      </c>
      <c r="K1159" t="s">
        <v>25</v>
      </c>
      <c r="L1159">
        <v>157</v>
      </c>
      <c r="M1159">
        <v>44.41</v>
      </c>
      <c r="N1159">
        <v>6.85</v>
      </c>
      <c r="O1159" t="s">
        <v>25</v>
      </c>
      <c r="P1159" t="s">
        <v>965</v>
      </c>
      <c r="Q1159" t="s">
        <v>20</v>
      </c>
      <c r="R1159" t="str">
        <f>HYPERLINK("https://cfpub.epa.gov/ecotox/explore.cfm?ncbi=7241","Explore in ECOTOX")</f>
        <v>Explore in ECOTOX</v>
      </c>
    </row>
    <row r="1160" spans="1:18" x14ac:dyDescent="0.25">
      <c r="A1160">
        <v>6</v>
      </c>
      <c r="B1160" t="str">
        <f>HYPERLINK("http://www.ncbi.nlm.nih.gov/protein/XP_027197908.1","XP_027197908.1")</f>
        <v>XP_027197908.1</v>
      </c>
      <c r="C1160">
        <v>13040</v>
      </c>
      <c r="D1160" t="str">
        <f>HYPERLINK("http://www.ncbi.nlm.nih.gov/Taxonomy/Browser/wwwtax.cgi?mode=Info&amp;id=6956&amp;lvl=3&amp;lin=f&amp;keep=1&amp;srchmode=1&amp;unlock","6956")</f>
        <v>6956</v>
      </c>
      <c r="E1160" t="s">
        <v>700</v>
      </c>
      <c r="F1160" t="s">
        <v>700</v>
      </c>
      <c r="G1160" t="str">
        <f>HYPERLINK("http://www.ncbi.nlm.nih.gov/Taxonomy/Browser/wwwtax.cgi?mode=Info&amp;id=6956&amp;lvl=3&amp;lin=f&amp;keep=1&amp;srchmode=1&amp;unlock","Dermatophagoides pteronyssinus")</f>
        <v>Dermatophagoides pteronyssinus</v>
      </c>
      <c r="H1160" t="s">
        <v>711</v>
      </c>
      <c r="I1160" t="str">
        <f>HYPERLINK("http://www.ncbi.nlm.nih.gov/protein/XP_027197908.1","estrogen-related receptor gamma-like")</f>
        <v>estrogen-related receptor gamma-like</v>
      </c>
      <c r="J1160">
        <v>128.63999999999999</v>
      </c>
      <c r="K1160" t="s">
        <v>25</v>
      </c>
      <c r="L1160">
        <v>157</v>
      </c>
      <c r="M1160">
        <v>44.41</v>
      </c>
      <c r="N1160">
        <v>6.85</v>
      </c>
      <c r="O1160" t="s">
        <v>25</v>
      </c>
      <c r="P1160" t="s">
        <v>965</v>
      </c>
      <c r="Q1160" t="s">
        <v>20</v>
      </c>
      <c r="R1160" t="str">
        <f>HYPERLINK("https://cfpub.epa.gov/ecotox/explore.cfm?ncbi=6956","Explore in ECOTOX")</f>
        <v>Explore in ECOTOX</v>
      </c>
    </row>
    <row r="1161" spans="1:18" x14ac:dyDescent="0.25">
      <c r="A1161">
        <v>6</v>
      </c>
      <c r="B1161" t="str">
        <f>HYPERLINK("http://www.ncbi.nlm.nih.gov/protein/CAD7004642.1","CAD7004642.1")</f>
        <v>CAD7004642.1</v>
      </c>
      <c r="C1161">
        <v>43760</v>
      </c>
      <c r="D1161" t="str">
        <f>HYPERLINK("http://www.ncbi.nlm.nih.gov/Taxonomy/Browser/wwwtax.cgi?mode=Info&amp;id=7213&amp;lvl=3&amp;lin=f&amp;keep=1&amp;srchmode=1&amp;unlock","7213")</f>
        <v>7213</v>
      </c>
      <c r="E1161" t="s">
        <v>698</v>
      </c>
      <c r="F1161" t="s">
        <v>698</v>
      </c>
      <c r="G1161" t="str">
        <f>HYPERLINK("http://www.ncbi.nlm.nih.gov/Taxonomy/Browser/wwwtax.cgi?mode=Info&amp;id=7213&amp;lvl=3&amp;lin=f&amp;keep=1&amp;srchmode=1&amp;unlock","Ceratitis capitata")</f>
        <v>Ceratitis capitata</v>
      </c>
      <c r="H1161" t="s">
        <v>809</v>
      </c>
      <c r="I1161" t="str">
        <f>HYPERLINK("http://www.ncbi.nlm.nih.gov/protein/CAD7004642.1","unnamed protein product")</f>
        <v>unnamed protein product</v>
      </c>
      <c r="J1161">
        <v>127.87</v>
      </c>
      <c r="K1161" t="s">
        <v>25</v>
      </c>
      <c r="L1161">
        <v>157</v>
      </c>
      <c r="M1161">
        <v>44.41</v>
      </c>
      <c r="N1161">
        <v>6.81</v>
      </c>
      <c r="O1161" t="s">
        <v>25</v>
      </c>
      <c r="P1161" t="s">
        <v>965</v>
      </c>
      <c r="Q1161" t="s">
        <v>20</v>
      </c>
      <c r="R1161" t="str">
        <f>HYPERLINK("https://cfpub.epa.gov/ecotox/explore.cfm?ncbi=7213","Explore in ECOTOX")</f>
        <v>Explore in ECOTOX</v>
      </c>
    </row>
    <row r="1162" spans="1:18" x14ac:dyDescent="0.25">
      <c r="A1162">
        <v>6</v>
      </c>
      <c r="B1162" t="str">
        <f>HYPERLINK("http://www.ncbi.nlm.nih.gov/protein/XP_014765163.1","XP_014765163.1")</f>
        <v>XP_014765163.1</v>
      </c>
      <c r="C1162">
        <v>45607</v>
      </c>
      <c r="D1162" t="str">
        <f>HYPERLINK("http://www.ncbi.nlm.nih.gov/Taxonomy/Browser/wwwtax.cgi?mode=Info&amp;id=7217&amp;lvl=3&amp;lin=f&amp;keep=1&amp;srchmode=1&amp;unlock","7217")</f>
        <v>7217</v>
      </c>
      <c r="E1162" t="s">
        <v>698</v>
      </c>
      <c r="F1162" t="s">
        <v>698</v>
      </c>
      <c r="G1162" t="str">
        <f>HYPERLINK("http://www.ncbi.nlm.nih.gov/Taxonomy/Browser/wwwtax.cgi?mode=Info&amp;id=7217&amp;lvl=3&amp;lin=f&amp;keep=1&amp;srchmode=1&amp;unlock","Drosophila ananassae")</f>
        <v>Drosophila ananassae</v>
      </c>
      <c r="H1162" t="s">
        <v>753</v>
      </c>
      <c r="I1162" t="str">
        <f>HYPERLINK("http://www.ncbi.nlm.nih.gov/protein/XP_014765163.1","steroid hormone receptor ERR2 isoform X2")</f>
        <v>steroid hormone receptor ERR2 isoform X2</v>
      </c>
      <c r="J1162">
        <v>127.87</v>
      </c>
      <c r="K1162" t="s">
        <v>25</v>
      </c>
      <c r="L1162">
        <v>157</v>
      </c>
      <c r="M1162">
        <v>44.41</v>
      </c>
      <c r="N1162">
        <v>6.81</v>
      </c>
      <c r="O1162" t="s">
        <v>25</v>
      </c>
      <c r="P1162" t="s">
        <v>965</v>
      </c>
      <c r="Q1162" t="s">
        <v>20</v>
      </c>
      <c r="R1162" t="str">
        <f>HYPERLINK("https://cfpub.epa.gov/ecotox/explore.cfm?ncbi=7217","Explore in ECOTOX")</f>
        <v>Explore in ECOTOX</v>
      </c>
    </row>
    <row r="1163" spans="1:18" x14ac:dyDescent="0.25">
      <c r="A1163">
        <v>6</v>
      </c>
      <c r="B1163" t="str">
        <f>HYPERLINK("http://www.ncbi.nlm.nih.gov/protein/AER38412.1","AER38412.1")</f>
        <v>AER38412.1</v>
      </c>
      <c r="C1163">
        <v>255</v>
      </c>
      <c r="D1163" t="str">
        <f>HYPERLINK("http://www.ncbi.nlm.nih.gov/Taxonomy/Browser/wwwtax.cgi?mode=Info&amp;id=236805&amp;lvl=3&amp;lin=f&amp;keep=1&amp;srchmode=1&amp;unlock","236805")</f>
        <v>236805</v>
      </c>
      <c r="E1163" t="s">
        <v>698</v>
      </c>
      <c r="F1163" t="s">
        <v>698</v>
      </c>
      <c r="G1163" t="str">
        <f>HYPERLINK("http://www.ncbi.nlm.nih.gov/Taxonomy/Browser/wwwtax.cgi?mode=Info&amp;id=236805&amp;lvl=3&amp;lin=f&amp;keep=1&amp;srchmode=1&amp;unlock","Sesamia nonagrioides")</f>
        <v>Sesamia nonagrioides</v>
      </c>
      <c r="H1163" t="s">
        <v>1177</v>
      </c>
      <c r="I1163" t="str">
        <f>HYPERLINK("http://www.ncbi.nlm.nih.gov/protein/AER38412.1","ultraspiracle, partial")</f>
        <v>ultraspiracle, partial</v>
      </c>
      <c r="J1163">
        <v>127.49</v>
      </c>
      <c r="K1163" t="s">
        <v>25</v>
      </c>
      <c r="L1163">
        <v>157</v>
      </c>
      <c r="M1163">
        <v>44.41</v>
      </c>
      <c r="N1163">
        <v>6.79</v>
      </c>
      <c r="O1163" t="s">
        <v>25</v>
      </c>
      <c r="P1163" t="s">
        <v>965</v>
      </c>
      <c r="Q1163" t="s">
        <v>20</v>
      </c>
      <c r="R1163" t="str">
        <f>HYPERLINK("https://cfpub.epa.gov/ecotox/explore.cfm?ncbi=236805","Explore in ECOTOX")</f>
        <v>Explore in ECOTOX</v>
      </c>
    </row>
    <row r="1164" spans="1:18" x14ac:dyDescent="0.25">
      <c r="A1164">
        <v>6</v>
      </c>
      <c r="B1164" t="str">
        <f>HYPERLINK("http://www.ncbi.nlm.nih.gov/protein/OQV20521.1","OQV20521.1")</f>
        <v>OQV20521.1</v>
      </c>
      <c r="C1164">
        <v>20953</v>
      </c>
      <c r="D1164" t="str">
        <f>HYPERLINK("http://www.ncbi.nlm.nih.gov/Taxonomy/Browser/wwwtax.cgi?mode=Info&amp;id=232323&amp;lvl=3&amp;lin=f&amp;keep=1&amp;srchmode=1&amp;unlock","232323")</f>
        <v>232323</v>
      </c>
      <c r="E1164" t="s">
        <v>746</v>
      </c>
      <c r="F1164" t="s">
        <v>746</v>
      </c>
      <c r="G1164" t="str">
        <f>HYPERLINK("http://www.ncbi.nlm.nih.gov/Taxonomy/Browser/wwwtax.cgi?mode=Info&amp;id=232323&amp;lvl=3&amp;lin=f&amp;keep=1&amp;srchmode=1&amp;unlock","Hypsibius dujardini")</f>
        <v>Hypsibius dujardini</v>
      </c>
      <c r="H1164" t="s">
        <v>747</v>
      </c>
      <c r="I1164" t="str">
        <f>HYPERLINK("http://www.ncbi.nlm.nih.gov/protein/OQV20521.1","Estrogen-related receptor gamma")</f>
        <v>Estrogen-related receptor gamma</v>
      </c>
      <c r="J1164">
        <v>127.49</v>
      </c>
      <c r="K1164" t="s">
        <v>25</v>
      </c>
      <c r="L1164">
        <v>157</v>
      </c>
      <c r="M1164">
        <v>44.41</v>
      </c>
      <c r="N1164">
        <v>6.79</v>
      </c>
      <c r="O1164" t="s">
        <v>25</v>
      </c>
      <c r="P1164" t="s">
        <v>965</v>
      </c>
      <c r="Q1164" t="s">
        <v>20</v>
      </c>
      <c r="R1164" t="str">
        <f>HYPERLINK("https://cfpub.epa.gov/ecotox/explore.cfm?ncbi=232323","Explore in ECOTOX")</f>
        <v>Explore in ECOTOX</v>
      </c>
    </row>
    <row r="1165" spans="1:18" x14ac:dyDescent="0.25">
      <c r="A1165">
        <v>6</v>
      </c>
      <c r="B1165" t="str">
        <f>HYPERLINK("http://www.ncbi.nlm.nih.gov/protein/XP_038067671.1","XP_038067671.1")</f>
        <v>XP_038067671.1</v>
      </c>
      <c r="C1165">
        <v>35628</v>
      </c>
      <c r="D1165" t="str">
        <f>HYPERLINK("http://www.ncbi.nlm.nih.gov/Taxonomy/Browser/wwwtax.cgi?mode=Info&amp;id=46514&amp;lvl=3&amp;lin=f&amp;keep=1&amp;srchmode=1&amp;unlock","46514")</f>
        <v>46514</v>
      </c>
      <c r="E1165" t="s">
        <v>704</v>
      </c>
      <c r="F1165" t="s">
        <v>704</v>
      </c>
      <c r="G1165" t="str">
        <f>HYPERLINK("http://www.ncbi.nlm.nih.gov/Taxonomy/Browser/wwwtax.cgi?mode=Info&amp;id=46514&amp;lvl=3&amp;lin=f&amp;keep=1&amp;srchmode=1&amp;unlock","Patiria miniata")</f>
        <v>Patiria miniata</v>
      </c>
      <c r="H1165" t="s">
        <v>719</v>
      </c>
      <c r="I1165" t="str">
        <f>HYPERLINK("http://www.ncbi.nlm.nih.gov/protein/XP_038067671.1","hepatocyte nuclear factor 4-gamma-like isoform X1")</f>
        <v>hepatocyte nuclear factor 4-gamma-like isoform X1</v>
      </c>
      <c r="J1165">
        <v>127.49</v>
      </c>
      <c r="K1165" t="s">
        <v>25</v>
      </c>
      <c r="L1165">
        <v>157</v>
      </c>
      <c r="M1165">
        <v>44.41</v>
      </c>
      <c r="N1165">
        <v>6.79</v>
      </c>
      <c r="O1165" t="s">
        <v>25</v>
      </c>
      <c r="P1165" t="s">
        <v>965</v>
      </c>
      <c r="Q1165" t="s">
        <v>20</v>
      </c>
      <c r="R1165" t="str">
        <f>HYPERLINK("https://cfpub.epa.gov/ecotox/explore.cfm?ncbi=46514","Explore in ECOTOX")</f>
        <v>Explore in ECOTOX</v>
      </c>
    </row>
    <row r="1166" spans="1:18" x14ac:dyDescent="0.25">
      <c r="A1166">
        <v>6</v>
      </c>
      <c r="B1166" t="str">
        <f>HYPERLINK("http://www.ncbi.nlm.nih.gov/protein/XP_017088436.1","XP_017088436.1")</f>
        <v>XP_017088436.1</v>
      </c>
      <c r="C1166">
        <v>23647</v>
      </c>
      <c r="D1166" t="str">
        <f>HYPERLINK("http://www.ncbi.nlm.nih.gov/Taxonomy/Browser/wwwtax.cgi?mode=Info&amp;id=42026&amp;lvl=3&amp;lin=f&amp;keep=1&amp;srchmode=1&amp;unlock","42026")</f>
        <v>42026</v>
      </c>
      <c r="E1166" t="s">
        <v>698</v>
      </c>
      <c r="F1166" t="s">
        <v>698</v>
      </c>
      <c r="G1166" t="str">
        <f>HYPERLINK("http://www.ncbi.nlm.nih.gov/Taxonomy/Browser/wwwtax.cgi?mode=Info&amp;id=42026&amp;lvl=3&amp;lin=f&amp;keep=1&amp;srchmode=1&amp;unlock","Drosophila bipectinata")</f>
        <v>Drosophila bipectinata</v>
      </c>
      <c r="H1166" t="s">
        <v>753</v>
      </c>
      <c r="I1166" t="str">
        <f>HYPERLINK("http://www.ncbi.nlm.nih.gov/protein/XP_017088436.1","PREDICTED: steroid hormone receptor ERR2 isoform X2")</f>
        <v>PREDICTED: steroid hormone receptor ERR2 isoform X2</v>
      </c>
      <c r="J1166">
        <v>127.1</v>
      </c>
      <c r="K1166" t="s">
        <v>25</v>
      </c>
      <c r="L1166">
        <v>157</v>
      </c>
      <c r="M1166">
        <v>44.41</v>
      </c>
      <c r="N1166">
        <v>6.77</v>
      </c>
      <c r="O1166" t="s">
        <v>25</v>
      </c>
      <c r="P1166" t="s">
        <v>965</v>
      </c>
      <c r="Q1166" t="s">
        <v>20</v>
      </c>
      <c r="R1166" t="str">
        <f>HYPERLINK("https://cfpub.epa.gov/ecotox/explore.cfm?ncbi=42026","Explore in ECOTOX")</f>
        <v>Explore in ECOTOX</v>
      </c>
    </row>
    <row r="1167" spans="1:18" x14ac:dyDescent="0.25">
      <c r="A1167">
        <v>6</v>
      </c>
      <c r="B1167" t="str">
        <f>HYPERLINK("http://www.ncbi.nlm.nih.gov/protein/XP_030560705.1","XP_030560705.1")</f>
        <v>XP_030560705.1</v>
      </c>
      <c r="C1167">
        <v>20258</v>
      </c>
      <c r="D1167" t="str">
        <f>HYPERLINK("http://www.ncbi.nlm.nih.gov/Taxonomy/Browser/wwwtax.cgi?mode=Info&amp;id=47314&amp;lvl=3&amp;lin=f&amp;keep=1&amp;srchmode=1&amp;unlock","47314")</f>
        <v>47314</v>
      </c>
      <c r="E1167" t="s">
        <v>698</v>
      </c>
      <c r="F1167" t="s">
        <v>698</v>
      </c>
      <c r="G1167" t="str">
        <f>HYPERLINK("http://www.ncbi.nlm.nih.gov/Taxonomy/Browser/wwwtax.cgi?mode=Info&amp;id=47314&amp;lvl=3&amp;lin=f&amp;keep=1&amp;srchmode=1&amp;unlock","Drosophila novamexicana")</f>
        <v>Drosophila novamexicana</v>
      </c>
      <c r="H1167" t="s">
        <v>753</v>
      </c>
      <c r="I1167" t="str">
        <f>HYPERLINK("http://www.ncbi.nlm.nih.gov/protein/XP_030560705.1","steroid hormone receptor ERR2")</f>
        <v>steroid hormone receptor ERR2</v>
      </c>
      <c r="J1167">
        <v>126.72</v>
      </c>
      <c r="K1167" t="s">
        <v>25</v>
      </c>
      <c r="L1167">
        <v>157</v>
      </c>
      <c r="M1167">
        <v>44.41</v>
      </c>
      <c r="N1167">
        <v>6.75</v>
      </c>
      <c r="O1167" t="s">
        <v>25</v>
      </c>
      <c r="P1167" t="s">
        <v>965</v>
      </c>
      <c r="Q1167" t="s">
        <v>20</v>
      </c>
      <c r="R1167" t="str">
        <f>HYPERLINK("https://cfpub.epa.gov/ecotox/explore.cfm?ncbi=47314","Explore in ECOTOX")</f>
        <v>Explore in ECOTOX</v>
      </c>
    </row>
    <row r="1168" spans="1:18" x14ac:dyDescent="0.25">
      <c r="A1168">
        <v>6</v>
      </c>
      <c r="B1168" t="str">
        <f>HYPERLINK("http://www.ncbi.nlm.nih.gov/protein/XP_023161034.2","XP_023161034.2")</f>
        <v>XP_023161034.2</v>
      </c>
      <c r="C1168">
        <v>21591</v>
      </c>
      <c r="D1168" t="str">
        <f>HYPERLINK("http://www.ncbi.nlm.nih.gov/Taxonomy/Browser/wwwtax.cgi?mode=Info&amp;id=7224&amp;lvl=3&amp;lin=f&amp;keep=1&amp;srchmode=1&amp;unlock","7224")</f>
        <v>7224</v>
      </c>
      <c r="E1168" t="s">
        <v>698</v>
      </c>
      <c r="F1168" t="s">
        <v>698</v>
      </c>
      <c r="G1168" t="str">
        <f>HYPERLINK("http://www.ncbi.nlm.nih.gov/Taxonomy/Browser/wwwtax.cgi?mode=Info&amp;id=7224&amp;lvl=3&amp;lin=f&amp;keep=1&amp;srchmode=1&amp;unlock","Drosophila hydei")</f>
        <v>Drosophila hydei</v>
      </c>
      <c r="H1168" t="s">
        <v>753</v>
      </c>
      <c r="I1168" t="str">
        <f>HYPERLINK("http://www.ncbi.nlm.nih.gov/protein/XP_023161034.2","steroid hormone receptor ERR2")</f>
        <v>steroid hormone receptor ERR2</v>
      </c>
      <c r="J1168">
        <v>126.72</v>
      </c>
      <c r="K1168" t="s">
        <v>25</v>
      </c>
      <c r="L1168">
        <v>157</v>
      </c>
      <c r="M1168">
        <v>44.41</v>
      </c>
      <c r="N1168">
        <v>6.75</v>
      </c>
      <c r="O1168" t="s">
        <v>25</v>
      </c>
      <c r="P1168" t="s">
        <v>965</v>
      </c>
      <c r="Q1168" t="s">
        <v>20</v>
      </c>
      <c r="R1168" t="str">
        <f>HYPERLINK("https://cfpub.epa.gov/ecotox/explore.cfm?ncbi=7224","Explore in ECOTOX")</f>
        <v>Explore in ECOTOX</v>
      </c>
    </row>
    <row r="1169" spans="1:18" x14ac:dyDescent="0.25">
      <c r="A1169">
        <v>6</v>
      </c>
      <c r="B1169" t="str">
        <f>HYPERLINK("http://www.ncbi.nlm.nih.gov/protein/XP_033096325.1","XP_033096325.1")</f>
        <v>XP_033096325.1</v>
      </c>
      <c r="C1169">
        <v>32797</v>
      </c>
      <c r="D1169" t="str">
        <f>HYPERLINK("http://www.ncbi.nlm.nih.gov/Taxonomy/Browser/wwwtax.cgi?mode=Info&amp;id=1529436&amp;lvl=3&amp;lin=f&amp;keep=1&amp;srchmode=1&amp;unlock","1529436")</f>
        <v>1529436</v>
      </c>
      <c r="E1169" t="s">
        <v>768</v>
      </c>
      <c r="F1169" t="s">
        <v>768</v>
      </c>
      <c r="G1169" t="str">
        <f>HYPERLINK("http://www.ncbi.nlm.nih.gov/Taxonomy/Browser/wwwtax.cgi?mode=Info&amp;id=1529436&amp;lvl=3&amp;lin=f&amp;keep=1&amp;srchmode=1&amp;unlock","Anneissia japonica")</f>
        <v>Anneissia japonica</v>
      </c>
      <c r="H1169" t="s">
        <v>769</v>
      </c>
      <c r="I1169" t="str">
        <f>HYPERLINK("http://www.ncbi.nlm.nih.gov/protein/XP_033096325.1","steroid hormone receptor ERR1-like")</f>
        <v>steroid hormone receptor ERR1-like</v>
      </c>
      <c r="J1169">
        <v>126.72</v>
      </c>
      <c r="K1169" t="s">
        <v>25</v>
      </c>
      <c r="L1169">
        <v>157</v>
      </c>
      <c r="M1169">
        <v>44.41</v>
      </c>
      <c r="N1169">
        <v>6.75</v>
      </c>
      <c r="O1169" t="s">
        <v>25</v>
      </c>
      <c r="P1169" t="s">
        <v>965</v>
      </c>
      <c r="Q1169" t="s">
        <v>20</v>
      </c>
      <c r="R1169" t="str">
        <f>HYPERLINK("https://cfpub.epa.gov/ecotox/explore.cfm?ncbi=1529436","Explore in ECOTOX")</f>
        <v>Explore in ECOTOX</v>
      </c>
    </row>
    <row r="1170" spans="1:18" x14ac:dyDescent="0.25">
      <c r="A1170">
        <v>6</v>
      </c>
      <c r="B1170" t="str">
        <f>HYPERLINK("http://www.ncbi.nlm.nih.gov/protein/XP_017957580.1","XP_017957580.1")</f>
        <v>XP_017957580.1</v>
      </c>
      <c r="C1170">
        <v>35896</v>
      </c>
      <c r="D1170" t="str">
        <f>HYPERLINK("http://www.ncbi.nlm.nih.gov/Taxonomy/Browser/wwwtax.cgi?mode=Info&amp;id=7232&amp;lvl=3&amp;lin=f&amp;keep=1&amp;srchmode=1&amp;unlock","7232")</f>
        <v>7232</v>
      </c>
      <c r="E1170" t="s">
        <v>698</v>
      </c>
      <c r="F1170" t="s">
        <v>698</v>
      </c>
      <c r="G1170" t="str">
        <f>HYPERLINK("http://www.ncbi.nlm.nih.gov/Taxonomy/Browser/wwwtax.cgi?mode=Info&amp;id=7232&amp;lvl=3&amp;lin=f&amp;keep=1&amp;srchmode=1&amp;unlock","Drosophila navojoa")</f>
        <v>Drosophila navojoa</v>
      </c>
      <c r="H1170" t="s">
        <v>753</v>
      </c>
      <c r="I1170" t="str">
        <f>HYPERLINK("http://www.ncbi.nlm.nih.gov/protein/XP_017957580.1","steroid hormone receptor ERR2")</f>
        <v>steroid hormone receptor ERR2</v>
      </c>
      <c r="J1170">
        <v>126.72</v>
      </c>
      <c r="K1170" t="s">
        <v>25</v>
      </c>
      <c r="L1170">
        <v>157</v>
      </c>
      <c r="M1170">
        <v>44.41</v>
      </c>
      <c r="N1170">
        <v>6.75</v>
      </c>
      <c r="O1170" t="s">
        <v>25</v>
      </c>
      <c r="P1170" t="s">
        <v>965</v>
      </c>
      <c r="Q1170" t="s">
        <v>20</v>
      </c>
      <c r="R1170" t="str">
        <f>HYPERLINK("https://cfpub.epa.gov/ecotox/explore.cfm?ncbi=7232","Explore in ECOTOX")</f>
        <v>Explore in ECOTOX</v>
      </c>
    </row>
    <row r="1171" spans="1:18" x14ac:dyDescent="0.25">
      <c r="A1171">
        <v>6</v>
      </c>
      <c r="B1171" t="str">
        <f>HYPERLINK("http://www.ncbi.nlm.nih.gov/protein/XP_002046422.1","XP_002046422.1")</f>
        <v>XP_002046422.1</v>
      </c>
      <c r="C1171">
        <v>44766</v>
      </c>
      <c r="D1171" t="str">
        <f>HYPERLINK("http://www.ncbi.nlm.nih.gov/Taxonomy/Browser/wwwtax.cgi?mode=Info&amp;id=7244&amp;lvl=3&amp;lin=f&amp;keep=1&amp;srchmode=1&amp;unlock","7244")</f>
        <v>7244</v>
      </c>
      <c r="E1171" t="s">
        <v>698</v>
      </c>
      <c r="F1171" t="s">
        <v>698</v>
      </c>
      <c r="G1171" t="str">
        <f>HYPERLINK("http://www.ncbi.nlm.nih.gov/Taxonomy/Browser/wwwtax.cgi?mode=Info&amp;id=7244&amp;lvl=3&amp;lin=f&amp;keep=1&amp;srchmode=1&amp;unlock","Drosophila virilis")</f>
        <v>Drosophila virilis</v>
      </c>
      <c r="H1171" t="s">
        <v>753</v>
      </c>
      <c r="I1171" t="str">
        <f>HYPERLINK("http://www.ncbi.nlm.nih.gov/protein/XP_002046422.1","steroid hormone receptor ERR2")</f>
        <v>steroid hormone receptor ERR2</v>
      </c>
      <c r="J1171">
        <v>126.33</v>
      </c>
      <c r="K1171" t="s">
        <v>25</v>
      </c>
      <c r="L1171">
        <v>157</v>
      </c>
      <c r="M1171">
        <v>44.41</v>
      </c>
      <c r="N1171">
        <v>6.72</v>
      </c>
      <c r="O1171" t="s">
        <v>25</v>
      </c>
      <c r="P1171" t="s">
        <v>965</v>
      </c>
      <c r="Q1171" t="s">
        <v>20</v>
      </c>
      <c r="R1171" t="str">
        <f>HYPERLINK("https://cfpub.epa.gov/ecotox/explore.cfm?ncbi=7244","Explore in ECOTOX")</f>
        <v>Explore in ECOTOX</v>
      </c>
    </row>
    <row r="1172" spans="1:18" x14ac:dyDescent="0.25">
      <c r="A1172">
        <v>6</v>
      </c>
      <c r="B1172" t="str">
        <f>HYPERLINK("http://www.ncbi.nlm.nih.gov/protein/ALD83751.1","ALD83751.1")</f>
        <v>ALD83751.1</v>
      </c>
      <c r="C1172">
        <v>453</v>
      </c>
      <c r="D1172" t="str">
        <f>HYPERLINK("http://www.ncbi.nlm.nih.gov/Taxonomy/Browser/wwwtax.cgi?mode=Info&amp;id=192188&amp;lvl=3&amp;lin=f&amp;keep=1&amp;srchmode=1&amp;unlock","192188")</f>
        <v>192188</v>
      </c>
      <c r="E1172" t="s">
        <v>698</v>
      </c>
      <c r="F1172" t="s">
        <v>698</v>
      </c>
      <c r="G1172" t="str">
        <f>HYPERLINK("http://www.ncbi.nlm.nih.gov/Taxonomy/Browser/wwwtax.cgi?mode=Info&amp;id=192188&amp;lvl=3&amp;lin=f&amp;keep=1&amp;srchmode=1&amp;unlock","Grapholita molesta")</f>
        <v>Grapholita molesta</v>
      </c>
      <c r="H1172" t="s">
        <v>1178</v>
      </c>
      <c r="I1172" t="str">
        <f>HYPERLINK("http://www.ncbi.nlm.nih.gov/protein/ALD83751.1","ultraspiracle")</f>
        <v>ultraspiracle</v>
      </c>
      <c r="J1172">
        <v>126.33</v>
      </c>
      <c r="K1172" t="s">
        <v>25</v>
      </c>
      <c r="L1172">
        <v>157</v>
      </c>
      <c r="M1172">
        <v>44.41</v>
      </c>
      <c r="N1172">
        <v>6.72</v>
      </c>
      <c r="O1172" t="s">
        <v>25</v>
      </c>
      <c r="P1172" t="s">
        <v>965</v>
      </c>
      <c r="Q1172" t="s">
        <v>20</v>
      </c>
      <c r="R1172" t="str">
        <f>HYPERLINK("https://cfpub.epa.gov/ecotox/explore.cfm?ncbi=192188","Explore in ECOTOX")</f>
        <v>Explore in ECOTOX</v>
      </c>
    </row>
    <row r="1173" spans="1:18" x14ac:dyDescent="0.25">
      <c r="A1173">
        <v>6</v>
      </c>
      <c r="B1173" t="str">
        <f>HYPERLINK("http://www.ncbi.nlm.nih.gov/protein/PIK58754.1","PIK58754.1")</f>
        <v>PIK58754.1</v>
      </c>
      <c r="C1173">
        <v>30827</v>
      </c>
      <c r="D1173" t="str">
        <f>HYPERLINK("http://www.ncbi.nlm.nih.gov/Taxonomy/Browser/wwwtax.cgi?mode=Info&amp;id=307972&amp;lvl=3&amp;lin=f&amp;keep=1&amp;srchmode=1&amp;unlock","307972")</f>
        <v>307972</v>
      </c>
      <c r="E1173" t="s">
        <v>826</v>
      </c>
      <c r="F1173" t="s">
        <v>826</v>
      </c>
      <c r="G1173" t="str">
        <f>HYPERLINK("http://www.ncbi.nlm.nih.gov/Taxonomy/Browser/wwwtax.cgi?mode=Info&amp;id=307972&amp;lvl=3&amp;lin=f&amp;keep=1&amp;srchmode=1&amp;unlock","Apostichopus japonicus")</f>
        <v>Apostichopus japonicus</v>
      </c>
      <c r="H1173" t="s">
        <v>827</v>
      </c>
      <c r="I1173" t="str">
        <f>HYPERLINK("http://www.ncbi.nlm.nih.gov/protein/PIK58754.1","estrogen receptor-like receptor")</f>
        <v>estrogen receptor-like receptor</v>
      </c>
      <c r="J1173">
        <v>125.95</v>
      </c>
      <c r="K1173" t="s">
        <v>25</v>
      </c>
      <c r="L1173">
        <v>157</v>
      </c>
      <c r="M1173">
        <v>44.41</v>
      </c>
      <c r="N1173">
        <v>6.7</v>
      </c>
      <c r="O1173" t="s">
        <v>25</v>
      </c>
      <c r="P1173" t="s">
        <v>965</v>
      </c>
      <c r="Q1173" t="s">
        <v>20</v>
      </c>
      <c r="R1173" t="str">
        <f>HYPERLINK("https://cfpub.epa.gov/ecotox/explore.cfm?ncbi=307972","Explore in ECOTOX")</f>
        <v>Explore in ECOTOX</v>
      </c>
    </row>
    <row r="1174" spans="1:18" x14ac:dyDescent="0.25">
      <c r="A1174">
        <v>6</v>
      </c>
      <c r="B1174" t="str">
        <f>HYPERLINK("http://www.ncbi.nlm.nih.gov/protein/XP_017863345.1","XP_017863345.1")</f>
        <v>XP_017863345.1</v>
      </c>
      <c r="C1174">
        <v>20062</v>
      </c>
      <c r="D1174" t="str">
        <f>HYPERLINK("http://www.ncbi.nlm.nih.gov/Taxonomy/Browser/wwwtax.cgi?mode=Info&amp;id=7263&amp;lvl=3&amp;lin=f&amp;keep=1&amp;srchmode=1&amp;unlock","7263")</f>
        <v>7263</v>
      </c>
      <c r="E1174" t="s">
        <v>698</v>
      </c>
      <c r="F1174" t="s">
        <v>698</v>
      </c>
      <c r="G1174" t="str">
        <f>HYPERLINK("http://www.ncbi.nlm.nih.gov/Taxonomy/Browser/wwwtax.cgi?mode=Info&amp;id=7263&amp;lvl=3&amp;lin=f&amp;keep=1&amp;srchmode=1&amp;unlock","Drosophila arizonae")</f>
        <v>Drosophila arizonae</v>
      </c>
      <c r="H1174" t="s">
        <v>753</v>
      </c>
      <c r="I1174" t="str">
        <f>HYPERLINK("http://www.ncbi.nlm.nih.gov/protein/XP_017863345.1","PREDICTED: steroid hormone receptor ERR2 isoform X2")</f>
        <v>PREDICTED: steroid hormone receptor ERR2 isoform X2</v>
      </c>
      <c r="J1174">
        <v>125.56</v>
      </c>
      <c r="K1174" t="s">
        <v>25</v>
      </c>
      <c r="L1174">
        <v>157</v>
      </c>
      <c r="M1174">
        <v>44.41</v>
      </c>
      <c r="N1174">
        <v>6.68</v>
      </c>
      <c r="O1174" t="s">
        <v>25</v>
      </c>
      <c r="P1174" t="s">
        <v>965</v>
      </c>
      <c r="Q1174" t="s">
        <v>20</v>
      </c>
      <c r="R1174" t="str">
        <f>HYPERLINK("https://cfpub.epa.gov/ecotox/explore.cfm?ncbi=7263","Explore in ECOTOX")</f>
        <v>Explore in ECOTOX</v>
      </c>
    </row>
    <row r="1175" spans="1:18" x14ac:dyDescent="0.25">
      <c r="A1175">
        <v>6</v>
      </c>
      <c r="B1175" t="str">
        <f>HYPERLINK("http://www.ncbi.nlm.nih.gov/protein/KAG1665017.1","KAG1665017.1")</f>
        <v>KAG1665017.1</v>
      </c>
      <c r="C1175">
        <v>28507</v>
      </c>
      <c r="D1175" t="str">
        <f>HYPERLINK("http://www.ncbi.nlm.nih.gov/Taxonomy/Browser/wwwtax.cgi?mode=Info&amp;id=424472&amp;lvl=3&amp;lin=f&amp;keep=1&amp;srchmode=1&amp;unlock","424472")</f>
        <v>424472</v>
      </c>
      <c r="E1175" t="s">
        <v>1179</v>
      </c>
      <c r="F1175" t="s">
        <v>1179</v>
      </c>
      <c r="G1175" t="str">
        <f>HYPERLINK("http://www.ncbi.nlm.nih.gov/Taxonomy/Browser/wwwtax.cgi?mode=Info&amp;id=424472&amp;lvl=3&amp;lin=f&amp;keep=1&amp;srchmode=1&amp;unlock","Nymphon striatum")</f>
        <v>Nymphon striatum</v>
      </c>
      <c r="H1175" t="s">
        <v>1180</v>
      </c>
      <c r="I1175" t="str">
        <f>HYPERLINK("http://www.ncbi.nlm.nih.gov/protein/KAG1665017.1","Estrogen-related receptor gamma")</f>
        <v>Estrogen-related receptor gamma</v>
      </c>
      <c r="J1175">
        <v>125.56</v>
      </c>
      <c r="K1175" t="s">
        <v>25</v>
      </c>
      <c r="L1175">
        <v>157</v>
      </c>
      <c r="M1175">
        <v>44.41</v>
      </c>
      <c r="N1175">
        <v>6.68</v>
      </c>
      <c r="O1175" t="s">
        <v>25</v>
      </c>
      <c r="P1175" t="s">
        <v>965</v>
      </c>
      <c r="Q1175" t="s">
        <v>20</v>
      </c>
      <c r="R1175" t="str">
        <f>HYPERLINK("https://cfpub.epa.gov/ecotox/explore.cfm?ncbi=424472","Explore in ECOTOX")</f>
        <v>Explore in ECOTOX</v>
      </c>
    </row>
    <row r="1176" spans="1:18" x14ac:dyDescent="0.25">
      <c r="A1176">
        <v>6</v>
      </c>
      <c r="B1176" t="str">
        <f>HYPERLINK("http://www.ncbi.nlm.nih.gov/protein/GBP51082.1","GBP51082.1")</f>
        <v>GBP51082.1</v>
      </c>
      <c r="C1176">
        <v>96443</v>
      </c>
      <c r="D1176" t="str">
        <f>HYPERLINK("http://www.ncbi.nlm.nih.gov/Taxonomy/Browser/wwwtax.cgi?mode=Info&amp;id=151549&amp;lvl=3&amp;lin=f&amp;keep=1&amp;srchmode=1&amp;unlock","151549")</f>
        <v>151549</v>
      </c>
      <c r="E1176" t="s">
        <v>698</v>
      </c>
      <c r="F1176" t="s">
        <v>698</v>
      </c>
      <c r="G1176" t="str">
        <f>HYPERLINK("http://www.ncbi.nlm.nih.gov/Taxonomy/Browser/wwwtax.cgi?mode=Info&amp;id=151549&amp;lvl=3&amp;lin=f&amp;keep=1&amp;srchmode=1&amp;unlock","Eumeta japonica")</f>
        <v>Eumeta japonica</v>
      </c>
      <c r="H1176" t="s">
        <v>751</v>
      </c>
      <c r="I1176" t="str">
        <f>HYPERLINK("http://www.ncbi.nlm.nih.gov/protein/GBP51082.1","Estrogen-related receptor gamma")</f>
        <v>Estrogen-related receptor gamma</v>
      </c>
      <c r="J1176">
        <v>125.56</v>
      </c>
      <c r="K1176" t="s">
        <v>25</v>
      </c>
      <c r="L1176">
        <v>157</v>
      </c>
      <c r="M1176">
        <v>44.41</v>
      </c>
      <c r="N1176">
        <v>6.68</v>
      </c>
      <c r="O1176" t="s">
        <v>25</v>
      </c>
      <c r="P1176" t="s">
        <v>965</v>
      </c>
      <c r="Q1176" t="s">
        <v>20</v>
      </c>
      <c r="R1176" t="str">
        <f>HYPERLINK("https://cfpub.epa.gov/ecotox/explore.cfm?ncbi=151549","Explore in ECOTOX")</f>
        <v>Explore in ECOTOX</v>
      </c>
    </row>
    <row r="1177" spans="1:18" x14ac:dyDescent="0.25">
      <c r="A1177">
        <v>6</v>
      </c>
      <c r="B1177" t="str">
        <f>HYPERLINK("http://www.ncbi.nlm.nih.gov/protein/XP_002012072.1","XP_002012072.1")</f>
        <v>XP_002012072.1</v>
      </c>
      <c r="C1177">
        <v>42659</v>
      </c>
      <c r="D1177" t="str">
        <f>HYPERLINK("http://www.ncbi.nlm.nih.gov/Taxonomy/Browser/wwwtax.cgi?mode=Info&amp;id=7230&amp;lvl=3&amp;lin=f&amp;keep=1&amp;srchmode=1&amp;unlock","7230")</f>
        <v>7230</v>
      </c>
      <c r="E1177" t="s">
        <v>698</v>
      </c>
      <c r="F1177" t="s">
        <v>698</v>
      </c>
      <c r="G1177" t="str">
        <f>HYPERLINK("http://www.ncbi.nlm.nih.gov/Taxonomy/Browser/wwwtax.cgi?mode=Info&amp;id=7230&amp;lvl=3&amp;lin=f&amp;keep=1&amp;srchmode=1&amp;unlock","Drosophila mojavensis")</f>
        <v>Drosophila mojavensis</v>
      </c>
      <c r="H1177" t="s">
        <v>753</v>
      </c>
      <c r="I1177" t="str">
        <f>HYPERLINK("http://www.ncbi.nlm.nih.gov/protein/XP_002012072.1","steroid hormone receptor ERR2")</f>
        <v>steroid hormone receptor ERR2</v>
      </c>
      <c r="J1177">
        <v>125.56</v>
      </c>
      <c r="K1177" t="s">
        <v>25</v>
      </c>
      <c r="L1177">
        <v>157</v>
      </c>
      <c r="M1177">
        <v>44.41</v>
      </c>
      <c r="N1177">
        <v>6.68</v>
      </c>
      <c r="O1177" t="s">
        <v>25</v>
      </c>
      <c r="P1177" t="s">
        <v>965</v>
      </c>
      <c r="Q1177" t="s">
        <v>20</v>
      </c>
      <c r="R1177" t="str">
        <f>HYPERLINK("https://cfpub.epa.gov/ecotox/explore.cfm?ncbi=7230","Explore in ECOTOX")</f>
        <v>Explore in ECOTOX</v>
      </c>
    </row>
    <row r="1178" spans="1:18" x14ac:dyDescent="0.25">
      <c r="A1178">
        <v>6</v>
      </c>
      <c r="B1178" t="str">
        <f>HYPERLINK("http://www.ncbi.nlm.nih.gov/protein/TKR93290.1","TKR93290.1")</f>
        <v>TKR93290.1</v>
      </c>
      <c r="C1178">
        <v>36673</v>
      </c>
      <c r="D1178" t="str">
        <f>HYPERLINK("http://www.ncbi.nlm.nih.gov/Taxonomy/Browser/wwwtax.cgi?mode=Info&amp;id=34508&amp;lvl=3&amp;lin=f&amp;keep=1&amp;srchmode=1&amp;unlock","34508")</f>
        <v>34508</v>
      </c>
      <c r="E1178" t="s">
        <v>869</v>
      </c>
      <c r="F1178" t="s">
        <v>869</v>
      </c>
      <c r="G1178" t="str">
        <f>HYPERLINK("http://www.ncbi.nlm.nih.gov/Taxonomy/Browser/wwwtax.cgi?mode=Info&amp;id=34508&amp;lvl=3&amp;lin=f&amp;keep=1&amp;srchmode=1&amp;unlock","Steinernema carpocapsae")</f>
        <v>Steinernema carpocapsae</v>
      </c>
      <c r="H1178" t="s">
        <v>803</v>
      </c>
      <c r="I1178" t="str">
        <f>HYPERLINK("http://www.ncbi.nlm.nih.gov/protein/TKR93290.1","hypothetical protein L596_007774")</f>
        <v>hypothetical protein L596_007774</v>
      </c>
      <c r="J1178">
        <v>125.56</v>
      </c>
      <c r="K1178" t="s">
        <v>25</v>
      </c>
      <c r="L1178">
        <v>157</v>
      </c>
      <c r="M1178">
        <v>44.41</v>
      </c>
      <c r="N1178">
        <v>6.68</v>
      </c>
      <c r="O1178" t="s">
        <v>25</v>
      </c>
      <c r="P1178" t="s">
        <v>965</v>
      </c>
      <c r="Q1178" t="s">
        <v>20</v>
      </c>
      <c r="R1178" t="str">
        <f>HYPERLINK("https://cfpub.epa.gov/ecotox/explore.cfm?ncbi=34508","Explore in ECOTOX")</f>
        <v>Explore in ECOTOX</v>
      </c>
    </row>
    <row r="1179" spans="1:18" x14ac:dyDescent="0.25">
      <c r="A1179">
        <v>6</v>
      </c>
      <c r="B1179" t="str">
        <f>HYPERLINK("http://www.ncbi.nlm.nih.gov/protein/XP_014095280.1","XP_014095280.1")</f>
        <v>XP_014095280.1</v>
      </c>
      <c r="C1179">
        <v>34294</v>
      </c>
      <c r="D1179" t="str">
        <f>HYPERLINK("http://www.ncbi.nlm.nih.gov/Taxonomy/Browser/wwwtax.cgi?mode=Info&amp;id=104688&amp;lvl=3&amp;lin=f&amp;keep=1&amp;srchmode=1&amp;unlock","104688")</f>
        <v>104688</v>
      </c>
      <c r="E1179" t="s">
        <v>698</v>
      </c>
      <c r="F1179" t="s">
        <v>698</v>
      </c>
      <c r="G1179" t="str">
        <f>HYPERLINK("http://www.ncbi.nlm.nih.gov/Taxonomy/Browser/wwwtax.cgi?mode=Info&amp;id=104688&amp;lvl=3&amp;lin=f&amp;keep=1&amp;srchmode=1&amp;unlock","Bactrocera oleae")</f>
        <v>Bactrocera oleae</v>
      </c>
      <c r="H1179" t="s">
        <v>924</v>
      </c>
      <c r="I1179" t="str">
        <f>HYPERLINK("http://www.ncbi.nlm.nih.gov/protein/XP_014095280.1","steroid hormone receptor ERR1")</f>
        <v>steroid hormone receptor ERR1</v>
      </c>
      <c r="J1179">
        <v>124.79</v>
      </c>
      <c r="K1179" t="s">
        <v>25</v>
      </c>
      <c r="L1179">
        <v>157</v>
      </c>
      <c r="M1179">
        <v>44.41</v>
      </c>
      <c r="N1179">
        <v>6.64</v>
      </c>
      <c r="O1179" t="s">
        <v>25</v>
      </c>
      <c r="P1179" t="s">
        <v>965</v>
      </c>
      <c r="Q1179" t="s">
        <v>20</v>
      </c>
      <c r="R1179" t="str">
        <f>HYPERLINK("https://cfpub.epa.gov/ecotox/explore.cfm?ncbi=104688","Explore in ECOTOX")</f>
        <v>Explore in ECOTOX</v>
      </c>
    </row>
    <row r="1180" spans="1:18" x14ac:dyDescent="0.25">
      <c r="A1180">
        <v>6</v>
      </c>
      <c r="B1180" t="str">
        <f>HYPERLINK("http://www.ncbi.nlm.nih.gov/protein/XP_030535137.1","XP_030535137.1")</f>
        <v>XP_030535137.1</v>
      </c>
      <c r="C1180">
        <v>42574</v>
      </c>
      <c r="D1180" t="str">
        <f>HYPERLINK("http://www.ncbi.nlm.nih.gov/Taxonomy/Browser/wwwtax.cgi?mode=Info&amp;id=178133&amp;lvl=3&amp;lin=f&amp;keep=1&amp;srchmode=1&amp;unlock","178133")</f>
        <v>178133</v>
      </c>
      <c r="E1180" t="s">
        <v>1181</v>
      </c>
      <c r="F1180" t="s">
        <v>1181</v>
      </c>
      <c r="G1180" t="str">
        <f>HYPERLINK("http://www.ncbi.nlm.nih.gov/Taxonomy/Browser/wwwtax.cgi?mode=Info&amp;id=178133&amp;lvl=3&amp;lin=f&amp;keep=1&amp;srchmode=1&amp;unlock","Rhodamnia argentea")</f>
        <v>Rhodamnia argentea</v>
      </c>
      <c r="H1180" t="s">
        <v>1182</v>
      </c>
      <c r="I1180" t="str">
        <f>HYPERLINK("http://www.ncbi.nlm.nih.gov/protein/XP_030535137.1","steroid hormone receptor ERR2-like")</f>
        <v>steroid hormone receptor ERR2-like</v>
      </c>
      <c r="J1180">
        <v>124.79</v>
      </c>
      <c r="K1180" t="s">
        <v>25</v>
      </c>
      <c r="L1180">
        <v>157</v>
      </c>
      <c r="M1180">
        <v>44.41</v>
      </c>
      <c r="N1180">
        <v>6.64</v>
      </c>
      <c r="O1180" t="s">
        <v>25</v>
      </c>
      <c r="P1180" t="s">
        <v>965</v>
      </c>
      <c r="Q1180" t="s">
        <v>20</v>
      </c>
      <c r="R1180" t="str">
        <f>HYPERLINK("https://cfpub.epa.gov/ecotox/explore.cfm?ncbi=178133","Explore in ECOTOX")</f>
        <v>Explore in ECOTOX</v>
      </c>
    </row>
    <row r="1181" spans="1:18" x14ac:dyDescent="0.25">
      <c r="A1181">
        <v>6</v>
      </c>
      <c r="B1181" t="str">
        <f>HYPERLINK("http://www.ncbi.nlm.nih.gov/protein/XP_039963422.1","XP_039963422.1")</f>
        <v>XP_039963422.1</v>
      </c>
      <c r="C1181">
        <v>24218</v>
      </c>
      <c r="D1181" t="str">
        <f>HYPERLINK("http://www.ncbi.nlm.nih.gov/Taxonomy/Browser/wwwtax.cgi?mode=Info&amp;id=59916&amp;lvl=3&amp;lin=f&amp;keep=1&amp;srchmode=1&amp;unlock","59916")</f>
        <v>59916</v>
      </c>
      <c r="E1181" t="s">
        <v>698</v>
      </c>
      <c r="F1181" t="s">
        <v>698</v>
      </c>
      <c r="G1181" t="str">
        <f>HYPERLINK("http://www.ncbi.nlm.nih.gov/Taxonomy/Browser/wwwtax.cgi?mode=Info&amp;id=59916&amp;lvl=3&amp;lin=f&amp;keep=1&amp;srchmode=1&amp;unlock","Bactrocera tryoni")</f>
        <v>Bactrocera tryoni</v>
      </c>
      <c r="H1181" t="s">
        <v>914</v>
      </c>
      <c r="I1181" t="str">
        <f>HYPERLINK("http://www.ncbi.nlm.nih.gov/protein/XP_039963422.1","steroid hormone receptor ERR1")</f>
        <v>steroid hormone receptor ERR1</v>
      </c>
      <c r="J1181">
        <v>124.41</v>
      </c>
      <c r="K1181" t="s">
        <v>25</v>
      </c>
      <c r="L1181">
        <v>157</v>
      </c>
      <c r="M1181">
        <v>44.41</v>
      </c>
      <c r="N1181">
        <v>6.62</v>
      </c>
      <c r="O1181" t="s">
        <v>25</v>
      </c>
      <c r="P1181" t="s">
        <v>965</v>
      </c>
      <c r="Q1181" t="s">
        <v>20</v>
      </c>
      <c r="R1181" t="str">
        <f>HYPERLINK("https://cfpub.epa.gov/ecotox/explore.cfm?ncbi=59916","Explore in ECOTOX")</f>
        <v>Explore in ECOTOX</v>
      </c>
    </row>
    <row r="1182" spans="1:18" x14ac:dyDescent="0.25">
      <c r="A1182">
        <v>6</v>
      </c>
      <c r="B1182" t="str">
        <f>HYPERLINK("http://www.ncbi.nlm.nih.gov/protein/OQR80014.1","OQR80014.1")</f>
        <v>OQR80014.1</v>
      </c>
      <c r="C1182">
        <v>14378</v>
      </c>
      <c r="D1182" t="str">
        <f>HYPERLINK("http://www.ncbi.nlm.nih.gov/Taxonomy/Browser/wwwtax.cgi?mode=Info&amp;id=418985&amp;lvl=3&amp;lin=f&amp;keep=1&amp;srchmode=1&amp;unlock","418985")</f>
        <v>418985</v>
      </c>
      <c r="E1182" t="s">
        <v>700</v>
      </c>
      <c r="F1182" t="s">
        <v>700</v>
      </c>
      <c r="G1182" t="str">
        <f>HYPERLINK("http://www.ncbi.nlm.nih.gov/Taxonomy/Browser/wwwtax.cgi?mode=Info&amp;id=418985&amp;lvl=3&amp;lin=f&amp;keep=1&amp;srchmode=1&amp;unlock","Tropilaelaps mercedesae")</f>
        <v>Tropilaelaps mercedesae</v>
      </c>
      <c r="H1182" t="s">
        <v>701</v>
      </c>
      <c r="I1182" t="str">
        <f>HYPERLINK("http://www.ncbi.nlm.nih.gov/protein/OQR80014.1","transcription factor HNF-4-like")</f>
        <v>transcription factor HNF-4-like</v>
      </c>
      <c r="J1182">
        <v>124.41</v>
      </c>
      <c r="K1182" t="s">
        <v>25</v>
      </c>
      <c r="L1182">
        <v>157</v>
      </c>
      <c r="M1182">
        <v>44.41</v>
      </c>
      <c r="N1182">
        <v>6.62</v>
      </c>
      <c r="O1182" t="s">
        <v>25</v>
      </c>
      <c r="P1182" t="s">
        <v>965</v>
      </c>
      <c r="Q1182" t="s">
        <v>20</v>
      </c>
      <c r="R1182" t="str">
        <f>HYPERLINK("https://cfpub.epa.gov/ecotox/explore.cfm?ncbi=418985","Explore in ECOTOX")</f>
        <v>Explore in ECOTOX</v>
      </c>
    </row>
    <row r="1183" spans="1:18" x14ac:dyDescent="0.25">
      <c r="A1183">
        <v>6</v>
      </c>
      <c r="B1183" t="str">
        <f>HYPERLINK("http://www.ncbi.nlm.nih.gov/protein/ASL70522.1","ASL70522.1")</f>
        <v>ASL70522.1</v>
      </c>
      <c r="C1183">
        <v>25285</v>
      </c>
      <c r="D1183" t="str">
        <f>HYPERLINK("http://www.ncbi.nlm.nih.gov/Taxonomy/Browser/wwwtax.cgi?mode=Info&amp;id=104777&amp;lvl=3&amp;lin=f&amp;keep=1&amp;srchmode=1&amp;unlock","104777")</f>
        <v>104777</v>
      </c>
      <c r="E1183" t="s">
        <v>855</v>
      </c>
      <c r="F1183" t="s">
        <v>855</v>
      </c>
      <c r="G1183" t="str">
        <f>HYPERLINK("http://www.ncbi.nlm.nih.gov/Taxonomy/Browser/wwwtax.cgi?mode=Info&amp;id=104777&amp;lvl=3&amp;lin=f&amp;keep=1&amp;srchmode=1&amp;unlock","Brachionus calyciflorus")</f>
        <v>Brachionus calyciflorus</v>
      </c>
      <c r="H1183" t="s">
        <v>856</v>
      </c>
      <c r="I1183" t="str">
        <f>HYPERLINK("http://www.ncbi.nlm.nih.gov/protein/ASL70522.1","nuclear receptor")</f>
        <v>nuclear receptor</v>
      </c>
      <c r="J1183">
        <v>124.02</v>
      </c>
      <c r="K1183" t="s">
        <v>25</v>
      </c>
      <c r="L1183">
        <v>157</v>
      </c>
      <c r="M1183">
        <v>44.41</v>
      </c>
      <c r="N1183">
        <v>6.6</v>
      </c>
      <c r="O1183" t="s">
        <v>25</v>
      </c>
      <c r="P1183" t="s">
        <v>965</v>
      </c>
      <c r="Q1183" t="s">
        <v>20</v>
      </c>
      <c r="R1183" t="str">
        <f>HYPERLINK("https://cfpub.epa.gov/ecotox/explore.cfm?ncbi=104777","Explore in ECOTOX")</f>
        <v>Explore in ECOTOX</v>
      </c>
    </row>
    <row r="1184" spans="1:18" x14ac:dyDescent="0.25">
      <c r="A1184">
        <v>6</v>
      </c>
      <c r="B1184" t="str">
        <f>HYPERLINK("http://www.ncbi.nlm.nih.gov/protein/NP_729340.1","NP_729340.1")</f>
        <v>NP_729340.1</v>
      </c>
      <c r="C1184">
        <v>112894</v>
      </c>
      <c r="D1184" t="str">
        <f>HYPERLINK("http://www.ncbi.nlm.nih.gov/Taxonomy/Browser/wwwtax.cgi?mode=Info&amp;id=7227&amp;lvl=3&amp;lin=f&amp;keep=1&amp;srchmode=1&amp;unlock","7227")</f>
        <v>7227</v>
      </c>
      <c r="E1184" t="s">
        <v>698</v>
      </c>
      <c r="F1184" t="s">
        <v>698</v>
      </c>
      <c r="G1184" t="str">
        <f>HYPERLINK("http://www.ncbi.nlm.nih.gov/Taxonomy/Browser/wwwtax.cgi?mode=Info&amp;id=7227&amp;lvl=3&amp;lin=f&amp;keep=1&amp;srchmode=1&amp;unlock","Drosophila melanogaster")</f>
        <v>Drosophila melanogaster</v>
      </c>
      <c r="H1184" t="s">
        <v>944</v>
      </c>
      <c r="I1184" t="str">
        <f>HYPERLINK("http://www.ncbi.nlm.nih.gov/protein/NP_729340.1","estrogen-related receptor, isoform A")</f>
        <v>estrogen-related receptor, isoform A</v>
      </c>
      <c r="J1184">
        <v>124.02</v>
      </c>
      <c r="K1184" t="s">
        <v>25</v>
      </c>
      <c r="L1184">
        <v>157</v>
      </c>
      <c r="M1184">
        <v>44.41</v>
      </c>
      <c r="N1184">
        <v>6.6</v>
      </c>
      <c r="O1184" t="s">
        <v>25</v>
      </c>
      <c r="P1184" t="s">
        <v>965</v>
      </c>
      <c r="Q1184" t="s">
        <v>20</v>
      </c>
      <c r="R1184" t="str">
        <f>HYPERLINK("https://cfpub.epa.gov/ecotox/explore.cfm?ncbi=7227","Explore in ECOTOX")</f>
        <v>Explore in ECOTOX</v>
      </c>
    </row>
    <row r="1185" spans="1:18" x14ac:dyDescent="0.25">
      <c r="A1185">
        <v>6</v>
      </c>
      <c r="B1185" t="str">
        <f>HYPERLINK("http://www.ncbi.nlm.nih.gov/protein/XP_033157227.1","XP_033157227.1")</f>
        <v>XP_033157227.1</v>
      </c>
      <c r="C1185">
        <v>24096</v>
      </c>
      <c r="D1185" t="str">
        <f>HYPERLINK("http://www.ncbi.nlm.nih.gov/Taxonomy/Browser/wwwtax.cgi?mode=Info&amp;id=7226&amp;lvl=3&amp;lin=f&amp;keep=1&amp;srchmode=1&amp;unlock","7226")</f>
        <v>7226</v>
      </c>
      <c r="E1185" t="s">
        <v>698</v>
      </c>
      <c r="F1185" t="s">
        <v>698</v>
      </c>
      <c r="G1185" t="str">
        <f>HYPERLINK("http://www.ncbi.nlm.nih.gov/Taxonomy/Browser/wwwtax.cgi?mode=Info&amp;id=7226&amp;lvl=3&amp;lin=f&amp;keep=1&amp;srchmode=1&amp;unlock","Drosophila mauritiana")</f>
        <v>Drosophila mauritiana</v>
      </c>
      <c r="H1185" t="s">
        <v>753</v>
      </c>
      <c r="I1185" t="str">
        <f>HYPERLINK("http://www.ncbi.nlm.nih.gov/protein/XP_033157227.1","steroid hormone receptor ERR2 isoform X1")</f>
        <v>steroid hormone receptor ERR2 isoform X1</v>
      </c>
      <c r="J1185">
        <v>123.64</v>
      </c>
      <c r="K1185" t="s">
        <v>25</v>
      </c>
      <c r="L1185">
        <v>157</v>
      </c>
      <c r="M1185">
        <v>44.41</v>
      </c>
      <c r="N1185">
        <v>6.58</v>
      </c>
      <c r="O1185" t="s">
        <v>25</v>
      </c>
      <c r="P1185" t="s">
        <v>965</v>
      </c>
      <c r="Q1185" t="s">
        <v>20</v>
      </c>
      <c r="R1185" t="str">
        <f>HYPERLINK("https://cfpub.epa.gov/ecotox/explore.cfm?ncbi=7226","Explore in ECOTOX")</f>
        <v>Explore in ECOTOX</v>
      </c>
    </row>
    <row r="1186" spans="1:18" x14ac:dyDescent="0.25">
      <c r="A1186">
        <v>6</v>
      </c>
      <c r="B1186" t="str">
        <f>HYPERLINK("http://www.ncbi.nlm.nih.gov/protein/XP_026833630.1","XP_026833630.1")</f>
        <v>XP_026833630.1</v>
      </c>
      <c r="C1186">
        <v>42790</v>
      </c>
      <c r="D1186" t="str">
        <f>HYPERLINK("http://www.ncbi.nlm.nih.gov/Taxonomy/Browser/wwwtax.cgi?mode=Info&amp;id=7220&amp;lvl=3&amp;lin=f&amp;keep=1&amp;srchmode=1&amp;unlock","7220")</f>
        <v>7220</v>
      </c>
      <c r="E1186" t="s">
        <v>698</v>
      </c>
      <c r="F1186" t="s">
        <v>698</v>
      </c>
      <c r="G1186" t="str">
        <f>HYPERLINK("http://www.ncbi.nlm.nih.gov/Taxonomy/Browser/wwwtax.cgi?mode=Info&amp;id=7220&amp;lvl=3&amp;lin=f&amp;keep=1&amp;srchmode=1&amp;unlock","Drosophila erecta")</f>
        <v>Drosophila erecta</v>
      </c>
      <c r="H1186" t="s">
        <v>753</v>
      </c>
      <c r="I1186" t="str">
        <f>HYPERLINK("http://www.ncbi.nlm.nih.gov/protein/XP_026833630.1","steroid hormone receptor ERR2 isoform X1")</f>
        <v>steroid hormone receptor ERR2 isoform X1</v>
      </c>
      <c r="J1186">
        <v>123.64</v>
      </c>
      <c r="K1186" t="s">
        <v>25</v>
      </c>
      <c r="L1186">
        <v>157</v>
      </c>
      <c r="M1186">
        <v>44.41</v>
      </c>
      <c r="N1186">
        <v>6.58</v>
      </c>
      <c r="O1186" t="s">
        <v>25</v>
      </c>
      <c r="P1186" t="s">
        <v>965</v>
      </c>
      <c r="Q1186" t="s">
        <v>20</v>
      </c>
      <c r="R1186" t="str">
        <f>HYPERLINK("https://cfpub.epa.gov/ecotox/explore.cfm?ncbi=7220","Explore in ECOTOX")</f>
        <v>Explore in ECOTOX</v>
      </c>
    </row>
    <row r="1187" spans="1:18" x14ac:dyDescent="0.25">
      <c r="A1187">
        <v>6</v>
      </c>
      <c r="B1187" t="str">
        <f>HYPERLINK("http://www.ncbi.nlm.nih.gov/protein/XP_002029675.1","XP_002029675.1")</f>
        <v>XP_002029675.1</v>
      </c>
      <c r="C1187">
        <v>40453</v>
      </c>
      <c r="D1187" t="str">
        <f>HYPERLINK("http://www.ncbi.nlm.nih.gov/Taxonomy/Browser/wwwtax.cgi?mode=Info&amp;id=7238&amp;lvl=3&amp;lin=f&amp;keep=1&amp;srchmode=1&amp;unlock","7238")</f>
        <v>7238</v>
      </c>
      <c r="E1187" t="s">
        <v>698</v>
      </c>
      <c r="F1187" t="s">
        <v>698</v>
      </c>
      <c r="G1187" t="str">
        <f>HYPERLINK("http://www.ncbi.nlm.nih.gov/Taxonomy/Browser/wwwtax.cgi?mode=Info&amp;id=7238&amp;lvl=3&amp;lin=f&amp;keep=1&amp;srchmode=1&amp;unlock","Drosophila sechellia")</f>
        <v>Drosophila sechellia</v>
      </c>
      <c r="H1187" t="s">
        <v>753</v>
      </c>
      <c r="I1187" t="str">
        <f>HYPERLINK("http://www.ncbi.nlm.nih.gov/protein/XP_002029675.1","steroid hormone receptor ERR2 isoform X1")</f>
        <v>steroid hormone receptor ERR2 isoform X1</v>
      </c>
      <c r="J1187">
        <v>123.64</v>
      </c>
      <c r="K1187" t="s">
        <v>25</v>
      </c>
      <c r="L1187">
        <v>157</v>
      </c>
      <c r="M1187">
        <v>44.41</v>
      </c>
      <c r="N1187">
        <v>6.58</v>
      </c>
      <c r="O1187" t="s">
        <v>25</v>
      </c>
      <c r="P1187" t="s">
        <v>965</v>
      </c>
      <c r="Q1187" t="s">
        <v>20</v>
      </c>
      <c r="R1187" t="str">
        <f>HYPERLINK("https://cfpub.epa.gov/ecotox/explore.cfm?ncbi=7238","Explore in ECOTOX")</f>
        <v>Explore in ECOTOX</v>
      </c>
    </row>
    <row r="1188" spans="1:18" x14ac:dyDescent="0.25">
      <c r="A1188">
        <v>6</v>
      </c>
      <c r="B1188" t="str">
        <f>HYPERLINK("http://www.ncbi.nlm.nih.gov/protein/XP_032219162.1","XP_032219162.1")</f>
        <v>XP_032219162.1</v>
      </c>
      <c r="C1188">
        <v>60012</v>
      </c>
      <c r="D1188" t="str">
        <f>HYPERLINK("http://www.ncbi.nlm.nih.gov/Taxonomy/Browser/wwwtax.cgi?mode=Info&amp;id=45351&amp;lvl=3&amp;lin=f&amp;keep=1&amp;srchmode=1&amp;unlock","45351")</f>
        <v>45351</v>
      </c>
      <c r="E1188" t="s">
        <v>1183</v>
      </c>
      <c r="F1188" t="s">
        <v>1183</v>
      </c>
      <c r="G1188" t="str">
        <f>HYPERLINK("http://www.ncbi.nlm.nih.gov/Taxonomy/Browser/wwwtax.cgi?mode=Info&amp;id=45351&amp;lvl=3&amp;lin=f&amp;keep=1&amp;srchmode=1&amp;unlock","Nematostella vectensis")</f>
        <v>Nematostella vectensis</v>
      </c>
      <c r="H1188" t="s">
        <v>1184</v>
      </c>
      <c r="I1188" t="str">
        <f>HYPERLINK("http://www.ncbi.nlm.nih.gov/protein/XP_032219162.1","hepatocyte nuclear factor 4-gamma")</f>
        <v>hepatocyte nuclear factor 4-gamma</v>
      </c>
      <c r="J1188">
        <v>123.64</v>
      </c>
      <c r="K1188" t="s">
        <v>25</v>
      </c>
      <c r="L1188">
        <v>157</v>
      </c>
      <c r="M1188">
        <v>44.41</v>
      </c>
      <c r="N1188">
        <v>6.58</v>
      </c>
      <c r="O1188" t="s">
        <v>25</v>
      </c>
      <c r="P1188" t="s">
        <v>965</v>
      </c>
      <c r="Q1188" t="s">
        <v>20</v>
      </c>
      <c r="R1188" t="str">
        <f>HYPERLINK("https://cfpub.epa.gov/ecotox/explore.cfm?ncbi=45351","Explore in ECOTOX")</f>
        <v>Explore in ECOTOX</v>
      </c>
    </row>
    <row r="1189" spans="1:18" x14ac:dyDescent="0.25">
      <c r="A1189">
        <v>6</v>
      </c>
      <c r="B1189" t="str">
        <f>HYPERLINK("http://www.ncbi.nlm.nih.gov/protein/OAF71737.1","OAF71737.1")</f>
        <v>OAF71737.1</v>
      </c>
      <c r="C1189">
        <v>8724</v>
      </c>
      <c r="D1189" t="str">
        <f>HYPERLINK("http://www.ncbi.nlm.nih.gov/Taxonomy/Browser/wwwtax.cgi?mode=Info&amp;id=1819745&amp;lvl=3&amp;lin=f&amp;keep=1&amp;srchmode=1&amp;unlock","1819745")</f>
        <v>1819745</v>
      </c>
      <c r="E1189" t="s">
        <v>1185</v>
      </c>
      <c r="F1189" t="s">
        <v>1185</v>
      </c>
      <c r="G1189" t="str">
        <f>HYPERLINK("http://www.ncbi.nlm.nih.gov/Taxonomy/Browser/wwwtax.cgi?mode=Info&amp;id=1819745&amp;lvl=3&amp;lin=f&amp;keep=1&amp;srchmode=1&amp;unlock","Intoshia linei")</f>
        <v>Intoshia linei</v>
      </c>
      <c r="H1189" t="s">
        <v>1186</v>
      </c>
      <c r="I1189" t="str">
        <f>HYPERLINK("http://www.ncbi.nlm.nih.gov/protein/OAF71737.1","ER-beta")</f>
        <v>ER-beta</v>
      </c>
      <c r="J1189">
        <v>123.64</v>
      </c>
      <c r="K1189" t="s">
        <v>25</v>
      </c>
      <c r="L1189">
        <v>157</v>
      </c>
      <c r="M1189">
        <v>44.41</v>
      </c>
      <c r="N1189">
        <v>6.58</v>
      </c>
      <c r="O1189" t="s">
        <v>25</v>
      </c>
      <c r="P1189" t="s">
        <v>965</v>
      </c>
      <c r="Q1189" t="s">
        <v>20</v>
      </c>
      <c r="R1189" t="str">
        <f>HYPERLINK("https://cfpub.epa.gov/ecotox/explore.cfm?ncbi=1819745","Explore in ECOTOX")</f>
        <v>Explore in ECOTOX</v>
      </c>
    </row>
    <row r="1190" spans="1:18" x14ac:dyDescent="0.25">
      <c r="A1190">
        <v>6</v>
      </c>
      <c r="B1190" t="str">
        <f>HYPERLINK("http://www.ncbi.nlm.nih.gov/protein/XP_002084068.2","XP_002084068.2")</f>
        <v>XP_002084068.2</v>
      </c>
      <c r="C1190">
        <v>72158</v>
      </c>
      <c r="D1190" t="str">
        <f>HYPERLINK("http://www.ncbi.nlm.nih.gov/Taxonomy/Browser/wwwtax.cgi?mode=Info&amp;id=7240&amp;lvl=3&amp;lin=f&amp;keep=1&amp;srchmode=1&amp;unlock","7240")</f>
        <v>7240</v>
      </c>
      <c r="E1190" t="s">
        <v>698</v>
      </c>
      <c r="F1190" t="s">
        <v>698</v>
      </c>
      <c r="G1190" t="str">
        <f>HYPERLINK("http://www.ncbi.nlm.nih.gov/Taxonomy/Browser/wwwtax.cgi?mode=Info&amp;id=7240&amp;lvl=3&amp;lin=f&amp;keep=1&amp;srchmode=1&amp;unlock","Drosophila simulans")</f>
        <v>Drosophila simulans</v>
      </c>
      <c r="H1190" t="s">
        <v>753</v>
      </c>
      <c r="I1190" t="str">
        <f>HYPERLINK("http://www.ncbi.nlm.nih.gov/protein/XP_002084068.2","steroid hormone receptor ERR2 isoform X1")</f>
        <v>steroid hormone receptor ERR2 isoform X1</v>
      </c>
      <c r="J1190">
        <v>123.64</v>
      </c>
      <c r="K1190" t="s">
        <v>25</v>
      </c>
      <c r="L1190">
        <v>157</v>
      </c>
      <c r="M1190">
        <v>44.41</v>
      </c>
      <c r="N1190">
        <v>6.58</v>
      </c>
      <c r="O1190" t="s">
        <v>25</v>
      </c>
      <c r="P1190" t="s">
        <v>965</v>
      </c>
      <c r="Q1190" t="s">
        <v>20</v>
      </c>
      <c r="R1190" t="str">
        <f>HYPERLINK("https://cfpub.epa.gov/ecotox/explore.cfm?ncbi=7240","Explore in ECOTOX")</f>
        <v>Explore in ECOTOX</v>
      </c>
    </row>
    <row r="1191" spans="1:18" x14ac:dyDescent="0.25">
      <c r="A1191">
        <v>6</v>
      </c>
      <c r="B1191" t="str">
        <f>HYPERLINK("http://www.ncbi.nlm.nih.gov/protein/XP_039488796.1","XP_039488796.1")</f>
        <v>XP_039488796.1</v>
      </c>
      <c r="C1191">
        <v>24792</v>
      </c>
      <c r="D1191" t="str">
        <f>HYPERLINK("http://www.ncbi.nlm.nih.gov/Taxonomy/Browser/wwwtax.cgi?mode=Info&amp;id=129105&amp;lvl=3&amp;lin=f&amp;keep=1&amp;srchmode=1&amp;unlock","129105")</f>
        <v>129105</v>
      </c>
      <c r="E1191" t="s">
        <v>698</v>
      </c>
      <c r="F1191" t="s">
        <v>698</v>
      </c>
      <c r="G1191" t="str">
        <f>HYPERLINK("http://www.ncbi.nlm.nih.gov/Taxonomy/Browser/wwwtax.cgi?mode=Info&amp;id=129105&amp;lvl=3&amp;lin=f&amp;keep=1&amp;srchmode=1&amp;unlock","Drosophila santomea")</f>
        <v>Drosophila santomea</v>
      </c>
      <c r="H1191" t="s">
        <v>753</v>
      </c>
      <c r="I1191" t="str">
        <f>HYPERLINK("http://www.ncbi.nlm.nih.gov/protein/XP_039488796.1","steroid hormone receptor ERR2 isoform X1")</f>
        <v>steroid hormone receptor ERR2 isoform X1</v>
      </c>
      <c r="J1191">
        <v>123.25</v>
      </c>
      <c r="K1191" t="s">
        <v>25</v>
      </c>
      <c r="L1191">
        <v>157</v>
      </c>
      <c r="M1191">
        <v>44.41</v>
      </c>
      <c r="N1191">
        <v>6.56</v>
      </c>
      <c r="O1191" t="s">
        <v>25</v>
      </c>
      <c r="P1191" t="s">
        <v>965</v>
      </c>
      <c r="Q1191" t="s">
        <v>20</v>
      </c>
      <c r="R1191" t="str">
        <f>HYPERLINK("https://cfpub.epa.gov/ecotox/explore.cfm?ncbi=129105","Explore in ECOTOX")</f>
        <v>Explore in ECOTOX</v>
      </c>
    </row>
    <row r="1192" spans="1:18" x14ac:dyDescent="0.25">
      <c r="A1192">
        <v>6</v>
      </c>
      <c r="B1192" t="str">
        <f>HYPERLINK("http://www.ncbi.nlm.nih.gov/protein/RWS15167.1","RWS15167.1")</f>
        <v>RWS15167.1</v>
      </c>
      <c r="C1192">
        <v>19014</v>
      </c>
      <c r="D1192" t="str">
        <f>HYPERLINK("http://www.ncbi.nlm.nih.gov/Taxonomy/Browser/wwwtax.cgi?mode=Info&amp;id=1965070&amp;lvl=3&amp;lin=f&amp;keep=1&amp;srchmode=1&amp;unlock","1965070")</f>
        <v>1965070</v>
      </c>
      <c r="E1192" t="s">
        <v>700</v>
      </c>
      <c r="F1192" t="s">
        <v>700</v>
      </c>
      <c r="G1192" t="str">
        <f>HYPERLINK("http://www.ncbi.nlm.nih.gov/Taxonomy/Browser/wwwtax.cgi?mode=Info&amp;id=1965070&amp;lvl=3&amp;lin=f&amp;keep=1&amp;srchmode=1&amp;unlock","Dinothrombium tinctorium")</f>
        <v>Dinothrombium tinctorium</v>
      </c>
      <c r="H1192" t="s">
        <v>1187</v>
      </c>
      <c r="I1192" t="str">
        <f>HYPERLINK("http://www.ncbi.nlm.nih.gov/protein/RWS15167.1","Estrogen-related receptor gamma-like protein, partial")</f>
        <v>Estrogen-related receptor gamma-like protein, partial</v>
      </c>
      <c r="J1192">
        <v>123.25</v>
      </c>
      <c r="K1192" t="s">
        <v>25</v>
      </c>
      <c r="L1192">
        <v>157</v>
      </c>
      <c r="M1192">
        <v>44.41</v>
      </c>
      <c r="N1192">
        <v>6.56</v>
      </c>
      <c r="O1192" t="s">
        <v>25</v>
      </c>
      <c r="P1192" t="s">
        <v>965</v>
      </c>
      <c r="Q1192" t="s">
        <v>20</v>
      </c>
      <c r="R1192" t="str">
        <f>HYPERLINK("https://cfpub.epa.gov/ecotox/explore.cfm?ncbi=1965070","Explore in ECOTOX")</f>
        <v>Explore in ECOTOX</v>
      </c>
    </row>
    <row r="1193" spans="1:18" x14ac:dyDescent="0.25">
      <c r="A1193">
        <v>6</v>
      </c>
      <c r="B1193" t="str">
        <f>HYPERLINK("http://www.ncbi.nlm.nih.gov/protein/XP_002094133.1","XP_002094133.1")</f>
        <v>XP_002094133.1</v>
      </c>
      <c r="C1193">
        <v>50596</v>
      </c>
      <c r="D1193" t="str">
        <f>HYPERLINK("http://www.ncbi.nlm.nih.gov/Taxonomy/Browser/wwwtax.cgi?mode=Info&amp;id=7245&amp;lvl=3&amp;lin=f&amp;keep=1&amp;srchmode=1&amp;unlock","7245")</f>
        <v>7245</v>
      </c>
      <c r="E1193" t="s">
        <v>698</v>
      </c>
      <c r="F1193" t="s">
        <v>698</v>
      </c>
      <c r="G1193" t="str">
        <f>HYPERLINK("http://www.ncbi.nlm.nih.gov/Taxonomy/Browser/wwwtax.cgi?mode=Info&amp;id=7245&amp;lvl=3&amp;lin=f&amp;keep=1&amp;srchmode=1&amp;unlock","Drosophila yakuba")</f>
        <v>Drosophila yakuba</v>
      </c>
      <c r="H1193" t="s">
        <v>753</v>
      </c>
      <c r="I1193" t="str">
        <f>HYPERLINK("http://www.ncbi.nlm.nih.gov/protein/XP_002094133.1","steroid hormone receptor ERR2 isoform X1")</f>
        <v>steroid hormone receptor ERR2 isoform X1</v>
      </c>
      <c r="J1193">
        <v>123.25</v>
      </c>
      <c r="K1193" t="s">
        <v>25</v>
      </c>
      <c r="L1193">
        <v>157</v>
      </c>
      <c r="M1193">
        <v>44.41</v>
      </c>
      <c r="N1193">
        <v>6.56</v>
      </c>
      <c r="O1193" t="s">
        <v>25</v>
      </c>
      <c r="P1193" t="s">
        <v>965</v>
      </c>
      <c r="Q1193" t="s">
        <v>20</v>
      </c>
      <c r="R1193" t="str">
        <f>HYPERLINK("https://cfpub.epa.gov/ecotox/explore.cfm?ncbi=7245","Explore in ECOTOX")</f>
        <v>Explore in ECOTOX</v>
      </c>
    </row>
    <row r="1194" spans="1:18" x14ac:dyDescent="0.25">
      <c r="A1194">
        <v>6</v>
      </c>
      <c r="B1194" t="str">
        <f>HYPERLINK("http://www.ncbi.nlm.nih.gov/protein/XP_017074092.1","XP_017074092.1")</f>
        <v>XP_017074092.1</v>
      </c>
      <c r="C1194">
        <v>24307</v>
      </c>
      <c r="D1194" t="str">
        <f>HYPERLINK("http://www.ncbi.nlm.nih.gov/Taxonomy/Browser/wwwtax.cgi?mode=Info&amp;id=29029&amp;lvl=3&amp;lin=f&amp;keep=1&amp;srchmode=1&amp;unlock","29029")</f>
        <v>29029</v>
      </c>
      <c r="E1194" t="s">
        <v>698</v>
      </c>
      <c r="F1194" t="s">
        <v>698</v>
      </c>
      <c r="G1194" t="str">
        <f>HYPERLINK("http://www.ncbi.nlm.nih.gov/Taxonomy/Browser/wwwtax.cgi?mode=Info&amp;id=29029&amp;lvl=3&amp;lin=f&amp;keep=1&amp;srchmode=1&amp;unlock","Drosophila eugracilis")</f>
        <v>Drosophila eugracilis</v>
      </c>
      <c r="H1194" t="s">
        <v>753</v>
      </c>
      <c r="I1194" t="str">
        <f>HYPERLINK("http://www.ncbi.nlm.nih.gov/protein/XP_017074092.1","PREDICTED: steroid hormone receptor ERR2 isoform X1")</f>
        <v>PREDICTED: steroid hormone receptor ERR2 isoform X1</v>
      </c>
      <c r="J1194">
        <v>122.86</v>
      </c>
      <c r="K1194" t="s">
        <v>25</v>
      </c>
      <c r="L1194">
        <v>157</v>
      </c>
      <c r="M1194">
        <v>44.41</v>
      </c>
      <c r="N1194">
        <v>6.54</v>
      </c>
      <c r="O1194" t="s">
        <v>25</v>
      </c>
      <c r="P1194" t="s">
        <v>965</v>
      </c>
      <c r="Q1194" t="s">
        <v>20</v>
      </c>
      <c r="R1194" t="str">
        <f>HYPERLINK("https://cfpub.epa.gov/ecotox/explore.cfm?ncbi=29029","Explore in ECOTOX")</f>
        <v>Explore in ECOTOX</v>
      </c>
    </row>
    <row r="1195" spans="1:18" x14ac:dyDescent="0.25">
      <c r="A1195">
        <v>6</v>
      </c>
      <c r="B1195" t="str">
        <f>HYPERLINK("http://www.ncbi.nlm.nih.gov/protein/ETN59829.1","ETN59829.1")</f>
        <v>ETN59829.1</v>
      </c>
      <c r="C1195">
        <v>10794</v>
      </c>
      <c r="D1195" t="str">
        <f>HYPERLINK("http://www.ncbi.nlm.nih.gov/Taxonomy/Browser/wwwtax.cgi?mode=Info&amp;id=43151&amp;lvl=3&amp;lin=f&amp;keep=1&amp;srchmode=1&amp;unlock","43151")</f>
        <v>43151</v>
      </c>
      <c r="E1195" t="s">
        <v>698</v>
      </c>
      <c r="F1195" t="s">
        <v>698</v>
      </c>
      <c r="G1195" t="str">
        <f>HYPERLINK("http://www.ncbi.nlm.nih.gov/Taxonomy/Browser/wwwtax.cgi?mode=Info&amp;id=43151&amp;lvl=3&amp;lin=f&amp;keep=1&amp;srchmode=1&amp;unlock","Anopheles darlingi")</f>
        <v>Anopheles darlingi</v>
      </c>
      <c r="H1195" t="s">
        <v>1188</v>
      </c>
      <c r="I1195" t="str">
        <f>HYPERLINK("http://www.ncbi.nlm.nih.gov/protein/ETN59829.1","retinoid x receptor (rxr)")</f>
        <v>retinoid x receptor (rxr)</v>
      </c>
      <c r="J1195">
        <v>122.86</v>
      </c>
      <c r="K1195" t="s">
        <v>25</v>
      </c>
      <c r="L1195">
        <v>157</v>
      </c>
      <c r="M1195">
        <v>44.41</v>
      </c>
      <c r="N1195">
        <v>6.54</v>
      </c>
      <c r="O1195" t="s">
        <v>25</v>
      </c>
      <c r="P1195" t="s">
        <v>965</v>
      </c>
      <c r="Q1195" t="s">
        <v>20</v>
      </c>
      <c r="R1195" t="str">
        <f>HYPERLINK("https://cfpub.epa.gov/ecotox/explore.cfm?ncbi=43151","Explore in ECOTOX")</f>
        <v>Explore in ECOTOX</v>
      </c>
    </row>
    <row r="1196" spans="1:18" x14ac:dyDescent="0.25">
      <c r="A1196">
        <v>6</v>
      </c>
      <c r="B1196" t="str">
        <f>HYPERLINK("http://www.ncbi.nlm.nih.gov/protein/KAE9555720.1","KAE9555720.1")</f>
        <v>KAE9555720.1</v>
      </c>
      <c r="C1196">
        <v>10997</v>
      </c>
      <c r="D1196" t="str">
        <f>HYPERLINK("http://www.ncbi.nlm.nih.gov/Taxonomy/Browser/wwwtax.cgi?mode=Info&amp;id=2598192&amp;lvl=3&amp;lin=f&amp;keep=1&amp;srchmode=1&amp;unlock","2598192")</f>
        <v>2598192</v>
      </c>
      <c r="E1196" t="s">
        <v>869</v>
      </c>
      <c r="F1196" t="s">
        <v>869</v>
      </c>
      <c r="G1196" t="str">
        <f>HYPERLINK("http://www.ncbi.nlm.nih.gov/Taxonomy/Browser/wwwtax.cgi?mode=Info&amp;id=2598192&amp;lvl=3&amp;lin=f&amp;keep=1&amp;srchmode=1&amp;unlock","Halicephalobus sp. NKZ332")</f>
        <v>Halicephalobus sp. NKZ332</v>
      </c>
      <c r="H1196" t="s">
        <v>803</v>
      </c>
      <c r="I1196" t="str">
        <f>HYPERLINK("http://www.ncbi.nlm.nih.gov/protein/KAE9555720.1","hypothetical protein FO519_001072")</f>
        <v>hypothetical protein FO519_001072</v>
      </c>
      <c r="J1196">
        <v>122.48</v>
      </c>
      <c r="K1196" t="s">
        <v>25</v>
      </c>
      <c r="L1196">
        <v>157</v>
      </c>
      <c r="M1196">
        <v>44.41</v>
      </c>
      <c r="N1196">
        <v>6.52</v>
      </c>
      <c r="O1196" t="s">
        <v>25</v>
      </c>
      <c r="P1196" t="s">
        <v>965</v>
      </c>
      <c r="Q1196" t="s">
        <v>20</v>
      </c>
      <c r="R1196" t="str">
        <f>HYPERLINK("https://cfpub.epa.gov/ecotox/explore.cfm?ncbi=2598192","Explore in ECOTOX")</f>
        <v>Explore in ECOTOX</v>
      </c>
    </row>
    <row r="1197" spans="1:18" x14ac:dyDescent="0.25">
      <c r="A1197">
        <v>6</v>
      </c>
      <c r="B1197" t="str">
        <f>HYPERLINK("http://www.ncbi.nlm.nih.gov/protein/XP_035778919.1","XP_035778919.1")</f>
        <v>XP_035778919.1</v>
      </c>
      <c r="C1197">
        <v>24117</v>
      </c>
      <c r="D1197" t="str">
        <f>HYPERLINK("http://www.ncbi.nlm.nih.gov/Taxonomy/Browser/wwwtax.cgi?mode=Info&amp;id=7167&amp;lvl=3&amp;lin=f&amp;keep=1&amp;srchmode=1&amp;unlock","7167")</f>
        <v>7167</v>
      </c>
      <c r="E1197" t="s">
        <v>698</v>
      </c>
      <c r="F1197" t="s">
        <v>698</v>
      </c>
      <c r="G1197" t="str">
        <f>HYPERLINK("http://www.ncbi.nlm.nih.gov/Taxonomy/Browser/wwwtax.cgi?mode=Info&amp;id=7167&amp;lvl=3&amp;lin=f&amp;keep=1&amp;srchmode=1&amp;unlock","Anopheles albimanus")</f>
        <v>Anopheles albimanus</v>
      </c>
      <c r="H1197" t="s">
        <v>758</v>
      </c>
      <c r="I1197" t="str">
        <f>HYPERLINK("http://www.ncbi.nlm.nih.gov/protein/XP_035778919.1","protein ultraspiracle homolog")</f>
        <v>protein ultraspiracle homolog</v>
      </c>
      <c r="J1197">
        <v>122.09</v>
      </c>
      <c r="K1197" t="s">
        <v>25</v>
      </c>
      <c r="L1197">
        <v>157</v>
      </c>
      <c r="M1197">
        <v>44.41</v>
      </c>
      <c r="N1197">
        <v>6.5</v>
      </c>
      <c r="O1197" t="s">
        <v>25</v>
      </c>
      <c r="P1197" t="s">
        <v>965</v>
      </c>
      <c r="Q1197" t="s">
        <v>20</v>
      </c>
      <c r="R1197" t="str">
        <f>HYPERLINK("https://cfpub.epa.gov/ecotox/explore.cfm?ncbi=7167","Explore in ECOTOX")</f>
        <v>Explore in ECOTOX</v>
      </c>
    </row>
    <row r="1198" spans="1:18" x14ac:dyDescent="0.25">
      <c r="A1198">
        <v>6</v>
      </c>
      <c r="B1198" t="str">
        <f>HYPERLINK("http://www.ncbi.nlm.nih.gov/protein/XP_017042642.1","XP_017042642.1")</f>
        <v>XP_017042642.1</v>
      </c>
      <c r="C1198">
        <v>23940</v>
      </c>
      <c r="D1198" t="str">
        <f>HYPERLINK("http://www.ncbi.nlm.nih.gov/Taxonomy/Browser/wwwtax.cgi?mode=Info&amp;id=30025&amp;lvl=3&amp;lin=f&amp;keep=1&amp;srchmode=1&amp;unlock","30025")</f>
        <v>30025</v>
      </c>
      <c r="E1198" t="s">
        <v>698</v>
      </c>
      <c r="F1198" t="s">
        <v>698</v>
      </c>
      <c r="G1198" t="str">
        <f>HYPERLINK("http://www.ncbi.nlm.nih.gov/Taxonomy/Browser/wwwtax.cgi?mode=Info&amp;id=30025&amp;lvl=3&amp;lin=f&amp;keep=1&amp;srchmode=1&amp;unlock","Drosophila ficusphila")</f>
        <v>Drosophila ficusphila</v>
      </c>
      <c r="H1198" t="s">
        <v>753</v>
      </c>
      <c r="I1198" t="str">
        <f>HYPERLINK("http://www.ncbi.nlm.nih.gov/protein/XP_017042642.1","PREDICTED: steroid hormone receptor ERR2 isoform X2")</f>
        <v>PREDICTED: steroid hormone receptor ERR2 isoform X2</v>
      </c>
      <c r="J1198">
        <v>121.71</v>
      </c>
      <c r="K1198" t="s">
        <v>25</v>
      </c>
      <c r="L1198">
        <v>157</v>
      </c>
      <c r="M1198">
        <v>44.41</v>
      </c>
      <c r="N1198">
        <v>6.48</v>
      </c>
      <c r="O1198" t="s">
        <v>25</v>
      </c>
      <c r="P1198" t="s">
        <v>965</v>
      </c>
      <c r="Q1198" t="s">
        <v>20</v>
      </c>
      <c r="R1198" t="str">
        <f>HYPERLINK("https://cfpub.epa.gov/ecotox/explore.cfm?ncbi=30025","Explore in ECOTOX")</f>
        <v>Explore in ECOTOX</v>
      </c>
    </row>
    <row r="1199" spans="1:18" x14ac:dyDescent="0.25">
      <c r="A1199">
        <v>6</v>
      </c>
      <c r="B1199" t="str">
        <f>HYPERLINK("http://www.ncbi.nlm.nih.gov/protein/XP_037718105.1","XP_037718105.1")</f>
        <v>XP_037718105.1</v>
      </c>
      <c r="C1199">
        <v>25724</v>
      </c>
      <c r="D1199" t="str">
        <f>HYPERLINK("http://www.ncbi.nlm.nih.gov/Taxonomy/Browser/wwwtax.cgi?mode=Info&amp;id=1486046&amp;lvl=3&amp;lin=f&amp;keep=1&amp;srchmode=1&amp;unlock","1486046")</f>
        <v>1486046</v>
      </c>
      <c r="E1199" t="s">
        <v>698</v>
      </c>
      <c r="F1199" t="s">
        <v>698</v>
      </c>
      <c r="G1199" t="str">
        <f>HYPERLINK("http://www.ncbi.nlm.nih.gov/Taxonomy/Browser/wwwtax.cgi?mode=Info&amp;id=1486046&amp;lvl=3&amp;lin=f&amp;keep=1&amp;srchmode=1&amp;unlock","Drosophila subpulchrella")</f>
        <v>Drosophila subpulchrella</v>
      </c>
      <c r="H1199" t="s">
        <v>753</v>
      </c>
      <c r="I1199" t="str">
        <f>HYPERLINK("http://www.ncbi.nlm.nih.gov/protein/XP_037718105.1","steroid hormone receptor ERR2 isoform X2")</f>
        <v>steroid hormone receptor ERR2 isoform X2</v>
      </c>
      <c r="J1199">
        <v>121.71</v>
      </c>
      <c r="K1199" t="s">
        <v>25</v>
      </c>
      <c r="L1199">
        <v>157</v>
      </c>
      <c r="M1199">
        <v>44.41</v>
      </c>
      <c r="N1199">
        <v>6.48</v>
      </c>
      <c r="O1199" t="s">
        <v>25</v>
      </c>
      <c r="P1199" t="s">
        <v>965</v>
      </c>
      <c r="Q1199" t="s">
        <v>20</v>
      </c>
      <c r="R1199" t="str">
        <f>HYPERLINK("https://cfpub.epa.gov/ecotox/explore.cfm?ncbi=1486046","Explore in ECOTOX")</f>
        <v>Explore in ECOTOX</v>
      </c>
    </row>
    <row r="1200" spans="1:18" x14ac:dyDescent="0.25">
      <c r="A1200">
        <v>6</v>
      </c>
      <c r="B1200" t="str">
        <f>HYPERLINK("http://www.ncbi.nlm.nih.gov/protein/XP_016934212.2","XP_016934212.2")</f>
        <v>XP_016934212.2</v>
      </c>
      <c r="C1200">
        <v>25805</v>
      </c>
      <c r="D1200" t="str">
        <f>HYPERLINK("http://www.ncbi.nlm.nih.gov/Taxonomy/Browser/wwwtax.cgi?mode=Info&amp;id=28584&amp;lvl=3&amp;lin=f&amp;keep=1&amp;srchmode=1&amp;unlock","28584")</f>
        <v>28584</v>
      </c>
      <c r="E1200" t="s">
        <v>698</v>
      </c>
      <c r="F1200" t="s">
        <v>698</v>
      </c>
      <c r="G1200" t="str">
        <f>HYPERLINK("http://www.ncbi.nlm.nih.gov/Taxonomy/Browser/wwwtax.cgi?mode=Info&amp;id=28584&amp;lvl=3&amp;lin=f&amp;keep=1&amp;srchmode=1&amp;unlock","Drosophila suzukii")</f>
        <v>Drosophila suzukii</v>
      </c>
      <c r="H1200" t="s">
        <v>753</v>
      </c>
      <c r="I1200" t="str">
        <f>HYPERLINK("http://www.ncbi.nlm.nih.gov/protein/XP_016934212.2","steroid hormone receptor ERR2 isoform X1")</f>
        <v>steroid hormone receptor ERR2 isoform X1</v>
      </c>
      <c r="J1200">
        <v>121.71</v>
      </c>
      <c r="K1200" t="s">
        <v>25</v>
      </c>
      <c r="L1200">
        <v>157</v>
      </c>
      <c r="M1200">
        <v>44.41</v>
      </c>
      <c r="N1200">
        <v>6.48</v>
      </c>
      <c r="O1200" t="s">
        <v>25</v>
      </c>
      <c r="P1200" t="s">
        <v>965</v>
      </c>
      <c r="Q1200" t="s">
        <v>20</v>
      </c>
      <c r="R1200" t="str">
        <f>HYPERLINK("https://cfpub.epa.gov/ecotox/explore.cfm?ncbi=28584","Explore in ECOTOX")</f>
        <v>Explore in ECOTOX</v>
      </c>
    </row>
    <row r="1201" spans="1:18" x14ac:dyDescent="0.25">
      <c r="A1201">
        <v>6</v>
      </c>
      <c r="B1201" t="str">
        <f>HYPERLINK("http://www.ncbi.nlm.nih.gov/protein/XP_040220964.1","XP_040220964.1")</f>
        <v>XP_040220964.1</v>
      </c>
      <c r="C1201">
        <v>24656</v>
      </c>
      <c r="D1201" t="str">
        <f>HYPERLINK("http://www.ncbi.nlm.nih.gov/Taxonomy/Browser/wwwtax.cgi?mode=Info&amp;id=1518534&amp;lvl=3&amp;lin=f&amp;keep=1&amp;srchmode=1&amp;unlock","1518534")</f>
        <v>1518534</v>
      </c>
      <c r="E1201" t="s">
        <v>698</v>
      </c>
      <c r="F1201" t="s">
        <v>698</v>
      </c>
      <c r="G1201" t="str">
        <f>HYPERLINK("http://www.ncbi.nlm.nih.gov/Taxonomy/Browser/wwwtax.cgi?mode=Info&amp;id=1518534&amp;lvl=3&amp;lin=f&amp;keep=1&amp;srchmode=1&amp;unlock","Anopheles coluzzii")</f>
        <v>Anopheles coluzzii</v>
      </c>
      <c r="H1201" t="s">
        <v>758</v>
      </c>
      <c r="I1201" t="str">
        <f>HYPERLINK("http://www.ncbi.nlm.nih.gov/protein/XP_040220964.1","protein ultraspiracle homolog isoform X1")</f>
        <v>protein ultraspiracle homolog isoform X1</v>
      </c>
      <c r="J1201">
        <v>121.71</v>
      </c>
      <c r="K1201" t="s">
        <v>25</v>
      </c>
      <c r="L1201">
        <v>157</v>
      </c>
      <c r="M1201">
        <v>44.41</v>
      </c>
      <c r="N1201">
        <v>6.48</v>
      </c>
      <c r="O1201" t="s">
        <v>25</v>
      </c>
      <c r="P1201" t="s">
        <v>965</v>
      </c>
      <c r="Q1201" t="s">
        <v>20</v>
      </c>
      <c r="R1201" t="str">
        <f>HYPERLINK("https://cfpub.epa.gov/ecotox/explore.cfm?ncbi=1518534","Explore in ECOTOX")</f>
        <v>Explore in ECOTOX</v>
      </c>
    </row>
    <row r="1202" spans="1:18" x14ac:dyDescent="0.25">
      <c r="A1202">
        <v>6</v>
      </c>
      <c r="B1202" t="str">
        <f>HYPERLINK("http://www.ncbi.nlm.nih.gov/protein/KFB42164.1","KFB42164.1")</f>
        <v>KFB42164.1</v>
      </c>
      <c r="C1202">
        <v>19893</v>
      </c>
      <c r="D1202" t="str">
        <f>HYPERLINK("http://www.ncbi.nlm.nih.gov/Taxonomy/Browser/wwwtax.cgi?mode=Info&amp;id=74873&amp;lvl=3&amp;lin=f&amp;keep=1&amp;srchmode=1&amp;unlock","74873")</f>
        <v>74873</v>
      </c>
      <c r="E1202" t="s">
        <v>698</v>
      </c>
      <c r="F1202" t="s">
        <v>698</v>
      </c>
      <c r="G1202" t="str">
        <f>HYPERLINK("http://www.ncbi.nlm.nih.gov/Taxonomy/Browser/wwwtax.cgi?mode=Info&amp;id=74873&amp;lvl=3&amp;lin=f&amp;keep=1&amp;srchmode=1&amp;unlock","Anopheles sinensis")</f>
        <v>Anopheles sinensis</v>
      </c>
      <c r="H1202" t="s">
        <v>758</v>
      </c>
      <c r="I1202" t="str">
        <f>HYPERLINK("http://www.ncbi.nlm.nih.gov/protein/KFB42164.1","AGAP002095-PA-like protein")</f>
        <v>AGAP002095-PA-like protein</v>
      </c>
      <c r="J1202">
        <v>121.71</v>
      </c>
      <c r="K1202" t="s">
        <v>25</v>
      </c>
      <c r="L1202">
        <v>157</v>
      </c>
      <c r="M1202">
        <v>44.41</v>
      </c>
      <c r="N1202">
        <v>6.48</v>
      </c>
      <c r="O1202" t="s">
        <v>25</v>
      </c>
      <c r="P1202" t="s">
        <v>965</v>
      </c>
      <c r="Q1202" t="s">
        <v>20</v>
      </c>
      <c r="R1202" t="str">
        <f>HYPERLINK("https://cfpub.epa.gov/ecotox/explore.cfm?ncbi=74873","Explore in ECOTOX")</f>
        <v>Explore in ECOTOX</v>
      </c>
    </row>
    <row r="1203" spans="1:18" x14ac:dyDescent="0.25">
      <c r="A1203">
        <v>6</v>
      </c>
      <c r="B1203" t="str">
        <f>HYPERLINK("http://www.ncbi.nlm.nih.gov/protein/XP_016969063.1","XP_016969063.1")</f>
        <v>XP_016969063.1</v>
      </c>
      <c r="C1203">
        <v>23499</v>
      </c>
      <c r="D1203" t="str">
        <f>HYPERLINK("http://www.ncbi.nlm.nih.gov/Taxonomy/Browser/wwwtax.cgi?mode=Info&amp;id=1041015&amp;lvl=3&amp;lin=f&amp;keep=1&amp;srchmode=1&amp;unlock","1041015")</f>
        <v>1041015</v>
      </c>
      <c r="E1203" t="s">
        <v>698</v>
      </c>
      <c r="F1203" t="s">
        <v>698</v>
      </c>
      <c r="G1203" t="str">
        <f>HYPERLINK("http://www.ncbi.nlm.nih.gov/Taxonomy/Browser/wwwtax.cgi?mode=Info&amp;id=1041015&amp;lvl=3&amp;lin=f&amp;keep=1&amp;srchmode=1&amp;unlock","Drosophila rhopaloa")</f>
        <v>Drosophila rhopaloa</v>
      </c>
      <c r="H1203" t="s">
        <v>753</v>
      </c>
      <c r="I1203" t="str">
        <f>HYPERLINK("http://www.ncbi.nlm.nih.gov/protein/XP_016969063.1","PREDICTED: steroid hormone receptor ERR2 isoform X1")</f>
        <v>PREDICTED: steroid hormone receptor ERR2 isoform X1</v>
      </c>
      <c r="J1203">
        <v>121.71</v>
      </c>
      <c r="K1203" t="s">
        <v>25</v>
      </c>
      <c r="L1203">
        <v>157</v>
      </c>
      <c r="M1203">
        <v>44.41</v>
      </c>
      <c r="N1203">
        <v>6.48</v>
      </c>
      <c r="O1203" t="s">
        <v>25</v>
      </c>
      <c r="P1203" t="s">
        <v>965</v>
      </c>
      <c r="Q1203" t="s">
        <v>20</v>
      </c>
      <c r="R1203" t="str">
        <f>HYPERLINK("https://cfpub.epa.gov/ecotox/explore.cfm?ncbi=1041015","Explore in ECOTOX")</f>
        <v>Explore in ECOTOX</v>
      </c>
    </row>
    <row r="1204" spans="1:18" x14ac:dyDescent="0.25">
      <c r="A1204">
        <v>6</v>
      </c>
      <c r="B1204" t="str">
        <f>HYPERLINK("http://www.ncbi.nlm.nih.gov/protein/XP_017129532.1","XP_017129532.1")</f>
        <v>XP_017129532.1</v>
      </c>
      <c r="C1204">
        <v>24328</v>
      </c>
      <c r="D1204" t="str">
        <f>HYPERLINK("http://www.ncbi.nlm.nih.gov/Taxonomy/Browser/wwwtax.cgi?mode=Info&amp;id=30023&amp;lvl=3&amp;lin=f&amp;keep=1&amp;srchmode=1&amp;unlock","30023")</f>
        <v>30023</v>
      </c>
      <c r="E1204" t="s">
        <v>698</v>
      </c>
      <c r="F1204" t="s">
        <v>698</v>
      </c>
      <c r="G1204" t="str">
        <f>HYPERLINK("http://www.ncbi.nlm.nih.gov/Taxonomy/Browser/wwwtax.cgi?mode=Info&amp;id=30023&amp;lvl=3&amp;lin=f&amp;keep=1&amp;srchmode=1&amp;unlock","Drosophila elegans")</f>
        <v>Drosophila elegans</v>
      </c>
      <c r="H1204" t="s">
        <v>753</v>
      </c>
      <c r="I1204" t="str">
        <f>HYPERLINK("http://www.ncbi.nlm.nih.gov/protein/XP_017129532.1","PREDICTED: steroid hormone receptor ERR2 isoform X2")</f>
        <v>PREDICTED: steroid hormone receptor ERR2 isoform X2</v>
      </c>
      <c r="J1204">
        <v>121.32</v>
      </c>
      <c r="K1204" t="s">
        <v>25</v>
      </c>
      <c r="L1204">
        <v>157</v>
      </c>
      <c r="M1204">
        <v>44.41</v>
      </c>
      <c r="N1204">
        <v>6.46</v>
      </c>
      <c r="O1204" t="s">
        <v>25</v>
      </c>
      <c r="P1204" t="s">
        <v>965</v>
      </c>
      <c r="Q1204" t="s">
        <v>20</v>
      </c>
      <c r="R1204" t="str">
        <f>HYPERLINK("https://cfpub.epa.gov/ecotox/explore.cfm?ncbi=30023","Explore in ECOTOX")</f>
        <v>Explore in ECOTOX</v>
      </c>
    </row>
    <row r="1205" spans="1:18" x14ac:dyDescent="0.25">
      <c r="A1205">
        <v>6</v>
      </c>
      <c r="B1205" t="str">
        <f>HYPERLINK("http://www.ncbi.nlm.nih.gov/protein/XP_017011886.1","XP_017011886.1")</f>
        <v>XP_017011886.1</v>
      </c>
      <c r="C1205">
        <v>24128</v>
      </c>
      <c r="D1205" t="str">
        <f>HYPERLINK("http://www.ncbi.nlm.nih.gov/Taxonomy/Browser/wwwtax.cgi?mode=Info&amp;id=29030&amp;lvl=3&amp;lin=f&amp;keep=1&amp;srchmode=1&amp;unlock","29030")</f>
        <v>29030</v>
      </c>
      <c r="E1205" t="s">
        <v>698</v>
      </c>
      <c r="F1205" t="s">
        <v>698</v>
      </c>
      <c r="G1205" t="str">
        <f>HYPERLINK("http://www.ncbi.nlm.nih.gov/Taxonomy/Browser/wwwtax.cgi?mode=Info&amp;id=29030&amp;lvl=3&amp;lin=f&amp;keep=1&amp;srchmode=1&amp;unlock","Drosophila takahashii")</f>
        <v>Drosophila takahashii</v>
      </c>
      <c r="H1205" t="s">
        <v>753</v>
      </c>
      <c r="I1205" t="str">
        <f>HYPERLINK("http://www.ncbi.nlm.nih.gov/protein/XP_017011886.1","PREDICTED: steroid hormone receptor ERR2 isoform X1")</f>
        <v>PREDICTED: steroid hormone receptor ERR2 isoform X1</v>
      </c>
      <c r="J1205">
        <v>121.32</v>
      </c>
      <c r="K1205" t="s">
        <v>25</v>
      </c>
      <c r="L1205">
        <v>157</v>
      </c>
      <c r="M1205">
        <v>44.41</v>
      </c>
      <c r="N1205">
        <v>6.46</v>
      </c>
      <c r="O1205" t="s">
        <v>25</v>
      </c>
      <c r="P1205" t="s">
        <v>965</v>
      </c>
      <c r="Q1205" t="s">
        <v>20</v>
      </c>
      <c r="R1205" t="str">
        <f>HYPERLINK("https://cfpub.epa.gov/ecotox/explore.cfm?ncbi=29030","Explore in ECOTOX")</f>
        <v>Explore in ECOTOX</v>
      </c>
    </row>
    <row r="1206" spans="1:18" x14ac:dyDescent="0.25">
      <c r="A1206">
        <v>6</v>
      </c>
      <c r="B1206" t="str">
        <f>HYPERLINK("http://www.ncbi.nlm.nih.gov/protein/XP_040171636.1","XP_040171636.1")</f>
        <v>XP_040171636.1</v>
      </c>
      <c r="C1206">
        <v>27479</v>
      </c>
      <c r="D1206" t="str">
        <f>HYPERLINK("http://www.ncbi.nlm.nih.gov/Taxonomy/Browser/wwwtax.cgi?mode=Info&amp;id=7173&amp;lvl=3&amp;lin=f&amp;keep=1&amp;srchmode=1&amp;unlock","7173")</f>
        <v>7173</v>
      </c>
      <c r="E1206" t="s">
        <v>698</v>
      </c>
      <c r="F1206" t="s">
        <v>698</v>
      </c>
      <c r="G1206" t="str">
        <f>HYPERLINK("http://www.ncbi.nlm.nih.gov/Taxonomy/Browser/wwwtax.cgi?mode=Info&amp;id=7173&amp;lvl=3&amp;lin=f&amp;keep=1&amp;srchmode=1&amp;unlock","Anopheles arabiensis")</f>
        <v>Anopheles arabiensis</v>
      </c>
      <c r="H1206" t="s">
        <v>758</v>
      </c>
      <c r="I1206" t="str">
        <f>HYPERLINK("http://www.ncbi.nlm.nih.gov/protein/XP_040171636.1","protein ultraspiracle homolog isoform X1")</f>
        <v>protein ultraspiracle homolog isoform X1</v>
      </c>
      <c r="J1206">
        <v>121.32</v>
      </c>
      <c r="K1206" t="s">
        <v>25</v>
      </c>
      <c r="L1206">
        <v>157</v>
      </c>
      <c r="M1206">
        <v>44.41</v>
      </c>
      <c r="N1206">
        <v>6.46</v>
      </c>
      <c r="O1206" t="s">
        <v>25</v>
      </c>
      <c r="P1206" t="s">
        <v>965</v>
      </c>
      <c r="Q1206" t="s">
        <v>20</v>
      </c>
      <c r="R1206" t="str">
        <f>HYPERLINK("https://cfpub.epa.gov/ecotox/explore.cfm?ncbi=7173","Explore in ECOTOX")</f>
        <v>Explore in ECOTOX</v>
      </c>
    </row>
    <row r="1207" spans="1:18" x14ac:dyDescent="0.25">
      <c r="A1207">
        <v>6</v>
      </c>
      <c r="B1207" t="str">
        <f>HYPERLINK("http://www.ncbi.nlm.nih.gov/protein/XP_016966351.1","XP_016966351.1")</f>
        <v>XP_016966351.1</v>
      </c>
      <c r="C1207">
        <v>22747</v>
      </c>
      <c r="D1207" t="str">
        <f>HYPERLINK("http://www.ncbi.nlm.nih.gov/Taxonomy/Browser/wwwtax.cgi?mode=Info&amp;id=125945&amp;lvl=3&amp;lin=f&amp;keep=1&amp;srchmode=1&amp;unlock","125945")</f>
        <v>125945</v>
      </c>
      <c r="E1207" t="s">
        <v>698</v>
      </c>
      <c r="F1207" t="s">
        <v>698</v>
      </c>
      <c r="G1207" t="str">
        <f>HYPERLINK("http://www.ncbi.nlm.nih.gov/Taxonomy/Browser/wwwtax.cgi?mode=Info&amp;id=125945&amp;lvl=3&amp;lin=f&amp;keep=1&amp;srchmode=1&amp;unlock","Drosophila biarmipes")</f>
        <v>Drosophila biarmipes</v>
      </c>
      <c r="H1207" t="s">
        <v>753</v>
      </c>
      <c r="I1207" t="str">
        <f>HYPERLINK("http://www.ncbi.nlm.nih.gov/protein/XP_016966351.1","PREDICTED: steroid hormone receptor ERR2 isoform X2")</f>
        <v>PREDICTED: steroid hormone receptor ERR2 isoform X2</v>
      </c>
      <c r="J1207">
        <v>121.32</v>
      </c>
      <c r="K1207" t="s">
        <v>25</v>
      </c>
      <c r="L1207">
        <v>157</v>
      </c>
      <c r="M1207">
        <v>44.41</v>
      </c>
      <c r="N1207">
        <v>6.46</v>
      </c>
      <c r="O1207" t="s">
        <v>25</v>
      </c>
      <c r="P1207" t="s">
        <v>965</v>
      </c>
      <c r="Q1207" t="s">
        <v>20</v>
      </c>
      <c r="R1207" t="str">
        <f>HYPERLINK("https://cfpub.epa.gov/ecotox/explore.cfm?ncbi=125945","Explore in ECOTOX")</f>
        <v>Explore in ECOTOX</v>
      </c>
    </row>
    <row r="1208" spans="1:18" x14ac:dyDescent="0.25">
      <c r="A1208">
        <v>6</v>
      </c>
      <c r="B1208" t="str">
        <f>HYPERLINK("http://www.ncbi.nlm.nih.gov/protein/XP_033625708.1","XP_033625708.1")</f>
        <v>XP_033625708.1</v>
      </c>
      <c r="C1208">
        <v>24290</v>
      </c>
      <c r="D1208" t="str">
        <f>HYPERLINK("http://www.ncbi.nlm.nih.gov/Taxonomy/Browser/wwwtax.cgi?mode=Info&amp;id=7604&amp;lvl=3&amp;lin=f&amp;keep=1&amp;srchmode=1&amp;unlock","7604")</f>
        <v>7604</v>
      </c>
      <c r="E1208" t="s">
        <v>704</v>
      </c>
      <c r="F1208" t="s">
        <v>704</v>
      </c>
      <c r="G1208" t="str">
        <f>HYPERLINK("http://www.ncbi.nlm.nih.gov/Taxonomy/Browser/wwwtax.cgi?mode=Info&amp;id=7604&amp;lvl=3&amp;lin=f&amp;keep=1&amp;srchmode=1&amp;unlock","Asterias rubens")</f>
        <v>Asterias rubens</v>
      </c>
      <c r="H1208" t="s">
        <v>705</v>
      </c>
      <c r="I1208" t="str">
        <f>HYPERLINK("http://www.ncbi.nlm.nih.gov/protein/XP_033625708.1","hepatocyte nuclear factor 4-beta-like")</f>
        <v>hepatocyte nuclear factor 4-beta-like</v>
      </c>
      <c r="J1208">
        <v>121.32</v>
      </c>
      <c r="K1208" t="s">
        <v>25</v>
      </c>
      <c r="L1208">
        <v>157</v>
      </c>
      <c r="M1208">
        <v>44.41</v>
      </c>
      <c r="N1208">
        <v>6.46</v>
      </c>
      <c r="O1208" t="s">
        <v>25</v>
      </c>
      <c r="P1208" t="s">
        <v>965</v>
      </c>
      <c r="Q1208" t="s">
        <v>20</v>
      </c>
      <c r="R1208" t="str">
        <f>HYPERLINK("https://cfpub.epa.gov/ecotox/explore.cfm?ncbi=7604","Explore in ECOTOX")</f>
        <v>Explore in ECOTOX</v>
      </c>
    </row>
    <row r="1209" spans="1:18" x14ac:dyDescent="0.25">
      <c r="A1209">
        <v>6</v>
      </c>
      <c r="B1209" t="str">
        <f>HYPERLINK("http://www.ncbi.nlm.nih.gov/protein/ATB56337.1","ATB56337.1")</f>
        <v>ATB56337.1</v>
      </c>
      <c r="C1209">
        <v>189</v>
      </c>
      <c r="D1209" t="str">
        <f>HYPERLINK("http://www.ncbi.nlm.nih.gov/Taxonomy/Browser/wwwtax.cgi?mode=Info&amp;id=50023&amp;lvl=3&amp;lin=f&amp;keep=1&amp;srchmode=1&amp;unlock","50023")</f>
        <v>50023</v>
      </c>
      <c r="E1209" t="s">
        <v>700</v>
      </c>
      <c r="F1209" t="s">
        <v>700</v>
      </c>
      <c r="G1209" t="str">
        <f>HYPERLINK("http://www.ncbi.nlm.nih.gov/Taxonomy/Browser/wwwtax.cgi?mode=Info&amp;id=50023&amp;lvl=3&amp;lin=f&amp;keep=1&amp;srchmode=1&amp;unlock","Panonychus citri")</f>
        <v>Panonychus citri</v>
      </c>
      <c r="H1209" t="s">
        <v>1189</v>
      </c>
      <c r="I1209" t="str">
        <f>HYPERLINK("http://www.ncbi.nlm.nih.gov/protein/ATB56337.1","retinoid-X-receptor 1")</f>
        <v>retinoid-X-receptor 1</v>
      </c>
      <c r="J1209">
        <v>120.94</v>
      </c>
      <c r="K1209" t="s">
        <v>25</v>
      </c>
      <c r="L1209">
        <v>157</v>
      </c>
      <c r="M1209">
        <v>44.41</v>
      </c>
      <c r="N1209">
        <v>6.44</v>
      </c>
      <c r="O1209" t="s">
        <v>25</v>
      </c>
      <c r="P1209" t="s">
        <v>965</v>
      </c>
      <c r="Q1209" t="s">
        <v>20</v>
      </c>
      <c r="R1209" t="str">
        <f>HYPERLINK("https://cfpub.epa.gov/ecotox/explore.cfm?ncbi=50023","Explore in ECOTOX")</f>
        <v>Explore in ECOTOX</v>
      </c>
    </row>
    <row r="1210" spans="1:18" x14ac:dyDescent="0.25">
      <c r="A1210">
        <v>6</v>
      </c>
      <c r="B1210" t="str">
        <f>HYPERLINK("http://www.ncbi.nlm.nih.gov/protein/XP_003436029.1","XP_003436029.1")</f>
        <v>XP_003436029.1</v>
      </c>
      <c r="C1210">
        <v>28138</v>
      </c>
      <c r="D1210" t="str">
        <f>HYPERLINK("http://www.ncbi.nlm.nih.gov/Taxonomy/Browser/wwwtax.cgi?mode=Info&amp;id=180454&amp;lvl=3&amp;lin=f&amp;keep=1&amp;srchmode=1&amp;unlock","180454")</f>
        <v>180454</v>
      </c>
      <c r="E1210" t="s">
        <v>698</v>
      </c>
      <c r="F1210" t="s">
        <v>698</v>
      </c>
      <c r="G1210" t="str">
        <f>HYPERLINK("http://www.ncbi.nlm.nih.gov/Taxonomy/Browser/wwwtax.cgi?mode=Info&amp;id=180454&amp;lvl=3&amp;lin=f&amp;keep=1&amp;srchmode=1&amp;unlock","Anopheles gambiae str. PEST")</f>
        <v>Anopheles gambiae str. PEST</v>
      </c>
      <c r="H1210" t="s">
        <v>782</v>
      </c>
      <c r="I1210" t="str">
        <f>HYPERLINK("http://www.ncbi.nlm.nih.gov/protein/XP_003436029.1","AGAP002095-PB")</f>
        <v>AGAP002095-PB</v>
      </c>
      <c r="J1210">
        <v>120.94</v>
      </c>
      <c r="K1210" t="s">
        <v>25</v>
      </c>
      <c r="L1210">
        <v>157</v>
      </c>
      <c r="M1210">
        <v>44.41</v>
      </c>
      <c r="N1210">
        <v>6.44</v>
      </c>
      <c r="O1210" t="s">
        <v>25</v>
      </c>
      <c r="P1210" t="s">
        <v>965</v>
      </c>
      <c r="Q1210" t="s">
        <v>20</v>
      </c>
      <c r="R1210" t="str">
        <f>HYPERLINK("https://cfpub.epa.gov/ecotox/explore.cfm?ncbi=180454","Explore in ECOTOX")</f>
        <v>Explore in ECOTOX</v>
      </c>
    </row>
    <row r="1211" spans="1:18" x14ac:dyDescent="0.25">
      <c r="A1211">
        <v>6</v>
      </c>
      <c r="B1211" t="str">
        <f>HYPERLINK("http://www.ncbi.nlm.nih.gov/protein/RWS30537.1","RWS30537.1")</f>
        <v>RWS30537.1</v>
      </c>
      <c r="C1211">
        <v>14705</v>
      </c>
      <c r="D1211" t="str">
        <f>HYPERLINK("http://www.ncbi.nlm.nih.gov/Taxonomy/Browser/wwwtax.cgi?mode=Info&amp;id=299467&amp;lvl=3&amp;lin=f&amp;keep=1&amp;srchmode=1&amp;unlock","299467")</f>
        <v>299467</v>
      </c>
      <c r="E1211" t="s">
        <v>700</v>
      </c>
      <c r="F1211" t="s">
        <v>700</v>
      </c>
      <c r="G1211" t="str">
        <f>HYPERLINK("http://www.ncbi.nlm.nih.gov/Taxonomy/Browser/wwwtax.cgi?mode=Info&amp;id=299467&amp;lvl=3&amp;lin=f&amp;keep=1&amp;srchmode=1&amp;unlock","Leptotrombidium deliense")</f>
        <v>Leptotrombidium deliense</v>
      </c>
      <c r="H1211" t="s">
        <v>1190</v>
      </c>
      <c r="I1211" t="str">
        <f>HYPERLINK("http://www.ncbi.nlm.nih.gov/protein/RWS30537.1","Estrogen-related receptor gamma-like protein, partial")</f>
        <v>Estrogen-related receptor gamma-like protein, partial</v>
      </c>
      <c r="J1211">
        <v>120.55</v>
      </c>
      <c r="K1211" t="s">
        <v>25</v>
      </c>
      <c r="L1211">
        <v>157</v>
      </c>
      <c r="M1211">
        <v>44.41</v>
      </c>
      <c r="N1211">
        <v>6.42</v>
      </c>
      <c r="O1211" t="s">
        <v>25</v>
      </c>
      <c r="P1211" t="s">
        <v>965</v>
      </c>
      <c r="Q1211" t="s">
        <v>20</v>
      </c>
      <c r="R1211" t="str">
        <f>HYPERLINK("https://cfpub.epa.gov/ecotox/explore.cfm?ncbi=299467","Explore in ECOTOX")</f>
        <v>Explore in ECOTOX</v>
      </c>
    </row>
    <row r="1212" spans="1:18" x14ac:dyDescent="0.25">
      <c r="A1212">
        <v>6</v>
      </c>
      <c r="B1212" t="str">
        <f>HYPERLINK("http://www.ncbi.nlm.nih.gov/protein/KAF6023430.1","KAF6023430.1")</f>
        <v>KAF6023430.1</v>
      </c>
      <c r="C1212">
        <v>25600</v>
      </c>
      <c r="D1212" t="str">
        <f>HYPERLINK("http://www.ncbi.nlm.nih.gov/Taxonomy/Browser/wwwtax.cgi?mode=Info&amp;id=10212&amp;lvl=3&amp;lin=f&amp;keep=1&amp;srchmode=1&amp;unlock","10212")</f>
        <v>10212</v>
      </c>
      <c r="E1212" t="s">
        <v>1191</v>
      </c>
      <c r="F1212" t="s">
        <v>1191</v>
      </c>
      <c r="G1212" t="str">
        <f>HYPERLINK("http://www.ncbi.nlm.nih.gov/Taxonomy/Browser/wwwtax.cgi?mode=Info&amp;id=10212&amp;lvl=3&amp;lin=f&amp;keep=1&amp;srchmode=1&amp;unlock","Bugula neritina")</f>
        <v>Bugula neritina</v>
      </c>
      <c r="H1212" t="s">
        <v>1192</v>
      </c>
      <c r="I1212" t="str">
        <f>HYPERLINK("http://www.ncbi.nlm.nih.gov/protein/KAF6023430.1","Hr39")</f>
        <v>Hr39</v>
      </c>
      <c r="J1212">
        <v>120.17</v>
      </c>
      <c r="K1212" t="s">
        <v>25</v>
      </c>
      <c r="L1212">
        <v>157</v>
      </c>
      <c r="M1212">
        <v>44.41</v>
      </c>
      <c r="N1212">
        <v>6.4</v>
      </c>
      <c r="O1212" t="s">
        <v>25</v>
      </c>
      <c r="P1212" t="s">
        <v>965</v>
      </c>
      <c r="Q1212" t="s">
        <v>20</v>
      </c>
      <c r="R1212" t="str">
        <f>HYPERLINK("https://cfpub.epa.gov/ecotox/explore.cfm?ncbi=10212","Explore in ECOTOX")</f>
        <v>Explore in ECOTOX</v>
      </c>
    </row>
    <row r="1213" spans="1:18" x14ac:dyDescent="0.25">
      <c r="A1213">
        <v>6</v>
      </c>
      <c r="B1213" t="str">
        <f>HYPERLINK("http://www.ncbi.nlm.nih.gov/protein/AEJ86349.1","AEJ86349.1")</f>
        <v>AEJ86349.1</v>
      </c>
      <c r="C1213">
        <v>207</v>
      </c>
      <c r="D1213" t="str">
        <f>HYPERLINK("http://www.ncbi.nlm.nih.gov/Taxonomy/Browser/wwwtax.cgi?mode=Info&amp;id=8237&amp;lvl=3&amp;lin=f&amp;keep=1&amp;srchmode=1&amp;unlock","8237")</f>
        <v>8237</v>
      </c>
      <c r="E1213" t="s">
        <v>384</v>
      </c>
      <c r="F1213" t="s">
        <v>384</v>
      </c>
      <c r="G1213" t="str">
        <f>HYPERLINK("http://www.ncbi.nlm.nih.gov/Taxonomy/Browser/wwwtax.cgi?mode=Info&amp;id=8237&amp;lvl=3&amp;lin=f&amp;keep=1&amp;srchmode=1&amp;unlock","Thunnus thynnus")</f>
        <v>Thunnus thynnus</v>
      </c>
      <c r="H1213" t="s">
        <v>1193</v>
      </c>
      <c r="I1213" t="str">
        <f>HYPERLINK("http://www.ncbi.nlm.nih.gov/protein/AEJ86349.1","estrogen receptor a, partial")</f>
        <v>estrogen receptor a, partial</v>
      </c>
      <c r="J1213">
        <v>120.17</v>
      </c>
      <c r="K1213" t="s">
        <v>25</v>
      </c>
      <c r="L1213">
        <v>157</v>
      </c>
      <c r="M1213">
        <v>44.41</v>
      </c>
      <c r="N1213">
        <v>6.4</v>
      </c>
      <c r="O1213" t="s">
        <v>25</v>
      </c>
      <c r="P1213" t="s">
        <v>965</v>
      </c>
      <c r="Q1213" t="s">
        <v>20</v>
      </c>
      <c r="R1213" t="str">
        <f>HYPERLINK("https://cfpub.epa.gov/ecotox/explore.cfm?ncbi=8237","Explore in ECOTOX")</f>
        <v>Explore in ECOTOX</v>
      </c>
    </row>
    <row r="1214" spans="1:18" x14ac:dyDescent="0.25">
      <c r="A1214">
        <v>6</v>
      </c>
      <c r="B1214" t="str">
        <f>HYPERLINK("http://www.ncbi.nlm.nih.gov/protein/XP_028393411.1","XP_028393411.1")</f>
        <v>XP_028393411.1</v>
      </c>
      <c r="C1214">
        <v>28759</v>
      </c>
      <c r="D1214" t="str">
        <f>HYPERLINK("http://www.ncbi.nlm.nih.gov/Taxonomy/Browser/wwwtax.cgi?mode=Info&amp;id=151771&amp;lvl=3&amp;lin=f&amp;keep=1&amp;srchmode=1&amp;unlock","151771")</f>
        <v>151771</v>
      </c>
      <c r="E1214" t="s">
        <v>1183</v>
      </c>
      <c r="F1214" t="s">
        <v>1183</v>
      </c>
      <c r="G1214" t="str">
        <f>HYPERLINK("http://www.ncbi.nlm.nih.gov/Taxonomy/Browser/wwwtax.cgi?mode=Info&amp;id=151771&amp;lvl=3&amp;lin=f&amp;keep=1&amp;srchmode=1&amp;unlock","Dendronephthya gigantea")</f>
        <v>Dendronephthya gigantea</v>
      </c>
      <c r="H1214" t="s">
        <v>1194</v>
      </c>
      <c r="I1214" t="str">
        <f>HYPERLINK("http://www.ncbi.nlm.nih.gov/protein/XP_028393411.1","nuclear receptor subfamily 4 group A member 1-like")</f>
        <v>nuclear receptor subfamily 4 group A member 1-like</v>
      </c>
      <c r="J1214">
        <v>120.17</v>
      </c>
      <c r="K1214" t="s">
        <v>25</v>
      </c>
      <c r="L1214">
        <v>157</v>
      </c>
      <c r="M1214">
        <v>44.41</v>
      </c>
      <c r="N1214">
        <v>6.4</v>
      </c>
      <c r="O1214" t="s">
        <v>25</v>
      </c>
      <c r="P1214" t="s">
        <v>965</v>
      </c>
      <c r="Q1214" t="s">
        <v>20</v>
      </c>
      <c r="R1214" t="str">
        <f>HYPERLINK("https://cfpub.epa.gov/ecotox/explore.cfm?ncbi=151771","Explore in ECOTOX")</f>
        <v>Explore in ECOTOX</v>
      </c>
    </row>
    <row r="1215" spans="1:18" x14ac:dyDescent="0.25">
      <c r="A1215">
        <v>6</v>
      </c>
      <c r="B1215" t="str">
        <f>HYPERLINK("http://www.ncbi.nlm.nih.gov/protein/ATO74592.1","ATO74592.1")</f>
        <v>ATO74592.1</v>
      </c>
      <c r="C1215">
        <v>249</v>
      </c>
      <c r="D1215" t="str">
        <f>HYPERLINK("http://www.ncbi.nlm.nih.gov/Taxonomy/Browser/wwwtax.cgi?mode=Info&amp;id=93129&amp;lvl=3&amp;lin=f&amp;keep=1&amp;srchmode=1&amp;unlock","93129")</f>
        <v>93129</v>
      </c>
      <c r="E1215" t="s">
        <v>700</v>
      </c>
      <c r="F1215" t="s">
        <v>700</v>
      </c>
      <c r="G1215" t="str">
        <f>HYPERLINK("http://www.ncbi.nlm.nih.gov/Taxonomy/Browser/wwwtax.cgi?mode=Info&amp;id=93129&amp;lvl=3&amp;lin=f&amp;keep=1&amp;srchmode=1&amp;unlock","Tetranychus cinnabarinus")</f>
        <v>Tetranychus cinnabarinus</v>
      </c>
      <c r="H1215" t="s">
        <v>1195</v>
      </c>
      <c r="I1215" t="str">
        <f>HYPERLINK("http://www.ncbi.nlm.nih.gov/protein/ATO74592.1","hepatocyte nuclear factor 4")</f>
        <v>hepatocyte nuclear factor 4</v>
      </c>
      <c r="J1215">
        <v>120.17</v>
      </c>
      <c r="K1215" t="s">
        <v>25</v>
      </c>
      <c r="L1215">
        <v>157</v>
      </c>
      <c r="M1215">
        <v>44.41</v>
      </c>
      <c r="N1215">
        <v>6.4</v>
      </c>
      <c r="O1215" t="s">
        <v>25</v>
      </c>
      <c r="P1215" t="s">
        <v>965</v>
      </c>
      <c r="Q1215" t="s">
        <v>20</v>
      </c>
      <c r="R1215" t="str">
        <f>HYPERLINK("https://cfpub.epa.gov/ecotox/explore.cfm?ncbi=93129","Explore in ECOTOX")</f>
        <v>Explore in ECOTOX</v>
      </c>
    </row>
    <row r="1216" spans="1:18" x14ac:dyDescent="0.25">
      <c r="A1216">
        <v>6</v>
      </c>
      <c r="B1216" t="str">
        <f>HYPERLINK("http://www.ncbi.nlm.nih.gov/protein/ANW09591.1","ANW09591.1")</f>
        <v>ANW09591.1</v>
      </c>
      <c r="C1216">
        <v>261</v>
      </c>
      <c r="D1216" t="str">
        <f>HYPERLINK("http://www.ncbi.nlm.nih.gov/Taxonomy/Browser/wwwtax.cgi?mode=Info&amp;id=192382&amp;lvl=3&amp;lin=f&amp;keep=1&amp;srchmode=1&amp;unlock","192382")</f>
        <v>192382</v>
      </c>
      <c r="E1216" t="s">
        <v>698</v>
      </c>
      <c r="F1216" t="s">
        <v>698</v>
      </c>
      <c r="G1216" t="str">
        <f>HYPERLINK("http://www.ncbi.nlm.nih.gov/Taxonomy/Browser/wwwtax.cgi?mode=Info&amp;id=192382&amp;lvl=3&amp;lin=f&amp;keep=1&amp;srchmode=1&amp;unlock","Monochamus alternatus")</f>
        <v>Monochamus alternatus</v>
      </c>
      <c r="H1216" t="s">
        <v>1196</v>
      </c>
      <c r="I1216" t="str">
        <f>HYPERLINK("http://www.ncbi.nlm.nih.gov/protein/ANW09591.1","USP")</f>
        <v>USP</v>
      </c>
      <c r="J1216">
        <v>119.78</v>
      </c>
      <c r="K1216" t="s">
        <v>25</v>
      </c>
      <c r="L1216">
        <v>157</v>
      </c>
      <c r="M1216">
        <v>44.41</v>
      </c>
      <c r="N1216">
        <v>6.38</v>
      </c>
      <c r="O1216" t="s">
        <v>25</v>
      </c>
      <c r="P1216" t="s">
        <v>965</v>
      </c>
      <c r="Q1216" t="s">
        <v>20</v>
      </c>
      <c r="R1216" t="str">
        <f>HYPERLINK("https://cfpub.epa.gov/ecotox/explore.cfm?ncbi=192382","Explore in ECOTOX")</f>
        <v>Explore in ECOTOX</v>
      </c>
    </row>
    <row r="1217" spans="1:18" x14ac:dyDescent="0.25">
      <c r="A1217">
        <v>6</v>
      </c>
      <c r="B1217" t="str">
        <f>HYPERLINK("http://www.ncbi.nlm.nih.gov/protein/QJG66098.1","QJG66098.1")</f>
        <v>QJG66098.1</v>
      </c>
      <c r="C1217">
        <v>127</v>
      </c>
      <c r="D1217" t="str">
        <f>HYPERLINK("http://www.ncbi.nlm.nih.gov/Taxonomy/Browser/wwwtax.cgi?mode=Info&amp;id=242395&amp;lvl=3&amp;lin=f&amp;keep=1&amp;srchmode=1&amp;unlock","242395")</f>
        <v>242395</v>
      </c>
      <c r="E1217" t="s">
        <v>1197</v>
      </c>
      <c r="F1217" t="s">
        <v>1197</v>
      </c>
      <c r="G1217" t="str">
        <f>HYPERLINK("http://www.ncbi.nlm.nih.gov/Taxonomy/Browser/wwwtax.cgi?mode=Info&amp;id=242395&amp;lvl=3&amp;lin=f&amp;keep=1&amp;srchmode=1&amp;unlock","Xenoturbella bocki")</f>
        <v>Xenoturbella bocki</v>
      </c>
      <c r="H1217" t="s">
        <v>1186</v>
      </c>
      <c r="I1217" t="str">
        <f>HYPERLINK("http://www.ncbi.nlm.nih.gov/protein/QJG66098.1","retinoid X receptor")</f>
        <v>retinoid X receptor</v>
      </c>
      <c r="J1217">
        <v>119.78</v>
      </c>
      <c r="K1217" t="s">
        <v>25</v>
      </c>
      <c r="L1217">
        <v>157</v>
      </c>
      <c r="M1217">
        <v>44.41</v>
      </c>
      <c r="N1217">
        <v>6.38</v>
      </c>
      <c r="O1217" t="s">
        <v>25</v>
      </c>
      <c r="P1217" t="s">
        <v>965</v>
      </c>
      <c r="Q1217" t="s">
        <v>20</v>
      </c>
      <c r="R1217" t="str">
        <f>HYPERLINK("https://cfpub.epa.gov/ecotox/explore.cfm?ncbi=242395","Explore in ECOTOX")</f>
        <v>Explore in ECOTOX</v>
      </c>
    </row>
    <row r="1218" spans="1:18" x14ac:dyDescent="0.25">
      <c r="A1218">
        <v>6</v>
      </c>
      <c r="B1218" t="str">
        <f>HYPERLINK("http://www.ncbi.nlm.nih.gov/protein/BAM66778.1","BAM66778.1")</f>
        <v>BAM66778.1</v>
      </c>
      <c r="C1218">
        <v>80</v>
      </c>
      <c r="D1218" t="str">
        <f>HYPERLINK("http://www.ncbi.nlm.nih.gov/Taxonomy/Browser/wwwtax.cgi?mode=Info&amp;id=7723&amp;lvl=3&amp;lin=f&amp;keep=1&amp;srchmode=1&amp;unlock","7723")</f>
        <v>7723</v>
      </c>
      <c r="E1218" t="s">
        <v>691</v>
      </c>
      <c r="F1218" t="s">
        <v>691</v>
      </c>
      <c r="G1218" t="str">
        <f>HYPERLINK("http://www.ncbi.nlm.nih.gov/Taxonomy/Browser/wwwtax.cgi?mode=Info&amp;id=7723&amp;lvl=3&amp;lin=f&amp;keep=1&amp;srchmode=1&amp;unlock","Polyandrocarpa misakiensis")</f>
        <v>Polyandrocarpa misakiensis</v>
      </c>
      <c r="H1218" t="s">
        <v>693</v>
      </c>
      <c r="I1218" t="str">
        <f>HYPERLINK("http://www.ncbi.nlm.nih.gov/protein/BAM66778.1","retinoid X receptor")</f>
        <v>retinoid X receptor</v>
      </c>
      <c r="J1218">
        <v>119.4</v>
      </c>
      <c r="K1218" t="s">
        <v>25</v>
      </c>
      <c r="L1218">
        <v>157</v>
      </c>
      <c r="M1218">
        <v>44.41</v>
      </c>
      <c r="N1218">
        <v>6.36</v>
      </c>
      <c r="O1218" t="s">
        <v>25</v>
      </c>
      <c r="P1218" t="s">
        <v>965</v>
      </c>
      <c r="Q1218" t="s">
        <v>20</v>
      </c>
      <c r="R1218" t="str">
        <f>HYPERLINK("https://cfpub.epa.gov/ecotox/explore.cfm?ncbi=7723","Explore in ECOTOX")</f>
        <v>Explore in ECOTOX</v>
      </c>
    </row>
    <row r="1219" spans="1:18" x14ac:dyDescent="0.25">
      <c r="A1219">
        <v>6</v>
      </c>
      <c r="B1219" t="str">
        <f>HYPERLINK("http://www.ncbi.nlm.nih.gov/protein/CAB0029380.1","CAB0029380.1")</f>
        <v>CAB0029380.1</v>
      </c>
      <c r="C1219">
        <v>16951</v>
      </c>
      <c r="D1219" t="str">
        <f>HYPERLINK("http://www.ncbi.nlm.nih.gov/Taxonomy/Browser/wwwtax.cgi?mode=Info&amp;id=86971&amp;lvl=3&amp;lin=f&amp;keep=1&amp;srchmode=1&amp;unlock","86971")</f>
        <v>86971</v>
      </c>
      <c r="E1219" t="s">
        <v>698</v>
      </c>
      <c r="F1219" t="s">
        <v>698</v>
      </c>
      <c r="G1219" t="str">
        <f>HYPERLINK("http://www.ncbi.nlm.nih.gov/Taxonomy/Browser/wwwtax.cgi?mode=Info&amp;id=86971&amp;lvl=3&amp;lin=f&amp;keep=1&amp;srchmode=1&amp;unlock","Trichogramma brassicae")</f>
        <v>Trichogramma brassicae</v>
      </c>
      <c r="H1219" t="s">
        <v>849</v>
      </c>
      <c r="I1219" t="str">
        <f>HYPERLINK("http://www.ncbi.nlm.nih.gov/protein/CAB0029380.1","unnamed protein product")</f>
        <v>unnamed protein product</v>
      </c>
      <c r="J1219">
        <v>119.4</v>
      </c>
      <c r="K1219" t="s">
        <v>25</v>
      </c>
      <c r="L1219">
        <v>157</v>
      </c>
      <c r="M1219">
        <v>44.41</v>
      </c>
      <c r="N1219">
        <v>6.36</v>
      </c>
      <c r="O1219" t="s">
        <v>25</v>
      </c>
      <c r="P1219" t="s">
        <v>965</v>
      </c>
      <c r="Q1219" t="s">
        <v>20</v>
      </c>
      <c r="R1219" t="str">
        <f>HYPERLINK("https://cfpub.epa.gov/ecotox/explore.cfm?ncbi=86971","Explore in ECOTOX")</f>
        <v>Explore in ECOTOX</v>
      </c>
    </row>
    <row r="1220" spans="1:18" x14ac:dyDescent="0.25">
      <c r="A1220">
        <v>6</v>
      </c>
      <c r="B1220" t="str">
        <f>HYPERLINK("http://www.ncbi.nlm.nih.gov/protein/XP_025208908.1","XP_025208908.1")</f>
        <v>XP_025208908.1</v>
      </c>
      <c r="C1220">
        <v>19221</v>
      </c>
      <c r="D1220" t="str">
        <f>HYPERLINK("http://www.ncbi.nlm.nih.gov/Taxonomy/Browser/wwwtax.cgi?mode=Info&amp;id=742174&amp;lvl=3&amp;lin=f&amp;keep=1&amp;srchmode=1&amp;unlock","742174")</f>
        <v>742174</v>
      </c>
      <c r="E1220" t="s">
        <v>698</v>
      </c>
      <c r="F1220" t="s">
        <v>698</v>
      </c>
      <c r="G1220" t="str">
        <f>HYPERLINK("http://www.ncbi.nlm.nih.gov/Taxonomy/Browser/wwwtax.cgi?mode=Info&amp;id=742174&amp;lvl=3&amp;lin=f&amp;keep=1&amp;srchmode=1&amp;unlock","Melanaphis sacchari")</f>
        <v>Melanaphis sacchari</v>
      </c>
      <c r="H1220" t="s">
        <v>847</v>
      </c>
      <c r="I1220" t="str">
        <f>HYPERLINK("http://www.ncbi.nlm.nih.gov/protein/XP_025208908.1","nuclear hormone receptor FTZ-F1 beta")</f>
        <v>nuclear hormone receptor FTZ-F1 beta</v>
      </c>
      <c r="J1220">
        <v>119.4</v>
      </c>
      <c r="K1220" t="s">
        <v>25</v>
      </c>
      <c r="L1220">
        <v>157</v>
      </c>
      <c r="M1220">
        <v>44.41</v>
      </c>
      <c r="N1220">
        <v>6.36</v>
      </c>
      <c r="O1220" t="s">
        <v>25</v>
      </c>
      <c r="P1220" t="s">
        <v>965</v>
      </c>
      <c r="Q1220" t="s">
        <v>20</v>
      </c>
      <c r="R1220" t="str">
        <f>HYPERLINK("https://cfpub.epa.gov/ecotox/explore.cfm?ncbi=742174","Explore in ECOTOX")</f>
        <v>Explore in ECOTOX</v>
      </c>
    </row>
    <row r="1221" spans="1:18" x14ac:dyDescent="0.25">
      <c r="A1221">
        <v>6</v>
      </c>
      <c r="B1221" t="str">
        <f>HYPERLINK("http://www.ncbi.nlm.nih.gov/protein/KAF4514233.1","KAF4514233.1")</f>
        <v>KAF4514233.1</v>
      </c>
      <c r="C1221">
        <v>18568</v>
      </c>
      <c r="D1221" t="str">
        <f>HYPERLINK("http://www.ncbi.nlm.nih.gov/Taxonomy/Browser/wwwtax.cgi?mode=Info&amp;id=1049336&amp;lvl=3&amp;lin=f&amp;keep=1&amp;srchmode=1&amp;unlock","1049336")</f>
        <v>1049336</v>
      </c>
      <c r="E1221" t="s">
        <v>698</v>
      </c>
      <c r="F1221" t="s">
        <v>698</v>
      </c>
      <c r="G1221" t="str">
        <f>HYPERLINK("http://www.ncbi.nlm.nih.gov/Taxonomy/Browser/wwwtax.cgi?mode=Info&amp;id=1049336&amp;lvl=3&amp;lin=f&amp;keep=1&amp;srchmode=1&amp;unlock","Ephemera danica")</f>
        <v>Ephemera danica</v>
      </c>
      <c r="H1221" t="s">
        <v>1198</v>
      </c>
      <c r="I1221" t="str">
        <f>HYPERLINK("http://www.ncbi.nlm.nih.gov/protein/KAF4514233.1","hypothetical protein B566_EDAN019510")</f>
        <v>hypothetical protein B566_EDAN019510</v>
      </c>
      <c r="J1221">
        <v>119.4</v>
      </c>
      <c r="K1221" t="s">
        <v>25</v>
      </c>
      <c r="L1221">
        <v>157</v>
      </c>
      <c r="M1221">
        <v>44.41</v>
      </c>
      <c r="N1221">
        <v>6.36</v>
      </c>
      <c r="O1221" t="s">
        <v>25</v>
      </c>
      <c r="P1221" t="s">
        <v>965</v>
      </c>
      <c r="Q1221" t="s">
        <v>20</v>
      </c>
      <c r="R1221" t="str">
        <f>HYPERLINK("https://cfpub.epa.gov/ecotox/explore.cfm?ncbi=1049336","Explore in ECOTOX")</f>
        <v>Explore in ECOTOX</v>
      </c>
    </row>
    <row r="1222" spans="1:18" x14ac:dyDescent="0.25">
      <c r="A1222">
        <v>6</v>
      </c>
      <c r="B1222" t="str">
        <f>HYPERLINK("http://www.ncbi.nlm.nih.gov/protein/XP_031559605.1","XP_031559605.1")</f>
        <v>XP_031559605.1</v>
      </c>
      <c r="C1222">
        <v>27085</v>
      </c>
      <c r="D1222" t="str">
        <f>HYPERLINK("http://www.ncbi.nlm.nih.gov/Taxonomy/Browser/wwwtax.cgi?mode=Info&amp;id=6105&amp;lvl=3&amp;lin=f&amp;keep=1&amp;srchmode=1&amp;unlock","6105")</f>
        <v>6105</v>
      </c>
      <c r="E1222" t="s">
        <v>1183</v>
      </c>
      <c r="F1222" t="s">
        <v>1183</v>
      </c>
      <c r="G1222" t="str">
        <f>HYPERLINK("http://www.ncbi.nlm.nih.gov/Taxonomy/Browser/wwwtax.cgi?mode=Info&amp;id=6105&amp;lvl=3&amp;lin=f&amp;keep=1&amp;srchmode=1&amp;unlock","Actinia tenebrosa")</f>
        <v>Actinia tenebrosa</v>
      </c>
      <c r="H1222" t="s">
        <v>1199</v>
      </c>
      <c r="I1222" t="str">
        <f>HYPERLINK("http://www.ncbi.nlm.nih.gov/protein/XP_031559605.1","hepatocyte nuclear factor 4-gamma-like isoform X1")</f>
        <v>hepatocyte nuclear factor 4-gamma-like isoform X1</v>
      </c>
      <c r="J1222">
        <v>119.01</v>
      </c>
      <c r="K1222" t="s">
        <v>25</v>
      </c>
      <c r="L1222">
        <v>157</v>
      </c>
      <c r="M1222">
        <v>44.41</v>
      </c>
      <c r="N1222">
        <v>6.34</v>
      </c>
      <c r="O1222" t="s">
        <v>25</v>
      </c>
      <c r="P1222" t="s">
        <v>965</v>
      </c>
      <c r="Q1222" t="s">
        <v>20</v>
      </c>
      <c r="R1222" t="str">
        <f>HYPERLINK("https://cfpub.epa.gov/ecotox/explore.cfm?ncbi=6105","Explore in ECOTOX")</f>
        <v>Explore in ECOTOX</v>
      </c>
    </row>
    <row r="1223" spans="1:18" x14ac:dyDescent="0.25">
      <c r="A1223">
        <v>6</v>
      </c>
      <c r="B1223" t="str">
        <f>HYPERLINK("http://www.ncbi.nlm.nih.gov/protein/XP_027056739.1","XP_027056739.1")</f>
        <v>XP_027056739.1</v>
      </c>
      <c r="C1223">
        <v>51031</v>
      </c>
      <c r="D1223" t="str">
        <f>HYPERLINK("http://www.ncbi.nlm.nih.gov/Taxonomy/Browser/wwwtax.cgi?mode=Info&amp;id=46731&amp;lvl=3&amp;lin=f&amp;keep=1&amp;srchmode=1&amp;unlock","46731")</f>
        <v>46731</v>
      </c>
      <c r="E1223" t="s">
        <v>1183</v>
      </c>
      <c r="F1223" t="s">
        <v>1183</v>
      </c>
      <c r="G1223" t="str">
        <f>HYPERLINK("http://www.ncbi.nlm.nih.gov/Taxonomy/Browser/wwwtax.cgi?mode=Info&amp;id=46731&amp;lvl=3&amp;lin=f&amp;keep=1&amp;srchmode=1&amp;unlock","Pocillopora damicornis")</f>
        <v>Pocillopora damicornis</v>
      </c>
      <c r="H1223" t="s">
        <v>1200</v>
      </c>
      <c r="I1223" t="str">
        <f>HYPERLINK("http://www.ncbi.nlm.nih.gov/protein/XP_027056739.1","hepatocyte nuclear factor 4-gamma-like")</f>
        <v>hepatocyte nuclear factor 4-gamma-like</v>
      </c>
      <c r="J1223">
        <v>118.24</v>
      </c>
      <c r="K1223" t="s">
        <v>25</v>
      </c>
      <c r="L1223">
        <v>157</v>
      </c>
      <c r="M1223">
        <v>44.41</v>
      </c>
      <c r="N1223">
        <v>6.29</v>
      </c>
      <c r="O1223" t="s">
        <v>25</v>
      </c>
      <c r="P1223" t="s">
        <v>965</v>
      </c>
      <c r="Q1223" t="s">
        <v>20</v>
      </c>
      <c r="R1223" t="str">
        <f>HYPERLINK("https://cfpub.epa.gov/ecotox/explore.cfm?ncbi=46731","Explore in ECOTOX")</f>
        <v>Explore in ECOTOX</v>
      </c>
    </row>
    <row r="1224" spans="1:18" x14ac:dyDescent="0.25">
      <c r="A1224">
        <v>6</v>
      </c>
      <c r="B1224" t="str">
        <f>HYPERLINK("http://www.ncbi.nlm.nih.gov/protein/XP_028893569.1","XP_028893569.1")</f>
        <v>XP_028893569.1</v>
      </c>
      <c r="C1224">
        <v>24845</v>
      </c>
      <c r="D1224" t="str">
        <f>HYPERLINK("http://www.ncbi.nlm.nih.gov/Taxonomy/Browser/wwwtax.cgi?mode=Info&amp;id=28588&amp;lvl=3&amp;lin=f&amp;keep=1&amp;srchmode=1&amp;unlock","28588")</f>
        <v>28588</v>
      </c>
      <c r="E1224" t="s">
        <v>698</v>
      </c>
      <c r="F1224" t="s">
        <v>698</v>
      </c>
      <c r="G1224" t="str">
        <f>HYPERLINK("http://www.ncbi.nlm.nih.gov/Taxonomy/Browser/wwwtax.cgi?mode=Info&amp;id=28588&amp;lvl=3&amp;lin=f&amp;keep=1&amp;srchmode=1&amp;unlock","Zeugodacus cucurbitae")</f>
        <v>Zeugodacus cucurbitae</v>
      </c>
      <c r="H1224" t="s">
        <v>939</v>
      </c>
      <c r="I1224" t="str">
        <f>HYPERLINK("http://www.ncbi.nlm.nih.gov/protein/XP_028893569.1","steroid receptor seven-up, isoforms B/C isoform X1")</f>
        <v>steroid receptor seven-up, isoforms B/C isoform X1</v>
      </c>
      <c r="J1224">
        <v>117.86</v>
      </c>
      <c r="K1224" t="s">
        <v>25</v>
      </c>
      <c r="L1224">
        <v>157</v>
      </c>
      <c r="M1224">
        <v>44.41</v>
      </c>
      <c r="N1224">
        <v>6.27</v>
      </c>
      <c r="O1224" t="s">
        <v>25</v>
      </c>
      <c r="P1224" t="s">
        <v>965</v>
      </c>
      <c r="Q1224" t="s">
        <v>20</v>
      </c>
      <c r="R1224" t="str">
        <f>HYPERLINK("https://cfpub.epa.gov/ecotox/explore.cfm?ncbi=28588","Explore in ECOTOX")</f>
        <v>Explore in ECOTOX</v>
      </c>
    </row>
    <row r="1225" spans="1:18" x14ac:dyDescent="0.25">
      <c r="A1225">
        <v>6</v>
      </c>
      <c r="B1225" t="str">
        <f>HYPERLINK("http://www.ncbi.nlm.nih.gov/protein/XP_018797749.1","XP_018797749.1")</f>
        <v>XP_018797749.1</v>
      </c>
      <c r="C1225">
        <v>22773</v>
      </c>
      <c r="D1225" t="str">
        <f>HYPERLINK("http://www.ncbi.nlm.nih.gov/Taxonomy/Browser/wwwtax.cgi?mode=Info&amp;id=174628&amp;lvl=3&amp;lin=f&amp;keep=1&amp;srchmode=1&amp;unlock","174628")</f>
        <v>174628</v>
      </c>
      <c r="E1225" t="s">
        <v>698</v>
      </c>
      <c r="F1225" t="s">
        <v>698</v>
      </c>
      <c r="G1225" t="str">
        <f>HYPERLINK("http://www.ncbi.nlm.nih.gov/Taxonomy/Browser/wwwtax.cgi?mode=Info&amp;id=174628&amp;lvl=3&amp;lin=f&amp;keep=1&amp;srchmode=1&amp;unlock","Bactrocera latifrons")</f>
        <v>Bactrocera latifrons</v>
      </c>
      <c r="H1225" t="s">
        <v>753</v>
      </c>
      <c r="I1225" t="str">
        <f>HYPERLINK("http://www.ncbi.nlm.nih.gov/protein/XP_018797749.1","PREDICTED: steroid receptor seven-up, isoforms B/C isoform X1")</f>
        <v>PREDICTED: steroid receptor seven-up, isoforms B/C isoform X1</v>
      </c>
      <c r="J1225">
        <v>117.86</v>
      </c>
      <c r="K1225" t="s">
        <v>25</v>
      </c>
      <c r="L1225">
        <v>157</v>
      </c>
      <c r="M1225">
        <v>44.41</v>
      </c>
      <c r="N1225">
        <v>6.27</v>
      </c>
      <c r="O1225" t="s">
        <v>25</v>
      </c>
      <c r="P1225" t="s">
        <v>965</v>
      </c>
      <c r="Q1225" t="s">
        <v>20</v>
      </c>
      <c r="R1225" t="str">
        <f>HYPERLINK("https://cfpub.epa.gov/ecotox/explore.cfm?ncbi=174628","Explore in ECOTOX")</f>
        <v>Explore in ECOTOX</v>
      </c>
    </row>
    <row r="1226" spans="1:18" x14ac:dyDescent="0.25">
      <c r="A1226">
        <v>6</v>
      </c>
      <c r="B1226" t="str">
        <f>HYPERLINK("http://www.ncbi.nlm.nih.gov/protein/XP_022808660.1","XP_022808660.1")</f>
        <v>XP_022808660.1</v>
      </c>
      <c r="C1226">
        <v>57618</v>
      </c>
      <c r="D1226" t="str">
        <f>HYPERLINK("http://www.ncbi.nlm.nih.gov/Taxonomy/Browser/wwwtax.cgi?mode=Info&amp;id=50429&amp;lvl=3&amp;lin=f&amp;keep=1&amp;srchmode=1&amp;unlock","50429")</f>
        <v>50429</v>
      </c>
      <c r="E1226" t="s">
        <v>1183</v>
      </c>
      <c r="F1226" t="s">
        <v>1183</v>
      </c>
      <c r="G1226" t="str">
        <f>HYPERLINK("http://www.ncbi.nlm.nih.gov/Taxonomy/Browser/wwwtax.cgi?mode=Info&amp;id=50429&amp;lvl=3&amp;lin=f&amp;keep=1&amp;srchmode=1&amp;unlock","Stylophora pistillata")</f>
        <v>Stylophora pistillata</v>
      </c>
      <c r="H1226" t="s">
        <v>1201</v>
      </c>
      <c r="I1226" t="str">
        <f>HYPERLINK("http://www.ncbi.nlm.nih.gov/protein/XP_022808660.1","hepatocyte nuclear factor 4-gamma-like isoform X2")</f>
        <v>hepatocyte nuclear factor 4-gamma-like isoform X2</v>
      </c>
      <c r="J1226">
        <v>117.86</v>
      </c>
      <c r="K1226" t="s">
        <v>25</v>
      </c>
      <c r="L1226">
        <v>157</v>
      </c>
      <c r="M1226">
        <v>44.41</v>
      </c>
      <c r="N1226">
        <v>6.27</v>
      </c>
      <c r="O1226" t="s">
        <v>25</v>
      </c>
      <c r="P1226" t="s">
        <v>965</v>
      </c>
      <c r="Q1226" t="s">
        <v>20</v>
      </c>
      <c r="R1226" t="str">
        <f>HYPERLINK("https://cfpub.epa.gov/ecotox/explore.cfm?ncbi=50429","Explore in ECOTOX")</f>
        <v>Explore in ECOTOX</v>
      </c>
    </row>
    <row r="1227" spans="1:18" x14ac:dyDescent="0.25">
      <c r="A1227">
        <v>6</v>
      </c>
      <c r="B1227" t="str">
        <f>HYPERLINK("http://www.ncbi.nlm.nih.gov/protein/XP_011208146.1","XP_011208146.1")</f>
        <v>XP_011208146.1</v>
      </c>
      <c r="C1227">
        <v>23873</v>
      </c>
      <c r="D1227" t="str">
        <f>HYPERLINK("http://www.ncbi.nlm.nih.gov/Taxonomy/Browser/wwwtax.cgi?mode=Info&amp;id=27457&amp;lvl=3&amp;lin=f&amp;keep=1&amp;srchmode=1&amp;unlock","27457")</f>
        <v>27457</v>
      </c>
      <c r="E1227" t="s">
        <v>698</v>
      </c>
      <c r="F1227" t="s">
        <v>698</v>
      </c>
      <c r="G1227" t="str">
        <f>HYPERLINK("http://www.ncbi.nlm.nih.gov/Taxonomy/Browser/wwwtax.cgi?mode=Info&amp;id=27457&amp;lvl=3&amp;lin=f&amp;keep=1&amp;srchmode=1&amp;unlock","Bactrocera dorsalis")</f>
        <v>Bactrocera dorsalis</v>
      </c>
      <c r="H1227" t="s">
        <v>916</v>
      </c>
      <c r="I1227" t="str">
        <f>HYPERLINK("http://www.ncbi.nlm.nih.gov/protein/XP_011208146.1","steroid receptor seven-up, isoforms B/C isoform X1")</f>
        <v>steroid receptor seven-up, isoforms B/C isoform X1</v>
      </c>
      <c r="J1227">
        <v>117.86</v>
      </c>
      <c r="K1227" t="s">
        <v>25</v>
      </c>
      <c r="L1227">
        <v>157</v>
      </c>
      <c r="M1227">
        <v>44.41</v>
      </c>
      <c r="N1227">
        <v>6.27</v>
      </c>
      <c r="O1227" t="s">
        <v>25</v>
      </c>
      <c r="P1227" t="s">
        <v>965</v>
      </c>
      <c r="Q1227" t="s">
        <v>20</v>
      </c>
      <c r="R1227" t="str">
        <f>HYPERLINK("https://cfpub.epa.gov/ecotox/explore.cfm?ncbi=27457","Explore in ECOTOX")</f>
        <v>Explore in ECOTOX</v>
      </c>
    </row>
    <row r="1228" spans="1:18" x14ac:dyDescent="0.25">
      <c r="A1228">
        <v>6</v>
      </c>
      <c r="B1228" t="str">
        <f>HYPERLINK("http://www.ncbi.nlm.nih.gov/protein/XP_029345434.1","XP_029345434.1")</f>
        <v>XP_029345434.1</v>
      </c>
      <c r="C1228">
        <v>31430</v>
      </c>
      <c r="D1228" t="str">
        <f>HYPERLINK("http://www.ncbi.nlm.nih.gov/Taxonomy/Browser/wwwtax.cgi?mode=Info&amp;id=7029&amp;lvl=3&amp;lin=f&amp;keep=1&amp;srchmode=1&amp;unlock","7029")</f>
        <v>7029</v>
      </c>
      <c r="E1228" t="s">
        <v>698</v>
      </c>
      <c r="F1228" t="s">
        <v>698</v>
      </c>
      <c r="G1228" t="str">
        <f>HYPERLINK("http://www.ncbi.nlm.nih.gov/Taxonomy/Browser/wwwtax.cgi?mode=Info&amp;id=7029&amp;lvl=3&amp;lin=f&amp;keep=1&amp;srchmode=1&amp;unlock","Acyrthosiphon pisum")</f>
        <v>Acyrthosiphon pisum</v>
      </c>
      <c r="H1228" t="s">
        <v>887</v>
      </c>
      <c r="I1228" t="str">
        <f>HYPERLINK("http://www.ncbi.nlm.nih.gov/protein/XP_029345434.1","nuclear hormone receptor FTZ-F1 beta isoform X2")</f>
        <v>nuclear hormone receptor FTZ-F1 beta isoform X2</v>
      </c>
      <c r="J1228">
        <v>117.47</v>
      </c>
      <c r="K1228" t="s">
        <v>25</v>
      </c>
      <c r="L1228">
        <v>157</v>
      </c>
      <c r="M1228">
        <v>44.41</v>
      </c>
      <c r="N1228">
        <v>6.25</v>
      </c>
      <c r="O1228" t="s">
        <v>25</v>
      </c>
      <c r="P1228" t="s">
        <v>965</v>
      </c>
      <c r="Q1228" t="s">
        <v>20</v>
      </c>
      <c r="R1228" t="str">
        <f>HYPERLINK("https://cfpub.epa.gov/ecotox/explore.cfm?ncbi=7029","Explore in ECOTOX")</f>
        <v>Explore in ECOTOX</v>
      </c>
    </row>
    <row r="1229" spans="1:18" x14ac:dyDescent="0.25">
      <c r="A1229">
        <v>6</v>
      </c>
      <c r="B1229" t="str">
        <f>HYPERLINK("http://www.ncbi.nlm.nih.gov/protein/XP_036321406.1","XP_036321406.1")</f>
        <v>XP_036321406.1</v>
      </c>
      <c r="C1229">
        <v>30873</v>
      </c>
      <c r="D1229" t="str">
        <f>HYPERLINK("http://www.ncbi.nlm.nih.gov/Taxonomy/Browser/wwwtax.cgi?mode=Info&amp;id=28610&amp;lvl=3&amp;lin=f&amp;keep=1&amp;srchmode=1&amp;unlock","28610")</f>
        <v>28610</v>
      </c>
      <c r="E1229" t="s">
        <v>698</v>
      </c>
      <c r="F1229" t="s">
        <v>698</v>
      </c>
      <c r="G1229" t="str">
        <f>HYPERLINK("http://www.ncbi.nlm.nih.gov/Taxonomy/Browser/wwwtax.cgi?mode=Info&amp;id=28610&amp;lvl=3&amp;lin=f&amp;keep=1&amp;srchmode=1&amp;unlock","Rhagoletis pomonella")</f>
        <v>Rhagoletis pomonella</v>
      </c>
      <c r="H1229" t="s">
        <v>841</v>
      </c>
      <c r="I1229" t="str">
        <f>HYPERLINK("http://www.ncbi.nlm.nih.gov/protein/XP_036321406.1","steroid receptor seven-up, isoforms B/C isoform X1")</f>
        <v>steroid receptor seven-up, isoforms B/C isoform X1</v>
      </c>
      <c r="J1229">
        <v>117.09</v>
      </c>
      <c r="K1229" t="s">
        <v>25</v>
      </c>
      <c r="L1229">
        <v>157</v>
      </c>
      <c r="M1229">
        <v>44.41</v>
      </c>
      <c r="N1229">
        <v>6.23</v>
      </c>
      <c r="O1229" t="s">
        <v>25</v>
      </c>
      <c r="P1229" t="s">
        <v>965</v>
      </c>
      <c r="Q1229" t="s">
        <v>20</v>
      </c>
      <c r="R1229" t="str">
        <f>HYPERLINK("https://cfpub.epa.gov/ecotox/explore.cfm?ncbi=28610","Explore in ECOTOX")</f>
        <v>Explore in ECOTOX</v>
      </c>
    </row>
    <row r="1230" spans="1:18" x14ac:dyDescent="0.25">
      <c r="A1230">
        <v>6</v>
      </c>
      <c r="B1230" t="str">
        <f>HYPERLINK("http://www.ncbi.nlm.nih.gov/protein/AVR59237.1","AVR59237.1")</f>
        <v>AVR59237.1</v>
      </c>
      <c r="C1230">
        <v>810</v>
      </c>
      <c r="D1230" t="str">
        <f>HYPERLINK("http://www.ncbi.nlm.nih.gov/Taxonomy/Browser/wwwtax.cgi?mode=Info&amp;id=6359&amp;lvl=3&amp;lin=f&amp;keep=1&amp;srchmode=1&amp;unlock","6359")</f>
        <v>6359</v>
      </c>
      <c r="E1230" t="s">
        <v>822</v>
      </c>
      <c r="F1230" t="s">
        <v>822</v>
      </c>
      <c r="G1230" t="str">
        <f>HYPERLINK("http://www.ncbi.nlm.nih.gov/Taxonomy/Browser/wwwtax.cgi?mode=Info&amp;id=6359&amp;lvl=3&amp;lin=f&amp;keep=1&amp;srchmode=1&amp;unlock","Platynereis dumerilii")</f>
        <v>Platynereis dumerilii</v>
      </c>
      <c r="H1230" t="s">
        <v>1202</v>
      </c>
      <c r="I1230" t="str">
        <f>HYPERLINK("http://www.ncbi.nlm.nih.gov/protein/AVR59237.1","retinoid X receptor")</f>
        <v>retinoid X receptor</v>
      </c>
      <c r="J1230">
        <v>117.09</v>
      </c>
      <c r="K1230" t="s">
        <v>25</v>
      </c>
      <c r="L1230">
        <v>157</v>
      </c>
      <c r="M1230">
        <v>44.41</v>
      </c>
      <c r="N1230">
        <v>6.23</v>
      </c>
      <c r="O1230" t="s">
        <v>25</v>
      </c>
      <c r="P1230" t="s">
        <v>965</v>
      </c>
      <c r="Q1230" t="s">
        <v>20</v>
      </c>
      <c r="R1230" t="str">
        <f>HYPERLINK("https://cfpub.epa.gov/ecotox/explore.cfm?ncbi=6359","Explore in ECOTOX")</f>
        <v>Explore in ECOTOX</v>
      </c>
    </row>
    <row r="1231" spans="1:18" x14ac:dyDescent="0.25">
      <c r="A1231">
        <v>6</v>
      </c>
      <c r="B1231" t="str">
        <f>HYPERLINK("http://www.ncbi.nlm.nih.gov/protein/XP_026687734.1","XP_026687734.1")</f>
        <v>XP_026687734.1</v>
      </c>
      <c r="C1231">
        <v>25935</v>
      </c>
      <c r="D1231" t="str">
        <f>HYPERLINK("http://www.ncbi.nlm.nih.gov/Taxonomy/Browser/wwwtax.cgi?mode=Info&amp;id=121845&amp;lvl=3&amp;lin=f&amp;keep=1&amp;srchmode=1&amp;unlock","121845")</f>
        <v>121845</v>
      </c>
      <c r="E1231" t="s">
        <v>698</v>
      </c>
      <c r="F1231" t="s">
        <v>698</v>
      </c>
      <c r="G1231" t="str">
        <f>HYPERLINK("http://www.ncbi.nlm.nih.gov/Taxonomy/Browser/wwwtax.cgi?mode=Info&amp;id=121845&amp;lvl=3&amp;lin=f&amp;keep=1&amp;srchmode=1&amp;unlock","Diaphorina citri")</f>
        <v>Diaphorina citri</v>
      </c>
      <c r="H1231" t="s">
        <v>911</v>
      </c>
      <c r="I1231" t="str">
        <f>HYPERLINK("http://www.ncbi.nlm.nih.gov/protein/XP_026687734.1","steroid hormone receptor ERR1-like, partial")</f>
        <v>steroid hormone receptor ERR1-like, partial</v>
      </c>
      <c r="J1231">
        <v>116.7</v>
      </c>
      <c r="K1231" t="s">
        <v>25</v>
      </c>
      <c r="L1231">
        <v>157</v>
      </c>
      <c r="M1231">
        <v>44.41</v>
      </c>
      <c r="N1231">
        <v>6.21</v>
      </c>
      <c r="O1231" t="s">
        <v>25</v>
      </c>
      <c r="P1231" t="s">
        <v>965</v>
      </c>
      <c r="Q1231" t="s">
        <v>20</v>
      </c>
      <c r="R1231" t="str">
        <f>HYPERLINK("https://cfpub.epa.gov/ecotox/explore.cfm?ncbi=121845","Explore in ECOTOX")</f>
        <v>Explore in ECOTOX</v>
      </c>
    </row>
    <row r="1232" spans="1:18" x14ac:dyDescent="0.25">
      <c r="A1232">
        <v>6</v>
      </c>
      <c r="B1232" t="str">
        <f>HYPERLINK("http://www.ncbi.nlm.nih.gov/protein/RZC35155.1","RZC35155.1")</f>
        <v>RZC35155.1</v>
      </c>
      <c r="C1232">
        <v>15282</v>
      </c>
      <c r="D1232" t="str">
        <f>HYPERLINK("http://www.ncbi.nlm.nih.gov/Taxonomy/Browser/wwwtax.cgi?mode=Info&amp;id=1661398&amp;lvl=3&amp;lin=f&amp;keep=1&amp;srchmode=1&amp;unlock","1661398")</f>
        <v>1661398</v>
      </c>
      <c r="E1232" t="s">
        <v>698</v>
      </c>
      <c r="F1232" t="s">
        <v>698</v>
      </c>
      <c r="G1232" t="str">
        <f>HYPERLINK("http://www.ncbi.nlm.nih.gov/Taxonomy/Browser/wwwtax.cgi?mode=Info&amp;id=1661398&amp;lvl=3&amp;lin=f&amp;keep=1&amp;srchmode=1&amp;unlock","Asbolus verrucosus")</f>
        <v>Asbolus verrucosus</v>
      </c>
      <c r="H1232" t="s">
        <v>1203</v>
      </c>
      <c r="I1232" t="str">
        <f>HYPERLINK("http://www.ncbi.nlm.nih.gov/protein/RZC35155.1","hepatocyte nuclear factor 4-gamma, partial")</f>
        <v>hepatocyte nuclear factor 4-gamma, partial</v>
      </c>
      <c r="J1232">
        <v>116.7</v>
      </c>
      <c r="K1232" t="s">
        <v>25</v>
      </c>
      <c r="L1232">
        <v>157</v>
      </c>
      <c r="M1232">
        <v>44.41</v>
      </c>
      <c r="N1232">
        <v>6.21</v>
      </c>
      <c r="O1232" t="s">
        <v>25</v>
      </c>
      <c r="P1232" t="s">
        <v>965</v>
      </c>
      <c r="Q1232" t="s">
        <v>20</v>
      </c>
      <c r="R1232" t="str">
        <f>HYPERLINK("https://cfpub.epa.gov/ecotox/explore.cfm?ncbi=1661398","Explore in ECOTOX")</f>
        <v>Explore in ECOTOX</v>
      </c>
    </row>
    <row r="1233" spans="1:18" x14ac:dyDescent="0.25">
      <c r="A1233">
        <v>6</v>
      </c>
      <c r="B1233" t="str">
        <f>HYPERLINK("http://www.ncbi.nlm.nih.gov/protein/BAF85823.1","BAF85823.1")</f>
        <v>BAF85823.1</v>
      </c>
      <c r="C1233">
        <v>10</v>
      </c>
      <c r="D1233" t="str">
        <f>HYPERLINK("http://www.ncbi.nlm.nih.gov/Taxonomy/Browser/wwwtax.cgi?mode=Info&amp;id=431266&amp;lvl=3&amp;lin=f&amp;keep=1&amp;srchmode=1&amp;unlock","431266")</f>
        <v>431266</v>
      </c>
      <c r="E1233" t="s">
        <v>700</v>
      </c>
      <c r="F1233" t="s">
        <v>700</v>
      </c>
      <c r="G1233" t="str">
        <f>HYPERLINK("http://www.ncbi.nlm.nih.gov/Taxonomy/Browser/wwwtax.cgi?mode=Info&amp;id=431266&amp;lvl=3&amp;lin=f&amp;keep=1&amp;srchmode=1&amp;unlock","Liocheles australasiae")</f>
        <v>Liocheles australasiae</v>
      </c>
      <c r="H1233" t="s">
        <v>1204</v>
      </c>
      <c r="I1233" t="str">
        <f>HYPERLINK("http://www.ncbi.nlm.nih.gov/protein/BAF85823.1","ultraspiracle")</f>
        <v>ultraspiracle</v>
      </c>
      <c r="J1233">
        <v>116.32</v>
      </c>
      <c r="K1233" t="s">
        <v>25</v>
      </c>
      <c r="L1233">
        <v>157</v>
      </c>
      <c r="M1233">
        <v>44.41</v>
      </c>
      <c r="N1233">
        <v>6.19</v>
      </c>
      <c r="O1233" t="s">
        <v>25</v>
      </c>
      <c r="P1233" t="s">
        <v>965</v>
      </c>
      <c r="Q1233" t="s">
        <v>20</v>
      </c>
      <c r="R1233" t="str">
        <f>HYPERLINK("https://cfpub.epa.gov/ecotox/explore.cfm?ncbi=431266","Explore in ECOTOX")</f>
        <v>Explore in ECOTOX</v>
      </c>
    </row>
    <row r="1234" spans="1:18" x14ac:dyDescent="0.25">
      <c r="A1234">
        <v>6</v>
      </c>
      <c r="B1234" t="str">
        <f>HYPERLINK("http://www.ncbi.nlm.nih.gov/protein/BBG43847.1","BBG43847.1")</f>
        <v>BBG43847.1</v>
      </c>
      <c r="C1234">
        <v>223</v>
      </c>
      <c r="D1234" t="str">
        <f>HYPERLINK("http://www.ncbi.nlm.nih.gov/Taxonomy/Browser/wwwtax.cgi?mode=Info&amp;id=82174&amp;lvl=3&amp;lin=f&amp;keep=1&amp;srchmode=1&amp;unlock","82174")</f>
        <v>82174</v>
      </c>
      <c r="E1234" t="s">
        <v>18</v>
      </c>
      <c r="F1234" t="s">
        <v>18</v>
      </c>
      <c r="G1234" t="str">
        <f>HYPERLINK("http://www.ncbi.nlm.nih.gov/Taxonomy/Browser/wwwtax.cgi?mode=Info&amp;id=82174&amp;lvl=3&amp;lin=f&amp;keep=1&amp;srchmode=1&amp;unlock","Pseudorca crassidens")</f>
        <v>Pseudorca crassidens</v>
      </c>
      <c r="H1234" t="s">
        <v>1205</v>
      </c>
      <c r="I1234" t="str">
        <f>HYPERLINK("http://www.ncbi.nlm.nih.gov/protein/BBG43847.1","retinoid X receptor, beta")</f>
        <v>retinoid X receptor, beta</v>
      </c>
      <c r="J1234">
        <v>116.32</v>
      </c>
      <c r="K1234" t="s">
        <v>25</v>
      </c>
      <c r="L1234">
        <v>157</v>
      </c>
      <c r="M1234">
        <v>44.41</v>
      </c>
      <c r="N1234">
        <v>6.19</v>
      </c>
      <c r="O1234" t="s">
        <v>20</v>
      </c>
      <c r="P1234" t="s">
        <v>965</v>
      </c>
      <c r="Q1234" t="s">
        <v>20</v>
      </c>
      <c r="R1234" t="str">
        <f>HYPERLINK("https://cfpub.epa.gov/ecotox/explore.cfm?ncbi=82174","Explore in ECOTOX")</f>
        <v>Explore in ECOTOX</v>
      </c>
    </row>
    <row r="1235" spans="1:18" x14ac:dyDescent="0.25">
      <c r="A1235">
        <v>6</v>
      </c>
      <c r="B1235" t="str">
        <f>HYPERLINK("http://www.ncbi.nlm.nih.gov/protein/CCA61270.1","CCA61270.1")</f>
        <v>CCA61270.1</v>
      </c>
      <c r="C1235">
        <v>11</v>
      </c>
      <c r="D1235" t="str">
        <f>HYPERLINK("http://www.ncbi.nlm.nih.gov/Taxonomy/Browser/wwwtax.cgi?mode=Info&amp;id=908279&amp;lvl=3&amp;lin=f&amp;keep=1&amp;srchmode=1&amp;unlock","908279")</f>
        <v>908279</v>
      </c>
      <c r="E1235" t="s">
        <v>1206</v>
      </c>
      <c r="F1235" t="s">
        <v>1206</v>
      </c>
      <c r="G1235" t="str">
        <f>HYPERLINK("http://www.ncbi.nlm.nih.gov/Taxonomy/Browser/wwwtax.cgi?mode=Info&amp;id=908279&amp;lvl=3&amp;lin=f&amp;keep=1&amp;srchmode=1&amp;unlock","Lithobius peregrinus")</f>
        <v>Lithobius peregrinus</v>
      </c>
      <c r="H1235" t="s">
        <v>1207</v>
      </c>
      <c r="I1235" t="str">
        <f>HYPERLINK("http://www.ncbi.nlm.nih.gov/protein/CCA61270.1","retinoid X receptor, isoform M, partial")</f>
        <v>retinoid X receptor, isoform M, partial</v>
      </c>
      <c r="J1235">
        <v>116.32</v>
      </c>
      <c r="K1235" t="s">
        <v>25</v>
      </c>
      <c r="L1235">
        <v>157</v>
      </c>
      <c r="M1235">
        <v>44.41</v>
      </c>
      <c r="N1235">
        <v>6.19</v>
      </c>
      <c r="O1235" t="s">
        <v>25</v>
      </c>
      <c r="P1235" t="s">
        <v>965</v>
      </c>
      <c r="Q1235" t="s">
        <v>20</v>
      </c>
      <c r="R1235" t="str">
        <f>HYPERLINK("https://cfpub.epa.gov/ecotox/explore.cfm?ncbi=908279","Explore in ECOTOX")</f>
        <v>Explore in ECOTOX</v>
      </c>
    </row>
    <row r="1236" spans="1:18" x14ac:dyDescent="0.25">
      <c r="A1236">
        <v>6</v>
      </c>
      <c r="B1236" t="str">
        <f>HYPERLINK("http://www.ncbi.nlm.nih.gov/protein/ASL70607.1","ASL70607.1")</f>
        <v>ASL70607.1</v>
      </c>
      <c r="C1236">
        <v>419</v>
      </c>
      <c r="D1236" t="str">
        <f>HYPERLINK("http://www.ncbi.nlm.nih.gov/Taxonomy/Browser/wwwtax.cgi?mode=Info&amp;id=1199090&amp;lvl=3&amp;lin=f&amp;keep=1&amp;srchmode=1&amp;unlock","1199090")</f>
        <v>1199090</v>
      </c>
      <c r="E1236" t="s">
        <v>855</v>
      </c>
      <c r="F1236" t="s">
        <v>855</v>
      </c>
      <c r="G1236" t="str">
        <f>HYPERLINK("http://www.ncbi.nlm.nih.gov/Taxonomy/Browser/wwwtax.cgi?mode=Info&amp;id=1199090&amp;lvl=3&amp;lin=f&amp;keep=1&amp;srchmode=1&amp;unlock","Brachionus koreanus")</f>
        <v>Brachionus koreanus</v>
      </c>
      <c r="H1236" t="s">
        <v>856</v>
      </c>
      <c r="I1236" t="str">
        <f>HYPERLINK("http://www.ncbi.nlm.nih.gov/protein/ASL70607.1","nuclear receptor")</f>
        <v>nuclear receptor</v>
      </c>
      <c r="J1236">
        <v>116.32</v>
      </c>
      <c r="K1236" t="s">
        <v>25</v>
      </c>
      <c r="L1236">
        <v>157</v>
      </c>
      <c r="M1236">
        <v>44.41</v>
      </c>
      <c r="N1236">
        <v>6.19</v>
      </c>
      <c r="O1236" t="s">
        <v>25</v>
      </c>
      <c r="P1236" t="s">
        <v>965</v>
      </c>
      <c r="Q1236" t="s">
        <v>20</v>
      </c>
      <c r="R1236" t="str">
        <f>HYPERLINK("https://cfpub.epa.gov/ecotox/explore.cfm?ncbi=1199090","Explore in ECOTOX")</f>
        <v>Explore in ECOTOX</v>
      </c>
    </row>
    <row r="1237" spans="1:18" x14ac:dyDescent="0.25">
      <c r="A1237">
        <v>6</v>
      </c>
      <c r="B1237" t="str">
        <f>HYPERLINK("http://www.ncbi.nlm.nih.gov/protein/XP_030373548.1","XP_030373548.1")</f>
        <v>XP_030373548.1</v>
      </c>
      <c r="C1237">
        <v>19868</v>
      </c>
      <c r="D1237" t="str">
        <f>HYPERLINK("http://www.ncbi.nlm.nih.gov/Taxonomy/Browser/wwwtax.cgi?mode=Info&amp;id=7225&amp;lvl=3&amp;lin=f&amp;keep=1&amp;srchmode=1&amp;unlock","7225")</f>
        <v>7225</v>
      </c>
      <c r="E1237" t="s">
        <v>698</v>
      </c>
      <c r="F1237" t="s">
        <v>698</v>
      </c>
      <c r="G1237" t="str">
        <f>HYPERLINK("http://www.ncbi.nlm.nih.gov/Taxonomy/Browser/wwwtax.cgi?mode=Info&amp;id=7225&amp;lvl=3&amp;lin=f&amp;keep=1&amp;srchmode=1&amp;unlock","Scaptodrosophila lebanonensis")</f>
        <v>Scaptodrosophila lebanonensis</v>
      </c>
      <c r="H1237" t="s">
        <v>846</v>
      </c>
      <c r="I1237" t="str">
        <f>HYPERLINK("http://www.ncbi.nlm.nih.gov/protein/XP_030373548.1","steroid receptor seven-up isoform X1")</f>
        <v>steroid receptor seven-up isoform X1</v>
      </c>
      <c r="J1237">
        <v>115.93</v>
      </c>
      <c r="K1237" t="s">
        <v>25</v>
      </c>
      <c r="L1237">
        <v>157</v>
      </c>
      <c r="M1237">
        <v>44.41</v>
      </c>
      <c r="N1237">
        <v>6.17</v>
      </c>
      <c r="O1237" t="s">
        <v>25</v>
      </c>
      <c r="P1237" t="s">
        <v>965</v>
      </c>
      <c r="Q1237" t="s">
        <v>20</v>
      </c>
      <c r="R1237" t="str">
        <f>HYPERLINK("https://cfpub.epa.gov/ecotox/explore.cfm?ncbi=7225","Explore in ECOTOX")</f>
        <v>Explore in ECOTOX</v>
      </c>
    </row>
    <row r="1238" spans="1:18" x14ac:dyDescent="0.25">
      <c r="A1238">
        <v>6</v>
      </c>
      <c r="B1238" t="str">
        <f>HYPERLINK("http://www.ncbi.nlm.nih.gov/protein/AVD96648.1","AVD96648.1")</f>
        <v>AVD96648.1</v>
      </c>
      <c r="C1238">
        <v>60</v>
      </c>
      <c r="D1238" t="str">
        <f>HYPERLINK("http://www.ncbi.nlm.nih.gov/Taxonomy/Browser/wwwtax.cgi?mode=Info&amp;id=31192&amp;lvl=3&amp;lin=f&amp;keep=1&amp;srchmode=1&amp;unlock","31192")</f>
        <v>31192</v>
      </c>
      <c r="E1238" t="s">
        <v>826</v>
      </c>
      <c r="F1238" t="s">
        <v>826</v>
      </c>
      <c r="G1238" t="str">
        <f>HYPERLINK("http://www.ncbi.nlm.nih.gov/Taxonomy/Browser/wwwtax.cgi?mode=Info&amp;id=31192&amp;lvl=3&amp;lin=f&amp;keep=1&amp;srchmode=1&amp;unlock","Holothuria glaberrima")</f>
        <v>Holothuria glaberrima</v>
      </c>
      <c r="H1238" t="s">
        <v>1208</v>
      </c>
      <c r="I1238" t="str">
        <f>HYPERLINK("http://www.ncbi.nlm.nih.gov/protein/AVD96648.1","retinoic acid receptor isoform 1")</f>
        <v>retinoic acid receptor isoform 1</v>
      </c>
      <c r="J1238">
        <v>115.93</v>
      </c>
      <c r="K1238" t="s">
        <v>25</v>
      </c>
      <c r="L1238">
        <v>157</v>
      </c>
      <c r="M1238">
        <v>44.41</v>
      </c>
      <c r="N1238">
        <v>6.17</v>
      </c>
      <c r="O1238" t="s">
        <v>25</v>
      </c>
      <c r="P1238" t="s">
        <v>965</v>
      </c>
      <c r="Q1238" t="s">
        <v>20</v>
      </c>
      <c r="R1238" t="str">
        <f>HYPERLINK("https://cfpub.epa.gov/ecotox/explore.cfm?ncbi=31192","Explore in ECOTOX")</f>
        <v>Explore in ECOTOX</v>
      </c>
    </row>
    <row r="1239" spans="1:18" x14ac:dyDescent="0.25">
      <c r="A1239">
        <v>6</v>
      </c>
      <c r="B1239" t="str">
        <f>HYPERLINK("http://www.ncbi.nlm.nih.gov/protein/XP_015751727.1","XP_015751727.1")</f>
        <v>XP_015751727.1</v>
      </c>
      <c r="C1239">
        <v>34225</v>
      </c>
      <c r="D1239" t="str">
        <f>HYPERLINK("http://www.ncbi.nlm.nih.gov/Taxonomy/Browser/wwwtax.cgi?mode=Info&amp;id=70779&amp;lvl=3&amp;lin=f&amp;keep=1&amp;srchmode=1&amp;unlock","70779")</f>
        <v>70779</v>
      </c>
      <c r="E1239" t="s">
        <v>1183</v>
      </c>
      <c r="F1239" t="s">
        <v>1183</v>
      </c>
      <c r="G1239" t="str">
        <f>HYPERLINK("http://www.ncbi.nlm.nih.gov/Taxonomy/Browser/wwwtax.cgi?mode=Info&amp;id=70779&amp;lvl=3&amp;lin=f&amp;keep=1&amp;srchmode=1&amp;unlock","Acropora digitifera")</f>
        <v>Acropora digitifera</v>
      </c>
      <c r="H1239" t="s">
        <v>1209</v>
      </c>
      <c r="I1239" t="str">
        <f>HYPERLINK("http://www.ncbi.nlm.nih.gov/protein/XP_015751727.1","PREDICTED: hepatocyte nuclear factor 4-gamma-like isoform X1")</f>
        <v>PREDICTED: hepatocyte nuclear factor 4-gamma-like isoform X1</v>
      </c>
      <c r="J1239">
        <v>115.93</v>
      </c>
      <c r="K1239" t="s">
        <v>25</v>
      </c>
      <c r="L1239">
        <v>157</v>
      </c>
      <c r="M1239">
        <v>44.41</v>
      </c>
      <c r="N1239">
        <v>6.17</v>
      </c>
      <c r="O1239" t="s">
        <v>25</v>
      </c>
      <c r="P1239" t="s">
        <v>965</v>
      </c>
      <c r="Q1239" t="s">
        <v>20</v>
      </c>
      <c r="R1239" t="str">
        <f>HYPERLINK("https://cfpub.epa.gov/ecotox/explore.cfm?ncbi=70779","Explore in ECOTOX")</f>
        <v>Explore in ECOTOX</v>
      </c>
    </row>
    <row r="1240" spans="1:18" x14ac:dyDescent="0.25">
      <c r="A1240">
        <v>6</v>
      </c>
      <c r="B1240" t="str">
        <f>HYPERLINK("http://www.ncbi.nlm.nih.gov/protein/ACD77184.1","ACD77184.1")</f>
        <v>ACD77184.1</v>
      </c>
      <c r="C1240">
        <v>31417</v>
      </c>
      <c r="D1240" t="str">
        <f>HYPERLINK("http://www.ncbi.nlm.nih.gov/Taxonomy/Browser/wwwtax.cgi?mode=Info&amp;id=64391&amp;lvl=3&amp;lin=f&amp;keep=1&amp;srchmode=1&amp;unlock","64391")</f>
        <v>64391</v>
      </c>
      <c r="E1240" t="s">
        <v>698</v>
      </c>
      <c r="F1240" t="s">
        <v>698</v>
      </c>
      <c r="G1240" t="str">
        <f>HYPERLINK("http://www.ncbi.nlm.nih.gov/Taxonomy/Browser/wwwtax.cgi?mode=Info&amp;id=64391&amp;lvl=3&amp;lin=f&amp;keep=1&amp;srchmode=1&amp;unlock","Callosobruchus maculatus")</f>
        <v>Callosobruchus maculatus</v>
      </c>
      <c r="H1240" t="s">
        <v>879</v>
      </c>
      <c r="I1240" t="str">
        <f>HYPERLINK("http://www.ncbi.nlm.nih.gov/protein/ACD77184.1","putative hepatocyte nuclear factor 4 nuclear hormone receptor")</f>
        <v>putative hepatocyte nuclear factor 4 nuclear hormone receptor</v>
      </c>
      <c r="J1240">
        <v>115.93</v>
      </c>
      <c r="K1240" t="s">
        <v>25</v>
      </c>
      <c r="L1240">
        <v>157</v>
      </c>
      <c r="M1240">
        <v>44.41</v>
      </c>
      <c r="N1240">
        <v>6.17</v>
      </c>
      <c r="O1240" t="s">
        <v>25</v>
      </c>
      <c r="P1240" t="s">
        <v>965</v>
      </c>
      <c r="Q1240" t="s">
        <v>20</v>
      </c>
      <c r="R1240" t="str">
        <f>HYPERLINK("https://cfpub.epa.gov/ecotox/explore.cfm?ncbi=64391","Explore in ECOTOX")</f>
        <v>Explore in ECOTOX</v>
      </c>
    </row>
    <row r="1241" spans="1:18" x14ac:dyDescent="0.25">
      <c r="A1241">
        <v>6</v>
      </c>
      <c r="B1241" t="str">
        <f>HYPERLINK("http://www.ncbi.nlm.nih.gov/protein/QJG66094.1","QJG66094.1")</f>
        <v>QJG66094.1</v>
      </c>
      <c r="C1241">
        <v>1</v>
      </c>
      <c r="D1241" t="str">
        <f>HYPERLINK("http://www.ncbi.nlm.nih.gov/Taxonomy/Browser/wwwtax.cgi?mode=Info&amp;id=1027923&amp;lvl=3&amp;lin=f&amp;keep=1&amp;srchmode=1&amp;unlock","1027923")</f>
        <v>1027923</v>
      </c>
      <c r="E1241" t="s">
        <v>1210</v>
      </c>
      <c r="F1241" t="s">
        <v>1210</v>
      </c>
      <c r="G1241" t="str">
        <f>HYPERLINK("http://www.ncbi.nlm.nih.gov/Taxonomy/Browser/wwwtax.cgi?mode=Info&amp;id=1027923&amp;lvl=3&amp;lin=f&amp;keep=1&amp;srchmode=1&amp;unlock","Megathiris detruncata")</f>
        <v>Megathiris detruncata</v>
      </c>
      <c r="H1241" t="s">
        <v>798</v>
      </c>
      <c r="I1241" t="str">
        <f>HYPERLINK("http://www.ncbi.nlm.nih.gov/protein/QJG66094.1","retinoid X receptor")</f>
        <v>retinoid X receptor</v>
      </c>
      <c r="J1241">
        <v>115.93</v>
      </c>
      <c r="K1241" t="s">
        <v>25</v>
      </c>
      <c r="L1241">
        <v>157</v>
      </c>
      <c r="M1241">
        <v>44.41</v>
      </c>
      <c r="N1241">
        <v>6.17</v>
      </c>
      <c r="O1241" t="s">
        <v>25</v>
      </c>
      <c r="P1241" t="s">
        <v>965</v>
      </c>
      <c r="Q1241" t="s">
        <v>20</v>
      </c>
      <c r="R1241" t="str">
        <f>HYPERLINK("https://cfpub.epa.gov/ecotox/explore.cfm?ncbi=1027923","Explore in ECOTOX")</f>
        <v>Explore in ECOTOX</v>
      </c>
    </row>
    <row r="1242" spans="1:18" x14ac:dyDescent="0.25">
      <c r="A1242">
        <v>6</v>
      </c>
      <c r="B1242" t="str">
        <f>HYPERLINK("http://www.ncbi.nlm.nih.gov/protein/KAF2881561.1","KAF2881561.1")</f>
        <v>KAF2881561.1</v>
      </c>
      <c r="C1242">
        <v>27570</v>
      </c>
      <c r="D1242" t="str">
        <f>HYPERLINK("http://www.ncbi.nlm.nih.gov/Taxonomy/Browser/wwwtax.cgi?mode=Info&amp;id=2038154&amp;lvl=3&amp;lin=f&amp;keep=1&amp;srchmode=1&amp;unlock","2038154")</f>
        <v>2038154</v>
      </c>
      <c r="E1242" t="s">
        <v>698</v>
      </c>
      <c r="F1242" t="s">
        <v>698</v>
      </c>
      <c r="G1242" t="str">
        <f>HYPERLINK("http://www.ncbi.nlm.nih.gov/Taxonomy/Browser/wwwtax.cgi?mode=Info&amp;id=2038154&amp;lvl=3&amp;lin=f&amp;keep=1&amp;srchmode=1&amp;unlock","Ignelater luminosus")</f>
        <v>Ignelater luminosus</v>
      </c>
      <c r="H1242" t="s">
        <v>857</v>
      </c>
      <c r="I1242" t="str">
        <f>HYPERLINK("http://www.ncbi.nlm.nih.gov/protein/KAF2881561.1","hypothetical protein ILUMI_24610")</f>
        <v>hypothetical protein ILUMI_24610</v>
      </c>
      <c r="J1242">
        <v>115.93</v>
      </c>
      <c r="K1242" t="s">
        <v>25</v>
      </c>
      <c r="L1242">
        <v>157</v>
      </c>
      <c r="M1242">
        <v>44.41</v>
      </c>
      <c r="N1242">
        <v>6.17</v>
      </c>
      <c r="O1242" t="s">
        <v>25</v>
      </c>
      <c r="P1242" t="s">
        <v>965</v>
      </c>
      <c r="Q1242" t="s">
        <v>20</v>
      </c>
      <c r="R1242" t="str">
        <f>HYPERLINK("https://cfpub.epa.gov/ecotox/explore.cfm?ncbi=2038154","Explore in ECOTOX")</f>
        <v>Explore in ECOTOX</v>
      </c>
    </row>
    <row r="1243" spans="1:18" x14ac:dyDescent="0.25">
      <c r="A1243">
        <v>6</v>
      </c>
      <c r="B1243" t="str">
        <f>HYPERLINK("http://www.ncbi.nlm.nih.gov/protein/AEZ64364.1","AEZ64364.1")</f>
        <v>AEZ64364.1</v>
      </c>
      <c r="C1243">
        <v>125</v>
      </c>
      <c r="D1243" t="str">
        <f>HYPERLINK("http://www.ncbi.nlm.nih.gov/Taxonomy/Browser/wwwtax.cgi?mode=Info&amp;id=6984&amp;lvl=3&amp;lin=f&amp;keep=1&amp;srchmode=1&amp;unlock","6984")</f>
        <v>6984</v>
      </c>
      <c r="E1243" t="s">
        <v>698</v>
      </c>
      <c r="F1243" t="s">
        <v>698</v>
      </c>
      <c r="G1243" t="str">
        <f>HYPERLINK("http://www.ncbi.nlm.nih.gov/Taxonomy/Browser/wwwtax.cgi?mode=Info&amp;id=6984&amp;lvl=3&amp;lin=f&amp;keep=1&amp;srchmode=1&amp;unlock","Diploptera punctata")</f>
        <v>Diploptera punctata</v>
      </c>
      <c r="H1243" t="s">
        <v>1211</v>
      </c>
      <c r="I1243" t="str">
        <f>HYPERLINK("http://www.ncbi.nlm.nih.gov/protein/AEZ64364.1","ecdysone receptor isoform B1")</f>
        <v>ecdysone receptor isoform B1</v>
      </c>
      <c r="J1243">
        <v>115.93</v>
      </c>
      <c r="K1243" t="s">
        <v>25</v>
      </c>
      <c r="L1243">
        <v>157</v>
      </c>
      <c r="M1243">
        <v>44.41</v>
      </c>
      <c r="N1243">
        <v>6.17</v>
      </c>
      <c r="O1243" t="s">
        <v>25</v>
      </c>
      <c r="P1243" t="s">
        <v>965</v>
      </c>
      <c r="Q1243" t="s">
        <v>20</v>
      </c>
      <c r="R1243" t="str">
        <f>HYPERLINK("https://cfpub.epa.gov/ecotox/explore.cfm?ncbi=6984","Explore in ECOTOX")</f>
        <v>Explore in ECOTOX</v>
      </c>
    </row>
    <row r="1244" spans="1:18" x14ac:dyDescent="0.25">
      <c r="A1244">
        <v>6</v>
      </c>
      <c r="B1244" t="str">
        <f>HYPERLINK("http://www.ncbi.nlm.nih.gov/protein/XP_013101025.1","XP_013101025.1")</f>
        <v>XP_013101025.1</v>
      </c>
      <c r="C1244">
        <v>22831</v>
      </c>
      <c r="D1244" t="str">
        <f>HYPERLINK("http://www.ncbi.nlm.nih.gov/Taxonomy/Browser/wwwtax.cgi?mode=Info&amp;id=35570&amp;lvl=3&amp;lin=f&amp;keep=1&amp;srchmode=1&amp;unlock","35570")</f>
        <v>35570</v>
      </c>
      <c r="E1244" t="s">
        <v>698</v>
      </c>
      <c r="F1244" t="s">
        <v>698</v>
      </c>
      <c r="G1244" t="str">
        <f>HYPERLINK("http://www.ncbi.nlm.nih.gov/Taxonomy/Browser/wwwtax.cgi?mode=Info&amp;id=35570&amp;lvl=3&amp;lin=f&amp;keep=1&amp;srchmode=1&amp;unlock","Stomoxys calcitrans")</f>
        <v>Stomoxys calcitrans</v>
      </c>
      <c r="H1244" t="s">
        <v>889</v>
      </c>
      <c r="I1244" t="str">
        <f>HYPERLINK("http://www.ncbi.nlm.nih.gov/protein/XP_013101025.1","PREDICTED: steroid receptor seven-up, isoforms B/C isoform X1")</f>
        <v>PREDICTED: steroid receptor seven-up, isoforms B/C isoform X1</v>
      </c>
      <c r="J1244">
        <v>115.55</v>
      </c>
      <c r="K1244" t="s">
        <v>25</v>
      </c>
      <c r="L1244">
        <v>157</v>
      </c>
      <c r="M1244">
        <v>44.41</v>
      </c>
      <c r="N1244">
        <v>6.15</v>
      </c>
      <c r="O1244" t="s">
        <v>25</v>
      </c>
      <c r="P1244" t="s">
        <v>965</v>
      </c>
      <c r="Q1244" t="s">
        <v>20</v>
      </c>
      <c r="R1244" t="str">
        <f>HYPERLINK("https://cfpub.epa.gov/ecotox/explore.cfm?ncbi=35570","Explore in ECOTOX")</f>
        <v>Explore in ECOTOX</v>
      </c>
    </row>
    <row r="1245" spans="1:18" x14ac:dyDescent="0.25">
      <c r="A1245">
        <v>6</v>
      </c>
      <c r="B1245" t="str">
        <f>HYPERLINK("http://www.ncbi.nlm.nih.gov/protein/QGX48189.1","QGX48189.1")</f>
        <v>QGX48189.1</v>
      </c>
      <c r="C1245">
        <v>252</v>
      </c>
      <c r="D1245" t="str">
        <f>HYPERLINK("http://www.ncbi.nlm.nih.gov/Taxonomy/Browser/wwwtax.cgi?mode=Info&amp;id=98310&amp;lvl=3&amp;lin=f&amp;keep=1&amp;srchmode=1&amp;unlock","98310")</f>
        <v>98310</v>
      </c>
      <c r="E1245" t="s">
        <v>709</v>
      </c>
      <c r="F1245" t="s">
        <v>709</v>
      </c>
      <c r="G1245" t="str">
        <f>HYPERLINK("http://www.ncbi.nlm.nih.gov/Taxonomy/Browser/wwwtax.cgi?mode=Info&amp;id=98310&amp;lvl=3&amp;lin=f&amp;keep=1&amp;srchmode=1&amp;unlock","Sinonovacula constricta")</f>
        <v>Sinonovacula constricta</v>
      </c>
      <c r="H1245" t="s">
        <v>1212</v>
      </c>
      <c r="I1245" t="str">
        <f>HYPERLINK("http://www.ncbi.nlm.nih.gov/protein/QGX48189.1","RXR")</f>
        <v>RXR</v>
      </c>
      <c r="J1245">
        <v>115.55</v>
      </c>
      <c r="K1245" t="s">
        <v>25</v>
      </c>
      <c r="L1245">
        <v>157</v>
      </c>
      <c r="M1245">
        <v>44.41</v>
      </c>
      <c r="N1245">
        <v>6.15</v>
      </c>
      <c r="O1245" t="s">
        <v>25</v>
      </c>
      <c r="P1245" t="s">
        <v>965</v>
      </c>
      <c r="Q1245" t="s">
        <v>20</v>
      </c>
      <c r="R1245" t="str">
        <f>HYPERLINK("https://cfpub.epa.gov/ecotox/explore.cfm?ncbi=98310","Explore in ECOTOX")</f>
        <v>Explore in ECOTOX</v>
      </c>
    </row>
    <row r="1246" spans="1:18" x14ac:dyDescent="0.25">
      <c r="A1246">
        <v>6</v>
      </c>
      <c r="B1246" t="str">
        <f>HYPERLINK("http://www.ncbi.nlm.nih.gov/protein/AOZ21145.1","AOZ21145.1")</f>
        <v>AOZ21145.1</v>
      </c>
      <c r="C1246">
        <v>1015</v>
      </c>
      <c r="D1246" t="str">
        <f>HYPERLINK("http://www.ncbi.nlm.nih.gov/Taxonomy/Browser/wwwtax.cgi?mode=Info&amp;id=6728&amp;lvl=3&amp;lin=f&amp;keep=1&amp;srchmode=1&amp;unlock","6728")</f>
        <v>6728</v>
      </c>
      <c r="E1246" t="s">
        <v>742</v>
      </c>
      <c r="F1246" t="s">
        <v>742</v>
      </c>
      <c r="G1246" t="str">
        <f>HYPERLINK("http://www.ncbi.nlm.nih.gov/Taxonomy/Browser/wwwtax.cgi?mode=Info&amp;id=6728&amp;lvl=3&amp;lin=f&amp;keep=1&amp;srchmode=1&amp;unlock","Procambarus clarkii")</f>
        <v>Procambarus clarkii</v>
      </c>
      <c r="H1246" t="s">
        <v>912</v>
      </c>
      <c r="I1246" t="str">
        <f>HYPERLINK("http://www.ncbi.nlm.nih.gov/protein/AOZ21145.1","retinoid X receptor 3")</f>
        <v>retinoid X receptor 3</v>
      </c>
      <c r="J1246">
        <v>115.55</v>
      </c>
      <c r="K1246" t="s">
        <v>25</v>
      </c>
      <c r="L1246">
        <v>157</v>
      </c>
      <c r="M1246">
        <v>44.41</v>
      </c>
      <c r="N1246">
        <v>6.15</v>
      </c>
      <c r="O1246" t="s">
        <v>25</v>
      </c>
      <c r="P1246" t="s">
        <v>965</v>
      </c>
      <c r="Q1246" t="s">
        <v>20</v>
      </c>
      <c r="R1246" t="str">
        <f>HYPERLINK("https://cfpub.epa.gov/ecotox/explore.cfm?ncbi=6728","Explore in ECOTOX")</f>
        <v>Explore in ECOTOX</v>
      </c>
    </row>
    <row r="1247" spans="1:18" x14ac:dyDescent="0.25">
      <c r="A1247">
        <v>6</v>
      </c>
      <c r="B1247" t="str">
        <f>HYPERLINK("http://www.ncbi.nlm.nih.gov/protein/XP_020896637.1","XP_020896637.1")</f>
        <v>XP_020896637.1</v>
      </c>
      <c r="C1247">
        <v>53976</v>
      </c>
      <c r="D1247" t="str">
        <f>HYPERLINK("http://www.ncbi.nlm.nih.gov/Taxonomy/Browser/wwwtax.cgi?mode=Info&amp;id=2652724&amp;lvl=3&amp;lin=f&amp;keep=1&amp;srchmode=1&amp;unlock","2652724")</f>
        <v>2652724</v>
      </c>
      <c r="E1247" t="s">
        <v>1183</v>
      </c>
      <c r="F1247" t="s">
        <v>1183</v>
      </c>
      <c r="G1247" t="str">
        <f>HYPERLINK("http://www.ncbi.nlm.nih.gov/Taxonomy/Browser/wwwtax.cgi?mode=Info&amp;id=2652724&amp;lvl=3&amp;lin=f&amp;keep=1&amp;srchmode=1&amp;unlock","Exaiptasia diaphana")</f>
        <v>Exaiptasia diaphana</v>
      </c>
      <c r="H1247" t="s">
        <v>1213</v>
      </c>
      <c r="I1247" t="str">
        <f>HYPERLINK("http://www.ncbi.nlm.nih.gov/protein/XP_020896637.1","hepatocyte nuclear factor 4-gamma isoform X1")</f>
        <v>hepatocyte nuclear factor 4-gamma isoform X1</v>
      </c>
      <c r="J1247">
        <v>115.16</v>
      </c>
      <c r="K1247" t="s">
        <v>25</v>
      </c>
      <c r="L1247">
        <v>157</v>
      </c>
      <c r="M1247">
        <v>44.41</v>
      </c>
      <c r="N1247">
        <v>6.13</v>
      </c>
      <c r="O1247" t="s">
        <v>25</v>
      </c>
      <c r="P1247" t="s">
        <v>965</v>
      </c>
      <c r="Q1247" t="s">
        <v>20</v>
      </c>
      <c r="R1247" t="str">
        <f>HYPERLINK("https://cfpub.epa.gov/ecotox/explore.cfm?ncbi=2652724","Explore in ECOTOX")</f>
        <v>Explore in ECOTOX</v>
      </c>
    </row>
    <row r="1248" spans="1:18" x14ac:dyDescent="0.25">
      <c r="A1248">
        <v>6</v>
      </c>
      <c r="B1248" t="str">
        <f>HYPERLINK("http://www.ncbi.nlm.nih.gov/protein/XP_012558006.1","XP_012558006.1")</f>
        <v>XP_012558006.1</v>
      </c>
      <c r="C1248">
        <v>23181</v>
      </c>
      <c r="D1248" t="str">
        <f>HYPERLINK("http://www.ncbi.nlm.nih.gov/Taxonomy/Browser/wwwtax.cgi?mode=Info&amp;id=6087&amp;lvl=3&amp;lin=f&amp;keep=1&amp;srchmode=1&amp;unlock","6087")</f>
        <v>6087</v>
      </c>
      <c r="E1248" t="s">
        <v>1214</v>
      </c>
      <c r="F1248" t="s">
        <v>1214</v>
      </c>
      <c r="G1248" t="str">
        <f>HYPERLINK("http://www.ncbi.nlm.nih.gov/Taxonomy/Browser/wwwtax.cgi?mode=Info&amp;id=6087&amp;lvl=3&amp;lin=f&amp;keep=1&amp;srchmode=1&amp;unlock","Hydra vulgaris")</f>
        <v>Hydra vulgaris</v>
      </c>
      <c r="H1248" t="s">
        <v>1215</v>
      </c>
      <c r="I1248" t="str">
        <f>HYPERLINK("http://www.ncbi.nlm.nih.gov/protein/XP_012558006.1","PREDICTED: retinoic acid receptor RXR-alpha-B-like")</f>
        <v>PREDICTED: retinoic acid receptor RXR-alpha-B-like</v>
      </c>
      <c r="J1248">
        <v>115.16</v>
      </c>
      <c r="K1248" t="s">
        <v>25</v>
      </c>
      <c r="L1248">
        <v>157</v>
      </c>
      <c r="M1248">
        <v>44.41</v>
      </c>
      <c r="N1248">
        <v>6.13</v>
      </c>
      <c r="O1248" t="s">
        <v>25</v>
      </c>
      <c r="P1248" t="s">
        <v>965</v>
      </c>
      <c r="Q1248" t="s">
        <v>20</v>
      </c>
      <c r="R1248" t="str">
        <f>HYPERLINK("https://cfpub.epa.gov/ecotox/explore.cfm?ncbi=6087","Explore in ECOTOX")</f>
        <v>Explore in ECOTOX</v>
      </c>
    </row>
    <row r="1249" spans="1:18" x14ac:dyDescent="0.25">
      <c r="A1249">
        <v>6</v>
      </c>
      <c r="B1249" t="str">
        <f>HYPERLINK("http://www.ncbi.nlm.nih.gov/protein/CAF2816228.1","CAF2816228.1")</f>
        <v>CAF2816228.1</v>
      </c>
      <c r="C1249">
        <v>379546</v>
      </c>
      <c r="D1249" t="str">
        <f>HYPERLINK("http://www.ncbi.nlm.nih.gov/Taxonomy/Browser/wwwtax.cgi?mode=Info&amp;id=2762512&amp;lvl=3&amp;lin=f&amp;keep=1&amp;srchmode=1&amp;unlock","2762512")</f>
        <v>2762512</v>
      </c>
      <c r="E1249" t="s">
        <v>855</v>
      </c>
      <c r="F1249" t="s">
        <v>855</v>
      </c>
      <c r="G1249" t="str">
        <f>HYPERLINK("http://www.ncbi.nlm.nih.gov/Taxonomy/Browser/wwwtax.cgi?mode=Info&amp;id=2762512&amp;lvl=3&amp;lin=f&amp;keep=1&amp;srchmode=1&amp;unlock","Rotaria sp. Silwood2")</f>
        <v>Rotaria sp. Silwood2</v>
      </c>
      <c r="H1249" t="s">
        <v>856</v>
      </c>
      <c r="I1249" t="str">
        <f>HYPERLINK("http://www.ncbi.nlm.nih.gov/protein/CAF2816228.1","unnamed protein product")</f>
        <v>unnamed protein product</v>
      </c>
      <c r="J1249">
        <v>115.16</v>
      </c>
      <c r="K1249" t="s">
        <v>25</v>
      </c>
      <c r="L1249">
        <v>157</v>
      </c>
      <c r="M1249">
        <v>44.41</v>
      </c>
      <c r="N1249">
        <v>6.13</v>
      </c>
      <c r="O1249" t="s">
        <v>25</v>
      </c>
      <c r="P1249" t="s">
        <v>965</v>
      </c>
      <c r="Q1249" t="s">
        <v>20</v>
      </c>
      <c r="R1249" t="str">
        <f>HYPERLINK("https://cfpub.epa.gov/ecotox/explore.cfm?ncbi=2762512","Explore in ECOTOX")</f>
        <v>Explore in ECOTOX</v>
      </c>
    </row>
    <row r="1250" spans="1:18" x14ac:dyDescent="0.25">
      <c r="A1250">
        <v>6</v>
      </c>
      <c r="B1250" t="str">
        <f>HYPERLINK("http://www.ncbi.nlm.nih.gov/protein/AIG59977.1","AIG59977.1")</f>
        <v>AIG59977.1</v>
      </c>
      <c r="C1250">
        <v>793</v>
      </c>
      <c r="D1250" t="str">
        <f>HYPERLINK("http://www.ncbi.nlm.nih.gov/Taxonomy/Browser/wwwtax.cgi?mode=Info&amp;id=75352&amp;lvl=3&amp;lin=f&amp;keep=1&amp;srchmode=1&amp;unlock","75352")</f>
        <v>75352</v>
      </c>
      <c r="E1250" t="s">
        <v>384</v>
      </c>
      <c r="F1250" t="s">
        <v>384</v>
      </c>
      <c r="G1250" t="str">
        <f>HYPERLINK("http://www.ncbi.nlm.nih.gov/Taxonomy/Browser/wwwtax.cgi?mode=Info&amp;id=75352&amp;lvl=3&amp;lin=f&amp;keep=1&amp;srchmode=1&amp;unlock","Megalobrama amblycephala")</f>
        <v>Megalobrama amblycephala</v>
      </c>
      <c r="H1250" t="s">
        <v>1216</v>
      </c>
      <c r="I1250" t="str">
        <f>HYPERLINK("http://www.ncbi.nlm.nih.gov/protein/AIG59977.1","nr2f6a")</f>
        <v>nr2f6a</v>
      </c>
      <c r="J1250">
        <v>114.78</v>
      </c>
      <c r="K1250" t="s">
        <v>25</v>
      </c>
      <c r="L1250">
        <v>157</v>
      </c>
      <c r="M1250">
        <v>44.41</v>
      </c>
      <c r="N1250">
        <v>6.11</v>
      </c>
      <c r="O1250" t="s">
        <v>25</v>
      </c>
      <c r="P1250" t="s">
        <v>965</v>
      </c>
      <c r="Q1250" t="s">
        <v>20</v>
      </c>
      <c r="R1250" t="str">
        <f>HYPERLINK("https://cfpub.epa.gov/ecotox/explore.cfm?ncbi=75352","Explore in ECOTOX")</f>
        <v>Explore in ECOTOX</v>
      </c>
    </row>
    <row r="1251" spans="1:18" x14ac:dyDescent="0.25">
      <c r="A1251">
        <v>6</v>
      </c>
      <c r="B1251" t="str">
        <f>HYPERLINK("http://www.ncbi.nlm.nih.gov/protein/XP_005179658.2","XP_005179658.2")</f>
        <v>XP_005179658.2</v>
      </c>
      <c r="C1251">
        <v>22201</v>
      </c>
      <c r="D1251" t="str">
        <f>HYPERLINK("http://www.ncbi.nlm.nih.gov/Taxonomy/Browser/wwwtax.cgi?mode=Info&amp;id=7370&amp;lvl=3&amp;lin=f&amp;keep=1&amp;srchmode=1&amp;unlock","7370")</f>
        <v>7370</v>
      </c>
      <c r="E1251" t="s">
        <v>698</v>
      </c>
      <c r="F1251" t="s">
        <v>698</v>
      </c>
      <c r="G1251" t="str">
        <f>HYPERLINK("http://www.ncbi.nlm.nih.gov/Taxonomy/Browser/wwwtax.cgi?mode=Info&amp;id=7370&amp;lvl=3&amp;lin=f&amp;keep=1&amp;srchmode=1&amp;unlock","Musca domestica")</f>
        <v>Musca domestica</v>
      </c>
      <c r="H1251" t="s">
        <v>850</v>
      </c>
      <c r="I1251" t="str">
        <f>HYPERLINK("http://www.ncbi.nlm.nih.gov/protein/XP_005179658.2","PREDICTED: steroid receptor seven-up, isoforms B/C isoform X2")</f>
        <v>PREDICTED: steroid receptor seven-up, isoforms B/C isoform X2</v>
      </c>
      <c r="J1251">
        <v>114.78</v>
      </c>
      <c r="K1251" t="s">
        <v>25</v>
      </c>
      <c r="L1251">
        <v>157</v>
      </c>
      <c r="M1251">
        <v>44.41</v>
      </c>
      <c r="N1251">
        <v>6.11</v>
      </c>
      <c r="O1251" t="s">
        <v>25</v>
      </c>
      <c r="P1251" t="s">
        <v>965</v>
      </c>
      <c r="Q1251" t="s">
        <v>20</v>
      </c>
      <c r="R1251" t="str">
        <f>HYPERLINK("https://cfpub.epa.gov/ecotox/explore.cfm?ncbi=7370","Explore in ECOTOX")</f>
        <v>Explore in ECOTOX</v>
      </c>
    </row>
    <row r="1252" spans="1:18" x14ac:dyDescent="0.25">
      <c r="A1252">
        <v>6</v>
      </c>
      <c r="B1252" t="str">
        <f>HYPERLINK("http://www.ncbi.nlm.nih.gov/protein/VDN02678.1","VDN02678.1")</f>
        <v>VDN02678.1</v>
      </c>
      <c r="C1252">
        <v>11037</v>
      </c>
      <c r="D1252" t="str">
        <f>HYPERLINK("http://www.ncbi.nlm.nih.gov/Taxonomy/Browser/wwwtax.cgi?mode=Info&amp;id=103827&amp;lvl=3&amp;lin=f&amp;keep=1&amp;srchmode=1&amp;unlock","103827")</f>
        <v>103827</v>
      </c>
      <c r="E1252" t="s">
        <v>869</v>
      </c>
      <c r="F1252" t="s">
        <v>869</v>
      </c>
      <c r="G1252" t="str">
        <f>HYPERLINK("http://www.ncbi.nlm.nih.gov/Taxonomy/Browser/wwwtax.cgi?mode=Info&amp;id=103827&amp;lvl=3&amp;lin=f&amp;keep=1&amp;srchmode=1&amp;unlock","Thelazia callipaeda")</f>
        <v>Thelazia callipaeda</v>
      </c>
      <c r="H1252" t="s">
        <v>1217</v>
      </c>
      <c r="I1252" t="str">
        <f>HYPERLINK("http://www.ncbi.nlm.nih.gov/protein/VDN02678.1","unnamed protein product")</f>
        <v>unnamed protein product</v>
      </c>
      <c r="J1252">
        <v>114.39</v>
      </c>
      <c r="K1252" t="s">
        <v>25</v>
      </c>
      <c r="L1252">
        <v>157</v>
      </c>
      <c r="M1252">
        <v>44.41</v>
      </c>
      <c r="N1252">
        <v>6.09</v>
      </c>
      <c r="O1252" t="s">
        <v>25</v>
      </c>
      <c r="P1252" t="s">
        <v>965</v>
      </c>
      <c r="Q1252" t="s">
        <v>20</v>
      </c>
      <c r="R1252" t="str">
        <f>HYPERLINK("https://cfpub.epa.gov/ecotox/explore.cfm?ncbi=103827","Explore in ECOTOX")</f>
        <v>Explore in ECOTOX</v>
      </c>
    </row>
    <row r="1253" spans="1:18" x14ac:dyDescent="0.25">
      <c r="A1253">
        <v>6</v>
      </c>
      <c r="B1253" t="str">
        <f>HYPERLINK("http://www.ncbi.nlm.nih.gov/protein/XP_037892795.1","XP_037892795.1")</f>
        <v>XP_037892795.1</v>
      </c>
      <c r="C1253">
        <v>22364</v>
      </c>
      <c r="D1253" t="str">
        <f>HYPERLINK("http://www.ncbi.nlm.nih.gov/Taxonomy/Browser/wwwtax.cgi?mode=Info&amp;id=7396&amp;lvl=3&amp;lin=f&amp;keep=1&amp;srchmode=1&amp;unlock","7396")</f>
        <v>7396</v>
      </c>
      <c r="E1253" t="s">
        <v>698</v>
      </c>
      <c r="F1253" t="s">
        <v>698</v>
      </c>
      <c r="G1253" t="str">
        <f>HYPERLINK("http://www.ncbi.nlm.nih.gov/Taxonomy/Browser/wwwtax.cgi?mode=Info&amp;id=7396&amp;lvl=3&amp;lin=f&amp;keep=1&amp;srchmode=1&amp;unlock","Glossina fuscipes")</f>
        <v>Glossina fuscipes</v>
      </c>
      <c r="H1253" t="s">
        <v>805</v>
      </c>
      <c r="I1253" t="str">
        <f>HYPERLINK("http://www.ncbi.nlm.nih.gov/protein/XP_037892795.1","steroid receptor seven-up, isoforms B/C isoform X2")</f>
        <v>steroid receptor seven-up, isoforms B/C isoform X2</v>
      </c>
      <c r="J1253">
        <v>114.39</v>
      </c>
      <c r="K1253" t="s">
        <v>25</v>
      </c>
      <c r="L1253">
        <v>157</v>
      </c>
      <c r="M1253">
        <v>44.41</v>
      </c>
      <c r="N1253">
        <v>6.09</v>
      </c>
      <c r="O1253" t="s">
        <v>25</v>
      </c>
      <c r="P1253" t="s">
        <v>965</v>
      </c>
      <c r="Q1253" t="s">
        <v>20</v>
      </c>
      <c r="R1253" t="str">
        <f>HYPERLINK("https://cfpub.epa.gov/ecotox/explore.cfm?ncbi=7396","Explore in ECOTOX")</f>
        <v>Explore in ECOTOX</v>
      </c>
    </row>
    <row r="1254" spans="1:18" x14ac:dyDescent="0.25">
      <c r="A1254">
        <v>6</v>
      </c>
      <c r="B1254" t="str">
        <f>HYPERLINK("http://www.ncbi.nlm.nih.gov/protein/XP_014243600.1","XP_014243600.1")</f>
        <v>XP_014243600.1</v>
      </c>
      <c r="C1254">
        <v>24336</v>
      </c>
      <c r="D1254" t="str">
        <f>HYPERLINK("http://www.ncbi.nlm.nih.gov/Taxonomy/Browser/wwwtax.cgi?mode=Info&amp;id=79782&amp;lvl=3&amp;lin=f&amp;keep=1&amp;srchmode=1&amp;unlock","79782")</f>
        <v>79782</v>
      </c>
      <c r="E1254" t="s">
        <v>698</v>
      </c>
      <c r="F1254" t="s">
        <v>698</v>
      </c>
      <c r="G1254" t="str">
        <f>HYPERLINK("http://www.ncbi.nlm.nih.gov/Taxonomy/Browser/wwwtax.cgi?mode=Info&amp;id=79782&amp;lvl=3&amp;lin=f&amp;keep=1&amp;srchmode=1&amp;unlock","Cimex lectularius")</f>
        <v>Cimex lectularius</v>
      </c>
      <c r="H1254" t="s">
        <v>801</v>
      </c>
      <c r="I1254" t="str">
        <f>HYPERLINK("http://www.ncbi.nlm.nih.gov/protein/XP_014243600.1","transcription factor HNF-4 homolog isoform X8")</f>
        <v>transcription factor HNF-4 homolog isoform X8</v>
      </c>
      <c r="J1254">
        <v>114.39</v>
      </c>
      <c r="K1254" t="s">
        <v>25</v>
      </c>
      <c r="L1254">
        <v>157</v>
      </c>
      <c r="M1254">
        <v>44.41</v>
      </c>
      <c r="N1254">
        <v>6.09</v>
      </c>
      <c r="O1254" t="s">
        <v>25</v>
      </c>
      <c r="P1254" t="s">
        <v>965</v>
      </c>
      <c r="Q1254" t="s">
        <v>20</v>
      </c>
      <c r="R1254" t="str">
        <f>HYPERLINK("https://cfpub.epa.gov/ecotox/explore.cfm?ncbi=79782","Explore in ECOTOX")</f>
        <v>Explore in ECOTOX</v>
      </c>
    </row>
    <row r="1255" spans="1:18" x14ac:dyDescent="0.25">
      <c r="A1255">
        <v>6</v>
      </c>
      <c r="B1255" t="str">
        <f>HYPERLINK("http://www.ncbi.nlm.nih.gov/protein/QDK54779.1","QDK54779.1")</f>
        <v>QDK54779.1</v>
      </c>
      <c r="C1255">
        <v>83</v>
      </c>
      <c r="D1255" t="str">
        <f>HYPERLINK("http://www.ncbi.nlm.nih.gov/Taxonomy/Browser/wwwtax.cgi?mode=Info&amp;id=426483&amp;lvl=3&amp;lin=f&amp;keep=1&amp;srchmode=1&amp;unlock","426483")</f>
        <v>426483</v>
      </c>
      <c r="E1255" t="s">
        <v>384</v>
      </c>
      <c r="F1255" t="s">
        <v>384</v>
      </c>
      <c r="G1255" t="str">
        <f>HYPERLINK("http://www.ncbi.nlm.nih.gov/Taxonomy/Browser/wwwtax.cgi?mode=Info&amp;id=426483&amp;lvl=3&amp;lin=f&amp;keep=1&amp;srchmode=1&amp;unlock","Mugil incilis")</f>
        <v>Mugil incilis</v>
      </c>
      <c r="H1255" t="s">
        <v>1218</v>
      </c>
      <c r="I1255" t="str">
        <f>HYPERLINK("http://www.ncbi.nlm.nih.gov/protein/QDK54779.1","retinoic acid receptor RXR-alpha isoform X2, partial")</f>
        <v>retinoic acid receptor RXR-alpha isoform X2, partial</v>
      </c>
      <c r="J1255">
        <v>114</v>
      </c>
      <c r="K1255" t="s">
        <v>25</v>
      </c>
      <c r="L1255">
        <v>157</v>
      </c>
      <c r="M1255">
        <v>44.41</v>
      </c>
      <c r="N1255">
        <v>6.07</v>
      </c>
      <c r="O1255" t="s">
        <v>25</v>
      </c>
      <c r="P1255" t="s">
        <v>965</v>
      </c>
      <c r="Q1255" t="s">
        <v>20</v>
      </c>
      <c r="R1255" t="str">
        <f>HYPERLINK("https://cfpub.epa.gov/ecotox/explore.cfm?ncbi=426483","Explore in ECOTOX")</f>
        <v>Explore in ECOTOX</v>
      </c>
    </row>
    <row r="1256" spans="1:18" x14ac:dyDescent="0.25">
      <c r="A1256">
        <v>6</v>
      </c>
      <c r="B1256" t="str">
        <f>HYPERLINK("http://www.ncbi.nlm.nih.gov/protein/XP_035587880.1","XP_035587880.1")</f>
        <v>XP_035587880.1</v>
      </c>
      <c r="C1256">
        <v>18329</v>
      </c>
      <c r="D1256" t="str">
        <f>HYPERLINK("http://www.ncbi.nlm.nih.gov/Taxonomy/Browser/wwwtax.cgi?mode=Info&amp;id=6185&amp;lvl=3&amp;lin=f&amp;keep=1&amp;srchmode=1&amp;unlock","6185")</f>
        <v>6185</v>
      </c>
      <c r="E1256" t="s">
        <v>793</v>
      </c>
      <c r="F1256" t="s">
        <v>793</v>
      </c>
      <c r="G1256" t="str">
        <f>HYPERLINK("http://www.ncbi.nlm.nih.gov/Taxonomy/Browser/wwwtax.cgi?mode=Info&amp;id=6185&amp;lvl=3&amp;lin=f&amp;keep=1&amp;srchmode=1&amp;unlock","Schistosoma haematobium")</f>
        <v>Schistosoma haematobium</v>
      </c>
      <c r="H1256" t="s">
        <v>794</v>
      </c>
      <c r="I1256" t="str">
        <f>HYPERLINK("http://www.ncbi.nlm.nih.gov/protein/XP_035587880.1","putative hepatocyte nuclear factor 4-alpha (hnf-4-alpha)")</f>
        <v>putative hepatocyte nuclear factor 4-alpha (hnf-4-alpha)</v>
      </c>
      <c r="J1256">
        <v>113.62</v>
      </c>
      <c r="K1256" t="s">
        <v>25</v>
      </c>
      <c r="L1256">
        <v>157</v>
      </c>
      <c r="M1256">
        <v>44.41</v>
      </c>
      <c r="N1256">
        <v>6.05</v>
      </c>
      <c r="O1256" t="s">
        <v>25</v>
      </c>
      <c r="P1256" t="s">
        <v>965</v>
      </c>
      <c r="Q1256" t="s">
        <v>20</v>
      </c>
      <c r="R1256" t="str">
        <f>HYPERLINK("https://cfpub.epa.gov/ecotox/explore.cfm?ncbi=6185","Explore in ECOTOX")</f>
        <v>Explore in ECOTOX</v>
      </c>
    </row>
    <row r="1257" spans="1:18" x14ac:dyDescent="0.25">
      <c r="A1257">
        <v>6</v>
      </c>
      <c r="B1257" t="str">
        <f>HYPERLINK("http://www.ncbi.nlm.nih.gov/protein/ADM73292.1","ADM73292.1")</f>
        <v>ADM73292.1</v>
      </c>
      <c r="C1257">
        <v>43</v>
      </c>
      <c r="D1257" t="str">
        <f>HYPERLINK("http://www.ncbi.nlm.nih.gov/Taxonomy/Browser/wwwtax.cgi?mode=Info&amp;id=187732&amp;lvl=3&amp;lin=f&amp;keep=1&amp;srchmode=1&amp;unlock","187732")</f>
        <v>187732</v>
      </c>
      <c r="E1257" t="s">
        <v>1219</v>
      </c>
      <c r="F1257" t="s">
        <v>1219</v>
      </c>
      <c r="G1257" t="str">
        <f>HYPERLINK("http://www.ncbi.nlm.nih.gov/Taxonomy/Browser/wwwtax.cgi?mode=Info&amp;id=187732&amp;lvl=3&amp;lin=f&amp;keep=1&amp;srchmode=1&amp;unlock","Paranemertes peregrina")</f>
        <v>Paranemertes peregrina</v>
      </c>
      <c r="H1257" t="s">
        <v>1220</v>
      </c>
      <c r="I1257" t="str">
        <f>HYPERLINK("http://www.ncbi.nlm.nih.gov/protein/ADM73292.1","estrogen-related receptor")</f>
        <v>estrogen-related receptor</v>
      </c>
      <c r="J1257">
        <v>113.62</v>
      </c>
      <c r="K1257" t="s">
        <v>25</v>
      </c>
      <c r="L1257">
        <v>157</v>
      </c>
      <c r="M1257">
        <v>44.41</v>
      </c>
      <c r="N1257">
        <v>6.05</v>
      </c>
      <c r="O1257" t="s">
        <v>25</v>
      </c>
      <c r="P1257" t="s">
        <v>965</v>
      </c>
      <c r="Q1257" t="s">
        <v>20</v>
      </c>
      <c r="R1257" t="str">
        <f>HYPERLINK("https://cfpub.epa.gov/ecotox/explore.cfm?ncbi=187732","Explore in ECOTOX")</f>
        <v>Explore in ECOTOX</v>
      </c>
    </row>
    <row r="1258" spans="1:18" x14ac:dyDescent="0.25">
      <c r="A1258">
        <v>6</v>
      </c>
      <c r="B1258" t="str">
        <f>HYPERLINK("http://www.ncbi.nlm.nih.gov/protein/ADK60866.1","ADK60866.1")</f>
        <v>ADK60866.1</v>
      </c>
      <c r="C1258">
        <v>217</v>
      </c>
      <c r="D1258" t="str">
        <f>HYPERLINK("http://www.ncbi.nlm.nih.gov/Taxonomy/Browser/wwwtax.cgi?mode=Info&amp;id=36095&amp;lvl=3&amp;lin=f&amp;keep=1&amp;srchmode=1&amp;unlock","36095")</f>
        <v>36095</v>
      </c>
      <c r="E1258" t="s">
        <v>763</v>
      </c>
      <c r="F1258" t="s">
        <v>763</v>
      </c>
      <c r="G1258" t="str">
        <f>HYPERLINK("http://www.ncbi.nlm.nih.gov/Taxonomy/Browser/wwwtax.cgi?mode=Info&amp;id=36095&amp;lvl=3&amp;lin=f&amp;keep=1&amp;srchmode=1&amp;unlock","Haliotis diversicolor")</f>
        <v>Haliotis diversicolor</v>
      </c>
      <c r="H1258" t="s">
        <v>1221</v>
      </c>
      <c r="I1258" t="str">
        <f>HYPERLINK("http://www.ncbi.nlm.nih.gov/protein/ADK60866.1","retinoid X receptor")</f>
        <v>retinoid X receptor</v>
      </c>
      <c r="J1258">
        <v>113.62</v>
      </c>
      <c r="K1258" t="s">
        <v>25</v>
      </c>
      <c r="L1258">
        <v>157</v>
      </c>
      <c r="M1258">
        <v>44.41</v>
      </c>
      <c r="N1258">
        <v>6.05</v>
      </c>
      <c r="O1258" t="s">
        <v>25</v>
      </c>
      <c r="P1258" t="s">
        <v>965</v>
      </c>
      <c r="Q1258" t="s">
        <v>20</v>
      </c>
      <c r="R1258" t="str">
        <f>HYPERLINK("https://cfpub.epa.gov/ecotox/explore.cfm?ncbi=36095","Explore in ECOTOX")</f>
        <v>Explore in ECOTOX</v>
      </c>
    </row>
    <row r="1259" spans="1:18" x14ac:dyDescent="0.25">
      <c r="A1259">
        <v>6</v>
      </c>
      <c r="B1259" t="str">
        <f>HYPERLINK("http://www.ncbi.nlm.nih.gov/protein/ACG63787.1","ACG63787.1")</f>
        <v>ACG63787.1</v>
      </c>
      <c r="C1259">
        <v>225</v>
      </c>
      <c r="D1259" t="str">
        <f>HYPERLINK("http://www.ncbi.nlm.nih.gov/Taxonomy/Browser/wwwtax.cgi?mode=Info&amp;id=6759&amp;lvl=3&amp;lin=f&amp;keep=1&amp;srchmode=1&amp;unlock","6759")</f>
        <v>6759</v>
      </c>
      <c r="E1259" t="s">
        <v>742</v>
      </c>
      <c r="F1259" t="s">
        <v>742</v>
      </c>
      <c r="G1259" t="str">
        <f>HYPERLINK("http://www.ncbi.nlm.nih.gov/Taxonomy/Browser/wwwtax.cgi?mode=Info&amp;id=6759&amp;lvl=3&amp;lin=f&amp;keep=1&amp;srchmode=1&amp;unlock","Carcinus maenas")</f>
        <v>Carcinus maenas</v>
      </c>
      <c r="H1259" t="s">
        <v>1222</v>
      </c>
      <c r="I1259" t="str">
        <f>HYPERLINK("http://www.ncbi.nlm.nih.gov/protein/ACG63787.1","retinoid X receptor splice variant RXR-I")</f>
        <v>retinoid X receptor splice variant RXR-I</v>
      </c>
      <c r="J1259">
        <v>113.62</v>
      </c>
      <c r="K1259" t="s">
        <v>25</v>
      </c>
      <c r="L1259">
        <v>157</v>
      </c>
      <c r="M1259">
        <v>44.41</v>
      </c>
      <c r="N1259">
        <v>6.05</v>
      </c>
      <c r="O1259" t="s">
        <v>25</v>
      </c>
      <c r="P1259" t="s">
        <v>965</v>
      </c>
      <c r="Q1259" t="s">
        <v>20</v>
      </c>
      <c r="R1259" t="str">
        <f>HYPERLINK("https://cfpub.epa.gov/ecotox/explore.cfm?ncbi=6759","Explore in ECOTOX")</f>
        <v>Explore in ECOTOX</v>
      </c>
    </row>
    <row r="1260" spans="1:18" x14ac:dyDescent="0.25">
      <c r="A1260">
        <v>6</v>
      </c>
      <c r="B1260" t="str">
        <f>HYPERLINK("http://www.ncbi.nlm.nih.gov/protein/CAD7274908.1","CAD7274908.1")</f>
        <v>CAD7274908.1</v>
      </c>
      <c r="C1260">
        <v>14068</v>
      </c>
      <c r="D1260" t="str">
        <f>HYPERLINK("http://www.ncbi.nlm.nih.gov/Taxonomy/Browser/wwwtax.cgi?mode=Info&amp;id=399045&amp;lvl=3&amp;lin=f&amp;keep=1&amp;srchmode=1&amp;unlock","399045")</f>
        <v>399045</v>
      </c>
      <c r="E1260" t="s">
        <v>1131</v>
      </c>
      <c r="F1260" t="s">
        <v>1131</v>
      </c>
      <c r="G1260" t="str">
        <f>HYPERLINK("http://www.ncbi.nlm.nih.gov/Taxonomy/Browser/wwwtax.cgi?mode=Info&amp;id=399045&amp;lvl=3&amp;lin=f&amp;keep=1&amp;srchmode=1&amp;unlock","Notodromas monacha")</f>
        <v>Notodromas monacha</v>
      </c>
      <c r="H1260" t="s">
        <v>1132</v>
      </c>
      <c r="I1260" t="str">
        <f>HYPERLINK("http://www.ncbi.nlm.nih.gov/protein/CAD7274908.1","unnamed protein product")</f>
        <v>unnamed protein product</v>
      </c>
      <c r="J1260">
        <v>113.62</v>
      </c>
      <c r="K1260" t="s">
        <v>25</v>
      </c>
      <c r="L1260">
        <v>157</v>
      </c>
      <c r="M1260">
        <v>44.41</v>
      </c>
      <c r="N1260">
        <v>6.05</v>
      </c>
      <c r="O1260" t="s">
        <v>25</v>
      </c>
      <c r="P1260" t="s">
        <v>965</v>
      </c>
      <c r="Q1260" t="s">
        <v>20</v>
      </c>
      <c r="R1260" t="str">
        <f>HYPERLINK("https://cfpub.epa.gov/ecotox/explore.cfm?ncbi=399045","Explore in ECOTOX")</f>
        <v>Explore in ECOTOX</v>
      </c>
    </row>
    <row r="1261" spans="1:18" x14ac:dyDescent="0.25">
      <c r="A1261">
        <v>6</v>
      </c>
      <c r="B1261" t="str">
        <f>HYPERLINK("http://www.ncbi.nlm.nih.gov/protein/BBC78045.1","BBC78045.1")</f>
        <v>BBC78045.1</v>
      </c>
      <c r="C1261">
        <v>27</v>
      </c>
      <c r="D1261" t="str">
        <f>HYPERLINK("http://www.ncbi.nlm.nih.gov/Taxonomy/Browser/wwwtax.cgi?mode=Info&amp;id=1970748&amp;lvl=3&amp;lin=f&amp;keep=1&amp;srchmode=1&amp;unlock","1970748")</f>
        <v>1970748</v>
      </c>
      <c r="E1261" t="s">
        <v>709</v>
      </c>
      <c r="F1261" t="s">
        <v>709</v>
      </c>
      <c r="G1261" t="str">
        <f>HYPERLINK("http://www.ncbi.nlm.nih.gov/Taxonomy/Browser/wwwtax.cgi?mode=Info&amp;id=1970748&amp;lvl=3&amp;lin=f&amp;keep=1&amp;srchmode=1&amp;unlock","Nodularia douglasiae biwae")</f>
        <v>Nodularia douglasiae biwae</v>
      </c>
      <c r="H1261" t="s">
        <v>1094</v>
      </c>
      <c r="I1261" t="str">
        <f>HYPERLINK("http://www.ncbi.nlm.nih.gov/protein/BBC78045.1","retinoid X receptor")</f>
        <v>retinoid X receptor</v>
      </c>
      <c r="J1261">
        <v>113.62</v>
      </c>
      <c r="K1261" t="s">
        <v>25</v>
      </c>
      <c r="L1261">
        <v>157</v>
      </c>
      <c r="M1261">
        <v>44.41</v>
      </c>
      <c r="N1261">
        <v>6.05</v>
      </c>
      <c r="O1261" t="s">
        <v>25</v>
      </c>
      <c r="P1261" t="s">
        <v>965</v>
      </c>
      <c r="Q1261" t="s">
        <v>20</v>
      </c>
      <c r="R1261" t="str">
        <f>HYPERLINK("https://cfpub.epa.gov/ecotox/explore.cfm?ncbi=1970748","Explore in ECOTOX")</f>
        <v>Explore in ECOTOX</v>
      </c>
    </row>
    <row r="1262" spans="1:18" x14ac:dyDescent="0.25">
      <c r="A1262">
        <v>6</v>
      </c>
      <c r="B1262" t="str">
        <f>HYPERLINK("http://www.ncbi.nlm.nih.gov/protein/XP_029203020.1","XP_029203020.1")</f>
        <v>XP_029203020.1</v>
      </c>
      <c r="C1262">
        <v>35604</v>
      </c>
      <c r="D1262" t="str">
        <f>HYPERLINK("http://www.ncbi.nlm.nih.gov/Taxonomy/Browser/wwwtax.cgi?mode=Info&amp;id=45264&amp;lvl=3&amp;lin=f&amp;keep=1&amp;srchmode=1&amp;unlock","45264")</f>
        <v>45264</v>
      </c>
      <c r="E1262" t="s">
        <v>1183</v>
      </c>
      <c r="F1262" t="s">
        <v>1183</v>
      </c>
      <c r="G1262" t="str">
        <f>HYPERLINK("http://www.ncbi.nlm.nih.gov/Taxonomy/Browser/wwwtax.cgi?mode=Info&amp;id=45264&amp;lvl=3&amp;lin=f&amp;keep=1&amp;srchmode=1&amp;unlock","Acropora millepora")</f>
        <v>Acropora millepora</v>
      </c>
      <c r="H1262" t="s">
        <v>1209</v>
      </c>
      <c r="I1262" t="str">
        <f>HYPERLINK("http://www.ncbi.nlm.nih.gov/protein/XP_029203020.1","retinoic acid receptor RXR-gamma-B-like")</f>
        <v>retinoic acid receptor RXR-gamma-B-like</v>
      </c>
      <c r="J1262">
        <v>113.23</v>
      </c>
      <c r="K1262" t="s">
        <v>25</v>
      </c>
      <c r="L1262">
        <v>157</v>
      </c>
      <c r="M1262">
        <v>44.41</v>
      </c>
      <c r="N1262">
        <v>6.03</v>
      </c>
      <c r="O1262" t="s">
        <v>25</v>
      </c>
      <c r="P1262" t="s">
        <v>965</v>
      </c>
      <c r="Q1262" t="s">
        <v>20</v>
      </c>
      <c r="R1262" t="str">
        <f>HYPERLINK("https://cfpub.epa.gov/ecotox/explore.cfm?ncbi=45264","Explore in ECOTOX")</f>
        <v>Explore in ECOTOX</v>
      </c>
    </row>
    <row r="1263" spans="1:18" x14ac:dyDescent="0.25">
      <c r="A1263">
        <v>6</v>
      </c>
      <c r="B1263" t="str">
        <f>HYPERLINK("http://www.ncbi.nlm.nih.gov/protein/ALO17612.1","ALO17612.1")</f>
        <v>ALO17612.1</v>
      </c>
      <c r="C1263">
        <v>411</v>
      </c>
      <c r="D1263" t="str">
        <f>HYPERLINK("http://www.ncbi.nlm.nih.gov/Taxonomy/Browser/wwwtax.cgi?mode=Info&amp;id=7010&amp;lvl=3&amp;lin=f&amp;keep=1&amp;srchmode=1&amp;unlock","7010")</f>
        <v>7010</v>
      </c>
      <c r="E1263" t="s">
        <v>698</v>
      </c>
      <c r="F1263" t="s">
        <v>698</v>
      </c>
      <c r="G1263" t="str">
        <f>HYPERLINK("http://www.ncbi.nlm.nih.gov/Taxonomy/Browser/wwwtax.cgi?mode=Info&amp;id=7010&amp;lvl=3&amp;lin=f&amp;keep=1&amp;srchmode=1&amp;unlock","Schistocerca gregaria")</f>
        <v>Schistocerca gregaria</v>
      </c>
      <c r="H1263" t="s">
        <v>738</v>
      </c>
      <c r="I1263" t="str">
        <f>HYPERLINK("http://www.ncbi.nlm.nih.gov/protein/ALO17612.1","ecysone receptor isoform A")</f>
        <v>ecysone receptor isoform A</v>
      </c>
      <c r="J1263">
        <v>113.23</v>
      </c>
      <c r="K1263" t="s">
        <v>25</v>
      </c>
      <c r="L1263">
        <v>157</v>
      </c>
      <c r="M1263">
        <v>44.41</v>
      </c>
      <c r="N1263">
        <v>6.03</v>
      </c>
      <c r="O1263" t="s">
        <v>25</v>
      </c>
      <c r="P1263" t="s">
        <v>965</v>
      </c>
      <c r="Q1263" t="s">
        <v>20</v>
      </c>
      <c r="R1263" t="str">
        <f>HYPERLINK("https://cfpub.epa.gov/ecotox/explore.cfm?ncbi=7010","Explore in ECOTOX")</f>
        <v>Explore in ECOTOX</v>
      </c>
    </row>
    <row r="1264" spans="1:18" x14ac:dyDescent="0.25">
      <c r="A1264">
        <v>6</v>
      </c>
      <c r="B1264" t="str">
        <f>HYPERLINK("http://www.ncbi.nlm.nih.gov/protein/XP_018652848.1","XP_018652848.1")</f>
        <v>XP_018652848.1</v>
      </c>
      <c r="C1264">
        <v>14704</v>
      </c>
      <c r="D1264" t="str">
        <f>HYPERLINK("http://www.ncbi.nlm.nih.gov/Taxonomy/Browser/wwwtax.cgi?mode=Info&amp;id=6183&amp;lvl=3&amp;lin=f&amp;keep=1&amp;srchmode=1&amp;unlock","6183")</f>
        <v>6183</v>
      </c>
      <c r="E1264" t="s">
        <v>793</v>
      </c>
      <c r="F1264" t="s">
        <v>793</v>
      </c>
      <c r="G1264" t="str">
        <f>HYPERLINK("http://www.ncbi.nlm.nih.gov/Taxonomy/Browser/wwwtax.cgi?mode=Info&amp;id=6183&amp;lvl=3&amp;lin=f&amp;keep=1&amp;srchmode=1&amp;unlock","Schistosoma mansoni")</f>
        <v>Schistosoma mansoni</v>
      </c>
      <c r="H1264" t="s">
        <v>794</v>
      </c>
      <c r="I1264" t="str">
        <f>HYPERLINK("http://www.ncbi.nlm.nih.gov/protein/XP_018652848.1","putative hepatocyte nuclear factor 4-alpha (hnf-4-alpha)")</f>
        <v>putative hepatocyte nuclear factor 4-alpha (hnf-4-alpha)</v>
      </c>
      <c r="J1264">
        <v>113.23</v>
      </c>
      <c r="K1264" t="s">
        <v>25</v>
      </c>
      <c r="L1264">
        <v>157</v>
      </c>
      <c r="M1264">
        <v>44.41</v>
      </c>
      <c r="N1264">
        <v>6.03</v>
      </c>
      <c r="O1264" t="s">
        <v>25</v>
      </c>
      <c r="P1264" t="s">
        <v>965</v>
      </c>
      <c r="Q1264" t="s">
        <v>20</v>
      </c>
      <c r="R1264" t="str">
        <f>HYPERLINK("https://cfpub.epa.gov/ecotox/explore.cfm?ncbi=6183","Explore in ECOTOX")</f>
        <v>Explore in ECOTOX</v>
      </c>
    </row>
    <row r="1265" spans="1:18" x14ac:dyDescent="0.25">
      <c r="A1265">
        <v>6</v>
      </c>
      <c r="B1265" t="str">
        <f>HYPERLINK("http://www.ncbi.nlm.nih.gov/protein/KAG0424185.1","KAG0424185.1")</f>
        <v>KAG0424185.1</v>
      </c>
      <c r="C1265">
        <v>28479</v>
      </c>
      <c r="D1265" t="str">
        <f>HYPERLINK("http://www.ncbi.nlm.nih.gov/Taxonomy/Browser/wwwtax.cgi?mode=Info&amp;id=34615&amp;lvl=3&amp;lin=f&amp;keep=1&amp;srchmode=1&amp;unlock","34615")</f>
        <v>34615</v>
      </c>
      <c r="E1265" t="s">
        <v>700</v>
      </c>
      <c r="F1265" t="s">
        <v>700</v>
      </c>
      <c r="G1265" t="str">
        <f>HYPERLINK("http://www.ncbi.nlm.nih.gov/Taxonomy/Browser/wwwtax.cgi?mode=Info&amp;id=34615&amp;lvl=3&amp;lin=f&amp;keep=1&amp;srchmode=1&amp;unlock","Ixodes persulcatus")</f>
        <v>Ixodes persulcatus</v>
      </c>
      <c r="H1265" t="s">
        <v>910</v>
      </c>
      <c r="I1265" t="str">
        <f>HYPERLINK("http://www.ncbi.nlm.nih.gov/protein/KAG0424185.1","hypothetical protein HPB47_000076")</f>
        <v>hypothetical protein HPB47_000076</v>
      </c>
      <c r="J1265">
        <v>113.23</v>
      </c>
      <c r="K1265" t="s">
        <v>25</v>
      </c>
      <c r="L1265">
        <v>157</v>
      </c>
      <c r="M1265">
        <v>44.41</v>
      </c>
      <c r="N1265">
        <v>6.03</v>
      </c>
      <c r="O1265" t="s">
        <v>25</v>
      </c>
      <c r="P1265" t="s">
        <v>965</v>
      </c>
      <c r="Q1265" t="s">
        <v>20</v>
      </c>
      <c r="R1265" t="str">
        <f>HYPERLINK("https://cfpub.epa.gov/ecotox/explore.cfm?ncbi=34615","Explore in ECOTOX")</f>
        <v>Explore in ECOTOX</v>
      </c>
    </row>
    <row r="1266" spans="1:18" x14ac:dyDescent="0.25">
      <c r="A1266">
        <v>6</v>
      </c>
      <c r="B1266" t="str">
        <f>HYPERLINK("http://www.ncbi.nlm.nih.gov/protein/XP_020624574.1","XP_020624574.1")</f>
        <v>XP_020624574.1</v>
      </c>
      <c r="C1266">
        <v>32639</v>
      </c>
      <c r="D1266" t="str">
        <f>HYPERLINK("http://www.ncbi.nlm.nih.gov/Taxonomy/Browser/wwwtax.cgi?mode=Info&amp;id=48498&amp;lvl=3&amp;lin=f&amp;keep=1&amp;srchmode=1&amp;unlock","48498")</f>
        <v>48498</v>
      </c>
      <c r="E1266" t="s">
        <v>1183</v>
      </c>
      <c r="F1266" t="s">
        <v>1183</v>
      </c>
      <c r="G1266" t="str">
        <f>HYPERLINK("http://www.ncbi.nlm.nih.gov/Taxonomy/Browser/wwwtax.cgi?mode=Info&amp;id=48498&amp;lvl=3&amp;lin=f&amp;keep=1&amp;srchmode=1&amp;unlock","Orbicella faveolata")</f>
        <v>Orbicella faveolata</v>
      </c>
      <c r="H1266" t="s">
        <v>1201</v>
      </c>
      <c r="I1266" t="str">
        <f>HYPERLINK("http://www.ncbi.nlm.nih.gov/protein/XP_020624574.1","hepatocyte nuclear factor 4-gamma-like isoform X4")</f>
        <v>hepatocyte nuclear factor 4-gamma-like isoform X4</v>
      </c>
      <c r="J1266">
        <v>112.85</v>
      </c>
      <c r="K1266" t="s">
        <v>25</v>
      </c>
      <c r="L1266">
        <v>157</v>
      </c>
      <c r="M1266">
        <v>44.41</v>
      </c>
      <c r="N1266">
        <v>6.01</v>
      </c>
      <c r="O1266" t="s">
        <v>25</v>
      </c>
      <c r="P1266" t="s">
        <v>965</v>
      </c>
      <c r="Q1266" t="s">
        <v>20</v>
      </c>
      <c r="R1266" t="str">
        <f>HYPERLINK("https://cfpub.epa.gov/ecotox/explore.cfm?ncbi=48498","Explore in ECOTOX")</f>
        <v>Explore in ECOTOX</v>
      </c>
    </row>
    <row r="1267" spans="1:18" x14ac:dyDescent="0.25">
      <c r="A1267">
        <v>6</v>
      </c>
      <c r="B1267" t="str">
        <f>HYPERLINK("http://www.ncbi.nlm.nih.gov/protein/AGB34183.1","AGB34183.1")</f>
        <v>AGB34183.1</v>
      </c>
      <c r="C1267">
        <v>350</v>
      </c>
      <c r="D1267" t="str">
        <f>HYPERLINK("http://www.ncbi.nlm.nih.gov/Taxonomy/Browser/wwwtax.cgi?mode=Info&amp;id=6763&amp;lvl=3&amp;lin=f&amp;keep=1&amp;srchmode=1&amp;unlock","6763")</f>
        <v>6763</v>
      </c>
      <c r="E1267" t="s">
        <v>742</v>
      </c>
      <c r="F1267" t="s">
        <v>742</v>
      </c>
      <c r="G1267" t="str">
        <f>HYPERLINK("http://www.ncbi.nlm.nih.gov/Taxonomy/Browser/wwwtax.cgi?mode=Info&amp;id=6763&amp;lvl=3&amp;lin=f&amp;keep=1&amp;srchmode=1&amp;unlock","Callinectes sapidus")</f>
        <v>Callinectes sapidus</v>
      </c>
      <c r="H1267" t="s">
        <v>1223</v>
      </c>
      <c r="I1267" t="str">
        <f>HYPERLINK("http://www.ncbi.nlm.nih.gov/protein/AGB34183.1","retinoid-X receptor-2")</f>
        <v>retinoid-X receptor-2</v>
      </c>
      <c r="J1267">
        <v>112.85</v>
      </c>
      <c r="K1267" t="s">
        <v>25</v>
      </c>
      <c r="L1267">
        <v>157</v>
      </c>
      <c r="M1267">
        <v>44.41</v>
      </c>
      <c r="N1267">
        <v>6.01</v>
      </c>
      <c r="O1267" t="s">
        <v>25</v>
      </c>
      <c r="P1267" t="s">
        <v>965</v>
      </c>
      <c r="Q1267" t="s">
        <v>20</v>
      </c>
      <c r="R1267" t="str">
        <f>HYPERLINK("https://cfpub.epa.gov/ecotox/explore.cfm?ncbi=6763","Explore in ECOTOX")</f>
        <v>Explore in ECOTOX</v>
      </c>
    </row>
    <row r="1268" spans="1:18" x14ac:dyDescent="0.25">
      <c r="A1268">
        <v>6</v>
      </c>
      <c r="B1268" t="str">
        <f>HYPERLINK("http://www.ncbi.nlm.nih.gov/protein/BAN21221.1","BAN21221.1")</f>
        <v>BAN21221.1</v>
      </c>
      <c r="C1268">
        <v>1726</v>
      </c>
      <c r="D1268" t="str">
        <f>HYPERLINK("http://www.ncbi.nlm.nih.gov/Taxonomy/Browser/wwwtax.cgi?mode=Info&amp;id=329032&amp;lvl=3&amp;lin=f&amp;keep=1&amp;srchmode=1&amp;unlock","329032")</f>
        <v>329032</v>
      </c>
      <c r="E1268" t="s">
        <v>698</v>
      </c>
      <c r="F1268" t="s">
        <v>698</v>
      </c>
      <c r="G1268" t="str">
        <f>HYPERLINK("http://www.ncbi.nlm.nih.gov/Taxonomy/Browser/wwwtax.cgi?mode=Info&amp;id=329032&amp;lvl=3&amp;lin=f&amp;keep=1&amp;srchmode=1&amp;unlock","Riptortus pedestris")</f>
        <v>Riptortus pedestris</v>
      </c>
      <c r="H1268" t="s">
        <v>699</v>
      </c>
      <c r="I1268" t="str">
        <f>HYPERLINK("http://www.ncbi.nlm.nih.gov/protein/BAN21221.1","hepatocyte nuclear factor 4")</f>
        <v>hepatocyte nuclear factor 4</v>
      </c>
      <c r="J1268">
        <v>112.85</v>
      </c>
      <c r="K1268" t="s">
        <v>25</v>
      </c>
      <c r="L1268">
        <v>157</v>
      </c>
      <c r="M1268">
        <v>44.41</v>
      </c>
      <c r="N1268">
        <v>6.01</v>
      </c>
      <c r="O1268" t="s">
        <v>25</v>
      </c>
      <c r="P1268" t="s">
        <v>965</v>
      </c>
      <c r="Q1268" t="s">
        <v>20</v>
      </c>
      <c r="R1268" t="str">
        <f>HYPERLINK("https://cfpub.epa.gov/ecotox/explore.cfm?ncbi=329032","Explore in ECOTOX")</f>
        <v>Explore in ECOTOX</v>
      </c>
    </row>
    <row r="1269" spans="1:18" x14ac:dyDescent="0.25">
      <c r="A1269">
        <v>6</v>
      </c>
      <c r="B1269" t="str">
        <f>HYPERLINK("http://www.ncbi.nlm.nih.gov/protein/QOE77678.1","QOE77678.1")</f>
        <v>QOE77678.1</v>
      </c>
      <c r="C1269">
        <v>211</v>
      </c>
      <c r="D1269" t="str">
        <f>HYPERLINK("http://www.ncbi.nlm.nih.gov/Taxonomy/Browser/wwwtax.cgi?mode=Info&amp;id=263140&amp;lvl=3&amp;lin=f&amp;keep=1&amp;srchmode=1&amp;unlock","263140")</f>
        <v>263140</v>
      </c>
      <c r="E1269" t="s">
        <v>698</v>
      </c>
      <c r="F1269" t="s">
        <v>698</v>
      </c>
      <c r="G1269" t="str">
        <f>HYPERLINK("http://www.ncbi.nlm.nih.gov/Taxonomy/Browser/wwwtax.cgi?mode=Info&amp;id=263140&amp;lvl=3&amp;lin=f&amp;keep=1&amp;srchmode=1&amp;unlock","Sitodiplosis mosellana")</f>
        <v>Sitodiplosis mosellana</v>
      </c>
      <c r="H1269" t="s">
        <v>1224</v>
      </c>
      <c r="I1269" t="str">
        <f>HYPERLINK("http://www.ncbi.nlm.nih.gov/protein/QOE77678.1","ultraspiracle isoform-B")</f>
        <v>ultraspiracle isoform-B</v>
      </c>
      <c r="J1269">
        <v>112.85</v>
      </c>
      <c r="K1269" t="s">
        <v>25</v>
      </c>
      <c r="L1269">
        <v>157</v>
      </c>
      <c r="M1269">
        <v>44.41</v>
      </c>
      <c r="N1269">
        <v>6.01</v>
      </c>
      <c r="O1269" t="s">
        <v>25</v>
      </c>
      <c r="P1269" t="s">
        <v>965</v>
      </c>
      <c r="Q1269" t="s">
        <v>20</v>
      </c>
      <c r="R1269" t="str">
        <f>HYPERLINK("https://cfpub.epa.gov/ecotox/explore.cfm?ncbi=263140","Explore in ECOTOX")</f>
        <v>Explore in ECOTOX</v>
      </c>
    </row>
    <row r="1270" spans="1:18" x14ac:dyDescent="0.25">
      <c r="A1270">
        <v>6</v>
      </c>
      <c r="B1270" t="str">
        <f>HYPERLINK("http://www.ncbi.nlm.nih.gov/protein/AAD19828.1","AAD19828.1")</f>
        <v>AAD19828.1</v>
      </c>
      <c r="C1270">
        <v>1660</v>
      </c>
      <c r="D1270" t="str">
        <f>HYPERLINK("http://www.ncbi.nlm.nih.gov/Taxonomy/Browser/wwwtax.cgi?mode=Info&amp;id=7004&amp;lvl=3&amp;lin=f&amp;keep=1&amp;srchmode=1&amp;unlock","7004")</f>
        <v>7004</v>
      </c>
      <c r="E1270" t="s">
        <v>698</v>
      </c>
      <c r="F1270" t="s">
        <v>698</v>
      </c>
      <c r="G1270" t="str">
        <f>HYPERLINK("http://www.ncbi.nlm.nih.gov/Taxonomy/Browser/wwwtax.cgi?mode=Info&amp;id=7004&amp;lvl=3&amp;lin=f&amp;keep=1&amp;srchmode=1&amp;unlock","Locusta migratoria")</f>
        <v>Locusta migratoria</v>
      </c>
      <c r="H1270" t="s">
        <v>734</v>
      </c>
      <c r="I1270" t="str">
        <f>HYPERLINK("http://www.ncbi.nlm.nih.gov/protein/AAD19828.1","ecdysone receptor")</f>
        <v>ecdysone receptor</v>
      </c>
      <c r="J1270">
        <v>112.46</v>
      </c>
      <c r="K1270" t="s">
        <v>25</v>
      </c>
      <c r="L1270">
        <v>157</v>
      </c>
      <c r="M1270">
        <v>44.41</v>
      </c>
      <c r="N1270">
        <v>5.99</v>
      </c>
      <c r="O1270" t="s">
        <v>25</v>
      </c>
      <c r="P1270" t="s">
        <v>965</v>
      </c>
      <c r="Q1270" t="s">
        <v>20</v>
      </c>
      <c r="R1270" t="str">
        <f>HYPERLINK("https://cfpub.epa.gov/ecotox/explore.cfm?ncbi=7004","Explore in ECOTOX")</f>
        <v>Explore in ECOTOX</v>
      </c>
    </row>
    <row r="1271" spans="1:18" x14ac:dyDescent="0.25">
      <c r="A1271">
        <v>6</v>
      </c>
      <c r="B1271" t="str">
        <f>HYPERLINK("http://www.ncbi.nlm.nih.gov/protein/AEA29832.1","AEA29832.1")</f>
        <v>AEA29832.1</v>
      </c>
      <c r="C1271">
        <v>383</v>
      </c>
      <c r="D1271" t="str">
        <f>HYPERLINK("http://www.ncbi.nlm.nih.gov/Taxonomy/Browser/wwwtax.cgi?mode=Info&amp;id=6706&amp;lvl=3&amp;lin=f&amp;keep=1&amp;srchmode=1&amp;unlock","6706")</f>
        <v>6706</v>
      </c>
      <c r="E1271" t="s">
        <v>742</v>
      </c>
      <c r="F1271" t="s">
        <v>742</v>
      </c>
      <c r="G1271" t="str">
        <f>HYPERLINK("http://www.ncbi.nlm.nih.gov/Taxonomy/Browser/wwwtax.cgi?mode=Info&amp;id=6706&amp;lvl=3&amp;lin=f&amp;keep=1&amp;srchmode=1&amp;unlock","Homarus americanus")</f>
        <v>Homarus americanus</v>
      </c>
      <c r="H1271" t="s">
        <v>1225</v>
      </c>
      <c r="I1271" t="str">
        <f>HYPERLINK("http://www.ncbi.nlm.nih.gov/protein/AEA29832.1","retinoid X receptor splice variant")</f>
        <v>retinoid X receptor splice variant</v>
      </c>
      <c r="J1271">
        <v>112.46</v>
      </c>
      <c r="K1271" t="s">
        <v>25</v>
      </c>
      <c r="L1271">
        <v>157</v>
      </c>
      <c r="M1271">
        <v>44.41</v>
      </c>
      <c r="N1271">
        <v>5.99</v>
      </c>
      <c r="O1271" t="s">
        <v>25</v>
      </c>
      <c r="P1271" t="s">
        <v>965</v>
      </c>
      <c r="Q1271" t="s">
        <v>20</v>
      </c>
      <c r="R1271" t="str">
        <f>HYPERLINK("https://cfpub.epa.gov/ecotox/explore.cfm?ncbi=6706","Explore in ECOTOX")</f>
        <v>Explore in ECOTOX</v>
      </c>
    </row>
    <row r="1272" spans="1:18" x14ac:dyDescent="0.25">
      <c r="A1272">
        <v>6</v>
      </c>
      <c r="B1272" t="str">
        <f>HYPERLINK("http://www.ncbi.nlm.nih.gov/protein/TMW47646.1","TMW47646.1")</f>
        <v>TMW47646.1</v>
      </c>
      <c r="C1272">
        <v>15895</v>
      </c>
      <c r="D1272" t="str">
        <f>HYPERLINK("http://www.ncbi.nlm.nih.gov/Taxonomy/Browser/wwwtax.cgi?mode=Info&amp;id=7385&amp;lvl=3&amp;lin=f&amp;keep=1&amp;srchmode=1&amp;unlock","7385")</f>
        <v>7385</v>
      </c>
      <c r="E1272" t="s">
        <v>698</v>
      </c>
      <c r="F1272" t="s">
        <v>698</v>
      </c>
      <c r="G1272" t="str">
        <f>HYPERLINK("http://www.ncbi.nlm.nih.gov/Taxonomy/Browser/wwwtax.cgi?mode=Info&amp;id=7385&amp;lvl=3&amp;lin=f&amp;keep=1&amp;srchmode=1&amp;unlock","Sarcophaga bullata")</f>
        <v>Sarcophaga bullata</v>
      </c>
      <c r="H1272" t="s">
        <v>814</v>
      </c>
      <c r="I1272" t="str">
        <f>HYPERLINK("http://www.ncbi.nlm.nih.gov/protein/TMW47646.1","hypothetical protein DOY81_007273")</f>
        <v>hypothetical protein DOY81_007273</v>
      </c>
      <c r="J1272">
        <v>112.46</v>
      </c>
      <c r="K1272" t="s">
        <v>25</v>
      </c>
      <c r="L1272">
        <v>157</v>
      </c>
      <c r="M1272">
        <v>44.41</v>
      </c>
      <c r="N1272">
        <v>5.99</v>
      </c>
      <c r="O1272" t="s">
        <v>25</v>
      </c>
      <c r="P1272" t="s">
        <v>965</v>
      </c>
      <c r="Q1272" t="s">
        <v>20</v>
      </c>
      <c r="R1272" t="str">
        <f>HYPERLINK("https://cfpub.epa.gov/ecotox/explore.cfm?ncbi=7385","Explore in ECOTOX")</f>
        <v>Explore in ECOTOX</v>
      </c>
    </row>
    <row r="1273" spans="1:18" x14ac:dyDescent="0.25">
      <c r="A1273">
        <v>6</v>
      </c>
      <c r="B1273" t="str">
        <f>HYPERLINK("http://www.ncbi.nlm.nih.gov/protein/KAA3675458.1","KAA3675458.1")</f>
        <v>KAA3675458.1</v>
      </c>
      <c r="C1273">
        <v>24986</v>
      </c>
      <c r="D1273" t="str">
        <f>HYPERLINK("http://www.ncbi.nlm.nih.gov/Taxonomy/Browser/wwwtax.cgi?mode=Info&amp;id=34504&amp;lvl=3&amp;lin=f&amp;keep=1&amp;srchmode=1&amp;unlock","34504")</f>
        <v>34504</v>
      </c>
      <c r="E1273" t="s">
        <v>793</v>
      </c>
      <c r="F1273" t="s">
        <v>793</v>
      </c>
      <c r="G1273" t="str">
        <f>HYPERLINK("http://www.ncbi.nlm.nih.gov/Taxonomy/Browser/wwwtax.cgi?mode=Info&amp;id=34504&amp;lvl=3&amp;lin=f&amp;keep=1&amp;srchmode=1&amp;unlock","Paragonimus westermani")</f>
        <v>Paragonimus westermani</v>
      </c>
      <c r="H1273" t="s">
        <v>897</v>
      </c>
      <c r="I1273" t="str">
        <f>HYPERLINK("http://www.ncbi.nlm.nih.gov/protein/KAA3675458.1","uncharacterized protein DEA37_0011783")</f>
        <v>uncharacterized protein DEA37_0011783</v>
      </c>
      <c r="J1273">
        <v>112.46</v>
      </c>
      <c r="K1273" t="s">
        <v>25</v>
      </c>
      <c r="L1273">
        <v>157</v>
      </c>
      <c r="M1273">
        <v>44.41</v>
      </c>
      <c r="N1273">
        <v>5.99</v>
      </c>
      <c r="O1273" t="s">
        <v>25</v>
      </c>
      <c r="P1273" t="s">
        <v>965</v>
      </c>
      <c r="Q1273" t="s">
        <v>20</v>
      </c>
      <c r="R1273" t="str">
        <f>HYPERLINK("https://cfpub.epa.gov/ecotox/explore.cfm?ncbi=34504","Explore in ECOTOX")</f>
        <v>Explore in ECOTOX</v>
      </c>
    </row>
    <row r="1274" spans="1:18" x14ac:dyDescent="0.25">
      <c r="A1274">
        <v>6</v>
      </c>
      <c r="B1274" t="str">
        <f>HYPERLINK("http://www.ncbi.nlm.nih.gov/protein/XP_023291701.1","XP_023291701.1")</f>
        <v>XP_023291701.1</v>
      </c>
      <c r="C1274">
        <v>33832</v>
      </c>
      <c r="D1274" t="str">
        <f>HYPERLINK("http://www.ncbi.nlm.nih.gov/Taxonomy/Browser/wwwtax.cgi?mode=Info&amp;id=7375&amp;lvl=3&amp;lin=f&amp;keep=1&amp;srchmode=1&amp;unlock","7375")</f>
        <v>7375</v>
      </c>
      <c r="E1274" t="s">
        <v>698</v>
      </c>
      <c r="F1274" t="s">
        <v>698</v>
      </c>
      <c r="G1274" t="str">
        <f>HYPERLINK("http://www.ncbi.nlm.nih.gov/Taxonomy/Browser/wwwtax.cgi?mode=Info&amp;id=7375&amp;lvl=3&amp;lin=f&amp;keep=1&amp;srchmode=1&amp;unlock","Lucilia cuprina")</f>
        <v>Lucilia cuprina</v>
      </c>
      <c r="H1274" t="s">
        <v>832</v>
      </c>
      <c r="I1274" t="str">
        <f>HYPERLINK("http://www.ncbi.nlm.nih.gov/protein/XP_023291701.1","steroid receptor seven-up, isoforms B/C isoform X2")</f>
        <v>steroid receptor seven-up, isoforms B/C isoform X2</v>
      </c>
      <c r="J1274">
        <v>112.46</v>
      </c>
      <c r="K1274" t="s">
        <v>25</v>
      </c>
      <c r="L1274">
        <v>157</v>
      </c>
      <c r="M1274">
        <v>44.41</v>
      </c>
      <c r="N1274">
        <v>5.99</v>
      </c>
      <c r="O1274" t="s">
        <v>25</v>
      </c>
      <c r="P1274" t="s">
        <v>965</v>
      </c>
      <c r="Q1274" t="s">
        <v>20</v>
      </c>
      <c r="R1274" t="str">
        <f>HYPERLINK("https://cfpub.epa.gov/ecotox/explore.cfm?ncbi=7375","Explore in ECOTOX")</f>
        <v>Explore in ECOTOX</v>
      </c>
    </row>
    <row r="1275" spans="1:18" x14ac:dyDescent="0.25">
      <c r="A1275">
        <v>6</v>
      </c>
      <c r="B1275" t="str">
        <f>HYPERLINK("http://www.ncbi.nlm.nih.gov/protein/AAC80008.1","AAC80008.1")</f>
        <v>AAC80008.1</v>
      </c>
      <c r="C1275">
        <v>98</v>
      </c>
      <c r="D1275" t="str">
        <f>HYPERLINK("http://www.ncbi.nlm.nih.gov/Taxonomy/Browser/wwwtax.cgi?mode=Info&amp;id=6141&amp;lvl=3&amp;lin=f&amp;keep=1&amp;srchmode=1&amp;unlock","6141")</f>
        <v>6141</v>
      </c>
      <c r="E1275" t="s">
        <v>1226</v>
      </c>
      <c r="F1275" t="s">
        <v>1226</v>
      </c>
      <c r="G1275" t="str">
        <f>HYPERLINK("http://www.ncbi.nlm.nih.gov/Taxonomy/Browser/wwwtax.cgi?mode=Info&amp;id=6141&amp;lvl=3&amp;lin=f&amp;keep=1&amp;srchmode=1&amp;unlock","Tripedalia cystophora")</f>
        <v>Tripedalia cystophora</v>
      </c>
      <c r="H1275" t="s">
        <v>1227</v>
      </c>
      <c r="I1275" t="str">
        <f>HYPERLINK("http://www.ncbi.nlm.nih.gov/protein/AAC80008.1","retinoic acid X receptor")</f>
        <v>retinoic acid X receptor</v>
      </c>
      <c r="J1275">
        <v>112.46</v>
      </c>
      <c r="K1275" t="s">
        <v>25</v>
      </c>
      <c r="L1275">
        <v>157</v>
      </c>
      <c r="M1275">
        <v>44.41</v>
      </c>
      <c r="N1275">
        <v>5.99</v>
      </c>
      <c r="O1275" t="s">
        <v>25</v>
      </c>
      <c r="P1275" t="s">
        <v>965</v>
      </c>
      <c r="Q1275" t="s">
        <v>20</v>
      </c>
      <c r="R1275" t="str">
        <f>HYPERLINK("https://cfpub.epa.gov/ecotox/explore.cfm?ncbi=6141","Explore in ECOTOX")</f>
        <v>Explore in ECOTOX</v>
      </c>
    </row>
    <row r="1276" spans="1:18" x14ac:dyDescent="0.25">
      <c r="A1276">
        <v>6</v>
      </c>
      <c r="B1276" t="str">
        <f>HYPERLINK("http://www.ncbi.nlm.nih.gov/protein/XP_037828696.1","XP_037828696.1")</f>
        <v>XP_037828696.1</v>
      </c>
      <c r="C1276">
        <v>24184</v>
      </c>
      <c r="D1276" t="str">
        <f>HYPERLINK("http://www.ncbi.nlm.nih.gov/Taxonomy/Browser/wwwtax.cgi?mode=Info&amp;id=13632&amp;lvl=3&amp;lin=f&amp;keep=1&amp;srchmode=1&amp;unlock","13632")</f>
        <v>13632</v>
      </c>
      <c r="E1276" t="s">
        <v>698</v>
      </c>
      <c r="F1276" t="s">
        <v>698</v>
      </c>
      <c r="G1276" t="str">
        <f>HYPERLINK("http://www.ncbi.nlm.nih.gov/Taxonomy/Browser/wwwtax.cgi?mode=Info&amp;id=13632&amp;lvl=3&amp;lin=f&amp;keep=1&amp;srchmode=1&amp;unlock","Lucilia sericata")</f>
        <v>Lucilia sericata</v>
      </c>
      <c r="H1276" t="s">
        <v>837</v>
      </c>
      <c r="I1276" t="str">
        <f>HYPERLINK("http://www.ncbi.nlm.nih.gov/protein/XP_037828696.1","steroid receptor seven-up, isoforms B/C isoform X2")</f>
        <v>steroid receptor seven-up, isoforms B/C isoform X2</v>
      </c>
      <c r="J1276">
        <v>112.46</v>
      </c>
      <c r="K1276" t="s">
        <v>25</v>
      </c>
      <c r="L1276">
        <v>157</v>
      </c>
      <c r="M1276">
        <v>44.41</v>
      </c>
      <c r="N1276">
        <v>5.99</v>
      </c>
      <c r="O1276" t="s">
        <v>25</v>
      </c>
      <c r="P1276" t="s">
        <v>965</v>
      </c>
      <c r="Q1276" t="s">
        <v>20</v>
      </c>
      <c r="R1276" t="str">
        <f>HYPERLINK("https://cfpub.epa.gov/ecotox/explore.cfm?ncbi=13632","Explore in ECOTOX")</f>
        <v>Explore in ECOTOX</v>
      </c>
    </row>
    <row r="1277" spans="1:18" x14ac:dyDescent="0.25">
      <c r="A1277">
        <v>6</v>
      </c>
      <c r="B1277" t="str">
        <f>HYPERLINK("http://www.ncbi.nlm.nih.gov/protein/KAB7506312.1","KAB7506312.1")</f>
        <v>KAB7506312.1</v>
      </c>
      <c r="C1277">
        <v>14640</v>
      </c>
      <c r="D1277" t="str">
        <f>HYPERLINK("http://www.ncbi.nlm.nih.gov/Taxonomy/Browser/wwwtax.cgi?mode=Info&amp;id=96803&amp;lvl=3&amp;lin=f&amp;keep=1&amp;srchmode=1&amp;unlock","96803")</f>
        <v>96803</v>
      </c>
      <c r="E1277" t="s">
        <v>742</v>
      </c>
      <c r="F1277" t="s">
        <v>742</v>
      </c>
      <c r="G1277" t="str">
        <f>HYPERLINK("http://www.ncbi.nlm.nih.gov/Taxonomy/Browser/wwwtax.cgi?mode=Info&amp;id=96803&amp;lvl=3&amp;lin=f&amp;keep=1&amp;srchmode=1&amp;unlock","Armadillidium nasatum")</f>
        <v>Armadillidium nasatum</v>
      </c>
      <c r="H1277" t="s">
        <v>960</v>
      </c>
      <c r="I1277" t="str">
        <f>HYPERLINK("http://www.ncbi.nlm.nih.gov/protein/KAB7506312.1","Estrogen-related receptor gamma, partial")</f>
        <v>Estrogen-related receptor gamma, partial</v>
      </c>
      <c r="J1277">
        <v>112.08</v>
      </c>
      <c r="K1277" t="s">
        <v>25</v>
      </c>
      <c r="L1277">
        <v>157</v>
      </c>
      <c r="M1277">
        <v>44.41</v>
      </c>
      <c r="N1277">
        <v>5.97</v>
      </c>
      <c r="O1277" t="s">
        <v>25</v>
      </c>
      <c r="P1277" t="s">
        <v>965</v>
      </c>
      <c r="Q1277" t="s">
        <v>20</v>
      </c>
      <c r="R1277" t="str">
        <f>HYPERLINK("https://cfpub.epa.gov/ecotox/explore.cfm?ncbi=96803","Explore in ECOTOX")</f>
        <v>Explore in ECOTOX</v>
      </c>
    </row>
    <row r="1278" spans="1:18" x14ac:dyDescent="0.25">
      <c r="A1278">
        <v>6</v>
      </c>
      <c r="B1278" t="str">
        <f>HYPERLINK("http://www.ncbi.nlm.nih.gov/protein/VIO89460.1","VIO89460.1")</f>
        <v>VIO89460.1</v>
      </c>
      <c r="C1278">
        <v>43429</v>
      </c>
      <c r="D1278" t="str">
        <f>HYPERLINK("http://www.ncbi.nlm.nih.gov/Taxonomy/Browser/wwwtax.cgi?mode=Info&amp;id=6279&amp;lvl=3&amp;lin=f&amp;keep=1&amp;srchmode=1&amp;unlock","6279")</f>
        <v>6279</v>
      </c>
      <c r="E1278" t="s">
        <v>869</v>
      </c>
      <c r="F1278" t="s">
        <v>869</v>
      </c>
      <c r="G1278" t="str">
        <f>HYPERLINK("http://www.ncbi.nlm.nih.gov/Taxonomy/Browser/wwwtax.cgi?mode=Info&amp;id=6279&amp;lvl=3&amp;lin=f&amp;keep=1&amp;srchmode=1&amp;unlock","Brugia malayi")</f>
        <v>Brugia malayi</v>
      </c>
      <c r="H1278" t="s">
        <v>1228</v>
      </c>
      <c r="I1278" t="str">
        <f>HYPERLINK("http://www.ncbi.nlm.nih.gov/protein/VIO89460.1","nuclear receptor RXR, putative")</f>
        <v>nuclear receptor RXR, putative</v>
      </c>
      <c r="J1278">
        <v>112.08</v>
      </c>
      <c r="K1278" t="s">
        <v>25</v>
      </c>
      <c r="L1278">
        <v>157</v>
      </c>
      <c r="M1278">
        <v>44.41</v>
      </c>
      <c r="N1278">
        <v>5.97</v>
      </c>
      <c r="O1278" t="s">
        <v>25</v>
      </c>
      <c r="P1278" t="s">
        <v>965</v>
      </c>
      <c r="Q1278" t="s">
        <v>20</v>
      </c>
      <c r="R1278" t="str">
        <f>HYPERLINK("https://cfpub.epa.gov/ecotox/explore.cfm?ncbi=6279","Explore in ECOTOX")</f>
        <v>Explore in ECOTOX</v>
      </c>
    </row>
    <row r="1279" spans="1:18" x14ac:dyDescent="0.25">
      <c r="A1279">
        <v>6</v>
      </c>
      <c r="B1279" t="str">
        <f>HYPERLINK("http://www.ncbi.nlm.nih.gov/protein/VDM59965.1","VDM59965.1")</f>
        <v>VDM59965.1</v>
      </c>
      <c r="C1279">
        <v>13409</v>
      </c>
      <c r="D1279" t="str">
        <f>HYPERLINK("http://www.ncbi.nlm.nih.gov/Taxonomy/Browser/wwwtax.cgi?mode=Info&amp;id=334426&amp;lvl=3&amp;lin=f&amp;keep=1&amp;srchmode=1&amp;unlock","334426")</f>
        <v>334426</v>
      </c>
      <c r="E1279" t="s">
        <v>869</v>
      </c>
      <c r="F1279" t="s">
        <v>869</v>
      </c>
      <c r="G1279" t="str">
        <f>HYPERLINK("http://www.ncbi.nlm.nih.gov/Taxonomy/Browser/wwwtax.cgi?mode=Info&amp;id=334426&amp;lvl=3&amp;lin=f&amp;keep=1&amp;srchmode=1&amp;unlock","Angiostrongylus costaricensis")</f>
        <v>Angiostrongylus costaricensis</v>
      </c>
      <c r="H1279" t="s">
        <v>1229</v>
      </c>
      <c r="I1279" t="str">
        <f>HYPERLINK("http://www.ncbi.nlm.nih.gov/protein/VDM59965.1","unnamed protein product")</f>
        <v>unnamed protein product</v>
      </c>
      <c r="J1279">
        <v>112.08</v>
      </c>
      <c r="K1279" t="s">
        <v>25</v>
      </c>
      <c r="L1279">
        <v>157</v>
      </c>
      <c r="M1279">
        <v>44.41</v>
      </c>
      <c r="N1279">
        <v>5.97</v>
      </c>
      <c r="O1279" t="s">
        <v>25</v>
      </c>
      <c r="P1279" t="s">
        <v>965</v>
      </c>
      <c r="Q1279" t="s">
        <v>20</v>
      </c>
      <c r="R1279" t="str">
        <f>HYPERLINK("https://cfpub.epa.gov/ecotox/explore.cfm?ncbi=334426","Explore in ECOTOX")</f>
        <v>Explore in ECOTOX</v>
      </c>
    </row>
    <row r="1280" spans="1:18" x14ac:dyDescent="0.25">
      <c r="A1280">
        <v>6</v>
      </c>
      <c r="B1280" t="str">
        <f>HYPERLINK("http://www.ncbi.nlm.nih.gov/protein/CBY36412.1","CBY36412.1")</f>
        <v>CBY36412.1</v>
      </c>
      <c r="C1280">
        <v>31304</v>
      </c>
      <c r="D1280" t="str">
        <f>HYPERLINK("http://www.ncbi.nlm.nih.gov/Taxonomy/Browser/wwwtax.cgi?mode=Info&amp;id=34765&amp;lvl=3&amp;lin=f&amp;keep=1&amp;srchmode=1&amp;unlock","34765")</f>
        <v>34765</v>
      </c>
      <c r="E1280" t="s">
        <v>817</v>
      </c>
      <c r="F1280" t="s">
        <v>817</v>
      </c>
      <c r="G1280" t="str">
        <f>HYPERLINK("http://www.ncbi.nlm.nih.gov/Taxonomy/Browser/wwwtax.cgi?mode=Info&amp;id=34765&amp;lvl=3&amp;lin=f&amp;keep=1&amp;srchmode=1&amp;unlock","Oikopleura dioica")</f>
        <v>Oikopleura dioica</v>
      </c>
      <c r="H1280" t="s">
        <v>818</v>
      </c>
      <c r="I1280" t="str">
        <f>HYPERLINK("http://www.ncbi.nlm.nih.gov/protein/CBY36412.1","unnamed protein product")</f>
        <v>unnamed protein product</v>
      </c>
      <c r="J1280">
        <v>112.08</v>
      </c>
      <c r="K1280" t="s">
        <v>25</v>
      </c>
      <c r="L1280">
        <v>157</v>
      </c>
      <c r="M1280">
        <v>44.41</v>
      </c>
      <c r="N1280">
        <v>5.97</v>
      </c>
      <c r="O1280" t="s">
        <v>25</v>
      </c>
      <c r="P1280" t="s">
        <v>965</v>
      </c>
      <c r="Q1280" t="s">
        <v>20</v>
      </c>
      <c r="R1280" t="str">
        <f>HYPERLINK("https://cfpub.epa.gov/ecotox/explore.cfm?ncbi=34765","Explore in ECOTOX")</f>
        <v>Explore in ECOTOX</v>
      </c>
    </row>
    <row r="1281" spans="1:18" x14ac:dyDescent="0.25">
      <c r="A1281">
        <v>6</v>
      </c>
      <c r="B1281" t="str">
        <f>HYPERLINK("http://www.ncbi.nlm.nih.gov/protein/CAB75361.1","CAB75361.1")</f>
        <v>CAB75361.1</v>
      </c>
      <c r="C1281">
        <v>726</v>
      </c>
      <c r="D1281" t="str">
        <f>HYPERLINK("http://www.ncbi.nlm.nih.gov/Taxonomy/Browser/wwwtax.cgi?mode=Info&amp;id=7067&amp;lvl=3&amp;lin=f&amp;keep=1&amp;srchmode=1&amp;unlock","7067")</f>
        <v>7067</v>
      </c>
      <c r="E1281" t="s">
        <v>698</v>
      </c>
      <c r="F1281" t="s">
        <v>698</v>
      </c>
      <c r="G1281" t="str">
        <f>HYPERLINK("http://www.ncbi.nlm.nih.gov/Taxonomy/Browser/wwwtax.cgi?mode=Info&amp;id=7067&amp;lvl=3&amp;lin=f&amp;keep=1&amp;srchmode=1&amp;unlock","Tenebrio molitor")</f>
        <v>Tenebrio molitor</v>
      </c>
      <c r="H1281" t="s">
        <v>1230</v>
      </c>
      <c r="I1281" t="str">
        <f>HYPERLINK("http://www.ncbi.nlm.nih.gov/protein/CAB75361.1","USP protein")</f>
        <v>USP protein</v>
      </c>
      <c r="J1281">
        <v>112.08</v>
      </c>
      <c r="K1281" t="s">
        <v>25</v>
      </c>
      <c r="L1281">
        <v>157</v>
      </c>
      <c r="M1281">
        <v>44.41</v>
      </c>
      <c r="N1281">
        <v>5.97</v>
      </c>
      <c r="O1281" t="s">
        <v>25</v>
      </c>
      <c r="P1281" t="s">
        <v>965</v>
      </c>
      <c r="Q1281" t="s">
        <v>20</v>
      </c>
      <c r="R1281" t="str">
        <f>HYPERLINK("https://cfpub.epa.gov/ecotox/explore.cfm?ncbi=7067","Explore in ECOTOX")</f>
        <v>Explore in ECOTOX</v>
      </c>
    </row>
    <row r="1282" spans="1:18" x14ac:dyDescent="0.25">
      <c r="A1282">
        <v>6</v>
      </c>
      <c r="B1282" t="str">
        <f>HYPERLINK("http://www.ncbi.nlm.nih.gov/protein/AFH35109.1","AFH35109.1")</f>
        <v>AFH35109.1</v>
      </c>
      <c r="C1282">
        <v>100</v>
      </c>
      <c r="D1282" t="str">
        <f>HYPERLINK("http://www.ncbi.nlm.nih.gov/Taxonomy/Browser/wwwtax.cgi?mode=Info&amp;id=75042&amp;lvl=3&amp;lin=f&amp;keep=1&amp;srchmode=1&amp;unlock","75042")</f>
        <v>75042</v>
      </c>
      <c r="E1282" t="s">
        <v>384</v>
      </c>
      <c r="F1282" t="s">
        <v>384</v>
      </c>
      <c r="G1282" t="str">
        <f>HYPERLINK("http://www.ncbi.nlm.nih.gov/Taxonomy/Browser/wwwtax.cgi?mode=Info&amp;id=75042&amp;lvl=3&amp;lin=f&amp;keep=1&amp;srchmode=1&amp;unlock","Siganus canaliculatus")</f>
        <v>Siganus canaliculatus</v>
      </c>
      <c r="H1282" t="s">
        <v>1231</v>
      </c>
      <c r="I1282" t="str">
        <f>HYPERLINK("http://www.ncbi.nlm.nih.gov/protein/AFH35109.1","hepatic nuclear factor 4 alpha")</f>
        <v>hepatic nuclear factor 4 alpha</v>
      </c>
      <c r="J1282">
        <v>111.69</v>
      </c>
      <c r="K1282" t="s">
        <v>25</v>
      </c>
      <c r="L1282">
        <v>157</v>
      </c>
      <c r="M1282">
        <v>44.41</v>
      </c>
      <c r="N1282">
        <v>5.95</v>
      </c>
      <c r="O1282" t="s">
        <v>25</v>
      </c>
      <c r="P1282" t="s">
        <v>965</v>
      </c>
      <c r="Q1282" t="s">
        <v>20</v>
      </c>
      <c r="R1282" t="str">
        <f>HYPERLINK("https://cfpub.epa.gov/ecotox/explore.cfm?ncbi=75042","Explore in ECOTOX")</f>
        <v>Explore in ECOTOX</v>
      </c>
    </row>
    <row r="1283" spans="1:18" x14ac:dyDescent="0.25">
      <c r="A1283">
        <v>6</v>
      </c>
      <c r="B1283" t="str">
        <f>HYPERLINK("http://www.ncbi.nlm.nih.gov/protein/VVC93315.1","VVC93315.1")</f>
        <v>VVC93315.1</v>
      </c>
      <c r="C1283">
        <v>20060</v>
      </c>
      <c r="D1283" t="str">
        <f>HYPERLINK("http://www.ncbi.nlm.nih.gov/Taxonomy/Browser/wwwtax.cgi?mode=Info&amp;id=189913&amp;lvl=3&amp;lin=f&amp;keep=1&amp;srchmode=1&amp;unlock","189913")</f>
        <v>189913</v>
      </c>
      <c r="E1283" t="s">
        <v>698</v>
      </c>
      <c r="F1283" t="s">
        <v>698</v>
      </c>
      <c r="G1283" t="str">
        <f>HYPERLINK("http://www.ncbi.nlm.nih.gov/Taxonomy/Browser/wwwtax.cgi?mode=Info&amp;id=189913&amp;lvl=3&amp;lin=f&amp;keep=1&amp;srchmode=1&amp;unlock","Leptidea sinapis")</f>
        <v>Leptidea sinapis</v>
      </c>
      <c r="H1283" t="s">
        <v>941</v>
      </c>
      <c r="I1283" t="str">
        <f>HYPERLINK("http://www.ncbi.nlm.nih.gov/protein/VVC93315.1","unnamed protein product")</f>
        <v>unnamed protein product</v>
      </c>
      <c r="J1283">
        <v>111.31</v>
      </c>
      <c r="K1283" t="s">
        <v>25</v>
      </c>
      <c r="L1283">
        <v>157</v>
      </c>
      <c r="M1283">
        <v>44.41</v>
      </c>
      <c r="N1283">
        <v>5.93</v>
      </c>
      <c r="O1283" t="s">
        <v>25</v>
      </c>
      <c r="P1283" t="s">
        <v>965</v>
      </c>
      <c r="Q1283" t="s">
        <v>20</v>
      </c>
      <c r="R1283" t="str">
        <f>HYPERLINK("https://cfpub.epa.gov/ecotox/explore.cfm?ncbi=189913","Explore in ECOTOX")</f>
        <v>Explore in ECOTOX</v>
      </c>
    </row>
    <row r="1284" spans="1:18" x14ac:dyDescent="0.25">
      <c r="A1284">
        <v>6</v>
      </c>
      <c r="B1284" t="str">
        <f>HYPERLINK("http://www.ncbi.nlm.nih.gov/protein/BBB46091.1","BBB46091.1")</f>
        <v>BBB46091.1</v>
      </c>
      <c r="C1284">
        <v>5</v>
      </c>
      <c r="D1284" t="str">
        <f>HYPERLINK("http://www.ncbi.nlm.nih.gov/Taxonomy/Browser/wwwtax.cgi?mode=Info&amp;id=167134&amp;lvl=3&amp;lin=f&amp;keep=1&amp;srchmode=1&amp;unlock","167134")</f>
        <v>167134</v>
      </c>
      <c r="E1284" t="s">
        <v>763</v>
      </c>
      <c r="F1284" t="s">
        <v>763</v>
      </c>
      <c r="G1284" t="str">
        <f>HYPERLINK("http://www.ncbi.nlm.nih.gov/Taxonomy/Browser/wwwtax.cgi?mode=Info&amp;id=167134&amp;lvl=3&amp;lin=f&amp;keep=1&amp;srchmode=1&amp;unlock","Babylonia japonica")</f>
        <v>Babylonia japonica</v>
      </c>
      <c r="H1284" t="s">
        <v>946</v>
      </c>
      <c r="I1284" t="str">
        <f>HYPERLINK("http://www.ncbi.nlm.nih.gov/protein/BBB46091.1","retinoid X receptor isoform 1")</f>
        <v>retinoid X receptor isoform 1</v>
      </c>
      <c r="J1284">
        <v>111.31</v>
      </c>
      <c r="K1284" t="s">
        <v>25</v>
      </c>
      <c r="L1284">
        <v>157</v>
      </c>
      <c r="M1284">
        <v>44.41</v>
      </c>
      <c r="N1284">
        <v>5.93</v>
      </c>
      <c r="O1284" t="s">
        <v>25</v>
      </c>
      <c r="P1284" t="s">
        <v>965</v>
      </c>
      <c r="Q1284" t="s">
        <v>20</v>
      </c>
      <c r="R1284" t="str">
        <f>HYPERLINK("https://cfpub.epa.gov/ecotox/explore.cfm?ncbi=167134","Explore in ECOTOX")</f>
        <v>Explore in ECOTOX</v>
      </c>
    </row>
    <row r="1285" spans="1:18" x14ac:dyDescent="0.25">
      <c r="A1285">
        <v>6</v>
      </c>
      <c r="B1285" t="str">
        <f>HYPERLINK("http://www.ncbi.nlm.nih.gov/protein/ACY76263.1","ACY76263.1")</f>
        <v>ACY76263.1</v>
      </c>
      <c r="C1285">
        <v>208</v>
      </c>
      <c r="D1285" t="str">
        <f>HYPERLINK("http://www.ncbi.nlm.nih.gov/Taxonomy/Browser/wwwtax.cgi?mode=Info&amp;id=8855&amp;lvl=3&amp;lin=f&amp;keep=1&amp;srchmode=1&amp;unlock","8855")</f>
        <v>8855</v>
      </c>
      <c r="E1285" t="s">
        <v>167</v>
      </c>
      <c r="F1285" t="s">
        <v>167</v>
      </c>
      <c r="G1285" t="str">
        <f>HYPERLINK("http://www.ncbi.nlm.nih.gov/Taxonomy/Browser/wwwtax.cgi?mode=Info&amp;id=8855&amp;lvl=3&amp;lin=f&amp;keep=1&amp;srchmode=1&amp;unlock","Cairina moschata")</f>
        <v>Cairina moschata</v>
      </c>
      <c r="H1285" t="s">
        <v>1232</v>
      </c>
      <c r="I1285" t="str">
        <f>HYPERLINK("http://www.ncbi.nlm.nih.gov/protein/ACY76263.1","liver X receptor alpha protein")</f>
        <v>liver X receptor alpha protein</v>
      </c>
      <c r="J1285">
        <v>111.31</v>
      </c>
      <c r="K1285" t="s">
        <v>25</v>
      </c>
      <c r="L1285">
        <v>157</v>
      </c>
      <c r="M1285">
        <v>44.41</v>
      </c>
      <c r="N1285">
        <v>5.93</v>
      </c>
      <c r="O1285" t="s">
        <v>20</v>
      </c>
      <c r="P1285" t="s">
        <v>965</v>
      </c>
      <c r="Q1285" t="s">
        <v>20</v>
      </c>
      <c r="R1285" t="str">
        <f>HYPERLINK("https://cfpub.epa.gov/ecotox/explore.cfm?ncbi=8855","Explore in ECOTOX")</f>
        <v>Explore in ECOTOX</v>
      </c>
    </row>
    <row r="1286" spans="1:18" x14ac:dyDescent="0.25">
      <c r="A1286">
        <v>6</v>
      </c>
      <c r="B1286" t="str">
        <f>HYPERLINK("http://www.ncbi.nlm.nih.gov/protein/PIC20754.1","PIC20754.1")</f>
        <v>PIC20754.1</v>
      </c>
      <c r="C1286">
        <v>44576</v>
      </c>
      <c r="D1286" t="str">
        <f>HYPERLINK("http://www.ncbi.nlm.nih.gov/Taxonomy/Browser/wwwtax.cgi?mode=Info&amp;id=1611254&amp;lvl=3&amp;lin=f&amp;keep=1&amp;srchmode=1&amp;unlock","1611254")</f>
        <v>1611254</v>
      </c>
      <c r="E1286" t="s">
        <v>869</v>
      </c>
      <c r="F1286" t="s">
        <v>869</v>
      </c>
      <c r="G1286" t="str">
        <f>HYPERLINK("http://www.ncbi.nlm.nih.gov/Taxonomy/Browser/wwwtax.cgi?mode=Info&amp;id=1611254&amp;lvl=3&amp;lin=f&amp;keep=1&amp;srchmode=1&amp;unlock","Caenorhabditis nigoni")</f>
        <v>Caenorhabditis nigoni</v>
      </c>
      <c r="H1286" t="s">
        <v>803</v>
      </c>
      <c r="I1286" t="str">
        <f>HYPERLINK("http://www.ncbi.nlm.nih.gov/protein/PIC20754.1","hypothetical protein B9Z55_025837")</f>
        <v>hypothetical protein B9Z55_025837</v>
      </c>
      <c r="J1286">
        <v>110.92</v>
      </c>
      <c r="K1286" t="s">
        <v>25</v>
      </c>
      <c r="L1286">
        <v>157</v>
      </c>
      <c r="M1286">
        <v>44.41</v>
      </c>
      <c r="N1286">
        <v>5.9</v>
      </c>
      <c r="O1286" t="s">
        <v>25</v>
      </c>
      <c r="P1286" t="s">
        <v>965</v>
      </c>
      <c r="Q1286" t="s">
        <v>20</v>
      </c>
      <c r="R1286" t="str">
        <f>HYPERLINK("https://cfpub.epa.gov/ecotox/explore.cfm?ncbi=1611254","Explore in ECOTOX")</f>
        <v>Explore in ECOTOX</v>
      </c>
    </row>
    <row r="1287" spans="1:18" x14ac:dyDescent="0.25">
      <c r="A1287">
        <v>6</v>
      </c>
      <c r="B1287" t="str">
        <f>HYPERLINK("http://www.ncbi.nlm.nih.gov/protein/BBC78046.1","BBC78046.1")</f>
        <v>BBC78046.1</v>
      </c>
      <c r="C1287">
        <v>12</v>
      </c>
      <c r="D1287" t="str">
        <f>HYPERLINK("http://www.ncbi.nlm.nih.gov/Taxonomy/Browser/wwwtax.cgi?mode=Info&amp;id=141465&amp;lvl=3&amp;lin=f&amp;keep=1&amp;srchmode=1&amp;unlock","141465")</f>
        <v>141465</v>
      </c>
      <c r="E1287" t="s">
        <v>709</v>
      </c>
      <c r="F1287" t="s">
        <v>709</v>
      </c>
      <c r="G1287" t="str">
        <f>HYPERLINK("http://www.ncbi.nlm.nih.gov/Taxonomy/Browser/wwwtax.cgi?mode=Info&amp;id=141465&amp;lvl=3&amp;lin=f&amp;keep=1&amp;srchmode=1&amp;unlock","Corbicula sandai")</f>
        <v>Corbicula sandai</v>
      </c>
      <c r="H1287" t="s">
        <v>1094</v>
      </c>
      <c r="I1287" t="str">
        <f>HYPERLINK("http://www.ncbi.nlm.nih.gov/protein/BBC78046.1","retinoid X receptor")</f>
        <v>retinoid X receptor</v>
      </c>
      <c r="J1287">
        <v>110.92</v>
      </c>
      <c r="K1287" t="s">
        <v>25</v>
      </c>
      <c r="L1287">
        <v>157</v>
      </c>
      <c r="M1287">
        <v>44.41</v>
      </c>
      <c r="N1287">
        <v>5.9</v>
      </c>
      <c r="O1287" t="s">
        <v>25</v>
      </c>
      <c r="P1287" t="s">
        <v>965</v>
      </c>
      <c r="Q1287" t="s">
        <v>20</v>
      </c>
      <c r="R1287" t="str">
        <f>HYPERLINK("https://cfpub.epa.gov/ecotox/explore.cfm?ncbi=141465","Explore in ECOTOX")</f>
        <v>Explore in ECOTOX</v>
      </c>
    </row>
    <row r="1288" spans="1:18" x14ac:dyDescent="0.25">
      <c r="A1288">
        <v>6</v>
      </c>
      <c r="B1288" t="str">
        <f>HYPERLINK("http://www.ncbi.nlm.nih.gov/protein/AAB37686.1","AAB37686.1")</f>
        <v>AAB37686.1</v>
      </c>
      <c r="C1288">
        <v>25</v>
      </c>
      <c r="D1288" t="str">
        <f>HYPERLINK("http://www.ncbi.nlm.nih.gov/Taxonomy/Browser/wwwtax.cgi?mode=Info&amp;id=8353&amp;lvl=3&amp;lin=f&amp;keep=1&amp;srchmode=1&amp;unlock","8353")</f>
        <v>8353</v>
      </c>
      <c r="E1288" t="s">
        <v>134</v>
      </c>
      <c r="F1288" t="s">
        <v>134</v>
      </c>
      <c r="G1288" t="str">
        <f>HYPERLINK("http://www.ncbi.nlm.nih.gov/Taxonomy/Browser/wwwtax.cgi?mode=Info&amp;id=8353&amp;lvl=3&amp;lin=f&amp;keep=1&amp;srchmode=1&amp;unlock","Xenopus")</f>
        <v>Xenopus</v>
      </c>
      <c r="H1288" t="s">
        <v>1233</v>
      </c>
      <c r="I1288" t="str">
        <f>HYPERLINK("http://www.ncbi.nlm.nih.gov/protein/AAB37686.1","xCOUP-TF-B=proposed retinoid receptor-mediated transcriptional activation negative regulator ")</f>
        <v xml:space="preserve">xCOUP-TF-B=proposed retinoid receptor-mediated transcriptional activation negative regulator </v>
      </c>
      <c r="J1288">
        <v>110.92</v>
      </c>
      <c r="K1288" t="s">
        <v>25</v>
      </c>
      <c r="L1288">
        <v>157</v>
      </c>
      <c r="M1288">
        <v>44.41</v>
      </c>
      <c r="N1288">
        <v>5.9</v>
      </c>
      <c r="O1288" t="s">
        <v>20</v>
      </c>
      <c r="P1288" t="s">
        <v>965</v>
      </c>
      <c r="Q1288" t="s">
        <v>20</v>
      </c>
      <c r="R1288" t="str">
        <f>HYPERLINK("https://cfpub.epa.gov/ecotox/explore.cfm?ncbi=8353","Explore in ECOTOX")</f>
        <v>Explore in ECOTOX</v>
      </c>
    </row>
    <row r="1289" spans="1:18" x14ac:dyDescent="0.25">
      <c r="A1289">
        <v>6</v>
      </c>
      <c r="B1289" t="str">
        <f>HYPERLINK("http://www.ncbi.nlm.nih.gov/protein/CAP27470.2","CAP27470.2")</f>
        <v>CAP27470.2</v>
      </c>
      <c r="C1289">
        <v>42502</v>
      </c>
      <c r="D1289" t="str">
        <f>HYPERLINK("http://www.ncbi.nlm.nih.gov/Taxonomy/Browser/wwwtax.cgi?mode=Info&amp;id=6238&amp;lvl=3&amp;lin=f&amp;keep=1&amp;srchmode=1&amp;unlock","6238")</f>
        <v>6238</v>
      </c>
      <c r="E1289" t="s">
        <v>869</v>
      </c>
      <c r="F1289" t="s">
        <v>869</v>
      </c>
      <c r="G1289" t="str">
        <f>HYPERLINK("http://www.ncbi.nlm.nih.gov/Taxonomy/Browser/wwwtax.cgi?mode=Info&amp;id=6238&amp;lvl=3&amp;lin=f&amp;keep=1&amp;srchmode=1&amp;unlock","Caenorhabditis briggsae")</f>
        <v>Caenorhabditis briggsae</v>
      </c>
      <c r="H1289" t="s">
        <v>803</v>
      </c>
      <c r="I1289" t="str">
        <f>HYPERLINK("http://www.ncbi.nlm.nih.gov/protein/CAP27470.2","Protein CBR-NHR-91")</f>
        <v>Protein CBR-NHR-91</v>
      </c>
      <c r="J1289">
        <v>110.92</v>
      </c>
      <c r="K1289" t="s">
        <v>25</v>
      </c>
      <c r="L1289">
        <v>157</v>
      </c>
      <c r="M1289">
        <v>44.41</v>
      </c>
      <c r="N1289">
        <v>5.9</v>
      </c>
      <c r="O1289" t="s">
        <v>25</v>
      </c>
      <c r="P1289" t="s">
        <v>965</v>
      </c>
      <c r="Q1289" t="s">
        <v>20</v>
      </c>
      <c r="R1289" t="str">
        <f>HYPERLINK("https://cfpub.epa.gov/ecotox/explore.cfm?ncbi=6238","Explore in ECOTOX")</f>
        <v>Explore in ECOTOX</v>
      </c>
    </row>
    <row r="1290" spans="1:18" x14ac:dyDescent="0.25">
      <c r="A1290">
        <v>6</v>
      </c>
      <c r="B1290" t="str">
        <f>HYPERLINK("http://www.ncbi.nlm.nih.gov/protein/VDP16058.1","VDP16058.1")</f>
        <v>VDP16058.1</v>
      </c>
      <c r="C1290">
        <v>25608</v>
      </c>
      <c r="D1290" t="str">
        <f>HYPERLINK("http://www.ncbi.nlm.nih.gov/Taxonomy/Browser/wwwtax.cgi?mode=Info&amp;id=48269&amp;lvl=3&amp;lin=f&amp;keep=1&amp;srchmode=1&amp;unlock","48269")</f>
        <v>48269</v>
      </c>
      <c r="E1290" t="s">
        <v>793</v>
      </c>
      <c r="F1290" t="s">
        <v>793</v>
      </c>
      <c r="G1290" t="str">
        <f>HYPERLINK("http://www.ncbi.nlm.nih.gov/Taxonomy/Browser/wwwtax.cgi?mode=Info&amp;id=48269&amp;lvl=3&amp;lin=f&amp;keep=1&amp;srchmode=1&amp;unlock","Schistosoma margrebowiei")</f>
        <v>Schistosoma margrebowiei</v>
      </c>
      <c r="H1290" t="s">
        <v>794</v>
      </c>
      <c r="I1290" t="str">
        <f>HYPERLINK("http://www.ncbi.nlm.nih.gov/protein/VDP16058.1","unnamed protein product")</f>
        <v>unnamed protein product</v>
      </c>
      <c r="J1290">
        <v>110.92</v>
      </c>
      <c r="K1290" t="s">
        <v>25</v>
      </c>
      <c r="L1290">
        <v>157</v>
      </c>
      <c r="M1290">
        <v>44.41</v>
      </c>
      <c r="N1290">
        <v>5.9</v>
      </c>
      <c r="O1290" t="s">
        <v>25</v>
      </c>
      <c r="P1290" t="s">
        <v>965</v>
      </c>
      <c r="Q1290" t="s">
        <v>20</v>
      </c>
      <c r="R1290" t="str">
        <f>HYPERLINK("https://cfpub.epa.gov/ecotox/explore.cfm?ncbi=48269","Explore in ECOTOX")</f>
        <v>Explore in ECOTOX</v>
      </c>
    </row>
    <row r="1291" spans="1:18" x14ac:dyDescent="0.25">
      <c r="A1291">
        <v>6</v>
      </c>
      <c r="B1291" t="str">
        <f>HYPERLINK("http://www.ncbi.nlm.nih.gov/protein/KOB70144.1","KOB70144.1")</f>
        <v>KOB70144.1</v>
      </c>
      <c r="C1291">
        <v>17113</v>
      </c>
      <c r="D1291" t="str">
        <f>HYPERLINK("http://www.ncbi.nlm.nih.gov/Taxonomy/Browser/wwwtax.cgi?mode=Info&amp;id=104452&amp;lvl=3&amp;lin=f&amp;keep=1&amp;srchmode=1&amp;unlock","104452")</f>
        <v>104452</v>
      </c>
      <c r="E1291" t="s">
        <v>698</v>
      </c>
      <c r="F1291" t="s">
        <v>698</v>
      </c>
      <c r="G1291" t="str">
        <f>HYPERLINK("http://www.ncbi.nlm.nih.gov/Taxonomy/Browser/wwwtax.cgi?mode=Info&amp;id=104452&amp;lvl=3&amp;lin=f&amp;keep=1&amp;srchmode=1&amp;unlock","Operophtera brumata")</f>
        <v>Operophtera brumata</v>
      </c>
      <c r="H1291" t="s">
        <v>1234</v>
      </c>
      <c r="I1291" t="str">
        <f>HYPERLINK("http://www.ncbi.nlm.nih.gov/protein/KOB70144.1","Hormone receptor 39, partial")</f>
        <v>Hormone receptor 39, partial</v>
      </c>
      <c r="J1291">
        <v>110.54</v>
      </c>
      <c r="K1291" t="s">
        <v>25</v>
      </c>
      <c r="L1291">
        <v>157</v>
      </c>
      <c r="M1291">
        <v>44.41</v>
      </c>
      <c r="N1291">
        <v>5.88</v>
      </c>
      <c r="O1291" t="s">
        <v>25</v>
      </c>
      <c r="P1291" t="s">
        <v>965</v>
      </c>
      <c r="Q1291" t="s">
        <v>20</v>
      </c>
      <c r="R1291" t="str">
        <f>HYPERLINK("https://cfpub.epa.gov/ecotox/explore.cfm?ncbi=104452","Explore in ECOTOX")</f>
        <v>Explore in ECOTOX</v>
      </c>
    </row>
    <row r="1292" spans="1:18" x14ac:dyDescent="0.25">
      <c r="A1292">
        <v>6</v>
      </c>
      <c r="B1292" t="str">
        <f>HYPERLINK("http://www.ncbi.nlm.nih.gov/protein/VVC45261.1","VVC45261.1")</f>
        <v>VVC45261.1</v>
      </c>
      <c r="C1292">
        <v>22242</v>
      </c>
      <c r="D1292" t="str">
        <f>HYPERLINK("http://www.ncbi.nlm.nih.gov/Taxonomy/Browser/wwwtax.cgi?mode=Info&amp;id=506608&amp;lvl=3&amp;lin=f&amp;keep=1&amp;srchmode=1&amp;unlock","506608")</f>
        <v>506608</v>
      </c>
      <c r="E1292" t="s">
        <v>698</v>
      </c>
      <c r="F1292" t="s">
        <v>698</v>
      </c>
      <c r="G1292" t="str">
        <f>HYPERLINK("http://www.ncbi.nlm.nih.gov/Taxonomy/Browser/wwwtax.cgi?mode=Info&amp;id=506608&amp;lvl=3&amp;lin=f&amp;keep=1&amp;srchmode=1&amp;unlock","Cinara cedri")</f>
        <v>Cinara cedri</v>
      </c>
      <c r="H1292" t="s">
        <v>847</v>
      </c>
      <c r="I1292" t="str">
        <f>HYPERLINK("http://www.ncbi.nlm.nih.gov/protein/VVC45261.1","Zinc finger, nuclear hormone receptor-type,Retinoid X receptor/HNF4,Nuclear hormone receptor")</f>
        <v>Zinc finger, nuclear hormone receptor-type,Retinoid X receptor/HNF4,Nuclear hormone receptor</v>
      </c>
      <c r="J1292">
        <v>110.54</v>
      </c>
      <c r="K1292" t="s">
        <v>25</v>
      </c>
      <c r="L1292">
        <v>157</v>
      </c>
      <c r="M1292">
        <v>44.41</v>
      </c>
      <c r="N1292">
        <v>5.88</v>
      </c>
      <c r="O1292" t="s">
        <v>25</v>
      </c>
      <c r="P1292" t="s">
        <v>965</v>
      </c>
      <c r="Q1292" t="s">
        <v>20</v>
      </c>
      <c r="R1292" t="str">
        <f>HYPERLINK("https://cfpub.epa.gov/ecotox/explore.cfm?ncbi=506608","Explore in ECOTOX")</f>
        <v>Explore in ECOTOX</v>
      </c>
    </row>
    <row r="1293" spans="1:18" x14ac:dyDescent="0.25">
      <c r="A1293">
        <v>6</v>
      </c>
      <c r="B1293" t="str">
        <f>HYPERLINK("http://www.ncbi.nlm.nih.gov/protein/QJG66093.1","QJG66093.1")</f>
        <v>QJG66093.1</v>
      </c>
      <c r="C1293">
        <v>2</v>
      </c>
      <c r="D1293" t="str">
        <f>HYPERLINK("http://www.ncbi.nlm.nih.gov/Taxonomy/Browser/wwwtax.cgi?mode=Info&amp;id=492058&amp;lvl=3&amp;lin=f&amp;keep=1&amp;srchmode=1&amp;unlock","492058")</f>
        <v>492058</v>
      </c>
      <c r="E1293" t="s">
        <v>1235</v>
      </c>
      <c r="F1293" t="s">
        <v>1235</v>
      </c>
      <c r="G1293" t="str">
        <f>HYPERLINK("http://www.ncbi.nlm.nih.gov/Taxonomy/Browser/wwwtax.cgi?mode=Info&amp;id=492058&amp;lvl=3&amp;lin=f&amp;keep=1&amp;srchmode=1&amp;unlock","Phoronopsis californica")</f>
        <v>Phoronopsis californica</v>
      </c>
      <c r="H1293" t="s">
        <v>1236</v>
      </c>
      <c r="I1293" t="str">
        <f>HYPERLINK("http://www.ncbi.nlm.nih.gov/protein/QJG66093.1","retinoid X receptor")</f>
        <v>retinoid X receptor</v>
      </c>
      <c r="J1293">
        <v>110.15</v>
      </c>
      <c r="K1293" t="s">
        <v>25</v>
      </c>
      <c r="L1293">
        <v>157</v>
      </c>
      <c r="M1293">
        <v>44.41</v>
      </c>
      <c r="N1293">
        <v>5.86</v>
      </c>
      <c r="O1293" t="s">
        <v>25</v>
      </c>
      <c r="P1293" t="s">
        <v>965</v>
      </c>
      <c r="Q1293" t="s">
        <v>20</v>
      </c>
      <c r="R1293" t="str">
        <f>HYPERLINK("https://cfpub.epa.gov/ecotox/explore.cfm?ncbi=492058","Explore in ECOTOX")</f>
        <v>Explore in ECOTOX</v>
      </c>
    </row>
    <row r="1294" spans="1:18" x14ac:dyDescent="0.25">
      <c r="A1294">
        <v>6</v>
      </c>
      <c r="B1294" t="str">
        <f>HYPERLINK("http://www.ncbi.nlm.nih.gov/protein/ACO44668.1","ACO44668.1")</f>
        <v>ACO44668.1</v>
      </c>
      <c r="C1294">
        <v>416</v>
      </c>
      <c r="D1294" t="str">
        <f>HYPERLINK("http://www.ncbi.nlm.nih.gov/Taxonomy/Browser/wwwtax.cgi?mode=Info&amp;id=491138&amp;lvl=3&amp;lin=f&amp;keep=1&amp;srchmode=1&amp;unlock","491138")</f>
        <v>491138</v>
      </c>
      <c r="E1294" t="s">
        <v>742</v>
      </c>
      <c r="F1294" t="s">
        <v>742</v>
      </c>
      <c r="G1294" t="str">
        <f>HYPERLINK("http://www.ncbi.nlm.nih.gov/Taxonomy/Browser/wwwtax.cgi?mode=Info&amp;id=491138&amp;lvl=3&amp;lin=f&amp;keep=1&amp;srchmode=1&amp;unlock","Crangon crangon")</f>
        <v>Crangon crangon</v>
      </c>
      <c r="H1294" t="s">
        <v>792</v>
      </c>
      <c r="I1294" t="str">
        <f>HYPERLINK("http://www.ncbi.nlm.nih.gov/protein/ACO44668.1","retinoid X receptor isoform 1")</f>
        <v>retinoid X receptor isoform 1</v>
      </c>
      <c r="J1294">
        <v>110.15</v>
      </c>
      <c r="K1294" t="s">
        <v>25</v>
      </c>
      <c r="L1294">
        <v>157</v>
      </c>
      <c r="M1294">
        <v>44.41</v>
      </c>
      <c r="N1294">
        <v>5.86</v>
      </c>
      <c r="O1294" t="s">
        <v>25</v>
      </c>
      <c r="P1294" t="s">
        <v>965</v>
      </c>
      <c r="Q1294" t="s">
        <v>20</v>
      </c>
      <c r="R1294" t="str">
        <f>HYPERLINK("https://cfpub.epa.gov/ecotox/explore.cfm?ncbi=491138","Explore in ECOTOX")</f>
        <v>Explore in ECOTOX</v>
      </c>
    </row>
    <row r="1295" spans="1:18" x14ac:dyDescent="0.25">
      <c r="A1295">
        <v>6</v>
      </c>
      <c r="B1295" t="str">
        <f>HYPERLINK("http://www.ncbi.nlm.nih.gov/protein/RDD45367.1","RDD45367.1")</f>
        <v>RDD45367.1</v>
      </c>
      <c r="C1295">
        <v>12180</v>
      </c>
      <c r="D1295" t="str">
        <f>HYPERLINK("http://www.ncbi.nlm.nih.gov/Taxonomy/Browser/wwwtax.cgi?mode=Info&amp;id=287889&amp;lvl=3&amp;lin=f&amp;keep=1&amp;srchmode=1&amp;unlock","287889")</f>
        <v>287889</v>
      </c>
      <c r="E1295" t="s">
        <v>864</v>
      </c>
      <c r="F1295" t="s">
        <v>864</v>
      </c>
      <c r="G1295" t="str">
        <f>HYPERLINK("http://www.ncbi.nlm.nih.gov/Taxonomy/Browser/wwwtax.cgi?mode=Info&amp;id=287889&amp;lvl=3&amp;lin=f&amp;keep=1&amp;srchmode=1&amp;unlock","Trichoplax sp. H2")</f>
        <v>Trichoplax sp. H2</v>
      </c>
      <c r="H1295" t="s">
        <v>865</v>
      </c>
      <c r="I1295" t="str">
        <f>HYPERLINK("http://www.ncbi.nlm.nih.gov/protein/RDD45367.1","Retinoic acid receptor RXR-gamma-A")</f>
        <v>Retinoic acid receptor RXR-gamma-A</v>
      </c>
      <c r="J1295">
        <v>110.15</v>
      </c>
      <c r="K1295" t="s">
        <v>25</v>
      </c>
      <c r="L1295">
        <v>157</v>
      </c>
      <c r="M1295">
        <v>44.41</v>
      </c>
      <c r="N1295">
        <v>5.86</v>
      </c>
      <c r="O1295" t="s">
        <v>25</v>
      </c>
      <c r="P1295" t="s">
        <v>965</v>
      </c>
      <c r="Q1295" t="s">
        <v>20</v>
      </c>
      <c r="R1295" t="str">
        <f>HYPERLINK("https://cfpub.epa.gov/ecotox/explore.cfm?ncbi=287889","Explore in ECOTOX")</f>
        <v>Explore in ECOTOX</v>
      </c>
    </row>
    <row r="1296" spans="1:18" x14ac:dyDescent="0.25">
      <c r="A1296">
        <v>6</v>
      </c>
      <c r="B1296" t="str">
        <f>HYPERLINK("http://www.ncbi.nlm.nih.gov/protein/AJT60337.1","AJT60337.1")</f>
        <v>AJT60337.1</v>
      </c>
      <c r="C1296">
        <v>507</v>
      </c>
      <c r="D1296" t="str">
        <f>HYPERLINK("http://www.ncbi.nlm.nih.gov/Taxonomy/Browser/wwwtax.cgi?mode=Info&amp;id=27406&amp;lvl=3&amp;lin=f&amp;keep=1&amp;srchmode=1&amp;unlock","27406")</f>
        <v>27406</v>
      </c>
      <c r="E1296" t="s">
        <v>742</v>
      </c>
      <c r="F1296" t="s">
        <v>742</v>
      </c>
      <c r="G1296" t="str">
        <f>HYPERLINK("http://www.ncbi.nlm.nih.gov/Taxonomy/Browser/wwwtax.cgi?mode=Info&amp;id=27406&amp;lvl=3&amp;lin=f&amp;keep=1&amp;srchmode=1&amp;unlock","Cherax quadricarinatus")</f>
        <v>Cherax quadricarinatus</v>
      </c>
      <c r="H1296" t="s">
        <v>836</v>
      </c>
      <c r="I1296" t="str">
        <f>HYPERLINK("http://www.ncbi.nlm.nih.gov/protein/AJT60337.1","retinoid X receptor")</f>
        <v>retinoid X receptor</v>
      </c>
      <c r="J1296">
        <v>110.15</v>
      </c>
      <c r="K1296" t="s">
        <v>25</v>
      </c>
      <c r="L1296">
        <v>157</v>
      </c>
      <c r="M1296">
        <v>44.41</v>
      </c>
      <c r="N1296">
        <v>5.86</v>
      </c>
      <c r="O1296" t="s">
        <v>25</v>
      </c>
      <c r="P1296" t="s">
        <v>965</v>
      </c>
      <c r="Q1296" t="s">
        <v>20</v>
      </c>
      <c r="R1296" t="str">
        <f>HYPERLINK("https://cfpub.epa.gov/ecotox/explore.cfm?ncbi=27406","Explore in ECOTOX")</f>
        <v>Explore in ECOTOX</v>
      </c>
    </row>
    <row r="1297" spans="1:18" x14ac:dyDescent="0.25">
      <c r="A1297">
        <v>6</v>
      </c>
      <c r="B1297" t="str">
        <f>HYPERLINK("http://www.ncbi.nlm.nih.gov/protein/AAM08268.1","AAM08268.1")</f>
        <v>AAM08268.1</v>
      </c>
      <c r="C1297">
        <v>266</v>
      </c>
      <c r="D1297" t="str">
        <f>HYPERLINK("http://www.ncbi.nlm.nih.gov/Taxonomy/Browser/wwwtax.cgi?mode=Info&amp;id=6287&amp;lvl=3&amp;lin=f&amp;keep=1&amp;srchmode=1&amp;unlock","6287")</f>
        <v>6287</v>
      </c>
      <c r="E1297" t="s">
        <v>869</v>
      </c>
      <c r="F1297" t="s">
        <v>869</v>
      </c>
      <c r="G1297" t="str">
        <f>HYPERLINK("http://www.ncbi.nlm.nih.gov/Taxonomy/Browser/wwwtax.cgi?mode=Info&amp;id=6287&amp;lvl=3&amp;lin=f&amp;keep=1&amp;srchmode=1&amp;unlock","Dirofilaria immitis")</f>
        <v>Dirofilaria immitis</v>
      </c>
      <c r="H1297" t="s">
        <v>1237</v>
      </c>
      <c r="I1297" t="str">
        <f>HYPERLINK("http://www.ncbi.nlm.nih.gov/protein/AAM08268.1","nuclear receptor RXR")</f>
        <v>nuclear receptor RXR</v>
      </c>
      <c r="J1297">
        <v>110.15</v>
      </c>
      <c r="K1297" t="s">
        <v>25</v>
      </c>
      <c r="L1297">
        <v>157</v>
      </c>
      <c r="M1297">
        <v>44.41</v>
      </c>
      <c r="N1297">
        <v>5.86</v>
      </c>
      <c r="O1297" t="s">
        <v>25</v>
      </c>
      <c r="P1297" t="s">
        <v>965</v>
      </c>
      <c r="Q1297" t="s">
        <v>20</v>
      </c>
      <c r="R1297" t="str">
        <f>HYPERLINK("https://cfpub.epa.gov/ecotox/explore.cfm?ncbi=6287","Explore in ECOTOX")</f>
        <v>Explore in ECOTOX</v>
      </c>
    </row>
    <row r="1298" spans="1:18" x14ac:dyDescent="0.25">
      <c r="A1298">
        <v>6</v>
      </c>
      <c r="B1298" t="str">
        <f>HYPERLINK("http://www.ncbi.nlm.nih.gov/protein/AVP39744.1","AVP39744.1")</f>
        <v>AVP39744.1</v>
      </c>
      <c r="C1298">
        <v>23210</v>
      </c>
      <c r="D1298" t="str">
        <f>HYPERLINK("http://www.ncbi.nlm.nih.gov/Taxonomy/Browser/wwwtax.cgi?mode=Info&amp;id=10228&amp;lvl=3&amp;lin=f&amp;keep=1&amp;srchmode=1&amp;unlock","10228")</f>
        <v>10228</v>
      </c>
      <c r="E1298" t="s">
        <v>864</v>
      </c>
      <c r="F1298" t="s">
        <v>864</v>
      </c>
      <c r="G1298" t="str">
        <f>HYPERLINK("http://www.ncbi.nlm.nih.gov/Taxonomy/Browser/wwwtax.cgi?mode=Info&amp;id=10228&amp;lvl=3&amp;lin=f&amp;keep=1&amp;srchmode=1&amp;unlock","Trichoplax adhaerens")</f>
        <v>Trichoplax adhaerens</v>
      </c>
      <c r="H1298" t="s">
        <v>865</v>
      </c>
      <c r="I1298" t="str">
        <f>HYPERLINK("http://www.ncbi.nlm.nih.gov/protein/AVP39744.1","retinoid X receptor")</f>
        <v>retinoid X receptor</v>
      </c>
      <c r="J1298">
        <v>110.15</v>
      </c>
      <c r="K1298" t="s">
        <v>25</v>
      </c>
      <c r="L1298">
        <v>157</v>
      </c>
      <c r="M1298">
        <v>44.41</v>
      </c>
      <c r="N1298">
        <v>5.86</v>
      </c>
      <c r="O1298" t="s">
        <v>25</v>
      </c>
      <c r="P1298" t="s">
        <v>965</v>
      </c>
      <c r="Q1298" t="s">
        <v>20</v>
      </c>
      <c r="R1298" t="str">
        <f>HYPERLINK("https://cfpub.epa.gov/ecotox/explore.cfm?ncbi=10228","Explore in ECOTOX")</f>
        <v>Explore in ECOTOX</v>
      </c>
    </row>
    <row r="1299" spans="1:18" x14ac:dyDescent="0.25">
      <c r="A1299">
        <v>6</v>
      </c>
      <c r="B1299" t="str">
        <f>HYPERLINK("http://www.ncbi.nlm.nih.gov/protein/VUY41593.1","VUY41593.1")</f>
        <v>VUY41593.1</v>
      </c>
      <c r="C1299">
        <v>33</v>
      </c>
      <c r="D1299" t="str">
        <f>HYPERLINK("http://www.ncbi.nlm.nih.gov/Taxonomy/Browser/wwwtax.cgi?mode=Info&amp;id=1661817&amp;lvl=3&amp;lin=f&amp;keep=1&amp;srchmode=1&amp;unlock","1661817")</f>
        <v>1661817</v>
      </c>
      <c r="E1299" t="s">
        <v>698</v>
      </c>
      <c r="F1299" t="s">
        <v>698</v>
      </c>
      <c r="G1299" t="str">
        <f>HYPERLINK("http://www.ncbi.nlm.nih.gov/Taxonomy/Browser/wwwtax.cgi?mode=Info&amp;id=1661817&amp;lvl=3&amp;lin=f&amp;keep=1&amp;srchmode=1&amp;unlock","Bitoma cylindrica")</f>
        <v>Bitoma cylindrica</v>
      </c>
      <c r="H1299" t="s">
        <v>1238</v>
      </c>
      <c r="I1299" t="str">
        <f>HYPERLINK("http://www.ncbi.nlm.nih.gov/protein/VUY41593.1","Ecdysone receptor, partial")</f>
        <v>Ecdysone receptor, partial</v>
      </c>
      <c r="J1299">
        <v>110.15</v>
      </c>
      <c r="K1299" t="s">
        <v>25</v>
      </c>
      <c r="L1299">
        <v>157</v>
      </c>
      <c r="M1299">
        <v>44.41</v>
      </c>
      <c r="N1299">
        <v>5.86</v>
      </c>
      <c r="O1299" t="s">
        <v>25</v>
      </c>
      <c r="P1299" t="s">
        <v>965</v>
      </c>
      <c r="Q1299" t="s">
        <v>20</v>
      </c>
      <c r="R1299" t="str">
        <f>HYPERLINK("https://cfpub.epa.gov/ecotox/explore.cfm?ncbi=1661817","Explore in ECOTOX")</f>
        <v>Explore in ECOTOX</v>
      </c>
    </row>
    <row r="1300" spans="1:18" x14ac:dyDescent="0.25">
      <c r="A1300">
        <v>6</v>
      </c>
      <c r="B1300" t="str">
        <f>HYPERLINK("http://www.ncbi.nlm.nih.gov/protein/AAG15181.1","AAG15181.1")</f>
        <v>AAG15181.1</v>
      </c>
      <c r="C1300">
        <v>67176</v>
      </c>
      <c r="D1300" t="str">
        <f>HYPERLINK("http://www.ncbi.nlm.nih.gov/Taxonomy/Browser/wwwtax.cgi?mode=Info&amp;id=6239&amp;lvl=3&amp;lin=f&amp;keep=1&amp;srchmode=1&amp;unlock","6239")</f>
        <v>6239</v>
      </c>
      <c r="E1300" t="s">
        <v>869</v>
      </c>
      <c r="F1300" t="s">
        <v>869</v>
      </c>
      <c r="G1300" t="str">
        <f>HYPERLINK("http://www.ncbi.nlm.nih.gov/Taxonomy/Browser/wwwtax.cgi?mode=Info&amp;id=6239&amp;lvl=3&amp;lin=f&amp;keep=1&amp;srchmode=1&amp;unlock","Caenorhabditis elegans")</f>
        <v>Caenorhabditis elegans</v>
      </c>
      <c r="H1300" t="s">
        <v>1239</v>
      </c>
      <c r="I1300" t="str">
        <f>HYPERLINK("http://www.ncbi.nlm.nih.gov/protein/AAG15181.1","nuclear receptor NHR-91, partial")</f>
        <v>nuclear receptor NHR-91, partial</v>
      </c>
      <c r="J1300">
        <v>110.15</v>
      </c>
      <c r="K1300" t="s">
        <v>25</v>
      </c>
      <c r="L1300">
        <v>157</v>
      </c>
      <c r="M1300">
        <v>44.41</v>
      </c>
      <c r="N1300">
        <v>5.86</v>
      </c>
      <c r="O1300" t="s">
        <v>25</v>
      </c>
      <c r="P1300" t="s">
        <v>965</v>
      </c>
      <c r="Q1300" t="s">
        <v>20</v>
      </c>
      <c r="R1300" t="str">
        <f>HYPERLINK("https://cfpub.epa.gov/ecotox/explore.cfm?ncbi=6239","Explore in ECOTOX")</f>
        <v>Explore in ECOTOX</v>
      </c>
    </row>
    <row r="1301" spans="1:18" x14ac:dyDescent="0.25">
      <c r="A1301">
        <v>6</v>
      </c>
      <c r="B1301" t="str">
        <f>HYPERLINK("http://www.ncbi.nlm.nih.gov/protein/CAD7619791.1","CAD7619791.1")</f>
        <v>CAD7619791.1</v>
      </c>
      <c r="C1301">
        <v>23367</v>
      </c>
      <c r="D1301" t="str">
        <f>HYPERLINK("http://www.ncbi.nlm.nih.gov/Taxonomy/Browser/wwwtax.cgi?mode=Info&amp;id=1979941&amp;lvl=3&amp;lin=f&amp;keep=1&amp;srchmode=1&amp;unlock","1979941")</f>
        <v>1979941</v>
      </c>
      <c r="E1301" t="s">
        <v>700</v>
      </c>
      <c r="F1301" t="s">
        <v>700</v>
      </c>
      <c r="G1301" t="str">
        <f>HYPERLINK("http://www.ncbi.nlm.nih.gov/Taxonomy/Browser/wwwtax.cgi?mode=Info&amp;id=1979941&amp;lvl=3&amp;lin=f&amp;keep=1&amp;srchmode=1&amp;unlock","Medioppia subpectinata")</f>
        <v>Medioppia subpectinata</v>
      </c>
      <c r="H1301" t="s">
        <v>714</v>
      </c>
      <c r="I1301" t="str">
        <f>HYPERLINK("http://www.ncbi.nlm.nih.gov/protein/CAD7619791.1","unnamed protein product")</f>
        <v>unnamed protein product</v>
      </c>
      <c r="J1301">
        <v>110.15</v>
      </c>
      <c r="K1301" t="s">
        <v>25</v>
      </c>
      <c r="L1301">
        <v>157</v>
      </c>
      <c r="M1301">
        <v>44.41</v>
      </c>
      <c r="N1301">
        <v>5.86</v>
      </c>
      <c r="O1301" t="s">
        <v>25</v>
      </c>
      <c r="P1301" t="s">
        <v>965</v>
      </c>
      <c r="Q1301" t="s">
        <v>20</v>
      </c>
      <c r="R1301" t="str">
        <f>HYPERLINK("https://cfpub.epa.gov/ecotox/explore.cfm?ncbi=1979941","Explore in ECOTOX")</f>
        <v>Explore in ECOTOX</v>
      </c>
    </row>
    <row r="1302" spans="1:18" x14ac:dyDescent="0.25">
      <c r="A1302">
        <v>6</v>
      </c>
      <c r="B1302" t="str">
        <f>HYPERLINK("http://www.ncbi.nlm.nih.gov/protein/AOX49913.1","AOX49913.1")</f>
        <v>AOX49913.1</v>
      </c>
      <c r="C1302">
        <v>24</v>
      </c>
      <c r="D1302" t="str">
        <f>HYPERLINK("http://www.ncbi.nlm.nih.gov/Taxonomy/Browser/wwwtax.cgi?mode=Info&amp;id=185732&amp;lvl=3&amp;lin=f&amp;keep=1&amp;srchmode=1&amp;unlock","185732")</f>
        <v>185732</v>
      </c>
      <c r="E1302" t="s">
        <v>384</v>
      </c>
      <c r="F1302" t="s">
        <v>384</v>
      </c>
      <c r="G1302" t="str">
        <f>HYPERLINK("http://www.ncbi.nlm.nih.gov/Taxonomy/Browser/wwwtax.cgi?mode=Info&amp;id=185732&amp;lvl=3&amp;lin=f&amp;keep=1&amp;srchmode=1&amp;unlock","Clevelandia ios")</f>
        <v>Clevelandia ios</v>
      </c>
      <c r="H1302" t="s">
        <v>1240</v>
      </c>
      <c r="I1302" t="str">
        <f>HYPERLINK("http://www.ncbi.nlm.nih.gov/protein/AOX49913.1","estrogen receptor gamma, partial")</f>
        <v>estrogen receptor gamma, partial</v>
      </c>
      <c r="J1302">
        <v>109.77</v>
      </c>
      <c r="K1302" t="s">
        <v>25</v>
      </c>
      <c r="L1302">
        <v>157</v>
      </c>
      <c r="M1302">
        <v>44.41</v>
      </c>
      <c r="N1302">
        <v>5.84</v>
      </c>
      <c r="O1302" t="s">
        <v>25</v>
      </c>
      <c r="P1302" t="s">
        <v>965</v>
      </c>
      <c r="Q1302" t="s">
        <v>20</v>
      </c>
      <c r="R1302" t="str">
        <f>HYPERLINK("https://cfpub.epa.gov/ecotox/explore.cfm?ncbi=185732","Explore in ECOTOX")</f>
        <v>Explore in ECOTOX</v>
      </c>
    </row>
    <row r="1303" spans="1:18" x14ac:dyDescent="0.25">
      <c r="A1303">
        <v>6</v>
      </c>
      <c r="B1303" t="str">
        <f>HYPERLINK("http://www.ncbi.nlm.nih.gov/protein/AMM72863.1","AMM72863.1")</f>
        <v>AMM72863.1</v>
      </c>
      <c r="C1303">
        <v>204</v>
      </c>
      <c r="D1303" t="str">
        <f>HYPERLINK("http://www.ncbi.nlm.nih.gov/Taxonomy/Browser/wwwtax.cgi?mode=Info&amp;id=267130&amp;lvl=3&amp;lin=f&amp;keep=1&amp;srchmode=1&amp;unlock","267130")</f>
        <v>267130</v>
      </c>
      <c r="E1303" t="s">
        <v>384</v>
      </c>
      <c r="F1303" t="s">
        <v>384</v>
      </c>
      <c r="G1303" t="str">
        <f>HYPERLINK("http://www.ncbi.nlm.nih.gov/Taxonomy/Browser/wwwtax.cgi?mode=Info&amp;id=267130&amp;lvl=3&amp;lin=f&amp;keep=1&amp;srchmode=1&amp;unlock","Acanthogobius hasta")</f>
        <v>Acanthogobius hasta</v>
      </c>
      <c r="H1303" t="s">
        <v>678</v>
      </c>
      <c r="I1303" t="str">
        <f>HYPERLINK("http://www.ncbi.nlm.nih.gov/protein/AMM72863.1","liver X receptor")</f>
        <v>liver X receptor</v>
      </c>
      <c r="J1303">
        <v>109.77</v>
      </c>
      <c r="K1303" t="s">
        <v>25</v>
      </c>
      <c r="L1303">
        <v>157</v>
      </c>
      <c r="M1303">
        <v>44.41</v>
      </c>
      <c r="N1303">
        <v>5.84</v>
      </c>
      <c r="O1303" t="s">
        <v>25</v>
      </c>
      <c r="P1303" t="s">
        <v>965</v>
      </c>
      <c r="Q1303" t="s">
        <v>20</v>
      </c>
      <c r="R1303" t="str">
        <f>HYPERLINK("https://cfpub.epa.gov/ecotox/explore.cfm?ncbi=267130","Explore in ECOTOX")</f>
        <v>Explore in ECOTOX</v>
      </c>
    </row>
    <row r="1304" spans="1:18" x14ac:dyDescent="0.25">
      <c r="A1304">
        <v>6</v>
      </c>
      <c r="B1304" t="str">
        <f>HYPERLINK("http://www.ncbi.nlm.nih.gov/protein/XP_025425458.1","XP_025425458.1")</f>
        <v>XP_025425458.1</v>
      </c>
      <c r="C1304">
        <v>21321</v>
      </c>
      <c r="D1304" t="str">
        <f>HYPERLINK("http://www.ncbi.nlm.nih.gov/Taxonomy/Browser/wwwtax.cgi?mode=Info&amp;id=143950&amp;lvl=3&amp;lin=f&amp;keep=1&amp;srchmode=1&amp;unlock","143950")</f>
        <v>143950</v>
      </c>
      <c r="E1304" t="s">
        <v>698</v>
      </c>
      <c r="F1304" t="s">
        <v>698</v>
      </c>
      <c r="G1304" t="str">
        <f>HYPERLINK("http://www.ncbi.nlm.nih.gov/Taxonomy/Browser/wwwtax.cgi?mode=Info&amp;id=143950&amp;lvl=3&amp;lin=f&amp;keep=1&amp;srchmode=1&amp;unlock","Sipha flava")</f>
        <v>Sipha flava</v>
      </c>
      <c r="H1304" t="s">
        <v>829</v>
      </c>
      <c r="I1304" t="str">
        <f>HYPERLINK("http://www.ncbi.nlm.nih.gov/protein/XP_025425458.1","transcription factor HNF-4 homolog isoform X3")</f>
        <v>transcription factor HNF-4 homolog isoform X3</v>
      </c>
      <c r="J1304">
        <v>109.77</v>
      </c>
      <c r="K1304" t="s">
        <v>25</v>
      </c>
      <c r="L1304">
        <v>157</v>
      </c>
      <c r="M1304">
        <v>44.41</v>
      </c>
      <c r="N1304">
        <v>5.84</v>
      </c>
      <c r="O1304" t="s">
        <v>25</v>
      </c>
      <c r="P1304" t="s">
        <v>965</v>
      </c>
      <c r="Q1304" t="s">
        <v>20</v>
      </c>
      <c r="R1304" t="str">
        <f>HYPERLINK("https://cfpub.epa.gov/ecotox/explore.cfm?ncbi=143950","Explore in ECOTOX")</f>
        <v>Explore in ECOTOX</v>
      </c>
    </row>
    <row r="1305" spans="1:18" x14ac:dyDescent="0.25">
      <c r="A1305">
        <v>6</v>
      </c>
      <c r="B1305" t="str">
        <f>HYPERLINK("http://www.ncbi.nlm.nih.gov/protein/EGT40508.1","EGT40508.1")</f>
        <v>EGT40508.1</v>
      </c>
      <c r="C1305">
        <v>31595</v>
      </c>
      <c r="D1305" t="str">
        <f>HYPERLINK("http://www.ncbi.nlm.nih.gov/Taxonomy/Browser/wwwtax.cgi?mode=Info&amp;id=135651&amp;lvl=3&amp;lin=f&amp;keep=1&amp;srchmode=1&amp;unlock","135651")</f>
        <v>135651</v>
      </c>
      <c r="E1305" t="s">
        <v>869</v>
      </c>
      <c r="F1305" t="s">
        <v>869</v>
      </c>
      <c r="G1305" t="str">
        <f>HYPERLINK("http://www.ncbi.nlm.nih.gov/Taxonomy/Browser/wwwtax.cgi?mode=Info&amp;id=135651&amp;lvl=3&amp;lin=f&amp;keep=1&amp;srchmode=1&amp;unlock","Caenorhabditis brenneri")</f>
        <v>Caenorhabditis brenneri</v>
      </c>
      <c r="H1305" t="s">
        <v>803</v>
      </c>
      <c r="I1305" t="str">
        <f>HYPERLINK("http://www.ncbi.nlm.nih.gov/protein/EGT40508.1","CBN-NHR-91 protein")</f>
        <v>CBN-NHR-91 protein</v>
      </c>
      <c r="J1305">
        <v>109.38</v>
      </c>
      <c r="K1305" t="s">
        <v>25</v>
      </c>
      <c r="L1305">
        <v>157</v>
      </c>
      <c r="M1305">
        <v>44.41</v>
      </c>
      <c r="N1305">
        <v>5.82</v>
      </c>
      <c r="O1305" t="s">
        <v>25</v>
      </c>
      <c r="P1305" t="s">
        <v>965</v>
      </c>
      <c r="Q1305" t="s">
        <v>20</v>
      </c>
      <c r="R1305" t="str">
        <f>HYPERLINK("https://cfpub.epa.gov/ecotox/explore.cfm?ncbi=135651","Explore in ECOTOX")</f>
        <v>Explore in ECOTOX</v>
      </c>
    </row>
    <row r="1306" spans="1:18" x14ac:dyDescent="0.25">
      <c r="A1306">
        <v>6</v>
      </c>
      <c r="B1306" t="str">
        <f>HYPERLINK("http://www.ncbi.nlm.nih.gov/protein/AWI62944.1","AWI62944.1")</f>
        <v>AWI62944.1</v>
      </c>
      <c r="C1306">
        <v>509</v>
      </c>
      <c r="D1306" t="str">
        <f>HYPERLINK("http://www.ncbi.nlm.nih.gov/Taxonomy/Browser/wwwtax.cgi?mode=Info&amp;id=173339&amp;lvl=3&amp;lin=f&amp;keep=1&amp;srchmode=1&amp;unlock","173339")</f>
        <v>173339</v>
      </c>
      <c r="E1306" t="s">
        <v>384</v>
      </c>
      <c r="F1306" t="s">
        <v>384</v>
      </c>
      <c r="G1306" t="str">
        <f>HYPERLINK("http://www.ncbi.nlm.nih.gov/Taxonomy/Browser/wwwtax.cgi?mode=Info&amp;id=173339&amp;lvl=3&amp;lin=f&amp;keep=1&amp;srchmode=1&amp;unlock","Trachinotus ovatus")</f>
        <v>Trachinotus ovatus</v>
      </c>
      <c r="H1306" t="s">
        <v>659</v>
      </c>
      <c r="I1306" t="str">
        <f>HYPERLINK("http://www.ncbi.nlm.nih.gov/protein/AWI62944.1","NR1H3")</f>
        <v>NR1H3</v>
      </c>
      <c r="J1306">
        <v>109.38</v>
      </c>
      <c r="K1306" t="s">
        <v>25</v>
      </c>
      <c r="L1306">
        <v>157</v>
      </c>
      <c r="M1306">
        <v>44.41</v>
      </c>
      <c r="N1306">
        <v>5.82</v>
      </c>
      <c r="O1306" t="s">
        <v>25</v>
      </c>
      <c r="P1306" t="s">
        <v>965</v>
      </c>
      <c r="Q1306" t="s">
        <v>20</v>
      </c>
      <c r="R1306" t="str">
        <f>HYPERLINK("https://cfpub.epa.gov/ecotox/explore.cfm?ncbi=173339","Explore in ECOTOX")</f>
        <v>Explore in ECOTOX</v>
      </c>
    </row>
    <row r="1307" spans="1:18" x14ac:dyDescent="0.25">
      <c r="A1307">
        <v>6</v>
      </c>
      <c r="B1307" t="str">
        <f>HYPERLINK("http://www.ncbi.nlm.nih.gov/protein/VUY41710.1","VUY41710.1")</f>
        <v>VUY41710.1</v>
      </c>
      <c r="C1307">
        <v>119</v>
      </c>
      <c r="D1307" t="str">
        <f>HYPERLINK("http://www.ncbi.nlm.nih.gov/Taxonomy/Browser/wwwtax.cgi?mode=Info&amp;id=247075&amp;lvl=3&amp;lin=f&amp;keep=1&amp;srchmode=1&amp;unlock","247075")</f>
        <v>247075</v>
      </c>
      <c r="E1307" t="s">
        <v>698</v>
      </c>
      <c r="F1307" t="s">
        <v>698</v>
      </c>
      <c r="G1307" t="str">
        <f>HYPERLINK("http://www.ncbi.nlm.nih.gov/Taxonomy/Browser/wwwtax.cgi?mode=Info&amp;id=247075&amp;lvl=3&amp;lin=f&amp;keep=1&amp;srchmode=1&amp;unlock","Cicindela hybrida")</f>
        <v>Cicindela hybrida</v>
      </c>
      <c r="H1307" t="s">
        <v>1241</v>
      </c>
      <c r="I1307" t="str">
        <f>HYPERLINK("http://www.ncbi.nlm.nih.gov/protein/VUY41710.1","Ecdysone receptor, partial")</f>
        <v>Ecdysone receptor, partial</v>
      </c>
      <c r="J1307">
        <v>109</v>
      </c>
      <c r="K1307" t="s">
        <v>25</v>
      </c>
      <c r="L1307">
        <v>157</v>
      </c>
      <c r="M1307">
        <v>44.41</v>
      </c>
      <c r="N1307">
        <v>5.8</v>
      </c>
      <c r="O1307" t="s">
        <v>25</v>
      </c>
      <c r="P1307" t="s">
        <v>965</v>
      </c>
      <c r="Q1307" t="s">
        <v>20</v>
      </c>
      <c r="R1307" t="str">
        <f>HYPERLINK("https://cfpub.epa.gov/ecotox/explore.cfm?ncbi=247075","Explore in ECOTOX")</f>
        <v>Explore in ECOTOX</v>
      </c>
    </row>
    <row r="1308" spans="1:18" x14ac:dyDescent="0.25">
      <c r="A1308">
        <v>6</v>
      </c>
      <c r="B1308" t="str">
        <f>HYPERLINK("http://www.ncbi.nlm.nih.gov/protein/AAL14642.1","AAL14642.1")</f>
        <v>AAL14642.1</v>
      </c>
      <c r="C1308">
        <v>380</v>
      </c>
      <c r="D1308" t="str">
        <f>HYPERLINK("http://www.ncbi.nlm.nih.gov/Taxonomy/Browser/wwwtax.cgi?mode=Info&amp;id=452646&amp;lvl=3&amp;lin=f&amp;keep=1&amp;srchmode=1&amp;unlock","452646")</f>
        <v>452646</v>
      </c>
      <c r="E1308" t="s">
        <v>18</v>
      </c>
      <c r="F1308" t="s">
        <v>18</v>
      </c>
      <c r="G1308" t="str">
        <f>HYPERLINK("http://www.ncbi.nlm.nih.gov/Taxonomy/Browser/wwwtax.cgi?mode=Info&amp;id=452646&amp;lvl=3&amp;lin=f&amp;keep=1&amp;srchmode=1&amp;unlock","Neovison vison")</f>
        <v>Neovison vison</v>
      </c>
      <c r="H1308" t="s">
        <v>1242</v>
      </c>
      <c r="I1308" t="str">
        <f>HYPERLINK("http://www.ncbi.nlm.nih.gov/protein/AAL14642.1","retinoid X receptor beta, partial")</f>
        <v>retinoid X receptor beta, partial</v>
      </c>
      <c r="J1308">
        <v>109</v>
      </c>
      <c r="K1308" t="s">
        <v>25</v>
      </c>
      <c r="L1308">
        <v>157</v>
      </c>
      <c r="M1308">
        <v>44.41</v>
      </c>
      <c r="N1308">
        <v>5.8</v>
      </c>
      <c r="O1308" t="s">
        <v>20</v>
      </c>
      <c r="P1308" t="s">
        <v>965</v>
      </c>
      <c r="Q1308" t="s">
        <v>20</v>
      </c>
      <c r="R1308" t="str">
        <f>HYPERLINK("https://cfpub.epa.gov/ecotox/explore.cfm?ncbi=452646","Explore in ECOTOX")</f>
        <v>Explore in ECOTOX</v>
      </c>
    </row>
    <row r="1309" spans="1:18" x14ac:dyDescent="0.25">
      <c r="A1309">
        <v>6</v>
      </c>
      <c r="B1309" t="str">
        <f>HYPERLINK("http://www.ncbi.nlm.nih.gov/protein/BAP15929.1","BAP15929.1")</f>
        <v>BAP15929.1</v>
      </c>
      <c r="C1309">
        <v>84</v>
      </c>
      <c r="D1309" t="str">
        <f>HYPERLINK("http://www.ncbi.nlm.nih.gov/Taxonomy/Browser/wwwtax.cgi?mode=Info&amp;id=420089&amp;lvl=3&amp;lin=f&amp;keep=1&amp;srchmode=1&amp;unlock","420089")</f>
        <v>420089</v>
      </c>
      <c r="E1309" t="s">
        <v>698</v>
      </c>
      <c r="F1309" t="s">
        <v>698</v>
      </c>
      <c r="G1309" t="str">
        <f>HYPERLINK("http://www.ncbi.nlm.nih.gov/Taxonomy/Browser/wwwtax.cgi?mode=Info&amp;id=420089&amp;lvl=3&amp;lin=f&amp;keep=1&amp;srchmode=1&amp;unlock","Henosepilachna vigintioctopunctata")</f>
        <v>Henosepilachna vigintioctopunctata</v>
      </c>
      <c r="H1309" t="s">
        <v>1243</v>
      </c>
      <c r="I1309" t="str">
        <f>HYPERLINK("http://www.ncbi.nlm.nih.gov/protein/BAP15929.1","ultraspiracle 2 isoform")</f>
        <v>ultraspiracle 2 isoform</v>
      </c>
      <c r="J1309">
        <v>109</v>
      </c>
      <c r="K1309" t="s">
        <v>25</v>
      </c>
      <c r="L1309">
        <v>157</v>
      </c>
      <c r="M1309">
        <v>44.41</v>
      </c>
      <c r="N1309">
        <v>5.8</v>
      </c>
      <c r="O1309" t="s">
        <v>25</v>
      </c>
      <c r="P1309" t="s">
        <v>965</v>
      </c>
      <c r="Q1309" t="s">
        <v>20</v>
      </c>
      <c r="R1309" t="str">
        <f>HYPERLINK("https://cfpub.epa.gov/ecotox/explore.cfm?ncbi=420089","Explore in ECOTOX")</f>
        <v>Explore in ECOTOX</v>
      </c>
    </row>
    <row r="1310" spans="1:18" x14ac:dyDescent="0.25">
      <c r="A1310">
        <v>6</v>
      </c>
      <c r="B1310" t="str">
        <f>HYPERLINK("http://www.ncbi.nlm.nih.gov/protein/QAX24918.1","QAX24918.1")</f>
        <v>QAX24918.1</v>
      </c>
      <c r="C1310">
        <v>41</v>
      </c>
      <c r="D1310" t="str">
        <f>HYPERLINK("http://www.ncbi.nlm.nih.gov/Taxonomy/Browser/wwwtax.cgi?mode=Info&amp;id=126420&amp;lvl=3&amp;lin=f&amp;keep=1&amp;srchmode=1&amp;unlock","126420")</f>
        <v>126420</v>
      </c>
      <c r="E1310" t="s">
        <v>1244</v>
      </c>
      <c r="F1310" t="s">
        <v>1244</v>
      </c>
      <c r="G1310" t="str">
        <f>HYPERLINK("http://www.ncbi.nlm.nih.gov/Taxonomy/Browser/wwwtax.cgi?mode=Info&amp;id=126420&amp;lvl=3&amp;lin=f&amp;keep=1&amp;srchmode=1&amp;unlock","Acanthochitona crinita")</f>
        <v>Acanthochitona crinita</v>
      </c>
      <c r="H1310" t="s">
        <v>1245</v>
      </c>
      <c r="I1310" t="str">
        <f>HYPERLINK("http://www.ncbi.nlm.nih.gov/protein/QAX24918.1","retinoid X receptor")</f>
        <v>retinoid X receptor</v>
      </c>
      <c r="J1310">
        <v>109</v>
      </c>
      <c r="K1310" t="s">
        <v>25</v>
      </c>
      <c r="L1310">
        <v>157</v>
      </c>
      <c r="M1310">
        <v>44.41</v>
      </c>
      <c r="N1310">
        <v>5.8</v>
      </c>
      <c r="O1310" t="s">
        <v>25</v>
      </c>
      <c r="P1310" t="s">
        <v>965</v>
      </c>
      <c r="Q1310" t="s">
        <v>20</v>
      </c>
      <c r="R1310" t="str">
        <f>HYPERLINK("https://cfpub.epa.gov/ecotox/explore.cfm?ncbi=126420","Explore in ECOTOX")</f>
        <v>Explore in ECOTOX</v>
      </c>
    </row>
    <row r="1311" spans="1:18" x14ac:dyDescent="0.25">
      <c r="A1311">
        <v>6</v>
      </c>
      <c r="B1311" t="str">
        <f>HYPERLINK("http://www.ncbi.nlm.nih.gov/protein/VUY41779.1","VUY41779.1")</f>
        <v>VUY41779.1</v>
      </c>
      <c r="C1311">
        <v>145</v>
      </c>
      <c r="D1311" t="str">
        <f>HYPERLINK("http://www.ncbi.nlm.nih.gov/Taxonomy/Browser/wwwtax.cgi?mode=Info&amp;id=1612340&amp;lvl=3&amp;lin=f&amp;keep=1&amp;srchmode=1&amp;unlock","1612340")</f>
        <v>1612340</v>
      </c>
      <c r="E1311" t="s">
        <v>698</v>
      </c>
      <c r="F1311" t="s">
        <v>698</v>
      </c>
      <c r="G1311" t="str">
        <f>HYPERLINK("http://www.ncbi.nlm.nih.gov/Taxonomy/Browser/wwwtax.cgi?mode=Info&amp;id=1612340&amp;lvl=3&amp;lin=f&amp;keep=1&amp;srchmode=1&amp;unlock","Contacyphon laevipennis")</f>
        <v>Contacyphon laevipennis</v>
      </c>
      <c r="H1311" t="s">
        <v>1246</v>
      </c>
      <c r="I1311" t="str">
        <f>HYPERLINK("http://www.ncbi.nlm.nih.gov/protein/VUY41779.1","Ecdysone receptor, partial")</f>
        <v>Ecdysone receptor, partial</v>
      </c>
      <c r="J1311">
        <v>109</v>
      </c>
      <c r="K1311" t="s">
        <v>25</v>
      </c>
      <c r="L1311">
        <v>157</v>
      </c>
      <c r="M1311">
        <v>44.41</v>
      </c>
      <c r="N1311">
        <v>5.8</v>
      </c>
      <c r="O1311" t="s">
        <v>25</v>
      </c>
      <c r="P1311" t="s">
        <v>965</v>
      </c>
      <c r="Q1311" t="s">
        <v>20</v>
      </c>
      <c r="R1311" t="str">
        <f>HYPERLINK("https://cfpub.epa.gov/ecotox/explore.cfm?ncbi=1612340","Explore in ECOTOX")</f>
        <v>Explore in ECOTOX</v>
      </c>
    </row>
    <row r="1312" spans="1:18" x14ac:dyDescent="0.25">
      <c r="A1312">
        <v>6</v>
      </c>
      <c r="B1312" t="str">
        <f>HYPERLINK("http://www.ncbi.nlm.nih.gov/protein/ASL70496.1","ASL70496.1")</f>
        <v>ASL70496.1</v>
      </c>
      <c r="C1312">
        <v>245</v>
      </c>
      <c r="D1312" t="str">
        <f>HYPERLINK("http://www.ncbi.nlm.nih.gov/Taxonomy/Browser/wwwtax.cgi?mode=Info&amp;id=96890&amp;lvl=3&amp;lin=f&amp;keep=1&amp;srchmode=1&amp;unlock","96890")</f>
        <v>96890</v>
      </c>
      <c r="E1312" t="s">
        <v>855</v>
      </c>
      <c r="F1312" t="s">
        <v>855</v>
      </c>
      <c r="G1312" t="str">
        <f>HYPERLINK("http://www.ncbi.nlm.nih.gov/Taxonomy/Browser/wwwtax.cgi?mode=Info&amp;id=96890&amp;lvl=3&amp;lin=f&amp;keep=1&amp;srchmode=1&amp;unlock","Brachionus rotundiformis")</f>
        <v>Brachionus rotundiformis</v>
      </c>
      <c r="H1312" t="s">
        <v>856</v>
      </c>
      <c r="I1312" t="str">
        <f>HYPERLINK("http://www.ncbi.nlm.nih.gov/protein/ASL70496.1","nuclear receptor")</f>
        <v>nuclear receptor</v>
      </c>
      <c r="J1312">
        <v>109</v>
      </c>
      <c r="K1312" t="s">
        <v>25</v>
      </c>
      <c r="L1312">
        <v>157</v>
      </c>
      <c r="M1312">
        <v>44.41</v>
      </c>
      <c r="N1312">
        <v>5.8</v>
      </c>
      <c r="O1312" t="s">
        <v>25</v>
      </c>
      <c r="P1312" t="s">
        <v>965</v>
      </c>
      <c r="Q1312" t="s">
        <v>20</v>
      </c>
      <c r="R1312" t="str">
        <f>HYPERLINK("https://cfpub.epa.gov/ecotox/explore.cfm?ncbi=96890","Explore in ECOTOX")</f>
        <v>Explore in ECOTOX</v>
      </c>
    </row>
    <row r="1313" spans="1:18" x14ac:dyDescent="0.25">
      <c r="A1313">
        <v>6</v>
      </c>
      <c r="B1313" t="str">
        <f>HYPERLINK("http://www.ncbi.nlm.nih.gov/protein/VUY41861.1","VUY41861.1")</f>
        <v>VUY41861.1</v>
      </c>
      <c r="C1313">
        <v>39</v>
      </c>
      <c r="D1313" t="str">
        <f>HYPERLINK("http://www.ncbi.nlm.nih.gov/Taxonomy/Browser/wwwtax.cgi?mode=Info&amp;id=931173&amp;lvl=3&amp;lin=f&amp;keep=1&amp;srchmode=1&amp;unlock","931173")</f>
        <v>931173</v>
      </c>
      <c r="E1313" t="s">
        <v>698</v>
      </c>
      <c r="F1313" t="s">
        <v>698</v>
      </c>
      <c r="G1313" t="str">
        <f>HYPERLINK("http://www.ncbi.nlm.nih.gov/Taxonomy/Browser/wwwtax.cgi?mode=Info&amp;id=931173&amp;lvl=3&amp;lin=f&amp;keep=1&amp;srchmode=1&amp;unlock","Hydroscapha redfordi")</f>
        <v>Hydroscapha redfordi</v>
      </c>
      <c r="H1313" t="s">
        <v>1247</v>
      </c>
      <c r="I1313" t="str">
        <f>HYPERLINK("http://www.ncbi.nlm.nih.gov/protein/VUY41861.1","Ecdysone receptor, partial")</f>
        <v>Ecdysone receptor, partial</v>
      </c>
      <c r="J1313">
        <v>109</v>
      </c>
      <c r="K1313" t="s">
        <v>25</v>
      </c>
      <c r="L1313">
        <v>157</v>
      </c>
      <c r="M1313">
        <v>44.41</v>
      </c>
      <c r="N1313">
        <v>5.8</v>
      </c>
      <c r="O1313" t="s">
        <v>25</v>
      </c>
      <c r="P1313" t="s">
        <v>965</v>
      </c>
      <c r="Q1313" t="s">
        <v>20</v>
      </c>
      <c r="R1313" t="str">
        <f>HYPERLINK("https://cfpub.epa.gov/ecotox/explore.cfm?ncbi=931173","Explore in ECOTOX")</f>
        <v>Explore in ECOTOX</v>
      </c>
    </row>
    <row r="1314" spans="1:18" x14ac:dyDescent="0.25">
      <c r="A1314">
        <v>6</v>
      </c>
      <c r="B1314" t="str">
        <f>HYPERLINK("http://www.ncbi.nlm.nih.gov/protein/BAF75376.1","BAF75376.1")</f>
        <v>BAF75376.1</v>
      </c>
      <c r="C1314">
        <v>875</v>
      </c>
      <c r="D1314" t="str">
        <f>HYPERLINK("http://www.ncbi.nlm.nih.gov/Taxonomy/Browser/wwwtax.cgi?mode=Info&amp;id=27405&amp;lvl=3&amp;lin=f&amp;keep=1&amp;srchmode=1&amp;unlock","27405")</f>
        <v>27405</v>
      </c>
      <c r="E1314" t="s">
        <v>742</v>
      </c>
      <c r="F1314" t="s">
        <v>742</v>
      </c>
      <c r="G1314" t="str">
        <f>HYPERLINK("http://www.ncbi.nlm.nih.gov/Taxonomy/Browser/wwwtax.cgi?mode=Info&amp;id=27405&amp;lvl=3&amp;lin=f&amp;keep=1&amp;srchmode=1&amp;unlock","Penaeus japonicus")</f>
        <v>Penaeus japonicus</v>
      </c>
      <c r="H1314" t="s">
        <v>833</v>
      </c>
      <c r="I1314" t="str">
        <f>HYPERLINK("http://www.ncbi.nlm.nih.gov/protein/BAF75376.1","retinoid X receptor")</f>
        <v>retinoid X receptor</v>
      </c>
      <c r="J1314">
        <v>109</v>
      </c>
      <c r="K1314" t="s">
        <v>25</v>
      </c>
      <c r="L1314">
        <v>157</v>
      </c>
      <c r="M1314">
        <v>44.41</v>
      </c>
      <c r="N1314">
        <v>5.8</v>
      </c>
      <c r="O1314" t="s">
        <v>25</v>
      </c>
      <c r="P1314" t="s">
        <v>965</v>
      </c>
      <c r="Q1314" t="s">
        <v>20</v>
      </c>
      <c r="R1314" t="str">
        <f>HYPERLINK("https://cfpub.epa.gov/ecotox/explore.cfm?ncbi=27405","Explore in ECOTOX")</f>
        <v>Explore in ECOTOX</v>
      </c>
    </row>
    <row r="1315" spans="1:18" x14ac:dyDescent="0.25">
      <c r="A1315">
        <v>6</v>
      </c>
      <c r="B1315" t="str">
        <f>HYPERLINK("http://www.ncbi.nlm.nih.gov/protein/VDK73104.1","VDK73104.1")</f>
        <v>VDK73104.1</v>
      </c>
      <c r="C1315">
        <v>10063</v>
      </c>
      <c r="D1315" t="str">
        <f>HYPERLINK("http://www.ncbi.nlm.nih.gov/Taxonomy/Browser/wwwtax.cgi?mode=Info&amp;id=42156&amp;lvl=3&amp;lin=f&amp;keep=1&amp;srchmode=1&amp;unlock","42156")</f>
        <v>42156</v>
      </c>
      <c r="E1315" t="s">
        <v>869</v>
      </c>
      <c r="F1315" t="s">
        <v>869</v>
      </c>
      <c r="G1315" t="str">
        <f>HYPERLINK("http://www.ncbi.nlm.nih.gov/Taxonomy/Browser/wwwtax.cgi?mode=Info&amp;id=42156&amp;lvl=3&amp;lin=f&amp;keep=1&amp;srchmode=1&amp;unlock","Litomosoides sigmodontis")</f>
        <v>Litomosoides sigmodontis</v>
      </c>
      <c r="H1315" t="s">
        <v>803</v>
      </c>
      <c r="I1315" t="str">
        <f>HYPERLINK("http://www.ncbi.nlm.nih.gov/protein/VDK73104.1","unnamed protein product")</f>
        <v>unnamed protein product</v>
      </c>
      <c r="J1315">
        <v>109</v>
      </c>
      <c r="K1315" t="s">
        <v>25</v>
      </c>
      <c r="L1315">
        <v>157</v>
      </c>
      <c r="M1315">
        <v>44.41</v>
      </c>
      <c r="N1315">
        <v>5.8</v>
      </c>
      <c r="O1315" t="s">
        <v>25</v>
      </c>
      <c r="P1315" t="s">
        <v>965</v>
      </c>
      <c r="Q1315" t="s">
        <v>20</v>
      </c>
      <c r="R1315" t="str">
        <f>HYPERLINK("https://cfpub.epa.gov/ecotox/explore.cfm?ncbi=42156","Explore in ECOTOX")</f>
        <v>Explore in ECOTOX</v>
      </c>
    </row>
    <row r="1316" spans="1:18" x14ac:dyDescent="0.25">
      <c r="A1316">
        <v>6</v>
      </c>
      <c r="B1316" t="str">
        <f>HYPERLINK("http://www.ncbi.nlm.nih.gov/protein/ALP73432.1","ALP73432.1")</f>
        <v>ALP73432.1</v>
      </c>
      <c r="C1316">
        <v>199</v>
      </c>
      <c r="D1316" t="str">
        <f>HYPERLINK("http://www.ncbi.nlm.nih.gov/Taxonomy/Browser/wwwtax.cgi?mode=Info&amp;id=7902&amp;lvl=3&amp;lin=f&amp;keep=1&amp;srchmode=1&amp;unlock","7902")</f>
        <v>7902</v>
      </c>
      <c r="E1316" t="s">
        <v>384</v>
      </c>
      <c r="F1316" t="s">
        <v>384</v>
      </c>
      <c r="G1316" t="str">
        <f>HYPERLINK("http://www.ncbi.nlm.nih.gov/Taxonomy/Browser/wwwtax.cgi?mode=Info&amp;id=7902&amp;lvl=3&amp;lin=f&amp;keep=1&amp;srchmode=1&amp;unlock","Acipenser gueldenstaedtii")</f>
        <v>Acipenser gueldenstaedtii</v>
      </c>
      <c r="H1316" t="s">
        <v>1248</v>
      </c>
      <c r="I1316" t="str">
        <f>HYPERLINK("http://www.ncbi.nlm.nih.gov/protein/ALP73432.1","liver X recepor")</f>
        <v>liver X recepor</v>
      </c>
      <c r="J1316">
        <v>109</v>
      </c>
      <c r="K1316" t="s">
        <v>25</v>
      </c>
      <c r="L1316">
        <v>157</v>
      </c>
      <c r="M1316">
        <v>44.41</v>
      </c>
      <c r="N1316">
        <v>5.8</v>
      </c>
      <c r="O1316" t="s">
        <v>25</v>
      </c>
      <c r="P1316" t="s">
        <v>965</v>
      </c>
      <c r="Q1316" t="s">
        <v>20</v>
      </c>
      <c r="R1316" t="str">
        <f>HYPERLINK("https://cfpub.epa.gov/ecotox/explore.cfm?ncbi=7902","Explore in ECOTOX")</f>
        <v>Explore in ECOTOX</v>
      </c>
    </row>
    <row r="1317" spans="1:18" x14ac:dyDescent="0.25">
      <c r="A1317">
        <v>6</v>
      </c>
      <c r="B1317" t="str">
        <f>HYPERLINK("http://www.ncbi.nlm.nih.gov/protein/AHA33388.1","AHA33388.1")</f>
        <v>AHA33388.1</v>
      </c>
      <c r="C1317">
        <v>509</v>
      </c>
      <c r="D1317" t="str">
        <f>HYPERLINK("http://www.ncbi.nlm.nih.gov/Taxonomy/Browser/wwwtax.cgi?mode=Info&amp;id=159736&amp;lvl=3&amp;lin=f&amp;keep=1&amp;srchmode=1&amp;unlock","159736")</f>
        <v>159736</v>
      </c>
      <c r="E1317" t="s">
        <v>742</v>
      </c>
      <c r="F1317" t="s">
        <v>742</v>
      </c>
      <c r="G1317" t="str">
        <f>HYPERLINK("http://www.ncbi.nlm.nih.gov/Taxonomy/Browser/wwwtax.cgi?mode=Info&amp;id=159736&amp;lvl=3&amp;lin=f&amp;keep=1&amp;srchmode=1&amp;unlock","Macrobrachium nipponense")</f>
        <v>Macrobrachium nipponense</v>
      </c>
      <c r="H1317" t="s">
        <v>884</v>
      </c>
      <c r="I1317" t="str">
        <f>HYPERLINK("http://www.ncbi.nlm.nih.gov/protein/AHA33388.1","retinoid X receptor")</f>
        <v>retinoid X receptor</v>
      </c>
      <c r="J1317">
        <v>108.61</v>
      </c>
      <c r="K1317" t="s">
        <v>25</v>
      </c>
      <c r="L1317">
        <v>157</v>
      </c>
      <c r="M1317">
        <v>44.41</v>
      </c>
      <c r="N1317">
        <v>5.78</v>
      </c>
      <c r="O1317" t="s">
        <v>25</v>
      </c>
      <c r="P1317" t="s">
        <v>965</v>
      </c>
      <c r="Q1317" t="s">
        <v>20</v>
      </c>
      <c r="R1317" t="str">
        <f>HYPERLINK("https://cfpub.epa.gov/ecotox/explore.cfm?ncbi=159736","Explore in ECOTOX")</f>
        <v>Explore in ECOTOX</v>
      </c>
    </row>
    <row r="1318" spans="1:18" x14ac:dyDescent="0.25">
      <c r="A1318">
        <v>6</v>
      </c>
      <c r="B1318" t="str">
        <f>HYPERLINK("http://www.ncbi.nlm.nih.gov/protein/BAB03286.1","BAB03286.1")</f>
        <v>BAB03286.1</v>
      </c>
      <c r="C1318">
        <v>227</v>
      </c>
      <c r="D1318" t="str">
        <f>HYPERLINK("http://www.ncbi.nlm.nih.gov/Taxonomy/Browser/wwwtax.cgi?mode=Info&amp;id=64680&amp;lvl=3&amp;lin=f&amp;keep=1&amp;srchmode=1&amp;unlock","64680")</f>
        <v>64680</v>
      </c>
      <c r="E1318" t="s">
        <v>18</v>
      </c>
      <c r="F1318" t="s">
        <v>18</v>
      </c>
      <c r="G1318" t="str">
        <f>HYPERLINK("http://www.ncbi.nlm.nih.gov/Taxonomy/Browser/wwwtax.cgi?mode=Info&amp;id=64680&amp;lvl=3&amp;lin=f&amp;keep=1&amp;srchmode=1&amp;unlock","Tamias sibiricus")</f>
        <v>Tamias sibiricus</v>
      </c>
      <c r="H1318" t="s">
        <v>1249</v>
      </c>
      <c r="I1318" t="str">
        <f>HYPERLINK("http://www.ncbi.nlm.nih.gov/protein/BAB03286.1","hepatocyte nuclear factor 4")</f>
        <v>hepatocyte nuclear factor 4</v>
      </c>
      <c r="J1318">
        <v>108.61</v>
      </c>
      <c r="K1318" t="s">
        <v>25</v>
      </c>
      <c r="L1318">
        <v>157</v>
      </c>
      <c r="M1318">
        <v>44.41</v>
      </c>
      <c r="N1318">
        <v>5.78</v>
      </c>
      <c r="O1318" t="s">
        <v>20</v>
      </c>
      <c r="P1318" t="s">
        <v>965</v>
      </c>
      <c r="Q1318" t="s">
        <v>20</v>
      </c>
      <c r="R1318" t="str">
        <f>HYPERLINK("https://cfpub.epa.gov/ecotox/explore.cfm?ncbi=64680","Explore in ECOTOX")</f>
        <v>Explore in ECOTOX</v>
      </c>
    </row>
    <row r="1319" spans="1:18" x14ac:dyDescent="0.25">
      <c r="A1319">
        <v>6</v>
      </c>
      <c r="B1319" t="str">
        <f>HYPERLINK("http://www.ncbi.nlm.nih.gov/protein/ALQ43971.1","ALQ43971.1")</f>
        <v>ALQ43971.1</v>
      </c>
      <c r="C1319">
        <v>122</v>
      </c>
      <c r="D1319" t="str">
        <f>HYPERLINK("http://www.ncbi.nlm.nih.gov/Taxonomy/Browser/wwwtax.cgi?mode=Info&amp;id=6465&amp;lvl=3&amp;lin=f&amp;keep=1&amp;srchmode=1&amp;unlock","6465")</f>
        <v>6465</v>
      </c>
      <c r="E1319" t="s">
        <v>763</v>
      </c>
      <c r="F1319" t="s">
        <v>763</v>
      </c>
      <c r="G1319" t="str">
        <f>HYPERLINK("http://www.ncbi.nlm.nih.gov/Taxonomy/Browser/wwwtax.cgi?mode=Info&amp;id=6465&amp;lvl=3&amp;lin=f&amp;keep=1&amp;srchmode=1&amp;unlock","Patella vulgata")</f>
        <v>Patella vulgata</v>
      </c>
      <c r="H1319" t="s">
        <v>1250</v>
      </c>
      <c r="I1319" t="str">
        <f>HYPERLINK("http://www.ncbi.nlm.nih.gov/protein/ALQ43971.1","retinoid X receptor")</f>
        <v>retinoid X receptor</v>
      </c>
      <c r="J1319">
        <v>108.61</v>
      </c>
      <c r="K1319" t="s">
        <v>25</v>
      </c>
      <c r="L1319">
        <v>157</v>
      </c>
      <c r="M1319">
        <v>44.41</v>
      </c>
      <c r="N1319">
        <v>5.78</v>
      </c>
      <c r="O1319" t="s">
        <v>25</v>
      </c>
      <c r="P1319" t="s">
        <v>965</v>
      </c>
      <c r="Q1319" t="s">
        <v>20</v>
      </c>
      <c r="R1319" t="str">
        <f>HYPERLINK("https://cfpub.epa.gov/ecotox/explore.cfm?ncbi=6465","Explore in ECOTOX")</f>
        <v>Explore in ECOTOX</v>
      </c>
    </row>
    <row r="1320" spans="1:18" x14ac:dyDescent="0.25">
      <c r="A1320">
        <v>6</v>
      </c>
      <c r="B1320" t="str">
        <f>HYPERLINK("http://www.ncbi.nlm.nih.gov/protein/AGX85511.1","AGX85511.1")</f>
        <v>AGX85511.1</v>
      </c>
      <c r="C1320">
        <v>254</v>
      </c>
      <c r="D1320" t="str">
        <f>HYPERLINK("http://www.ncbi.nlm.nih.gov/Taxonomy/Browser/wwwtax.cgi?mode=Info&amp;id=6761&amp;lvl=3&amp;lin=f&amp;keep=1&amp;srchmode=1&amp;unlock","6761")</f>
        <v>6761</v>
      </c>
      <c r="E1320" t="s">
        <v>742</v>
      </c>
      <c r="F1320" t="s">
        <v>742</v>
      </c>
      <c r="G1320" t="str">
        <f>HYPERLINK("http://www.ncbi.nlm.nih.gov/Taxonomy/Browser/wwwtax.cgi?mode=Info&amp;id=6761&amp;lvl=3&amp;lin=f&amp;keep=1&amp;srchmode=1&amp;unlock","Scylla serrata")</f>
        <v>Scylla serrata</v>
      </c>
      <c r="H1320" t="s">
        <v>1251</v>
      </c>
      <c r="I1320" t="str">
        <f>HYPERLINK("http://www.ncbi.nlm.nih.gov/protein/AGX85511.1","retinoid X receptor, partial")</f>
        <v>retinoid X receptor, partial</v>
      </c>
      <c r="J1320">
        <v>108.61</v>
      </c>
      <c r="K1320" t="s">
        <v>25</v>
      </c>
      <c r="L1320">
        <v>157</v>
      </c>
      <c r="M1320">
        <v>44.41</v>
      </c>
      <c r="N1320">
        <v>5.78</v>
      </c>
      <c r="O1320" t="s">
        <v>25</v>
      </c>
      <c r="P1320" t="s">
        <v>965</v>
      </c>
      <c r="Q1320" t="s">
        <v>20</v>
      </c>
      <c r="R1320" t="str">
        <f>HYPERLINK("https://cfpub.epa.gov/ecotox/explore.cfm?ncbi=6761","Explore in ECOTOX")</f>
        <v>Explore in ECOTOX</v>
      </c>
    </row>
    <row r="1321" spans="1:18" x14ac:dyDescent="0.25">
      <c r="A1321">
        <v>6</v>
      </c>
      <c r="B1321" t="str">
        <f>HYPERLINK("http://www.ncbi.nlm.nih.gov/protein/VUY41968.1","VUY41968.1")</f>
        <v>VUY41968.1</v>
      </c>
      <c r="C1321">
        <v>50</v>
      </c>
      <c r="D1321" t="str">
        <f>HYPERLINK("http://www.ncbi.nlm.nih.gov/Taxonomy/Browser/wwwtax.cgi?mode=Info&amp;id=1323541&amp;lvl=3&amp;lin=f&amp;keep=1&amp;srchmode=1&amp;unlock","1323541")</f>
        <v>1323541</v>
      </c>
      <c r="E1321" t="s">
        <v>698</v>
      </c>
      <c r="F1321" t="s">
        <v>698</v>
      </c>
      <c r="G1321" t="str">
        <f>HYPERLINK("http://www.ncbi.nlm.nih.gov/Taxonomy/Browser/wwwtax.cgi?mode=Info&amp;id=1323541&amp;lvl=3&amp;lin=f&amp;keep=1&amp;srchmode=1&amp;unlock","Meloe violaceus")</f>
        <v>Meloe violaceus</v>
      </c>
      <c r="H1321" t="s">
        <v>1252</v>
      </c>
      <c r="I1321" t="str">
        <f>HYPERLINK("http://www.ncbi.nlm.nih.gov/protein/VUY41968.1","Ecdysone receptor, partial")</f>
        <v>Ecdysone receptor, partial</v>
      </c>
      <c r="J1321">
        <v>108.23</v>
      </c>
      <c r="K1321" t="s">
        <v>25</v>
      </c>
      <c r="L1321">
        <v>157</v>
      </c>
      <c r="M1321">
        <v>44.41</v>
      </c>
      <c r="N1321">
        <v>5.76</v>
      </c>
      <c r="O1321" t="s">
        <v>25</v>
      </c>
      <c r="P1321" t="s">
        <v>965</v>
      </c>
      <c r="Q1321" t="s">
        <v>20</v>
      </c>
      <c r="R1321" t="str">
        <f>HYPERLINK("https://cfpub.epa.gov/ecotox/explore.cfm?ncbi=1323541","Explore in ECOTOX")</f>
        <v>Explore in ECOTOX</v>
      </c>
    </row>
    <row r="1322" spans="1:18" x14ac:dyDescent="0.25">
      <c r="A1322">
        <v>6</v>
      </c>
      <c r="B1322" t="str">
        <f>HYPERLINK("http://www.ncbi.nlm.nih.gov/protein/AAD23397.1","AAD23397.1")</f>
        <v>AAD23397.1</v>
      </c>
      <c r="C1322">
        <v>317</v>
      </c>
      <c r="D1322" t="str">
        <f>HYPERLINK("http://www.ncbi.nlm.nih.gov/Taxonomy/Browser/wwwtax.cgi?mode=Info&amp;id=9091&amp;lvl=3&amp;lin=f&amp;keep=1&amp;srchmode=1&amp;unlock","9091")</f>
        <v>9091</v>
      </c>
      <c r="E1322" t="s">
        <v>167</v>
      </c>
      <c r="F1322" t="s">
        <v>167</v>
      </c>
      <c r="G1322" t="str">
        <f>HYPERLINK("http://www.ncbi.nlm.nih.gov/Taxonomy/Browser/wwwtax.cgi?mode=Info&amp;id=9091&amp;lvl=3&amp;lin=f&amp;keep=1&amp;srchmode=1&amp;unlock","Coturnix coturnix")</f>
        <v>Coturnix coturnix</v>
      </c>
      <c r="H1322" t="s">
        <v>1253</v>
      </c>
      <c r="I1322" t="str">
        <f>HYPERLINK("http://www.ncbi.nlm.nih.gov/protein/AAD23397.1","retinoic acid receptor beta-1")</f>
        <v>retinoic acid receptor beta-1</v>
      </c>
      <c r="J1322">
        <v>108.23</v>
      </c>
      <c r="K1322" t="s">
        <v>25</v>
      </c>
      <c r="L1322">
        <v>157</v>
      </c>
      <c r="M1322">
        <v>44.41</v>
      </c>
      <c r="N1322">
        <v>5.76</v>
      </c>
      <c r="O1322" t="s">
        <v>20</v>
      </c>
      <c r="P1322" t="s">
        <v>965</v>
      </c>
      <c r="Q1322" t="s">
        <v>20</v>
      </c>
      <c r="R1322" t="str">
        <f>HYPERLINK("https://cfpub.epa.gov/ecotox/explore.cfm?ncbi=9091","Explore in ECOTOX")</f>
        <v>Explore in ECOTOX</v>
      </c>
    </row>
    <row r="1323" spans="1:18" x14ac:dyDescent="0.25">
      <c r="A1323">
        <v>6</v>
      </c>
      <c r="B1323" t="str">
        <f>HYPERLINK("http://www.ncbi.nlm.nih.gov/protein/P18514.1","P18514.1")</f>
        <v>P18514.1</v>
      </c>
      <c r="C1323">
        <v>449</v>
      </c>
      <c r="D1323" t="str">
        <f>HYPERLINK("http://www.ncbi.nlm.nih.gov/Taxonomy/Browser/wwwtax.cgi?mode=Info&amp;id=8316&amp;lvl=3&amp;lin=f&amp;keep=1&amp;srchmode=1&amp;unlock","8316")</f>
        <v>8316</v>
      </c>
      <c r="E1323" t="s">
        <v>134</v>
      </c>
      <c r="F1323" t="s">
        <v>134</v>
      </c>
      <c r="G1323" t="str">
        <f>HYPERLINK("http://www.ncbi.nlm.nih.gov/Taxonomy/Browser/wwwtax.cgi?mode=Info&amp;id=8316&amp;lvl=3&amp;lin=f&amp;keep=1&amp;srchmode=1&amp;unlock","Notophthalmus viridescens")</f>
        <v>Notophthalmus viridescens</v>
      </c>
      <c r="H1323" t="s">
        <v>1254</v>
      </c>
      <c r="I1323" t="str">
        <f>HYPERLINK("http://www.ncbi.nlm.nih.gov/protein/P18514.1","RecName: Full=Retinoic acid receptor alpha; Short=RAR-alpha; AltName: Full=Nuclear receptor subfamily 1 group B member 1")</f>
        <v>RecName: Full=Retinoic acid receptor alpha; Short=RAR-alpha; AltName: Full=Nuclear receptor subfamily 1 group B member 1</v>
      </c>
      <c r="J1323">
        <v>108.23</v>
      </c>
      <c r="K1323" t="s">
        <v>25</v>
      </c>
      <c r="L1323">
        <v>157</v>
      </c>
      <c r="M1323">
        <v>44.41</v>
      </c>
      <c r="N1323">
        <v>5.76</v>
      </c>
      <c r="O1323" t="s">
        <v>20</v>
      </c>
      <c r="P1323" t="s">
        <v>965</v>
      </c>
      <c r="Q1323" t="s">
        <v>20</v>
      </c>
      <c r="R1323" t="str">
        <f>HYPERLINK("https://cfpub.epa.gov/ecotox/explore.cfm?ncbi=8316","Explore in ECOTOX")</f>
        <v>Explore in ECOTOX</v>
      </c>
    </row>
    <row r="1324" spans="1:18" x14ac:dyDescent="0.25">
      <c r="A1324">
        <v>6</v>
      </c>
      <c r="B1324" t="str">
        <f>HYPERLINK("http://www.ncbi.nlm.nih.gov/protein/XP_026810076.1","XP_026810076.1")</f>
        <v>XP_026810076.1</v>
      </c>
      <c r="C1324">
        <v>19583</v>
      </c>
      <c r="D1324" t="str">
        <f>HYPERLINK("http://www.ncbi.nlm.nih.gov/Taxonomy/Browser/wwwtax.cgi?mode=Info&amp;id=43146&amp;lvl=3&amp;lin=f&amp;keep=1&amp;srchmode=1&amp;unlock","43146")</f>
        <v>43146</v>
      </c>
      <c r="E1324" t="s">
        <v>698</v>
      </c>
      <c r="F1324" t="s">
        <v>698</v>
      </c>
      <c r="G1324" t="str">
        <f>HYPERLINK("http://www.ncbi.nlm.nih.gov/Taxonomy/Browser/wwwtax.cgi?mode=Info&amp;id=43146&amp;lvl=3&amp;lin=f&amp;keep=1&amp;srchmode=1&amp;unlock","Rhopalosiphum maidis")</f>
        <v>Rhopalosiphum maidis</v>
      </c>
      <c r="H1324" t="s">
        <v>845</v>
      </c>
      <c r="I1324" t="str">
        <f>HYPERLINK("http://www.ncbi.nlm.nih.gov/protein/XP_026810076.1","nuclear receptor subfamily 2 group F member 1-B")</f>
        <v>nuclear receptor subfamily 2 group F member 1-B</v>
      </c>
      <c r="J1324">
        <v>108.23</v>
      </c>
      <c r="K1324" t="s">
        <v>25</v>
      </c>
      <c r="L1324">
        <v>157</v>
      </c>
      <c r="M1324">
        <v>44.41</v>
      </c>
      <c r="N1324">
        <v>5.76</v>
      </c>
      <c r="O1324" t="s">
        <v>25</v>
      </c>
      <c r="P1324" t="s">
        <v>965</v>
      </c>
      <c r="Q1324" t="s">
        <v>20</v>
      </c>
      <c r="R1324" t="str">
        <f>HYPERLINK("https://cfpub.epa.gov/ecotox/explore.cfm?ncbi=43146","Explore in ECOTOX")</f>
        <v>Explore in ECOTOX</v>
      </c>
    </row>
    <row r="1325" spans="1:18" x14ac:dyDescent="0.25">
      <c r="A1325">
        <v>6</v>
      </c>
      <c r="B1325" t="str">
        <f>HYPERLINK("http://www.ncbi.nlm.nih.gov/protein/RCN46524.1","RCN46524.1")</f>
        <v>RCN46524.1</v>
      </c>
      <c r="C1325">
        <v>30347</v>
      </c>
      <c r="D1325" t="str">
        <f>HYPERLINK("http://www.ncbi.nlm.nih.gov/Taxonomy/Browser/wwwtax.cgi?mode=Info&amp;id=29170&amp;lvl=3&amp;lin=f&amp;keep=1&amp;srchmode=1&amp;unlock","29170")</f>
        <v>29170</v>
      </c>
      <c r="E1325" t="s">
        <v>869</v>
      </c>
      <c r="F1325" t="s">
        <v>869</v>
      </c>
      <c r="G1325" t="str">
        <f>HYPERLINK("http://www.ncbi.nlm.nih.gov/Taxonomy/Browser/wwwtax.cgi?mode=Info&amp;id=29170&amp;lvl=3&amp;lin=f&amp;keep=1&amp;srchmode=1&amp;unlock","Ancylostoma caninum")</f>
        <v>Ancylostoma caninum</v>
      </c>
      <c r="H1325" t="s">
        <v>961</v>
      </c>
      <c r="I1325" t="str">
        <f>HYPERLINK("http://www.ncbi.nlm.nih.gov/protein/RCN46524.1","Ligand-binding domain of nuclear hormone receptor")</f>
        <v>Ligand-binding domain of nuclear hormone receptor</v>
      </c>
      <c r="J1325">
        <v>108.23</v>
      </c>
      <c r="K1325" t="s">
        <v>25</v>
      </c>
      <c r="L1325">
        <v>157</v>
      </c>
      <c r="M1325">
        <v>44.41</v>
      </c>
      <c r="N1325">
        <v>5.76</v>
      </c>
      <c r="O1325" t="s">
        <v>25</v>
      </c>
      <c r="P1325" t="s">
        <v>965</v>
      </c>
      <c r="Q1325" t="s">
        <v>20</v>
      </c>
      <c r="R1325" t="str">
        <f>HYPERLINK("https://cfpub.epa.gov/ecotox/explore.cfm?ncbi=29170","Explore in ECOTOX")</f>
        <v>Explore in ECOTOX</v>
      </c>
    </row>
    <row r="1326" spans="1:18" x14ac:dyDescent="0.25">
      <c r="A1326">
        <v>6</v>
      </c>
      <c r="B1326" t="str">
        <f>HYPERLINK("http://www.ncbi.nlm.nih.gov/protein/EYB91076.1","EYB91076.1")</f>
        <v>EYB91076.1</v>
      </c>
      <c r="C1326">
        <v>81587</v>
      </c>
      <c r="D1326" t="str">
        <f>HYPERLINK("http://www.ncbi.nlm.nih.gov/Taxonomy/Browser/wwwtax.cgi?mode=Info&amp;id=53326&amp;lvl=3&amp;lin=f&amp;keep=1&amp;srchmode=1&amp;unlock","53326")</f>
        <v>53326</v>
      </c>
      <c r="E1326" t="s">
        <v>869</v>
      </c>
      <c r="F1326" t="s">
        <v>869</v>
      </c>
      <c r="G1326" t="str">
        <f>HYPERLINK("http://www.ncbi.nlm.nih.gov/Taxonomy/Browser/wwwtax.cgi?mode=Info&amp;id=53326&amp;lvl=3&amp;lin=f&amp;keep=1&amp;srchmode=1&amp;unlock","Ancylostoma ceylanicum")</f>
        <v>Ancylostoma ceylanicum</v>
      </c>
      <c r="H1326" t="s">
        <v>803</v>
      </c>
      <c r="I1326" t="str">
        <f>HYPERLINK("http://www.ncbi.nlm.nih.gov/protein/EYB91076.1","hypothetical protein Y032_0211g2217")</f>
        <v>hypothetical protein Y032_0211g2217</v>
      </c>
      <c r="J1326">
        <v>107.84</v>
      </c>
      <c r="K1326" t="s">
        <v>25</v>
      </c>
      <c r="L1326">
        <v>157</v>
      </c>
      <c r="M1326">
        <v>44.41</v>
      </c>
      <c r="N1326">
        <v>5.74</v>
      </c>
      <c r="O1326" t="s">
        <v>25</v>
      </c>
      <c r="P1326" t="s">
        <v>965</v>
      </c>
      <c r="Q1326" t="s">
        <v>20</v>
      </c>
      <c r="R1326" t="str">
        <f>HYPERLINK("https://cfpub.epa.gov/ecotox/explore.cfm?ncbi=53326","Explore in ECOTOX")</f>
        <v>Explore in ECOTOX</v>
      </c>
    </row>
    <row r="1327" spans="1:18" x14ac:dyDescent="0.25">
      <c r="A1327">
        <v>6</v>
      </c>
      <c r="B1327" t="str">
        <f>HYPERLINK("http://www.ncbi.nlm.nih.gov/protein/VUY41898.1","VUY41898.1")</f>
        <v>VUY41898.1</v>
      </c>
      <c r="C1327">
        <v>41</v>
      </c>
      <c r="D1327" t="str">
        <f>HYPERLINK("http://www.ncbi.nlm.nih.gov/Taxonomy/Browser/wwwtax.cgi?mode=Info&amp;id=454563&amp;lvl=3&amp;lin=f&amp;keep=1&amp;srchmode=1&amp;unlock","454563")</f>
        <v>454563</v>
      </c>
      <c r="E1327" t="s">
        <v>698</v>
      </c>
      <c r="F1327" t="s">
        <v>698</v>
      </c>
      <c r="G1327" t="str">
        <f>HYPERLINK("http://www.ncbi.nlm.nih.gov/Taxonomy/Browser/wwwtax.cgi?mode=Info&amp;id=454563&amp;lvl=3&amp;lin=f&amp;keep=1&amp;srchmode=1&amp;unlock","Lamprohiza splendidula")</f>
        <v>Lamprohiza splendidula</v>
      </c>
      <c r="H1327" t="s">
        <v>892</v>
      </c>
      <c r="I1327" t="str">
        <f>HYPERLINK("http://www.ncbi.nlm.nih.gov/protein/VUY41898.1","Ecdysone receptor, partial")</f>
        <v>Ecdysone receptor, partial</v>
      </c>
      <c r="J1327">
        <v>107.84</v>
      </c>
      <c r="K1327" t="s">
        <v>25</v>
      </c>
      <c r="L1327">
        <v>157</v>
      </c>
      <c r="M1327">
        <v>44.41</v>
      </c>
      <c r="N1327">
        <v>5.74</v>
      </c>
      <c r="O1327" t="s">
        <v>25</v>
      </c>
      <c r="P1327" t="s">
        <v>965</v>
      </c>
      <c r="Q1327" t="s">
        <v>20</v>
      </c>
      <c r="R1327" t="str">
        <f>HYPERLINK("https://cfpub.epa.gov/ecotox/explore.cfm?ncbi=454563","Explore in ECOTOX")</f>
        <v>Explore in ECOTOX</v>
      </c>
    </row>
    <row r="1328" spans="1:18" x14ac:dyDescent="0.25">
      <c r="A1328">
        <v>6</v>
      </c>
      <c r="B1328" t="str">
        <f>HYPERLINK("http://www.ncbi.nlm.nih.gov/protein/XP_015369584.1","XP_015369584.1")</f>
        <v>XP_015369584.1</v>
      </c>
      <c r="C1328">
        <v>17638</v>
      </c>
      <c r="D1328" t="str">
        <f>HYPERLINK("http://www.ncbi.nlm.nih.gov/Taxonomy/Browser/wwwtax.cgi?mode=Info&amp;id=143948&amp;lvl=3&amp;lin=f&amp;keep=1&amp;srchmode=1&amp;unlock","143948")</f>
        <v>143948</v>
      </c>
      <c r="E1328" t="s">
        <v>698</v>
      </c>
      <c r="F1328" t="s">
        <v>698</v>
      </c>
      <c r="G1328" t="str">
        <f>HYPERLINK("http://www.ncbi.nlm.nih.gov/Taxonomy/Browser/wwwtax.cgi?mode=Info&amp;id=143948&amp;lvl=3&amp;lin=f&amp;keep=1&amp;srchmode=1&amp;unlock","Diuraphis noxia")</f>
        <v>Diuraphis noxia</v>
      </c>
      <c r="H1328" t="s">
        <v>918</v>
      </c>
      <c r="I1328" t="str">
        <f>HYPERLINK("http://www.ncbi.nlm.nih.gov/protein/XP_015369584.1","PREDICTED: retinoic acid receptor RXR-alpha-B-like")</f>
        <v>PREDICTED: retinoic acid receptor RXR-alpha-B-like</v>
      </c>
      <c r="J1328">
        <v>107.84</v>
      </c>
      <c r="K1328" t="s">
        <v>25</v>
      </c>
      <c r="L1328">
        <v>157</v>
      </c>
      <c r="M1328">
        <v>44.41</v>
      </c>
      <c r="N1328">
        <v>5.74</v>
      </c>
      <c r="O1328" t="s">
        <v>25</v>
      </c>
      <c r="P1328" t="s">
        <v>965</v>
      </c>
      <c r="Q1328" t="s">
        <v>20</v>
      </c>
      <c r="R1328" t="str">
        <f>HYPERLINK("https://cfpub.epa.gov/ecotox/explore.cfm?ncbi=143948","Explore in ECOTOX")</f>
        <v>Explore in ECOTOX</v>
      </c>
    </row>
    <row r="1329" spans="1:18" x14ac:dyDescent="0.25">
      <c r="A1329">
        <v>6</v>
      </c>
      <c r="B1329" t="str">
        <f>HYPERLINK("http://www.ncbi.nlm.nih.gov/protein/ACN78601.1","ACN78601.1")</f>
        <v>ACN78601.1</v>
      </c>
      <c r="C1329">
        <v>326</v>
      </c>
      <c r="D1329" t="str">
        <f>HYPERLINK("http://www.ncbi.nlm.nih.gov/Taxonomy/Browser/wwwtax.cgi?mode=Info&amp;id=139456&amp;lvl=3&amp;lin=f&amp;keep=1&amp;srchmode=1&amp;unlock","139456")</f>
        <v>139456</v>
      </c>
      <c r="E1329" t="s">
        <v>742</v>
      </c>
      <c r="F1329" t="s">
        <v>742</v>
      </c>
      <c r="G1329" t="str">
        <f>HYPERLINK("http://www.ncbi.nlm.nih.gov/Taxonomy/Browser/wwwtax.cgi?mode=Info&amp;id=139456&amp;lvl=3&amp;lin=f&amp;keep=1&amp;srchmode=1&amp;unlock","Penaeus chinensis")</f>
        <v>Penaeus chinensis</v>
      </c>
      <c r="H1329" t="s">
        <v>790</v>
      </c>
      <c r="I1329" t="str">
        <f>HYPERLINK("http://www.ncbi.nlm.nih.gov/protein/ACN78601.1","retinoid X receptor 1")</f>
        <v>retinoid X receptor 1</v>
      </c>
      <c r="J1329">
        <v>107.84</v>
      </c>
      <c r="K1329" t="s">
        <v>25</v>
      </c>
      <c r="L1329">
        <v>157</v>
      </c>
      <c r="M1329">
        <v>44.41</v>
      </c>
      <c r="N1329">
        <v>5.74</v>
      </c>
      <c r="O1329" t="s">
        <v>25</v>
      </c>
      <c r="P1329" t="s">
        <v>965</v>
      </c>
      <c r="Q1329" t="s">
        <v>20</v>
      </c>
      <c r="R1329" t="str">
        <f>HYPERLINK("https://cfpub.epa.gov/ecotox/explore.cfm?ncbi=139456","Explore in ECOTOX")</f>
        <v>Explore in ECOTOX</v>
      </c>
    </row>
    <row r="1330" spans="1:18" x14ac:dyDescent="0.25">
      <c r="A1330">
        <v>6</v>
      </c>
      <c r="B1330" t="str">
        <f>HYPERLINK("http://www.ncbi.nlm.nih.gov/protein/VDO41287.1","VDO41287.1")</f>
        <v>VDO41287.1</v>
      </c>
      <c r="C1330">
        <v>21560</v>
      </c>
      <c r="D1330" t="str">
        <f>HYPERLINK("http://www.ncbi.nlm.nih.gov/Taxonomy/Browser/wwwtax.cgi?mode=Info&amp;id=6290&amp;lvl=3&amp;lin=f&amp;keep=1&amp;srchmode=1&amp;unlock","6290")</f>
        <v>6290</v>
      </c>
      <c r="E1330" t="s">
        <v>869</v>
      </c>
      <c r="F1330" t="s">
        <v>869</v>
      </c>
      <c r="G1330" t="str">
        <f>HYPERLINK("http://www.ncbi.nlm.nih.gov/Taxonomy/Browser/wwwtax.cgi?mode=Info&amp;id=6290&amp;lvl=3&amp;lin=f&amp;keep=1&amp;srchmode=1&amp;unlock","Haemonchus placei")</f>
        <v>Haemonchus placei</v>
      </c>
      <c r="H1330" t="s">
        <v>803</v>
      </c>
      <c r="I1330" t="str">
        <f>HYPERLINK("http://www.ncbi.nlm.nih.gov/protein/VDO41287.1","unnamed protein product")</f>
        <v>unnamed protein product</v>
      </c>
      <c r="J1330">
        <v>107.46</v>
      </c>
      <c r="K1330" t="s">
        <v>25</v>
      </c>
      <c r="L1330">
        <v>157</v>
      </c>
      <c r="M1330">
        <v>44.41</v>
      </c>
      <c r="N1330">
        <v>5.72</v>
      </c>
      <c r="O1330" t="s">
        <v>25</v>
      </c>
      <c r="P1330" t="s">
        <v>965</v>
      </c>
      <c r="Q1330" t="s">
        <v>20</v>
      </c>
      <c r="R1330" t="str">
        <f>HYPERLINK("https://cfpub.epa.gov/ecotox/explore.cfm?ncbi=6290","Explore in ECOTOX")</f>
        <v>Explore in ECOTOX</v>
      </c>
    </row>
    <row r="1331" spans="1:18" x14ac:dyDescent="0.25">
      <c r="A1331">
        <v>6</v>
      </c>
      <c r="B1331" t="str">
        <f>HYPERLINK("http://www.ncbi.nlm.nih.gov/protein/AAC15588.1","AAC15588.1")</f>
        <v>AAC15588.1</v>
      </c>
      <c r="C1331">
        <v>116</v>
      </c>
      <c r="D1331" t="str">
        <f>HYPERLINK("http://www.ncbi.nlm.nih.gov/Taxonomy/Browser/wwwtax.cgi?mode=Info&amp;id=6943&amp;lvl=3&amp;lin=f&amp;keep=1&amp;srchmode=1&amp;unlock","6943")</f>
        <v>6943</v>
      </c>
      <c r="E1331" t="s">
        <v>700</v>
      </c>
      <c r="F1331" t="s">
        <v>700</v>
      </c>
      <c r="G1331" t="str">
        <f>HYPERLINK("http://www.ncbi.nlm.nih.gov/Taxonomy/Browser/wwwtax.cgi?mode=Info&amp;id=6943&amp;lvl=3&amp;lin=f&amp;keep=1&amp;srchmode=1&amp;unlock","Amblyomma americanum")</f>
        <v>Amblyomma americanum</v>
      </c>
      <c r="H1331" t="s">
        <v>1255</v>
      </c>
      <c r="I1331" t="str">
        <f>HYPERLINK("http://www.ncbi.nlm.nih.gov/protein/AAC15588.1","retinoid X receptor")</f>
        <v>retinoid X receptor</v>
      </c>
      <c r="J1331">
        <v>107.46</v>
      </c>
      <c r="K1331" t="s">
        <v>25</v>
      </c>
      <c r="L1331">
        <v>157</v>
      </c>
      <c r="M1331">
        <v>44.41</v>
      </c>
      <c r="N1331">
        <v>5.72</v>
      </c>
      <c r="O1331" t="s">
        <v>25</v>
      </c>
      <c r="P1331" t="s">
        <v>965</v>
      </c>
      <c r="Q1331" t="s">
        <v>20</v>
      </c>
      <c r="R1331" t="str">
        <f>HYPERLINK("https://cfpub.epa.gov/ecotox/explore.cfm?ncbi=6943","Explore in ECOTOX")</f>
        <v>Explore in ECOTOX</v>
      </c>
    </row>
    <row r="1332" spans="1:18" x14ac:dyDescent="0.25">
      <c r="A1332">
        <v>6</v>
      </c>
      <c r="B1332" t="str">
        <f>HYPERLINK("http://www.ncbi.nlm.nih.gov/protein/AGS58253.1","AGS58253.1")</f>
        <v>AGS58253.1</v>
      </c>
      <c r="C1332">
        <v>629</v>
      </c>
      <c r="D1332" t="str">
        <f>HYPERLINK("http://www.ncbi.nlm.nih.gov/Taxonomy/Browser/wwwtax.cgi?mode=Info&amp;id=59899&amp;lvl=3&amp;lin=f&amp;keep=1&amp;srchmode=1&amp;unlock","59899")</f>
        <v>59899</v>
      </c>
      <c r="E1332" t="s">
        <v>384</v>
      </c>
      <c r="F1332" t="s">
        <v>384</v>
      </c>
      <c r="G1332" t="str">
        <f>HYPERLINK("http://www.ncbi.nlm.nih.gov/Taxonomy/Browser/wwwtax.cgi?mode=Info&amp;id=59899&amp;lvl=3&amp;lin=f&amp;keep=1&amp;srchmode=1&amp;unlock","Clarias batrachus")</f>
        <v>Clarias batrachus</v>
      </c>
      <c r="H1332" t="s">
        <v>1256</v>
      </c>
      <c r="I1332" t="str">
        <f>HYPERLINK("http://www.ncbi.nlm.nih.gov/protein/AGS58253.1","retinoid X receptor beta b")</f>
        <v>retinoid X receptor beta b</v>
      </c>
      <c r="J1332">
        <v>107.46</v>
      </c>
      <c r="K1332" t="s">
        <v>25</v>
      </c>
      <c r="L1332">
        <v>157</v>
      </c>
      <c r="M1332">
        <v>44.41</v>
      </c>
      <c r="N1332">
        <v>5.72</v>
      </c>
      <c r="O1332" t="s">
        <v>25</v>
      </c>
      <c r="P1332" t="s">
        <v>965</v>
      </c>
      <c r="Q1332" t="s">
        <v>20</v>
      </c>
      <c r="R1332" t="str">
        <f>HYPERLINK("https://cfpub.epa.gov/ecotox/explore.cfm?ncbi=59899","Explore in ECOTOX")</f>
        <v>Explore in ECOTOX</v>
      </c>
    </row>
    <row r="1333" spans="1:18" x14ac:dyDescent="0.25">
      <c r="A1333">
        <v>6</v>
      </c>
      <c r="B1333" t="str">
        <f>HYPERLINK("http://www.ncbi.nlm.nih.gov/protein/XP_013297850.1","XP_013297850.1")</f>
        <v>XP_013297850.1</v>
      </c>
      <c r="C1333">
        <v>38486</v>
      </c>
      <c r="D1333" t="str">
        <f>HYPERLINK("http://www.ncbi.nlm.nih.gov/Taxonomy/Browser/wwwtax.cgi?mode=Info&amp;id=51031&amp;lvl=3&amp;lin=f&amp;keep=1&amp;srchmode=1&amp;unlock","51031")</f>
        <v>51031</v>
      </c>
      <c r="E1333" t="s">
        <v>869</v>
      </c>
      <c r="F1333" t="s">
        <v>869</v>
      </c>
      <c r="G1333" t="str">
        <f>HYPERLINK("http://www.ncbi.nlm.nih.gov/Taxonomy/Browser/wwwtax.cgi?mode=Info&amp;id=51031&amp;lvl=3&amp;lin=f&amp;keep=1&amp;srchmode=1&amp;unlock","Necator americanus")</f>
        <v>Necator americanus</v>
      </c>
      <c r="H1333" t="s">
        <v>803</v>
      </c>
      <c r="I1333" t="str">
        <f>HYPERLINK("http://www.ncbi.nlm.nih.gov/protein/XP_013297850.1","Ligand-binding domain of nuclear hormone receptor")</f>
        <v>Ligand-binding domain of nuclear hormone receptor</v>
      </c>
      <c r="J1333">
        <v>107.46</v>
      </c>
      <c r="K1333" t="s">
        <v>25</v>
      </c>
      <c r="L1333">
        <v>157</v>
      </c>
      <c r="M1333">
        <v>44.41</v>
      </c>
      <c r="N1333">
        <v>5.72</v>
      </c>
      <c r="O1333" t="s">
        <v>25</v>
      </c>
      <c r="P1333" t="s">
        <v>965</v>
      </c>
      <c r="Q1333" t="s">
        <v>20</v>
      </c>
      <c r="R1333" t="str">
        <f>HYPERLINK("https://cfpub.epa.gov/ecotox/explore.cfm?ncbi=51031","Explore in ECOTOX")</f>
        <v>Explore in ECOTOX</v>
      </c>
    </row>
    <row r="1334" spans="1:18" x14ac:dyDescent="0.25">
      <c r="A1334">
        <v>6</v>
      </c>
      <c r="B1334" t="str">
        <f>HYPERLINK("http://www.ncbi.nlm.nih.gov/protein/AEB21388.1","AEB21388.1")</f>
        <v>AEB21388.1</v>
      </c>
      <c r="C1334">
        <v>147</v>
      </c>
      <c r="D1334" t="str">
        <f>HYPERLINK("http://www.ncbi.nlm.nih.gov/Taxonomy/Browser/wwwtax.cgi?mode=Info&amp;id=35630&amp;lvl=3&amp;lin=f&amp;keep=1&amp;srchmode=1&amp;unlock","35630")</f>
        <v>35630</v>
      </c>
      <c r="E1334" t="s">
        <v>1214</v>
      </c>
      <c r="F1334" t="s">
        <v>1214</v>
      </c>
      <c r="G1334" t="str">
        <f>HYPERLINK("http://www.ncbi.nlm.nih.gov/Taxonomy/Browser/wwwtax.cgi?mode=Info&amp;id=35630&amp;lvl=3&amp;lin=f&amp;keep=1&amp;srchmode=1&amp;unlock","Hydractinia echinata")</f>
        <v>Hydractinia echinata</v>
      </c>
      <c r="H1334" t="s">
        <v>1257</v>
      </c>
      <c r="I1334" t="str">
        <f>HYPERLINK("http://www.ncbi.nlm.nih.gov/protein/AEB21388.1","COUP-TF protein, partial")</f>
        <v>COUP-TF protein, partial</v>
      </c>
      <c r="J1334">
        <v>105.92</v>
      </c>
      <c r="K1334" t="s">
        <v>25</v>
      </c>
      <c r="L1334">
        <v>157</v>
      </c>
      <c r="M1334">
        <v>44.41</v>
      </c>
      <c r="N1334">
        <v>5.64</v>
      </c>
      <c r="O1334" t="s">
        <v>25</v>
      </c>
      <c r="P1334" t="s">
        <v>965</v>
      </c>
      <c r="Q1334" t="s">
        <v>20</v>
      </c>
      <c r="R1334" t="str">
        <f>HYPERLINK("https://cfpub.epa.gov/ecotox/explore.cfm?ncbi=35630","Explore in ECOTOX")</f>
        <v>Explore in ECOTOX</v>
      </c>
    </row>
    <row r="1335" spans="1:18" x14ac:dyDescent="0.25">
      <c r="A1335">
        <v>6</v>
      </c>
      <c r="B1335" t="str">
        <f>HYPERLINK("http://www.ncbi.nlm.nih.gov/protein/KRT86430.1","KRT86430.1")</f>
        <v>KRT86430.1</v>
      </c>
      <c r="C1335">
        <v>8838</v>
      </c>
      <c r="D1335" t="str">
        <f>HYPERLINK("http://www.ncbi.nlm.nih.gov/Taxonomy/Browser/wwwtax.cgi?mode=Info&amp;id=1629725&amp;lvl=3&amp;lin=f&amp;keep=1&amp;srchmode=1&amp;unlock","1629725")</f>
        <v>1629725</v>
      </c>
      <c r="E1335" t="s">
        <v>698</v>
      </c>
      <c r="F1335" t="s">
        <v>698</v>
      </c>
      <c r="G1335" t="str">
        <f>HYPERLINK("http://www.ncbi.nlm.nih.gov/Taxonomy/Browser/wwwtax.cgi?mode=Info&amp;id=1629725&amp;lvl=3&amp;lin=f&amp;keep=1&amp;srchmode=1&amp;unlock","Oryctes borbonicus")</f>
        <v>Oryctes borbonicus</v>
      </c>
      <c r="H1335" t="s">
        <v>957</v>
      </c>
      <c r="I1335" t="str">
        <f>HYPERLINK("http://www.ncbi.nlm.nih.gov/protein/KRT86430.1","nuclear receptor, partial")</f>
        <v>nuclear receptor, partial</v>
      </c>
      <c r="J1335">
        <v>105.14</v>
      </c>
      <c r="K1335" t="s">
        <v>25</v>
      </c>
      <c r="L1335">
        <v>157</v>
      </c>
      <c r="M1335">
        <v>44.41</v>
      </c>
      <c r="N1335">
        <v>5.6</v>
      </c>
      <c r="O1335" t="s">
        <v>25</v>
      </c>
      <c r="P1335" t="s">
        <v>965</v>
      </c>
      <c r="Q1335" t="s">
        <v>20</v>
      </c>
      <c r="R1335" t="str">
        <f>HYPERLINK("https://cfpub.epa.gov/ecotox/explore.cfm?ncbi=1629725","Explore in ECOTOX")</f>
        <v>Explore in ECOTOX</v>
      </c>
    </row>
    <row r="1336" spans="1:18" x14ac:dyDescent="0.25">
      <c r="A1336">
        <v>6</v>
      </c>
      <c r="B1336" t="str">
        <f>HYPERLINK("http://www.ncbi.nlm.nih.gov/protein/ADF36184.1","ADF36184.1")</f>
        <v>ADF36184.1</v>
      </c>
      <c r="C1336">
        <v>224</v>
      </c>
      <c r="D1336" t="str">
        <f>HYPERLINK("http://www.ncbi.nlm.nih.gov/Taxonomy/Browser/wwwtax.cgi?mode=Info&amp;id=147949&amp;lvl=3&amp;lin=f&amp;keep=1&amp;srchmode=1&amp;unlock","147949")</f>
        <v>147949</v>
      </c>
      <c r="E1336" t="s">
        <v>384</v>
      </c>
      <c r="F1336" t="s">
        <v>384</v>
      </c>
      <c r="G1336" t="str">
        <f>HYPERLINK("http://www.ncbi.nlm.nih.gov/Taxonomy/Browser/wwwtax.cgi?mode=Info&amp;id=147949&amp;lvl=3&amp;lin=f&amp;keep=1&amp;srchmode=1&amp;unlock","Micropterus dolomieu")</f>
        <v>Micropterus dolomieu</v>
      </c>
      <c r="H1336" t="s">
        <v>1258</v>
      </c>
      <c r="I1336" t="str">
        <f>HYPERLINK("http://www.ncbi.nlm.nih.gov/protein/ADF36184.1","estrogen receptor alpha, partial")</f>
        <v>estrogen receptor alpha, partial</v>
      </c>
      <c r="J1336">
        <v>103.99</v>
      </c>
      <c r="K1336" t="s">
        <v>25</v>
      </c>
      <c r="L1336">
        <v>157</v>
      </c>
      <c r="M1336">
        <v>44.41</v>
      </c>
      <c r="N1336">
        <v>5.54</v>
      </c>
      <c r="O1336" t="s">
        <v>25</v>
      </c>
      <c r="P1336" t="s">
        <v>965</v>
      </c>
      <c r="Q1336" t="s">
        <v>20</v>
      </c>
      <c r="R1336" t="str">
        <f>HYPERLINK("https://cfpub.epa.gov/ecotox/explore.cfm?ncbi=147949","Explore in ECOTOX")</f>
        <v>Explore in ECOTOX</v>
      </c>
    </row>
    <row r="1337" spans="1:18" x14ac:dyDescent="0.25">
      <c r="A1337">
        <v>6</v>
      </c>
      <c r="B1337" t="str">
        <f>HYPERLINK("http://www.ncbi.nlm.nih.gov/protein/ACZ54253.1","ACZ54253.1")</f>
        <v>ACZ54253.1</v>
      </c>
      <c r="C1337">
        <v>538</v>
      </c>
      <c r="D1337" t="str">
        <f>HYPERLINK("http://www.ncbi.nlm.nih.gov/Taxonomy/Browser/wwwtax.cgi?mode=Info&amp;id=9737&amp;lvl=3&amp;lin=f&amp;keep=1&amp;srchmode=1&amp;unlock","9737")</f>
        <v>9737</v>
      </c>
      <c r="E1337" t="s">
        <v>18</v>
      </c>
      <c r="F1337" t="s">
        <v>18</v>
      </c>
      <c r="G1337" t="str">
        <f>HYPERLINK("http://www.ncbi.nlm.nih.gov/Taxonomy/Browser/wwwtax.cgi?mode=Info&amp;id=9737&amp;lvl=3&amp;lin=f&amp;keep=1&amp;srchmode=1&amp;unlock","Stenella coeruleoalba")</f>
        <v>Stenella coeruleoalba</v>
      </c>
      <c r="H1337" t="s">
        <v>1259</v>
      </c>
      <c r="I1337" t="str">
        <f>HYPERLINK("http://www.ncbi.nlm.nih.gov/protein/ACZ54253.1","estrogen receptor 1, partial")</f>
        <v>estrogen receptor 1, partial</v>
      </c>
      <c r="J1337">
        <v>102.45</v>
      </c>
      <c r="K1337" t="s">
        <v>25</v>
      </c>
      <c r="L1337">
        <v>157</v>
      </c>
      <c r="M1337">
        <v>44.41</v>
      </c>
      <c r="N1337">
        <v>5.45</v>
      </c>
      <c r="O1337" t="s">
        <v>20</v>
      </c>
      <c r="P1337" t="s">
        <v>965</v>
      </c>
      <c r="Q1337" t="s">
        <v>20</v>
      </c>
      <c r="R1337" t="str">
        <f>HYPERLINK("https://cfpub.epa.gov/ecotox/explore.cfm?ncbi=9737","Explore in ECOTOX")</f>
        <v>Explore in ECOTOX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22455-88E9-47C1-ADEC-ECAA1134DEA1}">
  <dimension ref="A1:F55"/>
  <sheetViews>
    <sheetView workbookViewId="0">
      <selection activeCell="I20" sqref="I20"/>
    </sheetView>
  </sheetViews>
  <sheetFormatPr defaultRowHeight="15" x14ac:dyDescent="0.25"/>
  <sheetData>
    <row r="1" spans="1:6" x14ac:dyDescent="0.25">
      <c r="A1" t="s">
        <v>4</v>
      </c>
      <c r="B1" t="s">
        <v>5</v>
      </c>
      <c r="C1" t="s">
        <v>1356</v>
      </c>
      <c r="D1" t="s">
        <v>1357</v>
      </c>
      <c r="E1" t="s">
        <v>1358</v>
      </c>
      <c r="F1" t="s">
        <v>14</v>
      </c>
    </row>
    <row r="2" spans="1:6" x14ac:dyDescent="0.25">
      <c r="A2" t="s">
        <v>18</v>
      </c>
      <c r="B2" t="s">
        <v>18</v>
      </c>
      <c r="C2">
        <v>309</v>
      </c>
      <c r="D2">
        <v>51.26</v>
      </c>
      <c r="E2">
        <v>43.49</v>
      </c>
      <c r="F2" t="s">
        <v>20</v>
      </c>
    </row>
    <row r="3" spans="1:6" x14ac:dyDescent="0.25">
      <c r="A3" t="s">
        <v>321</v>
      </c>
      <c r="B3" t="s">
        <v>321</v>
      </c>
      <c r="C3">
        <v>15</v>
      </c>
      <c r="D3">
        <v>42.1</v>
      </c>
      <c r="E3">
        <v>53.5</v>
      </c>
      <c r="F3" t="s">
        <v>20</v>
      </c>
    </row>
    <row r="4" spans="1:6" x14ac:dyDescent="0.25">
      <c r="A4" t="s">
        <v>236</v>
      </c>
      <c r="B4" t="s">
        <v>236</v>
      </c>
      <c r="C4">
        <v>29</v>
      </c>
      <c r="D4">
        <v>33.46</v>
      </c>
      <c r="E4">
        <v>39.94</v>
      </c>
      <c r="F4" t="s">
        <v>20</v>
      </c>
    </row>
    <row r="5" spans="1:6" x14ac:dyDescent="0.25">
      <c r="A5" t="s">
        <v>371</v>
      </c>
      <c r="B5" t="s">
        <v>371</v>
      </c>
      <c r="C5">
        <v>7</v>
      </c>
      <c r="D5">
        <v>32.18</v>
      </c>
      <c r="E5">
        <v>43.24</v>
      </c>
      <c r="F5" t="s">
        <v>20</v>
      </c>
    </row>
    <row r="6" spans="1:6" x14ac:dyDescent="0.25">
      <c r="A6" t="s">
        <v>134</v>
      </c>
      <c r="B6" t="s">
        <v>134</v>
      </c>
      <c r="C6">
        <v>30</v>
      </c>
      <c r="D6">
        <v>26.8</v>
      </c>
      <c r="E6">
        <v>26.29</v>
      </c>
      <c r="F6" t="s">
        <v>20</v>
      </c>
    </row>
    <row r="7" spans="1:6" x14ac:dyDescent="0.25">
      <c r="A7" t="s">
        <v>167</v>
      </c>
      <c r="B7" t="s">
        <v>167</v>
      </c>
      <c r="C7">
        <v>401</v>
      </c>
      <c r="D7">
        <v>35.64</v>
      </c>
      <c r="E7">
        <v>40.270000000000003</v>
      </c>
      <c r="F7" t="s">
        <v>20</v>
      </c>
    </row>
    <row r="8" spans="1:6" x14ac:dyDescent="0.25">
      <c r="A8" t="s">
        <v>646</v>
      </c>
      <c r="B8" t="s">
        <v>646</v>
      </c>
      <c r="C8">
        <v>2</v>
      </c>
      <c r="D8">
        <v>34.21</v>
      </c>
      <c r="E8">
        <v>34.21</v>
      </c>
      <c r="F8" t="s">
        <v>20</v>
      </c>
    </row>
    <row r="9" spans="1:6" x14ac:dyDescent="0.25">
      <c r="A9" t="s">
        <v>384</v>
      </c>
      <c r="B9" t="s">
        <v>384</v>
      </c>
      <c r="C9">
        <v>242</v>
      </c>
      <c r="D9">
        <v>24.67</v>
      </c>
      <c r="E9">
        <v>31.19</v>
      </c>
      <c r="F9" t="s">
        <v>20</v>
      </c>
    </row>
    <row r="10" spans="1:6" x14ac:dyDescent="0.25">
      <c r="A10" t="s">
        <v>522</v>
      </c>
      <c r="B10" t="s">
        <v>522</v>
      </c>
      <c r="C10">
        <v>2</v>
      </c>
      <c r="D10">
        <v>33.200000000000003</v>
      </c>
      <c r="E10">
        <v>33.200000000000003</v>
      </c>
      <c r="F10" t="s">
        <v>20</v>
      </c>
    </row>
    <row r="11" spans="1:6" x14ac:dyDescent="0.25">
      <c r="A11" t="s">
        <v>550</v>
      </c>
      <c r="B11" t="s">
        <v>550</v>
      </c>
      <c r="C11">
        <v>11</v>
      </c>
      <c r="D11">
        <v>24.94</v>
      </c>
      <c r="E11">
        <v>29.1</v>
      </c>
      <c r="F11" t="s">
        <v>20</v>
      </c>
    </row>
    <row r="12" spans="1:6" x14ac:dyDescent="0.25">
      <c r="A12" t="s">
        <v>687</v>
      </c>
      <c r="B12" t="s">
        <v>687</v>
      </c>
      <c r="C12">
        <v>4</v>
      </c>
      <c r="D12">
        <v>18.920000000000002</v>
      </c>
      <c r="E12">
        <v>18.02</v>
      </c>
      <c r="F12" t="s">
        <v>20</v>
      </c>
    </row>
    <row r="13" spans="1:6" x14ac:dyDescent="0.25">
      <c r="A13" t="s">
        <v>680</v>
      </c>
      <c r="B13" t="s">
        <v>680</v>
      </c>
      <c r="C13">
        <v>3</v>
      </c>
      <c r="D13">
        <v>13.94</v>
      </c>
      <c r="E13">
        <v>9.31</v>
      </c>
      <c r="F13" t="s">
        <v>25</v>
      </c>
    </row>
    <row r="14" spans="1:6" x14ac:dyDescent="0.25">
      <c r="A14" t="s">
        <v>696</v>
      </c>
      <c r="B14" t="s">
        <v>696</v>
      </c>
      <c r="C14">
        <v>3</v>
      </c>
      <c r="D14">
        <v>12.85</v>
      </c>
      <c r="E14">
        <v>9.08</v>
      </c>
      <c r="F14" t="s">
        <v>25</v>
      </c>
    </row>
    <row r="15" spans="1:6" x14ac:dyDescent="0.25">
      <c r="A15" t="s">
        <v>861</v>
      </c>
      <c r="B15" t="s">
        <v>861</v>
      </c>
      <c r="C15">
        <v>1</v>
      </c>
      <c r="D15">
        <v>9.43</v>
      </c>
      <c r="E15">
        <v>9.43</v>
      </c>
      <c r="F15" t="s">
        <v>25</v>
      </c>
    </row>
    <row r="16" spans="1:6" x14ac:dyDescent="0.25">
      <c r="A16" t="s">
        <v>709</v>
      </c>
      <c r="B16" t="s">
        <v>709</v>
      </c>
      <c r="C16">
        <v>15</v>
      </c>
      <c r="D16">
        <v>8.11</v>
      </c>
      <c r="E16">
        <v>8.65</v>
      </c>
      <c r="F16" t="s">
        <v>25</v>
      </c>
    </row>
    <row r="17" spans="1:6" x14ac:dyDescent="0.25">
      <c r="A17" t="s">
        <v>698</v>
      </c>
      <c r="B17" t="s">
        <v>698</v>
      </c>
      <c r="C17">
        <v>249</v>
      </c>
      <c r="D17">
        <v>7.42</v>
      </c>
      <c r="E17">
        <v>7.52</v>
      </c>
      <c r="F17" t="s">
        <v>25</v>
      </c>
    </row>
    <row r="18" spans="1:6" x14ac:dyDescent="0.25">
      <c r="A18" t="s">
        <v>763</v>
      </c>
      <c r="B18" t="s">
        <v>763</v>
      </c>
      <c r="C18">
        <v>14</v>
      </c>
      <c r="D18">
        <v>7.71</v>
      </c>
      <c r="E18">
        <v>8.23</v>
      </c>
      <c r="F18" t="s">
        <v>25</v>
      </c>
    </row>
    <row r="19" spans="1:6" x14ac:dyDescent="0.25">
      <c r="A19" t="s">
        <v>700</v>
      </c>
      <c r="B19" t="s">
        <v>700</v>
      </c>
      <c r="C19">
        <v>26</v>
      </c>
      <c r="D19">
        <v>7.38</v>
      </c>
      <c r="E19">
        <v>7.58</v>
      </c>
      <c r="F19" t="s">
        <v>25</v>
      </c>
    </row>
    <row r="20" spans="1:6" x14ac:dyDescent="0.25">
      <c r="A20" t="s">
        <v>742</v>
      </c>
      <c r="B20" t="s">
        <v>742</v>
      </c>
      <c r="C20">
        <v>21</v>
      </c>
      <c r="D20">
        <v>6.92</v>
      </c>
      <c r="E20">
        <v>6.15</v>
      </c>
      <c r="F20" t="s">
        <v>25</v>
      </c>
    </row>
    <row r="21" spans="1:6" x14ac:dyDescent="0.25">
      <c r="A21" t="s">
        <v>725</v>
      </c>
      <c r="B21" t="s">
        <v>725</v>
      </c>
      <c r="C21">
        <v>3</v>
      </c>
      <c r="D21">
        <v>7.93</v>
      </c>
      <c r="E21">
        <v>8.3699999999999992</v>
      </c>
      <c r="F21" t="s">
        <v>25</v>
      </c>
    </row>
    <row r="22" spans="1:6" x14ac:dyDescent="0.25">
      <c r="A22" t="s">
        <v>691</v>
      </c>
      <c r="B22" t="s">
        <v>691</v>
      </c>
      <c r="C22">
        <v>5</v>
      </c>
      <c r="D22">
        <v>7.77</v>
      </c>
      <c r="E22">
        <v>8.02</v>
      </c>
      <c r="F22" t="s">
        <v>25</v>
      </c>
    </row>
    <row r="23" spans="1:6" x14ac:dyDescent="0.25">
      <c r="A23" t="s">
        <v>855</v>
      </c>
      <c r="B23" t="s">
        <v>855</v>
      </c>
      <c r="C23">
        <v>12</v>
      </c>
      <c r="D23">
        <v>7.32</v>
      </c>
      <c r="E23">
        <v>7.89</v>
      </c>
      <c r="F23" t="s">
        <v>25</v>
      </c>
    </row>
    <row r="24" spans="1:6" x14ac:dyDescent="0.25">
      <c r="A24" t="s">
        <v>822</v>
      </c>
      <c r="B24" t="s">
        <v>822</v>
      </c>
      <c r="C24">
        <v>5</v>
      </c>
      <c r="D24">
        <v>7.57</v>
      </c>
      <c r="E24">
        <v>7.81</v>
      </c>
      <c r="F24" t="s">
        <v>25</v>
      </c>
    </row>
    <row r="25" spans="1:6" x14ac:dyDescent="0.25">
      <c r="A25" t="s">
        <v>720</v>
      </c>
      <c r="B25" t="s">
        <v>720</v>
      </c>
      <c r="C25">
        <v>1</v>
      </c>
      <c r="D25">
        <v>8.24</v>
      </c>
      <c r="E25">
        <v>8.24</v>
      </c>
      <c r="F25" t="s">
        <v>25</v>
      </c>
    </row>
    <row r="26" spans="1:6" x14ac:dyDescent="0.25">
      <c r="A26" t="s">
        <v>1131</v>
      </c>
      <c r="B26" t="s">
        <v>1131</v>
      </c>
      <c r="C26">
        <v>2</v>
      </c>
      <c r="D26">
        <v>7.13</v>
      </c>
      <c r="E26">
        <v>7.13</v>
      </c>
      <c r="F26" t="s">
        <v>25</v>
      </c>
    </row>
    <row r="27" spans="1:6" x14ac:dyDescent="0.25">
      <c r="A27" t="s">
        <v>760</v>
      </c>
      <c r="B27" t="s">
        <v>760</v>
      </c>
      <c r="C27">
        <v>7</v>
      </c>
      <c r="D27">
        <v>7.49</v>
      </c>
      <c r="E27">
        <v>7.5</v>
      </c>
      <c r="F27" t="s">
        <v>25</v>
      </c>
    </row>
    <row r="28" spans="1:6" x14ac:dyDescent="0.25">
      <c r="A28" t="s">
        <v>715</v>
      </c>
      <c r="B28" t="s">
        <v>715</v>
      </c>
      <c r="C28">
        <v>3</v>
      </c>
      <c r="D28">
        <v>7.75</v>
      </c>
      <c r="E28">
        <v>7.69</v>
      </c>
      <c r="F28" t="s">
        <v>25</v>
      </c>
    </row>
    <row r="29" spans="1:6" x14ac:dyDescent="0.25">
      <c r="A29" t="s">
        <v>806</v>
      </c>
      <c r="B29" t="s">
        <v>806</v>
      </c>
      <c r="C29">
        <v>2</v>
      </c>
      <c r="D29">
        <v>7.78</v>
      </c>
      <c r="E29">
        <v>7.78</v>
      </c>
      <c r="F29" t="s">
        <v>25</v>
      </c>
    </row>
    <row r="30" spans="1:6" x14ac:dyDescent="0.25">
      <c r="A30" t="s">
        <v>765</v>
      </c>
      <c r="B30" t="s">
        <v>765</v>
      </c>
      <c r="C30">
        <v>2</v>
      </c>
      <c r="D30">
        <v>7.6</v>
      </c>
      <c r="E30">
        <v>7.6</v>
      </c>
      <c r="F30" t="s">
        <v>25</v>
      </c>
    </row>
    <row r="31" spans="1:6" x14ac:dyDescent="0.25">
      <c r="A31" t="s">
        <v>797</v>
      </c>
      <c r="B31" t="s">
        <v>797</v>
      </c>
      <c r="C31">
        <v>1</v>
      </c>
      <c r="D31">
        <v>7.54</v>
      </c>
      <c r="E31">
        <v>7.54</v>
      </c>
      <c r="F31" t="s">
        <v>25</v>
      </c>
    </row>
    <row r="32" spans="1:6" x14ac:dyDescent="0.25">
      <c r="A32" t="s">
        <v>1153</v>
      </c>
      <c r="B32" t="s">
        <v>1153</v>
      </c>
      <c r="C32">
        <v>2</v>
      </c>
      <c r="D32">
        <v>7.54</v>
      </c>
      <c r="E32">
        <v>7.54</v>
      </c>
      <c r="F32" t="s">
        <v>25</v>
      </c>
    </row>
    <row r="33" spans="1:6" x14ac:dyDescent="0.25">
      <c r="A33" t="s">
        <v>786</v>
      </c>
      <c r="B33" t="s">
        <v>786</v>
      </c>
      <c r="C33">
        <v>7</v>
      </c>
      <c r="D33">
        <v>7.31</v>
      </c>
      <c r="E33">
        <v>7.36</v>
      </c>
      <c r="F33" t="s">
        <v>25</v>
      </c>
    </row>
    <row r="34" spans="1:6" x14ac:dyDescent="0.25">
      <c r="A34" t="s">
        <v>811</v>
      </c>
      <c r="B34" t="s">
        <v>811</v>
      </c>
      <c r="C34">
        <v>2</v>
      </c>
      <c r="D34">
        <v>7.15</v>
      </c>
      <c r="E34">
        <v>7.15</v>
      </c>
      <c r="F34" t="s">
        <v>25</v>
      </c>
    </row>
    <row r="35" spans="1:6" x14ac:dyDescent="0.25">
      <c r="A35" t="s">
        <v>746</v>
      </c>
      <c r="B35" t="s">
        <v>746</v>
      </c>
      <c r="C35">
        <v>2</v>
      </c>
      <c r="D35">
        <v>6.87</v>
      </c>
      <c r="E35">
        <v>6.87</v>
      </c>
      <c r="F35" t="s">
        <v>25</v>
      </c>
    </row>
    <row r="36" spans="1:6" x14ac:dyDescent="0.25">
      <c r="A36" t="s">
        <v>704</v>
      </c>
      <c r="B36" t="s">
        <v>704</v>
      </c>
      <c r="C36">
        <v>3</v>
      </c>
      <c r="D36">
        <v>6.7</v>
      </c>
      <c r="E36">
        <v>6.79</v>
      </c>
      <c r="F36" t="s">
        <v>25</v>
      </c>
    </row>
    <row r="37" spans="1:6" x14ac:dyDescent="0.25">
      <c r="A37" t="s">
        <v>768</v>
      </c>
      <c r="B37" t="s">
        <v>768</v>
      </c>
      <c r="C37">
        <v>1</v>
      </c>
      <c r="D37">
        <v>6.75</v>
      </c>
      <c r="E37">
        <v>6.75</v>
      </c>
      <c r="F37" t="s">
        <v>25</v>
      </c>
    </row>
    <row r="38" spans="1:6" x14ac:dyDescent="0.25">
      <c r="A38" t="s">
        <v>826</v>
      </c>
      <c r="B38" t="s">
        <v>826</v>
      </c>
      <c r="C38">
        <v>2</v>
      </c>
      <c r="D38">
        <v>6.44</v>
      </c>
      <c r="E38">
        <v>6.44</v>
      </c>
      <c r="F38" t="s">
        <v>25</v>
      </c>
    </row>
    <row r="39" spans="1:6" x14ac:dyDescent="0.25">
      <c r="A39" t="s">
        <v>869</v>
      </c>
      <c r="B39" t="s">
        <v>869</v>
      </c>
      <c r="C39">
        <v>15</v>
      </c>
      <c r="D39">
        <v>5.96</v>
      </c>
      <c r="E39">
        <v>5.86</v>
      </c>
      <c r="F39" t="s">
        <v>25</v>
      </c>
    </row>
    <row r="40" spans="1:6" x14ac:dyDescent="0.25">
      <c r="A40" t="s">
        <v>1179</v>
      </c>
      <c r="B40" t="s">
        <v>1179</v>
      </c>
      <c r="C40">
        <v>1</v>
      </c>
      <c r="D40">
        <v>6.68</v>
      </c>
      <c r="E40">
        <v>6.68</v>
      </c>
      <c r="F40" t="s">
        <v>25</v>
      </c>
    </row>
    <row r="41" spans="1:6" x14ac:dyDescent="0.25">
      <c r="A41" t="s">
        <v>1181</v>
      </c>
      <c r="B41" t="s">
        <v>1181</v>
      </c>
      <c r="C41">
        <v>1</v>
      </c>
      <c r="D41">
        <v>6.64</v>
      </c>
      <c r="E41">
        <v>6.64</v>
      </c>
      <c r="F41" t="s">
        <v>25</v>
      </c>
    </row>
    <row r="42" spans="1:6" x14ac:dyDescent="0.25">
      <c r="A42" t="s">
        <v>1183</v>
      </c>
      <c r="B42" t="s">
        <v>1183</v>
      </c>
      <c r="C42">
        <v>9</v>
      </c>
      <c r="D42">
        <v>6.25</v>
      </c>
      <c r="E42">
        <v>6.27</v>
      </c>
      <c r="F42" t="s">
        <v>25</v>
      </c>
    </row>
    <row r="43" spans="1:6" x14ac:dyDescent="0.25">
      <c r="A43" t="s">
        <v>1185</v>
      </c>
      <c r="B43" t="s">
        <v>1185</v>
      </c>
      <c r="C43">
        <v>1</v>
      </c>
      <c r="D43">
        <v>6.58</v>
      </c>
      <c r="E43">
        <v>6.58</v>
      </c>
      <c r="F43" t="s">
        <v>25</v>
      </c>
    </row>
    <row r="44" spans="1:6" x14ac:dyDescent="0.25">
      <c r="A44" t="s">
        <v>1191</v>
      </c>
      <c r="B44" t="s">
        <v>1191</v>
      </c>
      <c r="C44">
        <v>1</v>
      </c>
      <c r="D44">
        <v>6.4</v>
      </c>
      <c r="E44">
        <v>6.4</v>
      </c>
      <c r="F44" t="s">
        <v>25</v>
      </c>
    </row>
    <row r="45" spans="1:6" x14ac:dyDescent="0.25">
      <c r="A45" t="s">
        <v>1197</v>
      </c>
      <c r="B45" t="s">
        <v>1197</v>
      </c>
      <c r="C45">
        <v>1</v>
      </c>
      <c r="D45">
        <v>6.38</v>
      </c>
      <c r="E45">
        <v>6.38</v>
      </c>
      <c r="F45" t="s">
        <v>25</v>
      </c>
    </row>
    <row r="46" spans="1:6" x14ac:dyDescent="0.25">
      <c r="A46" t="s">
        <v>1206</v>
      </c>
      <c r="B46" t="s">
        <v>1206</v>
      </c>
      <c r="C46">
        <v>1</v>
      </c>
      <c r="D46">
        <v>6.19</v>
      </c>
      <c r="E46">
        <v>6.19</v>
      </c>
      <c r="F46" t="s">
        <v>25</v>
      </c>
    </row>
    <row r="47" spans="1:6" x14ac:dyDescent="0.25">
      <c r="A47" t="s">
        <v>1210</v>
      </c>
      <c r="B47" t="s">
        <v>1210</v>
      </c>
      <c r="C47">
        <v>1</v>
      </c>
      <c r="D47">
        <v>6.17</v>
      </c>
      <c r="E47">
        <v>6.17</v>
      </c>
      <c r="F47" t="s">
        <v>25</v>
      </c>
    </row>
    <row r="48" spans="1:6" x14ac:dyDescent="0.25">
      <c r="A48" t="s">
        <v>1214</v>
      </c>
      <c r="B48" t="s">
        <v>1214</v>
      </c>
      <c r="C48">
        <v>2</v>
      </c>
      <c r="D48">
        <v>5.88</v>
      </c>
      <c r="E48">
        <v>5.88</v>
      </c>
      <c r="F48" t="s">
        <v>25</v>
      </c>
    </row>
    <row r="49" spans="1:6" x14ac:dyDescent="0.25">
      <c r="A49" t="s">
        <v>793</v>
      </c>
      <c r="B49" t="s">
        <v>793</v>
      </c>
      <c r="C49">
        <v>4</v>
      </c>
      <c r="D49">
        <v>5.99</v>
      </c>
      <c r="E49">
        <v>6.01</v>
      </c>
      <c r="F49" t="s">
        <v>25</v>
      </c>
    </row>
    <row r="50" spans="1:6" x14ac:dyDescent="0.25">
      <c r="A50" t="s">
        <v>1219</v>
      </c>
      <c r="B50" t="s">
        <v>1219</v>
      </c>
      <c r="C50">
        <v>1</v>
      </c>
      <c r="D50">
        <v>6.05</v>
      </c>
      <c r="E50">
        <v>6.05</v>
      </c>
      <c r="F50" t="s">
        <v>25</v>
      </c>
    </row>
    <row r="51" spans="1:6" x14ac:dyDescent="0.25">
      <c r="A51" t="s">
        <v>1226</v>
      </c>
      <c r="B51" t="s">
        <v>1226</v>
      </c>
      <c r="C51">
        <v>1</v>
      </c>
      <c r="D51">
        <v>5.99</v>
      </c>
      <c r="E51">
        <v>5.99</v>
      </c>
      <c r="F51" t="s">
        <v>25</v>
      </c>
    </row>
    <row r="52" spans="1:6" x14ac:dyDescent="0.25">
      <c r="A52" t="s">
        <v>817</v>
      </c>
      <c r="B52" t="s">
        <v>817</v>
      </c>
      <c r="C52">
        <v>1</v>
      </c>
      <c r="D52">
        <v>5.97</v>
      </c>
      <c r="E52">
        <v>5.97</v>
      </c>
      <c r="F52" t="s">
        <v>25</v>
      </c>
    </row>
    <row r="53" spans="1:6" x14ac:dyDescent="0.25">
      <c r="A53" t="s">
        <v>864</v>
      </c>
      <c r="B53" t="s">
        <v>864</v>
      </c>
      <c r="C53">
        <v>2</v>
      </c>
      <c r="D53">
        <v>5.86</v>
      </c>
      <c r="E53">
        <v>5.86</v>
      </c>
      <c r="F53" t="s">
        <v>25</v>
      </c>
    </row>
    <row r="54" spans="1:6" x14ac:dyDescent="0.25">
      <c r="A54" t="s">
        <v>1235</v>
      </c>
      <c r="B54" t="s">
        <v>1235</v>
      </c>
      <c r="C54">
        <v>1</v>
      </c>
      <c r="D54">
        <v>5.86</v>
      </c>
      <c r="E54">
        <v>5.86</v>
      </c>
      <c r="F54" t="s">
        <v>25</v>
      </c>
    </row>
    <row r="55" spans="1:6" x14ac:dyDescent="0.25">
      <c r="A55" t="s">
        <v>1244</v>
      </c>
      <c r="B55" t="s">
        <v>1244</v>
      </c>
      <c r="C55">
        <v>1</v>
      </c>
      <c r="D55">
        <v>5.8</v>
      </c>
      <c r="E55">
        <v>5.8</v>
      </c>
      <c r="F55" t="s">
        <v>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BA7A-1207-45F0-91D6-FF68506AD09E}">
  <dimension ref="A1:S1375"/>
  <sheetViews>
    <sheetView workbookViewId="0">
      <selection activeCell="U12" sqref="U12"/>
    </sheetView>
  </sheetViews>
  <sheetFormatPr defaultRowHeight="15" x14ac:dyDescent="0.25"/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1260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25">
      <c r="A2">
        <v>6</v>
      </c>
      <c r="B2" t="str">
        <f>HYPERLINK("http://www.ncbi.nlm.nih.gov/protein/AAI32976.1","AAI32976.1")</f>
        <v>AAI32976.1</v>
      </c>
      <c r="C2">
        <v>2603582</v>
      </c>
      <c r="D2" t="str">
        <f>HYPERLINK("http://www.ncbi.nlm.nih.gov/Taxonomy/Browser/wwwtax.cgi?mode=Info&amp;id=9606&amp;lvl=3&amp;lin=f&amp;keep=1&amp;srchmode=1&amp;unlock","9606")</f>
        <v>9606</v>
      </c>
      <c r="E2" t="s">
        <v>18</v>
      </c>
      <c r="F2" t="s">
        <v>18</v>
      </c>
      <c r="G2" t="str">
        <f>HYPERLINK("http://www.ncbi.nlm.nih.gov/Taxonomy/Browser/wwwtax.cgi?mode=Info&amp;id=9606&amp;lvl=3&amp;lin=f&amp;keep=1&amp;srchmode=1&amp;unlock","Homo sapiens")</f>
        <v>Homo sapiens</v>
      </c>
      <c r="H2" t="s">
        <v>19</v>
      </c>
      <c r="I2" t="str">
        <f>HYPERLINK("http://www.ncbi.nlm.nih.gov/protein/AAI32976.1","AR protein")</f>
        <v>AR protein</v>
      </c>
      <c r="J2" t="s">
        <v>1261</v>
      </c>
      <c r="K2">
        <v>514.23</v>
      </c>
      <c r="L2" t="s">
        <v>20</v>
      </c>
      <c r="M2">
        <v>157</v>
      </c>
      <c r="N2">
        <v>62.55</v>
      </c>
      <c r="O2">
        <v>100</v>
      </c>
      <c r="P2" t="s">
        <v>20</v>
      </c>
      <c r="Q2" t="s">
        <v>1262</v>
      </c>
      <c r="R2" t="s">
        <v>20</v>
      </c>
      <c r="S2" t="str">
        <f>HYPERLINK("https://cfpub.epa.gov/ecotox/explore.cfm?ncbi=9606","Explore in ECOTOX")</f>
        <v>Explore in ECOTOX</v>
      </c>
    </row>
    <row r="3" spans="1:19" x14ac:dyDescent="0.25">
      <c r="A3">
        <v>6</v>
      </c>
      <c r="B3" t="str">
        <f>HYPERLINK("http://www.ncbi.nlm.nih.gov/protein/PNI41853.1","PNI41853.1")</f>
        <v>PNI41853.1</v>
      </c>
      <c r="C3">
        <v>171683</v>
      </c>
      <c r="D3" t="str">
        <f>HYPERLINK("http://www.ncbi.nlm.nih.gov/Taxonomy/Browser/wwwtax.cgi?mode=Info&amp;id=9598&amp;lvl=3&amp;lin=f&amp;keep=1&amp;srchmode=1&amp;unlock","9598")</f>
        <v>9598</v>
      </c>
      <c r="E3" t="s">
        <v>18</v>
      </c>
      <c r="F3" t="s">
        <v>18</v>
      </c>
      <c r="G3" t="str">
        <f>HYPERLINK("http://www.ncbi.nlm.nih.gov/Taxonomy/Browser/wwwtax.cgi?mode=Info&amp;id=9598&amp;lvl=3&amp;lin=f&amp;keep=1&amp;srchmode=1&amp;unlock","Pan troglodytes")</f>
        <v>Pan troglodytes</v>
      </c>
      <c r="H3" t="s">
        <v>22</v>
      </c>
      <c r="I3" t="str">
        <f>HYPERLINK("http://www.ncbi.nlm.nih.gov/protein/PNI41853.1","AR isoform 1")</f>
        <v>AR isoform 1</v>
      </c>
      <c r="J3" t="s">
        <v>1261</v>
      </c>
      <c r="K3">
        <v>514.23</v>
      </c>
      <c r="L3" t="s">
        <v>20</v>
      </c>
      <c r="M3">
        <v>157</v>
      </c>
      <c r="N3">
        <v>62.55</v>
      </c>
      <c r="O3">
        <v>100</v>
      </c>
      <c r="P3" t="s">
        <v>20</v>
      </c>
      <c r="Q3" t="s">
        <v>1262</v>
      </c>
      <c r="R3" t="s">
        <v>20</v>
      </c>
      <c r="S3" t="str">
        <f>HYPERLINK("https://cfpub.epa.gov/ecotox/explore.cfm?ncbi=9598","Explore in ECOTOX")</f>
        <v>Explore in ECOTOX</v>
      </c>
    </row>
    <row r="4" spans="1:19" x14ac:dyDescent="0.25">
      <c r="A4">
        <v>6</v>
      </c>
      <c r="B4" t="str">
        <f>HYPERLINK("http://www.ncbi.nlm.nih.gov/protein/XP_034805436.1","XP_034805436.1")</f>
        <v>XP_034805436.1</v>
      </c>
      <c r="C4">
        <v>71982</v>
      </c>
      <c r="D4" t="str">
        <f>HYPERLINK("http://www.ncbi.nlm.nih.gov/Taxonomy/Browser/wwwtax.cgi?mode=Info&amp;id=9597&amp;lvl=3&amp;lin=f&amp;keep=1&amp;srchmode=1&amp;unlock","9597")</f>
        <v>9597</v>
      </c>
      <c r="E4" t="s">
        <v>18</v>
      </c>
      <c r="F4" t="s">
        <v>18</v>
      </c>
      <c r="G4" t="str">
        <f>HYPERLINK("http://www.ncbi.nlm.nih.gov/Taxonomy/Browser/wwwtax.cgi?mode=Info&amp;id=9597&amp;lvl=3&amp;lin=f&amp;keep=1&amp;srchmode=1&amp;unlock","Pan paniscus")</f>
        <v>Pan paniscus</v>
      </c>
      <c r="H4" t="s">
        <v>23</v>
      </c>
      <c r="I4" t="str">
        <f>HYPERLINK("http://www.ncbi.nlm.nih.gov/protein/XP_034805436.1","androgen receptor isoform X1")</f>
        <v>androgen receptor isoform X1</v>
      </c>
      <c r="J4" t="s">
        <v>1261</v>
      </c>
      <c r="K4">
        <v>514.23</v>
      </c>
      <c r="L4" t="s">
        <v>20</v>
      </c>
      <c r="M4">
        <v>157</v>
      </c>
      <c r="N4">
        <v>62.55</v>
      </c>
      <c r="O4">
        <v>100</v>
      </c>
      <c r="P4" t="s">
        <v>20</v>
      </c>
      <c r="Q4" t="s">
        <v>1262</v>
      </c>
      <c r="R4" t="s">
        <v>20</v>
      </c>
      <c r="S4" t="str">
        <f>HYPERLINK("https://cfpub.epa.gov/ecotox/explore.cfm?ncbi=9597","Explore in ECOTOX")</f>
        <v>Explore in ECOTOX</v>
      </c>
    </row>
    <row r="5" spans="1:19" x14ac:dyDescent="0.25">
      <c r="A5">
        <v>6</v>
      </c>
      <c r="B5" t="str">
        <f>HYPERLINK("http://www.ncbi.nlm.nih.gov/protein/XP_009233214.1","XP_009233214.1")</f>
        <v>XP_009233214.1</v>
      </c>
      <c r="C5">
        <v>141069</v>
      </c>
      <c r="D5" t="str">
        <f>HYPERLINK("http://www.ncbi.nlm.nih.gov/Taxonomy/Browser/wwwtax.cgi?mode=Info&amp;id=9601&amp;lvl=3&amp;lin=f&amp;keep=1&amp;srchmode=1&amp;unlock","9601")</f>
        <v>9601</v>
      </c>
      <c r="E5" t="s">
        <v>18</v>
      </c>
      <c r="F5" t="s">
        <v>18</v>
      </c>
      <c r="G5" t="str">
        <f>HYPERLINK("http://www.ncbi.nlm.nih.gov/Taxonomy/Browser/wwwtax.cgi?mode=Info&amp;id=9601&amp;lvl=3&amp;lin=f&amp;keep=1&amp;srchmode=1&amp;unlock","Pongo abelii")</f>
        <v>Pongo abelii</v>
      </c>
      <c r="H5" t="s">
        <v>28</v>
      </c>
      <c r="I5" t="str">
        <f>HYPERLINK("http://www.ncbi.nlm.nih.gov/protein/XP_009233214.1","androgen receptor isoform X1")</f>
        <v>androgen receptor isoform X1</v>
      </c>
      <c r="J5" t="s">
        <v>1261</v>
      </c>
      <c r="K5">
        <v>514.23</v>
      </c>
      <c r="L5" t="s">
        <v>25</v>
      </c>
      <c r="M5">
        <v>157</v>
      </c>
      <c r="N5">
        <v>62.55</v>
      </c>
      <c r="O5">
        <v>100</v>
      </c>
      <c r="P5" t="s">
        <v>20</v>
      </c>
      <c r="Q5" t="s">
        <v>1262</v>
      </c>
      <c r="R5" t="s">
        <v>20</v>
      </c>
      <c r="S5" t="str">
        <f>HYPERLINK("https://cfpub.epa.gov/ecotox/explore.cfm?ncbi=9601","Explore in ECOTOX")</f>
        <v>Explore in ECOTOX</v>
      </c>
    </row>
    <row r="6" spans="1:19" x14ac:dyDescent="0.25">
      <c r="A6">
        <v>6</v>
      </c>
      <c r="B6" t="str">
        <f>HYPERLINK("http://www.ncbi.nlm.nih.gov/protein/XP_018875276.1","XP_018875276.1")</f>
        <v>XP_018875276.1</v>
      </c>
      <c r="C6">
        <v>52137</v>
      </c>
      <c r="D6" t="str">
        <f>HYPERLINK("http://www.ncbi.nlm.nih.gov/Taxonomy/Browser/wwwtax.cgi?mode=Info&amp;id=9595&amp;lvl=3&amp;lin=f&amp;keep=1&amp;srchmode=1&amp;unlock","9595")</f>
        <v>9595</v>
      </c>
      <c r="E6" t="s">
        <v>18</v>
      </c>
      <c r="F6" t="s">
        <v>18</v>
      </c>
      <c r="G6" t="str">
        <f>HYPERLINK("http://www.ncbi.nlm.nih.gov/Taxonomy/Browser/wwwtax.cgi?mode=Info&amp;id=9595&amp;lvl=3&amp;lin=f&amp;keep=1&amp;srchmode=1&amp;unlock","Gorilla gorilla gorilla")</f>
        <v>Gorilla gorilla gorilla</v>
      </c>
      <c r="H6" t="s">
        <v>24</v>
      </c>
      <c r="I6" t="str">
        <f>HYPERLINK("http://www.ncbi.nlm.nih.gov/protein/XP_018875276.1","androgen receptor")</f>
        <v>androgen receptor</v>
      </c>
      <c r="J6" t="s">
        <v>1261</v>
      </c>
      <c r="K6">
        <v>514.23</v>
      </c>
      <c r="L6" t="s">
        <v>20</v>
      </c>
      <c r="M6">
        <v>157</v>
      </c>
      <c r="N6">
        <v>62.55</v>
      </c>
      <c r="O6">
        <v>100</v>
      </c>
      <c r="P6" t="s">
        <v>20</v>
      </c>
      <c r="Q6" t="s">
        <v>1262</v>
      </c>
      <c r="R6" t="s">
        <v>20</v>
      </c>
      <c r="S6" t="str">
        <f>HYPERLINK("https://cfpub.epa.gov/ecotox/explore.cfm?ncbi=9595","Explore in ECOTOX")</f>
        <v>Explore in ECOTOX</v>
      </c>
    </row>
    <row r="7" spans="1:19" x14ac:dyDescent="0.25">
      <c r="A7">
        <v>6</v>
      </c>
      <c r="B7" t="str">
        <f>HYPERLINK("http://www.ncbi.nlm.nih.gov/protein/XP_023054207.1","XP_023054207.1")</f>
        <v>XP_023054207.1</v>
      </c>
      <c r="C7">
        <v>55467</v>
      </c>
      <c r="D7" t="str">
        <f>HYPERLINK("http://www.ncbi.nlm.nih.gov/Taxonomy/Browser/wwwtax.cgi?mode=Info&amp;id=591936&amp;lvl=3&amp;lin=f&amp;keep=1&amp;srchmode=1&amp;unlock","591936")</f>
        <v>591936</v>
      </c>
      <c r="E7" t="s">
        <v>18</v>
      </c>
      <c r="F7" t="s">
        <v>18</v>
      </c>
      <c r="G7" t="str">
        <f>HYPERLINK("http://www.ncbi.nlm.nih.gov/Taxonomy/Browser/wwwtax.cgi?mode=Info&amp;id=591936&amp;lvl=3&amp;lin=f&amp;keep=1&amp;srchmode=1&amp;unlock","Piliocolobus tephrosceles")</f>
        <v>Piliocolobus tephrosceles</v>
      </c>
      <c r="H7" t="s">
        <v>33</v>
      </c>
      <c r="I7" t="str">
        <f>HYPERLINK("http://www.ncbi.nlm.nih.gov/protein/XP_023054207.1","androgen receptor isoform X1")</f>
        <v>androgen receptor isoform X1</v>
      </c>
      <c r="J7" t="s">
        <v>1261</v>
      </c>
      <c r="K7">
        <v>514.23</v>
      </c>
      <c r="L7" t="s">
        <v>20</v>
      </c>
      <c r="M7">
        <v>157</v>
      </c>
      <c r="N7">
        <v>62.55</v>
      </c>
      <c r="O7">
        <v>100</v>
      </c>
      <c r="P7" t="s">
        <v>20</v>
      </c>
      <c r="Q7" t="s">
        <v>1262</v>
      </c>
      <c r="R7" t="s">
        <v>20</v>
      </c>
      <c r="S7" t="str">
        <f>HYPERLINK("https://cfpub.epa.gov/ecotox/explore.cfm?ncbi=591936","Explore in ECOTOX")</f>
        <v>Explore in ECOTOX</v>
      </c>
    </row>
    <row r="8" spans="1:19" x14ac:dyDescent="0.25">
      <c r="A8">
        <v>6</v>
      </c>
      <c r="B8" t="str">
        <f>HYPERLINK("http://www.ncbi.nlm.nih.gov/protein/XP_025227875.1","XP_025227875.1")</f>
        <v>XP_025227875.1</v>
      </c>
      <c r="C8">
        <v>52581</v>
      </c>
      <c r="D8" t="str">
        <f>HYPERLINK("http://www.ncbi.nlm.nih.gov/Taxonomy/Browser/wwwtax.cgi?mode=Info&amp;id=9565&amp;lvl=3&amp;lin=f&amp;keep=1&amp;srchmode=1&amp;unlock","9565")</f>
        <v>9565</v>
      </c>
      <c r="E8" t="s">
        <v>18</v>
      </c>
      <c r="F8" t="s">
        <v>18</v>
      </c>
      <c r="G8" t="str">
        <f>HYPERLINK("http://www.ncbi.nlm.nih.gov/Taxonomy/Browser/wwwtax.cgi?mode=Info&amp;id=9565&amp;lvl=3&amp;lin=f&amp;keep=1&amp;srchmode=1&amp;unlock","Theropithecus gelada")</f>
        <v>Theropithecus gelada</v>
      </c>
      <c r="H8" t="s">
        <v>41</v>
      </c>
      <c r="I8" t="str">
        <f>HYPERLINK("http://www.ncbi.nlm.nih.gov/protein/XP_025227875.1","androgen receptor isoform X1")</f>
        <v>androgen receptor isoform X1</v>
      </c>
      <c r="J8" t="s">
        <v>1261</v>
      </c>
      <c r="K8">
        <v>514.23</v>
      </c>
      <c r="L8" t="s">
        <v>20</v>
      </c>
      <c r="M8">
        <v>157</v>
      </c>
      <c r="N8">
        <v>62.55</v>
      </c>
      <c r="O8">
        <v>100</v>
      </c>
      <c r="P8" t="s">
        <v>20</v>
      </c>
      <c r="Q8" t="s">
        <v>1262</v>
      </c>
      <c r="R8" t="s">
        <v>20</v>
      </c>
      <c r="S8" t="str">
        <f>HYPERLINK("https://cfpub.epa.gov/ecotox/explore.cfm?ncbi=9565","Explore in ECOTOX")</f>
        <v>Explore in ECOTOX</v>
      </c>
    </row>
    <row r="9" spans="1:19" x14ac:dyDescent="0.25">
      <c r="A9">
        <v>6</v>
      </c>
      <c r="B9" t="str">
        <f>HYPERLINK("http://www.ncbi.nlm.nih.gov/protein/XP_011731144.1","XP_011731144.1")</f>
        <v>XP_011731144.1</v>
      </c>
      <c r="C9">
        <v>68712</v>
      </c>
      <c r="D9" t="str">
        <f>HYPERLINK("http://www.ncbi.nlm.nih.gov/Taxonomy/Browser/wwwtax.cgi?mode=Info&amp;id=9545&amp;lvl=3&amp;lin=f&amp;keep=1&amp;srchmode=1&amp;unlock","9545")</f>
        <v>9545</v>
      </c>
      <c r="E9" t="s">
        <v>18</v>
      </c>
      <c r="F9" t="s">
        <v>18</v>
      </c>
      <c r="G9" t="str">
        <f>HYPERLINK("http://www.ncbi.nlm.nih.gov/Taxonomy/Browser/wwwtax.cgi?mode=Info&amp;id=9545&amp;lvl=3&amp;lin=f&amp;keep=1&amp;srchmode=1&amp;unlock","Macaca nemestrina")</f>
        <v>Macaca nemestrina</v>
      </c>
      <c r="H9" t="s">
        <v>30</v>
      </c>
      <c r="I9" t="str">
        <f>HYPERLINK("http://www.ncbi.nlm.nih.gov/protein/XP_011731144.1","androgen receptor isoform X1")</f>
        <v>androgen receptor isoform X1</v>
      </c>
      <c r="J9" t="s">
        <v>1261</v>
      </c>
      <c r="K9">
        <v>514.23</v>
      </c>
      <c r="L9" t="s">
        <v>20</v>
      </c>
      <c r="M9">
        <v>157</v>
      </c>
      <c r="N9">
        <v>62.55</v>
      </c>
      <c r="O9">
        <v>100</v>
      </c>
      <c r="P9" t="s">
        <v>20</v>
      </c>
      <c r="Q9" t="s">
        <v>1262</v>
      </c>
      <c r="R9" t="s">
        <v>20</v>
      </c>
      <c r="S9" t="str">
        <f>HYPERLINK("https://cfpub.epa.gov/ecotox/explore.cfm?ncbi=9545","Explore in ECOTOX")</f>
        <v>Explore in ECOTOX</v>
      </c>
    </row>
    <row r="10" spans="1:19" x14ac:dyDescent="0.25">
      <c r="A10">
        <v>6</v>
      </c>
      <c r="B10" t="str">
        <f>HYPERLINK("http://www.ncbi.nlm.nih.gov/protein/XP_003917866.2","XP_003917866.2")</f>
        <v>XP_003917866.2</v>
      </c>
      <c r="C10">
        <v>73528</v>
      </c>
      <c r="D10" t="str">
        <f>HYPERLINK("http://www.ncbi.nlm.nih.gov/Taxonomy/Browser/wwwtax.cgi?mode=Info&amp;id=9555&amp;lvl=3&amp;lin=f&amp;keep=1&amp;srchmode=1&amp;unlock","9555")</f>
        <v>9555</v>
      </c>
      <c r="E10" t="s">
        <v>18</v>
      </c>
      <c r="F10" t="s">
        <v>18</v>
      </c>
      <c r="G10" t="str">
        <f>HYPERLINK("http://www.ncbi.nlm.nih.gov/Taxonomy/Browser/wwwtax.cgi?mode=Info&amp;id=9555&amp;lvl=3&amp;lin=f&amp;keep=1&amp;srchmode=1&amp;unlock","Papio anubis")</f>
        <v>Papio anubis</v>
      </c>
      <c r="H10" t="s">
        <v>38</v>
      </c>
      <c r="I10" t="str">
        <f>HYPERLINK("http://www.ncbi.nlm.nih.gov/protein/XP_003917866.2","androgen receptor isoform X1")</f>
        <v>androgen receptor isoform X1</v>
      </c>
      <c r="J10" t="s">
        <v>1261</v>
      </c>
      <c r="K10">
        <v>514.23</v>
      </c>
      <c r="L10" t="s">
        <v>25</v>
      </c>
      <c r="M10">
        <v>157</v>
      </c>
      <c r="N10">
        <v>62.55</v>
      </c>
      <c r="O10">
        <v>100</v>
      </c>
      <c r="P10" t="s">
        <v>20</v>
      </c>
      <c r="Q10" t="s">
        <v>1262</v>
      </c>
      <c r="R10" t="s">
        <v>20</v>
      </c>
      <c r="S10" t="str">
        <f>HYPERLINK("https://cfpub.epa.gov/ecotox/explore.cfm?ncbi=9555","Explore in ECOTOX")</f>
        <v>Explore in ECOTOX</v>
      </c>
    </row>
    <row r="11" spans="1:19" x14ac:dyDescent="0.25">
      <c r="A11">
        <v>6</v>
      </c>
      <c r="B11" t="str">
        <f>HYPERLINK("http://www.ncbi.nlm.nih.gov/protein/XP_030790396.1","XP_030790396.1")</f>
        <v>XP_030790396.1</v>
      </c>
      <c r="C11">
        <v>53902</v>
      </c>
      <c r="D11" t="str">
        <f>HYPERLINK("http://www.ncbi.nlm.nih.gov/Taxonomy/Browser/wwwtax.cgi?mode=Info&amp;id=61622&amp;lvl=3&amp;lin=f&amp;keep=1&amp;srchmode=1&amp;unlock","61622")</f>
        <v>61622</v>
      </c>
      <c r="E11" t="s">
        <v>18</v>
      </c>
      <c r="F11" t="s">
        <v>18</v>
      </c>
      <c r="G11" t="str">
        <f>HYPERLINK("http://www.ncbi.nlm.nih.gov/Taxonomy/Browser/wwwtax.cgi?mode=Info&amp;id=61622&amp;lvl=3&amp;lin=f&amp;keep=1&amp;srchmode=1&amp;unlock","Rhinopithecus roxellana")</f>
        <v>Rhinopithecus roxellana</v>
      </c>
      <c r="H11" t="s">
        <v>36</v>
      </c>
      <c r="I11" t="str">
        <f>HYPERLINK("http://www.ncbi.nlm.nih.gov/protein/XP_030790396.1","androgen receptor")</f>
        <v>androgen receptor</v>
      </c>
      <c r="J11" t="s">
        <v>1261</v>
      </c>
      <c r="K11">
        <v>514.23</v>
      </c>
      <c r="L11" t="s">
        <v>20</v>
      </c>
      <c r="M11">
        <v>157</v>
      </c>
      <c r="N11">
        <v>62.55</v>
      </c>
      <c r="O11">
        <v>100</v>
      </c>
      <c r="P11" t="s">
        <v>20</v>
      </c>
      <c r="Q11" t="s">
        <v>1262</v>
      </c>
      <c r="R11" t="s">
        <v>20</v>
      </c>
      <c r="S11" t="str">
        <f>HYPERLINK("https://cfpub.epa.gov/ecotox/explore.cfm?ncbi=61622","Explore in ECOTOX")</f>
        <v>Explore in ECOTOX</v>
      </c>
    </row>
    <row r="12" spans="1:19" x14ac:dyDescent="0.25">
      <c r="A12">
        <v>6</v>
      </c>
      <c r="B12" t="str">
        <f>HYPERLINK("http://www.ncbi.nlm.nih.gov/protein/O97960.1","O97960.1")</f>
        <v>O97960.1</v>
      </c>
      <c r="C12">
        <v>593</v>
      </c>
      <c r="D12" t="str">
        <f>HYPERLINK("http://www.ncbi.nlm.nih.gov/Taxonomy/Browser/wwwtax.cgi?mode=Info&amp;id=9557&amp;lvl=3&amp;lin=f&amp;keep=1&amp;srchmode=1&amp;unlock","9557")</f>
        <v>9557</v>
      </c>
      <c r="E12" t="s">
        <v>18</v>
      </c>
      <c r="F12" t="s">
        <v>18</v>
      </c>
      <c r="G12" t="str">
        <f>HYPERLINK("http://www.ncbi.nlm.nih.gov/Taxonomy/Browser/wwwtax.cgi?mode=Info&amp;id=9557&amp;lvl=3&amp;lin=f&amp;keep=1&amp;srchmode=1&amp;unlock","Papio hamadryas")</f>
        <v>Papio hamadryas</v>
      </c>
      <c r="H12" t="s">
        <v>966</v>
      </c>
      <c r="I12" t="str">
        <f>HYPERLINK("http://www.ncbi.nlm.nih.gov/protein/O97960.1","RecName: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12" t="s">
        <v>1261</v>
      </c>
      <c r="K12">
        <v>514.23</v>
      </c>
      <c r="L12" t="s">
        <v>20</v>
      </c>
      <c r="M12">
        <v>157</v>
      </c>
      <c r="N12">
        <v>62.55</v>
      </c>
      <c r="O12">
        <v>100</v>
      </c>
      <c r="P12" t="s">
        <v>20</v>
      </c>
      <c r="Q12" t="s">
        <v>1262</v>
      </c>
      <c r="R12" t="s">
        <v>20</v>
      </c>
      <c r="S12" t="str">
        <f>HYPERLINK("https://cfpub.epa.gov/ecotox/explore.cfm?ncbi=9557","Explore in ECOTOX")</f>
        <v>Explore in ECOTOX</v>
      </c>
    </row>
    <row r="13" spans="1:19" x14ac:dyDescent="0.25">
      <c r="A13">
        <v>6</v>
      </c>
      <c r="B13" t="str">
        <f>HYPERLINK("http://www.ncbi.nlm.nih.gov/protein/XP_007990129.1","XP_007990129.1")</f>
        <v>XP_007990129.1</v>
      </c>
      <c r="C13">
        <v>62297</v>
      </c>
      <c r="D13" t="str">
        <f>HYPERLINK("http://www.ncbi.nlm.nih.gov/Taxonomy/Browser/wwwtax.cgi?mode=Info&amp;id=60711&amp;lvl=3&amp;lin=f&amp;keep=1&amp;srchmode=1&amp;unlock","60711")</f>
        <v>60711</v>
      </c>
      <c r="E13" t="s">
        <v>18</v>
      </c>
      <c r="F13" t="s">
        <v>18</v>
      </c>
      <c r="G13" t="str">
        <f>HYPERLINK("http://www.ncbi.nlm.nih.gov/Taxonomy/Browser/wwwtax.cgi?mode=Info&amp;id=60711&amp;lvl=3&amp;lin=f&amp;keep=1&amp;srchmode=1&amp;unlock","Chlorocebus sabaeus")</f>
        <v>Chlorocebus sabaeus</v>
      </c>
      <c r="H13" t="s">
        <v>52</v>
      </c>
      <c r="I13" t="str">
        <f>HYPERLINK("http://www.ncbi.nlm.nih.gov/protein/XP_007990129.1","androgen receptor")</f>
        <v>androgen receptor</v>
      </c>
      <c r="J13" t="s">
        <v>1261</v>
      </c>
      <c r="K13">
        <v>514.23</v>
      </c>
      <c r="L13" t="s">
        <v>25</v>
      </c>
      <c r="M13">
        <v>157</v>
      </c>
      <c r="N13">
        <v>62.55</v>
      </c>
      <c r="O13">
        <v>100</v>
      </c>
      <c r="P13" t="s">
        <v>20</v>
      </c>
      <c r="Q13" t="s">
        <v>1262</v>
      </c>
      <c r="R13" t="s">
        <v>20</v>
      </c>
      <c r="S13" t="str">
        <f>HYPERLINK("https://cfpub.epa.gov/ecotox/explore.cfm?ncbi=60711","Explore in ECOTOX")</f>
        <v>Explore in ECOTOX</v>
      </c>
    </row>
    <row r="14" spans="1:19" x14ac:dyDescent="0.25">
      <c r="A14">
        <v>6</v>
      </c>
      <c r="B14" t="str">
        <f>HYPERLINK("http://www.ncbi.nlm.nih.gov/protein/XP_011835925.1","XP_011835925.1")</f>
        <v>XP_011835925.1</v>
      </c>
      <c r="C14">
        <v>38457</v>
      </c>
      <c r="D14" t="str">
        <f>HYPERLINK("http://www.ncbi.nlm.nih.gov/Taxonomy/Browser/wwwtax.cgi?mode=Info&amp;id=9568&amp;lvl=3&amp;lin=f&amp;keep=1&amp;srchmode=1&amp;unlock","9568")</f>
        <v>9568</v>
      </c>
      <c r="E14" t="s">
        <v>18</v>
      </c>
      <c r="F14" t="s">
        <v>18</v>
      </c>
      <c r="G14" t="str">
        <f>HYPERLINK("http://www.ncbi.nlm.nih.gov/Taxonomy/Browser/wwwtax.cgi?mode=Info&amp;id=9568&amp;lvl=3&amp;lin=f&amp;keep=1&amp;srchmode=1&amp;unlock","Mandrillus leucophaeus")</f>
        <v>Mandrillus leucophaeus</v>
      </c>
      <c r="H14" t="s">
        <v>43</v>
      </c>
      <c r="I14" t="str">
        <f>HYPERLINK("http://www.ncbi.nlm.nih.gov/protein/XP_011835925.1","PREDICTED: androgen receptor isoform X1")</f>
        <v>PREDICTED: androgen receptor isoform X1</v>
      </c>
      <c r="J14" t="s">
        <v>1261</v>
      </c>
      <c r="K14">
        <v>514.23</v>
      </c>
      <c r="L14" t="s">
        <v>20</v>
      </c>
      <c r="M14">
        <v>157</v>
      </c>
      <c r="N14">
        <v>62.55</v>
      </c>
      <c r="O14">
        <v>100</v>
      </c>
      <c r="P14" t="s">
        <v>20</v>
      </c>
      <c r="Q14" t="s">
        <v>1262</v>
      </c>
      <c r="R14" t="s">
        <v>20</v>
      </c>
      <c r="S14" t="str">
        <f>HYPERLINK("https://cfpub.epa.gov/ecotox/explore.cfm?ncbi=9568","Explore in ECOTOX")</f>
        <v>Explore in ECOTOX</v>
      </c>
    </row>
    <row r="15" spans="1:19" x14ac:dyDescent="0.25">
      <c r="A15">
        <v>6</v>
      </c>
      <c r="B15" t="str">
        <f>HYPERLINK("http://www.ncbi.nlm.nih.gov/protein/XP_011817378.1","XP_011817378.1")</f>
        <v>XP_011817378.1</v>
      </c>
      <c r="C15">
        <v>38676</v>
      </c>
      <c r="D15" t="str">
        <f>HYPERLINK("http://www.ncbi.nlm.nih.gov/Taxonomy/Browser/wwwtax.cgi?mode=Info&amp;id=336983&amp;lvl=3&amp;lin=f&amp;keep=1&amp;srchmode=1&amp;unlock","336983")</f>
        <v>336983</v>
      </c>
      <c r="E15" t="s">
        <v>18</v>
      </c>
      <c r="F15" t="s">
        <v>18</v>
      </c>
      <c r="G15" t="str">
        <f>HYPERLINK("http://www.ncbi.nlm.nih.gov/Taxonomy/Browser/wwwtax.cgi?mode=Info&amp;id=336983&amp;lvl=3&amp;lin=f&amp;keep=1&amp;srchmode=1&amp;unlock","Colobus angolensis palliatus")</f>
        <v>Colobus angolensis palliatus</v>
      </c>
      <c r="H15" t="s">
        <v>32</v>
      </c>
      <c r="I15" t="str">
        <f>HYPERLINK("http://www.ncbi.nlm.nih.gov/protein/XP_011817378.1","PREDICTED: androgen receptor")</f>
        <v>PREDICTED: androgen receptor</v>
      </c>
      <c r="J15" t="s">
        <v>1261</v>
      </c>
      <c r="K15">
        <v>514.23</v>
      </c>
      <c r="L15" t="s">
        <v>20</v>
      </c>
      <c r="M15">
        <v>157</v>
      </c>
      <c r="N15">
        <v>62.55</v>
      </c>
      <c r="O15">
        <v>100</v>
      </c>
      <c r="P15" t="s">
        <v>20</v>
      </c>
      <c r="Q15" t="s">
        <v>1262</v>
      </c>
      <c r="R15" t="s">
        <v>20</v>
      </c>
      <c r="S15" t="str">
        <f>HYPERLINK("https://cfpub.epa.gov/ecotox/explore.cfm?ncbi=336983","Explore in ECOTOX")</f>
        <v>Explore in ECOTOX</v>
      </c>
    </row>
    <row r="16" spans="1:19" x14ac:dyDescent="0.25">
      <c r="A16">
        <v>6</v>
      </c>
      <c r="B16" t="str">
        <f>HYPERLINK("http://www.ncbi.nlm.nih.gov/protein/XP_030663284.1","XP_030663284.1")</f>
        <v>XP_030663284.1</v>
      </c>
      <c r="C16">
        <v>51657</v>
      </c>
      <c r="D16" t="str">
        <f>HYPERLINK("http://www.ncbi.nlm.nih.gov/Taxonomy/Browser/wwwtax.cgi?mode=Info&amp;id=61853&amp;lvl=3&amp;lin=f&amp;keep=1&amp;srchmode=1&amp;unlock","61853")</f>
        <v>61853</v>
      </c>
      <c r="E16" t="s">
        <v>18</v>
      </c>
      <c r="F16" t="s">
        <v>18</v>
      </c>
      <c r="G16" t="str">
        <f>HYPERLINK("http://www.ncbi.nlm.nih.gov/Taxonomy/Browser/wwwtax.cgi?mode=Info&amp;id=61853&amp;lvl=3&amp;lin=f&amp;keep=1&amp;srchmode=1&amp;unlock","Nomascus leucogenys")</f>
        <v>Nomascus leucogenys</v>
      </c>
      <c r="H16" t="s">
        <v>27</v>
      </c>
      <c r="I16" t="str">
        <f>HYPERLINK("http://www.ncbi.nlm.nih.gov/protein/XP_030663284.1","androgen receptor isoform X1")</f>
        <v>androgen receptor isoform X1</v>
      </c>
      <c r="J16" t="s">
        <v>1261</v>
      </c>
      <c r="K16">
        <v>514.23</v>
      </c>
      <c r="L16" t="s">
        <v>20</v>
      </c>
      <c r="M16">
        <v>157</v>
      </c>
      <c r="N16">
        <v>62.55</v>
      </c>
      <c r="O16">
        <v>100</v>
      </c>
      <c r="P16" t="s">
        <v>20</v>
      </c>
      <c r="Q16" t="s">
        <v>1262</v>
      </c>
      <c r="R16" t="s">
        <v>20</v>
      </c>
      <c r="S16" t="str">
        <f>HYPERLINK("https://cfpub.epa.gov/ecotox/explore.cfm?ncbi=61853","Explore in ECOTOX")</f>
        <v>Explore in ECOTOX</v>
      </c>
    </row>
    <row r="17" spans="1:19" x14ac:dyDescent="0.25">
      <c r="A17">
        <v>6</v>
      </c>
      <c r="B17" t="str">
        <f>HYPERLINK("http://www.ncbi.nlm.nih.gov/protein/XP_005593867.1","XP_005593867.1")</f>
        <v>XP_005593867.1</v>
      </c>
      <c r="C17">
        <v>98680</v>
      </c>
      <c r="D17" t="str">
        <f>HYPERLINK("http://www.ncbi.nlm.nih.gov/Taxonomy/Browser/wwwtax.cgi?mode=Info&amp;id=9541&amp;lvl=3&amp;lin=f&amp;keep=1&amp;srchmode=1&amp;unlock","9541")</f>
        <v>9541</v>
      </c>
      <c r="E17" t="s">
        <v>18</v>
      </c>
      <c r="F17" t="s">
        <v>18</v>
      </c>
      <c r="G17" t="str">
        <f>HYPERLINK("http://www.ncbi.nlm.nih.gov/Taxonomy/Browser/wwwtax.cgi?mode=Info&amp;id=9541&amp;lvl=3&amp;lin=f&amp;keep=1&amp;srchmode=1&amp;unlock","Macaca fascicularis")</f>
        <v>Macaca fascicularis</v>
      </c>
      <c r="H17" t="s">
        <v>31</v>
      </c>
      <c r="I17" t="str">
        <f>HYPERLINK("http://www.ncbi.nlm.nih.gov/protein/XP_005593867.1","PREDICTED: androgen receptor")</f>
        <v>PREDICTED: androgen receptor</v>
      </c>
      <c r="J17" t="s">
        <v>1261</v>
      </c>
      <c r="K17">
        <v>514.23</v>
      </c>
      <c r="L17" t="s">
        <v>20</v>
      </c>
      <c r="M17">
        <v>157</v>
      </c>
      <c r="N17">
        <v>62.55</v>
      </c>
      <c r="O17">
        <v>100</v>
      </c>
      <c r="P17" t="s">
        <v>20</v>
      </c>
      <c r="Q17" t="s">
        <v>1262</v>
      </c>
      <c r="R17" t="s">
        <v>20</v>
      </c>
      <c r="S17" t="str">
        <f>HYPERLINK("https://cfpub.epa.gov/ecotox/explore.cfm?ncbi=9541","Explore in ECOTOX")</f>
        <v>Explore in ECOTOX</v>
      </c>
    </row>
    <row r="18" spans="1:19" x14ac:dyDescent="0.25">
      <c r="A18">
        <v>6</v>
      </c>
      <c r="B18" t="str">
        <f>HYPERLINK("http://www.ncbi.nlm.nih.gov/protein/XP_011916275.1","XP_011916275.1")</f>
        <v>XP_011916275.1</v>
      </c>
      <c r="C18">
        <v>66421</v>
      </c>
      <c r="D18" t="str">
        <f>HYPERLINK("http://www.ncbi.nlm.nih.gov/Taxonomy/Browser/wwwtax.cgi?mode=Info&amp;id=9531&amp;lvl=3&amp;lin=f&amp;keep=1&amp;srchmode=1&amp;unlock","9531")</f>
        <v>9531</v>
      </c>
      <c r="E18" t="s">
        <v>18</v>
      </c>
      <c r="F18" t="s">
        <v>18</v>
      </c>
      <c r="G18" t="str">
        <f>HYPERLINK("http://www.ncbi.nlm.nih.gov/Taxonomy/Browser/wwwtax.cgi?mode=Info&amp;id=9531&amp;lvl=3&amp;lin=f&amp;keep=1&amp;srchmode=1&amp;unlock","Cercocebus atys")</f>
        <v>Cercocebus atys</v>
      </c>
      <c r="H18" t="s">
        <v>599</v>
      </c>
      <c r="I18" t="str">
        <f>HYPERLINK("http://www.ncbi.nlm.nih.gov/protein/XP_011916275.1","PREDICTED: androgen receptor")</f>
        <v>PREDICTED: androgen receptor</v>
      </c>
      <c r="J18" t="s">
        <v>1261</v>
      </c>
      <c r="K18">
        <v>514.23</v>
      </c>
      <c r="L18" t="s">
        <v>20</v>
      </c>
      <c r="M18">
        <v>157</v>
      </c>
      <c r="N18">
        <v>62.55</v>
      </c>
      <c r="O18">
        <v>100</v>
      </c>
      <c r="P18" t="s">
        <v>20</v>
      </c>
      <c r="Q18" t="s">
        <v>1262</v>
      </c>
      <c r="R18" t="s">
        <v>20</v>
      </c>
      <c r="S18" t="str">
        <f>HYPERLINK("https://cfpub.epa.gov/ecotox/explore.cfm?ncbi=9531","Explore in ECOTOX")</f>
        <v>Explore in ECOTOX</v>
      </c>
    </row>
    <row r="19" spans="1:19" x14ac:dyDescent="0.25">
      <c r="A19">
        <v>6</v>
      </c>
      <c r="B19" t="str">
        <f>HYPERLINK("http://www.ncbi.nlm.nih.gov/protein/NP_001028083.1","NP_001028083.1")</f>
        <v>NP_001028083.1</v>
      </c>
      <c r="C19">
        <v>177851</v>
      </c>
      <c r="D19" t="str">
        <f>HYPERLINK("http://www.ncbi.nlm.nih.gov/Taxonomy/Browser/wwwtax.cgi?mode=Info&amp;id=9544&amp;lvl=3&amp;lin=f&amp;keep=1&amp;srchmode=1&amp;unlock","9544")</f>
        <v>9544</v>
      </c>
      <c r="E19" t="s">
        <v>18</v>
      </c>
      <c r="F19" t="s">
        <v>18</v>
      </c>
      <c r="G19" t="str">
        <f>HYPERLINK("http://www.ncbi.nlm.nih.gov/Taxonomy/Browser/wwwtax.cgi?mode=Info&amp;id=9544&amp;lvl=3&amp;lin=f&amp;keep=1&amp;srchmode=1&amp;unlock","Macaca mulatta")</f>
        <v>Macaca mulatta</v>
      </c>
      <c r="H19" t="s">
        <v>29</v>
      </c>
      <c r="I19" t="str">
        <f>HYPERLINK("http://www.ncbi.nlm.nih.gov/protein/NP_001028083.1","androgen receptor")</f>
        <v>androgen receptor</v>
      </c>
      <c r="J19" t="s">
        <v>1261</v>
      </c>
      <c r="K19">
        <v>514.23</v>
      </c>
      <c r="L19" t="s">
        <v>20</v>
      </c>
      <c r="M19">
        <v>157</v>
      </c>
      <c r="N19">
        <v>62.55</v>
      </c>
      <c r="O19">
        <v>100</v>
      </c>
      <c r="P19" t="s">
        <v>20</v>
      </c>
      <c r="Q19" t="s">
        <v>1262</v>
      </c>
      <c r="R19" t="s">
        <v>20</v>
      </c>
      <c r="S19" t="str">
        <f>HYPERLINK("https://cfpub.epa.gov/ecotox/explore.cfm?ncbi=9544","Explore in ECOTOX")</f>
        <v>Explore in ECOTOX</v>
      </c>
    </row>
    <row r="20" spans="1:19" x14ac:dyDescent="0.25">
      <c r="A20">
        <v>6</v>
      </c>
      <c r="B20" t="str">
        <f>HYPERLINK("http://www.ncbi.nlm.nih.gov/protein/XP_032612994.1","XP_032612994.1")</f>
        <v>XP_032612994.1</v>
      </c>
      <c r="C20">
        <v>54538</v>
      </c>
      <c r="D20" t="str">
        <f>HYPERLINK("http://www.ncbi.nlm.nih.gov/Taxonomy/Browser/wwwtax.cgi?mode=Info&amp;id=81572&amp;lvl=3&amp;lin=f&amp;keep=1&amp;srchmode=1&amp;unlock","81572")</f>
        <v>81572</v>
      </c>
      <c r="E20" t="s">
        <v>18</v>
      </c>
      <c r="F20" t="s">
        <v>18</v>
      </c>
      <c r="G20" t="str">
        <f>HYPERLINK("http://www.ncbi.nlm.nih.gov/Taxonomy/Browser/wwwtax.cgi?mode=Info&amp;id=81572&amp;lvl=3&amp;lin=f&amp;keep=1&amp;srchmode=1&amp;unlock","Hylobates moloch")</f>
        <v>Hylobates moloch</v>
      </c>
      <c r="H20" t="s">
        <v>26</v>
      </c>
      <c r="I20" t="str">
        <f>HYPERLINK("http://www.ncbi.nlm.nih.gov/protein/XP_032612994.1","androgen receptor isoform X1")</f>
        <v>androgen receptor isoform X1</v>
      </c>
      <c r="J20" t="s">
        <v>1261</v>
      </c>
      <c r="K20">
        <v>514.23</v>
      </c>
      <c r="L20" t="s">
        <v>20</v>
      </c>
      <c r="M20">
        <v>157</v>
      </c>
      <c r="N20">
        <v>62.55</v>
      </c>
      <c r="O20">
        <v>100</v>
      </c>
      <c r="P20" t="s">
        <v>20</v>
      </c>
      <c r="Q20" t="s">
        <v>1262</v>
      </c>
      <c r="R20" t="s">
        <v>20</v>
      </c>
      <c r="S20" t="str">
        <f>HYPERLINK("https://cfpub.epa.gov/ecotox/explore.cfm?ncbi=81572","Explore in ECOTOX")</f>
        <v>Explore in ECOTOX</v>
      </c>
    </row>
    <row r="21" spans="1:19" x14ac:dyDescent="0.25">
      <c r="A21">
        <v>6</v>
      </c>
      <c r="B21" t="str">
        <f>HYPERLINK("http://www.ncbi.nlm.nih.gov/protein/XP_012316261.1","XP_012316261.1")</f>
        <v>XP_012316261.1</v>
      </c>
      <c r="C21">
        <v>48089</v>
      </c>
      <c r="D21" t="str">
        <f>HYPERLINK("http://www.ncbi.nlm.nih.gov/Taxonomy/Browser/wwwtax.cgi?mode=Info&amp;id=37293&amp;lvl=3&amp;lin=f&amp;keep=1&amp;srchmode=1&amp;unlock","37293")</f>
        <v>37293</v>
      </c>
      <c r="E21" t="s">
        <v>18</v>
      </c>
      <c r="F21" t="s">
        <v>18</v>
      </c>
      <c r="G21" t="str">
        <f>HYPERLINK("http://www.ncbi.nlm.nih.gov/Taxonomy/Browser/wwwtax.cgi?mode=Info&amp;id=37293&amp;lvl=3&amp;lin=f&amp;keep=1&amp;srchmode=1&amp;unlock","Aotus nancymaae")</f>
        <v>Aotus nancymaae</v>
      </c>
      <c r="H21" t="s">
        <v>65</v>
      </c>
      <c r="I21" t="str">
        <f>HYPERLINK("http://www.ncbi.nlm.nih.gov/protein/XP_012316261.1","androgen receptor isoform X1")</f>
        <v>androgen receptor isoform X1</v>
      </c>
      <c r="J21" t="s">
        <v>1261</v>
      </c>
      <c r="K21">
        <v>514.23</v>
      </c>
      <c r="L21" t="s">
        <v>20</v>
      </c>
      <c r="M21">
        <v>157</v>
      </c>
      <c r="N21">
        <v>62.55</v>
      </c>
      <c r="O21">
        <v>100</v>
      </c>
      <c r="P21" t="s">
        <v>20</v>
      </c>
      <c r="Q21" t="s">
        <v>1262</v>
      </c>
      <c r="R21" t="s">
        <v>20</v>
      </c>
      <c r="S21" t="str">
        <f>HYPERLINK("https://cfpub.epa.gov/ecotox/explore.cfm?ncbi=37293","Explore in ECOTOX")</f>
        <v>Explore in ECOTOX</v>
      </c>
    </row>
    <row r="22" spans="1:19" x14ac:dyDescent="0.25">
      <c r="A22">
        <v>6</v>
      </c>
      <c r="B22" t="str">
        <f>HYPERLINK("http://www.ncbi.nlm.nih.gov/protein/XP_002762998.1","XP_002762998.1")</f>
        <v>XP_002762998.1</v>
      </c>
      <c r="C22">
        <v>87648</v>
      </c>
      <c r="D22" t="str">
        <f>HYPERLINK("http://www.ncbi.nlm.nih.gov/Taxonomy/Browser/wwwtax.cgi?mode=Info&amp;id=9483&amp;lvl=3&amp;lin=f&amp;keep=1&amp;srchmode=1&amp;unlock","9483")</f>
        <v>9483</v>
      </c>
      <c r="E22" t="s">
        <v>18</v>
      </c>
      <c r="F22" t="s">
        <v>18</v>
      </c>
      <c r="G22" t="str">
        <f>HYPERLINK("http://www.ncbi.nlm.nih.gov/Taxonomy/Browser/wwwtax.cgi?mode=Info&amp;id=9483&amp;lvl=3&amp;lin=f&amp;keep=1&amp;srchmode=1&amp;unlock","Callithrix jacchus")</f>
        <v>Callithrix jacchus</v>
      </c>
      <c r="H22" t="s">
        <v>79</v>
      </c>
      <c r="I22" t="str">
        <f>HYPERLINK("http://www.ncbi.nlm.nih.gov/protein/XP_002762998.1","androgen receptor isoform X1")</f>
        <v>androgen receptor isoform X1</v>
      </c>
      <c r="J22" t="s">
        <v>1261</v>
      </c>
      <c r="K22">
        <v>514.23</v>
      </c>
      <c r="L22" t="s">
        <v>20</v>
      </c>
      <c r="M22">
        <v>157</v>
      </c>
      <c r="N22">
        <v>62.55</v>
      </c>
      <c r="O22">
        <v>100</v>
      </c>
      <c r="P22" t="s">
        <v>20</v>
      </c>
      <c r="Q22" t="s">
        <v>1262</v>
      </c>
      <c r="R22" t="s">
        <v>20</v>
      </c>
      <c r="S22" t="str">
        <f>HYPERLINK("https://cfpub.epa.gov/ecotox/explore.cfm?ncbi=9483","Explore in ECOTOX")</f>
        <v>Explore in ECOTOX</v>
      </c>
    </row>
    <row r="23" spans="1:19" x14ac:dyDescent="0.25">
      <c r="A23">
        <v>6</v>
      </c>
      <c r="B23" t="str">
        <f>HYPERLINK("http://www.ncbi.nlm.nih.gov/protein/XP_012499360.1","XP_012499360.1")</f>
        <v>XP_012499360.1</v>
      </c>
      <c r="C23">
        <v>28331</v>
      </c>
      <c r="D23" t="str">
        <f>HYPERLINK("http://www.ncbi.nlm.nih.gov/Taxonomy/Browser/wwwtax.cgi?mode=Info&amp;id=379532&amp;lvl=3&amp;lin=f&amp;keep=1&amp;srchmode=1&amp;unlock","379532")</f>
        <v>379532</v>
      </c>
      <c r="E23" t="s">
        <v>18</v>
      </c>
      <c r="F23" t="s">
        <v>18</v>
      </c>
      <c r="G23" t="str">
        <f>HYPERLINK("http://www.ncbi.nlm.nih.gov/Taxonomy/Browser/wwwtax.cgi?mode=Info&amp;id=379532&amp;lvl=3&amp;lin=f&amp;keep=1&amp;srchmode=1&amp;unlock","Propithecus coquereli")</f>
        <v>Propithecus coquereli</v>
      </c>
      <c r="H23" t="s">
        <v>652</v>
      </c>
      <c r="I23" t="str">
        <f>HYPERLINK("http://www.ncbi.nlm.nih.gov/protein/XP_012499360.1","PREDICTED: androgen receptor")</f>
        <v>PREDICTED: androgen receptor</v>
      </c>
      <c r="J23" t="s">
        <v>1261</v>
      </c>
      <c r="K23">
        <v>514.23</v>
      </c>
      <c r="L23" t="s">
        <v>20</v>
      </c>
      <c r="M23">
        <v>157</v>
      </c>
      <c r="N23">
        <v>62.55</v>
      </c>
      <c r="O23">
        <v>100</v>
      </c>
      <c r="P23" t="s">
        <v>20</v>
      </c>
      <c r="Q23" t="s">
        <v>1262</v>
      </c>
      <c r="R23" t="s">
        <v>20</v>
      </c>
      <c r="S23" t="str">
        <f>HYPERLINK("https://cfpub.epa.gov/ecotox/explore.cfm?ncbi=379532","Explore in ECOTOX")</f>
        <v>Explore in ECOTOX</v>
      </c>
    </row>
    <row r="24" spans="1:19" x14ac:dyDescent="0.25">
      <c r="A24">
        <v>6</v>
      </c>
      <c r="B24" t="str">
        <f>HYPERLINK("http://www.ncbi.nlm.nih.gov/protein/NP_001266892.1","NP_001266892.1")</f>
        <v>NP_001266892.1</v>
      </c>
      <c r="C24">
        <v>181</v>
      </c>
      <c r="D24" t="str">
        <f>HYPERLINK("http://www.ncbi.nlm.nih.gov/Taxonomy/Browser/wwwtax.cgi?mode=Info&amp;id=27679&amp;lvl=3&amp;lin=f&amp;keep=1&amp;srchmode=1&amp;unlock","27679")</f>
        <v>27679</v>
      </c>
      <c r="E24" t="s">
        <v>18</v>
      </c>
      <c r="F24" t="s">
        <v>18</v>
      </c>
      <c r="G24" t="str">
        <f>HYPERLINK("http://www.ncbi.nlm.nih.gov/Taxonomy/Browser/wwwtax.cgi?mode=Info&amp;id=27679&amp;lvl=3&amp;lin=f&amp;keep=1&amp;srchmode=1&amp;unlock","Saimiri boliviensis")</f>
        <v>Saimiri boliviensis</v>
      </c>
      <c r="H24" t="s">
        <v>73</v>
      </c>
      <c r="I24" t="str">
        <f>HYPERLINK("http://www.ncbi.nlm.nih.gov/protein/NP_001266892.1","androgen receptor")</f>
        <v>androgen receptor</v>
      </c>
      <c r="J24" t="s">
        <v>1261</v>
      </c>
      <c r="K24">
        <v>514.23</v>
      </c>
      <c r="L24" t="s">
        <v>25</v>
      </c>
      <c r="M24">
        <v>157</v>
      </c>
      <c r="N24">
        <v>62.55</v>
      </c>
      <c r="O24">
        <v>100</v>
      </c>
      <c r="P24" t="s">
        <v>20</v>
      </c>
      <c r="Q24" t="s">
        <v>1262</v>
      </c>
      <c r="R24" t="s">
        <v>20</v>
      </c>
      <c r="S24" t="str">
        <f>HYPERLINK("https://cfpub.epa.gov/ecotox/explore.cfm?ncbi=27679","Explore in ECOTOX")</f>
        <v>Explore in ECOTOX</v>
      </c>
    </row>
    <row r="25" spans="1:19" x14ac:dyDescent="0.25">
      <c r="A25">
        <v>6</v>
      </c>
      <c r="B25" t="str">
        <f>HYPERLINK("http://www.ncbi.nlm.nih.gov/protein/XP_032111715.1","XP_032111715.1")</f>
        <v>XP_032111715.1</v>
      </c>
      <c r="C25">
        <v>62477</v>
      </c>
      <c r="D25" t="str">
        <f>HYPERLINK("http://www.ncbi.nlm.nih.gov/Taxonomy/Browser/wwwtax.cgi?mode=Info&amp;id=9515&amp;lvl=3&amp;lin=f&amp;keep=1&amp;srchmode=1&amp;unlock","9515")</f>
        <v>9515</v>
      </c>
      <c r="E25" t="s">
        <v>18</v>
      </c>
      <c r="F25" t="s">
        <v>18</v>
      </c>
      <c r="G25" t="str">
        <f>HYPERLINK("http://www.ncbi.nlm.nih.gov/Taxonomy/Browser/wwwtax.cgi?mode=Info&amp;id=9515&amp;lvl=3&amp;lin=f&amp;keep=1&amp;srchmode=1&amp;unlock","Sapajus apella")</f>
        <v>Sapajus apella</v>
      </c>
      <c r="H25" t="s">
        <v>86</v>
      </c>
      <c r="I25" t="str">
        <f>HYPERLINK("http://www.ncbi.nlm.nih.gov/protein/XP_032111715.1","androgen receptor isoform X1")</f>
        <v>androgen receptor isoform X1</v>
      </c>
      <c r="J25" t="s">
        <v>1261</v>
      </c>
      <c r="K25">
        <v>514.23</v>
      </c>
      <c r="L25" t="s">
        <v>25</v>
      </c>
      <c r="M25">
        <v>157</v>
      </c>
      <c r="N25">
        <v>62.55</v>
      </c>
      <c r="O25">
        <v>100</v>
      </c>
      <c r="P25" t="s">
        <v>20</v>
      </c>
      <c r="Q25" t="s">
        <v>1262</v>
      </c>
      <c r="R25" t="s">
        <v>20</v>
      </c>
      <c r="S25" t="str">
        <f>HYPERLINK("https://cfpub.epa.gov/ecotox/explore.cfm?ncbi=9515","Explore in ECOTOX")</f>
        <v>Explore in ECOTOX</v>
      </c>
    </row>
    <row r="26" spans="1:19" x14ac:dyDescent="0.25">
      <c r="A26">
        <v>6</v>
      </c>
      <c r="B26" t="str">
        <f>HYPERLINK("http://www.ncbi.nlm.nih.gov/protein/XP_017375691.1","XP_017375691.1")</f>
        <v>XP_017375691.1</v>
      </c>
      <c r="C26">
        <v>55886</v>
      </c>
      <c r="D26" t="str">
        <f>HYPERLINK("http://www.ncbi.nlm.nih.gov/Taxonomy/Browser/wwwtax.cgi?mode=Info&amp;id=2715852&amp;lvl=3&amp;lin=f&amp;keep=1&amp;srchmode=1&amp;unlock","2715852")</f>
        <v>2715852</v>
      </c>
      <c r="E26" t="s">
        <v>18</v>
      </c>
      <c r="F26" t="s">
        <v>18</v>
      </c>
      <c r="G26" t="str">
        <f>HYPERLINK("http://www.ncbi.nlm.nih.gov/Taxonomy/Browser/wwwtax.cgi?mode=Info&amp;id=2715852&amp;lvl=3&amp;lin=f&amp;keep=1&amp;srchmode=1&amp;unlock","Cebus imitator")</f>
        <v>Cebus imitator</v>
      </c>
      <c r="H26" t="s">
        <v>85</v>
      </c>
      <c r="I26" t="str">
        <f>HYPERLINK("http://www.ncbi.nlm.nih.gov/protein/XP_017375691.1","androgen receptor")</f>
        <v>androgen receptor</v>
      </c>
      <c r="J26" t="s">
        <v>1261</v>
      </c>
      <c r="K26">
        <v>514.23</v>
      </c>
      <c r="L26" t="s">
        <v>20</v>
      </c>
      <c r="M26">
        <v>157</v>
      </c>
      <c r="N26">
        <v>62.55</v>
      </c>
      <c r="O26">
        <v>100</v>
      </c>
      <c r="P26" t="s">
        <v>20</v>
      </c>
      <c r="Q26" t="s">
        <v>1262</v>
      </c>
      <c r="R26" t="s">
        <v>20</v>
      </c>
      <c r="S26" t="str">
        <f>HYPERLINK("https://cfpub.epa.gov/ecotox/explore.cfm?ncbi=2715852","Explore in ECOTOX")</f>
        <v>Explore in ECOTOX</v>
      </c>
    </row>
    <row r="27" spans="1:19" x14ac:dyDescent="0.25">
      <c r="A27">
        <v>6</v>
      </c>
      <c r="B27" t="str">
        <f>HYPERLINK("http://www.ncbi.nlm.nih.gov/protein/XP_004416958.1","XP_004416958.1")</f>
        <v>XP_004416958.1</v>
      </c>
      <c r="C27">
        <v>31383</v>
      </c>
      <c r="D27" t="str">
        <f>HYPERLINK("http://www.ncbi.nlm.nih.gov/Taxonomy/Browser/wwwtax.cgi?mode=Info&amp;id=9708&amp;lvl=3&amp;lin=f&amp;keep=1&amp;srchmode=1&amp;unlock","9708")</f>
        <v>9708</v>
      </c>
      <c r="E27" t="s">
        <v>18</v>
      </c>
      <c r="F27" t="s">
        <v>18</v>
      </c>
      <c r="G27" t="str">
        <f>HYPERLINK("http://www.ncbi.nlm.nih.gov/Taxonomy/Browser/wwwtax.cgi?mode=Info&amp;id=9708&amp;lvl=3&amp;lin=f&amp;keep=1&amp;srchmode=1&amp;unlock","Odobenus rosmarus divergens")</f>
        <v>Odobenus rosmarus divergens</v>
      </c>
      <c r="H27" t="s">
        <v>83</v>
      </c>
      <c r="I27" t="str">
        <f>HYPERLINK("http://www.ncbi.nlm.nih.gov/protein/XP_004416958.1","PREDICTED: androgen receptor")</f>
        <v>PREDICTED: androgen receptor</v>
      </c>
      <c r="J27" t="s">
        <v>1261</v>
      </c>
      <c r="K27">
        <v>514.23</v>
      </c>
      <c r="L27" t="s">
        <v>20</v>
      </c>
      <c r="M27">
        <v>157</v>
      </c>
      <c r="N27">
        <v>62.55</v>
      </c>
      <c r="O27">
        <v>100</v>
      </c>
      <c r="P27" t="s">
        <v>20</v>
      </c>
      <c r="Q27" t="s">
        <v>1262</v>
      </c>
      <c r="R27" t="s">
        <v>20</v>
      </c>
      <c r="S27" t="str">
        <f>HYPERLINK("https://cfpub.epa.gov/ecotox/explore.cfm?ncbi=9708","Explore in ECOTOX")</f>
        <v>Explore in ECOTOX</v>
      </c>
    </row>
    <row r="28" spans="1:19" x14ac:dyDescent="0.25">
      <c r="A28">
        <v>6</v>
      </c>
      <c r="B28" t="str">
        <f>HYPERLINK("http://www.ncbi.nlm.nih.gov/protein/XP_027287560.1","XP_027287560.1")</f>
        <v>XP_027287560.1</v>
      </c>
      <c r="C28">
        <v>138048</v>
      </c>
      <c r="D28" t="str">
        <f>HYPERLINK("http://www.ncbi.nlm.nih.gov/Taxonomy/Browser/wwwtax.cgi?mode=Info&amp;id=10029&amp;lvl=3&amp;lin=f&amp;keep=1&amp;srchmode=1&amp;unlock","10029")</f>
        <v>10029</v>
      </c>
      <c r="E28" t="s">
        <v>18</v>
      </c>
      <c r="F28" t="s">
        <v>18</v>
      </c>
      <c r="G28" t="str">
        <f>HYPERLINK("http://www.ncbi.nlm.nih.gov/Taxonomy/Browser/wwwtax.cgi?mode=Info&amp;id=10029&amp;lvl=3&amp;lin=f&amp;keep=1&amp;srchmode=1&amp;unlock","Cricetulus griseus")</f>
        <v>Cricetulus griseus</v>
      </c>
      <c r="H28" t="s">
        <v>149</v>
      </c>
      <c r="I28" t="str">
        <f>HYPERLINK("http://www.ncbi.nlm.nih.gov/protein/XP_027287560.1","androgen receptor isoform X3")</f>
        <v>androgen receptor isoform X3</v>
      </c>
      <c r="J28" t="s">
        <v>1261</v>
      </c>
      <c r="K28">
        <v>514.23</v>
      </c>
      <c r="L28" t="s">
        <v>20</v>
      </c>
      <c r="M28">
        <v>157</v>
      </c>
      <c r="N28">
        <v>62.55</v>
      </c>
      <c r="O28">
        <v>100</v>
      </c>
      <c r="P28" t="s">
        <v>20</v>
      </c>
      <c r="Q28" t="s">
        <v>1262</v>
      </c>
      <c r="R28" t="s">
        <v>20</v>
      </c>
      <c r="S28" t="str">
        <f>HYPERLINK("https://cfpub.epa.gov/ecotox/explore.cfm?ncbi=10029","Explore in ECOTOX")</f>
        <v>Explore in ECOTOX</v>
      </c>
    </row>
    <row r="29" spans="1:19" x14ac:dyDescent="0.25">
      <c r="A29">
        <v>6</v>
      </c>
      <c r="B29" t="str">
        <f>HYPERLINK("http://www.ncbi.nlm.nih.gov/protein/XP_027464601.1","XP_027464601.1")</f>
        <v>XP_027464601.1</v>
      </c>
      <c r="C29">
        <v>61138</v>
      </c>
      <c r="D29" t="str">
        <f>HYPERLINK("http://www.ncbi.nlm.nih.gov/Taxonomy/Browser/wwwtax.cgi?mode=Info&amp;id=9704&amp;lvl=3&amp;lin=f&amp;keep=1&amp;srchmode=1&amp;unlock","9704")</f>
        <v>9704</v>
      </c>
      <c r="E29" t="s">
        <v>18</v>
      </c>
      <c r="F29" t="s">
        <v>18</v>
      </c>
      <c r="G29" t="str">
        <f>HYPERLINK("http://www.ncbi.nlm.nih.gov/Taxonomy/Browser/wwwtax.cgi?mode=Info&amp;id=9704&amp;lvl=3&amp;lin=f&amp;keep=1&amp;srchmode=1&amp;unlock","Zalophus californianus")</f>
        <v>Zalophus californianus</v>
      </c>
      <c r="H29" t="s">
        <v>67</v>
      </c>
      <c r="I29" t="str">
        <f>HYPERLINK("http://www.ncbi.nlm.nih.gov/protein/XP_027464601.1","androgen receptor")</f>
        <v>androgen receptor</v>
      </c>
      <c r="J29" t="s">
        <v>1261</v>
      </c>
      <c r="K29">
        <v>514.23</v>
      </c>
      <c r="L29" t="s">
        <v>20</v>
      </c>
      <c r="M29">
        <v>157</v>
      </c>
      <c r="N29">
        <v>62.55</v>
      </c>
      <c r="O29">
        <v>100</v>
      </c>
      <c r="P29" t="s">
        <v>20</v>
      </c>
      <c r="Q29" t="s">
        <v>1262</v>
      </c>
      <c r="R29" t="s">
        <v>20</v>
      </c>
      <c r="S29" t="str">
        <f>HYPERLINK("https://cfpub.epa.gov/ecotox/explore.cfm?ncbi=9704","Explore in ECOTOX")</f>
        <v>Explore in ECOTOX</v>
      </c>
    </row>
    <row r="30" spans="1:19" x14ac:dyDescent="0.25">
      <c r="A30">
        <v>6</v>
      </c>
      <c r="B30" t="str">
        <f>HYPERLINK("http://www.ncbi.nlm.nih.gov/protein/XP_032249776.1","XP_032249776.1")</f>
        <v>XP_032249776.1</v>
      </c>
      <c r="C30">
        <v>45582</v>
      </c>
      <c r="D30" t="str">
        <f>HYPERLINK("http://www.ncbi.nlm.nih.gov/Taxonomy/Browser/wwwtax.cgi?mode=Info&amp;id=9720&amp;lvl=3&amp;lin=f&amp;keep=1&amp;srchmode=1&amp;unlock","9720")</f>
        <v>9720</v>
      </c>
      <c r="E30" t="s">
        <v>18</v>
      </c>
      <c r="F30" t="s">
        <v>18</v>
      </c>
      <c r="G30" t="str">
        <f>HYPERLINK("http://www.ncbi.nlm.nih.gov/Taxonomy/Browser/wwwtax.cgi?mode=Info&amp;id=9720&amp;lvl=3&amp;lin=f&amp;keep=1&amp;srchmode=1&amp;unlock","Phoca vitulina")</f>
        <v>Phoca vitulina</v>
      </c>
      <c r="H30" t="s">
        <v>46</v>
      </c>
      <c r="I30" t="str">
        <f>HYPERLINK("http://www.ncbi.nlm.nih.gov/protein/XP_032249776.1","androgen receptor")</f>
        <v>androgen receptor</v>
      </c>
      <c r="J30" t="s">
        <v>1261</v>
      </c>
      <c r="K30">
        <v>514.23</v>
      </c>
      <c r="L30" t="s">
        <v>20</v>
      </c>
      <c r="M30">
        <v>157</v>
      </c>
      <c r="N30">
        <v>62.55</v>
      </c>
      <c r="O30">
        <v>100</v>
      </c>
      <c r="P30" t="s">
        <v>20</v>
      </c>
      <c r="Q30" t="s">
        <v>1262</v>
      </c>
      <c r="R30" t="s">
        <v>20</v>
      </c>
      <c r="S30" t="str">
        <f>HYPERLINK("https://cfpub.epa.gov/ecotox/explore.cfm?ncbi=9720","Explore in ECOTOX")</f>
        <v>Explore in ECOTOX</v>
      </c>
    </row>
    <row r="31" spans="1:19" x14ac:dyDescent="0.25">
      <c r="A31">
        <v>6</v>
      </c>
      <c r="B31" t="str">
        <f>HYPERLINK("http://www.ncbi.nlm.nih.gov/protein/XP_003801358.1","XP_003801358.1")</f>
        <v>XP_003801358.1</v>
      </c>
      <c r="C31">
        <v>33103</v>
      </c>
      <c r="D31" t="str">
        <f>HYPERLINK("http://www.ncbi.nlm.nih.gov/Taxonomy/Browser/wwwtax.cgi?mode=Info&amp;id=30611&amp;lvl=3&amp;lin=f&amp;keep=1&amp;srchmode=1&amp;unlock","30611")</f>
        <v>30611</v>
      </c>
      <c r="E31" t="s">
        <v>18</v>
      </c>
      <c r="F31" t="s">
        <v>18</v>
      </c>
      <c r="G31" t="str">
        <f>HYPERLINK("http://www.ncbi.nlm.nih.gov/Taxonomy/Browser/wwwtax.cgi?mode=Info&amp;id=30611&amp;lvl=3&amp;lin=f&amp;keep=1&amp;srchmode=1&amp;unlock","Otolemur garnettii")</f>
        <v>Otolemur garnettii</v>
      </c>
      <c r="H31" t="s">
        <v>88</v>
      </c>
      <c r="I31" t="str">
        <f>HYPERLINK("http://www.ncbi.nlm.nih.gov/protein/XP_003801358.1","androgen receptor isoform X1")</f>
        <v>androgen receptor isoform X1</v>
      </c>
      <c r="J31" t="s">
        <v>1261</v>
      </c>
      <c r="K31">
        <v>514.23</v>
      </c>
      <c r="L31" t="s">
        <v>20</v>
      </c>
      <c r="M31">
        <v>157</v>
      </c>
      <c r="N31">
        <v>62.55</v>
      </c>
      <c r="O31">
        <v>100</v>
      </c>
      <c r="P31" t="s">
        <v>20</v>
      </c>
      <c r="Q31" t="s">
        <v>1262</v>
      </c>
      <c r="R31" t="s">
        <v>20</v>
      </c>
      <c r="S31" t="str">
        <f>HYPERLINK("https://cfpub.epa.gov/ecotox/explore.cfm?ncbi=30611","Explore in ECOTOX")</f>
        <v>Explore in ECOTOX</v>
      </c>
    </row>
    <row r="32" spans="1:19" x14ac:dyDescent="0.25">
      <c r="A32">
        <v>6</v>
      </c>
      <c r="B32" t="str">
        <f>HYPERLINK("http://www.ncbi.nlm.nih.gov/protein/XP_034868513.1","XP_034868513.1")</f>
        <v>XP_034868513.1</v>
      </c>
      <c r="C32">
        <v>64815</v>
      </c>
      <c r="D32" t="str">
        <f>HYPERLINK("http://www.ncbi.nlm.nih.gov/Taxonomy/Browser/wwwtax.cgi?mode=Info&amp;id=9715&amp;lvl=3&amp;lin=f&amp;keep=1&amp;srchmode=1&amp;unlock","9715")</f>
        <v>9715</v>
      </c>
      <c r="E32" t="s">
        <v>18</v>
      </c>
      <c r="F32" t="s">
        <v>18</v>
      </c>
      <c r="G32" t="str">
        <f>HYPERLINK("http://www.ncbi.nlm.nih.gov/Taxonomy/Browser/wwwtax.cgi?mode=Info&amp;id=9715&amp;lvl=3&amp;lin=f&amp;keep=1&amp;srchmode=1&amp;unlock","Mirounga leonina")</f>
        <v>Mirounga leonina</v>
      </c>
      <c r="H32" t="s">
        <v>58</v>
      </c>
      <c r="I32" t="str">
        <f>HYPERLINK("http://www.ncbi.nlm.nih.gov/protein/XP_034868513.1","androgen receptor")</f>
        <v>androgen receptor</v>
      </c>
      <c r="J32" t="s">
        <v>1261</v>
      </c>
      <c r="K32">
        <v>514.23</v>
      </c>
      <c r="L32" t="s">
        <v>20</v>
      </c>
      <c r="M32">
        <v>157</v>
      </c>
      <c r="N32">
        <v>62.55</v>
      </c>
      <c r="O32">
        <v>100</v>
      </c>
      <c r="P32" t="s">
        <v>20</v>
      </c>
      <c r="Q32" t="s">
        <v>1262</v>
      </c>
      <c r="R32" t="s">
        <v>20</v>
      </c>
      <c r="S32" t="str">
        <f>HYPERLINK("https://cfpub.epa.gov/ecotox/explore.cfm?ncbi=9715","Explore in ECOTOX")</f>
        <v>Explore in ECOTOX</v>
      </c>
    </row>
    <row r="33" spans="1:19" x14ac:dyDescent="0.25">
      <c r="A33">
        <v>6</v>
      </c>
      <c r="B33" t="str">
        <f>HYPERLINK("http://www.ncbi.nlm.nih.gov/protein/O97776.1","O97776.1")</f>
        <v>O97776.1</v>
      </c>
      <c r="C33">
        <v>64</v>
      </c>
      <c r="D33" t="str">
        <f>HYPERLINK("http://www.ncbi.nlm.nih.gov/Taxonomy/Browser/wwwtax.cgi?mode=Info&amp;id=47178&amp;lvl=3&amp;lin=f&amp;keep=1&amp;srchmode=1&amp;unlock","47178")</f>
        <v>47178</v>
      </c>
      <c r="E33" t="s">
        <v>18</v>
      </c>
      <c r="F33" t="s">
        <v>18</v>
      </c>
      <c r="G33" t="str">
        <f>HYPERLINK("http://www.ncbi.nlm.nih.gov/Taxonomy/Browser/wwwtax.cgi?mode=Info&amp;id=47178&amp;lvl=3&amp;lin=f&amp;keep=1&amp;srchmode=1&amp;unlock","Eulemur fulvus collaris")</f>
        <v>Eulemur fulvus collaris</v>
      </c>
      <c r="H33" t="s">
        <v>967</v>
      </c>
      <c r="I33" t="str">
        <f>HYPERLINK("http://www.ncbi.nlm.nih.gov/protein/O97776.1","RecName: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33" t="s">
        <v>1261</v>
      </c>
      <c r="K33">
        <v>514.23</v>
      </c>
      <c r="L33" t="s">
        <v>20</v>
      </c>
      <c r="M33">
        <v>157</v>
      </c>
      <c r="N33">
        <v>62.55</v>
      </c>
      <c r="O33">
        <v>100</v>
      </c>
      <c r="P33" t="s">
        <v>20</v>
      </c>
      <c r="Q33" t="s">
        <v>1262</v>
      </c>
      <c r="R33" t="s">
        <v>20</v>
      </c>
      <c r="S33" t="str">
        <f>HYPERLINK("https://cfpub.epa.gov/ecotox/explore.cfm?ncbi=47178","Explore in ECOTOX")</f>
        <v>Explore in ECOTOX</v>
      </c>
    </row>
    <row r="34" spans="1:19" x14ac:dyDescent="0.25">
      <c r="A34">
        <v>6</v>
      </c>
      <c r="B34" t="str">
        <f>HYPERLINK("http://www.ncbi.nlm.nih.gov/protein/ANA11823.1","ANA11823.1")</f>
        <v>ANA11823.1</v>
      </c>
      <c r="C34">
        <v>67826</v>
      </c>
      <c r="D34" t="str">
        <f>HYPERLINK("http://www.ncbi.nlm.nih.gov/Taxonomy/Browser/wwwtax.cgi?mode=Info&amp;id=9796&amp;lvl=3&amp;lin=f&amp;keep=1&amp;srchmode=1&amp;unlock","9796")</f>
        <v>9796</v>
      </c>
      <c r="E34" t="s">
        <v>18</v>
      </c>
      <c r="F34" t="s">
        <v>18</v>
      </c>
      <c r="G34" t="str">
        <f>HYPERLINK("http://www.ncbi.nlm.nih.gov/Taxonomy/Browser/wwwtax.cgi?mode=Info&amp;id=9796&amp;lvl=3&amp;lin=f&amp;keep=1&amp;srchmode=1&amp;unlock","Equus caballus")</f>
        <v>Equus caballus</v>
      </c>
      <c r="H34" t="s">
        <v>388</v>
      </c>
      <c r="I34" t="str">
        <f>HYPERLINK("http://www.ncbi.nlm.nih.gov/protein/ANA11823.1","androgen receptor")</f>
        <v>androgen receptor</v>
      </c>
      <c r="J34" t="s">
        <v>1261</v>
      </c>
      <c r="K34">
        <v>514.23</v>
      </c>
      <c r="L34" t="s">
        <v>20</v>
      </c>
      <c r="M34">
        <v>157</v>
      </c>
      <c r="N34">
        <v>62.55</v>
      </c>
      <c r="O34">
        <v>100</v>
      </c>
      <c r="P34" t="s">
        <v>20</v>
      </c>
      <c r="Q34" t="s">
        <v>1262</v>
      </c>
      <c r="R34" t="s">
        <v>20</v>
      </c>
      <c r="S34" t="str">
        <f>HYPERLINK("https://cfpub.epa.gov/ecotox/explore.cfm?ncbi=9796","Explore in ECOTOX")</f>
        <v>Explore in ECOTOX</v>
      </c>
    </row>
    <row r="35" spans="1:19" x14ac:dyDescent="0.25">
      <c r="A35">
        <v>6</v>
      </c>
      <c r="B35" t="str">
        <f>HYPERLINK("http://www.ncbi.nlm.nih.gov/protein/BCD56309.1","BCD56309.1")</f>
        <v>BCD56309.1</v>
      </c>
      <c r="C35">
        <v>136175</v>
      </c>
      <c r="D35" t="str">
        <f>HYPERLINK("http://www.ncbi.nlm.nih.gov/Taxonomy/Browser/wwwtax.cgi?mode=Info&amp;id=9615&amp;lvl=3&amp;lin=f&amp;keep=1&amp;srchmode=1&amp;unlock","9615")</f>
        <v>9615</v>
      </c>
      <c r="E35" t="s">
        <v>18</v>
      </c>
      <c r="F35" t="s">
        <v>18</v>
      </c>
      <c r="G35" t="str">
        <f>HYPERLINK("http://www.ncbi.nlm.nih.gov/Taxonomy/Browser/wwwtax.cgi?mode=Info&amp;id=9615&amp;lvl=3&amp;lin=f&amp;keep=1&amp;srchmode=1&amp;unlock","Canis lupus familiaris")</f>
        <v>Canis lupus familiaris</v>
      </c>
      <c r="H35" t="s">
        <v>54</v>
      </c>
      <c r="I35" t="str">
        <f>HYPERLINK("http://www.ncbi.nlm.nih.gov/protein/BCD56309.1","canine androgen receptor")</f>
        <v>canine androgen receptor</v>
      </c>
      <c r="J35" t="s">
        <v>1261</v>
      </c>
      <c r="K35">
        <v>514.23</v>
      </c>
      <c r="L35" t="s">
        <v>20</v>
      </c>
      <c r="M35">
        <v>157</v>
      </c>
      <c r="N35">
        <v>62.55</v>
      </c>
      <c r="O35">
        <v>100</v>
      </c>
      <c r="P35" t="s">
        <v>20</v>
      </c>
      <c r="Q35" t="s">
        <v>1262</v>
      </c>
      <c r="R35" t="s">
        <v>20</v>
      </c>
      <c r="S35" t="str">
        <f>HYPERLINK("https://cfpub.epa.gov/ecotox/explore.cfm?ncbi=9615","Explore in ECOTOX")</f>
        <v>Explore in ECOTOX</v>
      </c>
    </row>
    <row r="36" spans="1:19" x14ac:dyDescent="0.25">
      <c r="A36">
        <v>6</v>
      </c>
      <c r="B36" t="str">
        <f>HYPERLINK("http://www.ncbi.nlm.nih.gov/protein/XP_025842610.1","XP_025842610.1")</f>
        <v>XP_025842610.1</v>
      </c>
      <c r="C36">
        <v>38432</v>
      </c>
      <c r="D36" t="str">
        <f>HYPERLINK("http://www.ncbi.nlm.nih.gov/Taxonomy/Browser/wwwtax.cgi?mode=Info&amp;id=9627&amp;lvl=3&amp;lin=f&amp;keep=1&amp;srchmode=1&amp;unlock","9627")</f>
        <v>9627</v>
      </c>
      <c r="E36" t="s">
        <v>18</v>
      </c>
      <c r="F36" t="s">
        <v>18</v>
      </c>
      <c r="G36" t="str">
        <f>HYPERLINK("http://www.ncbi.nlm.nih.gov/Taxonomy/Browser/wwwtax.cgi?mode=Info&amp;id=9627&amp;lvl=3&amp;lin=f&amp;keep=1&amp;srchmode=1&amp;unlock","Vulpes vulpes")</f>
        <v>Vulpes vulpes</v>
      </c>
      <c r="H36" t="s">
        <v>40</v>
      </c>
      <c r="I36" t="str">
        <f>HYPERLINK("http://www.ncbi.nlm.nih.gov/protein/XP_025842610.1","androgen receptor")</f>
        <v>androgen receptor</v>
      </c>
      <c r="J36" t="s">
        <v>1261</v>
      </c>
      <c r="K36">
        <v>514.23</v>
      </c>
      <c r="L36" t="s">
        <v>20</v>
      </c>
      <c r="M36">
        <v>157</v>
      </c>
      <c r="N36">
        <v>62.55</v>
      </c>
      <c r="O36">
        <v>100</v>
      </c>
      <c r="P36" t="s">
        <v>20</v>
      </c>
      <c r="Q36" t="s">
        <v>1262</v>
      </c>
      <c r="R36" t="s">
        <v>20</v>
      </c>
      <c r="S36" t="str">
        <f>HYPERLINK("https://cfpub.epa.gov/ecotox/explore.cfm?ncbi=9627","Explore in ECOTOX")</f>
        <v>Explore in ECOTOX</v>
      </c>
    </row>
    <row r="37" spans="1:19" x14ac:dyDescent="0.25">
      <c r="A37">
        <v>6</v>
      </c>
      <c r="B37" t="str">
        <f>HYPERLINK("http://www.ncbi.nlm.nih.gov/protein/XP_036030573.1","XP_036030573.1")</f>
        <v>XP_036030573.1</v>
      </c>
      <c r="C37">
        <v>43277</v>
      </c>
      <c r="D37" t="str">
        <f>HYPERLINK("http://www.ncbi.nlm.nih.gov/Taxonomy/Browser/wwwtax.cgi?mode=Info&amp;id=38674&amp;lvl=3&amp;lin=f&amp;keep=1&amp;srchmode=1&amp;unlock","38674")</f>
        <v>38674</v>
      </c>
      <c r="E37" t="s">
        <v>18</v>
      </c>
      <c r="F37" t="s">
        <v>18</v>
      </c>
      <c r="G37" t="str">
        <f>HYPERLINK("http://www.ncbi.nlm.nih.gov/Taxonomy/Browser/wwwtax.cgi?mode=Info&amp;id=38674&amp;lvl=3&amp;lin=f&amp;keep=1&amp;srchmode=1&amp;unlock","Onychomys torridus")</f>
        <v>Onychomys torridus</v>
      </c>
      <c r="H37" t="s">
        <v>137</v>
      </c>
      <c r="I37" t="str">
        <f>HYPERLINK("http://www.ncbi.nlm.nih.gov/protein/XP_036030573.1","androgen receptor isoform X1")</f>
        <v>androgen receptor isoform X1</v>
      </c>
      <c r="J37" t="s">
        <v>1261</v>
      </c>
      <c r="K37">
        <v>514.23</v>
      </c>
      <c r="L37" t="s">
        <v>20</v>
      </c>
      <c r="M37">
        <v>157</v>
      </c>
      <c r="N37">
        <v>62.55</v>
      </c>
      <c r="O37">
        <v>100</v>
      </c>
      <c r="P37" t="s">
        <v>20</v>
      </c>
      <c r="Q37" t="s">
        <v>1262</v>
      </c>
      <c r="R37" t="s">
        <v>20</v>
      </c>
      <c r="S37" t="str">
        <f>HYPERLINK("https://cfpub.epa.gov/ecotox/explore.cfm?ncbi=38674","Explore in ECOTOX")</f>
        <v>Explore in ECOTOX</v>
      </c>
    </row>
    <row r="38" spans="1:19" x14ac:dyDescent="0.25">
      <c r="A38">
        <v>6</v>
      </c>
      <c r="B38" t="str">
        <f>HYPERLINK("http://www.ncbi.nlm.nih.gov/protein/XP_025321850.2","XP_025321850.2")</f>
        <v>XP_025321850.2</v>
      </c>
      <c r="C38">
        <v>70986</v>
      </c>
      <c r="D38" t="str">
        <f>HYPERLINK("http://www.ncbi.nlm.nih.gov/Taxonomy/Browser/wwwtax.cgi?mode=Info&amp;id=286419&amp;lvl=3&amp;lin=f&amp;keep=1&amp;srchmode=1&amp;unlock","286419")</f>
        <v>286419</v>
      </c>
      <c r="E38" t="s">
        <v>18</v>
      </c>
      <c r="F38" t="s">
        <v>18</v>
      </c>
      <c r="G38" t="str">
        <f>HYPERLINK("http://www.ncbi.nlm.nih.gov/Taxonomy/Browser/wwwtax.cgi?mode=Info&amp;id=286419&amp;lvl=3&amp;lin=f&amp;keep=1&amp;srchmode=1&amp;unlock","Canis lupus dingo")</f>
        <v>Canis lupus dingo</v>
      </c>
      <c r="H38" t="s">
        <v>53</v>
      </c>
      <c r="I38" t="str">
        <f>HYPERLINK("http://www.ncbi.nlm.nih.gov/protein/XP_025321850.2","androgen receptor")</f>
        <v>androgen receptor</v>
      </c>
      <c r="J38" t="s">
        <v>1261</v>
      </c>
      <c r="K38">
        <v>514.23</v>
      </c>
      <c r="L38" t="s">
        <v>20</v>
      </c>
      <c r="M38">
        <v>157</v>
      </c>
      <c r="N38">
        <v>62.55</v>
      </c>
      <c r="O38">
        <v>100</v>
      </c>
      <c r="P38" t="s">
        <v>20</v>
      </c>
      <c r="Q38" t="s">
        <v>1262</v>
      </c>
      <c r="R38" t="s">
        <v>20</v>
      </c>
      <c r="S38" t="str">
        <f>HYPERLINK("https://cfpub.epa.gov/ecotox/explore.cfm?ncbi=286419","Explore in ECOTOX")</f>
        <v>Explore in ECOTOX</v>
      </c>
    </row>
    <row r="39" spans="1:19" x14ac:dyDescent="0.25">
      <c r="A39">
        <v>6</v>
      </c>
      <c r="B39" t="str">
        <f>HYPERLINK("http://www.ncbi.nlm.nih.gov/protein/XP_021535659.1","XP_021535659.1")</f>
        <v>XP_021535659.1</v>
      </c>
      <c r="C39">
        <v>28446</v>
      </c>
      <c r="D39" t="str">
        <f>HYPERLINK("http://www.ncbi.nlm.nih.gov/Taxonomy/Browser/wwwtax.cgi?mode=Info&amp;id=29088&amp;lvl=3&amp;lin=f&amp;keep=1&amp;srchmode=1&amp;unlock","29088")</f>
        <v>29088</v>
      </c>
      <c r="E39" t="s">
        <v>18</v>
      </c>
      <c r="F39" t="s">
        <v>18</v>
      </c>
      <c r="G39" t="str">
        <f>HYPERLINK("http://www.ncbi.nlm.nih.gov/Taxonomy/Browser/wwwtax.cgi?mode=Info&amp;id=29088&amp;lvl=3&amp;lin=f&amp;keep=1&amp;srchmode=1&amp;unlock","Neomonachus schauinslandi")</f>
        <v>Neomonachus schauinslandi</v>
      </c>
      <c r="H39" t="s">
        <v>50</v>
      </c>
      <c r="I39" t="str">
        <f>HYPERLINK("http://www.ncbi.nlm.nih.gov/protein/XP_021535659.1","androgen receptor isoform X2")</f>
        <v>androgen receptor isoform X2</v>
      </c>
      <c r="J39" t="s">
        <v>1261</v>
      </c>
      <c r="K39">
        <v>514.23</v>
      </c>
      <c r="L39" t="s">
        <v>20</v>
      </c>
      <c r="M39">
        <v>157</v>
      </c>
      <c r="N39">
        <v>62.55</v>
      </c>
      <c r="O39">
        <v>100</v>
      </c>
      <c r="P39" t="s">
        <v>20</v>
      </c>
      <c r="Q39" t="s">
        <v>1262</v>
      </c>
      <c r="R39" t="s">
        <v>20</v>
      </c>
      <c r="S39" t="str">
        <f>HYPERLINK("https://cfpub.epa.gov/ecotox/explore.cfm?ncbi=29088","Explore in ECOTOX")</f>
        <v>Explore in ECOTOX</v>
      </c>
    </row>
    <row r="40" spans="1:19" x14ac:dyDescent="0.25">
      <c r="A40">
        <v>6</v>
      </c>
      <c r="B40" t="str">
        <f>HYPERLINK("http://www.ncbi.nlm.nih.gov/protein/XP_027982377.1","XP_027982377.1")</f>
        <v>XP_027982377.1</v>
      </c>
      <c r="C40">
        <v>40115</v>
      </c>
      <c r="D40" t="str">
        <f>HYPERLINK("http://www.ncbi.nlm.nih.gov/Taxonomy/Browser/wwwtax.cgi?mode=Info&amp;id=34886&amp;lvl=3&amp;lin=f&amp;keep=1&amp;srchmode=1&amp;unlock","34886")</f>
        <v>34886</v>
      </c>
      <c r="E40" t="s">
        <v>18</v>
      </c>
      <c r="F40" t="s">
        <v>18</v>
      </c>
      <c r="G40" t="str">
        <f>HYPERLINK("http://www.ncbi.nlm.nih.gov/Taxonomy/Browser/wwwtax.cgi?mode=Info&amp;id=34886&amp;lvl=3&amp;lin=f&amp;keep=1&amp;srchmode=1&amp;unlock","Eumetopias jubatus")</f>
        <v>Eumetopias jubatus</v>
      </c>
      <c r="H40" t="s">
        <v>61</v>
      </c>
      <c r="I40" t="str">
        <f>HYPERLINK("http://www.ncbi.nlm.nih.gov/protein/XP_027982377.1","androgen receptor isoform X1")</f>
        <v>androgen receptor isoform X1</v>
      </c>
      <c r="J40" t="s">
        <v>1261</v>
      </c>
      <c r="K40">
        <v>514.23</v>
      </c>
      <c r="L40" t="s">
        <v>20</v>
      </c>
      <c r="M40">
        <v>157</v>
      </c>
      <c r="N40">
        <v>62.55</v>
      </c>
      <c r="O40">
        <v>100</v>
      </c>
      <c r="P40" t="s">
        <v>20</v>
      </c>
      <c r="Q40" t="s">
        <v>1262</v>
      </c>
      <c r="R40" t="s">
        <v>20</v>
      </c>
      <c r="S40" t="str">
        <f>HYPERLINK("https://cfpub.epa.gov/ecotox/explore.cfm?ncbi=34886","Explore in ECOTOX")</f>
        <v>Explore in ECOTOX</v>
      </c>
    </row>
    <row r="41" spans="1:19" x14ac:dyDescent="0.25">
      <c r="A41">
        <v>6</v>
      </c>
      <c r="B41" t="str">
        <f>HYPERLINK("http://www.ncbi.nlm.nih.gov/protein/XP_032185838.1","XP_032185838.1")</f>
        <v>XP_032185838.1</v>
      </c>
      <c r="C41">
        <v>60653</v>
      </c>
      <c r="D41" t="str">
        <f>HYPERLINK("http://www.ncbi.nlm.nih.gov/Taxonomy/Browser/wwwtax.cgi?mode=Info&amp;id=36723&amp;lvl=3&amp;lin=f&amp;keep=1&amp;srchmode=1&amp;unlock","36723")</f>
        <v>36723</v>
      </c>
      <c r="E41" t="s">
        <v>18</v>
      </c>
      <c r="F41" t="s">
        <v>18</v>
      </c>
      <c r="G41" t="str">
        <f>HYPERLINK("http://www.ncbi.nlm.nih.gov/Taxonomy/Browser/wwwtax.cgi?mode=Info&amp;id=36723&amp;lvl=3&amp;lin=f&amp;keep=1&amp;srchmode=1&amp;unlock","Mustela erminea")</f>
        <v>Mustela erminea</v>
      </c>
      <c r="H41" t="s">
        <v>51</v>
      </c>
      <c r="I41" t="str">
        <f>HYPERLINK("http://www.ncbi.nlm.nih.gov/protein/XP_032185838.1","androgen receptor isoform X1")</f>
        <v>androgen receptor isoform X1</v>
      </c>
      <c r="J41" t="s">
        <v>1261</v>
      </c>
      <c r="K41">
        <v>514.23</v>
      </c>
      <c r="L41" t="s">
        <v>20</v>
      </c>
      <c r="M41">
        <v>157</v>
      </c>
      <c r="N41">
        <v>62.55</v>
      </c>
      <c r="O41">
        <v>100</v>
      </c>
      <c r="P41" t="s">
        <v>20</v>
      </c>
      <c r="Q41" t="s">
        <v>1262</v>
      </c>
      <c r="R41" t="s">
        <v>20</v>
      </c>
      <c r="S41" t="str">
        <f>HYPERLINK("https://cfpub.epa.gov/ecotox/explore.cfm?ncbi=36723","Explore in ECOTOX")</f>
        <v>Explore in ECOTOX</v>
      </c>
    </row>
    <row r="42" spans="1:19" x14ac:dyDescent="0.25">
      <c r="A42">
        <v>6</v>
      </c>
      <c r="B42" t="str">
        <f>HYPERLINK("http://www.ncbi.nlm.nih.gov/protein/XP_004780480.1","XP_004780480.1")</f>
        <v>XP_004780480.1</v>
      </c>
      <c r="C42">
        <v>48574</v>
      </c>
      <c r="D42" t="str">
        <f>HYPERLINK("http://www.ncbi.nlm.nih.gov/Taxonomy/Browser/wwwtax.cgi?mode=Info&amp;id=9669&amp;lvl=3&amp;lin=f&amp;keep=1&amp;srchmode=1&amp;unlock","9669")</f>
        <v>9669</v>
      </c>
      <c r="E42" t="s">
        <v>18</v>
      </c>
      <c r="F42" t="s">
        <v>18</v>
      </c>
      <c r="G42" t="str">
        <f>HYPERLINK("http://www.ncbi.nlm.nih.gov/Taxonomy/Browser/wwwtax.cgi?mode=Info&amp;id=9669&amp;lvl=3&amp;lin=f&amp;keep=1&amp;srchmode=1&amp;unlock","Mustela putorius furo")</f>
        <v>Mustela putorius furo</v>
      </c>
      <c r="H42" t="s">
        <v>48</v>
      </c>
      <c r="I42" t="str">
        <f>HYPERLINK("http://www.ncbi.nlm.nih.gov/protein/XP_004780480.1","PREDICTED: androgen receptor")</f>
        <v>PREDICTED: androgen receptor</v>
      </c>
      <c r="J42" t="s">
        <v>1261</v>
      </c>
      <c r="K42">
        <v>514.23</v>
      </c>
      <c r="L42" t="s">
        <v>20</v>
      </c>
      <c r="M42">
        <v>157</v>
      </c>
      <c r="N42">
        <v>62.55</v>
      </c>
      <c r="O42">
        <v>100</v>
      </c>
      <c r="P42" t="s">
        <v>20</v>
      </c>
      <c r="Q42" t="s">
        <v>1262</v>
      </c>
      <c r="R42" t="s">
        <v>20</v>
      </c>
      <c r="S42" t="str">
        <f>HYPERLINK("https://cfpub.epa.gov/ecotox/explore.cfm?ncbi=9669","Explore in ECOTOX")</f>
        <v>Explore in ECOTOX</v>
      </c>
    </row>
    <row r="43" spans="1:19" x14ac:dyDescent="0.25">
      <c r="A43">
        <v>6</v>
      </c>
      <c r="B43" t="str">
        <f>HYPERLINK("http://www.ncbi.nlm.nih.gov/protein/XP_032701479.1","XP_032701479.1")</f>
        <v>XP_032701479.1</v>
      </c>
      <c r="C43">
        <v>48403</v>
      </c>
      <c r="D43" t="str">
        <f>HYPERLINK("http://www.ncbi.nlm.nih.gov/Taxonomy/Browser/wwwtax.cgi?mode=Info&amp;id=76717&amp;lvl=3&amp;lin=f&amp;keep=1&amp;srchmode=1&amp;unlock","76717")</f>
        <v>76717</v>
      </c>
      <c r="E43" t="s">
        <v>18</v>
      </c>
      <c r="F43" t="s">
        <v>18</v>
      </c>
      <c r="G43" t="str">
        <f>HYPERLINK("http://www.ncbi.nlm.nih.gov/Taxonomy/Browser/wwwtax.cgi?mode=Info&amp;id=76717&amp;lvl=3&amp;lin=f&amp;keep=1&amp;srchmode=1&amp;unlock","Lontra canadensis")</f>
        <v>Lontra canadensis</v>
      </c>
      <c r="H43" t="s">
        <v>47</v>
      </c>
      <c r="I43" t="str">
        <f>HYPERLINK("http://www.ncbi.nlm.nih.gov/protein/XP_032701479.1","androgen receptor isoform X1")</f>
        <v>androgen receptor isoform X1</v>
      </c>
      <c r="J43" t="s">
        <v>1261</v>
      </c>
      <c r="K43">
        <v>514.23</v>
      </c>
      <c r="L43" t="s">
        <v>25</v>
      </c>
      <c r="M43">
        <v>157</v>
      </c>
      <c r="N43">
        <v>62.55</v>
      </c>
      <c r="O43">
        <v>100</v>
      </c>
      <c r="P43" t="s">
        <v>20</v>
      </c>
      <c r="Q43" t="s">
        <v>1262</v>
      </c>
      <c r="R43" t="s">
        <v>20</v>
      </c>
      <c r="S43" t="str">
        <f>HYPERLINK("https://cfpub.epa.gov/ecotox/explore.cfm?ncbi=76717","Explore in ECOTOX")</f>
        <v>Explore in ECOTOX</v>
      </c>
    </row>
    <row r="44" spans="1:19" x14ac:dyDescent="0.25">
      <c r="A44">
        <v>6</v>
      </c>
      <c r="B44" t="str">
        <f>HYPERLINK("http://www.ncbi.nlm.nih.gov/protein/XP_006981237.1","XP_006981237.1")</f>
        <v>XP_006981237.1</v>
      </c>
      <c r="C44">
        <v>45653</v>
      </c>
      <c r="D44" t="str">
        <f>HYPERLINK("http://www.ncbi.nlm.nih.gov/Taxonomy/Browser/wwwtax.cgi?mode=Info&amp;id=230844&amp;lvl=3&amp;lin=f&amp;keep=1&amp;srchmode=1&amp;unlock","230844")</f>
        <v>230844</v>
      </c>
      <c r="E44" t="s">
        <v>18</v>
      </c>
      <c r="F44" t="s">
        <v>18</v>
      </c>
      <c r="G44" t="str">
        <f>HYPERLINK("http://www.ncbi.nlm.nih.gov/Taxonomy/Browser/wwwtax.cgi?mode=Info&amp;id=230844&amp;lvl=3&amp;lin=f&amp;keep=1&amp;srchmode=1&amp;unlock","Peromyscus maniculatus bairdii")</f>
        <v>Peromyscus maniculatus bairdii</v>
      </c>
      <c r="H44" t="s">
        <v>157</v>
      </c>
      <c r="I44" t="str">
        <f>HYPERLINK("http://www.ncbi.nlm.nih.gov/protein/XP_006981237.1","PREDICTED: androgen receptor")</f>
        <v>PREDICTED: androgen receptor</v>
      </c>
      <c r="J44" t="s">
        <v>1261</v>
      </c>
      <c r="K44">
        <v>514.23</v>
      </c>
      <c r="L44" t="s">
        <v>20</v>
      </c>
      <c r="M44">
        <v>157</v>
      </c>
      <c r="N44">
        <v>62.55</v>
      </c>
      <c r="O44">
        <v>100</v>
      </c>
      <c r="P44" t="s">
        <v>20</v>
      </c>
      <c r="Q44" t="s">
        <v>1262</v>
      </c>
      <c r="R44" t="s">
        <v>20</v>
      </c>
      <c r="S44" t="str">
        <f>HYPERLINK("https://cfpub.epa.gov/ecotox/explore.cfm?ncbi=230844","Explore in ECOTOX")</f>
        <v>Explore in ECOTOX</v>
      </c>
    </row>
    <row r="45" spans="1:19" x14ac:dyDescent="0.25">
      <c r="A45">
        <v>6</v>
      </c>
      <c r="B45" t="str">
        <f>HYPERLINK("http://www.ncbi.nlm.nih.gov/protein/XP_014687510.1","XP_014687510.1")</f>
        <v>XP_014687510.1</v>
      </c>
      <c r="C45">
        <v>42730</v>
      </c>
      <c r="D45" t="str">
        <f>HYPERLINK("http://www.ncbi.nlm.nih.gov/Taxonomy/Browser/wwwtax.cgi?mode=Info&amp;id=9793&amp;lvl=3&amp;lin=f&amp;keep=1&amp;srchmode=1&amp;unlock","9793")</f>
        <v>9793</v>
      </c>
      <c r="E45" t="s">
        <v>18</v>
      </c>
      <c r="F45" t="s">
        <v>18</v>
      </c>
      <c r="G45" t="str">
        <f>HYPERLINK("http://www.ncbi.nlm.nih.gov/Taxonomy/Browser/wwwtax.cgi?mode=Info&amp;id=9793&amp;lvl=3&amp;lin=f&amp;keep=1&amp;srchmode=1&amp;unlock","Equus asinus")</f>
        <v>Equus asinus</v>
      </c>
      <c r="H45" t="s">
        <v>381</v>
      </c>
      <c r="I45" t="str">
        <f>HYPERLINK("http://www.ncbi.nlm.nih.gov/protein/XP_014687510.1","PREDICTED: androgen receptor")</f>
        <v>PREDICTED: androgen receptor</v>
      </c>
      <c r="J45" t="s">
        <v>1261</v>
      </c>
      <c r="K45">
        <v>514.23</v>
      </c>
      <c r="L45" t="s">
        <v>20</v>
      </c>
      <c r="M45">
        <v>157</v>
      </c>
      <c r="N45">
        <v>62.55</v>
      </c>
      <c r="O45">
        <v>100</v>
      </c>
      <c r="P45" t="s">
        <v>20</v>
      </c>
      <c r="Q45" t="s">
        <v>1262</v>
      </c>
      <c r="R45" t="s">
        <v>20</v>
      </c>
      <c r="S45" t="str">
        <f>HYPERLINK("https://cfpub.epa.gov/ecotox/explore.cfm?ncbi=9793","Explore in ECOTOX")</f>
        <v>Explore in ECOTOX</v>
      </c>
    </row>
    <row r="46" spans="1:19" x14ac:dyDescent="0.25">
      <c r="A46">
        <v>6</v>
      </c>
      <c r="B46" t="str">
        <f>HYPERLINK("http://www.ncbi.nlm.nih.gov/protein/XP_028739721.1","XP_028739721.1")</f>
        <v>XP_028739721.1</v>
      </c>
      <c r="C46">
        <v>48460</v>
      </c>
      <c r="D46" t="str">
        <f>HYPERLINK("http://www.ncbi.nlm.nih.gov/Taxonomy/Browser/wwwtax.cgi?mode=Info&amp;id=10041&amp;lvl=3&amp;lin=f&amp;keep=1&amp;srchmode=1&amp;unlock","10041")</f>
        <v>10041</v>
      </c>
      <c r="E46" t="s">
        <v>18</v>
      </c>
      <c r="F46" t="s">
        <v>18</v>
      </c>
      <c r="G46" t="str">
        <f>HYPERLINK("http://www.ncbi.nlm.nih.gov/Taxonomy/Browser/wwwtax.cgi?mode=Info&amp;id=10041&amp;lvl=3&amp;lin=f&amp;keep=1&amp;srchmode=1&amp;unlock","Peromyscus leucopus")</f>
        <v>Peromyscus leucopus</v>
      </c>
      <c r="H46" t="s">
        <v>128</v>
      </c>
      <c r="I46" t="str">
        <f>HYPERLINK("http://www.ncbi.nlm.nih.gov/protein/XP_028739721.1","androgen receptor")</f>
        <v>androgen receptor</v>
      </c>
      <c r="J46" t="s">
        <v>1261</v>
      </c>
      <c r="K46">
        <v>514.23</v>
      </c>
      <c r="L46" t="s">
        <v>20</v>
      </c>
      <c r="M46">
        <v>157</v>
      </c>
      <c r="N46">
        <v>62.55</v>
      </c>
      <c r="O46">
        <v>100</v>
      </c>
      <c r="P46" t="s">
        <v>20</v>
      </c>
      <c r="Q46" t="s">
        <v>1262</v>
      </c>
      <c r="R46" t="s">
        <v>20</v>
      </c>
      <c r="S46" t="str">
        <f>HYPERLINK("https://cfpub.epa.gov/ecotox/explore.cfm?ncbi=10041","Explore in ECOTOX")</f>
        <v>Explore in ECOTOX</v>
      </c>
    </row>
    <row r="47" spans="1:19" x14ac:dyDescent="0.25">
      <c r="A47">
        <v>6</v>
      </c>
      <c r="B47" t="str">
        <f>HYPERLINK("http://www.ncbi.nlm.nih.gov/protein/NP_001231056.1","NP_001231056.1")</f>
        <v>NP_001231056.1</v>
      </c>
      <c r="C47">
        <v>134275</v>
      </c>
      <c r="D47" t="str">
        <f>HYPERLINK("http://www.ncbi.nlm.nih.gov/Taxonomy/Browser/wwwtax.cgi?mode=Info&amp;id=9913&amp;lvl=3&amp;lin=f&amp;keep=1&amp;srchmode=1&amp;unlock","9913")</f>
        <v>9913</v>
      </c>
      <c r="E47" t="s">
        <v>18</v>
      </c>
      <c r="F47" t="s">
        <v>18</v>
      </c>
      <c r="G47" t="str">
        <f>HYPERLINK("http://www.ncbi.nlm.nih.gov/Taxonomy/Browser/wwwtax.cgi?mode=Info&amp;id=9913&amp;lvl=3&amp;lin=f&amp;keep=1&amp;srchmode=1&amp;unlock","Bos taurus")</f>
        <v>Bos taurus</v>
      </c>
      <c r="H47" t="s">
        <v>123</v>
      </c>
      <c r="I47" t="str">
        <f>HYPERLINK("http://www.ncbi.nlm.nih.gov/protein/NP_001231056.1","androgen receptor")</f>
        <v>androgen receptor</v>
      </c>
      <c r="J47" t="s">
        <v>1261</v>
      </c>
      <c r="K47">
        <v>514.23</v>
      </c>
      <c r="L47" t="s">
        <v>20</v>
      </c>
      <c r="M47">
        <v>157</v>
      </c>
      <c r="N47">
        <v>62.55</v>
      </c>
      <c r="O47">
        <v>100</v>
      </c>
      <c r="P47" t="s">
        <v>20</v>
      </c>
      <c r="Q47" t="s">
        <v>1262</v>
      </c>
      <c r="R47" t="s">
        <v>20</v>
      </c>
      <c r="S47" t="str">
        <f>HYPERLINK("https://cfpub.epa.gov/ecotox/explore.cfm?ncbi=9913","Explore in ECOTOX")</f>
        <v>Explore in ECOTOX</v>
      </c>
    </row>
    <row r="48" spans="1:19" x14ac:dyDescent="0.25">
      <c r="A48">
        <v>6</v>
      </c>
      <c r="B48" t="str">
        <f>HYPERLINK("http://www.ncbi.nlm.nih.gov/protein/XP_019811422.1","XP_019811422.1")</f>
        <v>XP_019811422.1</v>
      </c>
      <c r="C48">
        <v>37841</v>
      </c>
      <c r="D48" t="str">
        <f>HYPERLINK("http://www.ncbi.nlm.nih.gov/Taxonomy/Browser/wwwtax.cgi?mode=Info&amp;id=9915&amp;lvl=3&amp;lin=f&amp;keep=1&amp;srchmode=1&amp;unlock","9915")</f>
        <v>9915</v>
      </c>
      <c r="E48" t="s">
        <v>18</v>
      </c>
      <c r="F48" t="s">
        <v>18</v>
      </c>
      <c r="G48" t="str">
        <f>HYPERLINK("http://www.ncbi.nlm.nih.gov/Taxonomy/Browser/wwwtax.cgi?mode=Info&amp;id=9915&amp;lvl=3&amp;lin=f&amp;keep=1&amp;srchmode=1&amp;unlock","Bos indicus")</f>
        <v>Bos indicus</v>
      </c>
      <c r="H48" t="s">
        <v>146</v>
      </c>
      <c r="I48" t="str">
        <f>HYPERLINK("http://www.ncbi.nlm.nih.gov/protein/XP_019811422.1","PREDICTED: androgen receptor")</f>
        <v>PREDICTED: androgen receptor</v>
      </c>
      <c r="J48" t="s">
        <v>1261</v>
      </c>
      <c r="K48">
        <v>514.23</v>
      </c>
      <c r="L48" t="s">
        <v>20</v>
      </c>
      <c r="M48">
        <v>157</v>
      </c>
      <c r="N48">
        <v>62.55</v>
      </c>
      <c r="O48">
        <v>100</v>
      </c>
      <c r="P48" t="s">
        <v>20</v>
      </c>
      <c r="Q48" t="s">
        <v>1262</v>
      </c>
      <c r="R48" t="s">
        <v>20</v>
      </c>
      <c r="S48" t="str">
        <f>HYPERLINK("https://cfpub.epa.gov/ecotox/explore.cfm?ncbi=9915","Explore in ECOTOX")</f>
        <v>Explore in ECOTOX</v>
      </c>
    </row>
    <row r="49" spans="1:19" x14ac:dyDescent="0.25">
      <c r="A49">
        <v>6</v>
      </c>
      <c r="B49" t="str">
        <f>HYPERLINK("http://www.ncbi.nlm.nih.gov/protein/XP_027388936.1","XP_027388936.1")</f>
        <v>XP_027388936.1</v>
      </c>
      <c r="C49">
        <v>54422</v>
      </c>
      <c r="D49" t="str">
        <f>HYPERLINK("http://www.ncbi.nlm.nih.gov/Taxonomy/Browser/wwwtax.cgi?mode=Info&amp;id=30522&amp;lvl=3&amp;lin=f&amp;keep=1&amp;srchmode=1&amp;unlock","30522")</f>
        <v>30522</v>
      </c>
      <c r="E49" t="s">
        <v>18</v>
      </c>
      <c r="F49" t="s">
        <v>18</v>
      </c>
      <c r="G49" t="str">
        <f>HYPERLINK("http://www.ncbi.nlm.nih.gov/Taxonomy/Browser/wwwtax.cgi?mode=Info&amp;id=30522&amp;lvl=3&amp;lin=f&amp;keep=1&amp;srchmode=1&amp;unlock","Bos indicus x Bos taurus")</f>
        <v>Bos indicus x Bos taurus</v>
      </c>
      <c r="H49" t="s">
        <v>121</v>
      </c>
      <c r="I49" t="str">
        <f>HYPERLINK("http://www.ncbi.nlm.nih.gov/protein/XP_027388936.1","androgen receptor isoform X1")</f>
        <v>androgen receptor isoform X1</v>
      </c>
      <c r="J49" t="s">
        <v>1261</v>
      </c>
      <c r="K49">
        <v>514.23</v>
      </c>
      <c r="L49" t="s">
        <v>20</v>
      </c>
      <c r="M49">
        <v>157</v>
      </c>
      <c r="N49">
        <v>62.55</v>
      </c>
      <c r="O49">
        <v>100</v>
      </c>
      <c r="P49" t="s">
        <v>20</v>
      </c>
      <c r="Q49" t="s">
        <v>1262</v>
      </c>
      <c r="R49" t="s">
        <v>20</v>
      </c>
      <c r="S49" t="str">
        <f>HYPERLINK("https://cfpub.epa.gov/ecotox/explore.cfm?ncbi=30522","Explore in ECOTOX")</f>
        <v>Explore in ECOTOX</v>
      </c>
    </row>
    <row r="50" spans="1:19" x14ac:dyDescent="0.25">
      <c r="A50">
        <v>6</v>
      </c>
      <c r="B50" t="str">
        <f>HYPERLINK("http://www.ncbi.nlm.nih.gov/protein/MXQ98755.1","MXQ98755.1")</f>
        <v>MXQ98755.1</v>
      </c>
      <c r="C50">
        <v>68258</v>
      </c>
      <c r="D50" t="str">
        <f>HYPERLINK("http://www.ncbi.nlm.nih.gov/Taxonomy/Browser/wwwtax.cgi?mode=Info&amp;id=72004&amp;lvl=3&amp;lin=f&amp;keep=1&amp;srchmode=1&amp;unlock","72004")</f>
        <v>72004</v>
      </c>
      <c r="E50" t="s">
        <v>18</v>
      </c>
      <c r="F50" t="s">
        <v>18</v>
      </c>
      <c r="G50" t="str">
        <f>HYPERLINK("http://www.ncbi.nlm.nih.gov/Taxonomy/Browser/wwwtax.cgi?mode=Info&amp;id=72004&amp;lvl=3&amp;lin=f&amp;keep=1&amp;srchmode=1&amp;unlock","Bos mutus")</f>
        <v>Bos mutus</v>
      </c>
      <c r="H50" t="s">
        <v>117</v>
      </c>
      <c r="I50" t="str">
        <f>HYPERLINK("http://www.ncbi.nlm.nih.gov/protein/MXQ98755.1","hypothetical protein")</f>
        <v>hypothetical protein</v>
      </c>
      <c r="J50" t="s">
        <v>1261</v>
      </c>
      <c r="K50">
        <v>514.23</v>
      </c>
      <c r="L50" t="s">
        <v>20</v>
      </c>
      <c r="M50">
        <v>157</v>
      </c>
      <c r="N50">
        <v>62.55</v>
      </c>
      <c r="O50">
        <v>100</v>
      </c>
      <c r="P50" t="s">
        <v>20</v>
      </c>
      <c r="Q50" t="s">
        <v>1262</v>
      </c>
      <c r="R50" t="s">
        <v>20</v>
      </c>
      <c r="S50" t="str">
        <f>HYPERLINK("https://cfpub.epa.gov/ecotox/explore.cfm?ncbi=72004","Explore in ECOTOX")</f>
        <v>Explore in ECOTOX</v>
      </c>
    </row>
    <row r="51" spans="1:19" x14ac:dyDescent="0.25">
      <c r="A51">
        <v>6</v>
      </c>
      <c r="B51" t="str">
        <f>HYPERLINK("http://www.ncbi.nlm.nih.gov/protein/XP_030161381.1","XP_030161381.1")</f>
        <v>XP_030161381.1</v>
      </c>
      <c r="C51">
        <v>42175</v>
      </c>
      <c r="D51" t="str">
        <f>HYPERLINK("http://www.ncbi.nlm.nih.gov/Taxonomy/Browser/wwwtax.cgi?mode=Info&amp;id=61383&amp;lvl=3&amp;lin=f&amp;keep=1&amp;srchmode=1&amp;unlock","61383")</f>
        <v>61383</v>
      </c>
      <c r="E51" t="s">
        <v>18</v>
      </c>
      <c r="F51" t="s">
        <v>18</v>
      </c>
      <c r="G51" t="str">
        <f>HYPERLINK("http://www.ncbi.nlm.nih.gov/Taxonomy/Browser/wwwtax.cgi?mode=Info&amp;id=61383&amp;lvl=3&amp;lin=f&amp;keep=1&amp;srchmode=1&amp;unlock","Lynx canadensis")</f>
        <v>Lynx canadensis</v>
      </c>
      <c r="H51" t="s">
        <v>63</v>
      </c>
      <c r="I51" t="str">
        <f>HYPERLINK("http://www.ncbi.nlm.nih.gov/protein/XP_030161381.1","androgen receptor")</f>
        <v>androgen receptor</v>
      </c>
      <c r="J51" t="s">
        <v>1261</v>
      </c>
      <c r="K51">
        <v>514.23</v>
      </c>
      <c r="L51" t="s">
        <v>20</v>
      </c>
      <c r="M51">
        <v>157</v>
      </c>
      <c r="N51">
        <v>62.55</v>
      </c>
      <c r="O51">
        <v>100</v>
      </c>
      <c r="P51" t="s">
        <v>20</v>
      </c>
      <c r="Q51" t="s">
        <v>1262</v>
      </c>
      <c r="R51" t="s">
        <v>20</v>
      </c>
      <c r="S51" t="str">
        <f>HYPERLINK("https://cfpub.epa.gov/ecotox/explore.cfm?ncbi=61383","Explore in ECOTOX")</f>
        <v>Explore in ECOTOX</v>
      </c>
    </row>
    <row r="52" spans="1:19" x14ac:dyDescent="0.25">
      <c r="A52">
        <v>6</v>
      </c>
      <c r="B52" t="str">
        <f>HYPERLINK("http://www.ncbi.nlm.nih.gov/protein/XP_005081209.1","XP_005081209.1")</f>
        <v>XP_005081209.1</v>
      </c>
      <c r="C52">
        <v>54395</v>
      </c>
      <c r="D52" t="str">
        <f>HYPERLINK("http://www.ncbi.nlm.nih.gov/Taxonomy/Browser/wwwtax.cgi?mode=Info&amp;id=10036&amp;lvl=3&amp;lin=f&amp;keep=1&amp;srchmode=1&amp;unlock","10036")</f>
        <v>10036</v>
      </c>
      <c r="E52" t="s">
        <v>18</v>
      </c>
      <c r="F52" t="s">
        <v>18</v>
      </c>
      <c r="G52" t="str">
        <f>HYPERLINK("http://www.ncbi.nlm.nih.gov/Taxonomy/Browser/wwwtax.cgi?mode=Info&amp;id=10036&amp;lvl=3&amp;lin=f&amp;keep=1&amp;srchmode=1&amp;unlock","Mesocricetus auratus")</f>
        <v>Mesocricetus auratus</v>
      </c>
      <c r="H52" t="s">
        <v>160</v>
      </c>
      <c r="I52" t="str">
        <f>HYPERLINK("http://www.ncbi.nlm.nih.gov/protein/XP_005081209.1","androgen receptor")</f>
        <v>androgen receptor</v>
      </c>
      <c r="J52" t="s">
        <v>1261</v>
      </c>
      <c r="K52">
        <v>514.23</v>
      </c>
      <c r="L52" t="s">
        <v>20</v>
      </c>
      <c r="M52">
        <v>157</v>
      </c>
      <c r="N52">
        <v>62.55</v>
      </c>
      <c r="O52">
        <v>100</v>
      </c>
      <c r="P52" t="s">
        <v>20</v>
      </c>
      <c r="Q52" t="s">
        <v>1262</v>
      </c>
      <c r="R52" t="s">
        <v>20</v>
      </c>
      <c r="S52" t="str">
        <f>HYPERLINK("https://cfpub.epa.gov/ecotox/explore.cfm?ncbi=10036","Explore in ECOTOX")</f>
        <v>Explore in ECOTOX</v>
      </c>
    </row>
    <row r="53" spans="1:19" x14ac:dyDescent="0.25">
      <c r="A53">
        <v>6</v>
      </c>
      <c r="B53" t="str">
        <f>HYPERLINK("http://www.ncbi.nlm.nih.gov/protein/XP_004694494.1","XP_004694494.1")</f>
        <v>XP_004694494.1</v>
      </c>
      <c r="C53">
        <v>29269</v>
      </c>
      <c r="D53" t="str">
        <f>HYPERLINK("http://www.ncbi.nlm.nih.gov/Taxonomy/Browser/wwwtax.cgi?mode=Info&amp;id=143302&amp;lvl=3&amp;lin=f&amp;keep=1&amp;srchmode=1&amp;unlock","143302")</f>
        <v>143302</v>
      </c>
      <c r="E53" t="s">
        <v>18</v>
      </c>
      <c r="F53" t="s">
        <v>18</v>
      </c>
      <c r="G53" t="str">
        <f>HYPERLINK("http://www.ncbi.nlm.nih.gov/Taxonomy/Browser/wwwtax.cgi?mode=Info&amp;id=143302&amp;lvl=3&amp;lin=f&amp;keep=1&amp;srchmode=1&amp;unlock","Condylura cristata")</f>
        <v>Condylura cristata</v>
      </c>
      <c r="H53" t="s">
        <v>110</v>
      </c>
      <c r="I53" t="str">
        <f>HYPERLINK("http://www.ncbi.nlm.nih.gov/protein/XP_004694494.1","PREDICTED: androgen receptor")</f>
        <v>PREDICTED: androgen receptor</v>
      </c>
      <c r="J53" t="s">
        <v>1261</v>
      </c>
      <c r="K53">
        <v>514.23</v>
      </c>
      <c r="L53" t="s">
        <v>20</v>
      </c>
      <c r="M53">
        <v>157</v>
      </c>
      <c r="N53">
        <v>62.55</v>
      </c>
      <c r="O53">
        <v>100</v>
      </c>
      <c r="P53" t="s">
        <v>20</v>
      </c>
      <c r="Q53" t="s">
        <v>1262</v>
      </c>
      <c r="R53" t="s">
        <v>20</v>
      </c>
      <c r="S53" t="str">
        <f>HYPERLINK("https://cfpub.epa.gov/ecotox/explore.cfm?ncbi=143302","Explore in ECOTOX")</f>
        <v>Explore in ECOTOX</v>
      </c>
    </row>
    <row r="54" spans="1:19" x14ac:dyDescent="0.25">
      <c r="A54">
        <v>6</v>
      </c>
      <c r="B54" t="str">
        <f>HYPERLINK("http://www.ncbi.nlm.nih.gov/protein/XP_022380163.1","XP_022380163.1")</f>
        <v>XP_022380163.1</v>
      </c>
      <c r="C54">
        <v>36593</v>
      </c>
      <c r="D54" t="str">
        <f>HYPERLINK("http://www.ncbi.nlm.nih.gov/Taxonomy/Browser/wwwtax.cgi?mode=Info&amp;id=391180&amp;lvl=3&amp;lin=f&amp;keep=1&amp;srchmode=1&amp;unlock","391180")</f>
        <v>391180</v>
      </c>
      <c r="E54" t="s">
        <v>18</v>
      </c>
      <c r="F54" t="s">
        <v>18</v>
      </c>
      <c r="G54" t="str">
        <f>HYPERLINK("http://www.ncbi.nlm.nih.gov/Taxonomy/Browser/wwwtax.cgi?mode=Info&amp;id=391180&amp;lvl=3&amp;lin=f&amp;keep=1&amp;srchmode=1&amp;unlock","Enhydra lutris kenyoni")</f>
        <v>Enhydra lutris kenyoni</v>
      </c>
      <c r="H54" t="s">
        <v>71</v>
      </c>
      <c r="I54" t="str">
        <f>HYPERLINK("http://www.ncbi.nlm.nih.gov/protein/XP_022380163.1","androgen receptor")</f>
        <v>androgen receptor</v>
      </c>
      <c r="J54" t="s">
        <v>1261</v>
      </c>
      <c r="K54">
        <v>514.23</v>
      </c>
      <c r="L54" t="s">
        <v>20</v>
      </c>
      <c r="M54">
        <v>157</v>
      </c>
      <c r="N54">
        <v>62.55</v>
      </c>
      <c r="O54">
        <v>100</v>
      </c>
      <c r="P54" t="s">
        <v>20</v>
      </c>
      <c r="Q54" t="s">
        <v>1262</v>
      </c>
      <c r="R54" t="s">
        <v>20</v>
      </c>
      <c r="S54" t="str">
        <f>HYPERLINK("https://cfpub.epa.gov/ecotox/explore.cfm?ncbi=391180","Explore in ECOTOX")</f>
        <v>Explore in ECOTOX</v>
      </c>
    </row>
    <row r="55" spans="1:19" x14ac:dyDescent="0.25">
      <c r="A55">
        <v>6</v>
      </c>
      <c r="B55" t="str">
        <f>HYPERLINK("http://www.ncbi.nlm.nih.gov/protein/NP_001182653.1","NP_001182653.1")</f>
        <v>NP_001182653.1</v>
      </c>
      <c r="C55">
        <v>52342</v>
      </c>
      <c r="D55" t="str">
        <f>HYPERLINK("http://www.ncbi.nlm.nih.gov/Taxonomy/Browser/wwwtax.cgi?mode=Info&amp;id=9986&amp;lvl=3&amp;lin=f&amp;keep=1&amp;srchmode=1&amp;unlock","9986")</f>
        <v>9986</v>
      </c>
      <c r="E55" t="s">
        <v>18</v>
      </c>
      <c r="F55" t="s">
        <v>18</v>
      </c>
      <c r="G55" t="str">
        <f>HYPERLINK("http://www.ncbi.nlm.nih.gov/Taxonomy/Browser/wwwtax.cgi?mode=Info&amp;id=9986&amp;lvl=3&amp;lin=f&amp;keep=1&amp;srchmode=1&amp;unlock","Oryctolagus cuniculus")</f>
        <v>Oryctolagus cuniculus</v>
      </c>
      <c r="H55" t="s">
        <v>183</v>
      </c>
      <c r="I55" t="str">
        <f>HYPERLINK("http://www.ncbi.nlm.nih.gov/protein/NP_001182653.1","androgen receptor")</f>
        <v>androgen receptor</v>
      </c>
      <c r="J55" t="s">
        <v>1261</v>
      </c>
      <c r="K55">
        <v>514.23</v>
      </c>
      <c r="L55" t="s">
        <v>20</v>
      </c>
      <c r="M55">
        <v>157</v>
      </c>
      <c r="N55">
        <v>62.55</v>
      </c>
      <c r="O55">
        <v>100</v>
      </c>
      <c r="P55" t="s">
        <v>20</v>
      </c>
      <c r="Q55" t="s">
        <v>1262</v>
      </c>
      <c r="R55" t="s">
        <v>20</v>
      </c>
      <c r="S55" t="str">
        <f>HYPERLINK("https://cfpub.epa.gov/ecotox/explore.cfm?ncbi=9986","Explore in ECOTOX")</f>
        <v>Explore in ECOTOX</v>
      </c>
    </row>
    <row r="56" spans="1:19" x14ac:dyDescent="0.25">
      <c r="A56">
        <v>6</v>
      </c>
      <c r="B56" t="str">
        <f>HYPERLINK("http://www.ncbi.nlm.nih.gov/protein/XP_028378974.1","XP_028378974.1")</f>
        <v>XP_028378974.1</v>
      </c>
      <c r="C56">
        <v>107564</v>
      </c>
      <c r="D56" t="str">
        <f>HYPERLINK("http://www.ncbi.nlm.nih.gov/Taxonomy/Browser/wwwtax.cgi?mode=Info&amp;id=89673&amp;lvl=3&amp;lin=f&amp;keep=1&amp;srchmode=1&amp;unlock","89673")</f>
        <v>89673</v>
      </c>
      <c r="E56" t="s">
        <v>18</v>
      </c>
      <c r="F56" t="s">
        <v>18</v>
      </c>
      <c r="G56" t="str">
        <f>HYPERLINK("http://www.ncbi.nlm.nih.gov/Taxonomy/Browser/wwwtax.cgi?mode=Info&amp;id=89673&amp;lvl=3&amp;lin=f&amp;keep=1&amp;srchmode=1&amp;unlock","Phyllostomus discolor")</f>
        <v>Phyllostomus discolor</v>
      </c>
      <c r="H56" t="s">
        <v>98</v>
      </c>
      <c r="I56" t="str">
        <f>HYPERLINK("http://www.ncbi.nlm.nih.gov/protein/XP_028378974.1","androgen receptor")</f>
        <v>androgen receptor</v>
      </c>
      <c r="J56" t="s">
        <v>1261</v>
      </c>
      <c r="K56">
        <v>514.23</v>
      </c>
      <c r="L56" t="s">
        <v>20</v>
      </c>
      <c r="M56">
        <v>157</v>
      </c>
      <c r="N56">
        <v>62.55</v>
      </c>
      <c r="O56">
        <v>100</v>
      </c>
      <c r="P56" t="s">
        <v>20</v>
      </c>
      <c r="Q56" t="s">
        <v>1262</v>
      </c>
      <c r="R56" t="s">
        <v>20</v>
      </c>
      <c r="S56" t="str">
        <f>HYPERLINK("https://cfpub.epa.gov/ecotox/explore.cfm?ncbi=89673","Explore in ECOTOX")</f>
        <v>Explore in ECOTOX</v>
      </c>
    </row>
    <row r="57" spans="1:19" x14ac:dyDescent="0.25">
      <c r="A57">
        <v>6</v>
      </c>
      <c r="B57" t="str">
        <f>HYPERLINK("http://www.ncbi.nlm.nih.gov/protein/XP_026341601.1","XP_026341601.1")</f>
        <v>XP_026341601.1</v>
      </c>
      <c r="C57">
        <v>43159</v>
      </c>
      <c r="D57" t="str">
        <f>HYPERLINK("http://www.ncbi.nlm.nih.gov/Taxonomy/Browser/wwwtax.cgi?mode=Info&amp;id=116960&amp;lvl=3&amp;lin=f&amp;keep=1&amp;srchmode=1&amp;unlock","116960")</f>
        <v>116960</v>
      </c>
      <c r="E57" t="s">
        <v>18</v>
      </c>
      <c r="F57" t="s">
        <v>18</v>
      </c>
      <c r="G57" t="str">
        <f>HYPERLINK("http://www.ncbi.nlm.nih.gov/Taxonomy/Browser/wwwtax.cgi?mode=Info&amp;id=116960&amp;lvl=3&amp;lin=f&amp;keep=1&amp;srchmode=1&amp;unlock","Ursus arctos horribilis")</f>
        <v>Ursus arctos horribilis</v>
      </c>
      <c r="H57" t="s">
        <v>45</v>
      </c>
      <c r="I57" t="str">
        <f>HYPERLINK("http://www.ncbi.nlm.nih.gov/protein/XP_026341601.1","androgen receptor")</f>
        <v>androgen receptor</v>
      </c>
      <c r="J57" t="s">
        <v>1261</v>
      </c>
      <c r="K57">
        <v>514.23</v>
      </c>
      <c r="L57" t="s">
        <v>20</v>
      </c>
      <c r="M57">
        <v>157</v>
      </c>
      <c r="N57">
        <v>62.55</v>
      </c>
      <c r="O57">
        <v>100</v>
      </c>
      <c r="P57" t="s">
        <v>20</v>
      </c>
      <c r="Q57" t="s">
        <v>1262</v>
      </c>
      <c r="R57" t="s">
        <v>20</v>
      </c>
      <c r="S57" t="str">
        <f>HYPERLINK("https://cfpub.epa.gov/ecotox/explore.cfm?ncbi=116960","Explore in ECOTOX")</f>
        <v>Explore in ECOTOX</v>
      </c>
    </row>
    <row r="58" spans="1:19" x14ac:dyDescent="0.25">
      <c r="A58">
        <v>6</v>
      </c>
      <c r="B58" t="str">
        <f>HYPERLINK("http://www.ncbi.nlm.nih.gov/protein/XP_008842588.1","XP_008842588.1")</f>
        <v>XP_008842588.1</v>
      </c>
      <c r="C58">
        <v>49440</v>
      </c>
      <c r="D58" t="str">
        <f>HYPERLINK("http://www.ncbi.nlm.nih.gov/Taxonomy/Browser/wwwtax.cgi?mode=Info&amp;id=1026970&amp;lvl=3&amp;lin=f&amp;keep=1&amp;srchmode=1&amp;unlock","1026970")</f>
        <v>1026970</v>
      </c>
      <c r="E58" t="s">
        <v>18</v>
      </c>
      <c r="F58" t="s">
        <v>18</v>
      </c>
      <c r="G58" t="str">
        <f>HYPERLINK("http://www.ncbi.nlm.nih.gov/Taxonomy/Browser/wwwtax.cgi?mode=Info&amp;id=1026970&amp;lvl=3&amp;lin=f&amp;keep=1&amp;srchmode=1&amp;unlock","Nannospalax galili")</f>
        <v>Nannospalax galili</v>
      </c>
      <c r="H58" t="s">
        <v>102</v>
      </c>
      <c r="I58" t="str">
        <f>HYPERLINK("http://www.ncbi.nlm.nih.gov/protein/XP_008842588.1","androgen receptor")</f>
        <v>androgen receptor</v>
      </c>
      <c r="J58" t="s">
        <v>1261</v>
      </c>
      <c r="K58">
        <v>514.23</v>
      </c>
      <c r="L58" t="s">
        <v>20</v>
      </c>
      <c r="M58">
        <v>157</v>
      </c>
      <c r="N58">
        <v>62.55</v>
      </c>
      <c r="O58">
        <v>100</v>
      </c>
      <c r="P58" t="s">
        <v>20</v>
      </c>
      <c r="Q58" t="s">
        <v>1262</v>
      </c>
      <c r="R58" t="s">
        <v>20</v>
      </c>
      <c r="S58" t="str">
        <f>HYPERLINK("https://cfpub.epa.gov/ecotox/explore.cfm?ncbi=1026970","Explore in ECOTOX")</f>
        <v>Explore in ECOTOX</v>
      </c>
    </row>
    <row r="59" spans="1:19" x14ac:dyDescent="0.25">
      <c r="A59">
        <v>6</v>
      </c>
      <c r="B59" t="str">
        <f>HYPERLINK("http://www.ncbi.nlm.nih.gov/protein/NP_001295513.1","NP_001295513.1")</f>
        <v>NP_001295513.1</v>
      </c>
      <c r="C59">
        <v>73093</v>
      </c>
      <c r="D59" t="str">
        <f>HYPERLINK("http://www.ncbi.nlm.nih.gov/Taxonomy/Browser/wwwtax.cgi?mode=Info&amp;id=9940&amp;lvl=3&amp;lin=f&amp;keep=1&amp;srchmode=1&amp;unlock","9940")</f>
        <v>9940</v>
      </c>
      <c r="E59" t="s">
        <v>18</v>
      </c>
      <c r="F59" t="s">
        <v>18</v>
      </c>
      <c r="G59" t="str">
        <f>HYPERLINK("http://www.ncbi.nlm.nih.gov/Taxonomy/Browser/wwwtax.cgi?mode=Info&amp;id=9940&amp;lvl=3&amp;lin=f&amp;keep=1&amp;srchmode=1&amp;unlock","Ovis aries")</f>
        <v>Ovis aries</v>
      </c>
      <c r="H59" t="s">
        <v>129</v>
      </c>
      <c r="I59" t="str">
        <f>HYPERLINK("http://www.ncbi.nlm.nih.gov/protein/NP_001295513.1","androgen receptor")</f>
        <v>androgen receptor</v>
      </c>
      <c r="J59" t="s">
        <v>1261</v>
      </c>
      <c r="K59">
        <v>514.23</v>
      </c>
      <c r="L59" t="s">
        <v>20</v>
      </c>
      <c r="M59">
        <v>157</v>
      </c>
      <c r="N59">
        <v>62.55</v>
      </c>
      <c r="O59">
        <v>100</v>
      </c>
      <c r="P59" t="s">
        <v>20</v>
      </c>
      <c r="Q59" t="s">
        <v>1262</v>
      </c>
      <c r="R59" t="s">
        <v>20</v>
      </c>
      <c r="S59" t="str">
        <f>HYPERLINK("https://cfpub.epa.gov/ecotox/explore.cfm?ncbi=9940","Explore in ECOTOX")</f>
        <v>Explore in ECOTOX</v>
      </c>
    </row>
    <row r="60" spans="1:19" x14ac:dyDescent="0.25">
      <c r="A60">
        <v>6</v>
      </c>
      <c r="B60" t="str">
        <f>HYPERLINK("http://www.ncbi.nlm.nih.gov/protein/XP_029785952.1","XP_029785952.1")</f>
        <v>XP_029785952.1</v>
      </c>
      <c r="C60">
        <v>43355</v>
      </c>
      <c r="D60" t="str">
        <f>HYPERLINK("http://www.ncbi.nlm.nih.gov/Taxonomy/Browser/wwwtax.cgi?mode=Info&amp;id=37032&amp;lvl=3&amp;lin=f&amp;keep=1&amp;srchmode=1&amp;unlock","37032")</f>
        <v>37032</v>
      </c>
      <c r="E60" t="s">
        <v>18</v>
      </c>
      <c r="F60" t="s">
        <v>18</v>
      </c>
      <c r="G60" t="str">
        <f>HYPERLINK("http://www.ncbi.nlm.nih.gov/Taxonomy/Browser/wwwtax.cgi?mode=Info&amp;id=37032&amp;lvl=3&amp;lin=f&amp;keep=1&amp;srchmode=1&amp;unlock","Suricata suricatta")</f>
        <v>Suricata suricatta</v>
      </c>
      <c r="H60" t="s">
        <v>57</v>
      </c>
      <c r="I60" t="str">
        <f>HYPERLINK("http://www.ncbi.nlm.nih.gov/protein/XP_029785952.1","androgen receptor isoform X1")</f>
        <v>androgen receptor isoform X1</v>
      </c>
      <c r="J60" t="s">
        <v>1261</v>
      </c>
      <c r="K60">
        <v>514.23</v>
      </c>
      <c r="L60" t="s">
        <v>20</v>
      </c>
      <c r="M60">
        <v>157</v>
      </c>
      <c r="N60">
        <v>62.55</v>
      </c>
      <c r="O60">
        <v>100</v>
      </c>
      <c r="P60" t="s">
        <v>20</v>
      </c>
      <c r="Q60" t="s">
        <v>1262</v>
      </c>
      <c r="R60" t="s">
        <v>20</v>
      </c>
      <c r="S60" t="str">
        <f>HYPERLINK("https://cfpub.epa.gov/ecotox/explore.cfm?ncbi=37032","Explore in ECOTOX")</f>
        <v>Explore in ECOTOX</v>
      </c>
    </row>
    <row r="61" spans="1:19" x14ac:dyDescent="0.25">
      <c r="A61">
        <v>6</v>
      </c>
      <c r="B61" t="str">
        <f>HYPERLINK("http://www.ncbi.nlm.nih.gov/protein/AUM57183.1","AUM57183.1")</f>
        <v>AUM57183.1</v>
      </c>
      <c r="C61">
        <v>241</v>
      </c>
      <c r="D61" t="str">
        <f>HYPERLINK("http://www.ncbi.nlm.nih.gov/Taxonomy/Browser/wwwtax.cgi?mode=Info&amp;id=68408&amp;lvl=3&amp;lin=f&amp;keep=1&amp;srchmode=1&amp;unlock","68408")</f>
        <v>68408</v>
      </c>
      <c r="E61" t="s">
        <v>18</v>
      </c>
      <c r="F61" t="s">
        <v>18</v>
      </c>
      <c r="G61" t="str">
        <f>HYPERLINK("http://www.ncbi.nlm.nih.gov/Taxonomy/Browser/wwwtax.cgi?mode=Info&amp;id=68408&amp;lvl=3&amp;lin=f&amp;keep=1&amp;srchmode=1&amp;unlock","Moschus berezovskii")</f>
        <v>Moschus berezovskii</v>
      </c>
      <c r="H61" t="s">
        <v>968</v>
      </c>
      <c r="I61" t="str">
        <f>HYPERLINK("http://www.ncbi.nlm.nih.gov/protein/AUM57183.1","androgen receptor")</f>
        <v>androgen receptor</v>
      </c>
      <c r="J61" t="s">
        <v>1261</v>
      </c>
      <c r="K61">
        <v>514.23</v>
      </c>
      <c r="L61" t="s">
        <v>20</v>
      </c>
      <c r="M61">
        <v>157</v>
      </c>
      <c r="N61">
        <v>62.55</v>
      </c>
      <c r="O61">
        <v>100</v>
      </c>
      <c r="P61" t="s">
        <v>20</v>
      </c>
      <c r="Q61" t="s">
        <v>1262</v>
      </c>
      <c r="R61" t="s">
        <v>20</v>
      </c>
      <c r="S61" t="str">
        <f>HYPERLINK("https://cfpub.epa.gov/ecotox/explore.cfm?ncbi=68408","Explore in ECOTOX")</f>
        <v>Explore in ECOTOX</v>
      </c>
    </row>
    <row r="62" spans="1:19" x14ac:dyDescent="0.25">
      <c r="A62">
        <v>6</v>
      </c>
      <c r="B62" t="str">
        <f>HYPERLINK("http://www.ncbi.nlm.nih.gov/protein/XP_040856903.1","XP_040856903.1")</f>
        <v>XP_040856903.1</v>
      </c>
      <c r="C62">
        <v>42386</v>
      </c>
      <c r="D62" t="str">
        <f>HYPERLINK("http://www.ncbi.nlm.nih.gov/Taxonomy/Browser/wwwtax.cgi?mode=Info&amp;id=130825&amp;lvl=3&amp;lin=f&amp;keep=1&amp;srchmode=1&amp;unlock","130825")</f>
        <v>130825</v>
      </c>
      <c r="E62" t="s">
        <v>18</v>
      </c>
      <c r="F62" t="s">
        <v>18</v>
      </c>
      <c r="G62" t="str">
        <f>HYPERLINK("http://www.ncbi.nlm.nih.gov/Taxonomy/Browser/wwwtax.cgi?mode=Info&amp;id=130825&amp;lvl=3&amp;lin=f&amp;keep=1&amp;srchmode=1&amp;unlock","Ochotona curzoniae")</f>
        <v>Ochotona curzoniae</v>
      </c>
      <c r="H62" t="s">
        <v>350</v>
      </c>
      <c r="I62" t="str">
        <f>HYPERLINK("http://www.ncbi.nlm.nih.gov/protein/XP_040856903.1","androgen receptor isoform X1")</f>
        <v>androgen receptor isoform X1</v>
      </c>
      <c r="J62" t="s">
        <v>1261</v>
      </c>
      <c r="K62">
        <v>514.23</v>
      </c>
      <c r="L62" t="s">
        <v>20</v>
      </c>
      <c r="M62">
        <v>157</v>
      </c>
      <c r="N62">
        <v>62.55</v>
      </c>
      <c r="O62">
        <v>100</v>
      </c>
      <c r="P62" t="s">
        <v>20</v>
      </c>
      <c r="Q62" t="s">
        <v>1262</v>
      </c>
      <c r="R62" t="s">
        <v>20</v>
      </c>
      <c r="S62" t="str">
        <f>HYPERLINK("https://cfpub.epa.gov/ecotox/explore.cfm?ncbi=130825","Explore in ECOTOX")</f>
        <v>Explore in ECOTOX</v>
      </c>
    </row>
    <row r="63" spans="1:19" x14ac:dyDescent="0.25">
      <c r="A63">
        <v>6</v>
      </c>
      <c r="B63" t="str">
        <f>HYPERLINK("http://www.ncbi.nlm.nih.gov/protein/XP_027791672.1","XP_027791672.1")</f>
        <v>XP_027791672.1</v>
      </c>
      <c r="C63">
        <v>37737</v>
      </c>
      <c r="D63" t="str">
        <f>HYPERLINK("http://www.ncbi.nlm.nih.gov/Taxonomy/Browser/wwwtax.cgi?mode=Info&amp;id=93162&amp;lvl=3&amp;lin=f&amp;keep=1&amp;srchmode=1&amp;unlock","93162")</f>
        <v>93162</v>
      </c>
      <c r="E63" t="s">
        <v>18</v>
      </c>
      <c r="F63" t="s">
        <v>18</v>
      </c>
      <c r="G63" t="str">
        <f>HYPERLINK("http://www.ncbi.nlm.nih.gov/Taxonomy/Browser/wwwtax.cgi?mode=Info&amp;id=93162&amp;lvl=3&amp;lin=f&amp;keep=1&amp;srchmode=1&amp;unlock","Marmota flaviventris")</f>
        <v>Marmota flaviventris</v>
      </c>
      <c r="H63" t="s">
        <v>76</v>
      </c>
      <c r="I63" t="str">
        <f>HYPERLINK("http://www.ncbi.nlm.nih.gov/protein/XP_027791672.1","androgen receptor")</f>
        <v>androgen receptor</v>
      </c>
      <c r="J63" t="s">
        <v>1261</v>
      </c>
      <c r="K63">
        <v>514.23</v>
      </c>
      <c r="L63" t="s">
        <v>20</v>
      </c>
      <c r="M63">
        <v>157</v>
      </c>
      <c r="N63">
        <v>62.55</v>
      </c>
      <c r="O63">
        <v>100</v>
      </c>
      <c r="P63" t="s">
        <v>20</v>
      </c>
      <c r="Q63" t="s">
        <v>1262</v>
      </c>
      <c r="R63" t="s">
        <v>20</v>
      </c>
      <c r="S63" t="str">
        <f>HYPERLINK("https://cfpub.epa.gov/ecotox/explore.cfm?ncbi=93162","Explore in ECOTOX")</f>
        <v>Explore in ECOTOX</v>
      </c>
    </row>
    <row r="64" spans="1:19" x14ac:dyDescent="0.25">
      <c r="A64">
        <v>6</v>
      </c>
      <c r="B64" t="str">
        <f>HYPERLINK("http://www.ncbi.nlm.nih.gov/protein/XP_004595261.1","XP_004595261.1")</f>
        <v>XP_004595261.1</v>
      </c>
      <c r="C64">
        <v>30035</v>
      </c>
      <c r="D64" t="str">
        <f>HYPERLINK("http://www.ncbi.nlm.nih.gov/Taxonomy/Browser/wwwtax.cgi?mode=Info&amp;id=9978&amp;lvl=3&amp;lin=f&amp;keep=1&amp;srchmode=1&amp;unlock","9978")</f>
        <v>9978</v>
      </c>
      <c r="E64" t="s">
        <v>18</v>
      </c>
      <c r="F64" t="s">
        <v>18</v>
      </c>
      <c r="G64" t="str">
        <f>HYPERLINK("http://www.ncbi.nlm.nih.gov/Taxonomy/Browser/wwwtax.cgi?mode=Info&amp;id=9978&amp;lvl=3&amp;lin=f&amp;keep=1&amp;srchmode=1&amp;unlock","Ochotona princeps")</f>
        <v>Ochotona princeps</v>
      </c>
      <c r="H64" t="s">
        <v>417</v>
      </c>
      <c r="I64" t="str">
        <f>HYPERLINK("http://www.ncbi.nlm.nih.gov/protein/XP_004595261.1","androgen receptor")</f>
        <v>androgen receptor</v>
      </c>
      <c r="J64" t="s">
        <v>1261</v>
      </c>
      <c r="K64">
        <v>514.23</v>
      </c>
      <c r="L64" t="s">
        <v>20</v>
      </c>
      <c r="M64">
        <v>157</v>
      </c>
      <c r="N64">
        <v>62.55</v>
      </c>
      <c r="O64">
        <v>100</v>
      </c>
      <c r="P64" t="s">
        <v>20</v>
      </c>
      <c r="Q64" t="s">
        <v>1262</v>
      </c>
      <c r="R64" t="s">
        <v>20</v>
      </c>
      <c r="S64" t="str">
        <f>HYPERLINK("https://cfpub.epa.gov/ecotox/explore.cfm?ncbi=9978","Explore in ECOTOX")</f>
        <v>Explore in ECOTOX</v>
      </c>
    </row>
    <row r="65" spans="1:19" x14ac:dyDescent="0.25">
      <c r="A65">
        <v>6</v>
      </c>
      <c r="B65" t="str">
        <f>HYPERLINK("http://www.ncbi.nlm.nih.gov/protein/XP_004000624.2","XP_004000624.2")</f>
        <v>XP_004000624.2</v>
      </c>
      <c r="C65">
        <v>57528</v>
      </c>
      <c r="D65" t="str">
        <f>HYPERLINK("http://www.ncbi.nlm.nih.gov/Taxonomy/Browser/wwwtax.cgi?mode=Info&amp;id=9685&amp;lvl=3&amp;lin=f&amp;keep=1&amp;srchmode=1&amp;unlock","9685")</f>
        <v>9685</v>
      </c>
      <c r="E65" t="s">
        <v>18</v>
      </c>
      <c r="F65" t="s">
        <v>18</v>
      </c>
      <c r="G65" t="str">
        <f>HYPERLINK("http://www.ncbi.nlm.nih.gov/Taxonomy/Browser/wwwtax.cgi?mode=Info&amp;id=9685&amp;lvl=3&amp;lin=f&amp;keep=1&amp;srchmode=1&amp;unlock","Felis catus")</f>
        <v>Felis catus</v>
      </c>
      <c r="H65" t="s">
        <v>60</v>
      </c>
      <c r="I65" t="str">
        <f>HYPERLINK("http://www.ncbi.nlm.nih.gov/protein/XP_004000624.2","androgen receptor isoform X1")</f>
        <v>androgen receptor isoform X1</v>
      </c>
      <c r="J65" t="s">
        <v>1261</v>
      </c>
      <c r="K65">
        <v>514.23</v>
      </c>
      <c r="L65" t="s">
        <v>20</v>
      </c>
      <c r="M65">
        <v>157</v>
      </c>
      <c r="N65">
        <v>62.55</v>
      </c>
      <c r="O65">
        <v>100</v>
      </c>
      <c r="P65" t="s">
        <v>20</v>
      </c>
      <c r="Q65" t="s">
        <v>1262</v>
      </c>
      <c r="R65" t="s">
        <v>20</v>
      </c>
      <c r="S65" t="str">
        <f>HYPERLINK("https://cfpub.epa.gov/ecotox/explore.cfm?ncbi=9685","Explore in ECOTOX")</f>
        <v>Explore in ECOTOX</v>
      </c>
    </row>
    <row r="66" spans="1:19" x14ac:dyDescent="0.25">
      <c r="A66">
        <v>6</v>
      </c>
      <c r="B66" t="str">
        <f>HYPERLINK("http://www.ncbi.nlm.nih.gov/protein/Q9GKL7.3","Q9GKL7.3")</f>
        <v>Q9GKL7.3</v>
      </c>
      <c r="C66">
        <v>83623</v>
      </c>
      <c r="D66" t="str">
        <f>HYPERLINK("http://www.ncbi.nlm.nih.gov/Taxonomy/Browser/wwwtax.cgi?mode=Info&amp;id=9823&amp;lvl=3&amp;lin=f&amp;keep=1&amp;srchmode=1&amp;unlock","9823")</f>
        <v>9823</v>
      </c>
      <c r="E66" t="s">
        <v>18</v>
      </c>
      <c r="F66" t="s">
        <v>18</v>
      </c>
      <c r="G66" t="str">
        <f>HYPERLINK("http://www.ncbi.nlm.nih.gov/Taxonomy/Browser/wwwtax.cgi?mode=Info&amp;id=9823&amp;lvl=3&amp;lin=f&amp;keep=1&amp;srchmode=1&amp;unlock","Sus scrofa")</f>
        <v>Sus scrofa</v>
      </c>
      <c r="H66" t="s">
        <v>55</v>
      </c>
      <c r="I66" t="str">
        <f>HYPERLINK("http://www.ncbi.nlm.nih.gov/protein/Q9GKL7.3","RecName: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66" t="s">
        <v>1261</v>
      </c>
      <c r="K66">
        <v>514.23</v>
      </c>
      <c r="L66" t="s">
        <v>20</v>
      </c>
      <c r="M66">
        <v>157</v>
      </c>
      <c r="N66">
        <v>62.55</v>
      </c>
      <c r="O66">
        <v>100</v>
      </c>
      <c r="P66" t="s">
        <v>20</v>
      </c>
      <c r="Q66" t="s">
        <v>1262</v>
      </c>
      <c r="R66" t="s">
        <v>20</v>
      </c>
      <c r="S66" t="str">
        <f>HYPERLINK("https://cfpub.epa.gov/ecotox/explore.cfm?ncbi=9823","Explore in ECOTOX")</f>
        <v>Explore in ECOTOX</v>
      </c>
    </row>
    <row r="67" spans="1:19" x14ac:dyDescent="0.25">
      <c r="A67">
        <v>6</v>
      </c>
      <c r="B67" t="str">
        <f>HYPERLINK("http://www.ncbi.nlm.nih.gov/protein/XP_036126901.1","XP_036126901.1")</f>
        <v>XP_036126901.1</v>
      </c>
      <c r="C67">
        <v>96162</v>
      </c>
      <c r="D67" t="str">
        <f>HYPERLINK("http://www.ncbi.nlm.nih.gov/Taxonomy/Browser/wwwtax.cgi?mode=Info&amp;id=27622&amp;lvl=3&amp;lin=f&amp;keep=1&amp;srchmode=1&amp;unlock","27622")</f>
        <v>27622</v>
      </c>
      <c r="E67" t="s">
        <v>18</v>
      </c>
      <c r="F67" t="s">
        <v>18</v>
      </c>
      <c r="G67" t="str">
        <f>HYPERLINK("http://www.ncbi.nlm.nih.gov/Taxonomy/Browser/wwwtax.cgi?mode=Info&amp;id=27622&amp;lvl=3&amp;lin=f&amp;keep=1&amp;srchmode=1&amp;unlock","Molossus molossus")</f>
        <v>Molossus molossus</v>
      </c>
      <c r="H67" t="s">
        <v>112</v>
      </c>
      <c r="I67" t="str">
        <f>HYPERLINK("http://www.ncbi.nlm.nih.gov/protein/XP_036126901.1","androgen receptor isoform X2")</f>
        <v>androgen receptor isoform X2</v>
      </c>
      <c r="J67" t="s">
        <v>1261</v>
      </c>
      <c r="K67">
        <v>514.23</v>
      </c>
      <c r="L67" t="s">
        <v>20</v>
      </c>
      <c r="M67">
        <v>157</v>
      </c>
      <c r="N67">
        <v>62.55</v>
      </c>
      <c r="O67">
        <v>100</v>
      </c>
      <c r="P67" t="s">
        <v>20</v>
      </c>
      <c r="Q67" t="s">
        <v>1262</v>
      </c>
      <c r="R67" t="s">
        <v>20</v>
      </c>
      <c r="S67" t="str">
        <f>HYPERLINK("https://cfpub.epa.gov/ecotox/explore.cfm?ncbi=27622","Explore in ECOTOX")</f>
        <v>Explore in ECOTOX</v>
      </c>
    </row>
    <row r="68" spans="1:19" x14ac:dyDescent="0.25">
      <c r="A68">
        <v>6</v>
      </c>
      <c r="B68" t="str">
        <f>HYPERLINK("http://www.ncbi.nlm.nih.gov/protein/XP_019284124.1","XP_019284124.1")</f>
        <v>XP_019284124.1</v>
      </c>
      <c r="C68">
        <v>58570</v>
      </c>
      <c r="D68" t="str">
        <f>HYPERLINK("http://www.ncbi.nlm.nih.gov/Taxonomy/Browser/wwwtax.cgi?mode=Info&amp;id=9691&amp;lvl=3&amp;lin=f&amp;keep=1&amp;srchmode=1&amp;unlock","9691")</f>
        <v>9691</v>
      </c>
      <c r="E68" t="s">
        <v>18</v>
      </c>
      <c r="F68" t="s">
        <v>18</v>
      </c>
      <c r="G68" t="str">
        <f>HYPERLINK("http://www.ncbi.nlm.nih.gov/Taxonomy/Browser/wwwtax.cgi?mode=Info&amp;id=9691&amp;lvl=3&amp;lin=f&amp;keep=1&amp;srchmode=1&amp;unlock","Panthera pardus")</f>
        <v>Panthera pardus</v>
      </c>
      <c r="H68" t="s">
        <v>75</v>
      </c>
      <c r="I68" t="str">
        <f>HYPERLINK("http://www.ncbi.nlm.nih.gov/protein/XP_019284124.1","PREDICTED: androgen receptor isoform X1")</f>
        <v>PREDICTED: androgen receptor isoform X1</v>
      </c>
      <c r="J68" t="s">
        <v>1261</v>
      </c>
      <c r="K68">
        <v>514.23</v>
      </c>
      <c r="L68" t="s">
        <v>20</v>
      </c>
      <c r="M68">
        <v>157</v>
      </c>
      <c r="N68">
        <v>62.55</v>
      </c>
      <c r="O68">
        <v>100</v>
      </c>
      <c r="P68" t="s">
        <v>20</v>
      </c>
      <c r="Q68" t="s">
        <v>1262</v>
      </c>
      <c r="R68" t="s">
        <v>20</v>
      </c>
      <c r="S68" t="str">
        <f>HYPERLINK("https://cfpub.epa.gov/ecotox/explore.cfm?ncbi=9691","Explore in ECOTOX")</f>
        <v>Explore in ECOTOX</v>
      </c>
    </row>
    <row r="69" spans="1:19" x14ac:dyDescent="0.25">
      <c r="A69">
        <v>6</v>
      </c>
      <c r="B69" t="str">
        <f>HYPERLINK("http://www.ncbi.nlm.nih.gov/protein/XP_005335252.1","XP_005335252.1")</f>
        <v>XP_005335252.1</v>
      </c>
      <c r="C69">
        <v>94507</v>
      </c>
      <c r="D69" t="str">
        <f>HYPERLINK("http://www.ncbi.nlm.nih.gov/Taxonomy/Browser/wwwtax.cgi?mode=Info&amp;id=43179&amp;lvl=3&amp;lin=f&amp;keep=1&amp;srchmode=1&amp;unlock","43179")</f>
        <v>43179</v>
      </c>
      <c r="E69" t="s">
        <v>18</v>
      </c>
      <c r="F69" t="s">
        <v>18</v>
      </c>
      <c r="G69" t="str">
        <f>HYPERLINK("http://www.ncbi.nlm.nih.gov/Taxonomy/Browser/wwwtax.cgi?mode=Info&amp;id=43179&amp;lvl=3&amp;lin=f&amp;keep=1&amp;srchmode=1&amp;unlock","Ictidomys tridecemlineatus")</f>
        <v>Ictidomys tridecemlineatus</v>
      </c>
      <c r="H69" t="s">
        <v>78</v>
      </c>
      <c r="I69" t="str">
        <f>HYPERLINK("http://www.ncbi.nlm.nih.gov/protein/XP_005335252.1","androgen receptor")</f>
        <v>androgen receptor</v>
      </c>
      <c r="J69" t="s">
        <v>1261</v>
      </c>
      <c r="K69">
        <v>514.23</v>
      </c>
      <c r="L69" t="s">
        <v>20</v>
      </c>
      <c r="M69">
        <v>157</v>
      </c>
      <c r="N69">
        <v>62.55</v>
      </c>
      <c r="O69">
        <v>100</v>
      </c>
      <c r="P69" t="s">
        <v>20</v>
      </c>
      <c r="Q69" t="s">
        <v>1262</v>
      </c>
      <c r="R69" t="s">
        <v>20</v>
      </c>
      <c r="S69" t="str">
        <f>HYPERLINK("https://cfpub.epa.gov/ecotox/explore.cfm?ncbi=43179","Explore in ECOTOX")</f>
        <v>Explore in ECOTOX</v>
      </c>
    </row>
    <row r="70" spans="1:19" x14ac:dyDescent="0.25">
      <c r="A70">
        <v>6</v>
      </c>
      <c r="B70" t="str">
        <f>HYPERLINK("http://www.ncbi.nlm.nih.gov/protein/XP_034341416.1","XP_034341416.1")</f>
        <v>XP_034341416.1</v>
      </c>
      <c r="C70">
        <v>41675</v>
      </c>
      <c r="D70" t="str">
        <f>HYPERLINK("http://www.ncbi.nlm.nih.gov/Taxonomy/Browser/wwwtax.cgi?mode=Info&amp;id=61156&amp;lvl=3&amp;lin=f&amp;keep=1&amp;srchmode=1&amp;unlock","61156")</f>
        <v>61156</v>
      </c>
      <c r="E70" t="s">
        <v>18</v>
      </c>
      <c r="F70" t="s">
        <v>18</v>
      </c>
      <c r="G70" t="str">
        <f>HYPERLINK("http://www.ncbi.nlm.nih.gov/Taxonomy/Browser/wwwtax.cgi?mode=Info&amp;id=61156&amp;lvl=3&amp;lin=f&amp;keep=1&amp;srchmode=1&amp;unlock","Arvicanthis niloticus")</f>
        <v>Arvicanthis niloticus</v>
      </c>
      <c r="H70" t="s">
        <v>130</v>
      </c>
      <c r="I70" t="str">
        <f>HYPERLINK("http://www.ncbi.nlm.nih.gov/protein/XP_034341416.1","androgen receptor")</f>
        <v>androgen receptor</v>
      </c>
      <c r="J70" t="s">
        <v>1261</v>
      </c>
      <c r="K70">
        <v>514.23</v>
      </c>
      <c r="L70" t="s">
        <v>20</v>
      </c>
      <c r="M70">
        <v>157</v>
      </c>
      <c r="N70">
        <v>62.55</v>
      </c>
      <c r="O70">
        <v>100</v>
      </c>
      <c r="P70" t="s">
        <v>20</v>
      </c>
      <c r="Q70" t="s">
        <v>1262</v>
      </c>
      <c r="R70" t="s">
        <v>20</v>
      </c>
      <c r="S70" t="str">
        <f>HYPERLINK("https://cfpub.epa.gov/ecotox/explore.cfm?ncbi=61156","Explore in ECOTOX")</f>
        <v>Explore in ECOTOX</v>
      </c>
    </row>
    <row r="71" spans="1:19" x14ac:dyDescent="0.25">
      <c r="A71">
        <v>6</v>
      </c>
      <c r="B71" t="str">
        <f>HYPERLINK("http://www.ncbi.nlm.nih.gov/protein/XP_032969878.1","XP_032969878.1")</f>
        <v>XP_032969878.1</v>
      </c>
      <c r="C71">
        <v>90503</v>
      </c>
      <c r="D71" t="str">
        <f>HYPERLINK("http://www.ncbi.nlm.nih.gov/Taxonomy/Browser/wwwtax.cgi?mode=Info&amp;id=59479&amp;lvl=3&amp;lin=f&amp;keep=1&amp;srchmode=1&amp;unlock","59479")</f>
        <v>59479</v>
      </c>
      <c r="E71" t="s">
        <v>18</v>
      </c>
      <c r="F71" t="s">
        <v>18</v>
      </c>
      <c r="G71" t="str">
        <f>HYPERLINK("http://www.ncbi.nlm.nih.gov/Taxonomy/Browser/wwwtax.cgi?mode=Info&amp;id=59479&amp;lvl=3&amp;lin=f&amp;keep=1&amp;srchmode=1&amp;unlock","Rhinolophus ferrumequinum")</f>
        <v>Rhinolophus ferrumequinum</v>
      </c>
      <c r="H71" t="s">
        <v>89</v>
      </c>
      <c r="I71" t="str">
        <f>HYPERLINK("http://www.ncbi.nlm.nih.gov/protein/XP_032969878.1","androgen receptor")</f>
        <v>androgen receptor</v>
      </c>
      <c r="J71" t="s">
        <v>1261</v>
      </c>
      <c r="K71">
        <v>514.23</v>
      </c>
      <c r="L71" t="s">
        <v>20</v>
      </c>
      <c r="M71">
        <v>157</v>
      </c>
      <c r="N71">
        <v>62.55</v>
      </c>
      <c r="O71">
        <v>100</v>
      </c>
      <c r="P71" t="s">
        <v>20</v>
      </c>
      <c r="Q71" t="s">
        <v>1262</v>
      </c>
      <c r="R71" t="s">
        <v>20</v>
      </c>
      <c r="S71" t="str">
        <f>HYPERLINK("https://cfpub.epa.gov/ecotox/explore.cfm?ncbi=59479","Explore in ECOTOX")</f>
        <v>Explore in ECOTOX</v>
      </c>
    </row>
    <row r="72" spans="1:19" x14ac:dyDescent="0.25">
      <c r="A72">
        <v>6</v>
      </c>
      <c r="B72" t="str">
        <f>HYPERLINK("http://www.ncbi.nlm.nih.gov/protein/XP_003412790.1","XP_003412790.1")</f>
        <v>XP_003412790.1</v>
      </c>
      <c r="C72">
        <v>41920</v>
      </c>
      <c r="D72" t="str">
        <f>HYPERLINK("http://www.ncbi.nlm.nih.gov/Taxonomy/Browser/wwwtax.cgi?mode=Info&amp;id=9785&amp;lvl=3&amp;lin=f&amp;keep=1&amp;srchmode=1&amp;unlock","9785")</f>
        <v>9785</v>
      </c>
      <c r="E72" t="s">
        <v>18</v>
      </c>
      <c r="F72" t="s">
        <v>18</v>
      </c>
      <c r="G72" t="str">
        <f>HYPERLINK("http://www.ncbi.nlm.nih.gov/Taxonomy/Browser/wwwtax.cgi?mode=Info&amp;id=9785&amp;lvl=3&amp;lin=f&amp;keep=1&amp;srchmode=1&amp;unlock","Loxodonta africana")</f>
        <v>Loxodonta africana</v>
      </c>
      <c r="H72" t="s">
        <v>120</v>
      </c>
      <c r="I72" t="str">
        <f>HYPERLINK("http://www.ncbi.nlm.nih.gov/protein/XP_003412790.1","androgen receptor isoform X1")</f>
        <v>androgen receptor isoform X1</v>
      </c>
      <c r="J72" t="s">
        <v>1261</v>
      </c>
      <c r="K72">
        <v>514.23</v>
      </c>
      <c r="L72" t="s">
        <v>20</v>
      </c>
      <c r="M72">
        <v>157</v>
      </c>
      <c r="N72">
        <v>62.55</v>
      </c>
      <c r="O72">
        <v>100</v>
      </c>
      <c r="P72" t="s">
        <v>20</v>
      </c>
      <c r="Q72" t="s">
        <v>1262</v>
      </c>
      <c r="R72" t="s">
        <v>20</v>
      </c>
      <c r="S72" t="str">
        <f>HYPERLINK("https://cfpub.epa.gov/ecotox/explore.cfm?ncbi=9785","Explore in ECOTOX")</f>
        <v>Explore in ECOTOX</v>
      </c>
    </row>
    <row r="73" spans="1:19" x14ac:dyDescent="0.25">
      <c r="A73">
        <v>6</v>
      </c>
      <c r="B73" t="str">
        <f>HYPERLINK("http://www.ncbi.nlm.nih.gov/protein/XP_039079782.1","XP_039079782.1")</f>
        <v>XP_039079782.1</v>
      </c>
      <c r="C73">
        <v>41430</v>
      </c>
      <c r="D73" t="str">
        <f>HYPERLINK("http://www.ncbi.nlm.nih.gov/Taxonomy/Browser/wwwtax.cgi?mode=Info&amp;id=95912&amp;lvl=3&amp;lin=f&amp;keep=1&amp;srchmode=1&amp;unlock","95912")</f>
        <v>95912</v>
      </c>
      <c r="E73" t="s">
        <v>18</v>
      </c>
      <c r="F73" t="s">
        <v>18</v>
      </c>
      <c r="G73" t="str">
        <f>HYPERLINK("http://www.ncbi.nlm.nih.gov/Taxonomy/Browser/wwwtax.cgi?mode=Info&amp;id=95912&amp;lvl=3&amp;lin=f&amp;keep=1&amp;srchmode=1&amp;unlock","Hyaena hyaena")</f>
        <v>Hyaena hyaena</v>
      </c>
      <c r="H73" t="s">
        <v>44</v>
      </c>
      <c r="I73" t="str">
        <f>HYPERLINK("http://www.ncbi.nlm.nih.gov/protein/XP_039079782.1","androgen receptor")</f>
        <v>androgen receptor</v>
      </c>
      <c r="J73" t="s">
        <v>1261</v>
      </c>
      <c r="K73">
        <v>514.23</v>
      </c>
      <c r="L73" t="s">
        <v>20</v>
      </c>
      <c r="M73">
        <v>157</v>
      </c>
      <c r="N73">
        <v>62.55</v>
      </c>
      <c r="O73">
        <v>100</v>
      </c>
      <c r="P73" t="s">
        <v>20</v>
      </c>
      <c r="Q73" t="s">
        <v>1262</v>
      </c>
      <c r="R73" t="s">
        <v>20</v>
      </c>
      <c r="S73" t="str">
        <f>HYPERLINK("https://cfpub.epa.gov/ecotox/explore.cfm?ncbi=95912","Explore in ECOTOX")</f>
        <v>Explore in ECOTOX</v>
      </c>
    </row>
    <row r="74" spans="1:19" x14ac:dyDescent="0.25">
      <c r="A74">
        <v>6</v>
      </c>
      <c r="B74" t="str">
        <f>HYPERLINK("http://www.ncbi.nlm.nih.gov/protein/XP_040121708.1","XP_040121708.1")</f>
        <v>XP_040121708.1</v>
      </c>
      <c r="C74">
        <v>44054</v>
      </c>
      <c r="D74" t="str">
        <f>HYPERLINK("http://www.ncbi.nlm.nih.gov/Taxonomy/Browser/wwwtax.cgi?mode=Info&amp;id=59534&amp;lvl=3&amp;lin=f&amp;keep=1&amp;srchmode=1&amp;unlock","59534")</f>
        <v>59534</v>
      </c>
      <c r="E74" t="s">
        <v>18</v>
      </c>
      <c r="F74" t="s">
        <v>18</v>
      </c>
      <c r="G74" t="str">
        <f>HYPERLINK("http://www.ncbi.nlm.nih.gov/Taxonomy/Browser/wwwtax.cgi?mode=Info&amp;id=59534&amp;lvl=3&amp;lin=f&amp;keep=1&amp;srchmode=1&amp;unlock","Oryx dammah")</f>
        <v>Oryx dammah</v>
      </c>
      <c r="H74" t="s">
        <v>116</v>
      </c>
      <c r="I74" t="str">
        <f>HYPERLINK("http://www.ncbi.nlm.nih.gov/protein/XP_040121708.1","androgen receptor")</f>
        <v>androgen receptor</v>
      </c>
      <c r="J74" t="s">
        <v>1261</v>
      </c>
      <c r="K74">
        <v>514.23</v>
      </c>
      <c r="L74" t="s">
        <v>20</v>
      </c>
      <c r="M74">
        <v>157</v>
      </c>
      <c r="N74">
        <v>62.55</v>
      </c>
      <c r="O74">
        <v>100</v>
      </c>
      <c r="P74" t="s">
        <v>20</v>
      </c>
      <c r="Q74" t="s">
        <v>1262</v>
      </c>
      <c r="R74" t="s">
        <v>20</v>
      </c>
      <c r="S74" t="str">
        <f>HYPERLINK("https://cfpub.epa.gov/ecotox/explore.cfm?ncbi=59534","Explore in ECOTOX")</f>
        <v>Explore in ECOTOX</v>
      </c>
    </row>
    <row r="75" spans="1:19" x14ac:dyDescent="0.25">
      <c r="A75">
        <v>6</v>
      </c>
      <c r="B75" t="str">
        <f>HYPERLINK("http://www.ncbi.nlm.nih.gov/protein/XP_004871834.1","XP_004871834.1")</f>
        <v>XP_004871834.1</v>
      </c>
      <c r="C75">
        <v>82656</v>
      </c>
      <c r="D75" t="str">
        <f>HYPERLINK("http://www.ncbi.nlm.nih.gov/Taxonomy/Browser/wwwtax.cgi?mode=Info&amp;id=10181&amp;lvl=3&amp;lin=f&amp;keep=1&amp;srchmode=1&amp;unlock","10181")</f>
        <v>10181</v>
      </c>
      <c r="E75" t="s">
        <v>18</v>
      </c>
      <c r="F75" t="s">
        <v>18</v>
      </c>
      <c r="G75" t="str">
        <f>HYPERLINK("http://www.ncbi.nlm.nih.gov/Taxonomy/Browser/wwwtax.cgi?mode=Info&amp;id=10181&amp;lvl=3&amp;lin=f&amp;keep=1&amp;srchmode=1&amp;unlock","Heterocephalus glaber")</f>
        <v>Heterocephalus glaber</v>
      </c>
      <c r="H75" t="s">
        <v>144</v>
      </c>
      <c r="I75" t="str">
        <f>HYPERLINK("http://www.ncbi.nlm.nih.gov/protein/XP_004871834.1","androgen receptor isoform X1")</f>
        <v>androgen receptor isoform X1</v>
      </c>
      <c r="J75" t="s">
        <v>1261</v>
      </c>
      <c r="K75">
        <v>514.23</v>
      </c>
      <c r="L75" t="s">
        <v>20</v>
      </c>
      <c r="M75">
        <v>157</v>
      </c>
      <c r="N75">
        <v>62.55</v>
      </c>
      <c r="O75">
        <v>100</v>
      </c>
      <c r="P75" t="s">
        <v>20</v>
      </c>
      <c r="Q75" t="s">
        <v>1262</v>
      </c>
      <c r="R75" t="s">
        <v>20</v>
      </c>
      <c r="S75" t="str">
        <f>HYPERLINK("https://cfpub.epa.gov/ecotox/explore.cfm?ncbi=10181","Explore in ECOTOX")</f>
        <v>Explore in ECOTOX</v>
      </c>
    </row>
    <row r="76" spans="1:19" x14ac:dyDescent="0.25">
      <c r="A76">
        <v>6</v>
      </c>
      <c r="B76" t="str">
        <f>HYPERLINK("http://www.ncbi.nlm.nih.gov/protein/XP_026255764.1","XP_026255764.1")</f>
        <v>XP_026255764.1</v>
      </c>
      <c r="C76">
        <v>36494</v>
      </c>
      <c r="D76" t="str">
        <f>HYPERLINK("http://www.ncbi.nlm.nih.gov/Taxonomy/Browser/wwwtax.cgi?mode=Info&amp;id=9999&amp;lvl=3&amp;lin=f&amp;keep=1&amp;srchmode=1&amp;unlock","9999")</f>
        <v>9999</v>
      </c>
      <c r="E76" t="s">
        <v>18</v>
      </c>
      <c r="F76" t="s">
        <v>18</v>
      </c>
      <c r="G76" t="str">
        <f>HYPERLINK("http://www.ncbi.nlm.nih.gov/Taxonomy/Browser/wwwtax.cgi?mode=Info&amp;id=9999&amp;lvl=3&amp;lin=f&amp;keep=1&amp;srchmode=1&amp;unlock","Urocitellus parryii")</f>
        <v>Urocitellus parryii</v>
      </c>
      <c r="H76" t="s">
        <v>84</v>
      </c>
      <c r="I76" t="str">
        <f>HYPERLINK("http://www.ncbi.nlm.nih.gov/protein/XP_026255764.1","androgen receptor")</f>
        <v>androgen receptor</v>
      </c>
      <c r="J76" t="s">
        <v>1261</v>
      </c>
      <c r="K76">
        <v>514.23</v>
      </c>
      <c r="L76" t="s">
        <v>20</v>
      </c>
      <c r="M76">
        <v>157</v>
      </c>
      <c r="N76">
        <v>62.55</v>
      </c>
      <c r="O76">
        <v>100</v>
      </c>
      <c r="P76" t="s">
        <v>20</v>
      </c>
      <c r="Q76" t="s">
        <v>1262</v>
      </c>
      <c r="R76" t="s">
        <v>20</v>
      </c>
      <c r="S76" t="str">
        <f>HYPERLINK("https://cfpub.epa.gov/ecotox/explore.cfm?ncbi=9999","Explore in ECOTOX")</f>
        <v>Explore in ECOTOX</v>
      </c>
    </row>
    <row r="77" spans="1:19" x14ac:dyDescent="0.25">
      <c r="A77">
        <v>6</v>
      </c>
      <c r="B77" t="str">
        <f>HYPERLINK("http://www.ncbi.nlm.nih.gov/protein/CDG23667.1","CDG23667.1")</f>
        <v>CDG23667.1</v>
      </c>
      <c r="C77">
        <v>352</v>
      </c>
      <c r="D77" t="str">
        <f>HYPERLINK("http://www.ncbi.nlm.nih.gov/Taxonomy/Browser/wwwtax.cgi?mode=Info&amp;id=9858&amp;lvl=3&amp;lin=f&amp;keep=1&amp;srchmode=1&amp;unlock","9858")</f>
        <v>9858</v>
      </c>
      <c r="E77" t="s">
        <v>18</v>
      </c>
      <c r="F77" t="s">
        <v>18</v>
      </c>
      <c r="G77" t="str">
        <f>HYPERLINK("http://www.ncbi.nlm.nih.gov/Taxonomy/Browser/wwwtax.cgi?mode=Info&amp;id=9858&amp;lvl=3&amp;lin=f&amp;keep=1&amp;srchmode=1&amp;unlock","Capreolus capreolus")</f>
        <v>Capreolus capreolus</v>
      </c>
      <c r="H77" t="s">
        <v>970</v>
      </c>
      <c r="I77" t="str">
        <f>HYPERLINK("http://www.ncbi.nlm.nih.gov/protein/CDG23667.1","androgen receptor")</f>
        <v>androgen receptor</v>
      </c>
      <c r="J77" t="s">
        <v>1261</v>
      </c>
      <c r="K77">
        <v>514.23</v>
      </c>
      <c r="L77" t="s">
        <v>20</v>
      </c>
      <c r="M77">
        <v>157</v>
      </c>
      <c r="N77">
        <v>62.55</v>
      </c>
      <c r="O77">
        <v>100</v>
      </c>
      <c r="P77" t="s">
        <v>20</v>
      </c>
      <c r="Q77" t="s">
        <v>1262</v>
      </c>
      <c r="R77" t="s">
        <v>20</v>
      </c>
      <c r="S77" t="str">
        <f>HYPERLINK("https://cfpub.epa.gov/ecotox/explore.cfm?ncbi=9858","Explore in ECOTOX")</f>
        <v>Explore in ECOTOX</v>
      </c>
    </row>
    <row r="78" spans="1:19" x14ac:dyDescent="0.25">
      <c r="A78">
        <v>6</v>
      </c>
      <c r="B78" t="str">
        <f>HYPERLINK("http://www.ncbi.nlm.nih.gov/protein/XP_017899319.1","XP_017899319.1")</f>
        <v>XP_017899319.1</v>
      </c>
      <c r="C78">
        <v>47245</v>
      </c>
      <c r="D78" t="str">
        <f>HYPERLINK("http://www.ncbi.nlm.nih.gov/Taxonomy/Browser/wwwtax.cgi?mode=Info&amp;id=9925&amp;lvl=3&amp;lin=f&amp;keep=1&amp;srchmode=1&amp;unlock","9925")</f>
        <v>9925</v>
      </c>
      <c r="E78" t="s">
        <v>18</v>
      </c>
      <c r="F78" t="s">
        <v>18</v>
      </c>
      <c r="G78" t="str">
        <f>HYPERLINK("http://www.ncbi.nlm.nih.gov/Taxonomy/Browser/wwwtax.cgi?mode=Info&amp;id=9925&amp;lvl=3&amp;lin=f&amp;keep=1&amp;srchmode=1&amp;unlock","Capra hircus")</f>
        <v>Capra hircus</v>
      </c>
      <c r="H78" t="s">
        <v>108</v>
      </c>
      <c r="I78" t="str">
        <f>HYPERLINK("http://www.ncbi.nlm.nih.gov/protein/XP_017899319.1","PREDICTED: androgen receptor")</f>
        <v>PREDICTED: androgen receptor</v>
      </c>
      <c r="J78" t="s">
        <v>1261</v>
      </c>
      <c r="K78">
        <v>514.23</v>
      </c>
      <c r="L78" t="s">
        <v>20</v>
      </c>
      <c r="M78">
        <v>157</v>
      </c>
      <c r="N78">
        <v>62.55</v>
      </c>
      <c r="O78">
        <v>100</v>
      </c>
      <c r="P78" t="s">
        <v>20</v>
      </c>
      <c r="Q78" t="s">
        <v>1262</v>
      </c>
      <c r="R78" t="s">
        <v>20</v>
      </c>
      <c r="S78" t="str">
        <f>HYPERLINK("https://cfpub.epa.gov/ecotox/explore.cfm?ncbi=9925","Explore in ECOTOX")</f>
        <v>Explore in ECOTOX</v>
      </c>
    </row>
    <row r="79" spans="1:19" x14ac:dyDescent="0.25">
      <c r="A79">
        <v>6</v>
      </c>
      <c r="B79" t="str">
        <f>HYPERLINK("http://www.ncbi.nlm.nih.gov/protein/XP_004380149.1","XP_004380149.1")</f>
        <v>XP_004380149.1</v>
      </c>
      <c r="C79">
        <v>37488</v>
      </c>
      <c r="D79" t="str">
        <f>HYPERLINK("http://www.ncbi.nlm.nih.gov/Taxonomy/Browser/wwwtax.cgi?mode=Info&amp;id=127582&amp;lvl=3&amp;lin=f&amp;keep=1&amp;srchmode=1&amp;unlock","127582")</f>
        <v>127582</v>
      </c>
      <c r="E79" t="s">
        <v>18</v>
      </c>
      <c r="F79" t="s">
        <v>18</v>
      </c>
      <c r="G79" t="str">
        <f>HYPERLINK("http://www.ncbi.nlm.nih.gov/Taxonomy/Browser/wwwtax.cgi?mode=Info&amp;id=127582&amp;lvl=3&amp;lin=f&amp;keep=1&amp;srchmode=1&amp;unlock","Trichechus manatus latirostris")</f>
        <v>Trichechus manatus latirostris</v>
      </c>
      <c r="H79" t="s">
        <v>125</v>
      </c>
      <c r="I79" t="str">
        <f>HYPERLINK("http://www.ncbi.nlm.nih.gov/protein/XP_004380149.1","androgen receptor isoform X1")</f>
        <v>androgen receptor isoform X1</v>
      </c>
      <c r="J79" t="s">
        <v>1261</v>
      </c>
      <c r="K79">
        <v>514.23</v>
      </c>
      <c r="L79" t="s">
        <v>20</v>
      </c>
      <c r="M79">
        <v>157</v>
      </c>
      <c r="N79">
        <v>62.55</v>
      </c>
      <c r="O79">
        <v>100</v>
      </c>
      <c r="P79" t="s">
        <v>20</v>
      </c>
      <c r="Q79" t="s">
        <v>1262</v>
      </c>
      <c r="R79" t="s">
        <v>20</v>
      </c>
      <c r="S79" t="str">
        <f>HYPERLINK("https://cfpub.epa.gov/ecotox/explore.cfm?ncbi=127582","Explore in ECOTOX")</f>
        <v>Explore in ECOTOX</v>
      </c>
    </row>
    <row r="80" spans="1:19" x14ac:dyDescent="0.25">
      <c r="A80">
        <v>6</v>
      </c>
      <c r="B80" t="str">
        <f>HYPERLINK("http://www.ncbi.nlm.nih.gov/protein/XP_004715496.1","XP_004715496.1")</f>
        <v>XP_004715496.1</v>
      </c>
      <c r="C80">
        <v>24944</v>
      </c>
      <c r="D80" t="str">
        <f>HYPERLINK("http://www.ncbi.nlm.nih.gov/Taxonomy/Browser/wwwtax.cgi?mode=Info&amp;id=9371&amp;lvl=3&amp;lin=f&amp;keep=1&amp;srchmode=1&amp;unlock","9371")</f>
        <v>9371</v>
      </c>
      <c r="E80" t="s">
        <v>18</v>
      </c>
      <c r="F80" t="s">
        <v>18</v>
      </c>
      <c r="G80" t="str">
        <f>HYPERLINK("http://www.ncbi.nlm.nih.gov/Taxonomy/Browser/wwwtax.cgi?mode=Info&amp;id=9371&amp;lvl=3&amp;lin=f&amp;keep=1&amp;srchmode=1&amp;unlock","Echinops telfairi")</f>
        <v>Echinops telfairi</v>
      </c>
      <c r="H80" t="s">
        <v>114</v>
      </c>
      <c r="I80" t="str">
        <f>HYPERLINK("http://www.ncbi.nlm.nih.gov/protein/XP_004715496.1","androgen receptor")</f>
        <v>androgen receptor</v>
      </c>
      <c r="J80" t="s">
        <v>1261</v>
      </c>
      <c r="K80">
        <v>514.23</v>
      </c>
      <c r="L80" t="s">
        <v>20</v>
      </c>
      <c r="M80">
        <v>157</v>
      </c>
      <c r="N80">
        <v>62.55</v>
      </c>
      <c r="O80">
        <v>100</v>
      </c>
      <c r="P80" t="s">
        <v>20</v>
      </c>
      <c r="Q80" t="s">
        <v>1262</v>
      </c>
      <c r="R80" t="s">
        <v>20</v>
      </c>
      <c r="S80" t="str">
        <f>HYPERLINK("https://cfpub.epa.gov/ecotox/explore.cfm?ncbi=9371","Explore in ECOTOX")</f>
        <v>Explore in ECOTOX</v>
      </c>
    </row>
    <row r="81" spans="1:19" x14ac:dyDescent="0.25">
      <c r="A81">
        <v>6</v>
      </c>
      <c r="B81" t="str">
        <f>HYPERLINK("http://www.ncbi.nlm.nih.gov/protein/XP_021043964.1","XP_021043964.1")</f>
        <v>XP_021043964.1</v>
      </c>
      <c r="C81">
        <v>42356</v>
      </c>
      <c r="D81" t="str">
        <f>HYPERLINK("http://www.ncbi.nlm.nih.gov/Taxonomy/Browser/wwwtax.cgi?mode=Info&amp;id=10093&amp;lvl=3&amp;lin=f&amp;keep=1&amp;srchmode=1&amp;unlock","10093")</f>
        <v>10093</v>
      </c>
      <c r="E81" t="s">
        <v>18</v>
      </c>
      <c r="F81" t="s">
        <v>18</v>
      </c>
      <c r="G81" t="str">
        <f>HYPERLINK("http://www.ncbi.nlm.nih.gov/Taxonomy/Browser/wwwtax.cgi?mode=Info&amp;id=10093&amp;lvl=3&amp;lin=f&amp;keep=1&amp;srchmode=1&amp;unlock","Mus pahari")</f>
        <v>Mus pahari</v>
      </c>
      <c r="H81" t="s">
        <v>132</v>
      </c>
      <c r="I81" t="str">
        <f>HYPERLINK("http://www.ncbi.nlm.nih.gov/protein/XP_021043964.1","androgen receptor")</f>
        <v>androgen receptor</v>
      </c>
      <c r="J81" t="s">
        <v>1261</v>
      </c>
      <c r="K81">
        <v>514.23</v>
      </c>
      <c r="L81" t="s">
        <v>20</v>
      </c>
      <c r="M81">
        <v>157</v>
      </c>
      <c r="N81">
        <v>62.55</v>
      </c>
      <c r="O81">
        <v>100</v>
      </c>
      <c r="P81" t="s">
        <v>20</v>
      </c>
      <c r="Q81" t="s">
        <v>1262</v>
      </c>
      <c r="R81" t="s">
        <v>20</v>
      </c>
      <c r="S81" t="str">
        <f>HYPERLINK("https://cfpub.epa.gov/ecotox/explore.cfm?ncbi=10093","Explore in ECOTOX")</f>
        <v>Explore in ECOTOX</v>
      </c>
    </row>
    <row r="82" spans="1:19" x14ac:dyDescent="0.25">
      <c r="A82">
        <v>6</v>
      </c>
      <c r="B82" t="str">
        <f>HYPERLINK("http://www.ncbi.nlm.nih.gov/protein/XP_012591725.1","XP_012591725.1")</f>
        <v>XP_012591725.1</v>
      </c>
      <c r="C82">
        <v>60035</v>
      </c>
      <c r="D82" t="str">
        <f>HYPERLINK("http://www.ncbi.nlm.nih.gov/Taxonomy/Browser/wwwtax.cgi?mode=Info&amp;id=30608&amp;lvl=3&amp;lin=f&amp;keep=1&amp;srchmode=1&amp;unlock","30608")</f>
        <v>30608</v>
      </c>
      <c r="E82" t="s">
        <v>18</v>
      </c>
      <c r="F82" t="s">
        <v>18</v>
      </c>
      <c r="G82" t="str">
        <f>HYPERLINK("http://www.ncbi.nlm.nih.gov/Taxonomy/Browser/wwwtax.cgi?mode=Info&amp;id=30608&amp;lvl=3&amp;lin=f&amp;keep=1&amp;srchmode=1&amp;unlock","Microcebus murinus")</f>
        <v>Microcebus murinus</v>
      </c>
      <c r="H82" t="s">
        <v>93</v>
      </c>
      <c r="I82" t="str">
        <f>HYPERLINK("http://www.ncbi.nlm.nih.gov/protein/XP_012591725.1","androgen receptor")</f>
        <v>androgen receptor</v>
      </c>
      <c r="J82" t="s">
        <v>1261</v>
      </c>
      <c r="K82">
        <v>514.23</v>
      </c>
      <c r="L82" t="s">
        <v>20</v>
      </c>
      <c r="M82">
        <v>157</v>
      </c>
      <c r="N82">
        <v>62.55</v>
      </c>
      <c r="O82">
        <v>100</v>
      </c>
      <c r="P82" t="s">
        <v>20</v>
      </c>
      <c r="Q82" t="s">
        <v>1262</v>
      </c>
      <c r="R82" t="s">
        <v>20</v>
      </c>
      <c r="S82" t="str">
        <f>HYPERLINK("https://cfpub.epa.gov/ecotox/explore.cfm?ncbi=30608","Explore in ECOTOX")</f>
        <v>Explore in ECOTOX</v>
      </c>
    </row>
    <row r="83" spans="1:19" x14ac:dyDescent="0.25">
      <c r="A83">
        <v>6</v>
      </c>
      <c r="B83" t="str">
        <f>HYPERLINK("http://www.ncbi.nlm.nih.gov/protein/XP_036696642.1","XP_036696642.1")</f>
        <v>XP_036696642.1</v>
      </c>
      <c r="C83">
        <v>52383</v>
      </c>
      <c r="D83" t="str">
        <f>HYPERLINK("http://www.ncbi.nlm.nih.gov/Taxonomy/Browser/wwwtax.cgi?mode=Info&amp;id=9771&amp;lvl=3&amp;lin=f&amp;keep=1&amp;srchmode=1&amp;unlock","9771")</f>
        <v>9771</v>
      </c>
      <c r="E83" t="s">
        <v>18</v>
      </c>
      <c r="F83" t="s">
        <v>18</v>
      </c>
      <c r="G83" t="str">
        <f>HYPERLINK("http://www.ncbi.nlm.nih.gov/Taxonomy/Browser/wwwtax.cgi?mode=Info&amp;id=9771&amp;lvl=3&amp;lin=f&amp;keep=1&amp;srchmode=1&amp;unlock","Balaenoptera musculus")</f>
        <v>Balaenoptera musculus</v>
      </c>
      <c r="H83" t="s">
        <v>190</v>
      </c>
      <c r="I83" t="str">
        <f>HYPERLINK("http://www.ncbi.nlm.nih.gov/protein/XP_036696642.1","androgen receptor")</f>
        <v>androgen receptor</v>
      </c>
      <c r="J83" t="s">
        <v>1261</v>
      </c>
      <c r="K83">
        <v>514.23</v>
      </c>
      <c r="L83" t="s">
        <v>20</v>
      </c>
      <c r="M83">
        <v>157</v>
      </c>
      <c r="N83">
        <v>62.55</v>
      </c>
      <c r="O83">
        <v>100</v>
      </c>
      <c r="P83" t="s">
        <v>20</v>
      </c>
      <c r="Q83" t="s">
        <v>1262</v>
      </c>
      <c r="R83" t="s">
        <v>20</v>
      </c>
      <c r="S83" t="str">
        <f>HYPERLINK("https://cfpub.epa.gov/ecotox/explore.cfm?ncbi=9771","Explore in ECOTOX")</f>
        <v>Explore in ECOTOX</v>
      </c>
    </row>
    <row r="84" spans="1:19" x14ac:dyDescent="0.25">
      <c r="A84">
        <v>6</v>
      </c>
      <c r="B84" t="str">
        <f>HYPERLINK("http://www.ncbi.nlm.nih.gov/protein/NP_038504.1","NP_038504.1")</f>
        <v>NP_038504.1</v>
      </c>
      <c r="C84">
        <v>329947</v>
      </c>
      <c r="D84" t="str">
        <f>HYPERLINK("http://www.ncbi.nlm.nih.gov/Taxonomy/Browser/wwwtax.cgi?mode=Info&amp;id=10090&amp;lvl=3&amp;lin=f&amp;keep=1&amp;srchmode=1&amp;unlock","10090")</f>
        <v>10090</v>
      </c>
      <c r="E84" t="s">
        <v>18</v>
      </c>
      <c r="F84" t="s">
        <v>18</v>
      </c>
      <c r="G84" t="str">
        <f>HYPERLINK("http://www.ncbi.nlm.nih.gov/Taxonomy/Browser/wwwtax.cgi?mode=Info&amp;id=10090&amp;lvl=3&amp;lin=f&amp;keep=1&amp;srchmode=1&amp;unlock","Mus musculus")</f>
        <v>Mus musculus</v>
      </c>
      <c r="H84" t="s">
        <v>119</v>
      </c>
      <c r="I84" t="str">
        <f>HYPERLINK("http://www.ncbi.nlm.nih.gov/protein/NP_038504.1","androgen receptor")</f>
        <v>androgen receptor</v>
      </c>
      <c r="J84" t="s">
        <v>1261</v>
      </c>
      <c r="K84">
        <v>514.23</v>
      </c>
      <c r="L84" t="s">
        <v>20</v>
      </c>
      <c r="M84">
        <v>157</v>
      </c>
      <c r="N84">
        <v>62.55</v>
      </c>
      <c r="O84">
        <v>100</v>
      </c>
      <c r="P84" t="s">
        <v>20</v>
      </c>
      <c r="Q84" t="s">
        <v>1262</v>
      </c>
      <c r="R84" t="s">
        <v>20</v>
      </c>
      <c r="S84" t="str">
        <f>HYPERLINK("https://cfpub.epa.gov/ecotox/explore.cfm?ncbi=10090","Explore in ECOTOX")</f>
        <v>Explore in ECOTOX</v>
      </c>
    </row>
    <row r="85" spans="1:19" x14ac:dyDescent="0.25">
      <c r="A85">
        <v>6</v>
      </c>
      <c r="B85" t="str">
        <f>HYPERLINK("http://www.ncbi.nlm.nih.gov/protein/AAA37234.1","AAA37234.1")</f>
        <v>AAA37234.1</v>
      </c>
      <c r="C85">
        <v>2964</v>
      </c>
      <c r="D85" t="str">
        <f>HYPERLINK("http://www.ncbi.nlm.nih.gov/Taxonomy/Browser/wwwtax.cgi?mode=Info&amp;id=10092&amp;lvl=3&amp;lin=f&amp;keep=1&amp;srchmode=1&amp;unlock","10092")</f>
        <v>10092</v>
      </c>
      <c r="E85" t="s">
        <v>18</v>
      </c>
      <c r="F85" t="s">
        <v>18</v>
      </c>
      <c r="G85" t="str">
        <f>HYPERLINK("http://www.ncbi.nlm.nih.gov/Taxonomy/Browser/wwwtax.cgi?mode=Info&amp;id=10092&amp;lvl=3&amp;lin=f&amp;keep=1&amp;srchmode=1&amp;unlock","Mus musculus domesticus")</f>
        <v>Mus musculus domesticus</v>
      </c>
      <c r="H85" t="s">
        <v>913</v>
      </c>
      <c r="I85" t="str">
        <f>HYPERLINK("http://www.ncbi.nlm.nih.gov/protein/AAA37234.1","androgen receptor")</f>
        <v>androgen receptor</v>
      </c>
      <c r="J85" t="s">
        <v>1261</v>
      </c>
      <c r="K85">
        <v>514.23</v>
      </c>
      <c r="L85" t="s">
        <v>20</v>
      </c>
      <c r="M85">
        <v>157</v>
      </c>
      <c r="N85">
        <v>62.55</v>
      </c>
      <c r="O85">
        <v>100</v>
      </c>
      <c r="P85" t="s">
        <v>20</v>
      </c>
      <c r="Q85" t="s">
        <v>1262</v>
      </c>
      <c r="R85" t="s">
        <v>20</v>
      </c>
      <c r="S85" t="str">
        <f>HYPERLINK("https://cfpub.epa.gov/ecotox/explore.cfm?ncbi=10092","Explore in ECOTOX")</f>
        <v>Explore in ECOTOX</v>
      </c>
    </row>
    <row r="86" spans="1:19" x14ac:dyDescent="0.25">
      <c r="A86">
        <v>6</v>
      </c>
      <c r="B86" t="str">
        <f>HYPERLINK("http://www.ncbi.nlm.nih.gov/protein/AAB19916.1","AAB19916.1")</f>
        <v>AAB19916.1</v>
      </c>
      <c r="C86">
        <v>1375</v>
      </c>
      <c r="D86" t="str">
        <f>HYPERLINK("http://www.ncbi.nlm.nih.gov/Taxonomy/Browser/wwwtax.cgi?mode=Info&amp;id=10095&amp;lvl=3&amp;lin=f&amp;keep=1&amp;srchmode=1&amp;unlock","10095")</f>
        <v>10095</v>
      </c>
      <c r="E86" t="s">
        <v>18</v>
      </c>
      <c r="F86" t="s">
        <v>18</v>
      </c>
      <c r="G86" t="str">
        <f>HYPERLINK("http://www.ncbi.nlm.nih.gov/Taxonomy/Browser/wwwtax.cgi?mode=Info&amp;id=10095&amp;lvl=3&amp;lin=f&amp;keep=1&amp;srchmode=1&amp;unlock","Mus sp.")</f>
        <v>Mus sp.</v>
      </c>
      <c r="H86" t="s">
        <v>906</v>
      </c>
      <c r="I86" t="str">
        <f>HYPERLINK("http://www.ncbi.nlm.nih.gov/protein/AAB19916.1","AR")</f>
        <v>AR</v>
      </c>
      <c r="J86" t="s">
        <v>1261</v>
      </c>
      <c r="K86">
        <v>514.23</v>
      </c>
      <c r="L86" t="s">
        <v>20</v>
      </c>
      <c r="M86">
        <v>157</v>
      </c>
      <c r="N86">
        <v>62.55</v>
      </c>
      <c r="O86">
        <v>100</v>
      </c>
      <c r="P86" t="s">
        <v>20</v>
      </c>
      <c r="Q86" t="s">
        <v>1262</v>
      </c>
      <c r="R86" t="s">
        <v>20</v>
      </c>
      <c r="S86" t="str">
        <f>HYPERLINK("https://cfpub.epa.gov/ecotox/explore.cfm?ncbi=10095","Explore in ECOTOX")</f>
        <v>Explore in ECOTOX</v>
      </c>
    </row>
    <row r="87" spans="1:19" x14ac:dyDescent="0.25">
      <c r="A87">
        <v>6</v>
      </c>
      <c r="B87" t="str">
        <f>HYPERLINK("http://www.ncbi.nlm.nih.gov/protein/XP_002929217.2","XP_002929217.2")</f>
        <v>XP_002929217.2</v>
      </c>
      <c r="C87">
        <v>73410</v>
      </c>
      <c r="D87" t="str">
        <f>HYPERLINK("http://www.ncbi.nlm.nih.gov/Taxonomy/Browser/wwwtax.cgi?mode=Info&amp;id=9646&amp;lvl=3&amp;lin=f&amp;keep=1&amp;srchmode=1&amp;unlock","9646")</f>
        <v>9646</v>
      </c>
      <c r="E87" t="s">
        <v>18</v>
      </c>
      <c r="F87" t="s">
        <v>18</v>
      </c>
      <c r="G87" t="str">
        <f>HYPERLINK("http://www.ncbi.nlm.nih.gov/Taxonomy/Browser/wwwtax.cgi?mode=Info&amp;id=9646&amp;lvl=3&amp;lin=f&amp;keep=1&amp;srchmode=1&amp;unlock","Ailuropoda melanoleuca")</f>
        <v>Ailuropoda melanoleuca</v>
      </c>
      <c r="H87" t="s">
        <v>37</v>
      </c>
      <c r="I87" t="str">
        <f>HYPERLINK("http://www.ncbi.nlm.nih.gov/protein/XP_002929217.2","androgen receptor")</f>
        <v>androgen receptor</v>
      </c>
      <c r="J87" t="s">
        <v>1261</v>
      </c>
      <c r="K87">
        <v>514.23</v>
      </c>
      <c r="L87" t="s">
        <v>20</v>
      </c>
      <c r="M87">
        <v>157</v>
      </c>
      <c r="N87">
        <v>62.55</v>
      </c>
      <c r="O87">
        <v>100</v>
      </c>
      <c r="P87" t="s">
        <v>20</v>
      </c>
      <c r="Q87" t="s">
        <v>1262</v>
      </c>
      <c r="R87" t="s">
        <v>20</v>
      </c>
      <c r="S87" t="str">
        <f>HYPERLINK("https://cfpub.epa.gov/ecotox/explore.cfm?ncbi=9646","Explore in ECOTOX")</f>
        <v>Explore in ECOTOX</v>
      </c>
    </row>
    <row r="88" spans="1:19" x14ac:dyDescent="0.25">
      <c r="A88">
        <v>6</v>
      </c>
      <c r="B88" t="str">
        <f>HYPERLINK("http://www.ncbi.nlm.nih.gov/protein/XP_028625865.1","XP_028625865.1")</f>
        <v>XP_028625865.1</v>
      </c>
      <c r="C88">
        <v>38217</v>
      </c>
      <c r="D88" t="str">
        <f>HYPERLINK("http://www.ncbi.nlm.nih.gov/Taxonomy/Browser/wwwtax.cgi?mode=Info&amp;id=491861&amp;lvl=3&amp;lin=f&amp;keep=1&amp;srchmode=1&amp;unlock","491861")</f>
        <v>491861</v>
      </c>
      <c r="E88" t="s">
        <v>18</v>
      </c>
      <c r="F88" t="s">
        <v>18</v>
      </c>
      <c r="G88" t="str">
        <f>HYPERLINK("http://www.ncbi.nlm.nih.gov/Taxonomy/Browser/wwwtax.cgi?mode=Info&amp;id=491861&amp;lvl=3&amp;lin=f&amp;keep=1&amp;srchmode=1&amp;unlock","Grammomys surdaster")</f>
        <v>Grammomys surdaster</v>
      </c>
      <c r="H88" t="s">
        <v>133</v>
      </c>
      <c r="I88" t="str">
        <f>HYPERLINK("http://www.ncbi.nlm.nih.gov/protein/XP_028625865.1","androgen receptor")</f>
        <v>androgen receptor</v>
      </c>
      <c r="J88" t="s">
        <v>1261</v>
      </c>
      <c r="K88">
        <v>514.23</v>
      </c>
      <c r="L88" t="s">
        <v>20</v>
      </c>
      <c r="M88">
        <v>157</v>
      </c>
      <c r="N88">
        <v>62.55</v>
      </c>
      <c r="O88">
        <v>100</v>
      </c>
      <c r="P88" t="s">
        <v>20</v>
      </c>
      <c r="Q88" t="s">
        <v>1262</v>
      </c>
      <c r="R88" t="s">
        <v>20</v>
      </c>
      <c r="S88" t="str">
        <f>HYPERLINK("https://cfpub.epa.gov/ecotox/explore.cfm?ncbi=491861","Explore in ECOTOX")</f>
        <v>Explore in ECOTOX</v>
      </c>
    </row>
    <row r="89" spans="1:19" x14ac:dyDescent="0.25">
      <c r="A89">
        <v>6</v>
      </c>
      <c r="B89" t="str">
        <f>HYPERLINK("http://www.ncbi.nlm.nih.gov/protein/NP_036634.2","NP_036634.2")</f>
        <v>NP_036634.2</v>
      </c>
      <c r="C89">
        <v>157817</v>
      </c>
      <c r="D89" t="str">
        <f>HYPERLINK("http://www.ncbi.nlm.nih.gov/Taxonomy/Browser/wwwtax.cgi?mode=Info&amp;id=10116&amp;lvl=3&amp;lin=f&amp;keep=1&amp;srchmode=1&amp;unlock","10116")</f>
        <v>10116</v>
      </c>
      <c r="E89" t="s">
        <v>18</v>
      </c>
      <c r="F89" t="s">
        <v>18</v>
      </c>
      <c r="G89" t="str">
        <f>HYPERLINK("http://www.ncbi.nlm.nih.gov/Taxonomy/Browser/wwwtax.cgi?mode=Info&amp;id=10116&amp;lvl=3&amp;lin=f&amp;keep=1&amp;srchmode=1&amp;unlock","Rattus norvegicus")</f>
        <v>Rattus norvegicus</v>
      </c>
      <c r="H89" t="s">
        <v>136</v>
      </c>
      <c r="I89" t="str">
        <f>HYPERLINK("http://www.ncbi.nlm.nih.gov/protein/NP_036634.2","androgen receptor")</f>
        <v>androgen receptor</v>
      </c>
      <c r="J89" t="s">
        <v>1261</v>
      </c>
      <c r="K89">
        <v>514.23</v>
      </c>
      <c r="L89" t="s">
        <v>20</v>
      </c>
      <c r="M89">
        <v>157</v>
      </c>
      <c r="N89">
        <v>62.55</v>
      </c>
      <c r="O89">
        <v>100</v>
      </c>
      <c r="P89" t="s">
        <v>20</v>
      </c>
      <c r="Q89" t="s">
        <v>1262</v>
      </c>
      <c r="R89" t="s">
        <v>20</v>
      </c>
      <c r="S89" t="str">
        <f>HYPERLINK("https://cfpub.epa.gov/ecotox/explore.cfm?ncbi=10116","Explore in ECOTOX")</f>
        <v>Explore in ECOTOX</v>
      </c>
    </row>
    <row r="90" spans="1:19" x14ac:dyDescent="0.25">
      <c r="A90">
        <v>6</v>
      </c>
      <c r="B90" t="str">
        <f>HYPERLINK("http://www.ncbi.nlm.nih.gov/protein/XP_016059359.1","XP_016059359.1")</f>
        <v>XP_016059359.1</v>
      </c>
      <c r="C90">
        <v>29863</v>
      </c>
      <c r="D90" t="str">
        <f>HYPERLINK("http://www.ncbi.nlm.nih.gov/Taxonomy/Browser/wwwtax.cgi?mode=Info&amp;id=291302&amp;lvl=3&amp;lin=f&amp;keep=1&amp;srchmode=1&amp;unlock","291302")</f>
        <v>291302</v>
      </c>
      <c r="E90" t="s">
        <v>18</v>
      </c>
      <c r="F90" t="s">
        <v>18</v>
      </c>
      <c r="G90" t="str">
        <f>HYPERLINK("http://www.ncbi.nlm.nih.gov/Taxonomy/Browser/wwwtax.cgi?mode=Info&amp;id=291302&amp;lvl=3&amp;lin=f&amp;keep=1&amp;srchmode=1&amp;unlock","Miniopterus natalensis")</f>
        <v>Miniopterus natalensis</v>
      </c>
      <c r="H90" t="s">
        <v>77</v>
      </c>
      <c r="I90" t="str">
        <f>HYPERLINK("http://www.ncbi.nlm.nih.gov/protein/XP_016059359.1","PREDICTED: androgen receptor isoform X3")</f>
        <v>PREDICTED: androgen receptor isoform X3</v>
      </c>
      <c r="J90" t="s">
        <v>1261</v>
      </c>
      <c r="K90">
        <v>514.23</v>
      </c>
      <c r="L90" t="s">
        <v>25</v>
      </c>
      <c r="M90">
        <v>157</v>
      </c>
      <c r="N90">
        <v>62.55</v>
      </c>
      <c r="O90">
        <v>100</v>
      </c>
      <c r="P90" t="s">
        <v>20</v>
      </c>
      <c r="Q90" t="s">
        <v>1262</v>
      </c>
      <c r="R90" t="s">
        <v>20</v>
      </c>
      <c r="S90" t="str">
        <f>HYPERLINK("https://cfpub.epa.gov/ecotox/explore.cfm?ncbi=291302","Explore in ECOTOX")</f>
        <v>Explore in ECOTOX</v>
      </c>
    </row>
    <row r="91" spans="1:19" x14ac:dyDescent="0.25">
      <c r="A91">
        <v>6</v>
      </c>
      <c r="B91" t="str">
        <f>HYPERLINK("http://www.ncbi.nlm.nih.gov/protein/XP_024411091.1","XP_024411091.1")</f>
        <v>XP_024411091.1</v>
      </c>
      <c r="C91">
        <v>30698</v>
      </c>
      <c r="D91" t="str">
        <f>HYPERLINK("http://www.ncbi.nlm.nih.gov/Taxonomy/Browser/wwwtax.cgi?mode=Info&amp;id=9430&amp;lvl=3&amp;lin=f&amp;keep=1&amp;srchmode=1&amp;unlock","9430")</f>
        <v>9430</v>
      </c>
      <c r="E91" t="s">
        <v>18</v>
      </c>
      <c r="F91" t="s">
        <v>18</v>
      </c>
      <c r="G91" t="str">
        <f>HYPERLINK("http://www.ncbi.nlm.nih.gov/Taxonomy/Browser/wwwtax.cgi?mode=Info&amp;id=9430&amp;lvl=3&amp;lin=f&amp;keep=1&amp;srchmode=1&amp;unlock","Desmodus rotundus")</f>
        <v>Desmodus rotundus</v>
      </c>
      <c r="H91" t="s">
        <v>131</v>
      </c>
      <c r="I91" t="str">
        <f>HYPERLINK("http://www.ncbi.nlm.nih.gov/protein/XP_024411091.1","androgen receptor isoform X1")</f>
        <v>androgen receptor isoform X1</v>
      </c>
      <c r="J91" t="s">
        <v>1261</v>
      </c>
      <c r="K91">
        <v>514.23</v>
      </c>
      <c r="L91" t="s">
        <v>20</v>
      </c>
      <c r="M91">
        <v>157</v>
      </c>
      <c r="N91">
        <v>62.55</v>
      </c>
      <c r="O91">
        <v>100</v>
      </c>
      <c r="P91" t="s">
        <v>20</v>
      </c>
      <c r="Q91" t="s">
        <v>1262</v>
      </c>
      <c r="R91" t="s">
        <v>20</v>
      </c>
      <c r="S91" t="str">
        <f>HYPERLINK("https://cfpub.epa.gov/ecotox/explore.cfm?ncbi=9430","Explore in ECOTOX")</f>
        <v>Explore in ECOTOX</v>
      </c>
    </row>
    <row r="92" spans="1:19" x14ac:dyDescent="0.25">
      <c r="A92">
        <v>6</v>
      </c>
      <c r="B92" t="str">
        <f>HYPERLINK("http://www.ncbi.nlm.nih.gov/protein/XP_007113487.1","XP_007113487.1")</f>
        <v>XP_007113487.1</v>
      </c>
      <c r="C92">
        <v>51265</v>
      </c>
      <c r="D92" t="str">
        <f>HYPERLINK("http://www.ncbi.nlm.nih.gov/Taxonomy/Browser/wwwtax.cgi?mode=Info&amp;id=9755&amp;lvl=3&amp;lin=f&amp;keep=1&amp;srchmode=1&amp;unlock","9755")</f>
        <v>9755</v>
      </c>
      <c r="E92" t="s">
        <v>18</v>
      </c>
      <c r="F92" t="s">
        <v>18</v>
      </c>
      <c r="G92" t="str">
        <f>HYPERLINK("http://www.ncbi.nlm.nih.gov/Taxonomy/Browser/wwwtax.cgi?mode=Info&amp;id=9755&amp;lvl=3&amp;lin=f&amp;keep=1&amp;srchmode=1&amp;unlock","Physeter catodon")</f>
        <v>Physeter catodon</v>
      </c>
      <c r="H92" t="s">
        <v>139</v>
      </c>
      <c r="I92" t="str">
        <f>HYPERLINK("http://www.ncbi.nlm.nih.gov/protein/XP_007113487.1","androgen receptor isoform X1")</f>
        <v>androgen receptor isoform X1</v>
      </c>
      <c r="J92" t="s">
        <v>1261</v>
      </c>
      <c r="K92">
        <v>514.23</v>
      </c>
      <c r="L92" t="s">
        <v>20</v>
      </c>
      <c r="M92">
        <v>157</v>
      </c>
      <c r="N92">
        <v>62.55</v>
      </c>
      <c r="O92">
        <v>100</v>
      </c>
      <c r="P92" t="s">
        <v>20</v>
      </c>
      <c r="Q92" t="s">
        <v>1262</v>
      </c>
      <c r="R92" t="s">
        <v>20</v>
      </c>
      <c r="S92" t="str">
        <f>HYPERLINK("https://cfpub.epa.gov/ecotox/explore.cfm?ncbi=9755","Explore in ECOTOX")</f>
        <v>Explore in ECOTOX</v>
      </c>
    </row>
    <row r="93" spans="1:19" x14ac:dyDescent="0.25">
      <c r="A93">
        <v>6</v>
      </c>
      <c r="B93" t="str">
        <f>HYPERLINK("http://www.ncbi.nlm.nih.gov/protein/XP_010971951.1","XP_010971951.1")</f>
        <v>XP_010971951.1</v>
      </c>
      <c r="C93">
        <v>29301</v>
      </c>
      <c r="D93" t="str">
        <f>HYPERLINK("http://www.ncbi.nlm.nih.gov/Taxonomy/Browser/wwwtax.cgi?mode=Info&amp;id=9837&amp;lvl=3&amp;lin=f&amp;keep=1&amp;srchmode=1&amp;unlock","9837")</f>
        <v>9837</v>
      </c>
      <c r="E93" t="s">
        <v>18</v>
      </c>
      <c r="F93" t="s">
        <v>18</v>
      </c>
      <c r="G93" t="str">
        <f>HYPERLINK("http://www.ncbi.nlm.nih.gov/Taxonomy/Browser/wwwtax.cgi?mode=Info&amp;id=9837&amp;lvl=3&amp;lin=f&amp;keep=1&amp;srchmode=1&amp;unlock","Camelus bactrianus")</f>
        <v>Camelus bactrianus</v>
      </c>
      <c r="H93" t="s">
        <v>97</v>
      </c>
      <c r="I93" t="str">
        <f>HYPERLINK("http://www.ncbi.nlm.nih.gov/protein/XP_010971951.1","PREDICTED: LOW QUALITY PROTEIN: androgen receptor")</f>
        <v>PREDICTED: LOW QUALITY PROTEIN: androgen receptor</v>
      </c>
      <c r="J93" t="s">
        <v>1261</v>
      </c>
      <c r="K93">
        <v>514.23</v>
      </c>
      <c r="L93" t="s">
        <v>20</v>
      </c>
      <c r="M93">
        <v>157</v>
      </c>
      <c r="N93">
        <v>62.55</v>
      </c>
      <c r="O93">
        <v>100</v>
      </c>
      <c r="P93" t="s">
        <v>20</v>
      </c>
      <c r="Q93" t="s">
        <v>1262</v>
      </c>
      <c r="R93" t="s">
        <v>20</v>
      </c>
      <c r="S93" t="str">
        <f>HYPERLINK("https://cfpub.epa.gov/ecotox/explore.cfm?ncbi=9837","Explore in ECOTOX")</f>
        <v>Explore in ECOTOX</v>
      </c>
    </row>
    <row r="94" spans="1:19" x14ac:dyDescent="0.25">
      <c r="A94">
        <v>6</v>
      </c>
      <c r="B94" t="str">
        <f>HYPERLINK("http://www.ncbi.nlm.nih.gov/protein/XP_012887093.1","XP_012887093.1")</f>
        <v>XP_012887093.1</v>
      </c>
      <c r="C94">
        <v>29406</v>
      </c>
      <c r="D94" t="str">
        <f>HYPERLINK("http://www.ncbi.nlm.nih.gov/Taxonomy/Browser/wwwtax.cgi?mode=Info&amp;id=10020&amp;lvl=3&amp;lin=f&amp;keep=1&amp;srchmode=1&amp;unlock","10020")</f>
        <v>10020</v>
      </c>
      <c r="E94" t="s">
        <v>18</v>
      </c>
      <c r="F94" t="s">
        <v>18</v>
      </c>
      <c r="G94" t="str">
        <f>HYPERLINK("http://www.ncbi.nlm.nih.gov/Taxonomy/Browser/wwwtax.cgi?mode=Info&amp;id=10020&amp;lvl=3&amp;lin=f&amp;keep=1&amp;srchmode=1&amp;unlock","Dipodomys ordii")</f>
        <v>Dipodomys ordii</v>
      </c>
      <c r="H94" t="s">
        <v>107</v>
      </c>
      <c r="I94" t="str">
        <f>HYPERLINK("http://www.ncbi.nlm.nih.gov/protein/XP_012887093.1","PREDICTED: androgen receptor")</f>
        <v>PREDICTED: androgen receptor</v>
      </c>
      <c r="J94" t="s">
        <v>1261</v>
      </c>
      <c r="K94">
        <v>514.23</v>
      </c>
      <c r="L94" t="s">
        <v>20</v>
      </c>
      <c r="M94">
        <v>157</v>
      </c>
      <c r="N94">
        <v>62.55</v>
      </c>
      <c r="O94">
        <v>100</v>
      </c>
      <c r="P94" t="s">
        <v>20</v>
      </c>
      <c r="Q94" t="s">
        <v>1262</v>
      </c>
      <c r="R94" t="s">
        <v>20</v>
      </c>
      <c r="S94" t="str">
        <f>HYPERLINK("https://cfpub.epa.gov/ecotox/explore.cfm?ncbi=10020","Explore in ECOTOX")</f>
        <v>Explore in ECOTOX</v>
      </c>
    </row>
    <row r="95" spans="1:19" x14ac:dyDescent="0.25">
      <c r="A95">
        <v>6</v>
      </c>
      <c r="B95" t="str">
        <f>HYPERLINK("http://www.ncbi.nlm.nih.gov/protein/XP_021009144.1","XP_021009144.1")</f>
        <v>XP_021009144.1</v>
      </c>
      <c r="C95">
        <v>47716</v>
      </c>
      <c r="D95" t="str">
        <f>HYPERLINK("http://www.ncbi.nlm.nih.gov/Taxonomy/Browser/wwwtax.cgi?mode=Info&amp;id=10089&amp;lvl=3&amp;lin=f&amp;keep=1&amp;srchmode=1&amp;unlock","10089")</f>
        <v>10089</v>
      </c>
      <c r="E95" t="s">
        <v>18</v>
      </c>
      <c r="F95" t="s">
        <v>18</v>
      </c>
      <c r="G95" t="str">
        <f>HYPERLINK("http://www.ncbi.nlm.nih.gov/Taxonomy/Browser/wwwtax.cgi?mode=Info&amp;id=10089&amp;lvl=3&amp;lin=f&amp;keep=1&amp;srchmode=1&amp;unlock","Mus caroli")</f>
        <v>Mus caroli</v>
      </c>
      <c r="H95" t="s">
        <v>126</v>
      </c>
      <c r="I95" t="str">
        <f>HYPERLINK("http://www.ncbi.nlm.nih.gov/protein/XP_021009144.1","androgen receptor")</f>
        <v>androgen receptor</v>
      </c>
      <c r="J95" t="s">
        <v>1261</v>
      </c>
      <c r="K95">
        <v>514.23</v>
      </c>
      <c r="L95" t="s">
        <v>20</v>
      </c>
      <c r="M95">
        <v>157</v>
      </c>
      <c r="N95">
        <v>62.55</v>
      </c>
      <c r="O95">
        <v>100</v>
      </c>
      <c r="P95" t="s">
        <v>20</v>
      </c>
      <c r="Q95" t="s">
        <v>1262</v>
      </c>
      <c r="R95" t="s">
        <v>20</v>
      </c>
      <c r="S95" t="str">
        <f>HYPERLINK("https://cfpub.epa.gov/ecotox/explore.cfm?ncbi=10089","Explore in ECOTOX")</f>
        <v>Explore in ECOTOX</v>
      </c>
    </row>
    <row r="96" spans="1:19" x14ac:dyDescent="0.25">
      <c r="A96">
        <v>6</v>
      </c>
      <c r="B96" t="str">
        <f>HYPERLINK("http://www.ncbi.nlm.nih.gov/protein/XP_005000186.1","XP_005000186.1")</f>
        <v>XP_005000186.1</v>
      </c>
      <c r="C96">
        <v>49097</v>
      </c>
      <c r="D96" t="str">
        <f>HYPERLINK("http://www.ncbi.nlm.nih.gov/Taxonomy/Browser/wwwtax.cgi?mode=Info&amp;id=10141&amp;lvl=3&amp;lin=f&amp;keep=1&amp;srchmode=1&amp;unlock","10141")</f>
        <v>10141</v>
      </c>
      <c r="E96" t="s">
        <v>18</v>
      </c>
      <c r="F96" t="s">
        <v>18</v>
      </c>
      <c r="G96" t="str">
        <f>HYPERLINK("http://www.ncbi.nlm.nih.gov/Taxonomy/Browser/wwwtax.cgi?mode=Info&amp;id=10141&amp;lvl=3&amp;lin=f&amp;keep=1&amp;srchmode=1&amp;unlock","Cavia porcellus")</f>
        <v>Cavia porcellus</v>
      </c>
      <c r="H96" t="s">
        <v>142</v>
      </c>
      <c r="I96" t="str">
        <f>HYPERLINK("http://www.ncbi.nlm.nih.gov/protein/XP_005000186.1","androgen receptor")</f>
        <v>androgen receptor</v>
      </c>
      <c r="J96" t="s">
        <v>1261</v>
      </c>
      <c r="K96">
        <v>514.23</v>
      </c>
      <c r="L96" t="s">
        <v>20</v>
      </c>
      <c r="M96">
        <v>157</v>
      </c>
      <c r="N96">
        <v>62.55</v>
      </c>
      <c r="O96">
        <v>100</v>
      </c>
      <c r="P96" t="s">
        <v>20</v>
      </c>
      <c r="Q96" t="s">
        <v>1262</v>
      </c>
      <c r="R96" t="s">
        <v>20</v>
      </c>
      <c r="S96" t="str">
        <f>HYPERLINK("https://cfpub.epa.gov/ecotox/explore.cfm?ncbi=10141","Explore in ECOTOX")</f>
        <v>Explore in ECOTOX</v>
      </c>
    </row>
    <row r="97" spans="1:19" x14ac:dyDescent="0.25">
      <c r="A97">
        <v>6</v>
      </c>
      <c r="B97" t="str">
        <f>HYPERLINK("http://www.ncbi.nlm.nih.gov/protein/XP_036161321.1","XP_036161321.1")</f>
        <v>XP_036161321.1</v>
      </c>
      <c r="C97">
        <v>106885</v>
      </c>
      <c r="D97" t="str">
        <f>HYPERLINK("http://www.ncbi.nlm.nih.gov/Taxonomy/Browser/wwwtax.cgi?mode=Info&amp;id=51298&amp;lvl=3&amp;lin=f&amp;keep=1&amp;srchmode=1&amp;unlock","51298")</f>
        <v>51298</v>
      </c>
      <c r="E97" t="s">
        <v>18</v>
      </c>
      <c r="F97" t="s">
        <v>18</v>
      </c>
      <c r="G97" t="str">
        <f>HYPERLINK("http://www.ncbi.nlm.nih.gov/Taxonomy/Browser/wwwtax.cgi?mode=Info&amp;id=51298&amp;lvl=3&amp;lin=f&amp;keep=1&amp;srchmode=1&amp;unlock","Myotis myotis")</f>
        <v>Myotis myotis</v>
      </c>
      <c r="H97" t="s">
        <v>77</v>
      </c>
      <c r="I97" t="str">
        <f>HYPERLINK("http://www.ncbi.nlm.nih.gov/protein/XP_036161321.1","androgen receptor")</f>
        <v>androgen receptor</v>
      </c>
      <c r="J97" t="s">
        <v>1261</v>
      </c>
      <c r="K97">
        <v>514.23</v>
      </c>
      <c r="L97" t="s">
        <v>20</v>
      </c>
      <c r="M97">
        <v>157</v>
      </c>
      <c r="N97">
        <v>62.55</v>
      </c>
      <c r="O97">
        <v>100</v>
      </c>
      <c r="P97" t="s">
        <v>20</v>
      </c>
      <c r="Q97" t="s">
        <v>1262</v>
      </c>
      <c r="R97" t="s">
        <v>20</v>
      </c>
      <c r="S97" t="str">
        <f>HYPERLINK("https://cfpub.epa.gov/ecotox/explore.cfm?ncbi=51298","Explore in ECOTOX")</f>
        <v>Explore in ECOTOX</v>
      </c>
    </row>
    <row r="98" spans="1:19" x14ac:dyDescent="0.25">
      <c r="A98">
        <v>6</v>
      </c>
      <c r="B98" t="str">
        <f>HYPERLINK("http://www.ncbi.nlm.nih.gov/protein/XP_004473341.1","XP_004473341.1")</f>
        <v>XP_004473341.1</v>
      </c>
      <c r="C98">
        <v>38769</v>
      </c>
      <c r="D98" t="str">
        <f>HYPERLINK("http://www.ncbi.nlm.nih.gov/Taxonomy/Browser/wwwtax.cgi?mode=Info&amp;id=9361&amp;lvl=3&amp;lin=f&amp;keep=1&amp;srchmode=1&amp;unlock","9361")</f>
        <v>9361</v>
      </c>
      <c r="E98" t="s">
        <v>18</v>
      </c>
      <c r="F98" t="s">
        <v>18</v>
      </c>
      <c r="G98" t="str">
        <f>HYPERLINK("http://www.ncbi.nlm.nih.gov/Taxonomy/Browser/wwwtax.cgi?mode=Info&amp;id=9361&amp;lvl=3&amp;lin=f&amp;keep=1&amp;srchmode=1&amp;unlock","Dasypus novemcinctus")</f>
        <v>Dasypus novemcinctus</v>
      </c>
      <c r="H98" t="s">
        <v>162</v>
      </c>
      <c r="I98" t="str">
        <f>HYPERLINK("http://www.ncbi.nlm.nih.gov/protein/XP_004473341.1","androgen receptor isoform X1")</f>
        <v>androgen receptor isoform X1</v>
      </c>
      <c r="J98" t="s">
        <v>1261</v>
      </c>
      <c r="K98">
        <v>514.23</v>
      </c>
      <c r="L98" t="s">
        <v>20</v>
      </c>
      <c r="M98">
        <v>157</v>
      </c>
      <c r="N98">
        <v>62.55</v>
      </c>
      <c r="O98">
        <v>100</v>
      </c>
      <c r="P98" t="s">
        <v>20</v>
      </c>
      <c r="Q98" t="s">
        <v>1262</v>
      </c>
      <c r="R98" t="s">
        <v>20</v>
      </c>
      <c r="S98" t="str">
        <f>HYPERLINK("https://cfpub.epa.gov/ecotox/explore.cfm?ncbi=9361","Explore in ECOTOX")</f>
        <v>Explore in ECOTOX</v>
      </c>
    </row>
    <row r="99" spans="1:19" x14ac:dyDescent="0.25">
      <c r="A99">
        <v>6</v>
      </c>
      <c r="B99" t="str">
        <f>HYPERLINK("http://www.ncbi.nlm.nih.gov/protein/XP_014399122.1","XP_014399122.1")</f>
        <v>XP_014399122.1</v>
      </c>
      <c r="C99">
        <v>60288</v>
      </c>
      <c r="D99" t="str">
        <f>HYPERLINK("http://www.ncbi.nlm.nih.gov/Taxonomy/Browser/wwwtax.cgi?mode=Info&amp;id=109478&amp;lvl=3&amp;lin=f&amp;keep=1&amp;srchmode=1&amp;unlock","109478")</f>
        <v>109478</v>
      </c>
      <c r="E99" t="s">
        <v>18</v>
      </c>
      <c r="F99" t="s">
        <v>18</v>
      </c>
      <c r="G99" t="str">
        <f>HYPERLINK("http://www.ncbi.nlm.nih.gov/Taxonomy/Browser/wwwtax.cgi?mode=Info&amp;id=109478&amp;lvl=3&amp;lin=f&amp;keep=1&amp;srchmode=1&amp;unlock","Myotis brandtii")</f>
        <v>Myotis brandtii</v>
      </c>
      <c r="H99" t="s">
        <v>95</v>
      </c>
      <c r="I99" t="str">
        <f>HYPERLINK("http://www.ncbi.nlm.nih.gov/protein/XP_014399122.1","PREDICTED: androgen receptor isoform X2")</f>
        <v>PREDICTED: androgen receptor isoform X2</v>
      </c>
      <c r="J99" t="s">
        <v>1261</v>
      </c>
      <c r="K99">
        <v>514.23</v>
      </c>
      <c r="L99" t="s">
        <v>20</v>
      </c>
      <c r="M99">
        <v>157</v>
      </c>
      <c r="N99">
        <v>62.55</v>
      </c>
      <c r="O99">
        <v>100</v>
      </c>
      <c r="P99" t="s">
        <v>20</v>
      </c>
      <c r="Q99" t="s">
        <v>1262</v>
      </c>
      <c r="R99" t="s">
        <v>20</v>
      </c>
      <c r="S99" t="str">
        <f>HYPERLINK("https://cfpub.epa.gov/ecotox/explore.cfm?ncbi=109478","Explore in ECOTOX")</f>
        <v>Explore in ECOTOX</v>
      </c>
    </row>
    <row r="100" spans="1:19" x14ac:dyDescent="0.25">
      <c r="A100">
        <v>6</v>
      </c>
      <c r="B100" t="str">
        <f>HYPERLINK("http://www.ncbi.nlm.nih.gov/protein/XP_004661062.1","XP_004661062.1")</f>
        <v>XP_004661062.1</v>
      </c>
      <c r="C100">
        <v>25744</v>
      </c>
      <c r="D100" t="str">
        <f>HYPERLINK("http://www.ncbi.nlm.nih.gov/Taxonomy/Browser/wwwtax.cgi?mode=Info&amp;id=51337&amp;lvl=3&amp;lin=f&amp;keep=1&amp;srchmode=1&amp;unlock","51337")</f>
        <v>51337</v>
      </c>
      <c r="E100" t="s">
        <v>18</v>
      </c>
      <c r="F100" t="s">
        <v>18</v>
      </c>
      <c r="G100" t="str">
        <f>HYPERLINK("http://www.ncbi.nlm.nih.gov/Taxonomy/Browser/wwwtax.cgi?mode=Info&amp;id=51337&amp;lvl=3&amp;lin=f&amp;keep=1&amp;srchmode=1&amp;unlock","Jaculus jaculus")</f>
        <v>Jaculus jaculus</v>
      </c>
      <c r="H100" t="s">
        <v>91</v>
      </c>
      <c r="I100" t="str">
        <f>HYPERLINK("http://www.ncbi.nlm.nih.gov/protein/XP_004661062.1","PREDICTED: androgen receptor")</f>
        <v>PREDICTED: androgen receptor</v>
      </c>
      <c r="J100" t="s">
        <v>1261</v>
      </c>
      <c r="K100">
        <v>514.23</v>
      </c>
      <c r="L100" t="s">
        <v>20</v>
      </c>
      <c r="M100">
        <v>157</v>
      </c>
      <c r="N100">
        <v>62.55</v>
      </c>
      <c r="O100">
        <v>100</v>
      </c>
      <c r="P100" t="s">
        <v>20</v>
      </c>
      <c r="Q100" t="s">
        <v>1262</v>
      </c>
      <c r="R100" t="s">
        <v>20</v>
      </c>
      <c r="S100" t="str">
        <f>HYPERLINK("https://cfpub.epa.gov/ecotox/explore.cfm?ncbi=51337","Explore in ECOTOX")</f>
        <v>Explore in ECOTOX</v>
      </c>
    </row>
    <row r="101" spans="1:19" x14ac:dyDescent="0.25">
      <c r="A101">
        <v>6</v>
      </c>
      <c r="B101" t="str">
        <f>HYPERLINK("http://www.ncbi.nlm.nih.gov/protein/XP_006082997.1","XP_006082997.1")</f>
        <v>XP_006082997.1</v>
      </c>
      <c r="C101">
        <v>44006</v>
      </c>
      <c r="D101" t="str">
        <f>HYPERLINK("http://www.ncbi.nlm.nih.gov/Taxonomy/Browser/wwwtax.cgi?mode=Info&amp;id=59463&amp;lvl=3&amp;lin=f&amp;keep=1&amp;srchmode=1&amp;unlock","59463")</f>
        <v>59463</v>
      </c>
      <c r="E101" t="s">
        <v>18</v>
      </c>
      <c r="F101" t="s">
        <v>18</v>
      </c>
      <c r="G101" t="str">
        <f>HYPERLINK("http://www.ncbi.nlm.nih.gov/Taxonomy/Browser/wwwtax.cgi?mode=Info&amp;id=59463&amp;lvl=3&amp;lin=f&amp;keep=1&amp;srchmode=1&amp;unlock","Myotis lucifugus")</f>
        <v>Myotis lucifugus</v>
      </c>
      <c r="H101" t="s">
        <v>94</v>
      </c>
      <c r="I101" t="str">
        <f>HYPERLINK("http://www.ncbi.nlm.nih.gov/protein/XP_006082997.1","androgen receptor isoform X1")</f>
        <v>androgen receptor isoform X1</v>
      </c>
      <c r="J101" t="s">
        <v>1261</v>
      </c>
      <c r="K101">
        <v>514.23</v>
      </c>
      <c r="L101" t="s">
        <v>20</v>
      </c>
      <c r="M101">
        <v>157</v>
      </c>
      <c r="N101">
        <v>62.55</v>
      </c>
      <c r="O101">
        <v>100</v>
      </c>
      <c r="P101" t="s">
        <v>20</v>
      </c>
      <c r="Q101" t="s">
        <v>1262</v>
      </c>
      <c r="R101" t="s">
        <v>20</v>
      </c>
      <c r="S101" t="str">
        <f>HYPERLINK("https://cfpub.epa.gov/ecotox/explore.cfm?ncbi=59463","Explore in ECOTOX")</f>
        <v>Explore in ECOTOX</v>
      </c>
    </row>
    <row r="102" spans="1:19" x14ac:dyDescent="0.25">
      <c r="A102">
        <v>6</v>
      </c>
      <c r="B102" t="str">
        <f>HYPERLINK("http://www.ncbi.nlm.nih.gov/protein/XP_006215299.1","XP_006215299.1")</f>
        <v>XP_006215299.1</v>
      </c>
      <c r="C102">
        <v>44961</v>
      </c>
      <c r="D102" t="str">
        <f>HYPERLINK("http://www.ncbi.nlm.nih.gov/Taxonomy/Browser/wwwtax.cgi?mode=Info&amp;id=30538&amp;lvl=3&amp;lin=f&amp;keep=1&amp;srchmode=1&amp;unlock","30538")</f>
        <v>30538</v>
      </c>
      <c r="E102" t="s">
        <v>18</v>
      </c>
      <c r="F102" t="s">
        <v>18</v>
      </c>
      <c r="G102" t="str">
        <f>HYPERLINK("http://www.ncbi.nlm.nih.gov/Taxonomy/Browser/wwwtax.cgi?mode=Info&amp;id=30538&amp;lvl=3&amp;lin=f&amp;keep=1&amp;srchmode=1&amp;unlock","Vicugna pacos")</f>
        <v>Vicugna pacos</v>
      </c>
      <c r="H102" t="s">
        <v>971</v>
      </c>
      <c r="I102" t="str">
        <f>HYPERLINK("http://www.ncbi.nlm.nih.gov/protein/XP_006215299.1","androgen receptor")</f>
        <v>androgen receptor</v>
      </c>
      <c r="J102" t="s">
        <v>1261</v>
      </c>
      <c r="K102">
        <v>514.23</v>
      </c>
      <c r="L102" t="s">
        <v>20</v>
      </c>
      <c r="M102">
        <v>157</v>
      </c>
      <c r="N102">
        <v>62.55</v>
      </c>
      <c r="O102">
        <v>100</v>
      </c>
      <c r="P102" t="s">
        <v>20</v>
      </c>
      <c r="Q102" t="s">
        <v>1262</v>
      </c>
      <c r="R102" t="s">
        <v>20</v>
      </c>
      <c r="S102" t="str">
        <f>HYPERLINK("https://cfpub.epa.gov/ecotox/explore.cfm?ncbi=30538","Explore in ECOTOX")</f>
        <v>Explore in ECOTOX</v>
      </c>
    </row>
    <row r="103" spans="1:19" x14ac:dyDescent="0.25">
      <c r="A103">
        <v>6</v>
      </c>
      <c r="B103" t="str">
        <f>HYPERLINK("http://www.ncbi.nlm.nih.gov/protein/XP_008157993.1","XP_008157993.1")</f>
        <v>XP_008157993.1</v>
      </c>
      <c r="C103">
        <v>50025</v>
      </c>
      <c r="D103" t="str">
        <f>HYPERLINK("http://www.ncbi.nlm.nih.gov/Taxonomy/Browser/wwwtax.cgi?mode=Info&amp;id=29078&amp;lvl=3&amp;lin=f&amp;keep=1&amp;srchmode=1&amp;unlock","29078")</f>
        <v>29078</v>
      </c>
      <c r="E103" t="s">
        <v>18</v>
      </c>
      <c r="F103" t="s">
        <v>18</v>
      </c>
      <c r="G103" t="str">
        <f>HYPERLINK("http://www.ncbi.nlm.nih.gov/Taxonomy/Browser/wwwtax.cgi?mode=Info&amp;id=29078&amp;lvl=3&amp;lin=f&amp;keep=1&amp;srchmode=1&amp;unlock","Eptesicus fuscus")</f>
        <v>Eptesicus fuscus</v>
      </c>
      <c r="H103" t="s">
        <v>99</v>
      </c>
      <c r="I103" t="str">
        <f>HYPERLINK("http://www.ncbi.nlm.nih.gov/protein/XP_008157993.1","androgen receptor")</f>
        <v>androgen receptor</v>
      </c>
      <c r="J103" t="s">
        <v>1261</v>
      </c>
      <c r="K103">
        <v>514.23</v>
      </c>
      <c r="L103" t="s">
        <v>20</v>
      </c>
      <c r="M103">
        <v>157</v>
      </c>
      <c r="N103">
        <v>62.55</v>
      </c>
      <c r="O103">
        <v>100</v>
      </c>
      <c r="P103" t="s">
        <v>20</v>
      </c>
      <c r="Q103" t="s">
        <v>1262</v>
      </c>
      <c r="R103" t="s">
        <v>20</v>
      </c>
      <c r="S103" t="str">
        <f>HYPERLINK("https://cfpub.epa.gov/ecotox/explore.cfm?ncbi=29078","Explore in ECOTOX")</f>
        <v>Explore in ECOTOX</v>
      </c>
    </row>
    <row r="104" spans="1:19" x14ac:dyDescent="0.25">
      <c r="A104">
        <v>6</v>
      </c>
      <c r="B104" t="str">
        <f>HYPERLINK("http://www.ncbi.nlm.nih.gov/protein/XP_006902051.1","XP_006902051.1")</f>
        <v>XP_006902051.1</v>
      </c>
      <c r="C104">
        <v>25292</v>
      </c>
      <c r="D104" t="str">
        <f>HYPERLINK("http://www.ncbi.nlm.nih.gov/Taxonomy/Browser/wwwtax.cgi?mode=Info&amp;id=28737&amp;lvl=3&amp;lin=f&amp;keep=1&amp;srchmode=1&amp;unlock","28737")</f>
        <v>28737</v>
      </c>
      <c r="E104" t="s">
        <v>18</v>
      </c>
      <c r="F104" t="s">
        <v>18</v>
      </c>
      <c r="G104" t="str">
        <f>HYPERLINK("http://www.ncbi.nlm.nih.gov/Taxonomy/Browser/wwwtax.cgi?mode=Info&amp;id=28737&amp;lvl=3&amp;lin=f&amp;keep=1&amp;srchmode=1&amp;unlock","Elephantulus edwardii")</f>
        <v>Elephantulus edwardii</v>
      </c>
      <c r="H104" t="s">
        <v>151</v>
      </c>
      <c r="I104" t="str">
        <f>HYPERLINK("http://www.ncbi.nlm.nih.gov/protein/XP_006902051.1","PREDICTED: androgen receptor-like")</f>
        <v>PREDICTED: androgen receptor-like</v>
      </c>
      <c r="J104" t="s">
        <v>1261</v>
      </c>
      <c r="K104">
        <v>514.23</v>
      </c>
      <c r="L104" t="s">
        <v>20</v>
      </c>
      <c r="M104">
        <v>157</v>
      </c>
      <c r="N104">
        <v>62.55</v>
      </c>
      <c r="O104">
        <v>100</v>
      </c>
      <c r="P104" t="s">
        <v>20</v>
      </c>
      <c r="Q104" t="s">
        <v>1262</v>
      </c>
      <c r="R104" t="s">
        <v>20</v>
      </c>
      <c r="S104" t="str">
        <f>HYPERLINK("https://cfpub.epa.gov/ecotox/explore.cfm?ncbi=28737","Explore in ECOTOX")</f>
        <v>Explore in ECOTOX</v>
      </c>
    </row>
    <row r="105" spans="1:19" x14ac:dyDescent="0.25">
      <c r="A105">
        <v>6</v>
      </c>
      <c r="B105" t="str">
        <f>HYPERLINK("http://www.ncbi.nlm.nih.gov/protein/XP_031302354.1","XP_031302354.1")</f>
        <v>XP_031302354.1</v>
      </c>
      <c r="C105">
        <v>86974</v>
      </c>
      <c r="D105" t="str">
        <f>HYPERLINK("http://www.ncbi.nlm.nih.gov/Taxonomy/Browser/wwwtax.cgi?mode=Info&amp;id=9838&amp;lvl=3&amp;lin=f&amp;keep=1&amp;srchmode=1&amp;unlock","9838")</f>
        <v>9838</v>
      </c>
      <c r="E105" t="s">
        <v>18</v>
      </c>
      <c r="F105" t="s">
        <v>18</v>
      </c>
      <c r="G105" t="str">
        <f>HYPERLINK("http://www.ncbi.nlm.nih.gov/Taxonomy/Browser/wwwtax.cgi?mode=Info&amp;id=9838&amp;lvl=3&amp;lin=f&amp;keep=1&amp;srchmode=1&amp;unlock","Camelus dromedarius")</f>
        <v>Camelus dromedarius</v>
      </c>
      <c r="H105" t="s">
        <v>115</v>
      </c>
      <c r="I105" t="str">
        <f>HYPERLINK("http://www.ncbi.nlm.nih.gov/protein/XP_031302354.1","androgen receptor")</f>
        <v>androgen receptor</v>
      </c>
      <c r="J105" t="s">
        <v>1261</v>
      </c>
      <c r="K105">
        <v>514.23</v>
      </c>
      <c r="L105" t="s">
        <v>20</v>
      </c>
      <c r="M105">
        <v>157</v>
      </c>
      <c r="N105">
        <v>62.55</v>
      </c>
      <c r="O105">
        <v>100</v>
      </c>
      <c r="P105" t="s">
        <v>20</v>
      </c>
      <c r="Q105" t="s">
        <v>1262</v>
      </c>
      <c r="R105" t="s">
        <v>20</v>
      </c>
      <c r="S105" t="str">
        <f>HYPERLINK("https://cfpub.epa.gov/ecotox/explore.cfm?ncbi=9838","Explore in ECOTOX")</f>
        <v>Explore in ECOTOX</v>
      </c>
    </row>
    <row r="106" spans="1:19" x14ac:dyDescent="0.25">
      <c r="A106">
        <v>6</v>
      </c>
      <c r="B106" t="str">
        <f>HYPERLINK("http://www.ncbi.nlm.nih.gov/protein/XP_032330272.1","XP_032330272.1")</f>
        <v>XP_032330272.1</v>
      </c>
      <c r="C106">
        <v>74736</v>
      </c>
      <c r="D106" t="str">
        <f>HYPERLINK("http://www.ncbi.nlm.nih.gov/Taxonomy/Browser/wwwtax.cgi?mode=Info&amp;id=419612&amp;lvl=3&amp;lin=f&amp;keep=1&amp;srchmode=1&amp;unlock","419612")</f>
        <v>419612</v>
      </c>
      <c r="E106" t="s">
        <v>18</v>
      </c>
      <c r="F106" t="s">
        <v>18</v>
      </c>
      <c r="G106" t="str">
        <f>HYPERLINK("http://www.ncbi.nlm.nih.gov/Taxonomy/Browser/wwwtax.cgi?mode=Info&amp;id=419612&amp;lvl=3&amp;lin=f&amp;keep=1&amp;srchmode=1&amp;unlock","Camelus ferus")</f>
        <v>Camelus ferus</v>
      </c>
      <c r="H106" t="s">
        <v>96</v>
      </c>
      <c r="I106" t="str">
        <f>HYPERLINK("http://www.ncbi.nlm.nih.gov/protein/XP_032330272.1","androgen receptor")</f>
        <v>androgen receptor</v>
      </c>
      <c r="J106" t="s">
        <v>1261</v>
      </c>
      <c r="K106">
        <v>514.23</v>
      </c>
      <c r="L106" t="s">
        <v>20</v>
      </c>
      <c r="M106">
        <v>157</v>
      </c>
      <c r="N106">
        <v>62.55</v>
      </c>
      <c r="O106">
        <v>100</v>
      </c>
      <c r="P106" t="s">
        <v>20</v>
      </c>
      <c r="Q106" t="s">
        <v>1262</v>
      </c>
      <c r="R106" t="s">
        <v>20</v>
      </c>
      <c r="S106" t="str">
        <f>HYPERLINK("https://cfpub.epa.gov/ecotox/explore.cfm?ncbi=419612","Explore in ECOTOX")</f>
        <v>Explore in ECOTOX</v>
      </c>
    </row>
    <row r="107" spans="1:19" x14ac:dyDescent="0.25">
      <c r="A107">
        <v>6</v>
      </c>
      <c r="B107" t="str">
        <f>HYPERLINK("http://www.ncbi.nlm.nih.gov/protein/XP_005401638.1","XP_005401638.1")</f>
        <v>XP_005401638.1</v>
      </c>
      <c r="C107">
        <v>45556</v>
      </c>
      <c r="D107" t="str">
        <f>HYPERLINK("http://www.ncbi.nlm.nih.gov/Taxonomy/Browser/wwwtax.cgi?mode=Info&amp;id=34839&amp;lvl=3&amp;lin=f&amp;keep=1&amp;srchmode=1&amp;unlock","34839")</f>
        <v>34839</v>
      </c>
      <c r="E107" t="s">
        <v>18</v>
      </c>
      <c r="F107" t="s">
        <v>18</v>
      </c>
      <c r="G107" t="str">
        <f>HYPERLINK("http://www.ncbi.nlm.nih.gov/Taxonomy/Browser/wwwtax.cgi?mode=Info&amp;id=34839&amp;lvl=3&amp;lin=f&amp;keep=1&amp;srchmode=1&amp;unlock","Chinchilla lanigera")</f>
        <v>Chinchilla lanigera</v>
      </c>
      <c r="H107" t="s">
        <v>156</v>
      </c>
      <c r="I107" t="str">
        <f>HYPERLINK("http://www.ncbi.nlm.nih.gov/protein/XP_005401638.1","PREDICTED: androgen receptor")</f>
        <v>PREDICTED: androgen receptor</v>
      </c>
      <c r="J107" t="s">
        <v>1261</v>
      </c>
      <c r="K107">
        <v>514.23</v>
      </c>
      <c r="L107" t="s">
        <v>20</v>
      </c>
      <c r="M107">
        <v>157</v>
      </c>
      <c r="N107">
        <v>62.55</v>
      </c>
      <c r="O107">
        <v>100</v>
      </c>
      <c r="P107" t="s">
        <v>20</v>
      </c>
      <c r="Q107" t="s">
        <v>1262</v>
      </c>
      <c r="R107" t="s">
        <v>20</v>
      </c>
      <c r="S107" t="str">
        <f>HYPERLINK("https://cfpub.epa.gov/ecotox/explore.cfm?ncbi=34839","Explore in ECOTOX")</f>
        <v>Explore in ECOTOX</v>
      </c>
    </row>
    <row r="108" spans="1:19" x14ac:dyDescent="0.25">
      <c r="A108">
        <v>6</v>
      </c>
      <c r="B108" t="str">
        <f>HYPERLINK("http://www.ncbi.nlm.nih.gov/protein/XP_036268512.1","XP_036268512.1")</f>
        <v>XP_036268512.1</v>
      </c>
      <c r="C108">
        <v>93471</v>
      </c>
      <c r="D108" t="str">
        <f>HYPERLINK("http://www.ncbi.nlm.nih.gov/Taxonomy/Browser/wwwtax.cgi?mode=Info&amp;id=59472&amp;lvl=3&amp;lin=f&amp;keep=1&amp;srchmode=1&amp;unlock","59472")</f>
        <v>59472</v>
      </c>
      <c r="E108" t="s">
        <v>18</v>
      </c>
      <c r="F108" t="s">
        <v>18</v>
      </c>
      <c r="G108" t="str">
        <f>HYPERLINK("http://www.ncbi.nlm.nih.gov/Taxonomy/Browser/wwwtax.cgi?mode=Info&amp;id=59472&amp;lvl=3&amp;lin=f&amp;keep=1&amp;srchmode=1&amp;unlock","Pipistrellus kuhlii")</f>
        <v>Pipistrellus kuhlii</v>
      </c>
      <c r="H108" t="s">
        <v>92</v>
      </c>
      <c r="I108" t="str">
        <f>HYPERLINK("http://www.ncbi.nlm.nih.gov/protein/XP_036268512.1","androgen receptor isoform X1")</f>
        <v>androgen receptor isoform X1</v>
      </c>
      <c r="J108" t="s">
        <v>1261</v>
      </c>
      <c r="K108">
        <v>514.23</v>
      </c>
      <c r="L108" t="s">
        <v>20</v>
      </c>
      <c r="M108">
        <v>157</v>
      </c>
      <c r="N108">
        <v>62.55</v>
      </c>
      <c r="O108">
        <v>100</v>
      </c>
      <c r="P108" t="s">
        <v>20</v>
      </c>
      <c r="Q108" t="s">
        <v>1262</v>
      </c>
      <c r="R108" t="s">
        <v>20</v>
      </c>
      <c r="S108" t="str">
        <f>HYPERLINK("https://cfpub.epa.gov/ecotox/explore.cfm?ncbi=59472","Explore in ECOTOX")</f>
        <v>Explore in ECOTOX</v>
      </c>
    </row>
    <row r="109" spans="1:19" x14ac:dyDescent="0.25">
      <c r="A109">
        <v>6</v>
      </c>
      <c r="B109" t="str">
        <f>HYPERLINK("http://www.ncbi.nlm.nih.gov/protein/XP_016013685.2","XP_016013685.2")</f>
        <v>XP_016013685.2</v>
      </c>
      <c r="C109">
        <v>117130</v>
      </c>
      <c r="D109" t="str">
        <f>HYPERLINK("http://www.ncbi.nlm.nih.gov/Taxonomy/Browser/wwwtax.cgi?mode=Info&amp;id=9407&amp;lvl=3&amp;lin=f&amp;keep=1&amp;srchmode=1&amp;unlock","9407")</f>
        <v>9407</v>
      </c>
      <c r="E109" t="s">
        <v>18</v>
      </c>
      <c r="F109" t="s">
        <v>18</v>
      </c>
      <c r="G109" t="str">
        <f>HYPERLINK("http://www.ncbi.nlm.nih.gov/Taxonomy/Browser/wwwtax.cgi?mode=Info&amp;id=9407&amp;lvl=3&amp;lin=f&amp;keep=1&amp;srchmode=1&amp;unlock","Rousettus aegyptiacus")</f>
        <v>Rousettus aegyptiacus</v>
      </c>
      <c r="H109" t="s">
        <v>170</v>
      </c>
      <c r="I109" t="str">
        <f>HYPERLINK("http://www.ncbi.nlm.nih.gov/protein/XP_016013685.2","androgen receptor")</f>
        <v>androgen receptor</v>
      </c>
      <c r="J109" t="s">
        <v>1261</v>
      </c>
      <c r="K109">
        <v>514.23</v>
      </c>
      <c r="L109" t="s">
        <v>20</v>
      </c>
      <c r="M109">
        <v>157</v>
      </c>
      <c r="N109">
        <v>62.55</v>
      </c>
      <c r="O109">
        <v>100</v>
      </c>
      <c r="P109" t="s">
        <v>20</v>
      </c>
      <c r="Q109" t="s">
        <v>1262</v>
      </c>
      <c r="R109" t="s">
        <v>20</v>
      </c>
      <c r="S109" t="str">
        <f>HYPERLINK("https://cfpub.epa.gov/ecotox/explore.cfm?ncbi=9407","Explore in ECOTOX")</f>
        <v>Explore in ECOTOX</v>
      </c>
    </row>
    <row r="110" spans="1:19" x14ac:dyDescent="0.25">
      <c r="A110">
        <v>6</v>
      </c>
      <c r="B110" t="str">
        <f>HYPERLINK("http://www.ncbi.nlm.nih.gov/protein/XP_011369769.1","XP_011369769.1")</f>
        <v>XP_011369769.1</v>
      </c>
      <c r="C110">
        <v>43879</v>
      </c>
      <c r="D110" t="str">
        <f>HYPERLINK("http://www.ncbi.nlm.nih.gov/Taxonomy/Browser/wwwtax.cgi?mode=Info&amp;id=132908&amp;lvl=3&amp;lin=f&amp;keep=1&amp;srchmode=1&amp;unlock","132908")</f>
        <v>132908</v>
      </c>
      <c r="E110" t="s">
        <v>18</v>
      </c>
      <c r="F110" t="s">
        <v>18</v>
      </c>
      <c r="G110" t="str">
        <f>HYPERLINK("http://www.ncbi.nlm.nih.gov/Taxonomy/Browser/wwwtax.cgi?mode=Info&amp;id=132908&amp;lvl=3&amp;lin=f&amp;keep=1&amp;srchmode=1&amp;unlock","Pteropus vampyrus")</f>
        <v>Pteropus vampyrus</v>
      </c>
      <c r="H110" t="s">
        <v>972</v>
      </c>
      <c r="I110" t="str">
        <f>HYPERLINK("http://www.ncbi.nlm.nih.gov/protein/XP_011369769.1","LOW QUALITY PROTEIN: androgen receptor")</f>
        <v>LOW QUALITY PROTEIN: androgen receptor</v>
      </c>
      <c r="J110" t="s">
        <v>1261</v>
      </c>
      <c r="K110">
        <v>514.23</v>
      </c>
      <c r="L110" t="s">
        <v>20</v>
      </c>
      <c r="M110">
        <v>157</v>
      </c>
      <c r="N110">
        <v>62.55</v>
      </c>
      <c r="O110">
        <v>100</v>
      </c>
      <c r="P110" t="s">
        <v>20</v>
      </c>
      <c r="Q110" t="s">
        <v>1262</v>
      </c>
      <c r="R110" t="s">
        <v>20</v>
      </c>
      <c r="S110" t="str">
        <f>HYPERLINK("https://cfpub.epa.gov/ecotox/explore.cfm?ncbi=132908","Explore in ECOTOX")</f>
        <v>Explore in ECOTOX</v>
      </c>
    </row>
    <row r="111" spans="1:19" x14ac:dyDescent="0.25">
      <c r="A111">
        <v>6</v>
      </c>
      <c r="B111" t="str">
        <f>HYPERLINK("http://www.ncbi.nlm.nih.gov/protein/XP_040487359.1","XP_040487359.1")</f>
        <v>XP_040487359.1</v>
      </c>
      <c r="C111">
        <v>41699</v>
      </c>
      <c r="D111" t="str">
        <f>HYPERLINK("http://www.ncbi.nlm.nih.gov/Taxonomy/Browser/wwwtax.cgi?mode=Info&amp;id=29073&amp;lvl=3&amp;lin=f&amp;keep=1&amp;srchmode=1&amp;unlock","29073")</f>
        <v>29073</v>
      </c>
      <c r="E111" t="s">
        <v>18</v>
      </c>
      <c r="F111" t="s">
        <v>18</v>
      </c>
      <c r="G111" t="str">
        <f>HYPERLINK("http://www.ncbi.nlm.nih.gov/Taxonomy/Browser/wwwtax.cgi?mode=Info&amp;id=29073&amp;lvl=3&amp;lin=f&amp;keep=1&amp;srchmode=1&amp;unlock","Ursus maritimus")</f>
        <v>Ursus maritimus</v>
      </c>
      <c r="H111" t="s">
        <v>161</v>
      </c>
      <c r="I111" t="str">
        <f>HYPERLINK("http://www.ncbi.nlm.nih.gov/protein/XP_040487359.1","androgen receptor")</f>
        <v>androgen receptor</v>
      </c>
      <c r="J111" t="s">
        <v>1261</v>
      </c>
      <c r="K111">
        <v>514.23</v>
      </c>
      <c r="L111" t="s">
        <v>20</v>
      </c>
      <c r="M111">
        <v>157</v>
      </c>
      <c r="N111">
        <v>62.55</v>
      </c>
      <c r="O111">
        <v>100</v>
      </c>
      <c r="P111" t="s">
        <v>20</v>
      </c>
      <c r="Q111" t="s">
        <v>1262</v>
      </c>
      <c r="R111" t="s">
        <v>20</v>
      </c>
      <c r="S111" t="str">
        <f>HYPERLINK("https://cfpub.epa.gov/ecotox/explore.cfm?ncbi=29073","Explore in ECOTOX")</f>
        <v>Explore in ECOTOX</v>
      </c>
    </row>
    <row r="112" spans="1:19" x14ac:dyDescent="0.25">
      <c r="A112">
        <v>6</v>
      </c>
      <c r="B112" t="str">
        <f>HYPERLINK("http://www.ncbi.nlm.nih.gov/protein/CAD7682244.1","CAD7682244.1")</f>
        <v>CAD7682244.1</v>
      </c>
      <c r="C112">
        <v>27261</v>
      </c>
      <c r="D112" t="str">
        <f>HYPERLINK("http://www.ncbi.nlm.nih.gov/Taxonomy/Browser/wwwtax.cgi?mode=Info&amp;id=34880&amp;lvl=3&amp;lin=f&amp;keep=1&amp;srchmode=1&amp;unlock","34880")</f>
        <v>34880</v>
      </c>
      <c r="E112" t="s">
        <v>18</v>
      </c>
      <c r="F112" t="s">
        <v>18</v>
      </c>
      <c r="G112" t="str">
        <f>HYPERLINK("http://www.ncbi.nlm.nih.gov/Taxonomy/Browser/wwwtax.cgi?mode=Info&amp;id=34880&amp;lvl=3&amp;lin=f&amp;keep=1&amp;srchmode=1&amp;unlock","Nyctereutes procyonoides")</f>
        <v>Nyctereutes procyonoides</v>
      </c>
      <c r="H112" t="s">
        <v>39</v>
      </c>
      <c r="I112" t="str">
        <f>HYPERLINK("http://www.ncbi.nlm.nih.gov/protein/CAD7682244.1","unnamed protein product")</f>
        <v>unnamed protein product</v>
      </c>
      <c r="J112" t="s">
        <v>1261</v>
      </c>
      <c r="K112">
        <v>514.23</v>
      </c>
      <c r="L112" t="s">
        <v>20</v>
      </c>
      <c r="M112">
        <v>157</v>
      </c>
      <c r="N112">
        <v>62.55</v>
      </c>
      <c r="O112">
        <v>100</v>
      </c>
      <c r="P112" t="s">
        <v>20</v>
      </c>
      <c r="Q112" t="s">
        <v>1262</v>
      </c>
      <c r="R112" t="s">
        <v>20</v>
      </c>
      <c r="S112" t="str">
        <f>HYPERLINK("https://cfpub.epa.gov/ecotox/explore.cfm?ncbi=34880","Explore in ECOTOX")</f>
        <v>Explore in ECOTOX</v>
      </c>
    </row>
    <row r="113" spans="1:19" x14ac:dyDescent="0.25">
      <c r="A113">
        <v>6</v>
      </c>
      <c r="B113" t="str">
        <f>HYPERLINK("http://www.ncbi.nlm.nih.gov/protein/XP_010630488.1","XP_010630488.1")</f>
        <v>XP_010630488.1</v>
      </c>
      <c r="C113">
        <v>67680</v>
      </c>
      <c r="D113" t="str">
        <f>HYPERLINK("http://www.ncbi.nlm.nih.gov/Taxonomy/Browser/wwwtax.cgi?mode=Info&amp;id=885580&amp;lvl=3&amp;lin=f&amp;keep=1&amp;srchmode=1&amp;unlock","885580")</f>
        <v>885580</v>
      </c>
      <c r="E113" t="s">
        <v>18</v>
      </c>
      <c r="F113" t="s">
        <v>18</v>
      </c>
      <c r="G113" t="str">
        <f>HYPERLINK("http://www.ncbi.nlm.nih.gov/Taxonomy/Browser/wwwtax.cgi?mode=Info&amp;id=885580&amp;lvl=3&amp;lin=f&amp;keep=1&amp;srchmode=1&amp;unlock","Fukomys damarensis")</f>
        <v>Fukomys damarensis</v>
      </c>
      <c r="H113" t="s">
        <v>163</v>
      </c>
      <c r="I113" t="str">
        <f>HYPERLINK("http://www.ncbi.nlm.nih.gov/protein/XP_010630488.1","androgen receptor")</f>
        <v>androgen receptor</v>
      </c>
      <c r="J113" t="s">
        <v>1261</v>
      </c>
      <c r="K113">
        <v>514.23</v>
      </c>
      <c r="L113" t="s">
        <v>20</v>
      </c>
      <c r="M113">
        <v>157</v>
      </c>
      <c r="N113">
        <v>62.55</v>
      </c>
      <c r="O113">
        <v>100</v>
      </c>
      <c r="P113" t="s">
        <v>20</v>
      </c>
      <c r="Q113" t="s">
        <v>1262</v>
      </c>
      <c r="R113" t="s">
        <v>20</v>
      </c>
      <c r="S113" t="str">
        <f>HYPERLINK("https://cfpub.epa.gov/ecotox/explore.cfm?ncbi=885580","Explore in ECOTOX")</f>
        <v>Explore in ECOTOX</v>
      </c>
    </row>
    <row r="114" spans="1:19" x14ac:dyDescent="0.25">
      <c r="A114">
        <v>6</v>
      </c>
      <c r="B114" t="str">
        <f>HYPERLINK("http://www.ncbi.nlm.nih.gov/protein/XP_039714654.1","XP_039714654.1")</f>
        <v>XP_039714654.1</v>
      </c>
      <c r="C114">
        <v>53655</v>
      </c>
      <c r="D114" t="str">
        <f>HYPERLINK("http://www.ncbi.nlm.nih.gov/Taxonomy/Browser/wwwtax.cgi?mode=Info&amp;id=143291&amp;lvl=3&amp;lin=f&amp;keep=1&amp;srchmode=1&amp;unlock","143291")</f>
        <v>143291</v>
      </c>
      <c r="E114" t="s">
        <v>18</v>
      </c>
      <c r="F114" t="s">
        <v>18</v>
      </c>
      <c r="G114" t="str">
        <f>HYPERLINK("http://www.ncbi.nlm.nih.gov/Taxonomy/Browser/wwwtax.cgi?mode=Info&amp;id=143291&amp;lvl=3&amp;lin=f&amp;keep=1&amp;srchmode=1&amp;unlock","Pteropus giganteus")</f>
        <v>Pteropus giganteus</v>
      </c>
      <c r="H114" t="s">
        <v>103</v>
      </c>
      <c r="I114" t="str">
        <f>HYPERLINK("http://www.ncbi.nlm.nih.gov/protein/XP_039714654.1","LOW QUALITY PROTEIN: androgen receptor")</f>
        <v>LOW QUALITY PROTEIN: androgen receptor</v>
      </c>
      <c r="J114" t="s">
        <v>1261</v>
      </c>
      <c r="K114">
        <v>514.23</v>
      </c>
      <c r="L114" t="s">
        <v>20</v>
      </c>
      <c r="M114">
        <v>157</v>
      </c>
      <c r="N114">
        <v>62.55</v>
      </c>
      <c r="O114">
        <v>100</v>
      </c>
      <c r="P114" t="s">
        <v>20</v>
      </c>
      <c r="Q114" t="s">
        <v>1262</v>
      </c>
      <c r="R114" t="s">
        <v>20</v>
      </c>
      <c r="S114" t="str">
        <f>HYPERLINK("https://cfpub.epa.gov/ecotox/explore.cfm?ncbi=143291","Explore in ECOTOX")</f>
        <v>Explore in ECOTOX</v>
      </c>
    </row>
    <row r="115" spans="1:19" x14ac:dyDescent="0.25">
      <c r="A115">
        <v>6</v>
      </c>
      <c r="B115" t="str">
        <f>HYPERLINK("http://www.ncbi.nlm.nih.gov/protein/XP_020822884.1","XP_020822884.1")</f>
        <v>XP_020822884.1</v>
      </c>
      <c r="C115">
        <v>47290</v>
      </c>
      <c r="D115" t="str">
        <f>HYPERLINK("http://www.ncbi.nlm.nih.gov/Taxonomy/Browser/wwwtax.cgi?mode=Info&amp;id=38626&amp;lvl=3&amp;lin=f&amp;keep=1&amp;srchmode=1&amp;unlock","38626")</f>
        <v>38626</v>
      </c>
      <c r="E115" t="s">
        <v>18</v>
      </c>
      <c r="F115" t="s">
        <v>18</v>
      </c>
      <c r="G115" t="str">
        <f>HYPERLINK("http://www.ncbi.nlm.nih.gov/Taxonomy/Browser/wwwtax.cgi?mode=Info&amp;id=38626&amp;lvl=3&amp;lin=f&amp;keep=1&amp;srchmode=1&amp;unlock","Phascolarctos cinereus")</f>
        <v>Phascolarctos cinereus</v>
      </c>
      <c r="H115" t="s">
        <v>472</v>
      </c>
      <c r="I115" t="str">
        <f>HYPERLINK("http://www.ncbi.nlm.nih.gov/protein/XP_020822884.1","LOW QUALITY PROTEIN: androgen receptor")</f>
        <v>LOW QUALITY PROTEIN: androgen receptor</v>
      </c>
      <c r="J115" t="s">
        <v>1261</v>
      </c>
      <c r="K115">
        <v>514.23</v>
      </c>
      <c r="L115" t="s">
        <v>25</v>
      </c>
      <c r="M115">
        <v>157</v>
      </c>
      <c r="N115">
        <v>62.55</v>
      </c>
      <c r="O115">
        <v>100</v>
      </c>
      <c r="P115" t="s">
        <v>20</v>
      </c>
      <c r="Q115" t="s">
        <v>1262</v>
      </c>
      <c r="R115" t="s">
        <v>20</v>
      </c>
      <c r="S115" t="str">
        <f>HYPERLINK("https://cfpub.epa.gov/ecotox/explore.cfm?ncbi=38626","Explore in ECOTOX")</f>
        <v>Explore in ECOTOX</v>
      </c>
    </row>
    <row r="116" spans="1:19" x14ac:dyDescent="0.25">
      <c r="A116">
        <v>6</v>
      </c>
      <c r="B116" t="str">
        <f>HYPERLINK("http://www.ncbi.nlm.nih.gov/protein/XP_036596279.1","XP_036596279.1")</f>
        <v>XP_036596279.1</v>
      </c>
      <c r="C116">
        <v>35972</v>
      </c>
      <c r="D116" t="str">
        <f>HYPERLINK("http://www.ncbi.nlm.nih.gov/Taxonomy/Browser/wwwtax.cgi?mode=Info&amp;id=9337&amp;lvl=3&amp;lin=f&amp;keep=1&amp;srchmode=1&amp;unlock","9337")</f>
        <v>9337</v>
      </c>
      <c r="E116" t="s">
        <v>18</v>
      </c>
      <c r="F116" t="s">
        <v>18</v>
      </c>
      <c r="G116" t="str">
        <f>HYPERLINK("http://www.ncbi.nlm.nih.gov/Taxonomy/Browser/wwwtax.cgi?mode=Info&amp;id=9337&amp;lvl=3&amp;lin=f&amp;keep=1&amp;srchmode=1&amp;unlock","Trichosurus vulpecula")</f>
        <v>Trichosurus vulpecula</v>
      </c>
      <c r="H116" t="s">
        <v>150</v>
      </c>
      <c r="I116" t="str">
        <f>HYPERLINK("http://www.ncbi.nlm.nih.gov/protein/XP_036596279.1","androgen receptor")</f>
        <v>androgen receptor</v>
      </c>
      <c r="J116" t="s">
        <v>1261</v>
      </c>
      <c r="K116">
        <v>514.23</v>
      </c>
      <c r="L116" t="s">
        <v>20</v>
      </c>
      <c r="M116">
        <v>157</v>
      </c>
      <c r="N116">
        <v>62.55</v>
      </c>
      <c r="O116">
        <v>100</v>
      </c>
      <c r="P116" t="s">
        <v>20</v>
      </c>
      <c r="Q116" t="s">
        <v>1262</v>
      </c>
      <c r="R116" t="s">
        <v>20</v>
      </c>
      <c r="S116" t="str">
        <f>HYPERLINK("https://cfpub.epa.gov/ecotox/explore.cfm?ncbi=9337","Explore in ECOTOX")</f>
        <v>Explore in ECOTOX</v>
      </c>
    </row>
    <row r="117" spans="1:19" x14ac:dyDescent="0.25">
      <c r="A117">
        <v>6</v>
      </c>
      <c r="B117" t="str">
        <f>HYPERLINK("http://www.ncbi.nlm.nih.gov/protein/XP_007507022.1","XP_007507022.1")</f>
        <v>XP_007507022.1</v>
      </c>
      <c r="C117">
        <v>51257</v>
      </c>
      <c r="D117" t="str">
        <f>HYPERLINK("http://www.ncbi.nlm.nih.gov/Taxonomy/Browser/wwwtax.cgi?mode=Info&amp;id=13616&amp;lvl=3&amp;lin=f&amp;keep=1&amp;srchmode=1&amp;unlock","13616")</f>
        <v>13616</v>
      </c>
      <c r="E117" t="s">
        <v>18</v>
      </c>
      <c r="F117" t="s">
        <v>18</v>
      </c>
      <c r="G117" t="str">
        <f>HYPERLINK("http://www.ncbi.nlm.nih.gov/Taxonomy/Browser/wwwtax.cgi?mode=Info&amp;id=13616&amp;lvl=3&amp;lin=f&amp;keep=1&amp;srchmode=1&amp;unlock","Monodelphis domestica")</f>
        <v>Monodelphis domestica</v>
      </c>
      <c r="H117" t="s">
        <v>638</v>
      </c>
      <c r="I117" t="str">
        <f>HYPERLINK("http://www.ncbi.nlm.nih.gov/protein/XP_007507022.1","PREDICTED: androgen receptor")</f>
        <v>PREDICTED: androgen receptor</v>
      </c>
      <c r="J117" t="s">
        <v>1261</v>
      </c>
      <c r="K117">
        <v>514.23</v>
      </c>
      <c r="L117" t="s">
        <v>25</v>
      </c>
      <c r="M117">
        <v>157</v>
      </c>
      <c r="N117">
        <v>62.55</v>
      </c>
      <c r="O117">
        <v>100</v>
      </c>
      <c r="P117" t="s">
        <v>20</v>
      </c>
      <c r="Q117" t="s">
        <v>1262</v>
      </c>
      <c r="R117" t="s">
        <v>20</v>
      </c>
      <c r="S117" t="str">
        <f>HYPERLINK("https://cfpub.epa.gov/ecotox/explore.cfm?ncbi=13616","Explore in ECOTOX")</f>
        <v>Explore in ECOTOX</v>
      </c>
    </row>
    <row r="118" spans="1:19" x14ac:dyDescent="0.25">
      <c r="A118">
        <v>6</v>
      </c>
      <c r="B118" t="str">
        <f>HYPERLINK("http://www.ncbi.nlm.nih.gov/protein/XP_015357076.1","XP_015357076.1")</f>
        <v>XP_015357076.1</v>
      </c>
      <c r="C118">
        <v>31077</v>
      </c>
      <c r="D118" t="str">
        <f>HYPERLINK("http://www.ncbi.nlm.nih.gov/Taxonomy/Browser/wwwtax.cgi?mode=Info&amp;id=9994&amp;lvl=3&amp;lin=f&amp;keep=1&amp;srchmode=1&amp;unlock","9994")</f>
        <v>9994</v>
      </c>
      <c r="E118" t="s">
        <v>18</v>
      </c>
      <c r="F118" t="s">
        <v>18</v>
      </c>
      <c r="G118" t="str">
        <f>HYPERLINK("http://www.ncbi.nlm.nih.gov/Taxonomy/Browser/wwwtax.cgi?mode=Info&amp;id=9994&amp;lvl=3&amp;lin=f&amp;keep=1&amp;srchmode=1&amp;unlock","Marmota marmota marmota")</f>
        <v>Marmota marmota marmota</v>
      </c>
      <c r="H118" t="s">
        <v>81</v>
      </c>
      <c r="I118" t="str">
        <f>HYPERLINK("http://www.ncbi.nlm.nih.gov/protein/XP_015357076.1","PREDICTED: androgen receptor, partial")</f>
        <v>PREDICTED: androgen receptor, partial</v>
      </c>
      <c r="J118" t="s">
        <v>1261</v>
      </c>
      <c r="K118">
        <v>514.23</v>
      </c>
      <c r="L118" t="s">
        <v>20</v>
      </c>
      <c r="M118">
        <v>157</v>
      </c>
      <c r="N118">
        <v>62.55</v>
      </c>
      <c r="O118">
        <v>100</v>
      </c>
      <c r="P118" t="s">
        <v>20</v>
      </c>
      <c r="Q118" t="s">
        <v>1262</v>
      </c>
      <c r="R118" t="s">
        <v>20</v>
      </c>
      <c r="S118" t="str">
        <f>HYPERLINK("https://cfpub.epa.gov/ecotox/explore.cfm?ncbi=9994","Explore in ECOTOX")</f>
        <v>Explore in ECOTOX</v>
      </c>
    </row>
    <row r="119" spans="1:19" x14ac:dyDescent="0.25">
      <c r="A119">
        <v>6</v>
      </c>
      <c r="B119" t="str">
        <f>HYPERLINK("http://www.ncbi.nlm.nih.gov/protein/XP_007077225.1","XP_007077225.1")</f>
        <v>XP_007077225.1</v>
      </c>
      <c r="C119">
        <v>29960</v>
      </c>
      <c r="D119" t="str">
        <f>HYPERLINK("http://www.ncbi.nlm.nih.gov/Taxonomy/Browser/wwwtax.cgi?mode=Info&amp;id=74533&amp;lvl=3&amp;lin=f&amp;keep=1&amp;srchmode=1&amp;unlock","74533")</f>
        <v>74533</v>
      </c>
      <c r="E119" t="s">
        <v>18</v>
      </c>
      <c r="F119" t="s">
        <v>18</v>
      </c>
      <c r="G119" t="str">
        <f>HYPERLINK("http://www.ncbi.nlm.nih.gov/Taxonomy/Browser/wwwtax.cgi?mode=Info&amp;id=74533&amp;lvl=3&amp;lin=f&amp;keep=1&amp;srchmode=1&amp;unlock","Panthera tigris altaica")</f>
        <v>Panthera tigris altaica</v>
      </c>
      <c r="H119" t="s">
        <v>74</v>
      </c>
      <c r="I119" t="str">
        <f>HYPERLINK("http://www.ncbi.nlm.nih.gov/protein/XP_007077225.1","PREDICTED: androgen receptor")</f>
        <v>PREDICTED: androgen receptor</v>
      </c>
      <c r="J119" t="s">
        <v>1261</v>
      </c>
      <c r="K119">
        <v>514.23</v>
      </c>
      <c r="L119" t="s">
        <v>20</v>
      </c>
      <c r="M119">
        <v>157</v>
      </c>
      <c r="N119">
        <v>62.55</v>
      </c>
      <c r="O119">
        <v>100</v>
      </c>
      <c r="P119" t="s">
        <v>20</v>
      </c>
      <c r="Q119" t="s">
        <v>1262</v>
      </c>
      <c r="R119" t="s">
        <v>20</v>
      </c>
      <c r="S119" t="str">
        <f>HYPERLINK("https://cfpub.epa.gov/ecotox/explore.cfm?ncbi=74533","Explore in ECOTOX")</f>
        <v>Explore in ECOTOX</v>
      </c>
    </row>
    <row r="120" spans="1:19" x14ac:dyDescent="0.25">
      <c r="A120">
        <v>6</v>
      </c>
      <c r="B120" t="str">
        <f>HYPERLINK("http://www.ncbi.nlm.nih.gov/protein/VFV46928.1","VFV46928.1")</f>
        <v>VFV46928.1</v>
      </c>
      <c r="C120">
        <v>31243</v>
      </c>
      <c r="D120" t="str">
        <f>HYPERLINK("http://www.ncbi.nlm.nih.gov/Taxonomy/Browser/wwwtax.cgi?mode=Info&amp;id=191816&amp;lvl=3&amp;lin=f&amp;keep=1&amp;srchmode=1&amp;unlock","191816")</f>
        <v>191816</v>
      </c>
      <c r="E120" t="s">
        <v>18</v>
      </c>
      <c r="F120" t="s">
        <v>18</v>
      </c>
      <c r="G120" t="str">
        <f>HYPERLINK("http://www.ncbi.nlm.nih.gov/Taxonomy/Browser/wwwtax.cgi?mode=Info&amp;id=191816&amp;lvl=3&amp;lin=f&amp;keep=1&amp;srchmode=1&amp;unlock","Lynx pardinus")</f>
        <v>Lynx pardinus</v>
      </c>
      <c r="H120" t="s">
        <v>72</v>
      </c>
      <c r="I120" t="str">
        <f>HYPERLINK("http://www.ncbi.nlm.nih.gov/protein/VFV46928.1","androgen receptor")</f>
        <v>androgen receptor</v>
      </c>
      <c r="J120" t="s">
        <v>1261</v>
      </c>
      <c r="K120">
        <v>514.23</v>
      </c>
      <c r="L120" t="s">
        <v>20</v>
      </c>
      <c r="M120">
        <v>157</v>
      </c>
      <c r="N120">
        <v>62.55</v>
      </c>
      <c r="O120">
        <v>100</v>
      </c>
      <c r="P120" t="s">
        <v>20</v>
      </c>
      <c r="Q120" t="s">
        <v>1262</v>
      </c>
      <c r="R120" t="s">
        <v>20</v>
      </c>
      <c r="S120" t="str">
        <f>HYPERLINK("https://cfpub.epa.gov/ecotox/explore.cfm?ncbi=191816","Explore in ECOTOX")</f>
        <v>Explore in ECOTOX</v>
      </c>
    </row>
    <row r="121" spans="1:19" x14ac:dyDescent="0.25">
      <c r="A121">
        <v>6</v>
      </c>
      <c r="B121" t="str">
        <f>HYPERLINK("http://www.ncbi.nlm.nih.gov/protein/XP_031224355.1","XP_031224355.1")</f>
        <v>XP_031224355.1</v>
      </c>
      <c r="C121">
        <v>54478</v>
      </c>
      <c r="D121" t="str">
        <f>HYPERLINK("http://www.ncbi.nlm.nih.gov/Taxonomy/Browser/wwwtax.cgi?mode=Info&amp;id=35658&amp;lvl=3&amp;lin=f&amp;keep=1&amp;srchmode=1&amp;unlock","35658")</f>
        <v>35658</v>
      </c>
      <c r="E121" t="s">
        <v>18</v>
      </c>
      <c r="F121" t="s">
        <v>18</v>
      </c>
      <c r="G121" t="str">
        <f>HYPERLINK("http://www.ncbi.nlm.nih.gov/Taxonomy/Browser/wwwtax.cgi?mode=Info&amp;id=35658&amp;lvl=3&amp;lin=f&amp;keep=1&amp;srchmode=1&amp;unlock","Mastomys coucha")</f>
        <v>Mastomys coucha</v>
      </c>
      <c r="H121" t="s">
        <v>127</v>
      </c>
      <c r="I121" t="str">
        <f>HYPERLINK("http://www.ncbi.nlm.nih.gov/protein/XP_031224355.1","androgen receptor")</f>
        <v>androgen receptor</v>
      </c>
      <c r="J121" t="s">
        <v>1261</v>
      </c>
      <c r="K121">
        <v>514.23</v>
      </c>
      <c r="L121" t="s">
        <v>25</v>
      </c>
      <c r="M121">
        <v>157</v>
      </c>
      <c r="N121">
        <v>62.55</v>
      </c>
      <c r="O121">
        <v>100</v>
      </c>
      <c r="P121" t="s">
        <v>20</v>
      </c>
      <c r="Q121" t="s">
        <v>1262</v>
      </c>
      <c r="R121" t="s">
        <v>20</v>
      </c>
      <c r="S121" t="str">
        <f>HYPERLINK("https://cfpub.epa.gov/ecotox/explore.cfm?ncbi=35658","Explore in ECOTOX")</f>
        <v>Explore in ECOTOX</v>
      </c>
    </row>
    <row r="122" spans="1:19" x14ac:dyDescent="0.25">
      <c r="A122">
        <v>6</v>
      </c>
      <c r="B122" t="str">
        <f>HYPERLINK("http://www.ncbi.nlm.nih.gov/protein/XP_007534618.1","XP_007534618.1")</f>
        <v>XP_007534618.1</v>
      </c>
      <c r="C122">
        <v>29636</v>
      </c>
      <c r="D122" t="str">
        <f>HYPERLINK("http://www.ncbi.nlm.nih.gov/Taxonomy/Browser/wwwtax.cgi?mode=Info&amp;id=9365&amp;lvl=3&amp;lin=f&amp;keep=1&amp;srchmode=1&amp;unlock","9365")</f>
        <v>9365</v>
      </c>
      <c r="E122" t="s">
        <v>18</v>
      </c>
      <c r="F122" t="s">
        <v>18</v>
      </c>
      <c r="G122" t="str">
        <f>HYPERLINK("http://www.ncbi.nlm.nih.gov/Taxonomy/Browser/wwwtax.cgi?mode=Info&amp;id=9365&amp;lvl=3&amp;lin=f&amp;keep=1&amp;srchmode=1&amp;unlock","Erinaceus europaeus")</f>
        <v>Erinaceus europaeus</v>
      </c>
      <c r="H122" t="s">
        <v>105</v>
      </c>
      <c r="I122" t="str">
        <f>HYPERLINK("http://www.ncbi.nlm.nih.gov/protein/XP_007534618.1","PREDICTED: androgen receptor")</f>
        <v>PREDICTED: androgen receptor</v>
      </c>
      <c r="J122" t="s">
        <v>1261</v>
      </c>
      <c r="K122">
        <v>514.23</v>
      </c>
      <c r="L122" t="s">
        <v>25</v>
      </c>
      <c r="M122">
        <v>157</v>
      </c>
      <c r="N122">
        <v>62.55</v>
      </c>
      <c r="O122">
        <v>100</v>
      </c>
      <c r="P122" t="s">
        <v>20</v>
      </c>
      <c r="Q122" t="s">
        <v>1262</v>
      </c>
      <c r="R122" t="s">
        <v>20</v>
      </c>
      <c r="S122" t="str">
        <f>HYPERLINK("https://cfpub.epa.gov/ecotox/explore.cfm?ncbi=9365","Explore in ECOTOX")</f>
        <v>Explore in ECOTOX</v>
      </c>
    </row>
    <row r="123" spans="1:19" x14ac:dyDescent="0.25">
      <c r="A123">
        <v>6</v>
      </c>
      <c r="B123" t="str">
        <f>HYPERLINK("http://www.ncbi.nlm.nih.gov/protein/XP_025715214.1","XP_025715214.1")</f>
        <v>XP_025715214.1</v>
      </c>
      <c r="C123">
        <v>46265</v>
      </c>
      <c r="D123" t="str">
        <f>HYPERLINK("http://www.ncbi.nlm.nih.gov/Taxonomy/Browser/wwwtax.cgi?mode=Info&amp;id=34884&amp;lvl=3&amp;lin=f&amp;keep=1&amp;srchmode=1&amp;unlock","34884")</f>
        <v>34884</v>
      </c>
      <c r="E123" t="s">
        <v>18</v>
      </c>
      <c r="F123" t="s">
        <v>18</v>
      </c>
      <c r="G123" t="str">
        <f>HYPERLINK("http://www.ncbi.nlm.nih.gov/Taxonomy/Browser/wwwtax.cgi?mode=Info&amp;id=34884&amp;lvl=3&amp;lin=f&amp;keep=1&amp;srchmode=1&amp;unlock","Callorhinus ursinus")</f>
        <v>Callorhinus ursinus</v>
      </c>
      <c r="H123" t="s">
        <v>59</v>
      </c>
      <c r="I123" t="str">
        <f>HYPERLINK("http://www.ncbi.nlm.nih.gov/protein/XP_025715214.1","androgen receptor-like")</f>
        <v>androgen receptor-like</v>
      </c>
      <c r="J123" t="s">
        <v>1261</v>
      </c>
      <c r="K123">
        <v>514.23</v>
      </c>
      <c r="L123" t="s">
        <v>25</v>
      </c>
      <c r="M123">
        <v>157</v>
      </c>
      <c r="N123">
        <v>62.55</v>
      </c>
      <c r="O123">
        <v>100</v>
      </c>
      <c r="P123" t="s">
        <v>20</v>
      </c>
      <c r="Q123" t="s">
        <v>1262</v>
      </c>
      <c r="R123" t="s">
        <v>20</v>
      </c>
      <c r="S123" t="str">
        <f>HYPERLINK("https://cfpub.epa.gov/ecotox/explore.cfm?ncbi=34884","Explore in ECOTOX")</f>
        <v>Explore in ECOTOX</v>
      </c>
    </row>
    <row r="124" spans="1:19" x14ac:dyDescent="0.25">
      <c r="A124">
        <v>6</v>
      </c>
      <c r="B124" t="str">
        <f>HYPERLINK("http://www.ncbi.nlm.nih.gov/protein/XP_025789612.1","XP_025789612.1")</f>
        <v>XP_025789612.1</v>
      </c>
      <c r="C124">
        <v>23617</v>
      </c>
      <c r="D124" t="str">
        <f>HYPERLINK("http://www.ncbi.nlm.nih.gov/Taxonomy/Browser/wwwtax.cgi?mode=Info&amp;id=9696&amp;lvl=3&amp;lin=f&amp;keep=1&amp;srchmode=1&amp;unlock","9696")</f>
        <v>9696</v>
      </c>
      <c r="E124" t="s">
        <v>18</v>
      </c>
      <c r="F124" t="s">
        <v>18</v>
      </c>
      <c r="G124" t="str">
        <f>HYPERLINK("http://www.ncbi.nlm.nih.gov/Taxonomy/Browser/wwwtax.cgi?mode=Info&amp;id=9696&amp;lvl=3&amp;lin=f&amp;keep=1&amp;srchmode=1&amp;unlock","Puma concolor")</f>
        <v>Puma concolor</v>
      </c>
      <c r="H124" t="s">
        <v>64</v>
      </c>
      <c r="I124" t="str">
        <f>HYPERLINK("http://www.ncbi.nlm.nih.gov/protein/XP_025789612.1","androgen receptor")</f>
        <v>androgen receptor</v>
      </c>
      <c r="J124" t="s">
        <v>1261</v>
      </c>
      <c r="K124">
        <v>514.23</v>
      </c>
      <c r="L124" t="s">
        <v>25</v>
      </c>
      <c r="M124">
        <v>157</v>
      </c>
      <c r="N124">
        <v>62.55</v>
      </c>
      <c r="O124">
        <v>100</v>
      </c>
      <c r="P124" t="s">
        <v>20</v>
      </c>
      <c r="Q124" t="s">
        <v>1262</v>
      </c>
      <c r="R124" t="s">
        <v>20</v>
      </c>
      <c r="S124" t="str">
        <f>HYPERLINK("https://cfpub.epa.gov/ecotox/explore.cfm?ncbi=9696","Explore in ECOTOX")</f>
        <v>Explore in ECOTOX</v>
      </c>
    </row>
    <row r="125" spans="1:19" x14ac:dyDescent="0.25">
      <c r="A125">
        <v>6</v>
      </c>
      <c r="B125" t="str">
        <f>HYPERLINK("http://www.ncbi.nlm.nih.gov/protein/XP_020762611.1","XP_020762611.1")</f>
        <v>XP_020762611.1</v>
      </c>
      <c r="C125">
        <v>48218</v>
      </c>
      <c r="D125" t="str">
        <f>HYPERLINK("http://www.ncbi.nlm.nih.gov/Taxonomy/Browser/wwwtax.cgi?mode=Info&amp;id=9880&amp;lvl=3&amp;lin=f&amp;keep=1&amp;srchmode=1&amp;unlock","9880")</f>
        <v>9880</v>
      </c>
      <c r="E125" t="s">
        <v>18</v>
      </c>
      <c r="F125" t="s">
        <v>18</v>
      </c>
      <c r="G125" t="str">
        <f>HYPERLINK("http://www.ncbi.nlm.nih.gov/Taxonomy/Browser/wwwtax.cgi?mode=Info&amp;id=9880&amp;lvl=3&amp;lin=f&amp;keep=1&amp;srchmode=1&amp;unlock","Odocoileus virginianus texanus")</f>
        <v>Odocoileus virginianus texanus</v>
      </c>
      <c r="H125" t="s">
        <v>101</v>
      </c>
      <c r="I125" t="str">
        <f>HYPERLINK("http://www.ncbi.nlm.nih.gov/protein/XP_020762611.1","androgen receptor")</f>
        <v>androgen receptor</v>
      </c>
      <c r="J125" t="s">
        <v>1261</v>
      </c>
      <c r="K125">
        <v>514.23</v>
      </c>
      <c r="L125" t="s">
        <v>25</v>
      </c>
      <c r="M125">
        <v>157</v>
      </c>
      <c r="N125">
        <v>62.55</v>
      </c>
      <c r="O125">
        <v>100</v>
      </c>
      <c r="P125" t="s">
        <v>20</v>
      </c>
      <c r="Q125" t="s">
        <v>1262</v>
      </c>
      <c r="R125" t="s">
        <v>20</v>
      </c>
      <c r="S125" t="str">
        <f>HYPERLINK("https://cfpub.epa.gov/ecotox/explore.cfm?ncbi=9880","Explore in ECOTOX")</f>
        <v>Explore in ECOTOX</v>
      </c>
    </row>
    <row r="126" spans="1:19" x14ac:dyDescent="0.25">
      <c r="A126">
        <v>6</v>
      </c>
      <c r="B126" t="str">
        <f>HYPERLINK("http://www.ncbi.nlm.nih.gov/protein/KAB0388964.1","KAB0388964.1")</f>
        <v>KAB0388964.1</v>
      </c>
      <c r="C126">
        <v>20269</v>
      </c>
      <c r="D126" t="str">
        <f>HYPERLINK("http://www.ncbi.nlm.nih.gov/Taxonomy/Browser/wwwtax.cgi?mode=Info&amp;id=9770&amp;lvl=3&amp;lin=f&amp;keep=1&amp;srchmode=1&amp;unlock","9770")</f>
        <v>9770</v>
      </c>
      <c r="E126" t="s">
        <v>18</v>
      </c>
      <c r="F126" t="s">
        <v>18</v>
      </c>
      <c r="G126" t="str">
        <f>HYPERLINK("http://www.ncbi.nlm.nih.gov/Taxonomy/Browser/wwwtax.cgi?mode=Info&amp;id=9770&amp;lvl=3&amp;lin=f&amp;keep=1&amp;srchmode=1&amp;unlock","Balaenoptera physalus")</f>
        <v>Balaenoptera physalus</v>
      </c>
      <c r="H126" t="s">
        <v>978</v>
      </c>
      <c r="I126" t="str">
        <f>HYPERLINK("http://www.ncbi.nlm.nih.gov/protein/KAB0388964.1","hypothetical protein E2I00_000638")</f>
        <v>hypothetical protein E2I00_000638</v>
      </c>
      <c r="J126" t="s">
        <v>1261</v>
      </c>
      <c r="K126">
        <v>514.23</v>
      </c>
      <c r="L126" t="s">
        <v>25</v>
      </c>
      <c r="M126">
        <v>157</v>
      </c>
      <c r="N126">
        <v>62.55</v>
      </c>
      <c r="O126">
        <v>100</v>
      </c>
      <c r="P126" t="s">
        <v>20</v>
      </c>
      <c r="Q126" t="s">
        <v>1262</v>
      </c>
      <c r="R126" t="s">
        <v>20</v>
      </c>
      <c r="S126" t="str">
        <f>HYPERLINK("https://cfpub.epa.gov/ecotox/explore.cfm?ncbi=9770","Explore in ECOTOX")</f>
        <v>Explore in ECOTOX</v>
      </c>
    </row>
    <row r="127" spans="1:19" x14ac:dyDescent="0.25">
      <c r="A127">
        <v>6</v>
      </c>
      <c r="B127" t="str">
        <f>HYPERLINK("http://www.ncbi.nlm.nih.gov/protein/XP_027694876.1","XP_027694876.1")</f>
        <v>XP_027694876.1</v>
      </c>
      <c r="C127">
        <v>42741</v>
      </c>
      <c r="D127" t="str">
        <f>HYPERLINK("http://www.ncbi.nlm.nih.gov/Taxonomy/Browser/wwwtax.cgi?mode=Info&amp;id=29139&amp;lvl=3&amp;lin=f&amp;keep=1&amp;srchmode=1&amp;unlock","29139")</f>
        <v>29139</v>
      </c>
      <c r="E127" t="s">
        <v>18</v>
      </c>
      <c r="F127" t="s">
        <v>18</v>
      </c>
      <c r="G127" t="str">
        <f>HYPERLINK("http://www.ncbi.nlm.nih.gov/Taxonomy/Browser/wwwtax.cgi?mode=Info&amp;id=29139&amp;lvl=3&amp;lin=f&amp;keep=1&amp;srchmode=1&amp;unlock","Vombatus ursinus")</f>
        <v>Vombatus ursinus</v>
      </c>
      <c r="H127" t="s">
        <v>181</v>
      </c>
      <c r="I127" t="str">
        <f>HYPERLINK("http://www.ncbi.nlm.nih.gov/protein/XP_027694876.1","androgen receptor")</f>
        <v>androgen receptor</v>
      </c>
      <c r="J127" t="s">
        <v>1261</v>
      </c>
      <c r="K127">
        <v>514.23</v>
      </c>
      <c r="L127" t="s">
        <v>25</v>
      </c>
      <c r="M127">
        <v>157</v>
      </c>
      <c r="N127">
        <v>62.55</v>
      </c>
      <c r="O127">
        <v>100</v>
      </c>
      <c r="P127" t="s">
        <v>20</v>
      </c>
      <c r="Q127" t="s">
        <v>1262</v>
      </c>
      <c r="R127" t="s">
        <v>20</v>
      </c>
      <c r="S127" t="str">
        <f>HYPERLINK("https://cfpub.epa.gov/ecotox/explore.cfm?ncbi=29139","Explore in ECOTOX")</f>
        <v>Explore in ECOTOX</v>
      </c>
    </row>
    <row r="128" spans="1:19" x14ac:dyDescent="0.25">
      <c r="A128">
        <v>6</v>
      </c>
      <c r="B128" t="str">
        <f>HYPERLINK("http://www.ncbi.nlm.nih.gov/protein/XP_015442220.1","XP_015442220.1")</f>
        <v>XP_015442220.1</v>
      </c>
      <c r="C128">
        <v>59367</v>
      </c>
      <c r="D128" t="str">
        <f>HYPERLINK("http://www.ncbi.nlm.nih.gov/Taxonomy/Browser/wwwtax.cgi?mode=Info&amp;id=9402&amp;lvl=3&amp;lin=f&amp;keep=1&amp;srchmode=1&amp;unlock","9402")</f>
        <v>9402</v>
      </c>
      <c r="E128" t="s">
        <v>18</v>
      </c>
      <c r="F128" t="s">
        <v>18</v>
      </c>
      <c r="G128" t="str">
        <f>HYPERLINK("http://www.ncbi.nlm.nih.gov/Taxonomy/Browser/wwwtax.cgi?mode=Info&amp;id=9402&amp;lvl=3&amp;lin=f&amp;keep=1&amp;srchmode=1&amp;unlock","Pteropus alecto")</f>
        <v>Pteropus alecto</v>
      </c>
      <c r="H128" t="s">
        <v>100</v>
      </c>
      <c r="I128" t="str">
        <f>HYPERLINK("http://www.ncbi.nlm.nih.gov/protein/XP_015442220.1","androgen receptor")</f>
        <v>androgen receptor</v>
      </c>
      <c r="J128" t="s">
        <v>1261</v>
      </c>
      <c r="K128">
        <v>514.23</v>
      </c>
      <c r="L128" t="s">
        <v>25</v>
      </c>
      <c r="M128">
        <v>157</v>
      </c>
      <c r="N128">
        <v>62.55</v>
      </c>
      <c r="O128">
        <v>100</v>
      </c>
      <c r="P128" t="s">
        <v>20</v>
      </c>
      <c r="Q128" t="s">
        <v>1262</v>
      </c>
      <c r="R128" t="s">
        <v>20</v>
      </c>
      <c r="S128" t="str">
        <f>HYPERLINK("https://cfpub.epa.gov/ecotox/explore.cfm?ncbi=9402","Explore in ECOTOX")</f>
        <v>Explore in ECOTOX</v>
      </c>
    </row>
    <row r="129" spans="1:19" x14ac:dyDescent="0.25">
      <c r="A129">
        <v>6</v>
      </c>
      <c r="B129" t="str">
        <f>HYPERLINK("http://www.ncbi.nlm.nih.gov/protein/CAF5214857.1","CAF5214857.1")</f>
        <v>CAF5214857.1</v>
      </c>
      <c r="C129">
        <v>52243</v>
      </c>
      <c r="D129" t="str">
        <f>HYPERLINK("http://www.ncbi.nlm.nih.gov/Taxonomy/Browser/wwwtax.cgi?mode=Info&amp;id=111125&amp;lvl=3&amp;lin=f&amp;keep=1&amp;srchmode=1&amp;unlock","111125")</f>
        <v>111125</v>
      </c>
      <c r="E129" t="s">
        <v>134</v>
      </c>
      <c r="F129" t="s">
        <v>134</v>
      </c>
      <c r="G129" t="str">
        <f>HYPERLINK("http://www.ncbi.nlm.nih.gov/Taxonomy/Browser/wwwtax.cgi?mode=Info&amp;id=111125&amp;lvl=3&amp;lin=f&amp;keep=1&amp;srchmode=1&amp;unlock","Ranitomeya imitator")</f>
        <v>Ranitomeya imitator</v>
      </c>
      <c r="H129" t="s">
        <v>135</v>
      </c>
      <c r="I129" t="str">
        <f>HYPERLINK("http://www.ncbi.nlm.nih.gov/protein/CAF5214857.1","unnamed protein product")</f>
        <v>unnamed protein product</v>
      </c>
      <c r="J129" t="s">
        <v>1261</v>
      </c>
      <c r="K129">
        <v>514.23</v>
      </c>
      <c r="L129" t="s">
        <v>25</v>
      </c>
      <c r="M129">
        <v>157</v>
      </c>
      <c r="N129">
        <v>62.55</v>
      </c>
      <c r="O129">
        <v>100</v>
      </c>
      <c r="P129" t="s">
        <v>20</v>
      </c>
      <c r="Q129" t="s">
        <v>1262</v>
      </c>
      <c r="R129" t="s">
        <v>20</v>
      </c>
      <c r="S129" t="str">
        <f>HYPERLINK("https://cfpub.epa.gov/ecotox/explore.cfm?ncbi=111125","Explore in ECOTOX")</f>
        <v>Explore in ECOTOX</v>
      </c>
    </row>
    <row r="130" spans="1:19" x14ac:dyDescent="0.25">
      <c r="A130">
        <v>6</v>
      </c>
      <c r="B130" t="str">
        <f>HYPERLINK("http://www.ncbi.nlm.nih.gov/protein/XP_008062492.1","XP_008062492.1")</f>
        <v>XP_008062492.1</v>
      </c>
      <c r="C130">
        <v>33266</v>
      </c>
      <c r="D130" t="str">
        <f>HYPERLINK("http://www.ncbi.nlm.nih.gov/Taxonomy/Browser/wwwtax.cgi?mode=Info&amp;id=1868482&amp;lvl=3&amp;lin=f&amp;keep=1&amp;srchmode=1&amp;unlock","1868482")</f>
        <v>1868482</v>
      </c>
      <c r="E130" t="s">
        <v>18</v>
      </c>
      <c r="F130" t="s">
        <v>18</v>
      </c>
      <c r="G130" t="str">
        <f>HYPERLINK("http://www.ncbi.nlm.nih.gov/Taxonomy/Browser/wwwtax.cgi?mode=Info&amp;id=1868482&amp;lvl=3&amp;lin=f&amp;keep=1&amp;srchmode=1&amp;unlock","Carlito syrichta")</f>
        <v>Carlito syrichta</v>
      </c>
      <c r="H130" t="s">
        <v>69</v>
      </c>
      <c r="I130" t="str">
        <f>HYPERLINK("http://www.ncbi.nlm.nih.gov/protein/XP_008062492.1","androgen receptor")</f>
        <v>androgen receptor</v>
      </c>
      <c r="J130" t="s">
        <v>1261</v>
      </c>
      <c r="K130">
        <v>513.84</v>
      </c>
      <c r="L130" t="s">
        <v>20</v>
      </c>
      <c r="M130">
        <v>157</v>
      </c>
      <c r="N130">
        <v>62.55</v>
      </c>
      <c r="O130">
        <v>99.93</v>
      </c>
      <c r="P130" t="s">
        <v>20</v>
      </c>
      <c r="Q130" t="s">
        <v>1262</v>
      </c>
      <c r="R130" t="s">
        <v>20</v>
      </c>
      <c r="S130" t="str">
        <f>HYPERLINK("https://cfpub.epa.gov/ecotox/explore.cfm?ncbi=1868482","Explore in ECOTOX")</f>
        <v>Explore in ECOTOX</v>
      </c>
    </row>
    <row r="131" spans="1:19" x14ac:dyDescent="0.25">
      <c r="A131">
        <v>6</v>
      </c>
      <c r="B131" t="str">
        <f>HYPERLINK("http://www.ncbi.nlm.nih.gov/protein/XP_007954476.1","XP_007954476.1")</f>
        <v>XP_007954476.1</v>
      </c>
      <c r="C131">
        <v>25532</v>
      </c>
      <c r="D131" t="str">
        <f>HYPERLINK("http://www.ncbi.nlm.nih.gov/Taxonomy/Browser/wwwtax.cgi?mode=Info&amp;id=1230840&amp;lvl=3&amp;lin=f&amp;keep=1&amp;srchmode=1&amp;unlock","1230840")</f>
        <v>1230840</v>
      </c>
      <c r="E131" t="s">
        <v>18</v>
      </c>
      <c r="F131" t="s">
        <v>18</v>
      </c>
      <c r="G131" t="str">
        <f>HYPERLINK("http://www.ncbi.nlm.nih.gov/Taxonomy/Browser/wwwtax.cgi?mode=Info&amp;id=1230840&amp;lvl=3&amp;lin=f&amp;keep=1&amp;srchmode=1&amp;unlock","Orycteropus afer afer")</f>
        <v>Orycteropus afer afer</v>
      </c>
      <c r="H131" t="s">
        <v>90</v>
      </c>
      <c r="I131" t="str">
        <f>HYPERLINK("http://www.ncbi.nlm.nih.gov/protein/XP_007954476.1","PREDICTED: androgen receptor isoform X1")</f>
        <v>PREDICTED: androgen receptor isoform X1</v>
      </c>
      <c r="J131" t="s">
        <v>1261</v>
      </c>
      <c r="K131">
        <v>513.84</v>
      </c>
      <c r="L131" t="s">
        <v>20</v>
      </c>
      <c r="M131">
        <v>157</v>
      </c>
      <c r="N131">
        <v>62.55</v>
      </c>
      <c r="O131">
        <v>99.93</v>
      </c>
      <c r="P131" t="s">
        <v>20</v>
      </c>
      <c r="Q131" t="s">
        <v>1262</v>
      </c>
      <c r="R131" t="s">
        <v>20</v>
      </c>
      <c r="S131" t="str">
        <f>HYPERLINK("https://cfpub.epa.gov/ecotox/explore.cfm?ncbi=1230840","Explore in ECOTOX")</f>
        <v>Explore in ECOTOX</v>
      </c>
    </row>
    <row r="132" spans="1:19" x14ac:dyDescent="0.25">
      <c r="A132">
        <v>6</v>
      </c>
      <c r="B132" t="str">
        <f>HYPERLINK("http://www.ncbi.nlm.nih.gov/protein/XP_032475571.1","XP_032475571.1")</f>
        <v>XP_032475571.1</v>
      </c>
      <c r="C132">
        <v>52375</v>
      </c>
      <c r="D132" t="str">
        <f>HYPERLINK("http://www.ncbi.nlm.nih.gov/Taxonomy/Browser/wwwtax.cgi?mode=Info&amp;id=42100&amp;lvl=3&amp;lin=f&amp;keep=1&amp;srchmode=1&amp;unlock","42100")</f>
        <v>42100</v>
      </c>
      <c r="E132" t="s">
        <v>18</v>
      </c>
      <c r="F132" t="s">
        <v>18</v>
      </c>
      <c r="G132" t="str">
        <f>HYPERLINK("http://www.ncbi.nlm.nih.gov/Taxonomy/Browser/wwwtax.cgi?mode=Info&amp;id=42100&amp;lvl=3&amp;lin=f&amp;keep=1&amp;srchmode=1&amp;unlock","Phocoena sinus")</f>
        <v>Phocoena sinus</v>
      </c>
      <c r="H132" t="s">
        <v>177</v>
      </c>
      <c r="I132" t="str">
        <f>HYPERLINK("http://www.ncbi.nlm.nih.gov/protein/XP_032475571.1","androgen receptor isoform X1")</f>
        <v>androgen receptor isoform X1</v>
      </c>
      <c r="J132" t="s">
        <v>1261</v>
      </c>
      <c r="K132">
        <v>513.84</v>
      </c>
      <c r="L132" t="s">
        <v>20</v>
      </c>
      <c r="M132">
        <v>157</v>
      </c>
      <c r="N132">
        <v>62.55</v>
      </c>
      <c r="O132">
        <v>99.93</v>
      </c>
      <c r="P132" t="s">
        <v>20</v>
      </c>
      <c r="Q132" t="s">
        <v>1262</v>
      </c>
      <c r="R132" t="s">
        <v>20</v>
      </c>
      <c r="S132" t="str">
        <f>HYPERLINK("https://cfpub.epa.gov/ecotox/explore.cfm?ncbi=42100","Explore in ECOTOX")</f>
        <v>Explore in ECOTOX</v>
      </c>
    </row>
    <row r="133" spans="1:19" x14ac:dyDescent="0.25">
      <c r="A133">
        <v>6</v>
      </c>
      <c r="B133" t="str">
        <f>HYPERLINK("http://www.ncbi.nlm.nih.gov/protein/XP_004275845.1","XP_004275845.1")</f>
        <v>XP_004275845.1</v>
      </c>
      <c r="C133">
        <v>59479</v>
      </c>
      <c r="D133" t="str">
        <f>HYPERLINK("http://www.ncbi.nlm.nih.gov/Taxonomy/Browser/wwwtax.cgi?mode=Info&amp;id=9733&amp;lvl=3&amp;lin=f&amp;keep=1&amp;srchmode=1&amp;unlock","9733")</f>
        <v>9733</v>
      </c>
      <c r="E133" t="s">
        <v>18</v>
      </c>
      <c r="F133" t="s">
        <v>18</v>
      </c>
      <c r="G133" t="str">
        <f>HYPERLINK("http://www.ncbi.nlm.nih.gov/Taxonomy/Browser/wwwtax.cgi?mode=Info&amp;id=9733&amp;lvl=3&amp;lin=f&amp;keep=1&amp;srchmode=1&amp;unlock","Orcinus orca")</f>
        <v>Orcinus orca</v>
      </c>
      <c r="H133" t="s">
        <v>155</v>
      </c>
      <c r="I133" t="str">
        <f>HYPERLINK("http://www.ncbi.nlm.nih.gov/protein/XP_004275845.1","androgen receptor")</f>
        <v>androgen receptor</v>
      </c>
      <c r="J133" t="s">
        <v>1261</v>
      </c>
      <c r="K133">
        <v>513.84</v>
      </c>
      <c r="L133" t="s">
        <v>20</v>
      </c>
      <c r="M133">
        <v>157</v>
      </c>
      <c r="N133">
        <v>62.55</v>
      </c>
      <c r="O133">
        <v>99.93</v>
      </c>
      <c r="P133" t="s">
        <v>20</v>
      </c>
      <c r="Q133" t="s">
        <v>1262</v>
      </c>
      <c r="R133" t="s">
        <v>20</v>
      </c>
      <c r="S133" t="str">
        <f>HYPERLINK("https://cfpub.epa.gov/ecotox/explore.cfm?ncbi=9733","Explore in ECOTOX")</f>
        <v>Explore in ECOTOX</v>
      </c>
    </row>
    <row r="134" spans="1:19" x14ac:dyDescent="0.25">
      <c r="A134">
        <v>6</v>
      </c>
      <c r="B134" t="str">
        <f>HYPERLINK("http://www.ncbi.nlm.nih.gov/protein/XP_004316835.2","XP_004316835.2")</f>
        <v>XP_004316835.2</v>
      </c>
      <c r="C134">
        <v>57007</v>
      </c>
      <c r="D134" t="str">
        <f>HYPERLINK("http://www.ncbi.nlm.nih.gov/Taxonomy/Browser/wwwtax.cgi?mode=Info&amp;id=9739&amp;lvl=3&amp;lin=f&amp;keep=1&amp;srchmode=1&amp;unlock","9739")</f>
        <v>9739</v>
      </c>
      <c r="E134" t="s">
        <v>18</v>
      </c>
      <c r="F134" t="s">
        <v>18</v>
      </c>
      <c r="G134" t="str">
        <f>HYPERLINK("http://www.ncbi.nlm.nih.gov/Taxonomy/Browser/wwwtax.cgi?mode=Info&amp;id=9739&amp;lvl=3&amp;lin=f&amp;keep=1&amp;srchmode=1&amp;unlock","Tursiops truncatus")</f>
        <v>Tursiops truncatus</v>
      </c>
      <c r="H134" t="s">
        <v>154</v>
      </c>
      <c r="I134" t="str">
        <f>HYPERLINK("http://www.ncbi.nlm.nih.gov/protein/XP_004316835.2","androgen receptor isoform X1")</f>
        <v>androgen receptor isoform X1</v>
      </c>
      <c r="J134" t="s">
        <v>1261</v>
      </c>
      <c r="K134">
        <v>513.84</v>
      </c>
      <c r="L134" t="s">
        <v>20</v>
      </c>
      <c r="M134">
        <v>157</v>
      </c>
      <c r="N134">
        <v>62.55</v>
      </c>
      <c r="O134">
        <v>99.93</v>
      </c>
      <c r="P134" t="s">
        <v>20</v>
      </c>
      <c r="Q134" t="s">
        <v>1262</v>
      </c>
      <c r="R134" t="s">
        <v>20</v>
      </c>
      <c r="S134" t="str">
        <f>HYPERLINK("https://cfpub.epa.gov/ecotox/explore.cfm?ncbi=9739","Explore in ECOTOX")</f>
        <v>Explore in ECOTOX</v>
      </c>
    </row>
    <row r="135" spans="1:19" x14ac:dyDescent="0.25">
      <c r="A135">
        <v>6</v>
      </c>
      <c r="B135" t="str">
        <f>HYPERLINK("http://www.ncbi.nlm.nih.gov/protein/XP_026949412.1","XP_026949412.1")</f>
        <v>XP_026949412.1</v>
      </c>
      <c r="C135">
        <v>54700</v>
      </c>
      <c r="D135" t="str">
        <f>HYPERLINK("http://www.ncbi.nlm.nih.gov/Taxonomy/Browser/wwwtax.cgi?mode=Info&amp;id=90247&amp;lvl=3&amp;lin=f&amp;keep=1&amp;srchmode=1&amp;unlock","90247")</f>
        <v>90247</v>
      </c>
      <c r="E135" t="s">
        <v>18</v>
      </c>
      <c r="F135" t="s">
        <v>18</v>
      </c>
      <c r="G135" t="str">
        <f>HYPERLINK("http://www.ncbi.nlm.nih.gov/Taxonomy/Browser/wwwtax.cgi?mode=Info&amp;id=90247&amp;lvl=3&amp;lin=f&amp;keep=1&amp;srchmode=1&amp;unlock","Lagenorhynchus obliquidens")</f>
        <v>Lagenorhynchus obliquidens</v>
      </c>
      <c r="H135" t="s">
        <v>159</v>
      </c>
      <c r="I135" t="str">
        <f>HYPERLINK("http://www.ncbi.nlm.nih.gov/protein/XP_026949412.1","androgen receptor isoform X1")</f>
        <v>androgen receptor isoform X1</v>
      </c>
      <c r="J135" t="s">
        <v>1261</v>
      </c>
      <c r="K135">
        <v>513.84</v>
      </c>
      <c r="L135" t="s">
        <v>20</v>
      </c>
      <c r="M135">
        <v>157</v>
      </c>
      <c r="N135">
        <v>62.55</v>
      </c>
      <c r="O135">
        <v>99.93</v>
      </c>
      <c r="P135" t="s">
        <v>20</v>
      </c>
      <c r="Q135" t="s">
        <v>1262</v>
      </c>
      <c r="R135" t="s">
        <v>20</v>
      </c>
      <c r="S135" t="str">
        <f>HYPERLINK("https://cfpub.epa.gov/ecotox/explore.cfm?ncbi=90247","Explore in ECOTOX")</f>
        <v>Explore in ECOTOX</v>
      </c>
    </row>
    <row r="136" spans="1:19" x14ac:dyDescent="0.25">
      <c r="A136">
        <v>6</v>
      </c>
      <c r="B136" t="str">
        <f>HYPERLINK("http://www.ncbi.nlm.nih.gov/protein/XP_029096398.1","XP_029096398.1")</f>
        <v>XP_029096398.1</v>
      </c>
      <c r="C136">
        <v>65835</v>
      </c>
      <c r="D136" t="str">
        <f>HYPERLINK("http://www.ncbi.nlm.nih.gov/Taxonomy/Browser/wwwtax.cgi?mode=Info&amp;id=40151&amp;lvl=3&amp;lin=f&amp;keep=1&amp;srchmode=1&amp;unlock","40151")</f>
        <v>40151</v>
      </c>
      <c r="E136" t="s">
        <v>18</v>
      </c>
      <c r="F136" t="s">
        <v>18</v>
      </c>
      <c r="G136" t="str">
        <f>HYPERLINK("http://www.ncbi.nlm.nih.gov/Taxonomy/Browser/wwwtax.cgi?mode=Info&amp;id=40151&amp;lvl=3&amp;lin=f&amp;keep=1&amp;srchmode=1&amp;unlock","Monodon monoceros")</f>
        <v>Monodon monoceros</v>
      </c>
      <c r="H136" t="s">
        <v>153</v>
      </c>
      <c r="I136" t="str">
        <f>HYPERLINK("http://www.ncbi.nlm.nih.gov/protein/XP_029096398.1","androgen receptor isoform X1")</f>
        <v>androgen receptor isoform X1</v>
      </c>
      <c r="J136" t="s">
        <v>1261</v>
      </c>
      <c r="K136">
        <v>513.84</v>
      </c>
      <c r="L136" t="s">
        <v>20</v>
      </c>
      <c r="M136">
        <v>157</v>
      </c>
      <c r="N136">
        <v>62.55</v>
      </c>
      <c r="O136">
        <v>99.93</v>
      </c>
      <c r="P136" t="s">
        <v>20</v>
      </c>
      <c r="Q136" t="s">
        <v>1262</v>
      </c>
      <c r="R136" t="s">
        <v>20</v>
      </c>
      <c r="S136" t="str">
        <f>HYPERLINK("https://cfpub.epa.gov/ecotox/explore.cfm?ncbi=40151","Explore in ECOTOX")</f>
        <v>Explore in ECOTOX</v>
      </c>
    </row>
    <row r="137" spans="1:19" x14ac:dyDescent="0.25">
      <c r="A137">
        <v>6</v>
      </c>
      <c r="B137" t="str">
        <f>HYPERLINK("http://www.ncbi.nlm.nih.gov/protein/TEA23321.1","TEA23321.1")</f>
        <v>TEA23321.1</v>
      </c>
      <c r="C137">
        <v>19921</v>
      </c>
      <c r="D137" t="str">
        <f>HYPERLINK("http://www.ncbi.nlm.nih.gov/Taxonomy/Browser/wwwtax.cgi?mode=Info&amp;id=103600&amp;lvl=3&amp;lin=f&amp;keep=1&amp;srchmode=1&amp;unlock","103600")</f>
        <v>103600</v>
      </c>
      <c r="E137" t="s">
        <v>18</v>
      </c>
      <c r="F137" t="s">
        <v>18</v>
      </c>
      <c r="G137" t="str">
        <f>HYPERLINK("http://www.ncbi.nlm.nih.gov/Taxonomy/Browser/wwwtax.cgi?mode=Info&amp;id=103600&amp;lvl=3&amp;lin=f&amp;keep=1&amp;srchmode=1&amp;unlock","Sousa chinensis")</f>
        <v>Sousa chinensis</v>
      </c>
      <c r="H137" t="s">
        <v>475</v>
      </c>
      <c r="I137" t="str">
        <f>HYPERLINK("http://www.ncbi.nlm.nih.gov/protein/TEA23321.1","hypothetical protein DBR06_SOUSAS38910002")</f>
        <v>hypothetical protein DBR06_SOUSAS38910002</v>
      </c>
      <c r="J137" t="s">
        <v>1261</v>
      </c>
      <c r="K137">
        <v>513.84</v>
      </c>
      <c r="L137" t="s">
        <v>20</v>
      </c>
      <c r="M137">
        <v>157</v>
      </c>
      <c r="N137">
        <v>62.55</v>
      </c>
      <c r="O137">
        <v>99.93</v>
      </c>
      <c r="P137" t="s">
        <v>20</v>
      </c>
      <c r="Q137" t="s">
        <v>1262</v>
      </c>
      <c r="R137" t="s">
        <v>20</v>
      </c>
      <c r="S137" t="str">
        <f>HYPERLINK("https://cfpub.epa.gov/ecotox/explore.cfm?ncbi=103600","Explore in ECOTOX")</f>
        <v>Explore in ECOTOX</v>
      </c>
    </row>
    <row r="138" spans="1:19" x14ac:dyDescent="0.25">
      <c r="A138">
        <v>6</v>
      </c>
      <c r="B138" t="str">
        <f>HYPERLINK("http://www.ncbi.nlm.nih.gov/protein/XP_030705966.1","XP_030705966.1")</f>
        <v>XP_030705966.1</v>
      </c>
      <c r="C138">
        <v>54641</v>
      </c>
      <c r="D138" t="str">
        <f>HYPERLINK("http://www.ncbi.nlm.nih.gov/Taxonomy/Browser/wwwtax.cgi?mode=Info&amp;id=9731&amp;lvl=3&amp;lin=f&amp;keep=1&amp;srchmode=1&amp;unlock","9731")</f>
        <v>9731</v>
      </c>
      <c r="E138" t="s">
        <v>18</v>
      </c>
      <c r="F138" t="s">
        <v>18</v>
      </c>
      <c r="G138" t="str">
        <f>HYPERLINK("http://www.ncbi.nlm.nih.gov/Taxonomy/Browser/wwwtax.cgi?mode=Info&amp;id=9731&amp;lvl=3&amp;lin=f&amp;keep=1&amp;srchmode=1&amp;unlock","Globicephala melas")</f>
        <v>Globicephala melas</v>
      </c>
      <c r="H138" t="s">
        <v>158</v>
      </c>
      <c r="I138" t="str">
        <f>HYPERLINK("http://www.ncbi.nlm.nih.gov/protein/XP_030705966.1","androgen receptor isoform X1")</f>
        <v>androgen receptor isoform X1</v>
      </c>
      <c r="J138" t="s">
        <v>1261</v>
      </c>
      <c r="K138">
        <v>513.84</v>
      </c>
      <c r="L138" t="s">
        <v>20</v>
      </c>
      <c r="M138">
        <v>157</v>
      </c>
      <c r="N138">
        <v>62.55</v>
      </c>
      <c r="O138">
        <v>99.93</v>
      </c>
      <c r="P138" t="s">
        <v>20</v>
      </c>
      <c r="Q138" t="s">
        <v>1262</v>
      </c>
      <c r="R138" t="s">
        <v>20</v>
      </c>
      <c r="S138" t="str">
        <f>HYPERLINK("https://cfpub.epa.gov/ecotox/explore.cfm?ncbi=9731","Explore in ECOTOX")</f>
        <v>Explore in ECOTOX</v>
      </c>
    </row>
    <row r="139" spans="1:19" x14ac:dyDescent="0.25">
      <c r="A139">
        <v>6</v>
      </c>
      <c r="B139" t="str">
        <f>HYPERLINK("http://www.ncbi.nlm.nih.gov/protein/XP_022416760.1","XP_022416760.1")</f>
        <v>XP_022416760.1</v>
      </c>
      <c r="C139">
        <v>51113</v>
      </c>
      <c r="D139" t="str">
        <f>HYPERLINK("http://www.ncbi.nlm.nih.gov/Taxonomy/Browser/wwwtax.cgi?mode=Info&amp;id=9749&amp;lvl=3&amp;lin=f&amp;keep=1&amp;srchmode=1&amp;unlock","9749")</f>
        <v>9749</v>
      </c>
      <c r="E139" t="s">
        <v>18</v>
      </c>
      <c r="F139" t="s">
        <v>18</v>
      </c>
      <c r="G139" t="str">
        <f>HYPERLINK("http://www.ncbi.nlm.nih.gov/Taxonomy/Browser/wwwtax.cgi?mode=Info&amp;id=9749&amp;lvl=3&amp;lin=f&amp;keep=1&amp;srchmode=1&amp;unlock","Delphinapterus leucas")</f>
        <v>Delphinapterus leucas</v>
      </c>
      <c r="H139" t="s">
        <v>152</v>
      </c>
      <c r="I139" t="str">
        <f>HYPERLINK("http://www.ncbi.nlm.nih.gov/protein/XP_022416760.1","androgen receptor")</f>
        <v>androgen receptor</v>
      </c>
      <c r="J139" t="s">
        <v>1261</v>
      </c>
      <c r="K139">
        <v>513.84</v>
      </c>
      <c r="L139" t="s">
        <v>20</v>
      </c>
      <c r="M139">
        <v>157</v>
      </c>
      <c r="N139">
        <v>62.55</v>
      </c>
      <c r="O139">
        <v>99.93</v>
      </c>
      <c r="P139" t="s">
        <v>20</v>
      </c>
      <c r="Q139" t="s">
        <v>1262</v>
      </c>
      <c r="R139" t="s">
        <v>20</v>
      </c>
      <c r="S139" t="str">
        <f>HYPERLINK("https://cfpub.epa.gov/ecotox/explore.cfm?ncbi=9749","Explore in ECOTOX")</f>
        <v>Explore in ECOTOX</v>
      </c>
    </row>
    <row r="140" spans="1:19" x14ac:dyDescent="0.25">
      <c r="A140">
        <v>6</v>
      </c>
      <c r="B140" t="str">
        <f>HYPERLINK("http://www.ncbi.nlm.nih.gov/protein/XP_024607628.1","XP_024607628.1")</f>
        <v>XP_024607628.1</v>
      </c>
      <c r="C140">
        <v>38184</v>
      </c>
      <c r="D140" t="str">
        <f>HYPERLINK("http://www.ncbi.nlm.nih.gov/Taxonomy/Browser/wwwtax.cgi?mode=Info&amp;id=1706337&amp;lvl=3&amp;lin=f&amp;keep=1&amp;srchmode=1&amp;unlock","1706337")</f>
        <v>1706337</v>
      </c>
      <c r="E140" t="s">
        <v>18</v>
      </c>
      <c r="F140" t="s">
        <v>18</v>
      </c>
      <c r="G140" t="str">
        <f>HYPERLINK("http://www.ncbi.nlm.nih.gov/Taxonomy/Browser/wwwtax.cgi?mode=Info&amp;id=1706337&amp;lvl=3&amp;lin=f&amp;keep=1&amp;srchmode=1&amp;unlock","Neophocaena asiaeorientalis asiaeorientalis")</f>
        <v>Neophocaena asiaeorientalis asiaeorientalis</v>
      </c>
      <c r="H140" t="s">
        <v>175</v>
      </c>
      <c r="I140" t="str">
        <f>HYPERLINK("http://www.ncbi.nlm.nih.gov/protein/XP_024607628.1","androgen receptor isoform X1")</f>
        <v>androgen receptor isoform X1</v>
      </c>
      <c r="J140" t="s">
        <v>1261</v>
      </c>
      <c r="K140">
        <v>513.84</v>
      </c>
      <c r="L140" t="s">
        <v>20</v>
      </c>
      <c r="M140">
        <v>157</v>
      </c>
      <c r="N140">
        <v>62.55</v>
      </c>
      <c r="O140">
        <v>99.93</v>
      </c>
      <c r="P140" t="s">
        <v>20</v>
      </c>
      <c r="Q140" t="s">
        <v>1262</v>
      </c>
      <c r="R140" t="s">
        <v>20</v>
      </c>
      <c r="S140" t="str">
        <f>HYPERLINK("https://cfpub.epa.gov/ecotox/explore.cfm?ncbi=1706337","Explore in ECOTOX")</f>
        <v>Explore in ECOTOX</v>
      </c>
    </row>
    <row r="141" spans="1:19" x14ac:dyDescent="0.25">
      <c r="A141">
        <v>6</v>
      </c>
      <c r="B141" t="str">
        <f>HYPERLINK("http://www.ncbi.nlm.nih.gov/protein/XP_026909507.1","XP_026909507.1")</f>
        <v>XP_026909507.1</v>
      </c>
      <c r="C141">
        <v>56437</v>
      </c>
      <c r="D141" t="str">
        <f>HYPERLINK("http://www.ncbi.nlm.nih.gov/Taxonomy/Browser/wwwtax.cgi?mode=Info&amp;id=32536&amp;lvl=3&amp;lin=f&amp;keep=1&amp;srchmode=1&amp;unlock","32536")</f>
        <v>32536</v>
      </c>
      <c r="E141" t="s">
        <v>18</v>
      </c>
      <c r="F141" t="s">
        <v>18</v>
      </c>
      <c r="G141" t="str">
        <f>HYPERLINK("http://www.ncbi.nlm.nih.gov/Taxonomy/Browser/wwwtax.cgi?mode=Info&amp;id=32536&amp;lvl=3&amp;lin=f&amp;keep=1&amp;srchmode=1&amp;unlock","Acinonyx jubatus")</f>
        <v>Acinonyx jubatus</v>
      </c>
      <c r="H141" t="s">
        <v>62</v>
      </c>
      <c r="I141" t="str">
        <f>HYPERLINK("http://www.ncbi.nlm.nih.gov/protein/XP_026909507.1","androgen receptor isoform X1")</f>
        <v>androgen receptor isoform X1</v>
      </c>
      <c r="J141" t="s">
        <v>1261</v>
      </c>
      <c r="K141">
        <v>513.46</v>
      </c>
      <c r="L141" t="s">
        <v>20</v>
      </c>
      <c r="M141">
        <v>157</v>
      </c>
      <c r="N141">
        <v>62.55</v>
      </c>
      <c r="O141">
        <v>99.85</v>
      </c>
      <c r="P141" t="s">
        <v>20</v>
      </c>
      <c r="Q141" t="s">
        <v>1262</v>
      </c>
      <c r="R141" t="s">
        <v>20</v>
      </c>
      <c r="S141" t="str">
        <f>HYPERLINK("https://cfpub.epa.gov/ecotox/explore.cfm?ncbi=32536","Explore in ECOTOX")</f>
        <v>Explore in ECOTOX</v>
      </c>
    </row>
    <row r="142" spans="1:19" x14ac:dyDescent="0.25">
      <c r="A142">
        <v>6</v>
      </c>
      <c r="B142" t="str">
        <f>HYPERLINK("http://www.ncbi.nlm.nih.gov/protein/XP_040322896.1","XP_040322896.1")</f>
        <v>XP_040322896.1</v>
      </c>
      <c r="C142">
        <v>55674</v>
      </c>
      <c r="D142" t="str">
        <f>HYPERLINK("http://www.ncbi.nlm.nih.gov/Taxonomy/Browser/wwwtax.cgi?mode=Info&amp;id=1608482&amp;lvl=3&amp;lin=f&amp;keep=1&amp;srchmode=1&amp;unlock","1608482")</f>
        <v>1608482</v>
      </c>
      <c r="E142" t="s">
        <v>18</v>
      </c>
      <c r="F142" t="s">
        <v>18</v>
      </c>
      <c r="G142" t="str">
        <f>HYPERLINK("http://www.ncbi.nlm.nih.gov/Taxonomy/Browser/wwwtax.cgi?mode=Info&amp;id=1608482&amp;lvl=3&amp;lin=f&amp;keep=1&amp;srchmode=1&amp;unlock","Puma yagouaroundi")</f>
        <v>Puma yagouaroundi</v>
      </c>
      <c r="H142" t="s">
        <v>66</v>
      </c>
      <c r="I142" t="str">
        <f>HYPERLINK("http://www.ncbi.nlm.nih.gov/protein/XP_040322896.1","androgen receptor isoform X1")</f>
        <v>androgen receptor isoform X1</v>
      </c>
      <c r="J142" t="s">
        <v>1261</v>
      </c>
      <c r="K142">
        <v>513.46</v>
      </c>
      <c r="L142" t="s">
        <v>20</v>
      </c>
      <c r="M142">
        <v>157</v>
      </c>
      <c r="N142">
        <v>62.55</v>
      </c>
      <c r="O142">
        <v>99.85</v>
      </c>
      <c r="P142" t="s">
        <v>20</v>
      </c>
      <c r="Q142" t="s">
        <v>1262</v>
      </c>
      <c r="R142" t="s">
        <v>20</v>
      </c>
      <c r="S142" t="str">
        <f>HYPERLINK("https://cfpub.epa.gov/ecotox/explore.cfm?ncbi=1608482","Explore in ECOTOX")</f>
        <v>Explore in ECOTOX</v>
      </c>
    </row>
    <row r="143" spans="1:19" x14ac:dyDescent="0.25">
      <c r="A143">
        <v>6</v>
      </c>
      <c r="B143" t="str">
        <f>HYPERLINK("http://www.ncbi.nlm.nih.gov/protein/XP_021482974.1","XP_021482974.1")</f>
        <v>XP_021482974.1</v>
      </c>
      <c r="C143">
        <v>39125</v>
      </c>
      <c r="D143" t="str">
        <f>HYPERLINK("http://www.ncbi.nlm.nih.gov/Taxonomy/Browser/wwwtax.cgi?mode=Info&amp;id=10047&amp;lvl=3&amp;lin=f&amp;keep=1&amp;srchmode=1&amp;unlock","10047")</f>
        <v>10047</v>
      </c>
      <c r="E143" t="s">
        <v>18</v>
      </c>
      <c r="F143" t="s">
        <v>18</v>
      </c>
      <c r="G143" t="str">
        <f>HYPERLINK("http://www.ncbi.nlm.nih.gov/Taxonomy/Browser/wwwtax.cgi?mode=Info&amp;id=10047&amp;lvl=3&amp;lin=f&amp;keep=1&amp;srchmode=1&amp;unlock","Meriones unguiculatus")</f>
        <v>Meriones unguiculatus</v>
      </c>
      <c r="H143" t="s">
        <v>148</v>
      </c>
      <c r="I143" t="str">
        <f>HYPERLINK("http://www.ncbi.nlm.nih.gov/protein/XP_021482974.1","androgen receptor, partial")</f>
        <v>androgen receptor, partial</v>
      </c>
      <c r="J143" t="s">
        <v>1261</v>
      </c>
      <c r="K143">
        <v>513.46</v>
      </c>
      <c r="L143" t="s">
        <v>25</v>
      </c>
      <c r="M143">
        <v>157</v>
      </c>
      <c r="N143">
        <v>62.55</v>
      </c>
      <c r="O143">
        <v>99.85</v>
      </c>
      <c r="P143" t="s">
        <v>20</v>
      </c>
      <c r="Q143" t="s">
        <v>1262</v>
      </c>
      <c r="R143" t="s">
        <v>20</v>
      </c>
      <c r="S143" t="str">
        <f>HYPERLINK("https://cfpub.epa.gov/ecotox/explore.cfm?ncbi=10047","Explore in ECOTOX")</f>
        <v>Explore in ECOTOX</v>
      </c>
    </row>
    <row r="144" spans="1:19" x14ac:dyDescent="0.25">
      <c r="A144">
        <v>6</v>
      </c>
      <c r="B144" t="str">
        <f>HYPERLINK("http://www.ncbi.nlm.nih.gov/protein/XP_004439954.1","XP_004439954.1")</f>
        <v>XP_004439954.1</v>
      </c>
      <c r="C144">
        <v>33636</v>
      </c>
      <c r="D144" t="str">
        <f>HYPERLINK("http://www.ncbi.nlm.nih.gov/Taxonomy/Browser/wwwtax.cgi?mode=Info&amp;id=73337&amp;lvl=3&amp;lin=f&amp;keep=1&amp;srchmode=1&amp;unlock","73337")</f>
        <v>73337</v>
      </c>
      <c r="E144" t="s">
        <v>18</v>
      </c>
      <c r="F144" t="s">
        <v>18</v>
      </c>
      <c r="G144" t="str">
        <f>HYPERLINK("http://www.ncbi.nlm.nih.gov/Taxonomy/Browser/wwwtax.cgi?mode=Info&amp;id=73337&amp;lvl=3&amp;lin=f&amp;keep=1&amp;srchmode=1&amp;unlock","Ceratotherium simum simum")</f>
        <v>Ceratotherium simum simum</v>
      </c>
      <c r="H144" t="s">
        <v>560</v>
      </c>
      <c r="I144" t="str">
        <f>HYPERLINK("http://www.ncbi.nlm.nih.gov/protein/XP_004439954.1","PREDICTED: androgen receptor")</f>
        <v>PREDICTED: androgen receptor</v>
      </c>
      <c r="J144" t="s">
        <v>1261</v>
      </c>
      <c r="K144">
        <v>513.07000000000005</v>
      </c>
      <c r="L144" t="s">
        <v>20</v>
      </c>
      <c r="M144">
        <v>157</v>
      </c>
      <c r="N144">
        <v>62.55</v>
      </c>
      <c r="O144">
        <v>99.78</v>
      </c>
      <c r="P144" t="s">
        <v>20</v>
      </c>
      <c r="Q144" t="s">
        <v>1262</v>
      </c>
      <c r="R144" t="s">
        <v>20</v>
      </c>
      <c r="S144" t="str">
        <f>HYPERLINK("https://cfpub.epa.gov/ecotox/explore.cfm?ncbi=73337","Explore in ECOTOX")</f>
        <v>Explore in ECOTOX</v>
      </c>
    </row>
    <row r="145" spans="1:19" x14ac:dyDescent="0.25">
      <c r="A145">
        <v>6</v>
      </c>
      <c r="B145" t="str">
        <f>HYPERLINK("http://www.ncbi.nlm.nih.gov/protein/AKH40241.1","AKH40241.1")</f>
        <v>AKH40241.1</v>
      </c>
      <c r="C145">
        <v>321</v>
      </c>
      <c r="D145" t="str">
        <f>HYPERLINK("http://www.ncbi.nlm.nih.gov/Taxonomy/Browser/wwwtax.cgi?mode=Info&amp;id=13125&amp;lvl=3&amp;lin=f&amp;keep=1&amp;srchmode=1&amp;unlock","13125")</f>
        <v>13125</v>
      </c>
      <c r="E145" t="s">
        <v>18</v>
      </c>
      <c r="F145" t="s">
        <v>18</v>
      </c>
      <c r="G145" t="str">
        <f>HYPERLINK("http://www.ncbi.nlm.nih.gov/Taxonomy/Browser/wwwtax.cgi?mode=Info&amp;id=13125&amp;lvl=3&amp;lin=f&amp;keep=1&amp;srchmode=1&amp;unlock","Lynx lynx")</f>
        <v>Lynx lynx</v>
      </c>
      <c r="H145" t="s">
        <v>969</v>
      </c>
      <c r="I145" t="str">
        <f>HYPERLINK("http://www.ncbi.nlm.nih.gov/protein/AKH40241.1","androgen receptor, partial")</f>
        <v>androgen receptor, partial</v>
      </c>
      <c r="J145" t="s">
        <v>1261</v>
      </c>
      <c r="K145">
        <v>513.07000000000005</v>
      </c>
      <c r="L145" t="s">
        <v>20</v>
      </c>
      <c r="M145">
        <v>157</v>
      </c>
      <c r="N145">
        <v>62.55</v>
      </c>
      <c r="O145">
        <v>99.78</v>
      </c>
      <c r="P145" t="s">
        <v>20</v>
      </c>
      <c r="Q145" t="s">
        <v>1262</v>
      </c>
      <c r="R145" t="s">
        <v>20</v>
      </c>
      <c r="S145" t="str">
        <f>HYPERLINK("https://cfpub.epa.gov/ecotox/explore.cfm?ncbi=13125","Explore in ECOTOX")</f>
        <v>Explore in ECOTOX</v>
      </c>
    </row>
    <row r="146" spans="1:19" x14ac:dyDescent="0.25">
      <c r="A146">
        <v>6</v>
      </c>
      <c r="B146" t="str">
        <f>HYPERLINK("http://www.ncbi.nlm.nih.gov/protein/Q8MIK0.1","Q8MIK0.1")</f>
        <v>Q8MIK0.1</v>
      </c>
      <c r="C146">
        <v>17488</v>
      </c>
      <c r="D146" t="str">
        <f>HYPERLINK("http://www.ncbi.nlm.nih.gov/Taxonomy/Browser/wwwtax.cgi?mode=Info&amp;id=9678&amp;lvl=3&amp;lin=f&amp;keep=1&amp;srchmode=1&amp;unlock","9678")</f>
        <v>9678</v>
      </c>
      <c r="E146" t="s">
        <v>18</v>
      </c>
      <c r="F146" t="s">
        <v>18</v>
      </c>
      <c r="G146" t="str">
        <f>HYPERLINK("http://www.ncbi.nlm.nih.gov/Taxonomy/Browser/wwwtax.cgi?mode=Info&amp;id=9678&amp;lvl=3&amp;lin=f&amp;keep=1&amp;srchmode=1&amp;unlock","Crocuta crocuta")</f>
        <v>Crocuta crocuta</v>
      </c>
      <c r="H146" t="s">
        <v>164</v>
      </c>
      <c r="I146" t="str">
        <f>HYPERLINK("http://www.ncbi.nlm.nih.gov/protein/Q8MIK0.1","RecName: Full=Androgen receptor; AltName: Full=Dihydrotestosterone receptor; AltName: Full=Nuclear receptor subfamily 3 group C member 4")</f>
        <v>RecName: Full=Androgen receptor; AltName: Full=Dihydrotestosterone receptor; AltName: Full=Nuclear receptor subfamily 3 group C member 4</v>
      </c>
      <c r="J146" t="s">
        <v>1261</v>
      </c>
      <c r="K146">
        <v>513.07000000000005</v>
      </c>
      <c r="L146" t="s">
        <v>20</v>
      </c>
      <c r="M146">
        <v>157</v>
      </c>
      <c r="N146">
        <v>62.55</v>
      </c>
      <c r="O146">
        <v>99.78</v>
      </c>
      <c r="P146" t="s">
        <v>20</v>
      </c>
      <c r="Q146" t="s">
        <v>1262</v>
      </c>
      <c r="R146" t="s">
        <v>20</v>
      </c>
      <c r="S146" t="str">
        <f>HYPERLINK("https://cfpub.epa.gov/ecotox/explore.cfm?ncbi=9678","Explore in ECOTOX")</f>
        <v>Explore in ECOTOX</v>
      </c>
    </row>
    <row r="147" spans="1:19" x14ac:dyDescent="0.25">
      <c r="A147">
        <v>6</v>
      </c>
      <c r="B147" t="str">
        <f>HYPERLINK("http://www.ncbi.nlm.nih.gov/protein/XP_032745817.1","XP_032745817.1")</f>
        <v>XP_032745817.1</v>
      </c>
      <c r="C147">
        <v>36373</v>
      </c>
      <c r="D147" t="str">
        <f>HYPERLINK("http://www.ncbi.nlm.nih.gov/Taxonomy/Browser/wwwtax.cgi?mode=Info&amp;id=10117&amp;lvl=3&amp;lin=f&amp;keep=1&amp;srchmode=1&amp;unlock","10117")</f>
        <v>10117</v>
      </c>
      <c r="E147" t="s">
        <v>18</v>
      </c>
      <c r="F147" t="s">
        <v>18</v>
      </c>
      <c r="G147" t="str">
        <f>HYPERLINK("http://www.ncbi.nlm.nih.gov/Taxonomy/Browser/wwwtax.cgi?mode=Info&amp;id=10117&amp;lvl=3&amp;lin=f&amp;keep=1&amp;srchmode=1&amp;unlock","Rattus rattus")</f>
        <v>Rattus rattus</v>
      </c>
      <c r="H147" t="s">
        <v>138</v>
      </c>
      <c r="I147" t="str">
        <f>HYPERLINK("http://www.ncbi.nlm.nih.gov/protein/XP_032745817.1","LOW QUALITY PROTEIN: androgen receptor")</f>
        <v>LOW QUALITY PROTEIN: androgen receptor</v>
      </c>
      <c r="J147" t="s">
        <v>1261</v>
      </c>
      <c r="K147">
        <v>513.07000000000005</v>
      </c>
      <c r="L147" t="s">
        <v>20</v>
      </c>
      <c r="M147">
        <v>157</v>
      </c>
      <c r="N147">
        <v>62.55</v>
      </c>
      <c r="O147">
        <v>99.78</v>
      </c>
      <c r="P147" t="s">
        <v>20</v>
      </c>
      <c r="Q147" t="s">
        <v>1262</v>
      </c>
      <c r="R147" t="s">
        <v>20</v>
      </c>
      <c r="S147" t="str">
        <f>HYPERLINK("https://cfpub.epa.gov/ecotox/explore.cfm?ncbi=10117","Explore in ECOTOX")</f>
        <v>Explore in ECOTOX</v>
      </c>
    </row>
    <row r="148" spans="1:19" x14ac:dyDescent="0.25">
      <c r="A148">
        <v>6</v>
      </c>
      <c r="B148" t="str">
        <f>HYPERLINK("http://www.ncbi.nlm.nih.gov/protein/XP_006067834.1","XP_006067834.1")</f>
        <v>XP_006067834.1</v>
      </c>
      <c r="C148">
        <v>61063</v>
      </c>
      <c r="D148" t="str">
        <f>HYPERLINK("http://www.ncbi.nlm.nih.gov/Taxonomy/Browser/wwwtax.cgi?mode=Info&amp;id=89462&amp;lvl=3&amp;lin=f&amp;keep=1&amp;srchmode=1&amp;unlock","89462")</f>
        <v>89462</v>
      </c>
      <c r="E148" t="s">
        <v>18</v>
      </c>
      <c r="F148" t="s">
        <v>18</v>
      </c>
      <c r="G148" t="str">
        <f>HYPERLINK("http://www.ncbi.nlm.nih.gov/Taxonomy/Browser/wwwtax.cgi?mode=Info&amp;id=89462&amp;lvl=3&amp;lin=f&amp;keep=1&amp;srchmode=1&amp;unlock","Bubalus bubalis")</f>
        <v>Bubalus bubalis</v>
      </c>
      <c r="H148" t="s">
        <v>113</v>
      </c>
      <c r="I148" t="str">
        <f>HYPERLINK("http://www.ncbi.nlm.nih.gov/protein/XP_006067834.1","androgen receptor isoform X1")</f>
        <v>androgen receptor isoform X1</v>
      </c>
      <c r="J148" t="s">
        <v>1261</v>
      </c>
      <c r="K148">
        <v>512.69000000000005</v>
      </c>
      <c r="L148" t="s">
        <v>20</v>
      </c>
      <c r="M148">
        <v>157</v>
      </c>
      <c r="N148">
        <v>62.55</v>
      </c>
      <c r="O148">
        <v>99.7</v>
      </c>
      <c r="P148" t="s">
        <v>20</v>
      </c>
      <c r="Q148" t="s">
        <v>1262</v>
      </c>
      <c r="R148" t="s">
        <v>20</v>
      </c>
      <c r="S148" t="str">
        <f>HYPERLINK("https://cfpub.epa.gov/ecotox/explore.cfm?ncbi=89462","Explore in ECOTOX")</f>
        <v>Explore in ECOTOX</v>
      </c>
    </row>
    <row r="149" spans="1:19" x14ac:dyDescent="0.25">
      <c r="A149">
        <v>6</v>
      </c>
      <c r="B149" t="str">
        <f>HYPERLINK("http://www.ncbi.nlm.nih.gov/protein/XP_031800701.1","XP_031800701.1")</f>
        <v>XP_031800701.1</v>
      </c>
      <c r="C149">
        <v>46282</v>
      </c>
      <c r="D149" t="str">
        <f>HYPERLINK("http://www.ncbi.nlm.nih.gov/Taxonomy/Browser/wwwtax.cgi?mode=Info&amp;id=9305&amp;lvl=3&amp;lin=f&amp;keep=1&amp;srchmode=1&amp;unlock","9305")</f>
        <v>9305</v>
      </c>
      <c r="E149" t="s">
        <v>18</v>
      </c>
      <c r="F149" t="s">
        <v>18</v>
      </c>
      <c r="G149" t="str">
        <f>HYPERLINK("http://www.ncbi.nlm.nih.gov/Taxonomy/Browser/wwwtax.cgi?mode=Info&amp;id=9305&amp;lvl=3&amp;lin=f&amp;keep=1&amp;srchmode=1&amp;unlock","Sarcophilus harrisii")</f>
        <v>Sarcophilus harrisii</v>
      </c>
      <c r="H149" t="s">
        <v>122</v>
      </c>
      <c r="I149" t="str">
        <f>HYPERLINK("http://www.ncbi.nlm.nih.gov/protein/XP_031800701.1","androgen receptor")</f>
        <v>androgen receptor</v>
      </c>
      <c r="J149" t="s">
        <v>1261</v>
      </c>
      <c r="K149">
        <v>512.69000000000005</v>
      </c>
      <c r="L149" t="s">
        <v>25</v>
      </c>
      <c r="M149">
        <v>157</v>
      </c>
      <c r="N149">
        <v>62.55</v>
      </c>
      <c r="O149">
        <v>99.7</v>
      </c>
      <c r="P149" t="s">
        <v>20</v>
      </c>
      <c r="Q149" t="s">
        <v>1262</v>
      </c>
      <c r="R149" t="s">
        <v>20</v>
      </c>
      <c r="S149" t="str">
        <f>HYPERLINK("https://cfpub.epa.gov/ecotox/explore.cfm?ncbi=9305","Explore in ECOTOX")</f>
        <v>Explore in ECOTOX</v>
      </c>
    </row>
    <row r="150" spans="1:19" x14ac:dyDescent="0.25">
      <c r="A150">
        <v>6</v>
      </c>
      <c r="B150" t="str">
        <f>HYPERLINK("http://www.ncbi.nlm.nih.gov/protein/XP_006774533.1","XP_006774533.1")</f>
        <v>XP_006774533.1</v>
      </c>
      <c r="C150">
        <v>48733</v>
      </c>
      <c r="D150" t="str">
        <f>HYPERLINK("http://www.ncbi.nlm.nih.gov/Taxonomy/Browser/wwwtax.cgi?mode=Info&amp;id=225400&amp;lvl=3&amp;lin=f&amp;keep=1&amp;srchmode=1&amp;unlock","225400")</f>
        <v>225400</v>
      </c>
      <c r="E150" t="s">
        <v>18</v>
      </c>
      <c r="F150" t="s">
        <v>18</v>
      </c>
      <c r="G150" t="str">
        <f>HYPERLINK("http://www.ncbi.nlm.nih.gov/Taxonomy/Browser/wwwtax.cgi?mode=Info&amp;id=225400&amp;lvl=3&amp;lin=f&amp;keep=1&amp;srchmode=1&amp;unlock","Myotis davidii")</f>
        <v>Myotis davidii</v>
      </c>
      <c r="H150" t="s">
        <v>77</v>
      </c>
      <c r="I150" t="str">
        <f>HYPERLINK("http://www.ncbi.nlm.nih.gov/protein/XP_006774533.1","PREDICTED: androgen receptor")</f>
        <v>PREDICTED: androgen receptor</v>
      </c>
      <c r="J150" t="s">
        <v>1261</v>
      </c>
      <c r="K150">
        <v>512.69000000000005</v>
      </c>
      <c r="L150" t="s">
        <v>25</v>
      </c>
      <c r="M150">
        <v>157</v>
      </c>
      <c r="N150">
        <v>62.55</v>
      </c>
      <c r="O150">
        <v>99.7</v>
      </c>
      <c r="P150" t="s">
        <v>20</v>
      </c>
      <c r="Q150" t="s">
        <v>1262</v>
      </c>
      <c r="R150" t="s">
        <v>20</v>
      </c>
      <c r="S150" t="str">
        <f>HYPERLINK("https://cfpub.epa.gov/ecotox/explore.cfm?ncbi=225400","Explore in ECOTOX")</f>
        <v>Explore in ECOTOX</v>
      </c>
    </row>
    <row r="151" spans="1:19" x14ac:dyDescent="0.25">
      <c r="A151">
        <v>6</v>
      </c>
      <c r="B151" t="str">
        <f>HYPERLINK("http://www.ncbi.nlm.nih.gov/protein/XP_007445632.1","XP_007445632.1")</f>
        <v>XP_007445632.1</v>
      </c>
      <c r="C151">
        <v>27194</v>
      </c>
      <c r="D151" t="str">
        <f>HYPERLINK("http://www.ncbi.nlm.nih.gov/Taxonomy/Browser/wwwtax.cgi?mode=Info&amp;id=118797&amp;lvl=3&amp;lin=f&amp;keep=1&amp;srchmode=1&amp;unlock","118797")</f>
        <v>118797</v>
      </c>
      <c r="E151" t="s">
        <v>18</v>
      </c>
      <c r="F151" t="s">
        <v>18</v>
      </c>
      <c r="G151" t="str">
        <f>HYPERLINK("http://www.ncbi.nlm.nih.gov/Taxonomy/Browser/wwwtax.cgi?mode=Info&amp;id=118797&amp;lvl=3&amp;lin=f&amp;keep=1&amp;srchmode=1&amp;unlock","Lipotes vexillifer")</f>
        <v>Lipotes vexillifer</v>
      </c>
      <c r="H151" t="s">
        <v>165</v>
      </c>
      <c r="I151" t="str">
        <f>HYPERLINK("http://www.ncbi.nlm.nih.gov/protein/XP_007445632.1","PREDICTED: androgen receptor")</f>
        <v>PREDICTED: androgen receptor</v>
      </c>
      <c r="J151" t="s">
        <v>1261</v>
      </c>
      <c r="K151">
        <v>512.29999999999995</v>
      </c>
      <c r="L151" t="s">
        <v>20</v>
      </c>
      <c r="M151">
        <v>157</v>
      </c>
      <c r="N151">
        <v>62.55</v>
      </c>
      <c r="O151">
        <v>99.63</v>
      </c>
      <c r="P151" t="s">
        <v>20</v>
      </c>
      <c r="Q151" t="s">
        <v>1262</v>
      </c>
      <c r="R151" t="s">
        <v>20</v>
      </c>
      <c r="S151" t="str">
        <f>HYPERLINK("https://cfpub.epa.gov/ecotox/explore.cfm?ncbi=118797","Explore in ECOTOX")</f>
        <v>Explore in ECOTOX</v>
      </c>
    </row>
    <row r="152" spans="1:19" x14ac:dyDescent="0.25">
      <c r="A152">
        <v>6</v>
      </c>
      <c r="B152" t="str">
        <f>HYPERLINK("http://www.ncbi.nlm.nih.gov/protein/XP_004644568.1","XP_004644568.1")</f>
        <v>XP_004644568.1</v>
      </c>
      <c r="C152">
        <v>42554</v>
      </c>
      <c r="D152" t="str">
        <f>HYPERLINK("http://www.ncbi.nlm.nih.gov/Taxonomy/Browser/wwwtax.cgi?mode=Info&amp;id=10160&amp;lvl=3&amp;lin=f&amp;keep=1&amp;srchmode=1&amp;unlock","10160")</f>
        <v>10160</v>
      </c>
      <c r="E152" t="s">
        <v>18</v>
      </c>
      <c r="F152" t="s">
        <v>18</v>
      </c>
      <c r="G152" t="str">
        <f>HYPERLINK("http://www.ncbi.nlm.nih.gov/Taxonomy/Browser/wwwtax.cgi?mode=Info&amp;id=10160&amp;lvl=3&amp;lin=f&amp;keep=1&amp;srchmode=1&amp;unlock","Octodon degus")</f>
        <v>Octodon degus</v>
      </c>
      <c r="H152" t="s">
        <v>106</v>
      </c>
      <c r="I152" t="str">
        <f>HYPERLINK("http://www.ncbi.nlm.nih.gov/protein/XP_004644568.1","androgen receptor isoform X1")</f>
        <v>androgen receptor isoform X1</v>
      </c>
      <c r="J152" t="s">
        <v>1261</v>
      </c>
      <c r="K152">
        <v>512.29999999999995</v>
      </c>
      <c r="L152" t="s">
        <v>20</v>
      </c>
      <c r="M152">
        <v>157</v>
      </c>
      <c r="N152">
        <v>62.55</v>
      </c>
      <c r="O152">
        <v>99.63</v>
      </c>
      <c r="P152" t="s">
        <v>20</v>
      </c>
      <c r="Q152" t="s">
        <v>1262</v>
      </c>
      <c r="R152" t="s">
        <v>20</v>
      </c>
      <c r="S152" t="str">
        <f>HYPERLINK("https://cfpub.epa.gov/ecotox/explore.cfm?ncbi=10160","Explore in ECOTOX")</f>
        <v>Explore in ECOTOX</v>
      </c>
    </row>
    <row r="153" spans="1:19" x14ac:dyDescent="0.25">
      <c r="A153">
        <v>6</v>
      </c>
      <c r="B153" t="str">
        <f>HYPERLINK("http://www.ncbi.nlm.nih.gov/protein/XP_006868555.1","XP_006868555.1")</f>
        <v>XP_006868555.1</v>
      </c>
      <c r="C153">
        <v>25292</v>
      </c>
      <c r="D153" t="str">
        <f>HYPERLINK("http://www.ncbi.nlm.nih.gov/Taxonomy/Browser/wwwtax.cgi?mode=Info&amp;id=185453&amp;lvl=3&amp;lin=f&amp;keep=1&amp;srchmode=1&amp;unlock","185453")</f>
        <v>185453</v>
      </c>
      <c r="E153" t="s">
        <v>18</v>
      </c>
      <c r="F153" t="s">
        <v>18</v>
      </c>
      <c r="G153" t="str">
        <f>HYPERLINK("http://www.ncbi.nlm.nih.gov/Taxonomy/Browser/wwwtax.cgi?mode=Info&amp;id=185453&amp;lvl=3&amp;lin=f&amp;keep=1&amp;srchmode=1&amp;unlock","Chrysochloris asiatica")</f>
        <v>Chrysochloris asiatica</v>
      </c>
      <c r="H153" t="s">
        <v>124</v>
      </c>
      <c r="I153" t="str">
        <f>HYPERLINK("http://www.ncbi.nlm.nih.gov/protein/XP_006868555.1","PREDICTED: androgen receptor-like isoform X4")</f>
        <v>PREDICTED: androgen receptor-like isoform X4</v>
      </c>
      <c r="J153" t="s">
        <v>1261</v>
      </c>
      <c r="K153">
        <v>512.29999999999995</v>
      </c>
      <c r="L153" t="s">
        <v>20</v>
      </c>
      <c r="M153">
        <v>157</v>
      </c>
      <c r="N153">
        <v>62.55</v>
      </c>
      <c r="O153">
        <v>99.63</v>
      </c>
      <c r="P153" t="s">
        <v>20</v>
      </c>
      <c r="Q153" t="s">
        <v>1262</v>
      </c>
      <c r="R153" t="s">
        <v>20</v>
      </c>
      <c r="S153" t="str">
        <f>HYPERLINK("https://cfpub.epa.gov/ecotox/explore.cfm?ncbi=185453","Explore in ECOTOX")</f>
        <v>Explore in ECOTOX</v>
      </c>
    </row>
    <row r="154" spans="1:19" x14ac:dyDescent="0.25">
      <c r="A154">
        <v>6</v>
      </c>
      <c r="B154" t="str">
        <f>HYPERLINK("http://www.ncbi.nlm.nih.gov/protein/XP_033057282.1","XP_033057282.1")</f>
        <v>XP_033057282.1</v>
      </c>
      <c r="C154">
        <v>64510</v>
      </c>
      <c r="D154" t="str">
        <f>HYPERLINK("http://www.ncbi.nlm.nih.gov/Taxonomy/Browser/wwwtax.cgi?mode=Info&amp;id=54180&amp;lvl=3&amp;lin=f&amp;keep=1&amp;srchmode=1&amp;unlock","54180")</f>
        <v>54180</v>
      </c>
      <c r="E154" t="s">
        <v>18</v>
      </c>
      <c r="F154" t="s">
        <v>18</v>
      </c>
      <c r="G154" t="str">
        <f>HYPERLINK("http://www.ncbi.nlm.nih.gov/Taxonomy/Browser/wwwtax.cgi?mode=Info&amp;id=54180&amp;lvl=3&amp;lin=f&amp;keep=1&amp;srchmode=1&amp;unlock","Trachypithecus francoisi")</f>
        <v>Trachypithecus francoisi</v>
      </c>
      <c r="H154" t="s">
        <v>35</v>
      </c>
      <c r="I154" t="str">
        <f>HYPERLINK("http://www.ncbi.nlm.nih.gov/protein/XP_033057282.1","LOW QUALITY PROTEIN: androgen receptor")</f>
        <v>LOW QUALITY PROTEIN: androgen receptor</v>
      </c>
      <c r="J154" t="s">
        <v>1261</v>
      </c>
      <c r="K154">
        <v>511.92</v>
      </c>
      <c r="L154" t="s">
        <v>25</v>
      </c>
      <c r="M154">
        <v>157</v>
      </c>
      <c r="N154">
        <v>62.55</v>
      </c>
      <c r="O154">
        <v>99.55</v>
      </c>
      <c r="P154" t="s">
        <v>20</v>
      </c>
      <c r="Q154" t="s">
        <v>1262</v>
      </c>
      <c r="R154" t="s">
        <v>20</v>
      </c>
      <c r="S154" t="str">
        <f>HYPERLINK("https://cfpub.epa.gov/ecotox/explore.cfm?ncbi=54180","Explore in ECOTOX")</f>
        <v>Explore in ECOTOX</v>
      </c>
    </row>
    <row r="155" spans="1:19" x14ac:dyDescent="0.25">
      <c r="A155">
        <v>6</v>
      </c>
      <c r="B155" t="str">
        <f>HYPERLINK("http://www.ncbi.nlm.nih.gov/protein/XP_032993019.1","XP_032993019.1")</f>
        <v>XP_032993019.1</v>
      </c>
      <c r="C155">
        <v>39496</v>
      </c>
      <c r="D155" t="str">
        <f>HYPERLINK("http://www.ncbi.nlm.nih.gov/Taxonomy/Browser/wwwtax.cgi?mode=Info&amp;id=80427&amp;lvl=3&amp;lin=f&amp;keep=1&amp;srchmode=1&amp;unlock","80427")</f>
        <v>80427</v>
      </c>
      <c r="E155" t="s">
        <v>236</v>
      </c>
      <c r="F155" t="s">
        <v>236</v>
      </c>
      <c r="G155" t="str">
        <f>HYPERLINK("http://www.ncbi.nlm.nih.gov/Taxonomy/Browser/wwwtax.cgi?mode=Info&amp;id=80427&amp;lvl=3&amp;lin=f&amp;keep=1&amp;srchmode=1&amp;unlock","Lacerta agilis")</f>
        <v>Lacerta agilis</v>
      </c>
      <c r="H155" t="s">
        <v>392</v>
      </c>
      <c r="I155" t="str">
        <f>HYPERLINK("http://www.ncbi.nlm.nih.gov/protein/XP_032993019.1","androgen receptor")</f>
        <v>androgen receptor</v>
      </c>
      <c r="J155" t="s">
        <v>1261</v>
      </c>
      <c r="K155">
        <v>511.53</v>
      </c>
      <c r="L155" t="s">
        <v>20</v>
      </c>
      <c r="M155">
        <v>157</v>
      </c>
      <c r="N155">
        <v>62.55</v>
      </c>
      <c r="O155">
        <v>99.48</v>
      </c>
      <c r="P155" t="s">
        <v>20</v>
      </c>
      <c r="Q155" t="s">
        <v>1262</v>
      </c>
      <c r="R155" t="s">
        <v>20</v>
      </c>
      <c r="S155" t="str">
        <f>HYPERLINK("https://cfpub.epa.gov/ecotox/explore.cfm?ncbi=80427","Explore in ECOTOX")</f>
        <v>Explore in ECOTOX</v>
      </c>
    </row>
    <row r="156" spans="1:19" x14ac:dyDescent="0.25">
      <c r="A156">
        <v>6</v>
      </c>
      <c r="B156" t="str">
        <f>HYPERLINK("http://www.ncbi.nlm.nih.gov/protein/XP_015275174.1","XP_015275174.1")</f>
        <v>XP_015275174.1</v>
      </c>
      <c r="C156">
        <v>24675</v>
      </c>
      <c r="D156" t="str">
        <f>HYPERLINK("http://www.ncbi.nlm.nih.gov/Taxonomy/Browser/wwwtax.cgi?mode=Info&amp;id=146911&amp;lvl=3&amp;lin=f&amp;keep=1&amp;srchmode=1&amp;unlock","146911")</f>
        <v>146911</v>
      </c>
      <c r="E156" t="s">
        <v>236</v>
      </c>
      <c r="F156" t="s">
        <v>236</v>
      </c>
      <c r="G156" t="str">
        <f>HYPERLINK("http://www.ncbi.nlm.nih.gov/Taxonomy/Browser/wwwtax.cgi?mode=Info&amp;id=146911&amp;lvl=3&amp;lin=f&amp;keep=1&amp;srchmode=1&amp;unlock","Gekko japonicus")</f>
        <v>Gekko japonicus</v>
      </c>
      <c r="H156" t="s">
        <v>650</v>
      </c>
      <c r="I156" t="str">
        <f>HYPERLINK("http://www.ncbi.nlm.nih.gov/protein/XP_015275174.1","PREDICTED: androgen receptor")</f>
        <v>PREDICTED: androgen receptor</v>
      </c>
      <c r="J156" t="s">
        <v>1261</v>
      </c>
      <c r="K156">
        <v>511.15</v>
      </c>
      <c r="L156" t="s">
        <v>25</v>
      </c>
      <c r="M156">
        <v>157</v>
      </c>
      <c r="N156">
        <v>62.55</v>
      </c>
      <c r="O156">
        <v>99.4</v>
      </c>
      <c r="P156" t="s">
        <v>20</v>
      </c>
      <c r="Q156" t="s">
        <v>1262</v>
      </c>
      <c r="R156" t="s">
        <v>20</v>
      </c>
      <c r="S156" t="str">
        <f>HYPERLINK("https://cfpub.epa.gov/ecotox/explore.cfm?ncbi=146911","Explore in ECOTOX")</f>
        <v>Explore in ECOTOX</v>
      </c>
    </row>
    <row r="157" spans="1:19" x14ac:dyDescent="0.25">
      <c r="A157">
        <v>6</v>
      </c>
      <c r="B157" t="str">
        <f>HYPERLINK("http://www.ncbi.nlm.nih.gov/protein/XP_027621790.1","XP_027621790.1")</f>
        <v>XP_027621790.1</v>
      </c>
      <c r="C157">
        <v>59503</v>
      </c>
      <c r="D157" t="str">
        <f>HYPERLINK("http://www.ncbi.nlm.nih.gov/Taxonomy/Browser/wwwtax.cgi?mode=Info&amp;id=246437&amp;lvl=3&amp;lin=f&amp;keep=1&amp;srchmode=1&amp;unlock","246437")</f>
        <v>246437</v>
      </c>
      <c r="E157" t="s">
        <v>18</v>
      </c>
      <c r="F157" t="s">
        <v>18</v>
      </c>
      <c r="G157" t="str">
        <f>HYPERLINK("http://www.ncbi.nlm.nih.gov/Taxonomy/Browser/wwwtax.cgi?mode=Info&amp;id=246437&amp;lvl=3&amp;lin=f&amp;keep=1&amp;srchmode=1&amp;unlock","Tupaia chinensis")</f>
        <v>Tupaia chinensis</v>
      </c>
      <c r="H157" t="s">
        <v>70</v>
      </c>
      <c r="I157" t="str">
        <f>HYPERLINK("http://www.ncbi.nlm.nih.gov/protein/XP_027621790.1","androgen receptor")</f>
        <v>androgen receptor</v>
      </c>
      <c r="J157" t="s">
        <v>1261</v>
      </c>
      <c r="K157">
        <v>510.76</v>
      </c>
      <c r="L157" t="s">
        <v>20</v>
      </c>
      <c r="M157">
        <v>157</v>
      </c>
      <c r="N157">
        <v>62.55</v>
      </c>
      <c r="O157">
        <v>99.33</v>
      </c>
      <c r="P157" t="s">
        <v>20</v>
      </c>
      <c r="Q157" t="s">
        <v>1262</v>
      </c>
      <c r="R157" t="s">
        <v>20</v>
      </c>
      <c r="S157" t="str">
        <f>HYPERLINK("https://cfpub.epa.gov/ecotox/explore.cfm?ncbi=246437","Explore in ECOTOX")</f>
        <v>Explore in ECOTOX</v>
      </c>
    </row>
    <row r="158" spans="1:19" x14ac:dyDescent="0.25">
      <c r="A158">
        <v>6</v>
      </c>
      <c r="B158" t="str">
        <f>HYPERLINK("http://www.ncbi.nlm.nih.gov/protein/XP_004615825.1","XP_004615825.1")</f>
        <v>XP_004615825.1</v>
      </c>
      <c r="C158">
        <v>24236</v>
      </c>
      <c r="D158" t="str">
        <f>HYPERLINK("http://www.ncbi.nlm.nih.gov/Taxonomy/Browser/wwwtax.cgi?mode=Info&amp;id=42254&amp;lvl=3&amp;lin=f&amp;keep=1&amp;srchmode=1&amp;unlock","42254")</f>
        <v>42254</v>
      </c>
      <c r="E158" t="s">
        <v>18</v>
      </c>
      <c r="F158" t="s">
        <v>18</v>
      </c>
      <c r="G158" t="str">
        <f>HYPERLINK("http://www.ncbi.nlm.nih.gov/Taxonomy/Browser/wwwtax.cgi?mode=Info&amp;id=42254&amp;lvl=3&amp;lin=f&amp;keep=1&amp;srchmode=1&amp;unlock","Sorex araneus")</f>
        <v>Sorex araneus</v>
      </c>
      <c r="H158" t="s">
        <v>195</v>
      </c>
      <c r="I158" t="str">
        <f>HYPERLINK("http://www.ncbi.nlm.nih.gov/protein/XP_004615825.1","PREDICTED: androgen receptor")</f>
        <v>PREDICTED: androgen receptor</v>
      </c>
      <c r="J158" t="s">
        <v>1261</v>
      </c>
      <c r="K158">
        <v>510.38</v>
      </c>
      <c r="L158" t="s">
        <v>20</v>
      </c>
      <c r="M158">
        <v>157</v>
      </c>
      <c r="N158">
        <v>62.55</v>
      </c>
      <c r="O158">
        <v>99.25</v>
      </c>
      <c r="P158" t="s">
        <v>20</v>
      </c>
      <c r="Q158" t="s">
        <v>1262</v>
      </c>
      <c r="R158" t="s">
        <v>20</v>
      </c>
      <c r="S158" t="str">
        <f>HYPERLINK("https://cfpub.epa.gov/ecotox/explore.cfm?ncbi=42254","Explore in ECOTOX")</f>
        <v>Explore in ECOTOX</v>
      </c>
    </row>
    <row r="159" spans="1:19" x14ac:dyDescent="0.25">
      <c r="A159">
        <v>6</v>
      </c>
      <c r="B159" t="str">
        <f>HYPERLINK("http://www.ncbi.nlm.nih.gov/protein/XP_039768333.1","XP_039768333.1")</f>
        <v>XP_039768333.1</v>
      </c>
      <c r="C159">
        <v>39363</v>
      </c>
      <c r="D159" t="str">
        <f>HYPERLINK("http://www.ncbi.nlm.nih.gov/Taxonomy/Browser/wwwtax.cgi?mode=Info&amp;id=9258&amp;lvl=3&amp;lin=f&amp;keep=1&amp;srchmode=1&amp;unlock","9258")</f>
        <v>9258</v>
      </c>
      <c r="E159" t="s">
        <v>18</v>
      </c>
      <c r="F159" t="s">
        <v>18</v>
      </c>
      <c r="G159" t="str">
        <f>HYPERLINK("http://www.ncbi.nlm.nih.gov/Taxonomy/Browser/wwwtax.cgi?mode=Info&amp;id=9258&amp;lvl=3&amp;lin=f&amp;keep=1&amp;srchmode=1&amp;unlock","Ornithorhynchus anatinus")</f>
        <v>Ornithorhynchus anatinus</v>
      </c>
      <c r="H159" t="s">
        <v>172</v>
      </c>
      <c r="I159" t="str">
        <f>HYPERLINK("http://www.ncbi.nlm.nih.gov/protein/XP_039768333.1","LOW QUALITY PROTEIN: androgen receptor")</f>
        <v>LOW QUALITY PROTEIN: androgen receptor</v>
      </c>
      <c r="J159" t="s">
        <v>1261</v>
      </c>
      <c r="K159">
        <v>510.38</v>
      </c>
      <c r="L159" t="s">
        <v>25</v>
      </c>
      <c r="M159">
        <v>157</v>
      </c>
      <c r="N159">
        <v>62.55</v>
      </c>
      <c r="O159">
        <v>99.25</v>
      </c>
      <c r="P159" t="s">
        <v>20</v>
      </c>
      <c r="Q159" t="s">
        <v>1262</v>
      </c>
      <c r="R159" t="s">
        <v>20</v>
      </c>
      <c r="S159" t="str">
        <f>HYPERLINK("https://cfpub.epa.gov/ecotox/explore.cfm?ncbi=9258","Explore in ECOTOX")</f>
        <v>Explore in ECOTOX</v>
      </c>
    </row>
    <row r="160" spans="1:19" x14ac:dyDescent="0.25">
      <c r="A160">
        <v>6</v>
      </c>
      <c r="B160" t="str">
        <f>HYPERLINK("http://www.ncbi.nlm.nih.gov/protein/XP_007185523.1","XP_007185523.1")</f>
        <v>XP_007185523.1</v>
      </c>
      <c r="C160">
        <v>37624</v>
      </c>
      <c r="D160" t="str">
        <f>HYPERLINK("http://www.ncbi.nlm.nih.gov/Taxonomy/Browser/wwwtax.cgi?mode=Info&amp;id=310752&amp;lvl=3&amp;lin=f&amp;keep=1&amp;srchmode=1&amp;unlock","310752")</f>
        <v>310752</v>
      </c>
      <c r="E160" t="s">
        <v>18</v>
      </c>
      <c r="F160" t="s">
        <v>18</v>
      </c>
      <c r="G160" t="str">
        <f>HYPERLINK("http://www.ncbi.nlm.nih.gov/Taxonomy/Browser/wwwtax.cgi?mode=Info&amp;id=310752&amp;lvl=3&amp;lin=f&amp;keep=1&amp;srchmode=1&amp;unlock","Balaenoptera acutorostrata scammoni")</f>
        <v>Balaenoptera acutorostrata scammoni</v>
      </c>
      <c r="H160" t="s">
        <v>241</v>
      </c>
      <c r="I160" t="str">
        <f>HYPERLINK("http://www.ncbi.nlm.nih.gov/protein/XP_007185523.1","androgen receptor isoform X1")</f>
        <v>androgen receptor isoform X1</v>
      </c>
      <c r="J160" t="s">
        <v>1261</v>
      </c>
      <c r="K160">
        <v>509.99</v>
      </c>
      <c r="L160" t="s">
        <v>20</v>
      </c>
      <c r="M160">
        <v>157</v>
      </c>
      <c r="N160">
        <v>62.55</v>
      </c>
      <c r="O160">
        <v>99.18</v>
      </c>
      <c r="P160" t="s">
        <v>20</v>
      </c>
      <c r="Q160" t="s">
        <v>1262</v>
      </c>
      <c r="R160" t="s">
        <v>20</v>
      </c>
      <c r="S160" t="str">
        <f>HYPERLINK("https://cfpub.epa.gov/ecotox/explore.cfm?ncbi=310752","Explore in ECOTOX")</f>
        <v>Explore in ECOTOX</v>
      </c>
    </row>
    <row r="161" spans="1:19" x14ac:dyDescent="0.25">
      <c r="A161">
        <v>6</v>
      </c>
      <c r="B161" t="str">
        <f>HYPERLINK("http://www.ncbi.nlm.nih.gov/protein/XP_038604381.1","XP_038604381.1")</f>
        <v>XP_038604381.1</v>
      </c>
      <c r="C161">
        <v>33527</v>
      </c>
      <c r="D161" t="str">
        <f>HYPERLINK("http://www.ncbi.nlm.nih.gov/Taxonomy/Browser/wwwtax.cgi?mode=Info&amp;id=9261&amp;lvl=3&amp;lin=f&amp;keep=1&amp;srchmode=1&amp;unlock","9261")</f>
        <v>9261</v>
      </c>
      <c r="E161" t="s">
        <v>18</v>
      </c>
      <c r="F161" t="s">
        <v>18</v>
      </c>
      <c r="G161" t="str">
        <f>HYPERLINK("http://www.ncbi.nlm.nih.gov/Taxonomy/Browser/wwwtax.cgi?mode=Info&amp;id=9261&amp;lvl=3&amp;lin=f&amp;keep=1&amp;srchmode=1&amp;unlock","Tachyglossus aculeatus")</f>
        <v>Tachyglossus aculeatus</v>
      </c>
      <c r="H161" t="s">
        <v>166</v>
      </c>
      <c r="I161" t="str">
        <f>HYPERLINK("http://www.ncbi.nlm.nih.gov/protein/XP_038604381.1","androgen receptor isoform X1")</f>
        <v>androgen receptor isoform X1</v>
      </c>
      <c r="J161" t="s">
        <v>1261</v>
      </c>
      <c r="K161">
        <v>509.99</v>
      </c>
      <c r="L161" t="s">
        <v>20</v>
      </c>
      <c r="M161">
        <v>157</v>
      </c>
      <c r="N161">
        <v>62.55</v>
      </c>
      <c r="O161">
        <v>99.18</v>
      </c>
      <c r="P161" t="s">
        <v>20</v>
      </c>
      <c r="Q161" t="s">
        <v>1262</v>
      </c>
      <c r="R161" t="s">
        <v>20</v>
      </c>
      <c r="S161" t="str">
        <f>HYPERLINK("https://cfpub.epa.gov/ecotox/explore.cfm?ncbi=9261","Explore in ECOTOX")</f>
        <v>Explore in ECOTOX</v>
      </c>
    </row>
    <row r="162" spans="1:19" x14ac:dyDescent="0.25">
      <c r="A162">
        <v>6</v>
      </c>
      <c r="B162" t="str">
        <f>HYPERLINK("http://www.ncbi.nlm.nih.gov/protein/XP_020640105.1","XP_020640105.1")</f>
        <v>XP_020640105.1</v>
      </c>
      <c r="C162">
        <v>38807</v>
      </c>
      <c r="D162" t="str">
        <f>HYPERLINK("http://www.ncbi.nlm.nih.gov/Taxonomy/Browser/wwwtax.cgi?mode=Info&amp;id=103695&amp;lvl=3&amp;lin=f&amp;keep=1&amp;srchmode=1&amp;unlock","103695")</f>
        <v>103695</v>
      </c>
      <c r="E162" t="s">
        <v>236</v>
      </c>
      <c r="F162" t="s">
        <v>236</v>
      </c>
      <c r="G162" t="str">
        <f>HYPERLINK("http://www.ncbi.nlm.nih.gov/Taxonomy/Browser/wwwtax.cgi?mode=Info&amp;id=103695&amp;lvl=3&amp;lin=f&amp;keep=1&amp;srchmode=1&amp;unlock","Pogona vitticeps")</f>
        <v>Pogona vitticeps</v>
      </c>
      <c r="H162" t="s">
        <v>618</v>
      </c>
      <c r="I162" t="str">
        <f>HYPERLINK("http://www.ncbi.nlm.nih.gov/protein/XP_020640105.1","androgen receptor-like")</f>
        <v>androgen receptor-like</v>
      </c>
      <c r="J162" t="s">
        <v>1261</v>
      </c>
      <c r="K162">
        <v>509.99</v>
      </c>
      <c r="L162" t="s">
        <v>25</v>
      </c>
      <c r="M162">
        <v>157</v>
      </c>
      <c r="N162">
        <v>62.55</v>
      </c>
      <c r="O162">
        <v>99.18</v>
      </c>
      <c r="P162" t="s">
        <v>20</v>
      </c>
      <c r="Q162" t="s">
        <v>1262</v>
      </c>
      <c r="R162" t="s">
        <v>20</v>
      </c>
      <c r="S162" t="str">
        <f>HYPERLINK("https://cfpub.epa.gov/ecotox/explore.cfm?ncbi=103695","Explore in ECOTOX")</f>
        <v>Explore in ECOTOX</v>
      </c>
    </row>
    <row r="163" spans="1:19" x14ac:dyDescent="0.25">
      <c r="A163">
        <v>6</v>
      </c>
      <c r="B163" t="str">
        <f>HYPERLINK("http://www.ncbi.nlm.nih.gov/protein/XP_026640574.1","XP_026640574.1")</f>
        <v>XP_026640574.1</v>
      </c>
      <c r="C163">
        <v>38011</v>
      </c>
      <c r="D163" t="str">
        <f>HYPERLINK("http://www.ncbi.nlm.nih.gov/Taxonomy/Browser/wwwtax.cgi?mode=Info&amp;id=79684&amp;lvl=3&amp;lin=f&amp;keep=1&amp;srchmode=1&amp;unlock","79684")</f>
        <v>79684</v>
      </c>
      <c r="E163" t="s">
        <v>18</v>
      </c>
      <c r="F163" t="s">
        <v>18</v>
      </c>
      <c r="G163" t="str">
        <f>HYPERLINK("http://www.ncbi.nlm.nih.gov/Taxonomy/Browser/wwwtax.cgi?mode=Info&amp;id=79684&amp;lvl=3&amp;lin=f&amp;keep=1&amp;srchmode=1&amp;unlock","Microtus ochrogaster")</f>
        <v>Microtus ochrogaster</v>
      </c>
      <c r="H163" t="s">
        <v>141</v>
      </c>
      <c r="I163" t="str">
        <f>HYPERLINK("http://www.ncbi.nlm.nih.gov/protein/XP_026640574.1","androgen receptor isoform X2")</f>
        <v>androgen receptor isoform X2</v>
      </c>
      <c r="J163" t="s">
        <v>1261</v>
      </c>
      <c r="K163">
        <v>509.61</v>
      </c>
      <c r="L163" t="s">
        <v>20</v>
      </c>
      <c r="M163">
        <v>157</v>
      </c>
      <c r="N163">
        <v>62.55</v>
      </c>
      <c r="O163">
        <v>99.1</v>
      </c>
      <c r="P163" t="s">
        <v>20</v>
      </c>
      <c r="Q163" t="s">
        <v>1262</v>
      </c>
      <c r="R163" t="s">
        <v>20</v>
      </c>
      <c r="S163" t="str">
        <f>HYPERLINK("https://cfpub.epa.gov/ecotox/explore.cfm?ncbi=79684","Explore in ECOTOX")</f>
        <v>Explore in ECOTOX</v>
      </c>
    </row>
    <row r="164" spans="1:19" x14ac:dyDescent="0.25">
      <c r="A164">
        <v>6</v>
      </c>
      <c r="B164" t="str">
        <f>HYPERLINK("http://www.ncbi.nlm.nih.gov/protein/XP_030431532.1","XP_030431532.1")</f>
        <v>XP_030431532.1</v>
      </c>
      <c r="C164">
        <v>50866</v>
      </c>
      <c r="D164" t="str">
        <f>HYPERLINK("http://www.ncbi.nlm.nih.gov/Taxonomy/Browser/wwwtax.cgi?mode=Info&amp;id=1825980&amp;lvl=3&amp;lin=f&amp;keep=1&amp;srchmode=1&amp;unlock","1825980")</f>
        <v>1825980</v>
      </c>
      <c r="E164" t="s">
        <v>321</v>
      </c>
      <c r="F164" t="s">
        <v>321</v>
      </c>
      <c r="G164" t="str">
        <f>HYPERLINK("http://www.ncbi.nlm.nih.gov/Taxonomy/Browser/wwwtax.cgi?mode=Info&amp;id=1825980&amp;lvl=3&amp;lin=f&amp;keep=1&amp;srchmode=1&amp;unlock","Gopherus evgoodei")</f>
        <v>Gopherus evgoodei</v>
      </c>
      <c r="H164" t="s">
        <v>398</v>
      </c>
      <c r="I164" t="str">
        <f>HYPERLINK("http://www.ncbi.nlm.nih.gov/protein/XP_030431532.1","androgen receptor isoform X2")</f>
        <v>androgen receptor isoform X2</v>
      </c>
      <c r="J164" t="s">
        <v>1261</v>
      </c>
      <c r="K164">
        <v>509.61</v>
      </c>
      <c r="L164" t="s">
        <v>20</v>
      </c>
      <c r="M164">
        <v>157</v>
      </c>
      <c r="N164">
        <v>62.55</v>
      </c>
      <c r="O164">
        <v>99.1</v>
      </c>
      <c r="P164" t="s">
        <v>20</v>
      </c>
      <c r="Q164" t="s">
        <v>1262</v>
      </c>
      <c r="R164" t="s">
        <v>20</v>
      </c>
      <c r="S164" t="str">
        <f>HYPERLINK("https://cfpub.epa.gov/ecotox/explore.cfm?ncbi=1825980","Explore in ECOTOX")</f>
        <v>Explore in ECOTOX</v>
      </c>
    </row>
    <row r="165" spans="1:19" x14ac:dyDescent="0.25">
      <c r="A165">
        <v>6</v>
      </c>
      <c r="B165" t="str">
        <f>HYPERLINK("http://www.ncbi.nlm.nih.gov/protein/XP_032619939.1","XP_032619939.1")</f>
        <v>XP_032619939.1</v>
      </c>
      <c r="C165">
        <v>44406</v>
      </c>
      <c r="D165" t="str">
        <f>HYPERLINK("http://www.ncbi.nlm.nih.gov/Taxonomy/Browser/wwwtax.cgi?mode=Info&amp;id=106734&amp;lvl=3&amp;lin=f&amp;keep=1&amp;srchmode=1&amp;unlock","106734")</f>
        <v>106734</v>
      </c>
      <c r="E165" t="s">
        <v>321</v>
      </c>
      <c r="F165" t="s">
        <v>321</v>
      </c>
      <c r="G165" t="str">
        <f>HYPERLINK("http://www.ncbi.nlm.nih.gov/Taxonomy/Browser/wwwtax.cgi?mode=Info&amp;id=106734&amp;lvl=3&amp;lin=f&amp;keep=1&amp;srchmode=1&amp;unlock","Chelonoidis abingdonii")</f>
        <v>Chelonoidis abingdonii</v>
      </c>
      <c r="H165" t="s">
        <v>330</v>
      </c>
      <c r="I165" t="str">
        <f>HYPERLINK("http://www.ncbi.nlm.nih.gov/protein/XP_032619939.1","androgen receptor")</f>
        <v>androgen receptor</v>
      </c>
      <c r="J165" t="s">
        <v>1261</v>
      </c>
      <c r="K165">
        <v>509.61</v>
      </c>
      <c r="L165" t="s">
        <v>25</v>
      </c>
      <c r="M165">
        <v>157</v>
      </c>
      <c r="N165">
        <v>62.55</v>
      </c>
      <c r="O165">
        <v>99.1</v>
      </c>
      <c r="P165" t="s">
        <v>20</v>
      </c>
      <c r="Q165" t="s">
        <v>1262</v>
      </c>
      <c r="R165" t="s">
        <v>20</v>
      </c>
      <c r="S165" t="str">
        <f>HYPERLINK("https://cfpub.epa.gov/ecotox/explore.cfm?ncbi=106734","Explore in ECOTOX")</f>
        <v>Explore in ECOTOX</v>
      </c>
    </row>
    <row r="166" spans="1:19" x14ac:dyDescent="0.25">
      <c r="A166">
        <v>6</v>
      </c>
      <c r="B166" t="str">
        <f>HYPERLINK("http://www.ncbi.nlm.nih.gov/protein/XP_024053085.1","XP_024053085.1")</f>
        <v>XP_024053085.1</v>
      </c>
      <c r="C166">
        <v>34224</v>
      </c>
      <c r="D166" t="str">
        <f>HYPERLINK("http://www.ncbi.nlm.nih.gov/Taxonomy/Browser/wwwtax.cgi?mode=Info&amp;id=2587831&amp;lvl=3&amp;lin=f&amp;keep=1&amp;srchmode=1&amp;unlock","2587831")</f>
        <v>2587831</v>
      </c>
      <c r="E166" t="s">
        <v>321</v>
      </c>
      <c r="F166" t="s">
        <v>321</v>
      </c>
      <c r="G166" t="str">
        <f>HYPERLINK("http://www.ncbi.nlm.nih.gov/Taxonomy/Browser/wwwtax.cgi?mode=Info&amp;id=2587831&amp;lvl=3&amp;lin=f&amp;keep=1&amp;srchmode=1&amp;unlock","Terrapene carolina triunguis")</f>
        <v>Terrapene carolina triunguis</v>
      </c>
      <c r="H166" t="s">
        <v>322</v>
      </c>
      <c r="I166" t="str">
        <f>HYPERLINK("http://www.ncbi.nlm.nih.gov/protein/XP_024053085.1","androgen receptor")</f>
        <v>androgen receptor</v>
      </c>
      <c r="J166" t="s">
        <v>1261</v>
      </c>
      <c r="K166">
        <v>509.61</v>
      </c>
      <c r="L166" t="s">
        <v>25</v>
      </c>
      <c r="M166">
        <v>157</v>
      </c>
      <c r="N166">
        <v>62.55</v>
      </c>
      <c r="O166">
        <v>99.1</v>
      </c>
      <c r="P166" t="s">
        <v>20</v>
      </c>
      <c r="Q166" t="s">
        <v>1262</v>
      </c>
      <c r="R166" t="s">
        <v>20</v>
      </c>
      <c r="S166" t="str">
        <f>HYPERLINK("https://cfpub.epa.gov/ecotox/explore.cfm?ncbi=2587831","Explore in ECOTOX")</f>
        <v>Explore in ECOTOX</v>
      </c>
    </row>
    <row r="167" spans="1:19" x14ac:dyDescent="0.25">
      <c r="A167">
        <v>6</v>
      </c>
      <c r="B167" t="str">
        <f>HYPERLINK("http://www.ncbi.nlm.nih.gov/protein/BAF91192.1","BAF91192.1")</f>
        <v>BAF91192.1</v>
      </c>
      <c r="C167">
        <v>54</v>
      </c>
      <c r="D167" t="str">
        <f>HYPERLINK("http://www.ncbi.nlm.nih.gov/Taxonomy/Browser/wwwtax.cgi?mode=Info&amp;id=301539&amp;lvl=3&amp;lin=f&amp;keep=1&amp;srchmode=1&amp;unlock","301539")</f>
        <v>301539</v>
      </c>
      <c r="E167" t="s">
        <v>321</v>
      </c>
      <c r="F167" t="s">
        <v>321</v>
      </c>
      <c r="G167" t="str">
        <f>HYPERLINK("http://www.ncbi.nlm.nih.gov/Taxonomy/Browser/wwwtax.cgi?mode=Info&amp;id=301539&amp;lvl=3&amp;lin=f&amp;keep=1&amp;srchmode=1&amp;unlock","Pseudemys nelsoni")</f>
        <v>Pseudemys nelsoni</v>
      </c>
      <c r="H167" t="s">
        <v>974</v>
      </c>
      <c r="I167" t="str">
        <f>HYPERLINK("http://www.ncbi.nlm.nih.gov/protein/BAF91192.1","androgen receptor")</f>
        <v>androgen receptor</v>
      </c>
      <c r="J167" t="s">
        <v>1261</v>
      </c>
      <c r="K167">
        <v>509.61</v>
      </c>
      <c r="L167" t="s">
        <v>25</v>
      </c>
      <c r="M167">
        <v>157</v>
      </c>
      <c r="N167">
        <v>62.55</v>
      </c>
      <c r="O167">
        <v>99.1</v>
      </c>
      <c r="P167" t="s">
        <v>20</v>
      </c>
      <c r="Q167" t="s">
        <v>1262</v>
      </c>
      <c r="R167" t="s">
        <v>20</v>
      </c>
      <c r="S167" t="str">
        <f>HYPERLINK("https://cfpub.epa.gov/ecotox/explore.cfm?ncbi=301539","Explore in ECOTOX")</f>
        <v>Explore in ECOTOX</v>
      </c>
    </row>
    <row r="168" spans="1:19" x14ac:dyDescent="0.25">
      <c r="A168">
        <v>6</v>
      </c>
      <c r="B168" t="str">
        <f>HYPERLINK("http://www.ncbi.nlm.nih.gov/protein/XP_005279584.1","XP_005279584.1")</f>
        <v>XP_005279584.1</v>
      </c>
      <c r="C168">
        <v>46669</v>
      </c>
      <c r="D168" t="str">
        <f>HYPERLINK("http://www.ncbi.nlm.nih.gov/Taxonomy/Browser/wwwtax.cgi?mode=Info&amp;id=8478&amp;lvl=3&amp;lin=f&amp;keep=1&amp;srchmode=1&amp;unlock","8478")</f>
        <v>8478</v>
      </c>
      <c r="E168" t="s">
        <v>321</v>
      </c>
      <c r="F168" t="s">
        <v>321</v>
      </c>
      <c r="G168" t="str">
        <f>HYPERLINK("http://www.ncbi.nlm.nih.gov/Taxonomy/Browser/wwwtax.cgi?mode=Info&amp;id=8478&amp;lvl=3&amp;lin=f&amp;keep=1&amp;srchmode=1&amp;unlock","Chrysemys picta bellii")</f>
        <v>Chrysemys picta bellii</v>
      </c>
      <c r="H168" t="s">
        <v>342</v>
      </c>
      <c r="I168" t="str">
        <f>HYPERLINK("http://www.ncbi.nlm.nih.gov/protein/XP_005279584.1","androgen receptor")</f>
        <v>androgen receptor</v>
      </c>
      <c r="J168" t="s">
        <v>1261</v>
      </c>
      <c r="K168">
        <v>509.61</v>
      </c>
      <c r="L168" t="s">
        <v>25</v>
      </c>
      <c r="M168">
        <v>157</v>
      </c>
      <c r="N168">
        <v>62.55</v>
      </c>
      <c r="O168">
        <v>99.1</v>
      </c>
      <c r="P168" t="s">
        <v>20</v>
      </c>
      <c r="Q168" t="s">
        <v>1262</v>
      </c>
      <c r="R168" t="s">
        <v>20</v>
      </c>
      <c r="S168" t="str">
        <f>HYPERLINK("https://cfpub.epa.gov/ecotox/explore.cfm?ncbi=8478","Explore in ECOTOX")</f>
        <v>Explore in ECOTOX</v>
      </c>
    </row>
    <row r="169" spans="1:19" x14ac:dyDescent="0.25">
      <c r="A169">
        <v>6</v>
      </c>
      <c r="B169" t="str">
        <f>HYPERLINK("http://www.ncbi.nlm.nih.gov/protein/XP_034637801.1","XP_034637801.1")</f>
        <v>XP_034637801.1</v>
      </c>
      <c r="C169">
        <v>42365</v>
      </c>
      <c r="D169" t="str">
        <f>HYPERLINK("http://www.ncbi.nlm.nih.gov/Taxonomy/Browser/wwwtax.cgi?mode=Info&amp;id=31138&amp;lvl=3&amp;lin=f&amp;keep=1&amp;srchmode=1&amp;unlock","31138")</f>
        <v>31138</v>
      </c>
      <c r="E169" t="s">
        <v>321</v>
      </c>
      <c r="F169" t="s">
        <v>321</v>
      </c>
      <c r="G169" t="str">
        <f>HYPERLINK("http://www.ncbi.nlm.nih.gov/Taxonomy/Browser/wwwtax.cgi?mode=Info&amp;id=31138&amp;lvl=3&amp;lin=f&amp;keep=1&amp;srchmode=1&amp;unlock","Trachemys scripta elegans")</f>
        <v>Trachemys scripta elegans</v>
      </c>
      <c r="H169" t="s">
        <v>343</v>
      </c>
      <c r="I169" t="str">
        <f>HYPERLINK("http://www.ncbi.nlm.nih.gov/protein/XP_034637801.1","androgen receptor")</f>
        <v>androgen receptor</v>
      </c>
      <c r="J169" t="s">
        <v>1261</v>
      </c>
      <c r="K169">
        <v>509.61</v>
      </c>
      <c r="L169" t="s">
        <v>25</v>
      </c>
      <c r="M169">
        <v>157</v>
      </c>
      <c r="N169">
        <v>62.55</v>
      </c>
      <c r="O169">
        <v>99.1</v>
      </c>
      <c r="P169" t="s">
        <v>20</v>
      </c>
      <c r="Q169" t="s">
        <v>1262</v>
      </c>
      <c r="R169" t="s">
        <v>20</v>
      </c>
      <c r="S169" t="str">
        <f>HYPERLINK("https://cfpub.epa.gov/ecotox/explore.cfm?ncbi=31138","Explore in ECOTOX")</f>
        <v>Explore in ECOTOX</v>
      </c>
    </row>
    <row r="170" spans="1:19" x14ac:dyDescent="0.25">
      <c r="A170">
        <v>6</v>
      </c>
      <c r="B170" t="str">
        <f>HYPERLINK("http://www.ncbi.nlm.nih.gov/protein/XP_008118585.1","XP_008118585.1")</f>
        <v>XP_008118585.1</v>
      </c>
      <c r="C170">
        <v>35704</v>
      </c>
      <c r="D170" t="str">
        <f>HYPERLINK("http://www.ncbi.nlm.nih.gov/Taxonomy/Browser/wwwtax.cgi?mode=Info&amp;id=28377&amp;lvl=3&amp;lin=f&amp;keep=1&amp;srchmode=1&amp;unlock","28377")</f>
        <v>28377</v>
      </c>
      <c r="E170" t="s">
        <v>236</v>
      </c>
      <c r="F170" t="s">
        <v>236</v>
      </c>
      <c r="G170" t="str">
        <f>HYPERLINK("http://www.ncbi.nlm.nih.gov/Taxonomy/Browser/wwwtax.cgi?mode=Info&amp;id=28377&amp;lvl=3&amp;lin=f&amp;keep=1&amp;srchmode=1&amp;unlock","Anolis carolinensis")</f>
        <v>Anolis carolinensis</v>
      </c>
      <c r="H170" t="s">
        <v>474</v>
      </c>
      <c r="I170" t="str">
        <f>HYPERLINK("http://www.ncbi.nlm.nih.gov/protein/XP_008118585.1","PREDICTED: androgen receptor")</f>
        <v>PREDICTED: androgen receptor</v>
      </c>
      <c r="J170" t="s">
        <v>1261</v>
      </c>
      <c r="K170">
        <v>509.61</v>
      </c>
      <c r="L170" t="s">
        <v>25</v>
      </c>
      <c r="M170">
        <v>157</v>
      </c>
      <c r="N170">
        <v>62.55</v>
      </c>
      <c r="O170">
        <v>99.1</v>
      </c>
      <c r="P170" t="s">
        <v>20</v>
      </c>
      <c r="Q170" t="s">
        <v>1262</v>
      </c>
      <c r="R170" t="s">
        <v>20</v>
      </c>
      <c r="S170" t="str">
        <f>HYPERLINK("https://cfpub.epa.gov/ecotox/explore.cfm?ncbi=28377","Explore in ECOTOX")</f>
        <v>Explore in ECOTOX</v>
      </c>
    </row>
    <row r="171" spans="1:19" x14ac:dyDescent="0.25">
      <c r="A171">
        <v>6</v>
      </c>
      <c r="B171" t="str">
        <f>HYPERLINK("http://www.ncbi.nlm.nih.gov/protein/XP_039344727.1","XP_039344727.1")</f>
        <v>XP_039344727.1</v>
      </c>
      <c r="C171">
        <v>67728</v>
      </c>
      <c r="D171" t="str">
        <f>HYPERLINK("http://www.ncbi.nlm.nih.gov/Taxonomy/Browser/wwwtax.cgi?mode=Info&amp;id=260615&amp;lvl=3&amp;lin=f&amp;keep=1&amp;srchmode=1&amp;unlock","260615")</f>
        <v>260615</v>
      </c>
      <c r="E171" t="s">
        <v>321</v>
      </c>
      <c r="F171" t="s">
        <v>321</v>
      </c>
      <c r="G171" t="str">
        <f>HYPERLINK("http://www.ncbi.nlm.nih.gov/Taxonomy/Browser/wwwtax.cgi?mode=Info&amp;id=260615&amp;lvl=3&amp;lin=f&amp;keep=1&amp;srchmode=1&amp;unlock","Mauremys reevesii")</f>
        <v>Mauremys reevesii</v>
      </c>
      <c r="H171" t="s">
        <v>362</v>
      </c>
      <c r="I171" t="str">
        <f>HYPERLINK("http://www.ncbi.nlm.nih.gov/protein/XP_039344727.1","androgen receptor")</f>
        <v>androgen receptor</v>
      </c>
      <c r="J171" t="s">
        <v>1261</v>
      </c>
      <c r="K171">
        <v>508.83</v>
      </c>
      <c r="L171" t="s">
        <v>20</v>
      </c>
      <c r="M171">
        <v>157</v>
      </c>
      <c r="N171">
        <v>62.55</v>
      </c>
      <c r="O171">
        <v>98.95</v>
      </c>
      <c r="P171" t="s">
        <v>20</v>
      </c>
      <c r="Q171" t="s">
        <v>1262</v>
      </c>
      <c r="R171" t="s">
        <v>20</v>
      </c>
      <c r="S171" t="str">
        <f>HYPERLINK("https://cfpub.epa.gov/ecotox/explore.cfm?ncbi=260615","Explore in ECOTOX")</f>
        <v>Explore in ECOTOX</v>
      </c>
    </row>
    <row r="172" spans="1:19" x14ac:dyDescent="0.25">
      <c r="A172">
        <v>6</v>
      </c>
      <c r="B172" t="str">
        <f>HYPERLINK("http://www.ncbi.nlm.nih.gov/protein/TFK15370.1","TFK15370.1")</f>
        <v>TFK15370.1</v>
      </c>
      <c r="C172">
        <v>21671</v>
      </c>
      <c r="D172" t="str">
        <f>HYPERLINK("http://www.ncbi.nlm.nih.gov/Taxonomy/Browser/wwwtax.cgi?mode=Info&amp;id=55544&amp;lvl=3&amp;lin=f&amp;keep=1&amp;srchmode=1&amp;unlock","55544")</f>
        <v>55544</v>
      </c>
      <c r="E172" t="s">
        <v>321</v>
      </c>
      <c r="F172" t="s">
        <v>321</v>
      </c>
      <c r="G172" t="str">
        <f>HYPERLINK("http://www.ncbi.nlm.nih.gov/Taxonomy/Browser/wwwtax.cgi?mode=Info&amp;id=55544&amp;lvl=3&amp;lin=f&amp;keep=1&amp;srchmode=1&amp;unlock","Platysternon megacephalum")</f>
        <v>Platysternon megacephalum</v>
      </c>
      <c r="H172" t="s">
        <v>359</v>
      </c>
      <c r="I172" t="str">
        <f>HYPERLINK("http://www.ncbi.nlm.nih.gov/protein/TFK15370.1","serine/arginine-rich splicing factor 5-like")</f>
        <v>serine/arginine-rich splicing factor 5-like</v>
      </c>
      <c r="J172" t="s">
        <v>1261</v>
      </c>
      <c r="K172">
        <v>508.83</v>
      </c>
      <c r="L172" t="s">
        <v>20</v>
      </c>
      <c r="M172">
        <v>157</v>
      </c>
      <c r="N172">
        <v>62.55</v>
      </c>
      <c r="O172">
        <v>98.95</v>
      </c>
      <c r="P172" t="s">
        <v>20</v>
      </c>
      <c r="Q172" t="s">
        <v>1262</v>
      </c>
      <c r="R172" t="s">
        <v>20</v>
      </c>
      <c r="S172" t="str">
        <f>HYPERLINK("https://cfpub.epa.gov/ecotox/explore.cfm?ncbi=55544","Explore in ECOTOX")</f>
        <v>Explore in ECOTOX</v>
      </c>
    </row>
    <row r="173" spans="1:19" x14ac:dyDescent="0.25">
      <c r="A173">
        <v>6</v>
      </c>
      <c r="B173" t="str">
        <f>HYPERLINK("http://www.ncbi.nlm.nih.gov/protein/XP_034969101.1","XP_034969101.1")</f>
        <v>XP_034969101.1</v>
      </c>
      <c r="C173">
        <v>44583</v>
      </c>
      <c r="D173" t="str">
        <f>HYPERLINK("http://www.ncbi.nlm.nih.gov/Taxonomy/Browser/wwwtax.cgi?mode=Info&amp;id=8524&amp;lvl=3&amp;lin=f&amp;keep=1&amp;srchmode=1&amp;unlock","8524")</f>
        <v>8524</v>
      </c>
      <c r="E173" t="s">
        <v>236</v>
      </c>
      <c r="F173" t="s">
        <v>236</v>
      </c>
      <c r="G173" t="str">
        <f>HYPERLINK("http://www.ncbi.nlm.nih.gov/Taxonomy/Browser/wwwtax.cgi?mode=Info&amp;id=8524&amp;lvl=3&amp;lin=f&amp;keep=1&amp;srchmode=1&amp;unlock","Zootoca vivipara")</f>
        <v>Zootoca vivipara</v>
      </c>
      <c r="H173" t="s">
        <v>401</v>
      </c>
      <c r="I173" t="str">
        <f>HYPERLINK("http://www.ncbi.nlm.nih.gov/protein/XP_034969101.1","androgen receptor")</f>
        <v>androgen receptor</v>
      </c>
      <c r="J173" t="s">
        <v>1261</v>
      </c>
      <c r="K173">
        <v>508.83</v>
      </c>
      <c r="L173" t="s">
        <v>25</v>
      </c>
      <c r="M173">
        <v>157</v>
      </c>
      <c r="N173">
        <v>62.55</v>
      </c>
      <c r="O173">
        <v>98.95</v>
      </c>
      <c r="P173" t="s">
        <v>20</v>
      </c>
      <c r="Q173" t="s">
        <v>1262</v>
      </c>
      <c r="R173" t="s">
        <v>20</v>
      </c>
      <c r="S173" t="str">
        <f>HYPERLINK("https://cfpub.epa.gov/ecotox/explore.cfm?ncbi=8524","Explore in ECOTOX")</f>
        <v>Explore in ECOTOX</v>
      </c>
    </row>
    <row r="174" spans="1:19" x14ac:dyDescent="0.25">
      <c r="A174">
        <v>6</v>
      </c>
      <c r="B174" t="str">
        <f>HYPERLINK("http://www.ncbi.nlm.nih.gov/protein/XP_028571620.1","XP_028571620.1")</f>
        <v>XP_028571620.1</v>
      </c>
      <c r="C174">
        <v>51243</v>
      </c>
      <c r="D174" t="str">
        <f>HYPERLINK("http://www.ncbi.nlm.nih.gov/Taxonomy/Browser/wwwtax.cgi?mode=Info&amp;id=64176&amp;lvl=3&amp;lin=f&amp;keep=1&amp;srchmode=1&amp;unlock","64176")</f>
        <v>64176</v>
      </c>
      <c r="E174" t="s">
        <v>236</v>
      </c>
      <c r="F174" t="s">
        <v>236</v>
      </c>
      <c r="G174" t="str">
        <f>HYPERLINK("http://www.ncbi.nlm.nih.gov/Taxonomy/Browser/wwwtax.cgi?mode=Info&amp;id=64176&amp;lvl=3&amp;lin=f&amp;keep=1&amp;srchmode=1&amp;unlock","Podarcis muralis")</f>
        <v>Podarcis muralis</v>
      </c>
      <c r="H174" t="s">
        <v>420</v>
      </c>
      <c r="I174" t="str">
        <f>HYPERLINK("http://www.ncbi.nlm.nih.gov/protein/XP_028571620.1","androgen receptor")</f>
        <v>androgen receptor</v>
      </c>
      <c r="J174" t="s">
        <v>1261</v>
      </c>
      <c r="K174">
        <v>508.83</v>
      </c>
      <c r="L174" t="s">
        <v>25</v>
      </c>
      <c r="M174">
        <v>157</v>
      </c>
      <c r="N174">
        <v>62.55</v>
      </c>
      <c r="O174">
        <v>98.95</v>
      </c>
      <c r="P174" t="s">
        <v>20</v>
      </c>
      <c r="Q174" t="s">
        <v>1262</v>
      </c>
      <c r="R174" t="s">
        <v>20</v>
      </c>
      <c r="S174" t="str">
        <f>HYPERLINK("https://cfpub.epa.gov/ecotox/explore.cfm?ncbi=64176","Explore in ECOTOX")</f>
        <v>Explore in ECOTOX</v>
      </c>
    </row>
    <row r="175" spans="1:19" x14ac:dyDescent="0.25">
      <c r="A175">
        <v>6</v>
      </c>
      <c r="B175" t="str">
        <f>HYPERLINK("http://www.ncbi.nlm.nih.gov/protein/XP_038171936.1","XP_038171936.1")</f>
        <v>XP_038171936.1</v>
      </c>
      <c r="C175">
        <v>40931</v>
      </c>
      <c r="D175" t="str">
        <f>HYPERLINK("http://www.ncbi.nlm.nih.gov/Taxonomy/Browser/wwwtax.cgi?mode=Info&amp;id=1047088&amp;lvl=3&amp;lin=f&amp;keep=1&amp;srchmode=1&amp;unlock","1047088")</f>
        <v>1047088</v>
      </c>
      <c r="E175" t="s">
        <v>18</v>
      </c>
      <c r="F175" t="s">
        <v>18</v>
      </c>
      <c r="G175" t="str">
        <f>HYPERLINK("http://www.ncbi.nlm.nih.gov/Taxonomy/Browser/wwwtax.cgi?mode=Info&amp;id=1047088&amp;lvl=3&amp;lin=f&amp;keep=1&amp;srchmode=1&amp;unlock","Arvicola amphibius")</f>
        <v>Arvicola amphibius</v>
      </c>
      <c r="H175" t="s">
        <v>145</v>
      </c>
      <c r="I175" t="str">
        <f>HYPERLINK("http://www.ncbi.nlm.nih.gov/protein/XP_038171936.1","androgen receptor")</f>
        <v>androgen receptor</v>
      </c>
      <c r="J175" t="s">
        <v>1261</v>
      </c>
      <c r="K175">
        <v>508.45</v>
      </c>
      <c r="L175" t="s">
        <v>20</v>
      </c>
      <c r="M175">
        <v>157</v>
      </c>
      <c r="N175">
        <v>62.55</v>
      </c>
      <c r="O175">
        <v>98.88</v>
      </c>
      <c r="P175" t="s">
        <v>20</v>
      </c>
      <c r="Q175" t="s">
        <v>1262</v>
      </c>
      <c r="R175" t="s">
        <v>20</v>
      </c>
      <c r="S175" t="str">
        <f>HYPERLINK("https://cfpub.epa.gov/ecotox/explore.cfm?ncbi=1047088","Explore in ECOTOX")</f>
        <v>Explore in ECOTOX</v>
      </c>
    </row>
    <row r="176" spans="1:19" x14ac:dyDescent="0.25">
      <c r="A176">
        <v>6</v>
      </c>
      <c r="B176" t="str">
        <f>HYPERLINK("http://www.ncbi.nlm.nih.gov/protein/XP_036872999.1","XP_036872999.1")</f>
        <v>XP_036872999.1</v>
      </c>
      <c r="C176">
        <v>56038</v>
      </c>
      <c r="D176" t="str">
        <f>HYPERLINK("http://www.ncbi.nlm.nih.gov/Taxonomy/Browser/wwwtax.cgi?mode=Info&amp;id=9974&amp;lvl=3&amp;lin=f&amp;keep=1&amp;srchmode=1&amp;unlock","9974")</f>
        <v>9974</v>
      </c>
      <c r="E176" t="s">
        <v>18</v>
      </c>
      <c r="F176" t="s">
        <v>18</v>
      </c>
      <c r="G176" t="str">
        <f>HYPERLINK("http://www.ncbi.nlm.nih.gov/Taxonomy/Browser/wwwtax.cgi?mode=Info&amp;id=9974&amp;lvl=3&amp;lin=f&amp;keep=1&amp;srchmode=1&amp;unlock","Manis javanica")</f>
        <v>Manis javanica</v>
      </c>
      <c r="H176" t="s">
        <v>87</v>
      </c>
      <c r="I176" t="str">
        <f>HYPERLINK("http://www.ncbi.nlm.nih.gov/protein/XP_036872999.1","androgen receptor")</f>
        <v>androgen receptor</v>
      </c>
      <c r="J176" t="s">
        <v>1261</v>
      </c>
      <c r="K176">
        <v>507.29</v>
      </c>
      <c r="L176" t="s">
        <v>20</v>
      </c>
      <c r="M176">
        <v>157</v>
      </c>
      <c r="N176">
        <v>62.55</v>
      </c>
      <c r="O176">
        <v>98.65</v>
      </c>
      <c r="P176" t="s">
        <v>20</v>
      </c>
      <c r="Q176" t="s">
        <v>1262</v>
      </c>
      <c r="R176" t="s">
        <v>20</v>
      </c>
      <c r="S176" t="str">
        <f>HYPERLINK("https://cfpub.epa.gov/ecotox/explore.cfm?ncbi=9974","Explore in ECOTOX")</f>
        <v>Explore in ECOTOX</v>
      </c>
    </row>
    <row r="177" spans="1:19" x14ac:dyDescent="0.25">
      <c r="A177">
        <v>6</v>
      </c>
      <c r="B177" t="str">
        <f>HYPERLINK("http://www.ncbi.nlm.nih.gov/protein/XP_037678266.1","XP_037678266.1")</f>
        <v>XP_037678266.1</v>
      </c>
      <c r="C177">
        <v>54609</v>
      </c>
      <c r="D177" t="str">
        <f>HYPERLINK("http://www.ncbi.nlm.nih.gov/Taxonomy/Browser/wwwtax.cgi?mode=Info&amp;id=27675&amp;lvl=3&amp;lin=f&amp;keep=1&amp;srchmode=1&amp;unlock","27675")</f>
        <v>27675</v>
      </c>
      <c r="E177" t="s">
        <v>18</v>
      </c>
      <c r="F177" t="s">
        <v>18</v>
      </c>
      <c r="G177" t="str">
        <f>HYPERLINK("http://www.ncbi.nlm.nih.gov/Taxonomy/Browser/wwwtax.cgi?mode=Info&amp;id=27675&amp;lvl=3&amp;lin=f&amp;keep=1&amp;srchmode=1&amp;unlock","Choloepus didactylus")</f>
        <v>Choloepus didactylus</v>
      </c>
      <c r="H177" t="s">
        <v>147</v>
      </c>
      <c r="I177" t="str">
        <f>HYPERLINK("http://www.ncbi.nlm.nih.gov/protein/XP_037678266.1","androgen receptor")</f>
        <v>androgen receptor</v>
      </c>
      <c r="J177" t="s">
        <v>1261</v>
      </c>
      <c r="K177">
        <v>507.29</v>
      </c>
      <c r="L177" t="s">
        <v>20</v>
      </c>
      <c r="M177">
        <v>157</v>
      </c>
      <c r="N177">
        <v>62.55</v>
      </c>
      <c r="O177">
        <v>98.65</v>
      </c>
      <c r="P177" t="s">
        <v>20</v>
      </c>
      <c r="Q177" t="s">
        <v>1262</v>
      </c>
      <c r="R177" t="s">
        <v>20</v>
      </c>
      <c r="S177" t="str">
        <f>HYPERLINK("https://cfpub.epa.gov/ecotox/explore.cfm?ncbi=27675","Explore in ECOTOX")</f>
        <v>Explore in ECOTOX</v>
      </c>
    </row>
    <row r="178" spans="1:19" x14ac:dyDescent="0.25">
      <c r="A178">
        <v>6</v>
      </c>
      <c r="B178" t="str">
        <f>HYPERLINK("http://www.ncbi.nlm.nih.gov/protein/XP_006125303.1","XP_006125303.1")</f>
        <v>XP_006125303.1</v>
      </c>
      <c r="C178">
        <v>39171</v>
      </c>
      <c r="D178" t="str">
        <f>HYPERLINK("http://www.ncbi.nlm.nih.gov/Taxonomy/Browser/wwwtax.cgi?mode=Info&amp;id=13735&amp;lvl=3&amp;lin=f&amp;keep=1&amp;srchmode=1&amp;unlock","13735")</f>
        <v>13735</v>
      </c>
      <c r="E178" t="s">
        <v>321</v>
      </c>
      <c r="F178" t="s">
        <v>321</v>
      </c>
      <c r="G178" t="str">
        <f>HYPERLINK("http://www.ncbi.nlm.nih.gov/Taxonomy/Browser/wwwtax.cgi?mode=Info&amp;id=13735&amp;lvl=3&amp;lin=f&amp;keep=1&amp;srchmode=1&amp;unlock","Pelodiscus sinensis")</f>
        <v>Pelodiscus sinensis</v>
      </c>
      <c r="H178" t="s">
        <v>386</v>
      </c>
      <c r="I178" t="str">
        <f>HYPERLINK("http://www.ncbi.nlm.nih.gov/protein/XP_006125303.1","LOW QUALITY PROTEIN: androgen receptor")</f>
        <v>LOW QUALITY PROTEIN: androgen receptor</v>
      </c>
      <c r="J178" t="s">
        <v>1261</v>
      </c>
      <c r="K178">
        <v>506.14</v>
      </c>
      <c r="L178" t="s">
        <v>20</v>
      </c>
      <c r="M178">
        <v>157</v>
      </c>
      <c r="N178">
        <v>62.55</v>
      </c>
      <c r="O178">
        <v>98.43</v>
      </c>
      <c r="P178" t="s">
        <v>20</v>
      </c>
      <c r="Q178" t="s">
        <v>1262</v>
      </c>
      <c r="R178" t="s">
        <v>20</v>
      </c>
      <c r="S178" t="str">
        <f>HYPERLINK("https://cfpub.epa.gov/ecotox/explore.cfm?ncbi=13735","Explore in ECOTOX")</f>
        <v>Explore in ECOTOX</v>
      </c>
    </row>
    <row r="179" spans="1:19" x14ac:dyDescent="0.25">
      <c r="A179">
        <v>6</v>
      </c>
      <c r="B179" t="str">
        <f>HYPERLINK("http://www.ncbi.nlm.nih.gov/protein/XP_026558883.1","XP_026558883.1")</f>
        <v>XP_026558883.1</v>
      </c>
      <c r="C179">
        <v>31816</v>
      </c>
      <c r="D179" t="str">
        <f>HYPERLINK("http://www.ncbi.nlm.nih.gov/Taxonomy/Browser/wwwtax.cgi?mode=Info&amp;id=8673&amp;lvl=3&amp;lin=f&amp;keep=1&amp;srchmode=1&amp;unlock","8673")</f>
        <v>8673</v>
      </c>
      <c r="E179" t="s">
        <v>236</v>
      </c>
      <c r="F179" t="s">
        <v>236</v>
      </c>
      <c r="G179" t="str">
        <f>HYPERLINK("http://www.ncbi.nlm.nih.gov/Taxonomy/Browser/wwwtax.cgi?mode=Info&amp;id=8673&amp;lvl=3&amp;lin=f&amp;keep=1&amp;srchmode=1&amp;unlock","Pseudonaja textilis")</f>
        <v>Pseudonaja textilis</v>
      </c>
      <c r="H179" t="s">
        <v>657</v>
      </c>
      <c r="I179" t="str">
        <f>HYPERLINK("http://www.ncbi.nlm.nih.gov/protein/XP_026558883.1","androgen receptor")</f>
        <v>androgen receptor</v>
      </c>
      <c r="J179" t="s">
        <v>1261</v>
      </c>
      <c r="K179">
        <v>506.14</v>
      </c>
      <c r="L179" t="s">
        <v>25</v>
      </c>
      <c r="M179">
        <v>157</v>
      </c>
      <c r="N179">
        <v>62.55</v>
      </c>
      <c r="O179">
        <v>98.43</v>
      </c>
      <c r="P179" t="s">
        <v>20</v>
      </c>
      <c r="Q179" t="s">
        <v>1262</v>
      </c>
      <c r="R179" t="s">
        <v>20</v>
      </c>
      <c r="S179" t="str">
        <f>HYPERLINK("https://cfpub.epa.gov/ecotox/explore.cfm?ncbi=8673","Explore in ECOTOX")</f>
        <v>Explore in ECOTOX</v>
      </c>
    </row>
    <row r="180" spans="1:19" x14ac:dyDescent="0.25">
      <c r="A180">
        <v>6</v>
      </c>
      <c r="B180" t="str">
        <f>HYPERLINK("http://www.ncbi.nlm.nih.gov/protein/XP_026540690.1","XP_026540690.1")</f>
        <v>XP_026540690.1</v>
      </c>
      <c r="C180">
        <v>31324</v>
      </c>
      <c r="D180" t="str">
        <f>HYPERLINK("http://www.ncbi.nlm.nih.gov/Taxonomy/Browser/wwwtax.cgi?mode=Info&amp;id=8663&amp;lvl=3&amp;lin=f&amp;keep=1&amp;srchmode=1&amp;unlock","8663")</f>
        <v>8663</v>
      </c>
      <c r="E180" t="s">
        <v>236</v>
      </c>
      <c r="F180" t="s">
        <v>236</v>
      </c>
      <c r="G180" t="str">
        <f>HYPERLINK("http://www.ncbi.nlm.nih.gov/Taxonomy/Browser/wwwtax.cgi?mode=Info&amp;id=8663&amp;lvl=3&amp;lin=f&amp;keep=1&amp;srchmode=1&amp;unlock","Notechis scutatus")</f>
        <v>Notechis scutatus</v>
      </c>
      <c r="H180" t="s">
        <v>656</v>
      </c>
      <c r="I180" t="str">
        <f>HYPERLINK("http://www.ncbi.nlm.nih.gov/protein/XP_026540690.1","androgen receptor")</f>
        <v>androgen receptor</v>
      </c>
      <c r="J180" t="s">
        <v>1261</v>
      </c>
      <c r="K180">
        <v>506.14</v>
      </c>
      <c r="L180" t="s">
        <v>25</v>
      </c>
      <c r="M180">
        <v>157</v>
      </c>
      <c r="N180">
        <v>62.55</v>
      </c>
      <c r="O180">
        <v>98.43</v>
      </c>
      <c r="P180" t="s">
        <v>20</v>
      </c>
      <c r="Q180" t="s">
        <v>1262</v>
      </c>
      <c r="R180" t="s">
        <v>20</v>
      </c>
      <c r="S180" t="str">
        <f>HYPERLINK("https://cfpub.epa.gov/ecotox/explore.cfm?ncbi=8663","Explore in ECOTOX")</f>
        <v>Explore in ECOTOX</v>
      </c>
    </row>
    <row r="181" spans="1:19" x14ac:dyDescent="0.25">
      <c r="A181">
        <v>6</v>
      </c>
      <c r="B181" t="str">
        <f>HYPERLINK("http://www.ncbi.nlm.nih.gov/protein/XP_039221307.1","XP_039221307.1")</f>
        <v>XP_039221307.1</v>
      </c>
      <c r="C181">
        <v>51713</v>
      </c>
      <c r="D181" t="str">
        <f>HYPERLINK("http://www.ncbi.nlm.nih.gov/Taxonomy/Browser/wwwtax.cgi?mode=Info&amp;id=88082&amp;lvl=3&amp;lin=f&amp;keep=1&amp;srchmode=1&amp;unlock","88082")</f>
        <v>88082</v>
      </c>
      <c r="E181" t="s">
        <v>236</v>
      </c>
      <c r="F181" t="s">
        <v>236</v>
      </c>
      <c r="G181" t="str">
        <f>HYPERLINK("http://www.ncbi.nlm.nih.gov/Taxonomy/Browser/wwwtax.cgi?mode=Info&amp;id=88082&amp;lvl=3&amp;lin=f&amp;keep=1&amp;srchmode=1&amp;unlock","Crotalus tigris")</f>
        <v>Crotalus tigris</v>
      </c>
      <c r="H181" t="s">
        <v>660</v>
      </c>
      <c r="I181" t="str">
        <f>HYPERLINK("http://www.ncbi.nlm.nih.gov/protein/XP_039221307.1","androgen receptor")</f>
        <v>androgen receptor</v>
      </c>
      <c r="J181" t="s">
        <v>1261</v>
      </c>
      <c r="K181">
        <v>506.14</v>
      </c>
      <c r="L181" t="s">
        <v>25</v>
      </c>
      <c r="M181">
        <v>157</v>
      </c>
      <c r="N181">
        <v>62.55</v>
      </c>
      <c r="O181">
        <v>98.43</v>
      </c>
      <c r="P181" t="s">
        <v>20</v>
      </c>
      <c r="Q181" t="s">
        <v>1262</v>
      </c>
      <c r="R181" t="s">
        <v>20</v>
      </c>
      <c r="S181" t="str">
        <f>HYPERLINK("https://cfpub.epa.gov/ecotox/explore.cfm?ncbi=88082","Explore in ECOTOX")</f>
        <v>Explore in ECOTOX</v>
      </c>
    </row>
    <row r="182" spans="1:19" x14ac:dyDescent="0.25">
      <c r="A182">
        <v>6</v>
      </c>
      <c r="B182" t="str">
        <f>HYPERLINK("http://www.ncbi.nlm.nih.gov/protein/XP_034291047.1","XP_034291047.1")</f>
        <v>XP_034291047.1</v>
      </c>
      <c r="C182">
        <v>41827</v>
      </c>
      <c r="D182" t="str">
        <f>HYPERLINK("http://www.ncbi.nlm.nih.gov/Taxonomy/Browser/wwwtax.cgi?mode=Info&amp;id=94885&amp;lvl=3&amp;lin=f&amp;keep=1&amp;srchmode=1&amp;unlock","94885")</f>
        <v>94885</v>
      </c>
      <c r="E182" t="s">
        <v>236</v>
      </c>
      <c r="F182" t="s">
        <v>236</v>
      </c>
      <c r="G182" t="str">
        <f>HYPERLINK("http://www.ncbi.nlm.nih.gov/Taxonomy/Browser/wwwtax.cgi?mode=Info&amp;id=94885&amp;lvl=3&amp;lin=f&amp;keep=1&amp;srchmode=1&amp;unlock","Pantherophis guttatus")</f>
        <v>Pantherophis guttatus</v>
      </c>
      <c r="H182" t="s">
        <v>653</v>
      </c>
      <c r="I182" t="str">
        <f>HYPERLINK("http://www.ncbi.nlm.nih.gov/protein/XP_034291047.1","androgen receptor")</f>
        <v>androgen receptor</v>
      </c>
      <c r="J182" t="s">
        <v>1261</v>
      </c>
      <c r="K182">
        <v>506.14</v>
      </c>
      <c r="L182" t="s">
        <v>25</v>
      </c>
      <c r="M182">
        <v>157</v>
      </c>
      <c r="N182">
        <v>62.55</v>
      </c>
      <c r="O182">
        <v>98.43</v>
      </c>
      <c r="P182" t="s">
        <v>20</v>
      </c>
      <c r="Q182" t="s">
        <v>1262</v>
      </c>
      <c r="R182" t="s">
        <v>20</v>
      </c>
      <c r="S182" t="str">
        <f>HYPERLINK("https://cfpub.epa.gov/ecotox/explore.cfm?ncbi=94885","Explore in ECOTOX")</f>
        <v>Explore in ECOTOX</v>
      </c>
    </row>
    <row r="183" spans="1:19" x14ac:dyDescent="0.25">
      <c r="A183">
        <v>6</v>
      </c>
      <c r="B183" t="str">
        <f>HYPERLINK("http://www.ncbi.nlm.nih.gov/protein/XP_032083684.1","XP_032083684.1")</f>
        <v>XP_032083684.1</v>
      </c>
      <c r="C183">
        <v>30930</v>
      </c>
      <c r="D183" t="str">
        <f>HYPERLINK("http://www.ncbi.nlm.nih.gov/Taxonomy/Browser/wwwtax.cgi?mode=Info&amp;id=35005&amp;lvl=3&amp;lin=f&amp;keep=1&amp;srchmode=1&amp;unlock","35005")</f>
        <v>35005</v>
      </c>
      <c r="E183" t="s">
        <v>236</v>
      </c>
      <c r="F183" t="s">
        <v>236</v>
      </c>
      <c r="G183" t="str">
        <f>HYPERLINK("http://www.ncbi.nlm.nih.gov/Taxonomy/Browser/wwwtax.cgi?mode=Info&amp;id=35005&amp;lvl=3&amp;lin=f&amp;keep=1&amp;srchmode=1&amp;unlock","Thamnophis elegans")</f>
        <v>Thamnophis elegans</v>
      </c>
      <c r="H183" t="s">
        <v>654</v>
      </c>
      <c r="I183" t="str">
        <f>HYPERLINK("http://www.ncbi.nlm.nih.gov/protein/XP_032083684.1","androgen receptor")</f>
        <v>androgen receptor</v>
      </c>
      <c r="J183" t="s">
        <v>1261</v>
      </c>
      <c r="K183">
        <v>506.14</v>
      </c>
      <c r="L183" t="s">
        <v>25</v>
      </c>
      <c r="M183">
        <v>157</v>
      </c>
      <c r="N183">
        <v>62.55</v>
      </c>
      <c r="O183">
        <v>98.43</v>
      </c>
      <c r="P183" t="s">
        <v>20</v>
      </c>
      <c r="Q183" t="s">
        <v>1262</v>
      </c>
      <c r="R183" t="s">
        <v>20</v>
      </c>
      <c r="S183" t="str">
        <f>HYPERLINK("https://cfpub.epa.gov/ecotox/explore.cfm?ncbi=35005","Explore in ECOTOX")</f>
        <v>Explore in ECOTOX</v>
      </c>
    </row>
    <row r="184" spans="1:19" x14ac:dyDescent="0.25">
      <c r="A184">
        <v>6</v>
      </c>
      <c r="B184" t="str">
        <f>HYPERLINK("http://www.ncbi.nlm.nih.gov/protein/BAJ15431.1","BAJ15431.1")</f>
        <v>BAJ15431.1</v>
      </c>
      <c r="C184">
        <v>688</v>
      </c>
      <c r="D184" t="str">
        <f>HYPERLINK("http://www.ncbi.nlm.nih.gov/Taxonomy/Browser/wwwtax.cgi?mode=Info&amp;id=88087&amp;lvl=3&amp;lin=f&amp;keep=1&amp;srchmode=1&amp;unlock","88087")</f>
        <v>88087</v>
      </c>
      <c r="E184" t="s">
        <v>236</v>
      </c>
      <c r="F184" t="s">
        <v>236</v>
      </c>
      <c r="G184" t="str">
        <f>HYPERLINK("http://www.ncbi.nlm.nih.gov/Taxonomy/Browser/wwwtax.cgi?mode=Info&amp;id=88087&amp;lvl=3&amp;lin=f&amp;keep=1&amp;srchmode=1&amp;unlock","Protobothrops flavoviridis")</f>
        <v>Protobothrops flavoviridis</v>
      </c>
      <c r="H184" t="s">
        <v>983</v>
      </c>
      <c r="I184" t="str">
        <f>HYPERLINK("http://www.ncbi.nlm.nih.gov/protein/BAJ15431.1","androgen receptor")</f>
        <v>androgen receptor</v>
      </c>
      <c r="J184" t="s">
        <v>1261</v>
      </c>
      <c r="K184">
        <v>506.14</v>
      </c>
      <c r="L184" t="s">
        <v>25</v>
      </c>
      <c r="M184">
        <v>157</v>
      </c>
      <c r="N184">
        <v>62.55</v>
      </c>
      <c r="O184">
        <v>98.43</v>
      </c>
      <c r="P184" t="s">
        <v>20</v>
      </c>
      <c r="Q184" t="s">
        <v>1262</v>
      </c>
      <c r="R184" t="s">
        <v>20</v>
      </c>
      <c r="S184" t="str">
        <f>HYPERLINK("https://cfpub.epa.gov/ecotox/explore.cfm?ncbi=88087","Explore in ECOTOX")</f>
        <v>Explore in ECOTOX</v>
      </c>
    </row>
    <row r="185" spans="1:19" x14ac:dyDescent="0.25">
      <c r="A185">
        <v>6</v>
      </c>
      <c r="B185" t="str">
        <f>HYPERLINK("http://www.ncbi.nlm.nih.gov/protein/BAJ15432.1","BAJ15432.1")</f>
        <v>BAJ15432.1</v>
      </c>
      <c r="C185">
        <v>216</v>
      </c>
      <c r="D185" t="str">
        <f>HYPERLINK("http://www.ncbi.nlm.nih.gov/Taxonomy/Browser/wwwtax.cgi?mode=Info&amp;id=86195&amp;lvl=3&amp;lin=f&amp;keep=1&amp;srchmode=1&amp;unlock","86195")</f>
        <v>86195</v>
      </c>
      <c r="E185" t="s">
        <v>236</v>
      </c>
      <c r="F185" t="s">
        <v>236</v>
      </c>
      <c r="G185" t="str">
        <f>HYPERLINK("http://www.ncbi.nlm.nih.gov/Taxonomy/Browser/wwwtax.cgi?mode=Info&amp;id=86195&amp;lvl=3&amp;lin=f&amp;keep=1&amp;srchmode=1&amp;unlock","Elaphe quadrivirgata")</f>
        <v>Elaphe quadrivirgata</v>
      </c>
      <c r="H185" t="s">
        <v>990</v>
      </c>
      <c r="I185" t="str">
        <f>HYPERLINK("http://www.ncbi.nlm.nih.gov/protein/BAJ15432.1","androgen receptor")</f>
        <v>androgen receptor</v>
      </c>
      <c r="J185" t="s">
        <v>1261</v>
      </c>
      <c r="K185">
        <v>506.14</v>
      </c>
      <c r="L185" t="s">
        <v>25</v>
      </c>
      <c r="M185">
        <v>157</v>
      </c>
      <c r="N185">
        <v>62.55</v>
      </c>
      <c r="O185">
        <v>98.43</v>
      </c>
      <c r="P185" t="s">
        <v>20</v>
      </c>
      <c r="Q185" t="s">
        <v>1262</v>
      </c>
      <c r="R185" t="s">
        <v>20</v>
      </c>
      <c r="S185" t="str">
        <f>HYPERLINK("https://cfpub.epa.gov/ecotox/explore.cfm?ncbi=86195","Explore in ECOTOX")</f>
        <v>Explore in ECOTOX</v>
      </c>
    </row>
    <row r="186" spans="1:19" x14ac:dyDescent="0.25">
      <c r="A186">
        <v>6</v>
      </c>
      <c r="B186" t="str">
        <f>HYPERLINK("http://www.ncbi.nlm.nih.gov/protein/XP_007435613.1","XP_007435613.1")</f>
        <v>XP_007435613.1</v>
      </c>
      <c r="C186">
        <v>32860</v>
      </c>
      <c r="D186" t="str">
        <f>HYPERLINK("http://www.ncbi.nlm.nih.gov/Taxonomy/Browser/wwwtax.cgi?mode=Info&amp;id=176946&amp;lvl=3&amp;lin=f&amp;keep=1&amp;srchmode=1&amp;unlock","176946")</f>
        <v>176946</v>
      </c>
      <c r="E186" t="s">
        <v>236</v>
      </c>
      <c r="F186" t="s">
        <v>236</v>
      </c>
      <c r="G186" t="str">
        <f>HYPERLINK("http://www.ncbi.nlm.nih.gov/Taxonomy/Browser/wwwtax.cgi?mode=Info&amp;id=176946&amp;lvl=3&amp;lin=f&amp;keep=1&amp;srchmode=1&amp;unlock","Python bivittatus")</f>
        <v>Python bivittatus</v>
      </c>
      <c r="H186" t="s">
        <v>237</v>
      </c>
      <c r="I186" t="str">
        <f>HYPERLINK("http://www.ncbi.nlm.nih.gov/protein/XP_007435613.1","androgen receptor")</f>
        <v>androgen receptor</v>
      </c>
      <c r="J186" t="s">
        <v>1261</v>
      </c>
      <c r="K186">
        <v>506.14</v>
      </c>
      <c r="L186" t="s">
        <v>25</v>
      </c>
      <c r="M186">
        <v>157</v>
      </c>
      <c r="N186">
        <v>62.55</v>
      </c>
      <c r="O186">
        <v>98.43</v>
      </c>
      <c r="P186" t="s">
        <v>20</v>
      </c>
      <c r="Q186" t="s">
        <v>1262</v>
      </c>
      <c r="R186" t="s">
        <v>20</v>
      </c>
      <c r="S186" t="str">
        <f>HYPERLINK("https://cfpub.epa.gov/ecotox/explore.cfm?ncbi=176946","Explore in ECOTOX")</f>
        <v>Explore in ECOTOX</v>
      </c>
    </row>
    <row r="187" spans="1:19" x14ac:dyDescent="0.25">
      <c r="A187">
        <v>6</v>
      </c>
      <c r="B187" t="str">
        <f>HYPERLINK("http://www.ncbi.nlm.nih.gov/protein/XP_027678463.2","XP_027678463.2")</f>
        <v>XP_027678463.2</v>
      </c>
      <c r="C187">
        <v>69371</v>
      </c>
      <c r="D187" t="str">
        <f>HYPERLINK("http://www.ncbi.nlm.nih.gov/Taxonomy/Browser/wwwtax.cgi?mode=Info&amp;id=8469&amp;lvl=3&amp;lin=f&amp;keep=1&amp;srchmode=1&amp;unlock","8469")</f>
        <v>8469</v>
      </c>
      <c r="E187" t="s">
        <v>321</v>
      </c>
      <c r="F187" t="s">
        <v>321</v>
      </c>
      <c r="G187" t="str">
        <f>HYPERLINK("http://www.ncbi.nlm.nih.gov/Taxonomy/Browser/wwwtax.cgi?mode=Info&amp;id=8469&amp;lvl=3&amp;lin=f&amp;keep=1&amp;srchmode=1&amp;unlock","Chelonia mydas")</f>
        <v>Chelonia mydas</v>
      </c>
      <c r="H187" t="s">
        <v>349</v>
      </c>
      <c r="I187" t="str">
        <f>HYPERLINK("http://www.ncbi.nlm.nih.gov/protein/XP_027678463.2","androgen receptor")</f>
        <v>androgen receptor</v>
      </c>
      <c r="J187" t="s">
        <v>1261</v>
      </c>
      <c r="K187">
        <v>505.37</v>
      </c>
      <c r="L187" t="s">
        <v>20</v>
      </c>
      <c r="M187">
        <v>157</v>
      </c>
      <c r="N187">
        <v>62.55</v>
      </c>
      <c r="O187">
        <v>98.28</v>
      </c>
      <c r="P187" t="s">
        <v>20</v>
      </c>
      <c r="Q187" t="s">
        <v>1262</v>
      </c>
      <c r="R187" t="s">
        <v>20</v>
      </c>
      <c r="S187" t="str">
        <f>HYPERLINK("https://cfpub.epa.gov/ecotox/explore.cfm?ncbi=8469","Explore in ECOTOX")</f>
        <v>Explore in ECOTOX</v>
      </c>
    </row>
    <row r="188" spans="1:19" x14ac:dyDescent="0.25">
      <c r="A188">
        <v>6</v>
      </c>
      <c r="B188" t="str">
        <f>HYPERLINK("http://www.ncbi.nlm.nih.gov/protein/XP_038273484.1","XP_038273484.1")</f>
        <v>XP_038273484.1</v>
      </c>
      <c r="C188">
        <v>55267</v>
      </c>
      <c r="D188" t="str">
        <f>HYPERLINK("http://www.ncbi.nlm.nih.gov/Taxonomy/Browser/wwwtax.cgi?mode=Info&amp;id=27794&amp;lvl=3&amp;lin=f&amp;keep=1&amp;srchmode=1&amp;unlock","27794")</f>
        <v>27794</v>
      </c>
      <c r="E188" t="s">
        <v>321</v>
      </c>
      <c r="F188" t="s">
        <v>321</v>
      </c>
      <c r="G188" t="str">
        <f>HYPERLINK("http://www.ncbi.nlm.nih.gov/Taxonomy/Browser/wwwtax.cgi?mode=Info&amp;id=27794&amp;lvl=3&amp;lin=f&amp;keep=1&amp;srchmode=1&amp;unlock","Dermochelys coriacea")</f>
        <v>Dermochelys coriacea</v>
      </c>
      <c r="H188" t="s">
        <v>361</v>
      </c>
      <c r="I188" t="str">
        <f>HYPERLINK("http://www.ncbi.nlm.nih.gov/protein/XP_038273484.1","androgen receptor isoform X1")</f>
        <v>androgen receptor isoform X1</v>
      </c>
      <c r="J188" t="s">
        <v>1261</v>
      </c>
      <c r="K188">
        <v>505.37</v>
      </c>
      <c r="L188" t="s">
        <v>20</v>
      </c>
      <c r="M188">
        <v>157</v>
      </c>
      <c r="N188">
        <v>62.55</v>
      </c>
      <c r="O188">
        <v>98.28</v>
      </c>
      <c r="P188" t="s">
        <v>20</v>
      </c>
      <c r="Q188" t="s">
        <v>1262</v>
      </c>
      <c r="R188" t="s">
        <v>20</v>
      </c>
      <c r="S188" t="str">
        <f>HYPERLINK("https://cfpub.epa.gov/ecotox/explore.cfm?ncbi=27794","Explore in ECOTOX")</f>
        <v>Explore in ECOTOX</v>
      </c>
    </row>
    <row r="189" spans="1:19" x14ac:dyDescent="0.25">
      <c r="A189">
        <v>6</v>
      </c>
      <c r="B189" t="str">
        <f>HYPERLINK("http://www.ncbi.nlm.nih.gov/protein/XP_015668197.1","XP_015668197.1")</f>
        <v>XP_015668197.1</v>
      </c>
      <c r="C189">
        <v>23978</v>
      </c>
      <c r="D189" t="str">
        <f>HYPERLINK("http://www.ncbi.nlm.nih.gov/Taxonomy/Browser/wwwtax.cgi?mode=Info&amp;id=103944&amp;lvl=3&amp;lin=f&amp;keep=1&amp;srchmode=1&amp;unlock","103944")</f>
        <v>103944</v>
      </c>
      <c r="E189" t="s">
        <v>236</v>
      </c>
      <c r="F189" t="s">
        <v>236</v>
      </c>
      <c r="G189" t="str">
        <f>HYPERLINK("http://www.ncbi.nlm.nih.gov/Taxonomy/Browser/wwwtax.cgi?mode=Info&amp;id=103944&amp;lvl=3&amp;lin=f&amp;keep=1&amp;srchmode=1&amp;unlock","Protobothrops mucrosquamatus")</f>
        <v>Protobothrops mucrosquamatus</v>
      </c>
      <c r="H189" t="s">
        <v>655</v>
      </c>
      <c r="I189" t="str">
        <f>HYPERLINK("http://www.ncbi.nlm.nih.gov/protein/XP_015668197.1","androgen receptor isoform X1")</f>
        <v>androgen receptor isoform X1</v>
      </c>
      <c r="J189" t="s">
        <v>1261</v>
      </c>
      <c r="K189">
        <v>504.6</v>
      </c>
      <c r="L189" t="s">
        <v>25</v>
      </c>
      <c r="M189">
        <v>157</v>
      </c>
      <c r="N189">
        <v>62.55</v>
      </c>
      <c r="O189">
        <v>98.13</v>
      </c>
      <c r="P189" t="s">
        <v>20</v>
      </c>
      <c r="Q189" t="s">
        <v>1262</v>
      </c>
      <c r="R189" t="s">
        <v>20</v>
      </c>
      <c r="S189" t="str">
        <f>HYPERLINK("https://cfpub.epa.gov/ecotox/explore.cfm?ncbi=103944","Explore in ECOTOX")</f>
        <v>Explore in ECOTOX</v>
      </c>
    </row>
    <row r="190" spans="1:19" x14ac:dyDescent="0.25">
      <c r="A190">
        <v>6</v>
      </c>
      <c r="B190" t="str">
        <f>HYPERLINK("http://www.ncbi.nlm.nih.gov/protein/NXF10540.1","NXF10540.1")</f>
        <v>NXF10540.1</v>
      </c>
      <c r="C190">
        <v>13858</v>
      </c>
      <c r="D190" t="str">
        <f>HYPERLINK("http://www.ncbi.nlm.nih.gov/Taxonomy/Browser/wwwtax.cgi?mode=Info&amp;id=363769&amp;lvl=3&amp;lin=f&amp;keep=1&amp;srchmode=1&amp;unlock","363769")</f>
        <v>363769</v>
      </c>
      <c r="E190" t="s">
        <v>167</v>
      </c>
      <c r="F190" t="s">
        <v>167</v>
      </c>
      <c r="G190" t="str">
        <f>HYPERLINK("http://www.ncbi.nlm.nih.gov/Taxonomy/Browser/wwwtax.cgi?mode=Info&amp;id=363769&amp;lvl=3&amp;lin=f&amp;keep=1&amp;srchmode=1&amp;unlock","Smithornis capensis")</f>
        <v>Smithornis capensis</v>
      </c>
      <c r="H190" t="s">
        <v>206</v>
      </c>
      <c r="I190" t="str">
        <f>HYPERLINK("http://www.ncbi.nlm.nih.gov/protein/NXF10540.1","ANDR protein")</f>
        <v>ANDR protein</v>
      </c>
      <c r="J190" t="s">
        <v>1261</v>
      </c>
      <c r="K190">
        <v>494.58</v>
      </c>
      <c r="L190" t="s">
        <v>25</v>
      </c>
      <c r="M190">
        <v>157</v>
      </c>
      <c r="N190">
        <v>62.55</v>
      </c>
      <c r="O190">
        <v>96.18</v>
      </c>
      <c r="P190" t="s">
        <v>20</v>
      </c>
      <c r="Q190" t="s">
        <v>1262</v>
      </c>
      <c r="R190" t="s">
        <v>20</v>
      </c>
      <c r="S190" t="str">
        <f>HYPERLINK("https://cfpub.epa.gov/ecotox/explore.cfm?ncbi=363769","Explore in ECOTOX")</f>
        <v>Explore in ECOTOX</v>
      </c>
    </row>
    <row r="191" spans="1:19" x14ac:dyDescent="0.25">
      <c r="A191">
        <v>6</v>
      </c>
      <c r="B191" t="str">
        <f>HYPERLINK("http://www.ncbi.nlm.nih.gov/protein/XP_025922078.1","XP_025922078.1")</f>
        <v>XP_025922078.1</v>
      </c>
      <c r="C191">
        <v>37692</v>
      </c>
      <c r="D191" t="str">
        <f>HYPERLINK("http://www.ncbi.nlm.nih.gov/Taxonomy/Browser/wwwtax.cgi?mode=Info&amp;id=308060&amp;lvl=3&amp;lin=f&amp;keep=1&amp;srchmode=1&amp;unlock","308060")</f>
        <v>308060</v>
      </c>
      <c r="E191" t="s">
        <v>167</v>
      </c>
      <c r="F191" t="s">
        <v>167</v>
      </c>
      <c r="G191" t="str">
        <f>HYPERLINK("http://www.ncbi.nlm.nih.gov/Taxonomy/Browser/wwwtax.cgi?mode=Info&amp;id=308060&amp;lvl=3&amp;lin=f&amp;keep=1&amp;srchmode=1&amp;unlock","Apteryx rowi")</f>
        <v>Apteryx rowi</v>
      </c>
      <c r="H191" t="s">
        <v>214</v>
      </c>
      <c r="I191" t="str">
        <f>HYPERLINK("http://www.ncbi.nlm.nih.gov/protein/XP_025922078.1","androgen receptor")</f>
        <v>androgen receptor</v>
      </c>
      <c r="J191" t="s">
        <v>1261</v>
      </c>
      <c r="K191">
        <v>493.81</v>
      </c>
      <c r="L191" t="s">
        <v>25</v>
      </c>
      <c r="M191">
        <v>157</v>
      </c>
      <c r="N191">
        <v>62.55</v>
      </c>
      <c r="O191">
        <v>96.03</v>
      </c>
      <c r="P191" t="s">
        <v>20</v>
      </c>
      <c r="Q191" t="s">
        <v>1262</v>
      </c>
      <c r="R191" t="s">
        <v>20</v>
      </c>
      <c r="S191" t="str">
        <f>HYPERLINK("https://cfpub.epa.gov/ecotox/explore.cfm?ncbi=308060","Explore in ECOTOX")</f>
        <v>Explore in ECOTOX</v>
      </c>
    </row>
    <row r="192" spans="1:19" x14ac:dyDescent="0.25">
      <c r="A192">
        <v>6</v>
      </c>
      <c r="B192" t="str">
        <f>HYPERLINK("http://www.ncbi.nlm.nih.gov/protein/XP_013809075.1","XP_013809075.1")</f>
        <v>XP_013809075.1</v>
      </c>
      <c r="C192">
        <v>22840</v>
      </c>
      <c r="D192" t="str">
        <f>HYPERLINK("http://www.ncbi.nlm.nih.gov/Taxonomy/Browser/wwwtax.cgi?mode=Info&amp;id=202946&amp;lvl=3&amp;lin=f&amp;keep=1&amp;srchmode=1&amp;unlock","202946")</f>
        <v>202946</v>
      </c>
      <c r="E192" t="s">
        <v>167</v>
      </c>
      <c r="F192" t="s">
        <v>167</v>
      </c>
      <c r="G192" t="str">
        <f>HYPERLINK("http://www.ncbi.nlm.nih.gov/Taxonomy/Browser/wwwtax.cgi?mode=Info&amp;id=202946&amp;lvl=3&amp;lin=f&amp;keep=1&amp;srchmode=1&amp;unlock","Apteryx mantelli mantelli")</f>
        <v>Apteryx mantelli mantelli</v>
      </c>
      <c r="H192" t="s">
        <v>209</v>
      </c>
      <c r="I192" t="str">
        <f>HYPERLINK("http://www.ncbi.nlm.nih.gov/protein/XP_013809075.1","PREDICTED: androgen receptor")</f>
        <v>PREDICTED: androgen receptor</v>
      </c>
      <c r="J192" t="s">
        <v>1261</v>
      </c>
      <c r="K192">
        <v>493.81</v>
      </c>
      <c r="L192" t="s">
        <v>25</v>
      </c>
      <c r="M192">
        <v>157</v>
      </c>
      <c r="N192">
        <v>62.55</v>
      </c>
      <c r="O192">
        <v>96.03</v>
      </c>
      <c r="P192" t="s">
        <v>20</v>
      </c>
      <c r="Q192" t="s">
        <v>1262</v>
      </c>
      <c r="R192" t="s">
        <v>20</v>
      </c>
      <c r="S192" t="str">
        <f>HYPERLINK("https://cfpub.epa.gov/ecotox/explore.cfm?ncbi=202946","Explore in ECOTOX")</f>
        <v>Explore in ECOTOX</v>
      </c>
    </row>
    <row r="193" spans="1:19" x14ac:dyDescent="0.25">
      <c r="A193">
        <v>6</v>
      </c>
      <c r="B193" t="str">
        <f>HYPERLINK("http://www.ncbi.nlm.nih.gov/protein/NWX03039.1","NWX03039.1")</f>
        <v>NWX03039.1</v>
      </c>
      <c r="C193">
        <v>14125</v>
      </c>
      <c r="D193" t="str">
        <f>HYPERLINK("http://www.ncbi.nlm.nih.gov/Taxonomy/Browser/wwwtax.cgi?mode=Info&amp;id=187106&amp;lvl=3&amp;lin=f&amp;keep=1&amp;srchmode=1&amp;unlock","187106")</f>
        <v>187106</v>
      </c>
      <c r="E193" t="s">
        <v>167</v>
      </c>
      <c r="F193" t="s">
        <v>167</v>
      </c>
      <c r="G193" t="str">
        <f>HYPERLINK("http://www.ncbi.nlm.nih.gov/Taxonomy/Browser/wwwtax.cgi?mode=Info&amp;id=187106&amp;lvl=3&amp;lin=f&amp;keep=1&amp;srchmode=1&amp;unlock","Caloenas nicobarica")</f>
        <v>Caloenas nicobarica</v>
      </c>
      <c r="H193" t="s">
        <v>223</v>
      </c>
      <c r="I193" t="str">
        <f>HYPERLINK("http://www.ncbi.nlm.nih.gov/protein/NWX03039.1","ANDR protein")</f>
        <v>ANDR protein</v>
      </c>
      <c r="J193" t="s">
        <v>1261</v>
      </c>
      <c r="K193">
        <v>493.43</v>
      </c>
      <c r="L193" t="s">
        <v>25</v>
      </c>
      <c r="M193">
        <v>157</v>
      </c>
      <c r="N193">
        <v>62.55</v>
      </c>
      <c r="O193">
        <v>95.95</v>
      </c>
      <c r="P193" t="s">
        <v>20</v>
      </c>
      <c r="Q193" t="s">
        <v>1262</v>
      </c>
      <c r="R193" t="s">
        <v>20</v>
      </c>
      <c r="S193" t="str">
        <f>HYPERLINK("https://cfpub.epa.gov/ecotox/explore.cfm?ncbi=187106","Explore in ECOTOX")</f>
        <v>Explore in ECOTOX</v>
      </c>
    </row>
    <row r="194" spans="1:19" x14ac:dyDescent="0.25">
      <c r="A194">
        <v>6</v>
      </c>
      <c r="B194" t="str">
        <f>HYPERLINK("http://www.ncbi.nlm.nih.gov/protein/NWR66110.1","NWR66110.1")</f>
        <v>NWR66110.1</v>
      </c>
      <c r="C194">
        <v>14438</v>
      </c>
      <c r="D194" t="str">
        <f>HYPERLINK("http://www.ncbi.nlm.nih.gov/Taxonomy/Browser/wwwtax.cgi?mode=Info&amp;id=153643&amp;lvl=3&amp;lin=f&amp;keep=1&amp;srchmode=1&amp;unlock","153643")</f>
        <v>153643</v>
      </c>
      <c r="E194" t="s">
        <v>167</v>
      </c>
      <c r="F194" t="s">
        <v>167</v>
      </c>
      <c r="G194" t="str">
        <f>HYPERLINK("http://www.ncbi.nlm.nih.gov/Taxonomy/Browser/wwwtax.cgi?mode=Info&amp;id=153643&amp;lvl=3&amp;lin=f&amp;keep=1&amp;srchmode=1&amp;unlock","Bucorvus abyssinicus")</f>
        <v>Bucorvus abyssinicus</v>
      </c>
      <c r="H194" t="s">
        <v>310</v>
      </c>
      <c r="I194" t="str">
        <f>HYPERLINK("http://www.ncbi.nlm.nih.gov/protein/NWR66110.1","ANDR protein")</f>
        <v>ANDR protein</v>
      </c>
      <c r="J194" t="s">
        <v>1261</v>
      </c>
      <c r="K194">
        <v>493.43</v>
      </c>
      <c r="L194" t="s">
        <v>25</v>
      </c>
      <c r="M194">
        <v>157</v>
      </c>
      <c r="N194">
        <v>62.55</v>
      </c>
      <c r="O194">
        <v>95.95</v>
      </c>
      <c r="P194" t="s">
        <v>20</v>
      </c>
      <c r="Q194" t="s">
        <v>1262</v>
      </c>
      <c r="R194" t="s">
        <v>20</v>
      </c>
      <c r="S194" t="str">
        <f>HYPERLINK("https://cfpub.epa.gov/ecotox/explore.cfm?ncbi=153643","Explore in ECOTOX")</f>
        <v>Explore in ECOTOX</v>
      </c>
    </row>
    <row r="195" spans="1:19" x14ac:dyDescent="0.25">
      <c r="A195">
        <v>6</v>
      </c>
      <c r="B195" t="str">
        <f>HYPERLINK("http://www.ncbi.nlm.nih.gov/protein/NXV96327.1","NXV96327.1")</f>
        <v>NXV96327.1</v>
      </c>
      <c r="C195">
        <v>14439</v>
      </c>
      <c r="D195" t="str">
        <f>HYPERLINK("http://www.ncbi.nlm.nih.gov/Taxonomy/Browser/wwwtax.cgi?mode=Info&amp;id=1323832&amp;lvl=3&amp;lin=f&amp;keep=1&amp;srchmode=1&amp;unlock","1323832")</f>
        <v>1323832</v>
      </c>
      <c r="E195" t="s">
        <v>167</v>
      </c>
      <c r="F195" t="s">
        <v>167</v>
      </c>
      <c r="G195" t="str">
        <f>HYPERLINK("http://www.ncbi.nlm.nih.gov/Taxonomy/Browser/wwwtax.cgi?mode=Info&amp;id=1323832&amp;lvl=3&amp;lin=f&amp;keep=1&amp;srchmode=1&amp;unlock","Calonectris borealis")</f>
        <v>Calonectris borealis</v>
      </c>
      <c r="H195" t="s">
        <v>186</v>
      </c>
      <c r="I195" t="str">
        <f>HYPERLINK("http://www.ncbi.nlm.nih.gov/protein/NXV96327.1","ANDR protein")</f>
        <v>ANDR protein</v>
      </c>
      <c r="J195" t="s">
        <v>1261</v>
      </c>
      <c r="K195">
        <v>493.43</v>
      </c>
      <c r="L195" t="s">
        <v>25</v>
      </c>
      <c r="M195">
        <v>157</v>
      </c>
      <c r="N195">
        <v>62.55</v>
      </c>
      <c r="O195">
        <v>95.95</v>
      </c>
      <c r="P195" t="s">
        <v>20</v>
      </c>
      <c r="Q195" t="s">
        <v>1262</v>
      </c>
      <c r="R195" t="s">
        <v>20</v>
      </c>
      <c r="S195" t="str">
        <f>HYPERLINK("https://cfpub.epa.gov/ecotox/explore.cfm?ncbi=1323832","Explore in ECOTOX")</f>
        <v>Explore in ECOTOX</v>
      </c>
    </row>
    <row r="196" spans="1:19" x14ac:dyDescent="0.25">
      <c r="A196">
        <v>6</v>
      </c>
      <c r="B196" t="str">
        <f>HYPERLINK("http://www.ncbi.nlm.nih.gov/protein/NXS52613.1","NXS52613.1")</f>
        <v>NXS52613.1</v>
      </c>
      <c r="C196">
        <v>13462</v>
      </c>
      <c r="D196" t="str">
        <f>HYPERLINK("http://www.ncbi.nlm.nih.gov/Taxonomy/Browser/wwwtax.cgi?mode=Info&amp;id=135165&amp;lvl=3&amp;lin=f&amp;keep=1&amp;srchmode=1&amp;unlock","135165")</f>
        <v>135165</v>
      </c>
      <c r="E196" t="s">
        <v>167</v>
      </c>
      <c r="F196" t="s">
        <v>167</v>
      </c>
      <c r="G196" t="str">
        <f>HYPERLINK("http://www.ncbi.nlm.nih.gov/Taxonomy/Browser/wwwtax.cgi?mode=Info&amp;id=135165&amp;lvl=3&amp;lin=f&amp;keep=1&amp;srchmode=1&amp;unlock","Brachypteracias leptosomus")</f>
        <v>Brachypteracias leptosomus</v>
      </c>
      <c r="H196" t="s">
        <v>235</v>
      </c>
      <c r="I196" t="str">
        <f>HYPERLINK("http://www.ncbi.nlm.nih.gov/protein/NXS52613.1","ANDR protein")</f>
        <v>ANDR protein</v>
      </c>
      <c r="J196" t="s">
        <v>1261</v>
      </c>
      <c r="K196">
        <v>493.43</v>
      </c>
      <c r="L196" t="s">
        <v>25</v>
      </c>
      <c r="M196">
        <v>157</v>
      </c>
      <c r="N196">
        <v>62.55</v>
      </c>
      <c r="O196">
        <v>95.95</v>
      </c>
      <c r="P196" t="s">
        <v>20</v>
      </c>
      <c r="Q196" t="s">
        <v>1262</v>
      </c>
      <c r="R196" t="s">
        <v>20</v>
      </c>
      <c r="S196" t="str">
        <f>HYPERLINK("https://cfpub.epa.gov/ecotox/explore.cfm?ncbi=135165","Explore in ECOTOX")</f>
        <v>Explore in ECOTOX</v>
      </c>
    </row>
    <row r="197" spans="1:19" x14ac:dyDescent="0.25">
      <c r="A197">
        <v>6</v>
      </c>
      <c r="B197" t="str">
        <f>HYPERLINK("http://www.ncbi.nlm.nih.gov/protein/NXQ86415.1","NXQ86415.1")</f>
        <v>NXQ86415.1</v>
      </c>
      <c r="C197">
        <v>14112</v>
      </c>
      <c r="D197" t="str">
        <f>HYPERLINK("http://www.ncbi.nlm.nih.gov/Taxonomy/Browser/wwwtax.cgi?mode=Info&amp;id=48427&amp;lvl=3&amp;lin=f&amp;keep=1&amp;srchmode=1&amp;unlock","48427")</f>
        <v>48427</v>
      </c>
      <c r="E197" t="s">
        <v>167</v>
      </c>
      <c r="F197" t="s">
        <v>167</v>
      </c>
      <c r="G197" t="str">
        <f>HYPERLINK("http://www.ncbi.nlm.nih.gov/Taxonomy/Browser/wwwtax.cgi?mode=Info&amp;id=48427&amp;lvl=3&amp;lin=f&amp;keep=1&amp;srchmode=1&amp;unlock","Nyctibius grandis")</f>
        <v>Nyctibius grandis</v>
      </c>
      <c r="H197" t="s">
        <v>233</v>
      </c>
      <c r="I197" t="str">
        <f>HYPERLINK("http://www.ncbi.nlm.nih.gov/protein/NXQ86415.1","ANDR protein")</f>
        <v>ANDR protein</v>
      </c>
      <c r="J197" t="s">
        <v>1261</v>
      </c>
      <c r="K197">
        <v>493.43</v>
      </c>
      <c r="L197" t="s">
        <v>25</v>
      </c>
      <c r="M197">
        <v>157</v>
      </c>
      <c r="N197">
        <v>62.55</v>
      </c>
      <c r="O197">
        <v>95.95</v>
      </c>
      <c r="P197" t="s">
        <v>20</v>
      </c>
      <c r="Q197" t="s">
        <v>1262</v>
      </c>
      <c r="R197" t="s">
        <v>20</v>
      </c>
      <c r="S197" t="str">
        <f>HYPERLINK("https://cfpub.epa.gov/ecotox/explore.cfm?ncbi=48427","Explore in ECOTOX")</f>
        <v>Explore in ECOTOX</v>
      </c>
    </row>
    <row r="198" spans="1:19" x14ac:dyDescent="0.25">
      <c r="A198">
        <v>6</v>
      </c>
      <c r="B198" t="str">
        <f>HYPERLINK("http://www.ncbi.nlm.nih.gov/protein/NXW86351.1","NXW86351.1")</f>
        <v>NXW86351.1</v>
      </c>
      <c r="C198">
        <v>14612</v>
      </c>
      <c r="D198" t="str">
        <f>HYPERLINK("http://www.ncbi.nlm.nih.gov/Taxonomy/Browser/wwwtax.cgi?mode=Info&amp;id=262131&amp;lvl=3&amp;lin=f&amp;keep=1&amp;srchmode=1&amp;unlock","262131")</f>
        <v>262131</v>
      </c>
      <c r="E198" t="s">
        <v>167</v>
      </c>
      <c r="F198" t="s">
        <v>167</v>
      </c>
      <c r="G198" t="str">
        <f>HYPERLINK("http://www.ncbi.nlm.nih.gov/Taxonomy/Browser/wwwtax.cgi?mode=Info&amp;id=262131&amp;lvl=3&amp;lin=f&amp;keep=1&amp;srchmode=1&amp;unlock","Alopecoenas beccarii")</f>
        <v>Alopecoenas beccarii</v>
      </c>
      <c r="H198" t="s">
        <v>314</v>
      </c>
      <c r="I198" t="str">
        <f>HYPERLINK("http://www.ncbi.nlm.nih.gov/protein/NXW86351.1","ANDR protein")</f>
        <v>ANDR protein</v>
      </c>
      <c r="J198" t="s">
        <v>1261</v>
      </c>
      <c r="K198">
        <v>493.43</v>
      </c>
      <c r="L198" t="s">
        <v>25</v>
      </c>
      <c r="M198">
        <v>157</v>
      </c>
      <c r="N198">
        <v>62.55</v>
      </c>
      <c r="O198">
        <v>95.95</v>
      </c>
      <c r="P198" t="s">
        <v>20</v>
      </c>
      <c r="Q198" t="s">
        <v>1262</v>
      </c>
      <c r="R198" t="s">
        <v>20</v>
      </c>
      <c r="S198" t="str">
        <f>HYPERLINK("https://cfpub.epa.gov/ecotox/explore.cfm?ncbi=262131","Explore in ECOTOX")</f>
        <v>Explore in ECOTOX</v>
      </c>
    </row>
    <row r="199" spans="1:19" x14ac:dyDescent="0.25">
      <c r="A199">
        <v>6</v>
      </c>
      <c r="B199" t="str">
        <f>HYPERLINK("http://www.ncbi.nlm.nih.gov/protein/NXF32167.1","NXF32167.1")</f>
        <v>NXF32167.1</v>
      </c>
      <c r="C199">
        <v>13974</v>
      </c>
      <c r="D199" t="str">
        <f>HYPERLINK("http://www.ncbi.nlm.nih.gov/Taxonomy/Browser/wwwtax.cgi?mode=Info&amp;id=48426&amp;lvl=3&amp;lin=f&amp;keep=1&amp;srchmode=1&amp;unlock","48426")</f>
        <v>48426</v>
      </c>
      <c r="E199" t="s">
        <v>167</v>
      </c>
      <c r="F199" t="s">
        <v>167</v>
      </c>
      <c r="G199" t="str">
        <f>HYPERLINK("http://www.ncbi.nlm.nih.gov/Taxonomy/Browser/wwwtax.cgi?mode=Info&amp;id=48426&amp;lvl=3&amp;lin=f&amp;keep=1&amp;srchmode=1&amp;unlock","Nyctibius bracteatus")</f>
        <v>Nyctibius bracteatus</v>
      </c>
      <c r="H199" t="s">
        <v>232</v>
      </c>
      <c r="I199" t="str">
        <f>HYPERLINK("http://www.ncbi.nlm.nih.gov/protein/NXF32167.1","ANDR protein")</f>
        <v>ANDR protein</v>
      </c>
      <c r="J199" t="s">
        <v>1261</v>
      </c>
      <c r="K199">
        <v>493.43</v>
      </c>
      <c r="L199" t="s">
        <v>25</v>
      </c>
      <c r="M199">
        <v>157</v>
      </c>
      <c r="N199">
        <v>62.55</v>
      </c>
      <c r="O199">
        <v>95.95</v>
      </c>
      <c r="P199" t="s">
        <v>20</v>
      </c>
      <c r="Q199" t="s">
        <v>1262</v>
      </c>
      <c r="R199" t="s">
        <v>20</v>
      </c>
      <c r="S199" t="str">
        <f>HYPERLINK("https://cfpub.epa.gov/ecotox/explore.cfm?ncbi=48426","Explore in ECOTOX")</f>
        <v>Explore in ECOTOX</v>
      </c>
    </row>
    <row r="200" spans="1:19" x14ac:dyDescent="0.25">
      <c r="A200">
        <v>6</v>
      </c>
      <c r="B200" t="str">
        <f>HYPERLINK("http://www.ncbi.nlm.nih.gov/protein/NXW44450.1","NXW44450.1")</f>
        <v>NXW44450.1</v>
      </c>
      <c r="C200">
        <v>13396</v>
      </c>
      <c r="D200" t="str">
        <f>HYPERLINK("http://www.ncbi.nlm.nih.gov/Taxonomy/Browser/wwwtax.cgi?mode=Info&amp;id=382315&amp;lvl=3&amp;lin=f&amp;keep=1&amp;srchmode=1&amp;unlock","382315")</f>
        <v>382315</v>
      </c>
      <c r="E200" t="s">
        <v>167</v>
      </c>
      <c r="F200" t="s">
        <v>167</v>
      </c>
      <c r="G200" t="str">
        <f>HYPERLINK("http://www.ncbi.nlm.nih.gov/Taxonomy/Browser/wwwtax.cgi?mode=Info&amp;id=382315&amp;lvl=3&amp;lin=f&amp;keep=1&amp;srchmode=1&amp;unlock","Nyctiprogne leucopyga")</f>
        <v>Nyctiprogne leucopyga</v>
      </c>
      <c r="H200" t="s">
        <v>233</v>
      </c>
      <c r="I200" t="str">
        <f>HYPERLINK("http://www.ncbi.nlm.nih.gov/protein/NXW44450.1","ANDR protein")</f>
        <v>ANDR protein</v>
      </c>
      <c r="J200" t="s">
        <v>1261</v>
      </c>
      <c r="K200">
        <v>493.43</v>
      </c>
      <c r="L200" t="s">
        <v>25</v>
      </c>
      <c r="M200">
        <v>157</v>
      </c>
      <c r="N200">
        <v>62.55</v>
      </c>
      <c r="O200">
        <v>95.95</v>
      </c>
      <c r="P200" t="s">
        <v>20</v>
      </c>
      <c r="Q200" t="s">
        <v>1262</v>
      </c>
      <c r="R200" t="s">
        <v>20</v>
      </c>
      <c r="S200" t="str">
        <f>HYPERLINK("https://cfpub.epa.gov/ecotox/explore.cfm?ncbi=382315","Explore in ECOTOX")</f>
        <v>Explore in ECOTOX</v>
      </c>
    </row>
    <row r="201" spans="1:19" x14ac:dyDescent="0.25">
      <c r="A201">
        <v>6</v>
      </c>
      <c r="B201" t="str">
        <f>HYPERLINK("http://www.ncbi.nlm.nih.gov/protein/KFV73168.1","KFV73168.1")</f>
        <v>KFV73168.1</v>
      </c>
      <c r="C201">
        <v>29091</v>
      </c>
      <c r="D201" t="str">
        <f>HYPERLINK("http://www.ncbi.nlm.nih.gov/Taxonomy/Browser/wwwtax.cgi?mode=Info&amp;id=118200&amp;lvl=3&amp;lin=f&amp;keep=1&amp;srchmode=1&amp;unlock","118200")</f>
        <v>118200</v>
      </c>
      <c r="E201" t="s">
        <v>167</v>
      </c>
      <c r="F201" t="s">
        <v>167</v>
      </c>
      <c r="G201" t="str">
        <f>HYPERLINK("http://www.ncbi.nlm.nih.gov/Taxonomy/Browser/wwwtax.cgi?mode=Info&amp;id=118200&amp;lvl=3&amp;lin=f&amp;keep=1&amp;srchmode=1&amp;unlock","Dryobates pubescens")</f>
        <v>Dryobates pubescens</v>
      </c>
      <c r="H201" t="s">
        <v>982</v>
      </c>
      <c r="I201" t="str">
        <f>HYPERLINK("http://www.ncbi.nlm.nih.gov/protein/KFV73168.1","Androgen receptor, partial")</f>
        <v>Androgen receptor, partial</v>
      </c>
      <c r="J201" t="s">
        <v>1261</v>
      </c>
      <c r="K201">
        <v>493.43</v>
      </c>
      <c r="L201" t="s">
        <v>25</v>
      </c>
      <c r="M201">
        <v>157</v>
      </c>
      <c r="N201">
        <v>62.55</v>
      </c>
      <c r="O201">
        <v>95.95</v>
      </c>
      <c r="P201" t="s">
        <v>20</v>
      </c>
      <c r="Q201" t="s">
        <v>1262</v>
      </c>
      <c r="R201" t="s">
        <v>20</v>
      </c>
      <c r="S201" t="str">
        <f>HYPERLINK("https://cfpub.epa.gov/ecotox/explore.cfm?ncbi=118200","Explore in ECOTOX")</f>
        <v>Explore in ECOTOX</v>
      </c>
    </row>
    <row r="202" spans="1:19" x14ac:dyDescent="0.25">
      <c r="A202">
        <v>6</v>
      </c>
      <c r="B202" t="str">
        <f>HYPERLINK("http://www.ncbi.nlm.nih.gov/protein/NXP25120.1","NXP25120.1")</f>
        <v>NXP25120.1</v>
      </c>
      <c r="C202">
        <v>13881</v>
      </c>
      <c r="D202" t="str">
        <f>HYPERLINK("http://www.ncbi.nlm.nih.gov/Taxonomy/Browser/wwwtax.cgi?mode=Info&amp;id=312124&amp;lvl=3&amp;lin=f&amp;keep=1&amp;srchmode=1&amp;unlock","312124")</f>
        <v>312124</v>
      </c>
      <c r="E202" t="s">
        <v>167</v>
      </c>
      <c r="F202" t="s">
        <v>167</v>
      </c>
      <c r="G202" t="str">
        <f>HYPERLINK("http://www.ncbi.nlm.nih.gov/Taxonomy/Browser/wwwtax.cgi?mode=Info&amp;id=312124&amp;lvl=3&amp;lin=f&amp;keep=1&amp;srchmode=1&amp;unlock","Scytalopus superciliaris")</f>
        <v>Scytalopus superciliaris</v>
      </c>
      <c r="H202" t="s">
        <v>418</v>
      </c>
      <c r="I202" t="str">
        <f>HYPERLINK("http://www.ncbi.nlm.nih.gov/protein/NXP25120.1","ANDR protein")</f>
        <v>ANDR protein</v>
      </c>
      <c r="J202" t="s">
        <v>1261</v>
      </c>
      <c r="K202">
        <v>493.43</v>
      </c>
      <c r="L202" t="s">
        <v>25</v>
      </c>
      <c r="M202">
        <v>157</v>
      </c>
      <c r="N202">
        <v>62.55</v>
      </c>
      <c r="O202">
        <v>95.95</v>
      </c>
      <c r="P202" t="s">
        <v>20</v>
      </c>
      <c r="Q202" t="s">
        <v>1262</v>
      </c>
      <c r="R202" t="s">
        <v>20</v>
      </c>
      <c r="S202" t="str">
        <f>HYPERLINK("https://cfpub.epa.gov/ecotox/explore.cfm?ncbi=312124","Explore in ECOTOX")</f>
        <v>Explore in ECOTOX</v>
      </c>
    </row>
    <row r="203" spans="1:19" x14ac:dyDescent="0.25">
      <c r="A203">
        <v>6</v>
      </c>
      <c r="B203" t="str">
        <f>HYPERLINK("http://www.ncbi.nlm.nih.gov/protein/NXJ93699.1","NXJ93699.1")</f>
        <v>NXJ93699.1</v>
      </c>
      <c r="C203">
        <v>14263</v>
      </c>
      <c r="D203" t="str">
        <f>HYPERLINK("http://www.ncbi.nlm.nih.gov/Taxonomy/Browser/wwwtax.cgi?mode=Info&amp;id=103956&amp;lvl=3&amp;lin=f&amp;keep=1&amp;srchmode=1&amp;unlock","103956")</f>
        <v>103956</v>
      </c>
      <c r="E203" t="s">
        <v>167</v>
      </c>
      <c r="F203" t="s">
        <v>167</v>
      </c>
      <c r="G203" t="str">
        <f>HYPERLINK("http://www.ncbi.nlm.nih.gov/Taxonomy/Browser/wwwtax.cgi?mode=Info&amp;id=103956&amp;lvl=3&amp;lin=f&amp;keep=1&amp;srchmode=1&amp;unlock","Corythaixoides concolor")</f>
        <v>Corythaixoides concolor</v>
      </c>
      <c r="H203" t="s">
        <v>422</v>
      </c>
      <c r="I203" t="str">
        <f>HYPERLINK("http://www.ncbi.nlm.nih.gov/protein/NXJ93699.1","ANDR protein")</f>
        <v>ANDR protein</v>
      </c>
      <c r="J203" t="s">
        <v>1261</v>
      </c>
      <c r="K203">
        <v>493.43</v>
      </c>
      <c r="L203" t="s">
        <v>25</v>
      </c>
      <c r="M203">
        <v>157</v>
      </c>
      <c r="N203">
        <v>62.55</v>
      </c>
      <c r="O203">
        <v>95.95</v>
      </c>
      <c r="P203" t="s">
        <v>20</v>
      </c>
      <c r="Q203" t="s">
        <v>1262</v>
      </c>
      <c r="R203" t="s">
        <v>20</v>
      </c>
      <c r="S203" t="str">
        <f>HYPERLINK("https://cfpub.epa.gov/ecotox/explore.cfm?ncbi=103956","Explore in ECOTOX")</f>
        <v>Explore in ECOTOX</v>
      </c>
    </row>
    <row r="204" spans="1:19" x14ac:dyDescent="0.25">
      <c r="A204">
        <v>6</v>
      </c>
      <c r="B204" t="str">
        <f>HYPERLINK("http://www.ncbi.nlm.nih.gov/protein/PKK20063.1","PKK20063.1")</f>
        <v>PKK20063.1</v>
      </c>
      <c r="C204">
        <v>50935</v>
      </c>
      <c r="D204" t="str">
        <f>HYPERLINK("http://www.ncbi.nlm.nih.gov/Taxonomy/Browser/wwwtax.cgi?mode=Info&amp;id=8932&amp;lvl=3&amp;lin=f&amp;keep=1&amp;srchmode=1&amp;unlock","8932")</f>
        <v>8932</v>
      </c>
      <c r="E204" t="s">
        <v>167</v>
      </c>
      <c r="F204" t="s">
        <v>167</v>
      </c>
      <c r="G204" t="str">
        <f>HYPERLINK("http://www.ncbi.nlm.nih.gov/Taxonomy/Browser/wwwtax.cgi?mode=Info&amp;id=8932&amp;lvl=3&amp;lin=f&amp;keep=1&amp;srchmode=1&amp;unlock","Columba livia")</f>
        <v>Columba livia</v>
      </c>
      <c r="H204" t="s">
        <v>313</v>
      </c>
      <c r="I204" t="str">
        <f>HYPERLINK("http://www.ncbi.nlm.nih.gov/protein/PKK20063.1","androgen receptor")</f>
        <v>androgen receptor</v>
      </c>
      <c r="J204" t="s">
        <v>1261</v>
      </c>
      <c r="K204">
        <v>493.43</v>
      </c>
      <c r="L204" t="s">
        <v>25</v>
      </c>
      <c r="M204">
        <v>157</v>
      </c>
      <c r="N204">
        <v>62.55</v>
      </c>
      <c r="O204">
        <v>95.95</v>
      </c>
      <c r="P204" t="s">
        <v>20</v>
      </c>
      <c r="Q204" t="s">
        <v>1262</v>
      </c>
      <c r="R204" t="s">
        <v>20</v>
      </c>
      <c r="S204" t="str">
        <f>HYPERLINK("https://cfpub.epa.gov/ecotox/explore.cfm?ncbi=8932","Explore in ECOTOX")</f>
        <v>Explore in ECOTOX</v>
      </c>
    </row>
    <row r="205" spans="1:19" x14ac:dyDescent="0.25">
      <c r="A205">
        <v>6</v>
      </c>
      <c r="B205" t="str">
        <f>HYPERLINK("http://www.ncbi.nlm.nih.gov/protein/NWQ82911.1","NWQ82911.1")</f>
        <v>NWQ82911.1</v>
      </c>
      <c r="C205">
        <v>12327</v>
      </c>
      <c r="D205" t="str">
        <f>HYPERLINK("http://www.ncbi.nlm.nih.gov/Taxonomy/Browser/wwwtax.cgi?mode=Info&amp;id=115618&amp;lvl=3&amp;lin=f&amp;keep=1&amp;srchmode=1&amp;unlock","115618")</f>
        <v>115618</v>
      </c>
      <c r="E205" t="s">
        <v>167</v>
      </c>
      <c r="F205" t="s">
        <v>167</v>
      </c>
      <c r="G205" t="str">
        <f>HYPERLINK("http://www.ncbi.nlm.nih.gov/Taxonomy/Browser/wwwtax.cgi?mode=Info&amp;id=115618&amp;lvl=3&amp;lin=f&amp;keep=1&amp;srchmode=1&amp;unlock","Columbina picui")</f>
        <v>Columbina picui</v>
      </c>
      <c r="H205" t="s">
        <v>406</v>
      </c>
      <c r="I205" t="str">
        <f>HYPERLINK("http://www.ncbi.nlm.nih.gov/protein/NWQ82911.1","ANDR protein")</f>
        <v>ANDR protein</v>
      </c>
      <c r="J205" t="s">
        <v>1261</v>
      </c>
      <c r="K205">
        <v>493.43</v>
      </c>
      <c r="L205" t="s">
        <v>25</v>
      </c>
      <c r="M205">
        <v>157</v>
      </c>
      <c r="N205">
        <v>62.55</v>
      </c>
      <c r="O205">
        <v>95.95</v>
      </c>
      <c r="P205" t="s">
        <v>20</v>
      </c>
      <c r="Q205" t="s">
        <v>1262</v>
      </c>
      <c r="R205" t="s">
        <v>20</v>
      </c>
      <c r="S205" t="str">
        <f>HYPERLINK("https://cfpub.epa.gov/ecotox/explore.cfm?ncbi=115618","Explore in ECOTOX")</f>
        <v>Explore in ECOTOX</v>
      </c>
    </row>
    <row r="206" spans="1:19" x14ac:dyDescent="0.25">
      <c r="A206">
        <v>6</v>
      </c>
      <c r="B206" t="str">
        <f>HYPERLINK("http://www.ncbi.nlm.nih.gov/protein/NXU90185.1","NXU90185.1")</f>
        <v>NXU90185.1</v>
      </c>
      <c r="C206">
        <v>13565</v>
      </c>
      <c r="D206" t="str">
        <f>HYPERLINK("http://www.ncbi.nlm.nih.gov/Taxonomy/Browser/wwwtax.cgi?mode=Info&amp;id=269412&amp;lvl=3&amp;lin=f&amp;keep=1&amp;srchmode=1&amp;unlock","269412")</f>
        <v>269412</v>
      </c>
      <c r="E206" t="s">
        <v>167</v>
      </c>
      <c r="F206" t="s">
        <v>167</v>
      </c>
      <c r="G206" t="str">
        <f>HYPERLINK("http://www.ncbi.nlm.nih.gov/Taxonomy/Browser/wwwtax.cgi?mode=Info&amp;id=269412&amp;lvl=3&amp;lin=f&amp;keep=1&amp;srchmode=1&amp;unlock","Xiphorhynchus elegans")</f>
        <v>Xiphorhynchus elegans</v>
      </c>
      <c r="H206" t="s">
        <v>404</v>
      </c>
      <c r="I206" t="str">
        <f>HYPERLINK("http://www.ncbi.nlm.nih.gov/protein/NXU90185.1","ANDR protein")</f>
        <v>ANDR protein</v>
      </c>
      <c r="J206" t="s">
        <v>1261</v>
      </c>
      <c r="K206">
        <v>493.43</v>
      </c>
      <c r="L206" t="s">
        <v>25</v>
      </c>
      <c r="M206">
        <v>157</v>
      </c>
      <c r="N206">
        <v>62.55</v>
      </c>
      <c r="O206">
        <v>95.95</v>
      </c>
      <c r="P206" t="s">
        <v>20</v>
      </c>
      <c r="Q206" t="s">
        <v>1262</v>
      </c>
      <c r="R206" t="s">
        <v>20</v>
      </c>
      <c r="S206" t="str">
        <f>HYPERLINK("https://cfpub.epa.gov/ecotox/explore.cfm?ncbi=269412","Explore in ECOTOX")</f>
        <v>Explore in ECOTOX</v>
      </c>
    </row>
    <row r="207" spans="1:19" x14ac:dyDescent="0.25">
      <c r="A207">
        <v>6</v>
      </c>
      <c r="B207" t="str">
        <f>HYPERLINK("http://www.ncbi.nlm.nih.gov/protein/NXT34331.1","NXT34331.1")</f>
        <v>NXT34331.1</v>
      </c>
      <c r="C207">
        <v>14805</v>
      </c>
      <c r="D207" t="str">
        <f>HYPERLINK("http://www.ncbi.nlm.nih.gov/Taxonomy/Browser/wwwtax.cgi?mode=Info&amp;id=37079&amp;lvl=3&amp;lin=f&amp;keep=1&amp;srchmode=1&amp;unlock","37079")</f>
        <v>37079</v>
      </c>
      <c r="E207" t="s">
        <v>167</v>
      </c>
      <c r="F207" t="s">
        <v>167</v>
      </c>
      <c r="G207" t="str">
        <f>HYPERLINK("http://www.ncbi.nlm.nih.gov/Taxonomy/Browser/wwwtax.cgi?mode=Info&amp;id=37079&amp;lvl=3&amp;lin=f&amp;keep=1&amp;srchmode=1&amp;unlock","Pelecanoides urinatrix")</f>
        <v>Pelecanoides urinatrix</v>
      </c>
      <c r="H207" t="s">
        <v>179</v>
      </c>
      <c r="I207" t="str">
        <f>HYPERLINK("http://www.ncbi.nlm.nih.gov/protein/NXT34331.1","ANDR protein")</f>
        <v>ANDR protein</v>
      </c>
      <c r="J207" t="s">
        <v>1261</v>
      </c>
      <c r="K207">
        <v>493.43</v>
      </c>
      <c r="L207" t="s">
        <v>25</v>
      </c>
      <c r="M207">
        <v>157</v>
      </c>
      <c r="N207">
        <v>62.55</v>
      </c>
      <c r="O207">
        <v>95.95</v>
      </c>
      <c r="P207" t="s">
        <v>20</v>
      </c>
      <c r="Q207" t="s">
        <v>1262</v>
      </c>
      <c r="R207" t="s">
        <v>20</v>
      </c>
      <c r="S207" t="str">
        <f>HYPERLINK("https://cfpub.epa.gov/ecotox/explore.cfm?ncbi=37079","Explore in ECOTOX")</f>
        <v>Explore in ECOTOX</v>
      </c>
    </row>
    <row r="208" spans="1:19" x14ac:dyDescent="0.25">
      <c r="A208">
        <v>6</v>
      </c>
      <c r="B208" t="str">
        <f>HYPERLINK("http://www.ncbi.nlm.nih.gov/protein/NXC25413.1","NXC25413.1")</f>
        <v>NXC25413.1</v>
      </c>
      <c r="C208">
        <v>14152</v>
      </c>
      <c r="D208" t="str">
        <f>HYPERLINK("http://www.ncbi.nlm.nih.gov/Taxonomy/Browser/wwwtax.cgi?mode=Info&amp;id=190295&amp;lvl=3&amp;lin=f&amp;keep=1&amp;srchmode=1&amp;unlock","190295")</f>
        <v>190295</v>
      </c>
      <c r="E208" t="s">
        <v>167</v>
      </c>
      <c r="F208" t="s">
        <v>167</v>
      </c>
      <c r="G208" t="str">
        <f>HYPERLINK("http://www.ncbi.nlm.nih.gov/Taxonomy/Browser/wwwtax.cgi?mode=Info&amp;id=190295&amp;lvl=3&amp;lin=f&amp;keep=1&amp;srchmode=1&amp;unlock","Campylorhamphus procurvoides")</f>
        <v>Campylorhamphus procurvoides</v>
      </c>
      <c r="H208" t="s">
        <v>206</v>
      </c>
      <c r="I208" t="str">
        <f>HYPERLINK("http://www.ncbi.nlm.nih.gov/protein/NXC25413.1","ANDR protein")</f>
        <v>ANDR protein</v>
      </c>
      <c r="J208" t="s">
        <v>1261</v>
      </c>
      <c r="K208">
        <v>493.43</v>
      </c>
      <c r="L208" t="s">
        <v>25</v>
      </c>
      <c r="M208">
        <v>157</v>
      </c>
      <c r="N208">
        <v>62.55</v>
      </c>
      <c r="O208">
        <v>95.95</v>
      </c>
      <c r="P208" t="s">
        <v>20</v>
      </c>
      <c r="Q208" t="s">
        <v>1262</v>
      </c>
      <c r="R208" t="s">
        <v>20</v>
      </c>
      <c r="S208" t="str">
        <f>HYPERLINK("https://cfpub.epa.gov/ecotox/explore.cfm?ncbi=190295","Explore in ECOTOX")</f>
        <v>Explore in ECOTOX</v>
      </c>
    </row>
    <row r="209" spans="1:19" x14ac:dyDescent="0.25">
      <c r="A209">
        <v>6</v>
      </c>
      <c r="B209" t="str">
        <f>HYPERLINK("http://www.ncbi.nlm.nih.gov/protein/NXF57059.1","NXF57059.1")</f>
        <v>NXF57059.1</v>
      </c>
      <c r="C209">
        <v>13848</v>
      </c>
      <c r="D209" t="str">
        <f>HYPERLINK("http://www.ncbi.nlm.nih.gov/Taxonomy/Browser/wwwtax.cgi?mode=Info&amp;id=1118524&amp;lvl=3&amp;lin=f&amp;keep=1&amp;srchmode=1&amp;unlock","1118524")</f>
        <v>1118524</v>
      </c>
      <c r="E209" t="s">
        <v>167</v>
      </c>
      <c r="F209" t="s">
        <v>167</v>
      </c>
      <c r="G209" t="str">
        <f>HYPERLINK("http://www.ncbi.nlm.nih.gov/Taxonomy/Browser/wwwtax.cgi?mode=Info&amp;id=1118524&amp;lvl=3&amp;lin=f&amp;keep=1&amp;srchmode=1&amp;unlock","Ciccaba nigrolineata")</f>
        <v>Ciccaba nigrolineata</v>
      </c>
      <c r="H209" t="s">
        <v>240</v>
      </c>
      <c r="I209" t="str">
        <f>HYPERLINK("http://www.ncbi.nlm.nih.gov/protein/NXF57059.1","ANDR protein")</f>
        <v>ANDR protein</v>
      </c>
      <c r="J209" t="s">
        <v>1261</v>
      </c>
      <c r="K209">
        <v>493.43</v>
      </c>
      <c r="L209" t="s">
        <v>25</v>
      </c>
      <c r="M209">
        <v>157</v>
      </c>
      <c r="N209">
        <v>62.55</v>
      </c>
      <c r="O209">
        <v>95.95</v>
      </c>
      <c r="P209" t="s">
        <v>20</v>
      </c>
      <c r="Q209" t="s">
        <v>1262</v>
      </c>
      <c r="R209" t="s">
        <v>20</v>
      </c>
      <c r="S209" t="str">
        <f>HYPERLINK("https://cfpub.epa.gov/ecotox/explore.cfm?ncbi=1118524","Explore in ECOTOX")</f>
        <v>Explore in ECOTOX</v>
      </c>
    </row>
    <row r="210" spans="1:19" x14ac:dyDescent="0.25">
      <c r="A210">
        <v>6</v>
      </c>
      <c r="B210" t="str">
        <f>HYPERLINK("http://www.ncbi.nlm.nih.gov/protein/NXU22430.1","NXU22430.1")</f>
        <v>NXU22430.1</v>
      </c>
      <c r="C210">
        <v>11831</v>
      </c>
      <c r="D210" t="str">
        <f>HYPERLINK("http://www.ncbi.nlm.nih.gov/Taxonomy/Browser/wwwtax.cgi?mode=Info&amp;id=54017&amp;lvl=3&amp;lin=f&amp;keep=1&amp;srchmode=1&amp;unlock","54017")</f>
        <v>54017</v>
      </c>
      <c r="E210" t="s">
        <v>167</v>
      </c>
      <c r="F210" t="s">
        <v>167</v>
      </c>
      <c r="G210" t="str">
        <f>HYPERLINK("http://www.ncbi.nlm.nih.gov/Taxonomy/Browser/wwwtax.cgi?mode=Info&amp;id=54017&amp;lvl=3&amp;lin=f&amp;keep=1&amp;srchmode=1&amp;unlock","Thalassarche chlororhynchos")</f>
        <v>Thalassarche chlororhynchos</v>
      </c>
      <c r="H210" t="s">
        <v>287</v>
      </c>
      <c r="I210" t="str">
        <f>HYPERLINK("http://www.ncbi.nlm.nih.gov/protein/NXU22430.1","ANDR protein")</f>
        <v>ANDR protein</v>
      </c>
      <c r="J210" t="s">
        <v>1261</v>
      </c>
      <c r="K210">
        <v>493.43</v>
      </c>
      <c r="L210" t="s">
        <v>25</v>
      </c>
      <c r="M210">
        <v>157</v>
      </c>
      <c r="N210">
        <v>62.55</v>
      </c>
      <c r="O210">
        <v>95.95</v>
      </c>
      <c r="P210" t="s">
        <v>20</v>
      </c>
      <c r="Q210" t="s">
        <v>1262</v>
      </c>
      <c r="R210" t="s">
        <v>20</v>
      </c>
      <c r="S210" t="str">
        <f>HYPERLINK("https://cfpub.epa.gov/ecotox/explore.cfm?ncbi=54017","Explore in ECOTOX")</f>
        <v>Explore in ECOTOX</v>
      </c>
    </row>
    <row r="211" spans="1:19" x14ac:dyDescent="0.25">
      <c r="A211">
        <v>6</v>
      </c>
      <c r="B211" t="str">
        <f>HYPERLINK("http://www.ncbi.nlm.nih.gov/protein/NXH77487.1","NXH77487.1")</f>
        <v>NXH77487.1</v>
      </c>
      <c r="C211">
        <v>14052</v>
      </c>
      <c r="D211" t="str">
        <f>HYPERLINK("http://www.ncbi.nlm.nih.gov/Taxonomy/Browser/wwwtax.cgi?mode=Info&amp;id=79633&amp;lvl=3&amp;lin=f&amp;keep=1&amp;srchmode=1&amp;unlock","79633")</f>
        <v>79633</v>
      </c>
      <c r="E211" t="s">
        <v>167</v>
      </c>
      <c r="F211" t="s">
        <v>167</v>
      </c>
      <c r="G211" t="str">
        <f>HYPERLINK("http://www.ncbi.nlm.nih.gov/Taxonomy/Browser/wwwtax.cgi?mode=Info&amp;id=79633&amp;lvl=3&amp;lin=f&amp;keep=1&amp;srchmode=1&amp;unlock","Oceanodroma tethys")</f>
        <v>Oceanodroma tethys</v>
      </c>
      <c r="H211" t="s">
        <v>173</v>
      </c>
      <c r="I211" t="str">
        <f>HYPERLINK("http://www.ncbi.nlm.nih.gov/protein/NXH77487.1","ANDR protein")</f>
        <v>ANDR protein</v>
      </c>
      <c r="J211" t="s">
        <v>1261</v>
      </c>
      <c r="K211">
        <v>493.43</v>
      </c>
      <c r="L211" t="s">
        <v>25</v>
      </c>
      <c r="M211">
        <v>157</v>
      </c>
      <c r="N211">
        <v>62.55</v>
      </c>
      <c r="O211">
        <v>95.95</v>
      </c>
      <c r="P211" t="s">
        <v>20</v>
      </c>
      <c r="Q211" t="s">
        <v>1262</v>
      </c>
      <c r="R211" t="s">
        <v>20</v>
      </c>
      <c r="S211" t="str">
        <f>HYPERLINK("https://cfpub.epa.gov/ecotox/explore.cfm?ncbi=79633","Explore in ECOTOX")</f>
        <v>Explore in ECOTOX</v>
      </c>
    </row>
    <row r="212" spans="1:19" x14ac:dyDescent="0.25">
      <c r="A212">
        <v>6</v>
      </c>
      <c r="B212" t="str">
        <f>HYPERLINK("http://www.ncbi.nlm.nih.gov/protein/NXE39462.1","NXE39462.1")</f>
        <v>NXE39462.1</v>
      </c>
      <c r="C212">
        <v>13533</v>
      </c>
      <c r="D212" t="str">
        <f>HYPERLINK("http://www.ncbi.nlm.nih.gov/Taxonomy/Browser/wwwtax.cgi?mode=Info&amp;id=449384&amp;lvl=3&amp;lin=f&amp;keep=1&amp;srchmode=1&amp;unlock","449384")</f>
        <v>449384</v>
      </c>
      <c r="E212" t="s">
        <v>167</v>
      </c>
      <c r="F212" t="s">
        <v>167</v>
      </c>
      <c r="G212" t="str">
        <f>HYPERLINK("http://www.ncbi.nlm.nih.gov/Taxonomy/Browser/wwwtax.cgi?mode=Info&amp;id=449384&amp;lvl=3&amp;lin=f&amp;keep=1&amp;srchmode=1&amp;unlock","Ptilorrhoa leucosticta")</f>
        <v>Ptilorrhoa leucosticta</v>
      </c>
      <c r="H212" t="s">
        <v>206</v>
      </c>
      <c r="I212" t="str">
        <f>HYPERLINK("http://www.ncbi.nlm.nih.gov/protein/NXE39462.1","ANDR protein")</f>
        <v>ANDR protein</v>
      </c>
      <c r="J212" t="s">
        <v>1261</v>
      </c>
      <c r="K212">
        <v>493.04</v>
      </c>
      <c r="L212" t="s">
        <v>25</v>
      </c>
      <c r="M212">
        <v>157</v>
      </c>
      <c r="N212">
        <v>62.55</v>
      </c>
      <c r="O212">
        <v>95.88</v>
      </c>
      <c r="P212" t="s">
        <v>20</v>
      </c>
      <c r="Q212" t="s">
        <v>1262</v>
      </c>
      <c r="R212" t="s">
        <v>20</v>
      </c>
      <c r="S212" t="str">
        <f>HYPERLINK("https://cfpub.epa.gov/ecotox/explore.cfm?ncbi=449384","Explore in ECOTOX")</f>
        <v>Explore in ECOTOX</v>
      </c>
    </row>
    <row r="213" spans="1:19" x14ac:dyDescent="0.25">
      <c r="A213">
        <v>6</v>
      </c>
      <c r="B213" t="str">
        <f>HYPERLINK("http://www.ncbi.nlm.nih.gov/protein/NWV83023.1","NWV83023.1")</f>
        <v>NWV83023.1</v>
      </c>
      <c r="C213">
        <v>14411</v>
      </c>
      <c r="D213" t="str">
        <f>HYPERLINK("http://www.ncbi.nlm.nih.gov/Taxonomy/Browser/wwwtax.cgi?mode=Info&amp;id=243059&amp;lvl=3&amp;lin=f&amp;keep=1&amp;srchmode=1&amp;unlock","243059")</f>
        <v>243059</v>
      </c>
      <c r="E213" t="s">
        <v>167</v>
      </c>
      <c r="F213" t="s">
        <v>167</v>
      </c>
      <c r="G213" t="str">
        <f>HYPERLINK("http://www.ncbi.nlm.nih.gov/Taxonomy/Browser/wwwtax.cgi?mode=Info&amp;id=243059&amp;lvl=3&amp;lin=f&amp;keep=1&amp;srchmode=1&amp;unlock","Dasyornis broadbenti")</f>
        <v>Dasyornis broadbenti</v>
      </c>
      <c r="H213" t="s">
        <v>505</v>
      </c>
      <c r="I213" t="str">
        <f>HYPERLINK("http://www.ncbi.nlm.nih.gov/protein/NWV83023.1","ANDR protein")</f>
        <v>ANDR protein</v>
      </c>
      <c r="J213" t="s">
        <v>1261</v>
      </c>
      <c r="K213">
        <v>493.04</v>
      </c>
      <c r="L213" t="s">
        <v>25</v>
      </c>
      <c r="M213">
        <v>157</v>
      </c>
      <c r="N213">
        <v>62.55</v>
      </c>
      <c r="O213">
        <v>95.88</v>
      </c>
      <c r="P213" t="s">
        <v>20</v>
      </c>
      <c r="Q213" t="s">
        <v>1262</v>
      </c>
      <c r="R213" t="s">
        <v>20</v>
      </c>
      <c r="S213" t="str">
        <f>HYPERLINK("https://cfpub.epa.gov/ecotox/explore.cfm?ncbi=243059","Explore in ECOTOX")</f>
        <v>Explore in ECOTOX</v>
      </c>
    </row>
    <row r="214" spans="1:19" x14ac:dyDescent="0.25">
      <c r="A214">
        <v>6</v>
      </c>
      <c r="B214" t="str">
        <f>HYPERLINK("http://www.ncbi.nlm.nih.gov/protein/NP_001070156.1","NP_001070156.1")</f>
        <v>NP_001070156.1</v>
      </c>
      <c r="C214">
        <v>45119</v>
      </c>
      <c r="D214" t="str">
        <f>HYPERLINK("http://www.ncbi.nlm.nih.gov/Taxonomy/Browser/wwwtax.cgi?mode=Info&amp;id=59729&amp;lvl=3&amp;lin=f&amp;keep=1&amp;srchmode=1&amp;unlock","59729")</f>
        <v>59729</v>
      </c>
      <c r="E214" t="s">
        <v>167</v>
      </c>
      <c r="F214" t="s">
        <v>167</v>
      </c>
      <c r="G214" t="str">
        <f>HYPERLINK("http://www.ncbi.nlm.nih.gov/Taxonomy/Browser/wwwtax.cgi?mode=Info&amp;id=59729&amp;lvl=3&amp;lin=f&amp;keep=1&amp;srchmode=1&amp;unlock","Taeniopygia guttata")</f>
        <v>Taeniopygia guttata</v>
      </c>
      <c r="H214" t="s">
        <v>446</v>
      </c>
      <c r="I214" t="str">
        <f>HYPERLINK("http://www.ncbi.nlm.nih.gov/protein/NP_001070156.1","androgen receptor")</f>
        <v>androgen receptor</v>
      </c>
      <c r="J214" t="s">
        <v>1261</v>
      </c>
      <c r="K214">
        <v>493.04</v>
      </c>
      <c r="L214" t="s">
        <v>25</v>
      </c>
      <c r="M214">
        <v>157</v>
      </c>
      <c r="N214">
        <v>62.55</v>
      </c>
      <c r="O214">
        <v>95.88</v>
      </c>
      <c r="P214" t="s">
        <v>20</v>
      </c>
      <c r="Q214" t="s">
        <v>1262</v>
      </c>
      <c r="R214" t="s">
        <v>20</v>
      </c>
      <c r="S214" t="str">
        <f>HYPERLINK("https://cfpub.epa.gov/ecotox/explore.cfm?ncbi=59729","Explore in ECOTOX")</f>
        <v>Explore in ECOTOX</v>
      </c>
    </row>
    <row r="215" spans="1:19" x14ac:dyDescent="0.25">
      <c r="A215">
        <v>6</v>
      </c>
      <c r="B215" t="str">
        <f>HYPERLINK("http://www.ncbi.nlm.nih.gov/protein/NXC80958.1","NXC80958.1")</f>
        <v>NXC80958.1</v>
      </c>
      <c r="C215">
        <v>13604</v>
      </c>
      <c r="D215" t="str">
        <f>HYPERLINK("http://www.ncbi.nlm.nih.gov/Taxonomy/Browser/wwwtax.cgi?mode=Info&amp;id=614051&amp;lvl=3&amp;lin=f&amp;keep=1&amp;srchmode=1&amp;unlock","614051")</f>
        <v>614051</v>
      </c>
      <c r="E215" t="s">
        <v>167</v>
      </c>
      <c r="F215" t="s">
        <v>167</v>
      </c>
      <c r="G215" t="str">
        <f>HYPERLINK("http://www.ncbi.nlm.nih.gov/Taxonomy/Browser/wwwtax.cgi?mode=Info&amp;id=614051&amp;lvl=3&amp;lin=f&amp;keep=1&amp;srchmode=1&amp;unlock","Cercotrichas coryphoeus")</f>
        <v>Cercotrichas coryphoeus</v>
      </c>
      <c r="H215" t="s">
        <v>373</v>
      </c>
      <c r="I215" t="str">
        <f>HYPERLINK("http://www.ncbi.nlm.nih.gov/protein/NXC80958.1","ANDR protein")</f>
        <v>ANDR protein</v>
      </c>
      <c r="J215" t="s">
        <v>1261</v>
      </c>
      <c r="K215">
        <v>493.04</v>
      </c>
      <c r="L215" t="s">
        <v>25</v>
      </c>
      <c r="M215">
        <v>157</v>
      </c>
      <c r="N215">
        <v>62.55</v>
      </c>
      <c r="O215">
        <v>95.88</v>
      </c>
      <c r="P215" t="s">
        <v>20</v>
      </c>
      <c r="Q215" t="s">
        <v>1262</v>
      </c>
      <c r="R215" t="s">
        <v>20</v>
      </c>
      <c r="S215" t="str">
        <f>HYPERLINK("https://cfpub.epa.gov/ecotox/explore.cfm?ncbi=614051","Explore in ECOTOX")</f>
        <v>Explore in ECOTOX</v>
      </c>
    </row>
    <row r="216" spans="1:19" x14ac:dyDescent="0.25">
      <c r="A216">
        <v>6</v>
      </c>
      <c r="B216" t="str">
        <f>HYPERLINK("http://www.ncbi.nlm.nih.gov/protein/XP_021404098.1","XP_021404098.1")</f>
        <v>XP_021404098.1</v>
      </c>
      <c r="C216">
        <v>43851</v>
      </c>
      <c r="D216" t="str">
        <f>HYPERLINK("http://www.ncbi.nlm.nih.gov/Taxonomy/Browser/wwwtax.cgi?mode=Info&amp;id=299123&amp;lvl=3&amp;lin=f&amp;keep=1&amp;srchmode=1&amp;unlock","299123")</f>
        <v>299123</v>
      </c>
      <c r="E216" t="s">
        <v>167</v>
      </c>
      <c r="F216" t="s">
        <v>167</v>
      </c>
      <c r="G216" t="str">
        <f>HYPERLINK("http://www.ncbi.nlm.nih.gov/Taxonomy/Browser/wwwtax.cgi?mode=Info&amp;id=299123&amp;lvl=3&amp;lin=f&amp;keep=1&amp;srchmode=1&amp;unlock","Lonchura striata domestica")</f>
        <v>Lonchura striata domestica</v>
      </c>
      <c r="H216" t="s">
        <v>447</v>
      </c>
      <c r="I216" t="str">
        <f>HYPERLINK("http://www.ncbi.nlm.nih.gov/protein/XP_021404098.1","androgen receptor")</f>
        <v>androgen receptor</v>
      </c>
      <c r="J216" t="s">
        <v>1261</v>
      </c>
      <c r="K216">
        <v>493.04</v>
      </c>
      <c r="L216" t="s">
        <v>25</v>
      </c>
      <c r="M216">
        <v>157</v>
      </c>
      <c r="N216">
        <v>62.55</v>
      </c>
      <c r="O216">
        <v>95.88</v>
      </c>
      <c r="P216" t="s">
        <v>20</v>
      </c>
      <c r="Q216" t="s">
        <v>1262</v>
      </c>
      <c r="R216" t="s">
        <v>20</v>
      </c>
      <c r="S216" t="str">
        <f>HYPERLINK("https://cfpub.epa.gov/ecotox/explore.cfm?ncbi=299123","Explore in ECOTOX")</f>
        <v>Explore in ECOTOX</v>
      </c>
    </row>
    <row r="217" spans="1:19" x14ac:dyDescent="0.25">
      <c r="A217">
        <v>6</v>
      </c>
      <c r="B217" t="str">
        <f>HYPERLINK("http://www.ncbi.nlm.nih.gov/protein/NXM82885.1","NXM82885.1")</f>
        <v>NXM82885.1</v>
      </c>
      <c r="C217">
        <v>13842</v>
      </c>
      <c r="D217" t="str">
        <f>HYPERLINK("http://www.ncbi.nlm.nih.gov/Taxonomy/Browser/wwwtax.cgi?mode=Info&amp;id=279966&amp;lvl=3&amp;lin=f&amp;keep=1&amp;srchmode=1&amp;unlock","279966")</f>
        <v>279966</v>
      </c>
      <c r="E217" t="s">
        <v>167</v>
      </c>
      <c r="F217" t="s">
        <v>167</v>
      </c>
      <c r="G217" t="str">
        <f>HYPERLINK("http://www.ncbi.nlm.nih.gov/Taxonomy/Browser/wwwtax.cgi?mode=Info&amp;id=279966&amp;lvl=3&amp;lin=f&amp;keep=1&amp;srchmode=1&amp;unlock","Oenanthe oenanthe")</f>
        <v>Oenanthe oenanthe</v>
      </c>
      <c r="H217" t="s">
        <v>413</v>
      </c>
      <c r="I217" t="str">
        <f>HYPERLINK("http://www.ncbi.nlm.nih.gov/protein/NXM82885.1","ANDR protein")</f>
        <v>ANDR protein</v>
      </c>
      <c r="J217" t="s">
        <v>1261</v>
      </c>
      <c r="K217">
        <v>493.04</v>
      </c>
      <c r="L217" t="s">
        <v>25</v>
      </c>
      <c r="M217">
        <v>157</v>
      </c>
      <c r="N217">
        <v>62.55</v>
      </c>
      <c r="O217">
        <v>95.88</v>
      </c>
      <c r="P217" t="s">
        <v>20</v>
      </c>
      <c r="Q217" t="s">
        <v>1262</v>
      </c>
      <c r="R217" t="s">
        <v>20</v>
      </c>
      <c r="S217" t="str">
        <f>HYPERLINK("https://cfpub.epa.gov/ecotox/explore.cfm?ncbi=279966","Explore in ECOTOX")</f>
        <v>Explore in ECOTOX</v>
      </c>
    </row>
    <row r="218" spans="1:19" x14ac:dyDescent="0.25">
      <c r="A218">
        <v>6</v>
      </c>
      <c r="B218" t="str">
        <f>HYPERLINK("http://www.ncbi.nlm.nih.gov/protein/NXO76010.1","NXO76010.1")</f>
        <v>NXO76010.1</v>
      </c>
      <c r="C218">
        <v>13766</v>
      </c>
      <c r="D218" t="str">
        <f>HYPERLINK("http://www.ncbi.nlm.nih.gov/Taxonomy/Browser/wwwtax.cgi?mode=Info&amp;id=50251&amp;lvl=3&amp;lin=f&amp;keep=1&amp;srchmode=1&amp;unlock","50251")</f>
        <v>50251</v>
      </c>
      <c r="E218" t="s">
        <v>167</v>
      </c>
      <c r="F218" t="s">
        <v>167</v>
      </c>
      <c r="G218" t="str">
        <f>HYPERLINK("http://www.ncbi.nlm.nih.gov/Taxonomy/Browser/wwwtax.cgi?mode=Info&amp;id=50251&amp;lvl=3&amp;lin=f&amp;keep=1&amp;srchmode=1&amp;unlock","Sitta europaea")</f>
        <v>Sitta europaea</v>
      </c>
      <c r="H218" t="s">
        <v>379</v>
      </c>
      <c r="I218" t="str">
        <f>HYPERLINK("http://www.ncbi.nlm.nih.gov/protein/NXO76010.1","ANDR protein")</f>
        <v>ANDR protein</v>
      </c>
      <c r="J218" t="s">
        <v>1261</v>
      </c>
      <c r="K218">
        <v>493.04</v>
      </c>
      <c r="L218" t="s">
        <v>25</v>
      </c>
      <c r="M218">
        <v>157</v>
      </c>
      <c r="N218">
        <v>62.55</v>
      </c>
      <c r="O218">
        <v>95.88</v>
      </c>
      <c r="P218" t="s">
        <v>20</v>
      </c>
      <c r="Q218" t="s">
        <v>1262</v>
      </c>
      <c r="R218" t="s">
        <v>20</v>
      </c>
      <c r="S218" t="str">
        <f>HYPERLINK("https://cfpub.epa.gov/ecotox/explore.cfm?ncbi=50251","Explore in ECOTOX")</f>
        <v>Explore in ECOTOX</v>
      </c>
    </row>
    <row r="219" spans="1:19" x14ac:dyDescent="0.25">
      <c r="A219">
        <v>6</v>
      </c>
      <c r="B219" t="str">
        <f>HYPERLINK("http://www.ncbi.nlm.nih.gov/protein/NXA79335.1","NXA79335.1")</f>
        <v>NXA79335.1</v>
      </c>
      <c r="C219">
        <v>13718</v>
      </c>
      <c r="D219" t="str">
        <f>HYPERLINK("http://www.ncbi.nlm.nih.gov/Taxonomy/Browser/wwwtax.cgi?mode=Info&amp;id=74200&amp;lvl=3&amp;lin=f&amp;keep=1&amp;srchmode=1&amp;unlock","74200")</f>
        <v>74200</v>
      </c>
      <c r="E219" t="s">
        <v>167</v>
      </c>
      <c r="F219" t="s">
        <v>167</v>
      </c>
      <c r="G219" t="str">
        <f>HYPERLINK("http://www.ncbi.nlm.nih.gov/Taxonomy/Browser/wwwtax.cgi?mode=Info&amp;id=74200&amp;lvl=3&amp;lin=f&amp;keep=1&amp;srchmode=1&amp;unlock","Thryothorus ludovicianus")</f>
        <v>Thryothorus ludovicianus</v>
      </c>
      <c r="H219" t="s">
        <v>487</v>
      </c>
      <c r="I219" t="str">
        <f>HYPERLINK("http://www.ncbi.nlm.nih.gov/protein/NXA79335.1","ANDR protein")</f>
        <v>ANDR protein</v>
      </c>
      <c r="J219" t="s">
        <v>1261</v>
      </c>
      <c r="K219">
        <v>493.04</v>
      </c>
      <c r="L219" t="s">
        <v>25</v>
      </c>
      <c r="M219">
        <v>157</v>
      </c>
      <c r="N219">
        <v>62.55</v>
      </c>
      <c r="O219">
        <v>95.88</v>
      </c>
      <c r="P219" t="s">
        <v>20</v>
      </c>
      <c r="Q219" t="s">
        <v>1262</v>
      </c>
      <c r="R219" t="s">
        <v>20</v>
      </c>
      <c r="S219" t="str">
        <f>HYPERLINK("https://cfpub.epa.gov/ecotox/explore.cfm?ncbi=74200","Explore in ECOTOX")</f>
        <v>Explore in ECOTOX</v>
      </c>
    </row>
    <row r="220" spans="1:19" x14ac:dyDescent="0.25">
      <c r="A220">
        <v>6</v>
      </c>
      <c r="B220" t="str">
        <f>HYPERLINK("http://www.ncbi.nlm.nih.gov/protein/XP_014743316.1","XP_014743316.1")</f>
        <v>XP_014743316.1</v>
      </c>
      <c r="C220">
        <v>26793</v>
      </c>
      <c r="D220" t="str">
        <f>HYPERLINK("http://www.ncbi.nlm.nih.gov/Taxonomy/Browser/wwwtax.cgi?mode=Info&amp;id=9172&amp;lvl=3&amp;lin=f&amp;keep=1&amp;srchmode=1&amp;unlock","9172")</f>
        <v>9172</v>
      </c>
      <c r="E220" t="s">
        <v>167</v>
      </c>
      <c r="F220" t="s">
        <v>167</v>
      </c>
      <c r="G220" t="str">
        <f>HYPERLINK("http://www.ncbi.nlm.nih.gov/Taxonomy/Browser/wwwtax.cgi?mode=Info&amp;id=9172&amp;lvl=3&amp;lin=f&amp;keep=1&amp;srchmode=1&amp;unlock","Sturnus vulgaris")</f>
        <v>Sturnus vulgaris</v>
      </c>
      <c r="H220" t="s">
        <v>341</v>
      </c>
      <c r="I220" t="str">
        <f>HYPERLINK("http://www.ncbi.nlm.nih.gov/protein/XP_014743316.1","PREDICTED: androgen receptor")</f>
        <v>PREDICTED: androgen receptor</v>
      </c>
      <c r="J220" t="s">
        <v>1261</v>
      </c>
      <c r="K220">
        <v>493.04</v>
      </c>
      <c r="L220" t="s">
        <v>25</v>
      </c>
      <c r="M220">
        <v>157</v>
      </c>
      <c r="N220">
        <v>62.55</v>
      </c>
      <c r="O220">
        <v>95.88</v>
      </c>
      <c r="P220" t="s">
        <v>20</v>
      </c>
      <c r="Q220" t="s">
        <v>1262</v>
      </c>
      <c r="R220" t="s">
        <v>20</v>
      </c>
      <c r="S220" t="str">
        <f>HYPERLINK("https://cfpub.epa.gov/ecotox/explore.cfm?ncbi=9172","Explore in ECOTOX")</f>
        <v>Explore in ECOTOX</v>
      </c>
    </row>
    <row r="221" spans="1:19" x14ac:dyDescent="0.25">
      <c r="A221">
        <v>6</v>
      </c>
      <c r="B221" t="str">
        <f>HYPERLINK("http://www.ncbi.nlm.nih.gov/protein/NXI18472.1","NXI18472.1")</f>
        <v>NXI18472.1</v>
      </c>
      <c r="C221">
        <v>14281</v>
      </c>
      <c r="D221" t="str">
        <f>HYPERLINK("http://www.ncbi.nlm.nih.gov/Taxonomy/Browser/wwwtax.cgi?mode=Info&amp;id=175120&amp;lvl=3&amp;lin=f&amp;keep=1&amp;srchmode=1&amp;unlock","175120")</f>
        <v>175120</v>
      </c>
      <c r="E221" t="s">
        <v>167</v>
      </c>
      <c r="F221" t="s">
        <v>167</v>
      </c>
      <c r="G221" t="str">
        <f>HYPERLINK("http://www.ncbi.nlm.nih.gov/Taxonomy/Browser/wwwtax.cgi?mode=Info&amp;id=175120&amp;lvl=3&amp;lin=f&amp;keep=1&amp;srchmode=1&amp;unlock","Irena cyanogastra")</f>
        <v>Irena cyanogastra</v>
      </c>
      <c r="H221" t="s">
        <v>451</v>
      </c>
      <c r="I221" t="str">
        <f>HYPERLINK("http://www.ncbi.nlm.nih.gov/protein/NXI18472.1","ANDR protein")</f>
        <v>ANDR protein</v>
      </c>
      <c r="J221" t="s">
        <v>1261</v>
      </c>
      <c r="K221">
        <v>493.04</v>
      </c>
      <c r="L221" t="s">
        <v>25</v>
      </c>
      <c r="M221">
        <v>157</v>
      </c>
      <c r="N221">
        <v>62.55</v>
      </c>
      <c r="O221">
        <v>95.88</v>
      </c>
      <c r="P221" t="s">
        <v>20</v>
      </c>
      <c r="Q221" t="s">
        <v>1262</v>
      </c>
      <c r="R221" t="s">
        <v>20</v>
      </c>
      <c r="S221" t="str">
        <f>HYPERLINK("https://cfpub.epa.gov/ecotox/explore.cfm?ncbi=175120","Explore in ECOTOX")</f>
        <v>Explore in ECOTOX</v>
      </c>
    </row>
    <row r="222" spans="1:19" x14ac:dyDescent="0.25">
      <c r="A222">
        <v>6</v>
      </c>
      <c r="B222" t="str">
        <f>HYPERLINK("http://www.ncbi.nlm.nih.gov/protein/RMC08184.1","RMC08184.1")</f>
        <v>RMC08184.1</v>
      </c>
      <c r="C222">
        <v>34993</v>
      </c>
      <c r="D222" t="str">
        <f>HYPERLINK("http://www.ncbi.nlm.nih.gov/Taxonomy/Browser/wwwtax.cgi?mode=Info&amp;id=333673&amp;lvl=3&amp;lin=f&amp;keep=1&amp;srchmode=1&amp;unlock","333673")</f>
        <v>333673</v>
      </c>
      <c r="E222" t="s">
        <v>167</v>
      </c>
      <c r="F222" t="s">
        <v>167</v>
      </c>
      <c r="G222" t="str">
        <f>HYPERLINK("http://www.ncbi.nlm.nih.gov/Taxonomy/Browser/wwwtax.cgi?mode=Info&amp;id=333673&amp;lvl=3&amp;lin=f&amp;keep=1&amp;srchmode=1&amp;unlock","Hirundo rustica rustica")</f>
        <v>Hirundo rustica rustica</v>
      </c>
      <c r="H222" t="s">
        <v>421</v>
      </c>
      <c r="I222" t="str">
        <f>HYPERLINK("http://www.ncbi.nlm.nih.gov/protein/RMC08184.1","hypothetical protein DUI87_15219")</f>
        <v>hypothetical protein DUI87_15219</v>
      </c>
      <c r="J222" t="s">
        <v>1261</v>
      </c>
      <c r="K222">
        <v>493.04</v>
      </c>
      <c r="L222" t="s">
        <v>25</v>
      </c>
      <c r="M222">
        <v>157</v>
      </c>
      <c r="N222">
        <v>62.55</v>
      </c>
      <c r="O222">
        <v>95.88</v>
      </c>
      <c r="P222" t="s">
        <v>20</v>
      </c>
      <c r="Q222" t="s">
        <v>1262</v>
      </c>
      <c r="R222" t="s">
        <v>20</v>
      </c>
      <c r="S222" t="str">
        <f>HYPERLINK("https://cfpub.epa.gov/ecotox/explore.cfm?ncbi=333673","Explore in ECOTOX")</f>
        <v>Explore in ECOTOX</v>
      </c>
    </row>
    <row r="223" spans="1:19" x14ac:dyDescent="0.25">
      <c r="A223">
        <v>6</v>
      </c>
      <c r="B223" t="str">
        <f>HYPERLINK("http://www.ncbi.nlm.nih.gov/protein/XP_039946290.1","XP_039946290.1")</f>
        <v>XP_039946290.1</v>
      </c>
      <c r="C223">
        <v>52023</v>
      </c>
      <c r="D223" t="str">
        <f>HYPERLINK("http://www.ncbi.nlm.nih.gov/Taxonomy/Browser/wwwtax.cgi?mode=Info&amp;id=43150&amp;lvl=3&amp;lin=f&amp;keep=1&amp;srchmode=1&amp;unlock","43150")</f>
        <v>43150</v>
      </c>
      <c r="E223" t="s">
        <v>167</v>
      </c>
      <c r="F223" t="s">
        <v>167</v>
      </c>
      <c r="G223" t="str">
        <f>HYPERLINK("http://www.ncbi.nlm.nih.gov/Taxonomy/Browser/wwwtax.cgi?mode=Info&amp;id=43150&amp;lvl=3&amp;lin=f&amp;keep=1&amp;srchmode=1&amp;unlock","Hirundo rustica")</f>
        <v>Hirundo rustica</v>
      </c>
      <c r="H223" t="s">
        <v>421</v>
      </c>
      <c r="I223" t="str">
        <f>HYPERLINK("http://www.ncbi.nlm.nih.gov/protein/XP_039946290.1","androgen receptor-like")</f>
        <v>androgen receptor-like</v>
      </c>
      <c r="J223" t="s">
        <v>1261</v>
      </c>
      <c r="K223">
        <v>493.04</v>
      </c>
      <c r="L223" t="s">
        <v>25</v>
      </c>
      <c r="M223">
        <v>157</v>
      </c>
      <c r="N223">
        <v>62.55</v>
      </c>
      <c r="O223">
        <v>95.88</v>
      </c>
      <c r="P223" t="s">
        <v>20</v>
      </c>
      <c r="Q223" t="s">
        <v>1262</v>
      </c>
      <c r="R223" t="s">
        <v>20</v>
      </c>
      <c r="S223" t="str">
        <f>HYPERLINK("https://cfpub.epa.gov/ecotox/explore.cfm?ncbi=43150","Explore in ECOTOX")</f>
        <v>Explore in ECOTOX</v>
      </c>
    </row>
    <row r="224" spans="1:19" x14ac:dyDescent="0.25">
      <c r="A224">
        <v>6</v>
      </c>
      <c r="B224" t="str">
        <f>HYPERLINK("http://www.ncbi.nlm.nih.gov/protein/NWI87165.1","NWI87165.1")</f>
        <v>NWI87165.1</v>
      </c>
      <c r="C224">
        <v>13920</v>
      </c>
      <c r="D224" t="str">
        <f>HYPERLINK("http://www.ncbi.nlm.nih.gov/Taxonomy/Browser/wwwtax.cgi?mode=Info&amp;id=9163&amp;lvl=3&amp;lin=f&amp;keep=1&amp;srchmode=1&amp;unlock","9163")</f>
        <v>9163</v>
      </c>
      <c r="E224" t="s">
        <v>167</v>
      </c>
      <c r="F224" t="s">
        <v>167</v>
      </c>
      <c r="G224" t="str">
        <f>HYPERLINK("http://www.ncbi.nlm.nih.gov/Taxonomy/Browser/wwwtax.cgi?mode=Info&amp;id=9163&amp;lvl=3&amp;lin=f&amp;keep=1&amp;srchmode=1&amp;unlock","Pitta sordida")</f>
        <v>Pitta sordida</v>
      </c>
      <c r="H224" t="s">
        <v>452</v>
      </c>
      <c r="I224" t="str">
        <f>HYPERLINK("http://www.ncbi.nlm.nih.gov/protein/NWI87165.1","ANDR protein")</f>
        <v>ANDR protein</v>
      </c>
      <c r="J224" t="s">
        <v>1261</v>
      </c>
      <c r="K224">
        <v>493.04</v>
      </c>
      <c r="L224" t="s">
        <v>25</v>
      </c>
      <c r="M224">
        <v>157</v>
      </c>
      <c r="N224">
        <v>62.55</v>
      </c>
      <c r="O224">
        <v>95.88</v>
      </c>
      <c r="P224" t="s">
        <v>20</v>
      </c>
      <c r="Q224" t="s">
        <v>1262</v>
      </c>
      <c r="R224" t="s">
        <v>20</v>
      </c>
      <c r="S224" t="str">
        <f>HYPERLINK("https://cfpub.epa.gov/ecotox/explore.cfm?ncbi=9163","Explore in ECOTOX")</f>
        <v>Explore in ECOTOX</v>
      </c>
    </row>
    <row r="225" spans="1:19" x14ac:dyDescent="0.25">
      <c r="A225">
        <v>6</v>
      </c>
      <c r="B225" t="str">
        <f>HYPERLINK("http://www.ncbi.nlm.nih.gov/protein/NXF44689.1","NXF44689.1")</f>
        <v>NXF44689.1</v>
      </c>
      <c r="C225">
        <v>14303</v>
      </c>
      <c r="D225" t="str">
        <f>HYPERLINK("http://www.ncbi.nlm.nih.gov/Taxonomy/Browser/wwwtax.cgi?mode=Info&amp;id=79653&amp;lvl=3&amp;lin=f&amp;keep=1&amp;srchmode=1&amp;unlock","79653")</f>
        <v>79653</v>
      </c>
      <c r="E225" t="s">
        <v>167</v>
      </c>
      <c r="F225" t="s">
        <v>167</v>
      </c>
      <c r="G225" t="str">
        <f>HYPERLINK("http://www.ncbi.nlm.nih.gov/Taxonomy/Browser/wwwtax.cgi?mode=Info&amp;id=79653&amp;lvl=3&amp;lin=f&amp;keep=1&amp;srchmode=1&amp;unlock","Oceanites oceanicus")</f>
        <v>Oceanites oceanicus</v>
      </c>
      <c r="H225" t="s">
        <v>222</v>
      </c>
      <c r="I225" t="str">
        <f>HYPERLINK("http://www.ncbi.nlm.nih.gov/protein/NXF44689.1","ANDR protein")</f>
        <v>ANDR protein</v>
      </c>
      <c r="J225" t="s">
        <v>1261</v>
      </c>
      <c r="K225">
        <v>493.04</v>
      </c>
      <c r="L225" t="s">
        <v>25</v>
      </c>
      <c r="M225">
        <v>157</v>
      </c>
      <c r="N225">
        <v>62.55</v>
      </c>
      <c r="O225">
        <v>95.88</v>
      </c>
      <c r="P225" t="s">
        <v>20</v>
      </c>
      <c r="Q225" t="s">
        <v>1262</v>
      </c>
      <c r="R225" t="s">
        <v>20</v>
      </c>
      <c r="S225" t="str">
        <f>HYPERLINK("https://cfpub.epa.gov/ecotox/explore.cfm?ncbi=79653","Explore in ECOTOX")</f>
        <v>Explore in ECOTOX</v>
      </c>
    </row>
    <row r="226" spans="1:19" x14ac:dyDescent="0.25">
      <c r="A226">
        <v>6</v>
      </c>
      <c r="B226" t="str">
        <f>HYPERLINK("http://www.ncbi.nlm.nih.gov/protein/NXV05165.1","NXV05165.1")</f>
        <v>NXV05165.1</v>
      </c>
      <c r="C226">
        <v>14925</v>
      </c>
      <c r="D226" t="str">
        <f>HYPERLINK("http://www.ncbi.nlm.nih.gov/Taxonomy/Browser/wwwtax.cgi?mode=Info&amp;id=68486&amp;lvl=3&amp;lin=f&amp;keep=1&amp;srchmode=1&amp;unlock","68486")</f>
        <v>68486</v>
      </c>
      <c r="E226" t="s">
        <v>167</v>
      </c>
      <c r="F226" t="s">
        <v>167</v>
      </c>
      <c r="G226" t="str">
        <f>HYPERLINK("http://www.ncbi.nlm.nih.gov/Taxonomy/Browser/wwwtax.cgi?mode=Info&amp;id=68486&amp;lvl=3&amp;lin=f&amp;keep=1&amp;srchmode=1&amp;unlock","Cettia cetti")</f>
        <v>Cettia cetti</v>
      </c>
      <c r="H226" t="s">
        <v>395</v>
      </c>
      <c r="I226" t="str">
        <f>HYPERLINK("http://www.ncbi.nlm.nih.gov/protein/NXV05165.1","ANDR protein")</f>
        <v>ANDR protein</v>
      </c>
      <c r="J226" t="s">
        <v>1261</v>
      </c>
      <c r="K226">
        <v>493.04</v>
      </c>
      <c r="L226" t="s">
        <v>25</v>
      </c>
      <c r="M226">
        <v>157</v>
      </c>
      <c r="N226">
        <v>62.55</v>
      </c>
      <c r="O226">
        <v>95.88</v>
      </c>
      <c r="P226" t="s">
        <v>20</v>
      </c>
      <c r="Q226" t="s">
        <v>1262</v>
      </c>
      <c r="R226" t="s">
        <v>20</v>
      </c>
      <c r="S226" t="str">
        <f>HYPERLINK("https://cfpub.epa.gov/ecotox/explore.cfm?ncbi=68486","Explore in ECOTOX")</f>
        <v>Explore in ECOTOX</v>
      </c>
    </row>
    <row r="227" spans="1:19" x14ac:dyDescent="0.25">
      <c r="A227">
        <v>6</v>
      </c>
      <c r="B227" t="str">
        <f>HYPERLINK("http://www.ncbi.nlm.nih.gov/protein/NWR08977.1","NWR08977.1")</f>
        <v>NWR08977.1</v>
      </c>
      <c r="C227">
        <v>14772</v>
      </c>
      <c r="D227" t="str">
        <f>HYPERLINK("http://www.ncbi.nlm.nih.gov/Taxonomy/Browser/wwwtax.cgi?mode=Info&amp;id=337173&amp;lvl=3&amp;lin=f&amp;keep=1&amp;srchmode=1&amp;unlock","337173")</f>
        <v>337173</v>
      </c>
      <c r="E227" t="s">
        <v>167</v>
      </c>
      <c r="F227" t="s">
        <v>167</v>
      </c>
      <c r="G227" t="str">
        <f>HYPERLINK("http://www.ncbi.nlm.nih.gov/Taxonomy/Browser/wwwtax.cgi?mode=Info&amp;id=337173&amp;lvl=3&amp;lin=f&amp;keep=1&amp;srchmode=1&amp;unlock","Sinosuthora webbiana")</f>
        <v>Sinosuthora webbiana</v>
      </c>
      <c r="H227" t="s">
        <v>503</v>
      </c>
      <c r="I227" t="str">
        <f>HYPERLINK("http://www.ncbi.nlm.nih.gov/protein/NWR08977.1","ANDR protein")</f>
        <v>ANDR protein</v>
      </c>
      <c r="J227" t="s">
        <v>1261</v>
      </c>
      <c r="K227">
        <v>493.04</v>
      </c>
      <c r="L227" t="s">
        <v>25</v>
      </c>
      <c r="M227">
        <v>157</v>
      </c>
      <c r="N227">
        <v>62.55</v>
      </c>
      <c r="O227">
        <v>95.88</v>
      </c>
      <c r="P227" t="s">
        <v>20</v>
      </c>
      <c r="Q227" t="s">
        <v>1262</v>
      </c>
      <c r="R227" t="s">
        <v>20</v>
      </c>
      <c r="S227" t="str">
        <f>HYPERLINK("https://cfpub.epa.gov/ecotox/explore.cfm?ncbi=337173","Explore in ECOTOX")</f>
        <v>Explore in ECOTOX</v>
      </c>
    </row>
    <row r="228" spans="1:19" x14ac:dyDescent="0.25">
      <c r="A228">
        <v>6</v>
      </c>
      <c r="B228" t="str">
        <f>HYPERLINK("http://www.ncbi.nlm.nih.gov/protein/NWS59470.1","NWS59470.1")</f>
        <v>NWS59470.1</v>
      </c>
      <c r="C228">
        <v>14433</v>
      </c>
      <c r="D228" t="str">
        <f>HYPERLINK("http://www.ncbi.nlm.nih.gov/Taxonomy/Browser/wwwtax.cgi?mode=Info&amp;id=1352770&amp;lvl=3&amp;lin=f&amp;keep=1&amp;srchmode=1&amp;unlock","1352770")</f>
        <v>1352770</v>
      </c>
      <c r="E228" t="s">
        <v>167</v>
      </c>
      <c r="F228" t="s">
        <v>167</v>
      </c>
      <c r="G228" t="str">
        <f>HYPERLINK("http://www.ncbi.nlm.nih.gov/Taxonomy/Browser/wwwtax.cgi?mode=Info&amp;id=1352770&amp;lvl=3&amp;lin=f&amp;keep=1&amp;srchmode=1&amp;unlock","Chunga burmeisteri")</f>
        <v>Chunga burmeisteri</v>
      </c>
      <c r="H228" t="s">
        <v>279</v>
      </c>
      <c r="I228" t="str">
        <f>HYPERLINK("http://www.ncbi.nlm.nih.gov/protein/NWS59470.1","ANDR protein")</f>
        <v>ANDR protein</v>
      </c>
      <c r="J228" t="s">
        <v>1261</v>
      </c>
      <c r="K228">
        <v>493.04</v>
      </c>
      <c r="L228" t="s">
        <v>25</v>
      </c>
      <c r="M228">
        <v>157</v>
      </c>
      <c r="N228">
        <v>62.55</v>
      </c>
      <c r="O228">
        <v>95.88</v>
      </c>
      <c r="P228" t="s">
        <v>20</v>
      </c>
      <c r="Q228" t="s">
        <v>1262</v>
      </c>
      <c r="R228" t="s">
        <v>20</v>
      </c>
      <c r="S228" t="str">
        <f>HYPERLINK("https://cfpub.epa.gov/ecotox/explore.cfm?ncbi=1352770","Explore in ECOTOX")</f>
        <v>Explore in ECOTOX</v>
      </c>
    </row>
    <row r="229" spans="1:19" x14ac:dyDescent="0.25">
      <c r="A229">
        <v>6</v>
      </c>
      <c r="B229" t="str">
        <f>HYPERLINK("http://www.ncbi.nlm.nih.gov/protein/NXB49906.1","NXB49906.1")</f>
        <v>NXB49906.1</v>
      </c>
      <c r="C229">
        <v>13491</v>
      </c>
      <c r="D229" t="str">
        <f>HYPERLINK("http://www.ncbi.nlm.nih.gov/Taxonomy/Browser/wwwtax.cgi?mode=Info&amp;id=127929&amp;lvl=3&amp;lin=f&amp;keep=1&amp;srchmode=1&amp;unlock","127929")</f>
        <v>127929</v>
      </c>
      <c r="E229" t="s">
        <v>167</v>
      </c>
      <c r="F229" t="s">
        <v>167</v>
      </c>
      <c r="G229" t="str">
        <f>HYPERLINK("http://www.ncbi.nlm.nih.gov/Taxonomy/Browser/wwwtax.cgi?mode=Info&amp;id=127929&amp;lvl=3&amp;lin=f&amp;keep=1&amp;srchmode=1&amp;unlock","Leucopsar rothschildi")</f>
        <v>Leucopsar rothschildi</v>
      </c>
      <c r="H229" t="s">
        <v>354</v>
      </c>
      <c r="I229" t="str">
        <f>HYPERLINK("http://www.ncbi.nlm.nih.gov/protein/NXB49906.1","ANDR protein")</f>
        <v>ANDR protein</v>
      </c>
      <c r="J229" t="s">
        <v>1261</v>
      </c>
      <c r="K229">
        <v>493.04</v>
      </c>
      <c r="L229" t="s">
        <v>25</v>
      </c>
      <c r="M229">
        <v>157</v>
      </c>
      <c r="N229">
        <v>62.55</v>
      </c>
      <c r="O229">
        <v>95.88</v>
      </c>
      <c r="P229" t="s">
        <v>20</v>
      </c>
      <c r="Q229" t="s">
        <v>1262</v>
      </c>
      <c r="R229" t="s">
        <v>20</v>
      </c>
      <c r="S229" t="str">
        <f>HYPERLINK("https://cfpub.epa.gov/ecotox/explore.cfm?ncbi=127929","Explore in ECOTOX")</f>
        <v>Explore in ECOTOX</v>
      </c>
    </row>
    <row r="230" spans="1:19" x14ac:dyDescent="0.25">
      <c r="A230">
        <v>6</v>
      </c>
      <c r="B230" t="str">
        <f>HYPERLINK("http://www.ncbi.nlm.nih.gov/protein/XP_009994935.1","XP_009994935.1")</f>
        <v>XP_009994935.1</v>
      </c>
      <c r="C230">
        <v>29258</v>
      </c>
      <c r="D230" t="str">
        <f>HYPERLINK("http://www.ncbi.nlm.nih.gov/Taxonomy/Browser/wwwtax.cgi?mode=Info&amp;id=8897&amp;lvl=3&amp;lin=f&amp;keep=1&amp;srchmode=1&amp;unlock","8897")</f>
        <v>8897</v>
      </c>
      <c r="E230" t="s">
        <v>167</v>
      </c>
      <c r="F230" t="s">
        <v>167</v>
      </c>
      <c r="G230" t="str">
        <f>HYPERLINK("http://www.ncbi.nlm.nih.gov/Taxonomy/Browser/wwwtax.cgi?mode=Info&amp;id=8897&amp;lvl=3&amp;lin=f&amp;keep=1&amp;srchmode=1&amp;unlock","Chaetura pelagica")</f>
        <v>Chaetura pelagica</v>
      </c>
      <c r="H230" t="s">
        <v>299</v>
      </c>
      <c r="I230" t="str">
        <f>HYPERLINK("http://www.ncbi.nlm.nih.gov/protein/XP_009994935.1","PREDICTED: androgen receptor")</f>
        <v>PREDICTED: androgen receptor</v>
      </c>
      <c r="J230" t="s">
        <v>1261</v>
      </c>
      <c r="K230">
        <v>493.04</v>
      </c>
      <c r="L230" t="s">
        <v>25</v>
      </c>
      <c r="M230">
        <v>157</v>
      </c>
      <c r="N230">
        <v>62.55</v>
      </c>
      <c r="O230">
        <v>95.88</v>
      </c>
      <c r="P230" t="s">
        <v>20</v>
      </c>
      <c r="Q230" t="s">
        <v>1262</v>
      </c>
      <c r="R230" t="s">
        <v>20</v>
      </c>
      <c r="S230" t="str">
        <f>HYPERLINK("https://cfpub.epa.gov/ecotox/explore.cfm?ncbi=8897","Explore in ECOTOX")</f>
        <v>Explore in ECOTOX</v>
      </c>
    </row>
    <row r="231" spans="1:19" x14ac:dyDescent="0.25">
      <c r="A231">
        <v>6</v>
      </c>
      <c r="B231" t="str">
        <f>HYPERLINK("http://www.ncbi.nlm.nih.gov/protein/RLW02513.1","RLW02513.1")</f>
        <v>RLW02513.1</v>
      </c>
      <c r="C231">
        <v>19082</v>
      </c>
      <c r="D231" t="str">
        <f>HYPERLINK("http://www.ncbi.nlm.nih.gov/Taxonomy/Browser/wwwtax.cgi?mode=Info&amp;id=44316&amp;lvl=3&amp;lin=f&amp;keep=1&amp;srchmode=1&amp;unlock","44316")</f>
        <v>44316</v>
      </c>
      <c r="E231" t="s">
        <v>167</v>
      </c>
      <c r="F231" t="s">
        <v>167</v>
      </c>
      <c r="G231" t="str">
        <f>HYPERLINK("http://www.ncbi.nlm.nih.gov/Taxonomy/Browser/wwwtax.cgi?mode=Info&amp;id=44316&amp;lvl=3&amp;lin=f&amp;keep=1&amp;srchmode=1&amp;unlock","Chloebia gouldiae")</f>
        <v>Chloebia gouldiae</v>
      </c>
      <c r="H231" t="s">
        <v>461</v>
      </c>
      <c r="I231" t="str">
        <f>HYPERLINK("http://www.ncbi.nlm.nih.gov/protein/RLW02513.1","hypothetical protein DV515_00007180")</f>
        <v>hypothetical protein DV515_00007180</v>
      </c>
      <c r="J231" t="s">
        <v>1261</v>
      </c>
      <c r="K231">
        <v>493.04</v>
      </c>
      <c r="L231" t="s">
        <v>25</v>
      </c>
      <c r="M231">
        <v>157</v>
      </c>
      <c r="N231">
        <v>62.55</v>
      </c>
      <c r="O231">
        <v>95.88</v>
      </c>
      <c r="P231" t="s">
        <v>20</v>
      </c>
      <c r="Q231" t="s">
        <v>1262</v>
      </c>
      <c r="R231" t="s">
        <v>20</v>
      </c>
      <c r="S231" t="str">
        <f>HYPERLINK("https://cfpub.epa.gov/ecotox/explore.cfm?ncbi=44316","Explore in ECOTOX")</f>
        <v>Explore in ECOTOX</v>
      </c>
    </row>
    <row r="232" spans="1:19" x14ac:dyDescent="0.25">
      <c r="A232">
        <v>6</v>
      </c>
      <c r="B232" t="str">
        <f>HYPERLINK("http://www.ncbi.nlm.nih.gov/protein/NXV33950.1","NXV33950.1")</f>
        <v>NXV33950.1</v>
      </c>
      <c r="C232">
        <v>14938</v>
      </c>
      <c r="D232" t="str">
        <f>HYPERLINK("http://www.ncbi.nlm.nih.gov/Taxonomy/Browser/wwwtax.cgi?mode=Info&amp;id=75485&amp;lvl=3&amp;lin=f&amp;keep=1&amp;srchmode=1&amp;unlock","75485")</f>
        <v>75485</v>
      </c>
      <c r="E232" t="s">
        <v>167</v>
      </c>
      <c r="F232" t="s">
        <v>167</v>
      </c>
      <c r="G232" t="str">
        <f>HYPERLINK("http://www.ncbi.nlm.nih.gov/Taxonomy/Browser/wwwtax.cgi?mode=Info&amp;id=75485&amp;lvl=3&amp;lin=f&amp;keep=1&amp;srchmode=1&amp;unlock","Rissa tridactyla")</f>
        <v>Rissa tridactyla</v>
      </c>
      <c r="H232" t="s">
        <v>320</v>
      </c>
      <c r="I232" t="str">
        <f>HYPERLINK("http://www.ncbi.nlm.nih.gov/protein/NXV33950.1","ANDR protein")</f>
        <v>ANDR protein</v>
      </c>
      <c r="J232" t="s">
        <v>1261</v>
      </c>
      <c r="K232">
        <v>492.66</v>
      </c>
      <c r="L232" t="s">
        <v>25</v>
      </c>
      <c r="M232">
        <v>157</v>
      </c>
      <c r="N232">
        <v>62.55</v>
      </c>
      <c r="O232">
        <v>95.81</v>
      </c>
      <c r="P232" t="s">
        <v>20</v>
      </c>
      <c r="Q232" t="s">
        <v>1262</v>
      </c>
      <c r="R232" t="s">
        <v>20</v>
      </c>
      <c r="S232" t="str">
        <f>HYPERLINK("https://cfpub.epa.gov/ecotox/explore.cfm?ncbi=75485","Explore in ECOTOX")</f>
        <v>Explore in ECOTOX</v>
      </c>
    </row>
    <row r="233" spans="1:19" x14ac:dyDescent="0.25">
      <c r="A233">
        <v>6</v>
      </c>
      <c r="B233" t="str">
        <f>HYPERLINK("http://www.ncbi.nlm.nih.gov/protein/XP_014810446.1","XP_014810446.1")</f>
        <v>XP_014810446.1</v>
      </c>
      <c r="C233">
        <v>30960</v>
      </c>
      <c r="D233" t="str">
        <f>HYPERLINK("http://www.ncbi.nlm.nih.gov/Taxonomy/Browser/wwwtax.cgi?mode=Info&amp;id=198806&amp;lvl=3&amp;lin=f&amp;keep=1&amp;srchmode=1&amp;unlock","198806")</f>
        <v>198806</v>
      </c>
      <c r="E233" t="s">
        <v>167</v>
      </c>
      <c r="F233" t="s">
        <v>167</v>
      </c>
      <c r="G233" t="str">
        <f>HYPERLINK("http://www.ncbi.nlm.nih.gov/Taxonomy/Browser/wwwtax.cgi?mode=Info&amp;id=198806&amp;lvl=3&amp;lin=f&amp;keep=1&amp;srchmode=1&amp;unlock","Calidris pugnax")</f>
        <v>Calidris pugnax</v>
      </c>
      <c r="H233" t="s">
        <v>201</v>
      </c>
      <c r="I233" t="str">
        <f>HYPERLINK("http://www.ncbi.nlm.nih.gov/protein/XP_014810446.1","PREDICTED: androgen receptor")</f>
        <v>PREDICTED: androgen receptor</v>
      </c>
      <c r="J233" t="s">
        <v>1261</v>
      </c>
      <c r="K233">
        <v>492.66</v>
      </c>
      <c r="L233" t="s">
        <v>25</v>
      </c>
      <c r="M233">
        <v>157</v>
      </c>
      <c r="N233">
        <v>62.55</v>
      </c>
      <c r="O233">
        <v>95.81</v>
      </c>
      <c r="P233" t="s">
        <v>20</v>
      </c>
      <c r="Q233" t="s">
        <v>1262</v>
      </c>
      <c r="R233" t="s">
        <v>20</v>
      </c>
      <c r="S233" t="str">
        <f>HYPERLINK("https://cfpub.epa.gov/ecotox/explore.cfm?ncbi=198806","Explore in ECOTOX")</f>
        <v>Explore in ECOTOX</v>
      </c>
    </row>
    <row r="234" spans="1:19" x14ac:dyDescent="0.25">
      <c r="A234">
        <v>6</v>
      </c>
      <c r="B234" t="str">
        <f>HYPERLINK("http://www.ncbi.nlm.nih.gov/protein/NXV15777.1","NXV15777.1")</f>
        <v>NXV15777.1</v>
      </c>
      <c r="C234">
        <v>14788</v>
      </c>
      <c r="D234" t="str">
        <f>HYPERLINK("http://www.ncbi.nlm.nih.gov/Taxonomy/Browser/wwwtax.cgi?mode=Info&amp;id=28697&amp;lvl=3&amp;lin=f&amp;keep=1&amp;srchmode=1&amp;unlock","28697")</f>
        <v>28697</v>
      </c>
      <c r="E234" t="s">
        <v>167</v>
      </c>
      <c r="F234" t="s">
        <v>167</v>
      </c>
      <c r="G234" t="str">
        <f>HYPERLINK("http://www.ncbi.nlm.nih.gov/Taxonomy/Browser/wwwtax.cgi?mode=Info&amp;id=28697&amp;lvl=3&amp;lin=f&amp;keep=1&amp;srchmode=1&amp;unlock","Cepphus grylle")</f>
        <v>Cepphus grylle</v>
      </c>
      <c r="H234" t="s">
        <v>185</v>
      </c>
      <c r="I234" t="str">
        <f>HYPERLINK("http://www.ncbi.nlm.nih.gov/protein/NXV15777.1","ANDR protein")</f>
        <v>ANDR protein</v>
      </c>
      <c r="J234" t="s">
        <v>1261</v>
      </c>
      <c r="K234">
        <v>492.66</v>
      </c>
      <c r="L234" t="s">
        <v>25</v>
      </c>
      <c r="M234">
        <v>157</v>
      </c>
      <c r="N234">
        <v>62.55</v>
      </c>
      <c r="O234">
        <v>95.81</v>
      </c>
      <c r="P234" t="s">
        <v>20</v>
      </c>
      <c r="Q234" t="s">
        <v>1262</v>
      </c>
      <c r="R234" t="s">
        <v>20</v>
      </c>
      <c r="S234" t="str">
        <f>HYPERLINK("https://cfpub.epa.gov/ecotox/explore.cfm?ncbi=28697","Explore in ECOTOX")</f>
        <v>Explore in ECOTOX</v>
      </c>
    </row>
    <row r="235" spans="1:19" x14ac:dyDescent="0.25">
      <c r="A235">
        <v>6</v>
      </c>
      <c r="B235" t="str">
        <f>HYPERLINK("http://www.ncbi.nlm.nih.gov/protein/NXV50066.1","NXV50066.1")</f>
        <v>NXV50066.1</v>
      </c>
      <c r="C235">
        <v>14270</v>
      </c>
      <c r="D235" t="str">
        <f>HYPERLINK("http://www.ncbi.nlm.nih.gov/Taxonomy/Browser/wwwtax.cgi?mode=Info&amp;id=13746&amp;lvl=3&amp;lin=f&amp;keep=1&amp;srchmode=1&amp;unlock","13746")</f>
        <v>13746</v>
      </c>
      <c r="E235" t="s">
        <v>167</v>
      </c>
      <c r="F235" t="s">
        <v>167</v>
      </c>
      <c r="G235" t="str">
        <f>HYPERLINK("http://www.ncbi.nlm.nih.gov/Taxonomy/Browser/wwwtax.cgi?mode=Info&amp;id=13746&amp;lvl=3&amp;lin=f&amp;keep=1&amp;srchmode=1&amp;unlock","Uria aalge")</f>
        <v>Uria aalge</v>
      </c>
      <c r="H235" t="s">
        <v>203</v>
      </c>
      <c r="I235" t="str">
        <f>HYPERLINK("http://www.ncbi.nlm.nih.gov/protein/NXV50066.1","ANDR protein")</f>
        <v>ANDR protein</v>
      </c>
      <c r="J235" t="s">
        <v>1261</v>
      </c>
      <c r="K235">
        <v>492.66</v>
      </c>
      <c r="L235" t="s">
        <v>25</v>
      </c>
      <c r="M235">
        <v>157</v>
      </c>
      <c r="N235">
        <v>62.55</v>
      </c>
      <c r="O235">
        <v>95.81</v>
      </c>
      <c r="P235" t="s">
        <v>20</v>
      </c>
      <c r="Q235" t="s">
        <v>1262</v>
      </c>
      <c r="R235" t="s">
        <v>20</v>
      </c>
      <c r="S235" t="str">
        <f>HYPERLINK("https://cfpub.epa.gov/ecotox/explore.cfm?ncbi=13746","Explore in ECOTOX")</f>
        <v>Explore in ECOTOX</v>
      </c>
    </row>
    <row r="236" spans="1:19" x14ac:dyDescent="0.25">
      <c r="A236">
        <v>6</v>
      </c>
      <c r="B236" t="str">
        <f>HYPERLINK("http://www.ncbi.nlm.nih.gov/protein/KAF1598143.1","KAF1598143.1")</f>
        <v>KAF1598143.1</v>
      </c>
      <c r="C236">
        <v>15476</v>
      </c>
      <c r="D236" t="str">
        <f>HYPERLINK("http://www.ncbi.nlm.nih.gov/Taxonomy/Browser/wwwtax.cgi?mode=Info&amp;id=2495534&amp;lvl=3&amp;lin=f&amp;keep=1&amp;srchmode=1&amp;unlock","2495534")</f>
        <v>2495534</v>
      </c>
      <c r="E236" t="s">
        <v>167</v>
      </c>
      <c r="F236" t="s">
        <v>167</v>
      </c>
      <c r="G236" t="str">
        <f>HYPERLINK("http://www.ncbi.nlm.nih.gov/Taxonomy/Browser/wwwtax.cgi?mode=Info&amp;id=2495534&amp;lvl=3&amp;lin=f&amp;keep=1&amp;srchmode=1&amp;unlock","Eudyptes moseleyi")</f>
        <v>Eudyptes moseleyi</v>
      </c>
      <c r="H236" t="s">
        <v>257</v>
      </c>
      <c r="I236" t="str">
        <f>HYPERLINK("http://www.ncbi.nlm.nih.gov/protein/KAF1598143.1","Androgen receptor, partial")</f>
        <v>Androgen receptor, partial</v>
      </c>
      <c r="J236" t="s">
        <v>1261</v>
      </c>
      <c r="K236">
        <v>492.66</v>
      </c>
      <c r="L236" t="s">
        <v>25</v>
      </c>
      <c r="M236">
        <v>157</v>
      </c>
      <c r="N236">
        <v>62.55</v>
      </c>
      <c r="O236">
        <v>95.81</v>
      </c>
      <c r="P236" t="s">
        <v>20</v>
      </c>
      <c r="Q236" t="s">
        <v>1262</v>
      </c>
      <c r="R236" t="s">
        <v>20</v>
      </c>
      <c r="S236" t="str">
        <f>HYPERLINK("https://cfpub.epa.gov/ecotox/explore.cfm?ncbi=2495534","Explore in ECOTOX")</f>
        <v>Explore in ECOTOX</v>
      </c>
    </row>
    <row r="237" spans="1:19" x14ac:dyDescent="0.25">
      <c r="A237">
        <v>6</v>
      </c>
      <c r="B237" t="str">
        <f>HYPERLINK("http://www.ncbi.nlm.nih.gov/protein/APQ40569.1","APQ40569.1")</f>
        <v>APQ40569.1</v>
      </c>
      <c r="C237">
        <v>11521</v>
      </c>
      <c r="D237" t="str">
        <f>HYPERLINK("http://www.ncbi.nlm.nih.gov/Taxonomy/Browser/wwwtax.cgi?mode=Info&amp;id=56313&amp;lvl=3&amp;lin=f&amp;keep=1&amp;srchmode=1&amp;unlock","56313")</f>
        <v>56313</v>
      </c>
      <c r="E237" t="s">
        <v>167</v>
      </c>
      <c r="F237" t="s">
        <v>167</v>
      </c>
      <c r="G237" t="str">
        <f>HYPERLINK("http://www.ncbi.nlm.nih.gov/Taxonomy/Browser/wwwtax.cgi?mode=Info&amp;id=56313&amp;lvl=3&amp;lin=f&amp;keep=1&amp;srchmode=1&amp;unlock","Tyto alba")</f>
        <v>Tyto alba</v>
      </c>
      <c r="H237" t="s">
        <v>250</v>
      </c>
      <c r="I237" t="str">
        <f>HYPERLINK("http://www.ncbi.nlm.nih.gov/protein/APQ40569.1","androgen receptor")</f>
        <v>androgen receptor</v>
      </c>
      <c r="J237" t="s">
        <v>1261</v>
      </c>
      <c r="K237">
        <v>492.66</v>
      </c>
      <c r="L237" t="s">
        <v>25</v>
      </c>
      <c r="M237">
        <v>157</v>
      </c>
      <c r="N237">
        <v>62.55</v>
      </c>
      <c r="O237">
        <v>95.81</v>
      </c>
      <c r="P237" t="s">
        <v>20</v>
      </c>
      <c r="Q237" t="s">
        <v>1262</v>
      </c>
      <c r="R237" t="s">
        <v>20</v>
      </c>
      <c r="S237" t="str">
        <f>HYPERLINK("https://cfpub.epa.gov/ecotox/explore.cfm?ncbi=56313","Explore in ECOTOX")</f>
        <v>Explore in ECOTOX</v>
      </c>
    </row>
    <row r="238" spans="1:19" x14ac:dyDescent="0.25">
      <c r="A238">
        <v>6</v>
      </c>
      <c r="B238" t="str">
        <f>HYPERLINK("http://www.ncbi.nlm.nih.gov/protein/NWW87198.1","NWW87198.1")</f>
        <v>NWW87198.1</v>
      </c>
      <c r="C238">
        <v>13756</v>
      </c>
      <c r="D238" t="str">
        <f>HYPERLINK("http://www.ncbi.nlm.nih.gov/Taxonomy/Browser/wwwtax.cgi?mode=Info&amp;id=54386&amp;lvl=3&amp;lin=f&amp;keep=1&amp;srchmode=1&amp;unlock","54386")</f>
        <v>54386</v>
      </c>
      <c r="E238" t="s">
        <v>167</v>
      </c>
      <c r="F238" t="s">
        <v>167</v>
      </c>
      <c r="G238" t="str">
        <f>HYPERLINK("http://www.ncbi.nlm.nih.gov/Taxonomy/Browser/wwwtax.cgi?mode=Info&amp;id=54386&amp;lvl=3&amp;lin=f&amp;keep=1&amp;srchmode=1&amp;unlock","Rhynochetos jubatus")</f>
        <v>Rhynochetos jubatus</v>
      </c>
      <c r="H238" t="s">
        <v>290</v>
      </c>
      <c r="I238" t="str">
        <f>HYPERLINK("http://www.ncbi.nlm.nih.gov/protein/NWW87198.1","ANDR protein")</f>
        <v>ANDR protein</v>
      </c>
      <c r="J238" t="s">
        <v>1261</v>
      </c>
      <c r="K238">
        <v>492.66</v>
      </c>
      <c r="L238" t="s">
        <v>25</v>
      </c>
      <c r="M238">
        <v>157</v>
      </c>
      <c r="N238">
        <v>62.55</v>
      </c>
      <c r="O238">
        <v>95.81</v>
      </c>
      <c r="P238" t="s">
        <v>20</v>
      </c>
      <c r="Q238" t="s">
        <v>1262</v>
      </c>
      <c r="R238" t="s">
        <v>20</v>
      </c>
      <c r="S238" t="str">
        <f>HYPERLINK("https://cfpub.epa.gov/ecotox/explore.cfm?ncbi=54386","Explore in ECOTOX")</f>
        <v>Explore in ECOTOX</v>
      </c>
    </row>
    <row r="239" spans="1:19" x14ac:dyDescent="0.25">
      <c r="A239">
        <v>6</v>
      </c>
      <c r="B239" t="str">
        <f>HYPERLINK("http://www.ncbi.nlm.nih.gov/protein/NWT41840.1","NWT41840.1")</f>
        <v>NWT41840.1</v>
      </c>
      <c r="C239">
        <v>13971</v>
      </c>
      <c r="D239" t="str">
        <f>HYPERLINK("http://www.ncbi.nlm.nih.gov/Taxonomy/Browser/wwwtax.cgi?mode=Info&amp;id=287016&amp;lvl=3&amp;lin=f&amp;keep=1&amp;srchmode=1&amp;unlock","287016")</f>
        <v>287016</v>
      </c>
      <c r="E239" t="s">
        <v>167</v>
      </c>
      <c r="F239" t="s">
        <v>167</v>
      </c>
      <c r="G239" t="str">
        <f>HYPERLINK("http://www.ncbi.nlm.nih.gov/Taxonomy/Browser/wwwtax.cgi?mode=Info&amp;id=287016&amp;lvl=3&amp;lin=f&amp;keep=1&amp;srchmode=1&amp;unlock","Chroicocephalus maculipennis")</f>
        <v>Chroicocephalus maculipennis</v>
      </c>
      <c r="H239" t="s">
        <v>210</v>
      </c>
      <c r="I239" t="str">
        <f>HYPERLINK("http://www.ncbi.nlm.nih.gov/protein/NWT41840.1","ANDR protein")</f>
        <v>ANDR protein</v>
      </c>
      <c r="J239" t="s">
        <v>1261</v>
      </c>
      <c r="K239">
        <v>492.66</v>
      </c>
      <c r="L239" t="s">
        <v>25</v>
      </c>
      <c r="M239">
        <v>157</v>
      </c>
      <c r="N239">
        <v>62.55</v>
      </c>
      <c r="O239">
        <v>95.81</v>
      </c>
      <c r="P239" t="s">
        <v>20</v>
      </c>
      <c r="Q239" t="s">
        <v>1262</v>
      </c>
      <c r="R239" t="s">
        <v>20</v>
      </c>
      <c r="S239" t="str">
        <f>HYPERLINK("https://cfpub.epa.gov/ecotox/explore.cfm?ncbi=287016","Explore in ECOTOX")</f>
        <v>Explore in ECOTOX</v>
      </c>
    </row>
    <row r="240" spans="1:19" x14ac:dyDescent="0.25">
      <c r="A240">
        <v>6</v>
      </c>
      <c r="B240" t="str">
        <f>HYPERLINK("http://www.ncbi.nlm.nih.gov/protein/NXX03535.1","NXX03535.1")</f>
        <v>NXX03535.1</v>
      </c>
      <c r="C240">
        <v>14087</v>
      </c>
      <c r="D240" t="str">
        <f>HYPERLINK("http://www.ncbi.nlm.nih.gov/Taxonomy/Browser/wwwtax.cgi?mode=Info&amp;id=243888&amp;lvl=3&amp;lin=f&amp;keep=1&amp;srchmode=1&amp;unlock","243888")</f>
        <v>243888</v>
      </c>
      <c r="E240" t="s">
        <v>167</v>
      </c>
      <c r="F240" t="s">
        <v>167</v>
      </c>
      <c r="G240" t="str">
        <f>HYPERLINK("http://www.ncbi.nlm.nih.gov/Taxonomy/Browser/wwwtax.cgi?mode=Info&amp;id=243888&amp;lvl=3&amp;lin=f&amp;keep=1&amp;srchmode=1&amp;unlock","Larus smithsonianus")</f>
        <v>Larus smithsonianus</v>
      </c>
      <c r="H240" t="s">
        <v>218</v>
      </c>
      <c r="I240" t="str">
        <f>HYPERLINK("http://www.ncbi.nlm.nih.gov/protein/NXX03535.1","ANDR protein")</f>
        <v>ANDR protein</v>
      </c>
      <c r="J240" t="s">
        <v>1261</v>
      </c>
      <c r="K240">
        <v>492.66</v>
      </c>
      <c r="L240" t="s">
        <v>25</v>
      </c>
      <c r="M240">
        <v>157</v>
      </c>
      <c r="N240">
        <v>62.55</v>
      </c>
      <c r="O240">
        <v>95.81</v>
      </c>
      <c r="P240" t="s">
        <v>20</v>
      </c>
      <c r="Q240" t="s">
        <v>1262</v>
      </c>
      <c r="R240" t="s">
        <v>20</v>
      </c>
      <c r="S240" t="str">
        <f>HYPERLINK("https://cfpub.epa.gov/ecotox/explore.cfm?ncbi=243888","Explore in ECOTOX")</f>
        <v>Explore in ECOTOX</v>
      </c>
    </row>
    <row r="241" spans="1:19" x14ac:dyDescent="0.25">
      <c r="A241">
        <v>6</v>
      </c>
      <c r="B241" t="str">
        <f>HYPERLINK("http://www.ncbi.nlm.nih.gov/protein/NXW34714.1","NXW34714.1")</f>
        <v>NXW34714.1</v>
      </c>
      <c r="C241">
        <v>13259</v>
      </c>
      <c r="D241" t="str">
        <f>HYPERLINK("http://www.ncbi.nlm.nih.gov/Taxonomy/Browser/wwwtax.cgi?mode=Info&amp;id=297813&amp;lvl=3&amp;lin=f&amp;keep=1&amp;srchmode=1&amp;unlock","297813")</f>
        <v>297813</v>
      </c>
      <c r="E241" t="s">
        <v>167</v>
      </c>
      <c r="F241" t="s">
        <v>167</v>
      </c>
      <c r="G241" t="str">
        <f>HYPERLINK("http://www.ncbi.nlm.nih.gov/Taxonomy/Browser/wwwtax.cgi?mode=Info&amp;id=297813&amp;lvl=3&amp;lin=f&amp;keep=1&amp;srchmode=1&amp;unlock","Phaetusa simplex")</f>
        <v>Phaetusa simplex</v>
      </c>
      <c r="H241" t="s">
        <v>270</v>
      </c>
      <c r="I241" t="str">
        <f>HYPERLINK("http://www.ncbi.nlm.nih.gov/protein/NXW34714.1","ANDR protein")</f>
        <v>ANDR protein</v>
      </c>
      <c r="J241" t="s">
        <v>1261</v>
      </c>
      <c r="K241">
        <v>492.66</v>
      </c>
      <c r="L241" t="s">
        <v>25</v>
      </c>
      <c r="M241">
        <v>157</v>
      </c>
      <c r="N241">
        <v>62.55</v>
      </c>
      <c r="O241">
        <v>95.81</v>
      </c>
      <c r="P241" t="s">
        <v>20</v>
      </c>
      <c r="Q241" t="s">
        <v>1262</v>
      </c>
      <c r="R241" t="s">
        <v>20</v>
      </c>
      <c r="S241" t="str">
        <f>HYPERLINK("https://cfpub.epa.gov/ecotox/explore.cfm?ncbi=297813","Explore in ECOTOX")</f>
        <v>Explore in ECOTOX</v>
      </c>
    </row>
    <row r="242" spans="1:19" x14ac:dyDescent="0.25">
      <c r="A242">
        <v>6</v>
      </c>
      <c r="B242" t="str">
        <f>HYPERLINK("http://www.ncbi.nlm.nih.gov/protein/NWY60891.1","NWY60891.1")</f>
        <v>NWY60891.1</v>
      </c>
      <c r="C242">
        <v>14315</v>
      </c>
      <c r="D242" t="str">
        <f>HYPERLINK("http://www.ncbi.nlm.nih.gov/Taxonomy/Browser/wwwtax.cgi?mode=Info&amp;id=227182&amp;lvl=3&amp;lin=f&amp;keep=1&amp;srchmode=1&amp;unlock","227182")</f>
        <v>227182</v>
      </c>
      <c r="E242" t="s">
        <v>167</v>
      </c>
      <c r="F242" t="s">
        <v>167</v>
      </c>
      <c r="G242" t="str">
        <f>HYPERLINK("http://www.ncbi.nlm.nih.gov/Taxonomy/Browser/wwwtax.cgi?mode=Info&amp;id=227182&amp;lvl=3&amp;lin=f&amp;keep=1&amp;srchmode=1&amp;unlock","Chionis minor")</f>
        <v>Chionis minor</v>
      </c>
      <c r="H242" t="s">
        <v>977</v>
      </c>
      <c r="I242" t="str">
        <f>HYPERLINK("http://www.ncbi.nlm.nih.gov/protein/NWY60891.1","ANDR protein")</f>
        <v>ANDR protein</v>
      </c>
      <c r="J242" t="s">
        <v>1261</v>
      </c>
      <c r="K242">
        <v>492.66</v>
      </c>
      <c r="L242" t="s">
        <v>25</v>
      </c>
      <c r="M242">
        <v>157</v>
      </c>
      <c r="N242">
        <v>62.55</v>
      </c>
      <c r="O242">
        <v>95.81</v>
      </c>
      <c r="P242" t="s">
        <v>20</v>
      </c>
      <c r="Q242" t="s">
        <v>1262</v>
      </c>
      <c r="R242" t="s">
        <v>20</v>
      </c>
      <c r="S242" t="str">
        <f>HYPERLINK("https://cfpub.epa.gov/ecotox/explore.cfm?ncbi=227182","Explore in ECOTOX")</f>
        <v>Explore in ECOTOX</v>
      </c>
    </row>
    <row r="243" spans="1:19" x14ac:dyDescent="0.25">
      <c r="A243">
        <v>6</v>
      </c>
      <c r="B243" t="str">
        <f>HYPERLINK("http://www.ncbi.nlm.nih.gov/protein/NXG00117.1","NXG00117.1")</f>
        <v>NXG00117.1</v>
      </c>
      <c r="C243">
        <v>14155</v>
      </c>
      <c r="D243" t="str">
        <f>HYPERLINK("http://www.ncbi.nlm.nih.gov/Taxonomy/Browser/wwwtax.cgi?mode=Info&amp;id=419690&amp;lvl=3&amp;lin=f&amp;keep=1&amp;srchmode=1&amp;unlock","419690")</f>
        <v>419690</v>
      </c>
      <c r="E243" t="s">
        <v>167</v>
      </c>
      <c r="F243" t="s">
        <v>167</v>
      </c>
      <c r="G243" t="str">
        <f>HYPERLINK("http://www.ncbi.nlm.nih.gov/Taxonomy/Browser/wwwtax.cgi?mode=Info&amp;id=419690&amp;lvl=3&amp;lin=f&amp;keep=1&amp;srchmode=1&amp;unlock","Sakesphorus luctuosus")</f>
        <v>Sakesphorus luctuosus</v>
      </c>
      <c r="H243" t="s">
        <v>206</v>
      </c>
      <c r="I243" t="str">
        <f>HYPERLINK("http://www.ncbi.nlm.nih.gov/protein/NXG00117.1","ANDR protein")</f>
        <v>ANDR protein</v>
      </c>
      <c r="J243" t="s">
        <v>1261</v>
      </c>
      <c r="K243">
        <v>492.66</v>
      </c>
      <c r="L243" t="s">
        <v>25</v>
      </c>
      <c r="M243">
        <v>157</v>
      </c>
      <c r="N243">
        <v>62.55</v>
      </c>
      <c r="O243">
        <v>95.81</v>
      </c>
      <c r="P243" t="s">
        <v>20</v>
      </c>
      <c r="Q243" t="s">
        <v>1262</v>
      </c>
      <c r="R243" t="s">
        <v>20</v>
      </c>
      <c r="S243" t="str">
        <f>HYPERLINK("https://cfpub.epa.gov/ecotox/explore.cfm?ncbi=419690","Explore in ECOTOX")</f>
        <v>Explore in ECOTOX</v>
      </c>
    </row>
    <row r="244" spans="1:19" x14ac:dyDescent="0.25">
      <c r="A244">
        <v>6</v>
      </c>
      <c r="B244" t="str">
        <f>HYPERLINK("http://www.ncbi.nlm.nih.gov/protein/NXL59281.1","NXL59281.1")</f>
        <v>NXL59281.1</v>
      </c>
      <c r="C244">
        <v>14052</v>
      </c>
      <c r="D244" t="str">
        <f>HYPERLINK("http://www.ncbi.nlm.nih.gov/Taxonomy/Browser/wwwtax.cgi?mode=Info&amp;id=118183&amp;lvl=3&amp;lin=f&amp;keep=1&amp;srchmode=1&amp;unlock","118183")</f>
        <v>118183</v>
      </c>
      <c r="E244" t="s">
        <v>167</v>
      </c>
      <c r="F244" t="s">
        <v>167</v>
      </c>
      <c r="G244" t="str">
        <f>HYPERLINK("http://www.ncbi.nlm.nih.gov/Taxonomy/Browser/wwwtax.cgi?mode=Info&amp;id=118183&amp;lvl=3&amp;lin=f&amp;keep=1&amp;srchmode=1&amp;unlock","Chordeiles acutipennis")</f>
        <v>Chordeiles acutipennis</v>
      </c>
      <c r="H244" t="s">
        <v>610</v>
      </c>
      <c r="I244" t="str">
        <f>HYPERLINK("http://www.ncbi.nlm.nih.gov/protein/NXL59281.1","ANDR protein")</f>
        <v>ANDR protein</v>
      </c>
      <c r="J244" t="s">
        <v>1261</v>
      </c>
      <c r="K244">
        <v>492.66</v>
      </c>
      <c r="L244" t="s">
        <v>25</v>
      </c>
      <c r="M244">
        <v>157</v>
      </c>
      <c r="N244">
        <v>62.55</v>
      </c>
      <c r="O244">
        <v>95.81</v>
      </c>
      <c r="P244" t="s">
        <v>20</v>
      </c>
      <c r="Q244" t="s">
        <v>1262</v>
      </c>
      <c r="R244" t="s">
        <v>20</v>
      </c>
      <c r="S244" t="str">
        <f>HYPERLINK("https://cfpub.epa.gov/ecotox/explore.cfm?ncbi=118183","Explore in ECOTOX")</f>
        <v>Explore in ECOTOX</v>
      </c>
    </row>
    <row r="245" spans="1:19" x14ac:dyDescent="0.25">
      <c r="A245">
        <v>6</v>
      </c>
      <c r="B245" t="str">
        <f>HYPERLINK("http://www.ncbi.nlm.nih.gov/protein/KAF1590137.1","KAF1590137.1")</f>
        <v>KAF1590137.1</v>
      </c>
      <c r="C245">
        <v>17585</v>
      </c>
      <c r="D245" t="str">
        <f>HYPERLINK("http://www.ncbi.nlm.nih.gov/Taxonomy/Browser/wwwtax.cgi?mode=Info&amp;id=37080&amp;lvl=3&amp;lin=f&amp;keep=1&amp;srchmode=1&amp;unlock","37080")</f>
        <v>37080</v>
      </c>
      <c r="E245" t="s">
        <v>167</v>
      </c>
      <c r="F245" t="s">
        <v>167</v>
      </c>
      <c r="G245" t="str">
        <f>HYPERLINK("http://www.ncbi.nlm.nih.gov/Taxonomy/Browser/wwwtax.cgi?mode=Info&amp;id=37080&amp;lvl=3&amp;lin=f&amp;keep=1&amp;srchmode=1&amp;unlock","Eudyptes pachyrhynchus")</f>
        <v>Eudyptes pachyrhynchus</v>
      </c>
      <c r="H245" t="s">
        <v>261</v>
      </c>
      <c r="I245" t="str">
        <f>HYPERLINK("http://www.ncbi.nlm.nih.gov/protein/KAF1590137.1","Androgen receptor, partial")</f>
        <v>Androgen receptor, partial</v>
      </c>
      <c r="J245" t="s">
        <v>1261</v>
      </c>
      <c r="K245">
        <v>492.66</v>
      </c>
      <c r="L245" t="s">
        <v>25</v>
      </c>
      <c r="M245">
        <v>157</v>
      </c>
      <c r="N245">
        <v>62.55</v>
      </c>
      <c r="O245">
        <v>95.81</v>
      </c>
      <c r="P245" t="s">
        <v>20</v>
      </c>
      <c r="Q245" t="s">
        <v>1262</v>
      </c>
      <c r="R245" t="s">
        <v>20</v>
      </c>
      <c r="S245" t="str">
        <f>HYPERLINK("https://cfpub.epa.gov/ecotox/explore.cfm?ncbi=37080","Explore in ECOTOX")</f>
        <v>Explore in ECOTOX</v>
      </c>
    </row>
    <row r="246" spans="1:19" x14ac:dyDescent="0.25">
      <c r="A246">
        <v>6</v>
      </c>
      <c r="B246" t="str">
        <f>HYPERLINK("http://www.ncbi.nlm.nih.gov/protein/NWQ62781.1","NWQ62781.1")</f>
        <v>NWQ62781.1</v>
      </c>
      <c r="C246">
        <v>14028</v>
      </c>
      <c r="D246" t="str">
        <f>HYPERLINK("http://www.ncbi.nlm.nih.gov/Taxonomy/Browser/wwwtax.cgi?mode=Info&amp;id=456388&amp;lvl=3&amp;lin=f&amp;keep=1&amp;srchmode=1&amp;unlock","456388")</f>
        <v>456388</v>
      </c>
      <c r="E246" t="s">
        <v>167</v>
      </c>
      <c r="F246" t="s">
        <v>167</v>
      </c>
      <c r="G246" t="str">
        <f>HYPERLINK("http://www.ncbi.nlm.nih.gov/Taxonomy/Browser/wwwtax.cgi?mode=Info&amp;id=456388&amp;lvl=3&amp;lin=f&amp;keep=1&amp;srchmode=1&amp;unlock","Neopipo cinnamomea")</f>
        <v>Neopipo cinnamomea</v>
      </c>
      <c r="H246" t="s">
        <v>206</v>
      </c>
      <c r="I246" t="str">
        <f>HYPERLINK("http://www.ncbi.nlm.nih.gov/protein/NWQ62781.1","ANDR protein")</f>
        <v>ANDR protein</v>
      </c>
      <c r="J246" t="s">
        <v>1261</v>
      </c>
      <c r="K246">
        <v>492.66</v>
      </c>
      <c r="L246" t="s">
        <v>25</v>
      </c>
      <c r="M246">
        <v>157</v>
      </c>
      <c r="N246">
        <v>62.55</v>
      </c>
      <c r="O246">
        <v>95.81</v>
      </c>
      <c r="P246" t="s">
        <v>20</v>
      </c>
      <c r="Q246" t="s">
        <v>1262</v>
      </c>
      <c r="R246" t="s">
        <v>20</v>
      </c>
      <c r="S246" t="str">
        <f>HYPERLINK("https://cfpub.epa.gov/ecotox/explore.cfm?ncbi=456388","Explore in ECOTOX")</f>
        <v>Explore in ECOTOX</v>
      </c>
    </row>
    <row r="247" spans="1:19" x14ac:dyDescent="0.25">
      <c r="A247">
        <v>6</v>
      </c>
      <c r="B247" t="str">
        <f>HYPERLINK("http://www.ncbi.nlm.nih.gov/protein/NXL01257.1","NXL01257.1")</f>
        <v>NXL01257.1</v>
      </c>
      <c r="C247">
        <v>13893</v>
      </c>
      <c r="D247" t="str">
        <f>HYPERLINK("http://www.ncbi.nlm.nih.gov/Taxonomy/Browser/wwwtax.cgi?mode=Info&amp;id=1118748&amp;lvl=3&amp;lin=f&amp;keep=1&amp;srchmode=1&amp;unlock","1118748")</f>
        <v>1118748</v>
      </c>
      <c r="E247" t="s">
        <v>167</v>
      </c>
      <c r="F247" t="s">
        <v>167</v>
      </c>
      <c r="G247" t="str">
        <f>HYPERLINK("http://www.ncbi.nlm.nih.gov/Taxonomy/Browser/wwwtax.cgi?mode=Info&amp;id=1118748&amp;lvl=3&amp;lin=f&amp;keep=1&amp;srchmode=1&amp;unlock","Mesembrinibis cayennensis")</f>
        <v>Mesembrinibis cayennensis</v>
      </c>
      <c r="H247" t="s">
        <v>980</v>
      </c>
      <c r="I247" t="str">
        <f>HYPERLINK("http://www.ncbi.nlm.nih.gov/protein/NXL01257.1","ANDR protein")</f>
        <v>ANDR protein</v>
      </c>
      <c r="J247" t="s">
        <v>1261</v>
      </c>
      <c r="K247">
        <v>492.66</v>
      </c>
      <c r="L247" t="s">
        <v>25</v>
      </c>
      <c r="M247">
        <v>157</v>
      </c>
      <c r="N247">
        <v>62.55</v>
      </c>
      <c r="O247">
        <v>95.81</v>
      </c>
      <c r="P247" t="s">
        <v>20</v>
      </c>
      <c r="Q247" t="s">
        <v>1262</v>
      </c>
      <c r="R247" t="s">
        <v>20</v>
      </c>
      <c r="S247" t="str">
        <f>HYPERLINK("https://cfpub.epa.gov/ecotox/explore.cfm?ncbi=1118748","Explore in ECOTOX")</f>
        <v>Explore in ECOTOX</v>
      </c>
    </row>
    <row r="248" spans="1:19" x14ac:dyDescent="0.25">
      <c r="A248">
        <v>6</v>
      </c>
      <c r="B248" t="str">
        <f>HYPERLINK("http://www.ncbi.nlm.nih.gov/protein/XP_027761078.1","XP_027761078.1")</f>
        <v>XP_027761078.1</v>
      </c>
      <c r="C248">
        <v>34050</v>
      </c>
      <c r="D248" t="str">
        <f>HYPERLINK("http://www.ncbi.nlm.nih.gov/Taxonomy/Browser/wwwtax.cgi?mode=Info&amp;id=164674&amp;lvl=3&amp;lin=f&amp;keep=1&amp;srchmode=1&amp;unlock","164674")</f>
        <v>164674</v>
      </c>
      <c r="E248" t="s">
        <v>167</v>
      </c>
      <c r="F248" t="s">
        <v>167</v>
      </c>
      <c r="G248" t="str">
        <f>HYPERLINK("http://www.ncbi.nlm.nih.gov/Taxonomy/Browser/wwwtax.cgi?mode=Info&amp;id=164674&amp;lvl=3&amp;lin=f&amp;keep=1&amp;srchmode=1&amp;unlock","Empidonax traillii")</f>
        <v>Empidonax traillii</v>
      </c>
      <c r="H248" t="s">
        <v>403</v>
      </c>
      <c r="I248" t="str">
        <f>HYPERLINK("http://www.ncbi.nlm.nih.gov/protein/XP_027761078.1","androgen receptor")</f>
        <v>androgen receptor</v>
      </c>
      <c r="J248" t="s">
        <v>1261</v>
      </c>
      <c r="K248">
        <v>492.66</v>
      </c>
      <c r="L248" t="s">
        <v>25</v>
      </c>
      <c r="M248">
        <v>157</v>
      </c>
      <c r="N248">
        <v>62.55</v>
      </c>
      <c r="O248">
        <v>95.81</v>
      </c>
      <c r="P248" t="s">
        <v>20</v>
      </c>
      <c r="Q248" t="s">
        <v>1262</v>
      </c>
      <c r="R248" t="s">
        <v>20</v>
      </c>
      <c r="S248" t="str">
        <f>HYPERLINK("https://cfpub.epa.gov/ecotox/explore.cfm?ncbi=164674","Explore in ECOTOX")</f>
        <v>Explore in ECOTOX</v>
      </c>
    </row>
    <row r="249" spans="1:19" x14ac:dyDescent="0.25">
      <c r="A249">
        <v>6</v>
      </c>
      <c r="B249" t="str">
        <f>HYPERLINK("http://www.ncbi.nlm.nih.gov/protein/KAF1486375.1","KAF1486375.1")</f>
        <v>KAF1486375.1</v>
      </c>
      <c r="C249">
        <v>15002</v>
      </c>
      <c r="D249" t="str">
        <f>HYPERLINK("http://www.ncbi.nlm.nih.gov/Taxonomy/Browser/wwwtax.cgi?mode=Info&amp;id=2052820&amp;lvl=3&amp;lin=f&amp;keep=1&amp;srchmode=1&amp;unlock","2052820")</f>
        <v>2052820</v>
      </c>
      <c r="E249" t="s">
        <v>167</v>
      </c>
      <c r="F249" t="s">
        <v>167</v>
      </c>
      <c r="G249" t="str">
        <f>HYPERLINK("http://www.ncbi.nlm.nih.gov/Taxonomy/Browser/wwwtax.cgi?mode=Info&amp;id=2052820&amp;lvl=3&amp;lin=f&amp;keep=1&amp;srchmode=1&amp;unlock","Eudyptula novaehollandiae")</f>
        <v>Eudyptula novaehollandiae</v>
      </c>
      <c r="H249" t="s">
        <v>284</v>
      </c>
      <c r="I249" t="str">
        <f>HYPERLINK("http://www.ncbi.nlm.nih.gov/protein/KAF1486375.1","Androgen receptor, partial")</f>
        <v>Androgen receptor, partial</v>
      </c>
      <c r="J249" t="s">
        <v>1261</v>
      </c>
      <c r="K249">
        <v>492.66</v>
      </c>
      <c r="L249" t="s">
        <v>25</v>
      </c>
      <c r="M249">
        <v>157</v>
      </c>
      <c r="N249">
        <v>62.55</v>
      </c>
      <c r="O249">
        <v>95.81</v>
      </c>
      <c r="P249" t="s">
        <v>20</v>
      </c>
      <c r="Q249" t="s">
        <v>1262</v>
      </c>
      <c r="R249" t="s">
        <v>20</v>
      </c>
      <c r="S249" t="str">
        <f>HYPERLINK("https://cfpub.epa.gov/ecotox/explore.cfm?ncbi=2052820","Explore in ECOTOX")</f>
        <v>Explore in ECOTOX</v>
      </c>
    </row>
    <row r="250" spans="1:19" x14ac:dyDescent="0.25">
      <c r="A250">
        <v>6</v>
      </c>
      <c r="B250" t="str">
        <f>HYPERLINK("http://www.ncbi.nlm.nih.gov/protein/NWT00953.1","NWT00953.1")</f>
        <v>NWT00953.1</v>
      </c>
      <c r="C250">
        <v>14226</v>
      </c>
      <c r="D250" t="str">
        <f>HYPERLINK("http://www.ncbi.nlm.nih.gov/Taxonomy/Browser/wwwtax.cgi?mode=Info&amp;id=254557&amp;lvl=3&amp;lin=f&amp;keep=1&amp;srchmode=1&amp;unlock","254557")</f>
        <v>254557</v>
      </c>
      <c r="E250" t="s">
        <v>167</v>
      </c>
      <c r="F250" t="s">
        <v>167</v>
      </c>
      <c r="G250" t="str">
        <f>HYPERLINK("http://www.ncbi.nlm.nih.gov/Taxonomy/Browser/wwwtax.cgi?mode=Info&amp;id=254557&amp;lvl=3&amp;lin=f&amp;keep=1&amp;srchmode=1&amp;unlock","Mionectes macconnelli")</f>
        <v>Mionectes macconnelli</v>
      </c>
      <c r="H250" t="s">
        <v>323</v>
      </c>
      <c r="I250" t="str">
        <f>HYPERLINK("http://www.ncbi.nlm.nih.gov/protein/NWT00953.1","ANDR protein")</f>
        <v>ANDR protein</v>
      </c>
      <c r="J250" t="s">
        <v>1261</v>
      </c>
      <c r="K250">
        <v>492.66</v>
      </c>
      <c r="L250" t="s">
        <v>25</v>
      </c>
      <c r="M250">
        <v>157</v>
      </c>
      <c r="N250">
        <v>62.55</v>
      </c>
      <c r="O250">
        <v>95.81</v>
      </c>
      <c r="P250" t="s">
        <v>20</v>
      </c>
      <c r="Q250" t="s">
        <v>1262</v>
      </c>
      <c r="R250" t="s">
        <v>20</v>
      </c>
      <c r="S250" t="str">
        <f>HYPERLINK("https://cfpub.epa.gov/ecotox/explore.cfm?ncbi=254557","Explore in ECOTOX")</f>
        <v>Explore in ECOTOX</v>
      </c>
    </row>
    <row r="251" spans="1:19" x14ac:dyDescent="0.25">
      <c r="A251">
        <v>6</v>
      </c>
      <c r="B251" t="str">
        <f>HYPERLINK("http://www.ncbi.nlm.nih.gov/protein/NXM34828.1","NXM34828.1")</f>
        <v>NXM34828.1</v>
      </c>
      <c r="C251">
        <v>14068</v>
      </c>
      <c r="D251" t="str">
        <f>HYPERLINK("http://www.ncbi.nlm.nih.gov/Taxonomy/Browser/wwwtax.cgi?mode=Info&amp;id=114331&amp;lvl=3&amp;lin=f&amp;keep=1&amp;srchmode=1&amp;unlock","114331")</f>
        <v>114331</v>
      </c>
      <c r="E251" t="s">
        <v>167</v>
      </c>
      <c r="F251" t="s">
        <v>167</v>
      </c>
      <c r="G251" t="str">
        <f>HYPERLINK("http://www.ncbi.nlm.nih.gov/Taxonomy/Browser/wwwtax.cgi?mode=Info&amp;id=114331&amp;lvl=3&amp;lin=f&amp;keep=1&amp;srchmode=1&amp;unlock","Oxyruncus cristatus")</f>
        <v>Oxyruncus cristatus</v>
      </c>
      <c r="H251" t="s">
        <v>466</v>
      </c>
      <c r="I251" t="str">
        <f>HYPERLINK("http://www.ncbi.nlm.nih.gov/protein/NXM34828.1","ANDR protein")</f>
        <v>ANDR protein</v>
      </c>
      <c r="J251" t="s">
        <v>1261</v>
      </c>
      <c r="K251">
        <v>492.66</v>
      </c>
      <c r="L251" t="s">
        <v>25</v>
      </c>
      <c r="M251">
        <v>157</v>
      </c>
      <c r="N251">
        <v>62.55</v>
      </c>
      <c r="O251">
        <v>95.81</v>
      </c>
      <c r="P251" t="s">
        <v>20</v>
      </c>
      <c r="Q251" t="s">
        <v>1262</v>
      </c>
      <c r="R251" t="s">
        <v>20</v>
      </c>
      <c r="S251" t="str">
        <f>HYPERLINK("https://cfpub.epa.gov/ecotox/explore.cfm?ncbi=114331","Explore in ECOTOX")</f>
        <v>Explore in ECOTOX</v>
      </c>
    </row>
    <row r="252" spans="1:19" x14ac:dyDescent="0.25">
      <c r="A252">
        <v>6</v>
      </c>
      <c r="B252" t="str">
        <f>HYPERLINK("http://www.ncbi.nlm.nih.gov/protein/NWU83853.1","NWU83853.1")</f>
        <v>NWU83853.1</v>
      </c>
      <c r="C252">
        <v>14404</v>
      </c>
      <c r="D252" t="str">
        <f>HYPERLINK("http://www.ncbi.nlm.nih.gov/Taxonomy/Browser/wwwtax.cgi?mode=Info&amp;id=360224&amp;lvl=3&amp;lin=f&amp;keep=1&amp;srchmode=1&amp;unlock","360224")</f>
        <v>360224</v>
      </c>
      <c r="E252" t="s">
        <v>167</v>
      </c>
      <c r="F252" t="s">
        <v>167</v>
      </c>
      <c r="G252" t="str">
        <f>HYPERLINK("http://www.ncbi.nlm.nih.gov/Taxonomy/Browser/wwwtax.cgi?mode=Info&amp;id=360224&amp;lvl=3&amp;lin=f&amp;keep=1&amp;srchmode=1&amp;unlock","Onychorhynchus coronatus")</f>
        <v>Onychorhynchus coronatus</v>
      </c>
      <c r="H252" t="s">
        <v>206</v>
      </c>
      <c r="I252" t="str">
        <f>HYPERLINK("http://www.ncbi.nlm.nih.gov/protein/NWU83853.1","ANDR protein")</f>
        <v>ANDR protein</v>
      </c>
      <c r="J252" t="s">
        <v>1261</v>
      </c>
      <c r="K252">
        <v>492.66</v>
      </c>
      <c r="L252" t="s">
        <v>25</v>
      </c>
      <c r="M252">
        <v>157</v>
      </c>
      <c r="N252">
        <v>62.55</v>
      </c>
      <c r="O252">
        <v>95.81</v>
      </c>
      <c r="P252" t="s">
        <v>20</v>
      </c>
      <c r="Q252" t="s">
        <v>1262</v>
      </c>
      <c r="R252" t="s">
        <v>20</v>
      </c>
      <c r="S252" t="str">
        <f>HYPERLINK("https://cfpub.epa.gov/ecotox/explore.cfm?ncbi=360224","Explore in ECOTOX")</f>
        <v>Explore in ECOTOX</v>
      </c>
    </row>
    <row r="253" spans="1:19" x14ac:dyDescent="0.25">
      <c r="A253">
        <v>6</v>
      </c>
      <c r="B253" t="str">
        <f>HYPERLINK("http://www.ncbi.nlm.nih.gov/protein/NXG80896.1","NXG80896.1")</f>
        <v>NXG80896.1</v>
      </c>
      <c r="C253">
        <v>13417</v>
      </c>
      <c r="D253" t="str">
        <f>HYPERLINK("http://www.ncbi.nlm.nih.gov/Taxonomy/Browser/wwwtax.cgi?mode=Info&amp;id=176943&amp;lvl=3&amp;lin=f&amp;keep=1&amp;srchmode=1&amp;unlock","176943")</f>
        <v>176943</v>
      </c>
      <c r="E253" t="s">
        <v>167</v>
      </c>
      <c r="F253" t="s">
        <v>167</v>
      </c>
      <c r="G253" t="str">
        <f>HYPERLINK("http://www.ncbi.nlm.nih.gov/Taxonomy/Browser/wwwtax.cgi?mode=Info&amp;id=176943&amp;lvl=3&amp;lin=f&amp;keep=1&amp;srchmode=1&amp;unlock","Baryphthengus martii")</f>
        <v>Baryphthengus martii</v>
      </c>
      <c r="H253" t="s">
        <v>238</v>
      </c>
      <c r="I253" t="str">
        <f>HYPERLINK("http://www.ncbi.nlm.nih.gov/protein/NXG80896.1","ANDR protein")</f>
        <v>ANDR protein</v>
      </c>
      <c r="J253" t="s">
        <v>1261</v>
      </c>
      <c r="K253">
        <v>492.66</v>
      </c>
      <c r="L253" t="s">
        <v>25</v>
      </c>
      <c r="M253">
        <v>157</v>
      </c>
      <c r="N253">
        <v>62.55</v>
      </c>
      <c r="O253">
        <v>95.81</v>
      </c>
      <c r="P253" t="s">
        <v>20</v>
      </c>
      <c r="Q253" t="s">
        <v>1262</v>
      </c>
      <c r="R253" t="s">
        <v>20</v>
      </c>
      <c r="S253" t="str">
        <f>HYPERLINK("https://cfpub.epa.gov/ecotox/explore.cfm?ncbi=176943","Explore in ECOTOX")</f>
        <v>Explore in ECOTOX</v>
      </c>
    </row>
    <row r="254" spans="1:19" x14ac:dyDescent="0.25">
      <c r="A254">
        <v>6</v>
      </c>
      <c r="B254" t="str">
        <f>HYPERLINK("http://www.ncbi.nlm.nih.gov/protein/NWR35662.1","NWR35662.1")</f>
        <v>NWR35662.1</v>
      </c>
      <c r="C254">
        <v>14362</v>
      </c>
      <c r="D254" t="str">
        <f>HYPERLINK("http://www.ncbi.nlm.nih.gov/Taxonomy/Browser/wwwtax.cgi?mode=Info&amp;id=495162&amp;lvl=3&amp;lin=f&amp;keep=1&amp;srchmode=1&amp;unlock","495162")</f>
        <v>495162</v>
      </c>
      <c r="E254" t="s">
        <v>167</v>
      </c>
      <c r="F254" t="s">
        <v>167</v>
      </c>
      <c r="G254" t="str">
        <f>HYPERLINK("http://www.ncbi.nlm.nih.gov/Taxonomy/Browser/wwwtax.cgi?mode=Info&amp;id=495162&amp;lvl=3&amp;lin=f&amp;keep=1&amp;srchmode=1&amp;unlock","Tachuris rubrigastra")</f>
        <v>Tachuris rubrigastra</v>
      </c>
      <c r="H254" t="s">
        <v>206</v>
      </c>
      <c r="I254" t="str">
        <f>HYPERLINK("http://www.ncbi.nlm.nih.gov/protein/NWR35662.1","ANDR protein")</f>
        <v>ANDR protein</v>
      </c>
      <c r="J254" t="s">
        <v>1261</v>
      </c>
      <c r="K254">
        <v>492.66</v>
      </c>
      <c r="L254" t="s">
        <v>25</v>
      </c>
      <c r="M254">
        <v>157</v>
      </c>
      <c r="N254">
        <v>62.55</v>
      </c>
      <c r="O254">
        <v>95.81</v>
      </c>
      <c r="P254" t="s">
        <v>20</v>
      </c>
      <c r="Q254" t="s">
        <v>1262</v>
      </c>
      <c r="R254" t="s">
        <v>20</v>
      </c>
      <c r="S254" t="str">
        <f>HYPERLINK("https://cfpub.epa.gov/ecotox/explore.cfm?ncbi=495162","Explore in ECOTOX")</f>
        <v>Explore in ECOTOX</v>
      </c>
    </row>
    <row r="255" spans="1:19" x14ac:dyDescent="0.25">
      <c r="A255">
        <v>6</v>
      </c>
      <c r="B255" t="str">
        <f>HYPERLINK("http://www.ncbi.nlm.nih.gov/protein/NXK94210.1","NXK94210.1")</f>
        <v>NXK94210.1</v>
      </c>
      <c r="C255">
        <v>13619</v>
      </c>
      <c r="D255" t="str">
        <f>HYPERLINK("http://www.ncbi.nlm.nih.gov/Taxonomy/Browser/wwwtax.cgi?mode=Info&amp;id=1118560&amp;lvl=3&amp;lin=f&amp;keep=1&amp;srchmode=1&amp;unlock","1118560")</f>
        <v>1118560</v>
      </c>
      <c r="E255" t="s">
        <v>167</v>
      </c>
      <c r="F255" t="s">
        <v>167</v>
      </c>
      <c r="G255" t="str">
        <f>HYPERLINK("http://www.ncbi.nlm.nih.gov/Taxonomy/Browser/wwwtax.cgi?mode=Info&amp;id=1118560&amp;lvl=3&amp;lin=f&amp;keep=1&amp;srchmode=1&amp;unlock","Formicarius rufipectus")</f>
        <v>Formicarius rufipectus</v>
      </c>
      <c r="H255" t="s">
        <v>206</v>
      </c>
      <c r="I255" t="str">
        <f>HYPERLINK("http://www.ncbi.nlm.nih.gov/protein/NXK94210.1","ANDR protein")</f>
        <v>ANDR protein</v>
      </c>
      <c r="J255" t="s">
        <v>1261</v>
      </c>
      <c r="K255">
        <v>492.66</v>
      </c>
      <c r="L255" t="s">
        <v>25</v>
      </c>
      <c r="M255">
        <v>157</v>
      </c>
      <c r="N255">
        <v>62.55</v>
      </c>
      <c r="O255">
        <v>95.81</v>
      </c>
      <c r="P255" t="s">
        <v>20</v>
      </c>
      <c r="Q255" t="s">
        <v>1262</v>
      </c>
      <c r="R255" t="s">
        <v>20</v>
      </c>
      <c r="S255" t="str">
        <f>HYPERLINK("https://cfpub.epa.gov/ecotox/explore.cfm?ncbi=1118560","Explore in ECOTOX")</f>
        <v>Explore in ECOTOX</v>
      </c>
    </row>
    <row r="256" spans="1:19" x14ac:dyDescent="0.25">
      <c r="A256">
        <v>6</v>
      </c>
      <c r="B256" t="str">
        <f>HYPERLINK("http://www.ncbi.nlm.nih.gov/protein/NWR87654.1","NWR87654.1")</f>
        <v>NWR87654.1</v>
      </c>
      <c r="C256">
        <v>13898</v>
      </c>
      <c r="D256" t="str">
        <f>HYPERLINK("http://www.ncbi.nlm.nih.gov/Taxonomy/Browser/wwwtax.cgi?mode=Info&amp;id=463165&amp;lvl=3&amp;lin=f&amp;keep=1&amp;srchmode=1&amp;unlock","463165")</f>
        <v>463165</v>
      </c>
      <c r="E256" t="s">
        <v>167</v>
      </c>
      <c r="F256" t="s">
        <v>167</v>
      </c>
      <c r="G256" t="str">
        <f>HYPERLINK("http://www.ncbi.nlm.nih.gov/Taxonomy/Browser/wwwtax.cgi?mode=Info&amp;id=463165&amp;lvl=3&amp;lin=f&amp;keep=1&amp;srchmode=1&amp;unlock","Furnarius figulus")</f>
        <v>Furnarius figulus</v>
      </c>
      <c r="H256" t="s">
        <v>206</v>
      </c>
      <c r="I256" t="str">
        <f>HYPERLINK("http://www.ncbi.nlm.nih.gov/protein/NWR87654.1","ANDR protein")</f>
        <v>ANDR protein</v>
      </c>
      <c r="J256" t="s">
        <v>1261</v>
      </c>
      <c r="K256">
        <v>492.66</v>
      </c>
      <c r="L256" t="s">
        <v>25</v>
      </c>
      <c r="M256">
        <v>157</v>
      </c>
      <c r="N256">
        <v>62.55</v>
      </c>
      <c r="O256">
        <v>95.81</v>
      </c>
      <c r="P256" t="s">
        <v>20</v>
      </c>
      <c r="Q256" t="s">
        <v>1262</v>
      </c>
      <c r="R256" t="s">
        <v>20</v>
      </c>
      <c r="S256" t="str">
        <f>HYPERLINK("https://cfpub.epa.gov/ecotox/explore.cfm?ncbi=463165","Explore in ECOTOX")</f>
        <v>Explore in ECOTOX</v>
      </c>
    </row>
    <row r="257" spans="1:19" x14ac:dyDescent="0.25">
      <c r="A257">
        <v>6</v>
      </c>
      <c r="B257" t="str">
        <f>HYPERLINK("http://www.ncbi.nlm.nih.gov/protein/NXF79956.1","NXF79956.1")</f>
        <v>NXF79956.1</v>
      </c>
      <c r="C257">
        <v>14134</v>
      </c>
      <c r="D257" t="str">
        <f>HYPERLINK("http://www.ncbi.nlm.nih.gov/Taxonomy/Browser/wwwtax.cgi?mode=Info&amp;id=265632&amp;lvl=3&amp;lin=f&amp;keep=1&amp;srchmode=1&amp;unlock","265632")</f>
        <v>265632</v>
      </c>
      <c r="E257" t="s">
        <v>167</v>
      </c>
      <c r="F257" t="s">
        <v>167</v>
      </c>
      <c r="G257" t="str">
        <f>HYPERLINK("http://www.ncbi.nlm.nih.gov/Taxonomy/Browser/wwwtax.cgi?mode=Info&amp;id=265632&amp;lvl=3&amp;lin=f&amp;keep=1&amp;srchmode=1&amp;unlock","Sclerurus mexicanus")</f>
        <v>Sclerurus mexicanus</v>
      </c>
      <c r="H257" t="s">
        <v>436</v>
      </c>
      <c r="I257" t="str">
        <f>HYPERLINK("http://www.ncbi.nlm.nih.gov/protein/NXF79956.1","ANDR protein")</f>
        <v>ANDR protein</v>
      </c>
      <c r="J257" t="s">
        <v>1261</v>
      </c>
      <c r="K257">
        <v>492.66</v>
      </c>
      <c r="L257" t="s">
        <v>25</v>
      </c>
      <c r="M257">
        <v>157</v>
      </c>
      <c r="N257">
        <v>62.55</v>
      </c>
      <c r="O257">
        <v>95.81</v>
      </c>
      <c r="P257" t="s">
        <v>20</v>
      </c>
      <c r="Q257" t="s">
        <v>1262</v>
      </c>
      <c r="R257" t="s">
        <v>20</v>
      </c>
      <c r="S257" t="str">
        <f>HYPERLINK("https://cfpub.epa.gov/ecotox/explore.cfm?ncbi=265632","Explore in ECOTOX")</f>
        <v>Explore in ECOTOX</v>
      </c>
    </row>
    <row r="258" spans="1:19" x14ac:dyDescent="0.25">
      <c r="A258">
        <v>6</v>
      </c>
      <c r="B258" t="str">
        <f>HYPERLINK("http://www.ncbi.nlm.nih.gov/protein/NXL45107.1","NXL45107.1")</f>
        <v>NXL45107.1</v>
      </c>
      <c r="C258">
        <v>14232</v>
      </c>
      <c r="D258" t="str">
        <f>HYPERLINK("http://www.ncbi.nlm.nih.gov/Taxonomy/Browser/wwwtax.cgi?mode=Info&amp;id=9252&amp;lvl=3&amp;lin=f&amp;keep=1&amp;srchmode=1&amp;unlock","9252")</f>
        <v>9252</v>
      </c>
      <c r="E258" t="s">
        <v>167</v>
      </c>
      <c r="F258" t="s">
        <v>167</v>
      </c>
      <c r="G258" t="str">
        <f>HYPERLINK("http://www.ncbi.nlm.nih.gov/Taxonomy/Browser/wwwtax.cgi?mode=Info&amp;id=9252&amp;lvl=3&amp;lin=f&amp;keep=1&amp;srchmode=1&amp;unlock","Podilymbus podiceps")</f>
        <v>Podilymbus podiceps</v>
      </c>
      <c r="H258" t="s">
        <v>604</v>
      </c>
      <c r="I258" t="str">
        <f>HYPERLINK("http://www.ncbi.nlm.nih.gov/protein/NXL45107.1","ANDR protein")</f>
        <v>ANDR protein</v>
      </c>
      <c r="J258" t="s">
        <v>1261</v>
      </c>
      <c r="K258">
        <v>492.66</v>
      </c>
      <c r="L258" t="s">
        <v>25</v>
      </c>
      <c r="M258">
        <v>157</v>
      </c>
      <c r="N258">
        <v>62.55</v>
      </c>
      <c r="O258">
        <v>95.81</v>
      </c>
      <c r="P258" t="s">
        <v>20</v>
      </c>
      <c r="Q258" t="s">
        <v>1262</v>
      </c>
      <c r="R258" t="s">
        <v>20</v>
      </c>
      <c r="S258" t="str">
        <f>HYPERLINK("https://cfpub.epa.gov/ecotox/explore.cfm?ncbi=9252","Explore in ECOTOX")</f>
        <v>Explore in ECOTOX</v>
      </c>
    </row>
    <row r="259" spans="1:19" x14ac:dyDescent="0.25">
      <c r="A259">
        <v>6</v>
      </c>
      <c r="B259" t="str">
        <f>HYPERLINK("http://www.ncbi.nlm.nih.gov/protein/XP_025910449.1","XP_025910449.1")</f>
        <v>XP_025910449.1</v>
      </c>
      <c r="C259">
        <v>21562</v>
      </c>
      <c r="D259" t="str">
        <f>HYPERLINK("http://www.ncbi.nlm.nih.gov/Taxonomy/Browser/wwwtax.cgi?mode=Info&amp;id=30464&amp;lvl=3&amp;lin=f&amp;keep=1&amp;srchmode=1&amp;unlock","30464")</f>
        <v>30464</v>
      </c>
      <c r="E259" t="s">
        <v>167</v>
      </c>
      <c r="F259" t="s">
        <v>167</v>
      </c>
      <c r="G259" t="str">
        <f>HYPERLINK("http://www.ncbi.nlm.nih.gov/Taxonomy/Browser/wwwtax.cgi?mode=Info&amp;id=30464&amp;lvl=3&amp;lin=f&amp;keep=1&amp;srchmode=1&amp;unlock","Nothoprocta perdicaria")</f>
        <v>Nothoprocta perdicaria</v>
      </c>
      <c r="H259" t="s">
        <v>196</v>
      </c>
      <c r="I259" t="str">
        <f>HYPERLINK("http://www.ncbi.nlm.nih.gov/protein/XP_025910449.1","androgen receptor isoform X2")</f>
        <v>androgen receptor isoform X2</v>
      </c>
      <c r="J259" t="s">
        <v>1261</v>
      </c>
      <c r="K259">
        <v>492.66</v>
      </c>
      <c r="L259" t="s">
        <v>25</v>
      </c>
      <c r="M259">
        <v>157</v>
      </c>
      <c r="N259">
        <v>62.55</v>
      </c>
      <c r="O259">
        <v>95.81</v>
      </c>
      <c r="P259" t="s">
        <v>20</v>
      </c>
      <c r="Q259" t="s">
        <v>1262</v>
      </c>
      <c r="R259" t="s">
        <v>20</v>
      </c>
      <c r="S259" t="str">
        <f>HYPERLINK("https://cfpub.epa.gov/ecotox/explore.cfm?ncbi=30464","Explore in ECOTOX")</f>
        <v>Explore in ECOTOX</v>
      </c>
    </row>
    <row r="260" spans="1:19" x14ac:dyDescent="0.25">
      <c r="A260">
        <v>6</v>
      </c>
      <c r="B260" t="str">
        <f>HYPERLINK("http://www.ncbi.nlm.nih.gov/protein/NWH18235.1","NWH18235.1")</f>
        <v>NWH18235.1</v>
      </c>
      <c r="C260">
        <v>13830</v>
      </c>
      <c r="D260" t="str">
        <f>HYPERLINK("http://www.ncbi.nlm.nih.gov/Taxonomy/Browser/wwwtax.cgi?mode=Info&amp;id=9117&amp;lvl=3&amp;lin=f&amp;keep=1&amp;srchmode=1&amp;unlock","9117")</f>
        <v>9117</v>
      </c>
      <c r="E260" t="s">
        <v>167</v>
      </c>
      <c r="F260" t="s">
        <v>167</v>
      </c>
      <c r="G260" t="str">
        <f>HYPERLINK("http://www.ncbi.nlm.nih.gov/Taxonomy/Browser/wwwtax.cgi?mode=Info&amp;id=9117&amp;lvl=3&amp;lin=f&amp;keep=1&amp;srchmode=1&amp;unlock","Grus americana")</f>
        <v>Grus americana</v>
      </c>
      <c r="H260" t="s">
        <v>581</v>
      </c>
      <c r="I260" t="str">
        <f>HYPERLINK("http://www.ncbi.nlm.nih.gov/protein/NWH18235.1","ANDR protein")</f>
        <v>ANDR protein</v>
      </c>
      <c r="J260" t="s">
        <v>1261</v>
      </c>
      <c r="K260">
        <v>492.66</v>
      </c>
      <c r="L260" t="s">
        <v>25</v>
      </c>
      <c r="M260">
        <v>157</v>
      </c>
      <c r="N260">
        <v>62.55</v>
      </c>
      <c r="O260">
        <v>95.81</v>
      </c>
      <c r="P260" t="s">
        <v>20</v>
      </c>
      <c r="Q260" t="s">
        <v>1262</v>
      </c>
      <c r="R260" t="s">
        <v>20</v>
      </c>
      <c r="S260" t="str">
        <f>HYPERLINK("https://cfpub.epa.gov/ecotox/explore.cfm?ncbi=9117","Explore in ECOTOX")</f>
        <v>Explore in ECOTOX</v>
      </c>
    </row>
    <row r="261" spans="1:19" x14ac:dyDescent="0.25">
      <c r="A261">
        <v>6</v>
      </c>
      <c r="B261" t="str">
        <f>HYPERLINK("http://www.ncbi.nlm.nih.gov/protein/XP_037264418.1","XP_037264418.1")</f>
        <v>XP_037264418.1</v>
      </c>
      <c r="C261">
        <v>41450</v>
      </c>
      <c r="D261" t="str">
        <f>HYPERLINK("http://www.ncbi.nlm.nih.gov/Taxonomy/Browser/wwwtax.cgi?mode=Info&amp;id=120794&amp;lvl=3&amp;lin=f&amp;keep=1&amp;srchmode=1&amp;unlock","120794")</f>
        <v>120794</v>
      </c>
      <c r="E261" t="s">
        <v>167</v>
      </c>
      <c r="F261" t="s">
        <v>167</v>
      </c>
      <c r="G261" t="str">
        <f>HYPERLINK("http://www.ncbi.nlm.nih.gov/Taxonomy/Browser/wwwtax.cgi?mode=Info&amp;id=120794&amp;lvl=3&amp;lin=f&amp;keep=1&amp;srchmode=1&amp;unlock","Falco rusticolus")</f>
        <v>Falco rusticolus</v>
      </c>
      <c r="H261" t="s">
        <v>437</v>
      </c>
      <c r="I261" t="str">
        <f>HYPERLINK("http://www.ncbi.nlm.nih.gov/protein/XP_037264418.1","androgen receptor")</f>
        <v>androgen receptor</v>
      </c>
      <c r="J261" t="s">
        <v>1261</v>
      </c>
      <c r="K261">
        <v>492.66</v>
      </c>
      <c r="L261" t="s">
        <v>25</v>
      </c>
      <c r="M261">
        <v>157</v>
      </c>
      <c r="N261">
        <v>62.55</v>
      </c>
      <c r="O261">
        <v>95.81</v>
      </c>
      <c r="P261" t="s">
        <v>20</v>
      </c>
      <c r="Q261" t="s">
        <v>1262</v>
      </c>
      <c r="R261" t="s">
        <v>20</v>
      </c>
      <c r="S261" t="str">
        <f>HYPERLINK("https://cfpub.epa.gov/ecotox/explore.cfm?ncbi=120794","Explore in ECOTOX")</f>
        <v>Explore in ECOTOX</v>
      </c>
    </row>
    <row r="262" spans="1:19" x14ac:dyDescent="0.25">
      <c r="A262">
        <v>6</v>
      </c>
      <c r="B262" t="str">
        <f>HYPERLINK("http://www.ncbi.nlm.nih.gov/protein/XP_040470686.1","XP_040470686.1")</f>
        <v>XP_040470686.1</v>
      </c>
      <c r="C262">
        <v>41476</v>
      </c>
      <c r="D262" t="str">
        <f>HYPERLINK("http://www.ncbi.nlm.nih.gov/Taxonomy/Browser/wwwtax.cgi?mode=Info&amp;id=148594&amp;lvl=3&amp;lin=f&amp;keep=1&amp;srchmode=1&amp;unlock","148594")</f>
        <v>148594</v>
      </c>
      <c r="E262" t="s">
        <v>167</v>
      </c>
      <c r="F262" t="s">
        <v>167</v>
      </c>
      <c r="G262" t="str">
        <f>HYPERLINK("http://www.ncbi.nlm.nih.gov/Taxonomy/Browser/wwwtax.cgi?mode=Info&amp;id=148594&amp;lvl=3&amp;lin=f&amp;keep=1&amp;srchmode=1&amp;unlock","Falco naumanni")</f>
        <v>Falco naumanni</v>
      </c>
      <c r="H262" t="s">
        <v>433</v>
      </c>
      <c r="I262" t="str">
        <f>HYPERLINK("http://www.ncbi.nlm.nih.gov/protein/XP_040470686.1","androgen receptor")</f>
        <v>androgen receptor</v>
      </c>
      <c r="J262" t="s">
        <v>1261</v>
      </c>
      <c r="K262">
        <v>492.66</v>
      </c>
      <c r="L262" t="s">
        <v>25</v>
      </c>
      <c r="M262">
        <v>157</v>
      </c>
      <c r="N262">
        <v>62.55</v>
      </c>
      <c r="O262">
        <v>95.81</v>
      </c>
      <c r="P262" t="s">
        <v>20</v>
      </c>
      <c r="Q262" t="s">
        <v>1262</v>
      </c>
      <c r="R262" t="s">
        <v>20</v>
      </c>
      <c r="S262" t="str">
        <f>HYPERLINK("https://cfpub.epa.gov/ecotox/explore.cfm?ncbi=148594","Explore in ECOTOX")</f>
        <v>Explore in ECOTOX</v>
      </c>
    </row>
    <row r="263" spans="1:19" x14ac:dyDescent="0.25">
      <c r="A263">
        <v>6</v>
      </c>
      <c r="B263" t="str">
        <f>HYPERLINK("http://www.ncbi.nlm.nih.gov/protein/XP_032852006.1","XP_032852006.1")</f>
        <v>XP_032852006.1</v>
      </c>
      <c r="C263">
        <v>32984</v>
      </c>
      <c r="D263" t="str">
        <f>HYPERLINK("http://www.ncbi.nlm.nih.gov/Taxonomy/Browser/wwwtax.cgi?mode=Info&amp;id=507980&amp;lvl=3&amp;lin=f&amp;keep=1&amp;srchmode=1&amp;unlock","507980")</f>
        <v>507980</v>
      </c>
      <c r="E263" t="s">
        <v>167</v>
      </c>
      <c r="F263" t="s">
        <v>167</v>
      </c>
      <c r="G263" t="str">
        <f>HYPERLINK("http://www.ncbi.nlm.nih.gov/Taxonomy/Browser/wwwtax.cgi?mode=Info&amp;id=507980&amp;lvl=3&amp;lin=f&amp;keep=1&amp;srchmode=1&amp;unlock","Tyto alba alba")</f>
        <v>Tyto alba alba</v>
      </c>
      <c r="H263" t="s">
        <v>250</v>
      </c>
      <c r="I263" t="str">
        <f>HYPERLINK("http://www.ncbi.nlm.nih.gov/protein/XP_032852006.1","LOW QUALITY PROTEIN: androgen receptor")</f>
        <v>LOW QUALITY PROTEIN: androgen receptor</v>
      </c>
      <c r="J263" t="s">
        <v>1261</v>
      </c>
      <c r="K263">
        <v>492.66</v>
      </c>
      <c r="L263" t="s">
        <v>25</v>
      </c>
      <c r="M263">
        <v>157</v>
      </c>
      <c r="N263">
        <v>62.55</v>
      </c>
      <c r="O263">
        <v>95.81</v>
      </c>
      <c r="P263" t="s">
        <v>20</v>
      </c>
      <c r="Q263" t="s">
        <v>1262</v>
      </c>
      <c r="R263" t="s">
        <v>20</v>
      </c>
      <c r="S263" t="str">
        <f>HYPERLINK("https://cfpub.epa.gov/ecotox/explore.cfm?ncbi=507980","Explore in ECOTOX")</f>
        <v>Explore in ECOTOX</v>
      </c>
    </row>
    <row r="264" spans="1:19" x14ac:dyDescent="0.25">
      <c r="A264">
        <v>6</v>
      </c>
      <c r="B264" t="str">
        <f>HYPERLINK("http://www.ncbi.nlm.nih.gov/protein/NWY79368.1","NWY79368.1")</f>
        <v>NWY79368.1</v>
      </c>
      <c r="C264">
        <v>12391</v>
      </c>
      <c r="D264" t="str">
        <f>HYPERLINK("http://www.ncbi.nlm.nih.gov/Taxonomy/Browser/wwwtax.cgi?mode=Info&amp;id=468512&amp;lvl=3&amp;lin=f&amp;keep=1&amp;srchmode=1&amp;unlock","468512")</f>
        <v>468512</v>
      </c>
      <c r="E264" t="s">
        <v>167</v>
      </c>
      <c r="F264" t="s">
        <v>167</v>
      </c>
      <c r="G264" t="str">
        <f>HYPERLINK("http://www.ncbi.nlm.nih.gov/Taxonomy/Browser/wwwtax.cgi?mode=Info&amp;id=468512&amp;lvl=3&amp;lin=f&amp;keep=1&amp;srchmode=1&amp;unlock","Rhegmatorhina hoffmannsi")</f>
        <v>Rhegmatorhina hoffmannsi</v>
      </c>
      <c r="H264" t="s">
        <v>444</v>
      </c>
      <c r="I264" t="str">
        <f>HYPERLINK("http://www.ncbi.nlm.nih.gov/protein/NWY79368.1","ANDR protein")</f>
        <v>ANDR protein</v>
      </c>
      <c r="J264" t="s">
        <v>1261</v>
      </c>
      <c r="K264">
        <v>492.66</v>
      </c>
      <c r="L264" t="s">
        <v>25</v>
      </c>
      <c r="M264">
        <v>157</v>
      </c>
      <c r="N264">
        <v>62.55</v>
      </c>
      <c r="O264">
        <v>95.81</v>
      </c>
      <c r="P264" t="s">
        <v>20</v>
      </c>
      <c r="Q264" t="s">
        <v>1262</v>
      </c>
      <c r="R264" t="s">
        <v>20</v>
      </c>
      <c r="S264" t="str">
        <f>HYPERLINK("https://cfpub.epa.gov/ecotox/explore.cfm?ncbi=468512","Explore in ECOTOX")</f>
        <v>Explore in ECOTOX</v>
      </c>
    </row>
    <row r="265" spans="1:19" x14ac:dyDescent="0.25">
      <c r="A265">
        <v>6</v>
      </c>
      <c r="B265" t="str">
        <f>HYPERLINK("http://www.ncbi.nlm.nih.gov/protein/KFQ63000.1","KFQ63000.1")</f>
        <v>KFQ63000.1</v>
      </c>
      <c r="C265">
        <v>28615</v>
      </c>
      <c r="D265" t="str">
        <f>HYPERLINK("http://www.ncbi.nlm.nih.gov/Taxonomy/Browser/wwwtax.cgi?mode=Info&amp;id=36300&amp;lvl=3&amp;lin=f&amp;keep=1&amp;srchmode=1&amp;unlock","36300")</f>
        <v>36300</v>
      </c>
      <c r="E265" t="s">
        <v>167</v>
      </c>
      <c r="F265" t="s">
        <v>167</v>
      </c>
      <c r="G265" t="str">
        <f>HYPERLINK("http://www.ncbi.nlm.nih.gov/Taxonomy/Browser/wwwtax.cgi?mode=Info&amp;id=36300&amp;lvl=3&amp;lin=f&amp;keep=1&amp;srchmode=1&amp;unlock","Pelecanus crispus")</f>
        <v>Pelecanus crispus</v>
      </c>
      <c r="H265" t="s">
        <v>269</v>
      </c>
      <c r="I265" t="str">
        <f>HYPERLINK("http://www.ncbi.nlm.nih.gov/protein/KFQ63000.1","Androgen receptor, partial")</f>
        <v>Androgen receptor, partial</v>
      </c>
      <c r="J265" t="s">
        <v>1261</v>
      </c>
      <c r="K265">
        <v>492.66</v>
      </c>
      <c r="L265" t="s">
        <v>25</v>
      </c>
      <c r="M265">
        <v>157</v>
      </c>
      <c r="N265">
        <v>62.55</v>
      </c>
      <c r="O265">
        <v>95.81</v>
      </c>
      <c r="P265" t="s">
        <v>20</v>
      </c>
      <c r="Q265" t="s">
        <v>1262</v>
      </c>
      <c r="R265" t="s">
        <v>20</v>
      </c>
      <c r="S265" t="str">
        <f>HYPERLINK("https://cfpub.epa.gov/ecotox/explore.cfm?ncbi=36300","Explore in ECOTOX")</f>
        <v>Explore in ECOTOX</v>
      </c>
    </row>
    <row r="266" spans="1:19" x14ac:dyDescent="0.25">
      <c r="A266">
        <v>6</v>
      </c>
      <c r="B266" t="str">
        <f>HYPERLINK("http://www.ncbi.nlm.nih.gov/protein/NWH43024.1","NWH43024.1")</f>
        <v>NWH43024.1</v>
      </c>
      <c r="C266">
        <v>13301</v>
      </c>
      <c r="D266" t="str">
        <f>HYPERLINK("http://www.ncbi.nlm.nih.gov/Taxonomy/Browser/wwwtax.cgi?mode=Info&amp;id=37042&amp;lvl=3&amp;lin=f&amp;keep=1&amp;srchmode=1&amp;unlock","37042")</f>
        <v>37042</v>
      </c>
      <c r="E266" t="s">
        <v>167</v>
      </c>
      <c r="F266" t="s">
        <v>167</v>
      </c>
      <c r="G266" t="str">
        <f>HYPERLINK("http://www.ncbi.nlm.nih.gov/Taxonomy/Browser/wwwtax.cgi?mode=Info&amp;id=37042&amp;lvl=3&amp;lin=f&amp;keep=1&amp;srchmode=1&amp;unlock","Fregata magnificens")</f>
        <v>Fregata magnificens</v>
      </c>
      <c r="H266" t="s">
        <v>213</v>
      </c>
      <c r="I266" t="str">
        <f>HYPERLINK("http://www.ncbi.nlm.nih.gov/protein/NWH43024.1","ANDR protein")</f>
        <v>ANDR protein</v>
      </c>
      <c r="J266" t="s">
        <v>1261</v>
      </c>
      <c r="K266">
        <v>492.66</v>
      </c>
      <c r="L266" t="s">
        <v>25</v>
      </c>
      <c r="M266">
        <v>157</v>
      </c>
      <c r="N266">
        <v>62.55</v>
      </c>
      <c r="O266">
        <v>95.81</v>
      </c>
      <c r="P266" t="s">
        <v>20</v>
      </c>
      <c r="Q266" t="s">
        <v>1262</v>
      </c>
      <c r="R266" t="s">
        <v>20</v>
      </c>
      <c r="S266" t="str">
        <f>HYPERLINK("https://cfpub.epa.gov/ecotox/explore.cfm?ncbi=37042","Explore in ECOTOX")</f>
        <v>Explore in ECOTOX</v>
      </c>
    </row>
    <row r="267" spans="1:19" x14ac:dyDescent="0.25">
      <c r="A267">
        <v>6</v>
      </c>
      <c r="B267" t="str">
        <f>HYPERLINK("http://www.ncbi.nlm.nih.gov/protein/NXI90338.1","NXI90338.1")</f>
        <v>NXI90338.1</v>
      </c>
      <c r="C267">
        <v>13920</v>
      </c>
      <c r="D267" t="str">
        <f>HYPERLINK("http://www.ncbi.nlm.nih.gov/Taxonomy/Browser/wwwtax.cgi?mode=Info&amp;id=54359&amp;lvl=3&amp;lin=f&amp;keep=1&amp;srchmode=1&amp;unlock","54359")</f>
        <v>54359</v>
      </c>
      <c r="E267" t="s">
        <v>167</v>
      </c>
      <c r="F267" t="s">
        <v>167</v>
      </c>
      <c r="G267" t="str">
        <f>HYPERLINK("http://www.ncbi.nlm.nih.gov/Taxonomy/Browser/wwwtax.cgi?mode=Info&amp;id=54359&amp;lvl=3&amp;lin=f&amp;keep=1&amp;srchmode=1&amp;unlock","Psophia crepitans")</f>
        <v>Psophia crepitans</v>
      </c>
      <c r="H267" t="s">
        <v>226</v>
      </c>
      <c r="I267" t="str">
        <f>HYPERLINK("http://www.ncbi.nlm.nih.gov/protein/NXI90338.1","ANDR protein")</f>
        <v>ANDR protein</v>
      </c>
      <c r="J267" t="s">
        <v>1261</v>
      </c>
      <c r="K267">
        <v>492.66</v>
      </c>
      <c r="L267" t="s">
        <v>25</v>
      </c>
      <c r="M267">
        <v>157</v>
      </c>
      <c r="N267">
        <v>62.55</v>
      </c>
      <c r="O267">
        <v>95.81</v>
      </c>
      <c r="P267" t="s">
        <v>20</v>
      </c>
      <c r="Q267" t="s">
        <v>1262</v>
      </c>
      <c r="R267" t="s">
        <v>20</v>
      </c>
      <c r="S267" t="str">
        <f>HYPERLINK("https://cfpub.epa.gov/ecotox/explore.cfm?ncbi=54359","Explore in ECOTOX")</f>
        <v>Explore in ECOTOX</v>
      </c>
    </row>
    <row r="268" spans="1:19" x14ac:dyDescent="0.25">
      <c r="A268">
        <v>6</v>
      </c>
      <c r="B268" t="str">
        <f>HYPERLINK("http://www.ncbi.nlm.nih.gov/protein/NXR03292.1","NXR03292.1")</f>
        <v>NXR03292.1</v>
      </c>
      <c r="C268">
        <v>12894</v>
      </c>
      <c r="D268" t="str">
        <f>HYPERLINK("http://www.ncbi.nlm.nih.gov/Taxonomy/Browser/wwwtax.cgi?mode=Info&amp;id=56258&amp;lvl=3&amp;lin=f&amp;keep=1&amp;srchmode=1&amp;unlock","56258")</f>
        <v>56258</v>
      </c>
      <c r="E268" t="s">
        <v>167</v>
      </c>
      <c r="F268" t="s">
        <v>167</v>
      </c>
      <c r="G268" t="str">
        <f>HYPERLINK("http://www.ncbi.nlm.nih.gov/Taxonomy/Browser/wwwtax.cgi?mode=Info&amp;id=56258&amp;lvl=3&amp;lin=f&amp;keep=1&amp;srchmode=1&amp;unlock","Sagittarius serpentarius")</f>
        <v>Sagittarius serpentarius</v>
      </c>
      <c r="H268" t="s">
        <v>227</v>
      </c>
      <c r="I268" t="str">
        <f>HYPERLINK("http://www.ncbi.nlm.nih.gov/protein/NXR03292.1","ANDR protein")</f>
        <v>ANDR protein</v>
      </c>
      <c r="J268" t="s">
        <v>1261</v>
      </c>
      <c r="K268">
        <v>492.66</v>
      </c>
      <c r="L268" t="s">
        <v>25</v>
      </c>
      <c r="M268">
        <v>157</v>
      </c>
      <c r="N268">
        <v>62.55</v>
      </c>
      <c r="O268">
        <v>95.81</v>
      </c>
      <c r="P268" t="s">
        <v>20</v>
      </c>
      <c r="Q268" t="s">
        <v>1262</v>
      </c>
      <c r="R268" t="s">
        <v>20</v>
      </c>
      <c r="S268" t="str">
        <f>HYPERLINK("https://cfpub.epa.gov/ecotox/explore.cfm?ncbi=56258","Explore in ECOTOX")</f>
        <v>Explore in ECOTOX</v>
      </c>
    </row>
    <row r="269" spans="1:19" x14ac:dyDescent="0.25">
      <c r="A269">
        <v>6</v>
      </c>
      <c r="B269" t="str">
        <f>HYPERLINK("http://www.ncbi.nlm.nih.gov/protein/NWS20324.1","NWS20324.1")</f>
        <v>NWS20324.1</v>
      </c>
      <c r="C269">
        <v>13757</v>
      </c>
      <c r="D269" t="str">
        <f>HYPERLINK("http://www.ncbi.nlm.nih.gov/Taxonomy/Browser/wwwtax.cgi?mode=Info&amp;id=369605&amp;lvl=3&amp;lin=f&amp;keep=1&amp;srchmode=1&amp;unlock","369605")</f>
        <v>369605</v>
      </c>
      <c r="E269" t="s">
        <v>167</v>
      </c>
      <c r="F269" t="s">
        <v>167</v>
      </c>
      <c r="G269" t="str">
        <f>HYPERLINK("http://www.ncbi.nlm.nih.gov/Taxonomy/Browser/wwwtax.cgi?mode=Info&amp;id=369605&amp;lvl=3&amp;lin=f&amp;keep=1&amp;srchmode=1&amp;unlock","Pachyramphus minor")</f>
        <v>Pachyramphus minor</v>
      </c>
      <c r="H269" t="s">
        <v>206</v>
      </c>
      <c r="I269" t="str">
        <f>HYPERLINK("http://www.ncbi.nlm.nih.gov/protein/NWS20324.1","ANDR protein")</f>
        <v>ANDR protein</v>
      </c>
      <c r="J269" t="s">
        <v>1261</v>
      </c>
      <c r="K269">
        <v>492.66</v>
      </c>
      <c r="L269" t="s">
        <v>25</v>
      </c>
      <c r="M269">
        <v>157</v>
      </c>
      <c r="N269">
        <v>62.55</v>
      </c>
      <c r="O269">
        <v>95.81</v>
      </c>
      <c r="P269" t="s">
        <v>20</v>
      </c>
      <c r="Q269" t="s">
        <v>1262</v>
      </c>
      <c r="R269" t="s">
        <v>20</v>
      </c>
      <c r="S269" t="str">
        <f>HYPERLINK("https://cfpub.epa.gov/ecotox/explore.cfm?ncbi=369605","Explore in ECOTOX")</f>
        <v>Explore in ECOTOX</v>
      </c>
    </row>
    <row r="270" spans="1:19" x14ac:dyDescent="0.25">
      <c r="A270">
        <v>6</v>
      </c>
      <c r="B270" t="str">
        <f>HYPERLINK("http://www.ncbi.nlm.nih.gov/protein/KFQ43923.1","KFQ43923.1")</f>
        <v>KFQ43923.1</v>
      </c>
      <c r="C270">
        <v>27832</v>
      </c>
      <c r="D270" t="str">
        <f>HYPERLINK("http://www.ncbi.nlm.nih.gov/Taxonomy/Browser/wwwtax.cgi?mode=Info&amp;id=176057&amp;lvl=3&amp;lin=f&amp;keep=1&amp;srchmode=1&amp;unlock","176057")</f>
        <v>176057</v>
      </c>
      <c r="E270" t="s">
        <v>167</v>
      </c>
      <c r="F270" t="s">
        <v>167</v>
      </c>
      <c r="G270" t="str">
        <f>HYPERLINK("http://www.ncbi.nlm.nih.gov/Taxonomy/Browser/wwwtax.cgi?mode=Info&amp;id=176057&amp;lvl=3&amp;lin=f&amp;keep=1&amp;srchmode=1&amp;unlock","Nestor notabilis")</f>
        <v>Nestor notabilis</v>
      </c>
      <c r="H270" t="s">
        <v>230</v>
      </c>
      <c r="I270" t="str">
        <f>HYPERLINK("http://www.ncbi.nlm.nih.gov/protein/KFQ43923.1","Androgen receptor, partial")</f>
        <v>Androgen receptor, partial</v>
      </c>
      <c r="J270" t="s">
        <v>1261</v>
      </c>
      <c r="K270">
        <v>492.66</v>
      </c>
      <c r="L270" t="s">
        <v>25</v>
      </c>
      <c r="M270">
        <v>157</v>
      </c>
      <c r="N270">
        <v>62.55</v>
      </c>
      <c r="O270">
        <v>95.81</v>
      </c>
      <c r="P270" t="s">
        <v>20</v>
      </c>
      <c r="Q270" t="s">
        <v>1262</v>
      </c>
      <c r="R270" t="s">
        <v>20</v>
      </c>
      <c r="S270" t="str">
        <f>HYPERLINK("https://cfpub.epa.gov/ecotox/explore.cfm?ncbi=176057","Explore in ECOTOX")</f>
        <v>Explore in ECOTOX</v>
      </c>
    </row>
    <row r="271" spans="1:19" x14ac:dyDescent="0.25">
      <c r="A271">
        <v>6</v>
      </c>
      <c r="B271" t="str">
        <f>HYPERLINK("http://www.ncbi.nlm.nih.gov/protein/NXI52087.1","NXI52087.1")</f>
        <v>NXI52087.1</v>
      </c>
      <c r="C271">
        <v>12275</v>
      </c>
      <c r="D271" t="str">
        <f>HYPERLINK("http://www.ncbi.nlm.nih.gov/Taxonomy/Browser/wwwtax.cgi?mode=Info&amp;id=176938&amp;lvl=3&amp;lin=f&amp;keep=1&amp;srchmode=1&amp;unlock","176938")</f>
        <v>176938</v>
      </c>
      <c r="E271" t="s">
        <v>167</v>
      </c>
      <c r="F271" t="s">
        <v>167</v>
      </c>
      <c r="G271" t="str">
        <f>HYPERLINK("http://www.ncbi.nlm.nih.gov/Taxonomy/Browser/wwwtax.cgi?mode=Info&amp;id=176938&amp;lvl=3&amp;lin=f&amp;keep=1&amp;srchmode=1&amp;unlock","Chloroceryle aenea")</f>
        <v>Chloroceryle aenea</v>
      </c>
      <c r="H271" t="s">
        <v>225</v>
      </c>
      <c r="I271" t="str">
        <f>HYPERLINK("http://www.ncbi.nlm.nih.gov/protein/NXI52087.1","ANDR protein")</f>
        <v>ANDR protein</v>
      </c>
      <c r="J271" t="s">
        <v>1261</v>
      </c>
      <c r="K271">
        <v>492.66</v>
      </c>
      <c r="L271" t="s">
        <v>25</v>
      </c>
      <c r="M271">
        <v>157</v>
      </c>
      <c r="N271">
        <v>62.55</v>
      </c>
      <c r="O271">
        <v>95.81</v>
      </c>
      <c r="P271" t="s">
        <v>20</v>
      </c>
      <c r="Q271" t="s">
        <v>1262</v>
      </c>
      <c r="R271" t="s">
        <v>20</v>
      </c>
      <c r="S271" t="str">
        <f>HYPERLINK("https://cfpub.epa.gov/ecotox/explore.cfm?ncbi=176938","Explore in ECOTOX")</f>
        <v>Explore in ECOTOX</v>
      </c>
    </row>
    <row r="272" spans="1:19" x14ac:dyDescent="0.25">
      <c r="A272">
        <v>6</v>
      </c>
      <c r="B272" t="str">
        <f>HYPERLINK("http://www.ncbi.nlm.nih.gov/protein/XP_009878987.1","XP_009878987.1")</f>
        <v>XP_009878987.1</v>
      </c>
      <c r="C272">
        <v>30700</v>
      </c>
      <c r="D272" t="str">
        <f>HYPERLINK("http://www.ncbi.nlm.nih.gov/Taxonomy/Browser/wwwtax.cgi?mode=Info&amp;id=50402&amp;lvl=3&amp;lin=f&amp;keep=1&amp;srchmode=1&amp;unlock","50402")</f>
        <v>50402</v>
      </c>
      <c r="E272" t="s">
        <v>167</v>
      </c>
      <c r="F272" t="s">
        <v>167</v>
      </c>
      <c r="G272" t="str">
        <f>HYPERLINK("http://www.ncbi.nlm.nih.gov/Taxonomy/Browser/wwwtax.cgi?mode=Info&amp;id=50402&amp;lvl=3&amp;lin=f&amp;keep=1&amp;srchmode=1&amp;unlock","Charadrius vociferus")</f>
        <v>Charadrius vociferus</v>
      </c>
      <c r="H272" t="s">
        <v>258</v>
      </c>
      <c r="I272" t="str">
        <f>HYPERLINK("http://www.ncbi.nlm.nih.gov/protein/XP_009878987.1","PREDICTED: androgen receptor")</f>
        <v>PREDICTED: androgen receptor</v>
      </c>
      <c r="J272" t="s">
        <v>1261</v>
      </c>
      <c r="K272">
        <v>492.66</v>
      </c>
      <c r="L272" t="s">
        <v>25</v>
      </c>
      <c r="M272">
        <v>157</v>
      </c>
      <c r="N272">
        <v>62.55</v>
      </c>
      <c r="O272">
        <v>95.81</v>
      </c>
      <c r="P272" t="s">
        <v>20</v>
      </c>
      <c r="Q272" t="s">
        <v>1262</v>
      </c>
      <c r="R272" t="s">
        <v>20</v>
      </c>
      <c r="S272" t="str">
        <f>HYPERLINK("https://cfpub.epa.gov/ecotox/explore.cfm?ncbi=50402","Explore in ECOTOX")</f>
        <v>Explore in ECOTOX</v>
      </c>
    </row>
    <row r="273" spans="1:19" x14ac:dyDescent="0.25">
      <c r="A273">
        <v>6</v>
      </c>
      <c r="B273" t="str">
        <f>HYPERLINK("http://www.ncbi.nlm.nih.gov/protein/KFR12888.1","KFR12888.1")</f>
        <v>KFR12888.1</v>
      </c>
      <c r="C273">
        <v>27858</v>
      </c>
      <c r="D273" t="str">
        <f>HYPERLINK("http://www.ncbi.nlm.nih.gov/Taxonomy/Browser/wwwtax.cgi?mode=Info&amp;id=30419&amp;lvl=3&amp;lin=f&amp;keep=1&amp;srchmode=1&amp;unlock","30419")</f>
        <v>30419</v>
      </c>
      <c r="E273" t="s">
        <v>167</v>
      </c>
      <c r="F273" t="s">
        <v>167</v>
      </c>
      <c r="G273" t="str">
        <f>HYPERLINK("http://www.ncbi.nlm.nih.gov/Taxonomy/Browser/wwwtax.cgi?mode=Info&amp;id=30419&amp;lvl=3&amp;lin=f&amp;keep=1&amp;srchmode=1&amp;unlock","Opisthocomus hoazin")</f>
        <v>Opisthocomus hoazin</v>
      </c>
      <c r="H273" t="s">
        <v>377</v>
      </c>
      <c r="I273" t="str">
        <f>HYPERLINK("http://www.ncbi.nlm.nih.gov/protein/KFR12888.1","Androgen receptor, partial")</f>
        <v>Androgen receptor, partial</v>
      </c>
      <c r="J273" t="s">
        <v>1261</v>
      </c>
      <c r="K273">
        <v>492.66</v>
      </c>
      <c r="L273" t="s">
        <v>25</v>
      </c>
      <c r="M273">
        <v>157</v>
      </c>
      <c r="N273">
        <v>62.55</v>
      </c>
      <c r="O273">
        <v>95.81</v>
      </c>
      <c r="P273" t="s">
        <v>20</v>
      </c>
      <c r="Q273" t="s">
        <v>1262</v>
      </c>
      <c r="R273" t="s">
        <v>20</v>
      </c>
      <c r="S273" t="str">
        <f>HYPERLINK("https://cfpub.epa.gov/ecotox/explore.cfm?ncbi=30419","Explore in ECOTOX")</f>
        <v>Explore in ECOTOX</v>
      </c>
    </row>
    <row r="274" spans="1:19" x14ac:dyDescent="0.25">
      <c r="A274">
        <v>6</v>
      </c>
      <c r="B274" t="str">
        <f>HYPERLINK("http://www.ncbi.nlm.nih.gov/protein/NXP75223.1","NXP75223.1")</f>
        <v>NXP75223.1</v>
      </c>
      <c r="C274">
        <v>14056</v>
      </c>
      <c r="D274" t="str">
        <f>HYPERLINK("http://www.ncbi.nlm.nih.gov/Taxonomy/Browser/wwwtax.cgi?mode=Info&amp;id=322582&amp;lvl=3&amp;lin=f&amp;keep=1&amp;srchmode=1&amp;unlock","322582")</f>
        <v>322582</v>
      </c>
      <c r="E274" t="s">
        <v>167</v>
      </c>
      <c r="F274" t="s">
        <v>167</v>
      </c>
      <c r="G274" t="str">
        <f>HYPERLINK("http://www.ncbi.nlm.nih.gov/Taxonomy/Browser/wwwtax.cgi?mode=Info&amp;id=322582&amp;lvl=3&amp;lin=f&amp;keep=1&amp;srchmode=1&amp;unlock","Ramphastos sulfuratus")</f>
        <v>Ramphastos sulfuratus</v>
      </c>
      <c r="H274" t="s">
        <v>262</v>
      </c>
      <c r="I274" t="str">
        <f>HYPERLINK("http://www.ncbi.nlm.nih.gov/protein/NXP75223.1","ANDR protein")</f>
        <v>ANDR protein</v>
      </c>
      <c r="J274" t="s">
        <v>1261</v>
      </c>
      <c r="K274">
        <v>492.66</v>
      </c>
      <c r="L274" t="s">
        <v>25</v>
      </c>
      <c r="M274">
        <v>157</v>
      </c>
      <c r="N274">
        <v>62.55</v>
      </c>
      <c r="O274">
        <v>95.81</v>
      </c>
      <c r="P274" t="s">
        <v>20</v>
      </c>
      <c r="Q274" t="s">
        <v>1262</v>
      </c>
      <c r="R274" t="s">
        <v>20</v>
      </c>
      <c r="S274" t="str">
        <f>HYPERLINK("https://cfpub.epa.gov/ecotox/explore.cfm?ncbi=322582","Explore in ECOTOX")</f>
        <v>Explore in ECOTOX</v>
      </c>
    </row>
    <row r="275" spans="1:19" x14ac:dyDescent="0.25">
      <c r="A275">
        <v>6</v>
      </c>
      <c r="B275" t="str">
        <f>HYPERLINK("http://www.ncbi.nlm.nih.gov/protein/KFZ58156.1","KFZ58156.1")</f>
        <v>KFZ58156.1</v>
      </c>
      <c r="C275">
        <v>29268</v>
      </c>
      <c r="D275" t="str">
        <f>HYPERLINK("http://www.ncbi.nlm.nih.gov/Taxonomy/Browser/wwwtax.cgi?mode=Info&amp;id=279965&amp;lvl=3&amp;lin=f&amp;keep=1&amp;srchmode=1&amp;unlock","279965")</f>
        <v>279965</v>
      </c>
      <c r="E275" t="s">
        <v>167</v>
      </c>
      <c r="F275" t="s">
        <v>167</v>
      </c>
      <c r="G275" t="str">
        <f>HYPERLINK("http://www.ncbi.nlm.nih.gov/Taxonomy/Browser/wwwtax.cgi?mode=Info&amp;id=279965&amp;lvl=3&amp;lin=f&amp;keep=1&amp;srchmode=1&amp;unlock","Antrostomus carolinensis")</f>
        <v>Antrostomus carolinensis</v>
      </c>
      <c r="H275" t="s">
        <v>300</v>
      </c>
      <c r="I275" t="str">
        <f>HYPERLINK("http://www.ncbi.nlm.nih.gov/protein/KFZ58156.1","Androgen receptor, partial")</f>
        <v>Androgen receptor, partial</v>
      </c>
      <c r="J275" t="s">
        <v>1261</v>
      </c>
      <c r="K275">
        <v>492.66</v>
      </c>
      <c r="L275" t="s">
        <v>25</v>
      </c>
      <c r="M275">
        <v>157</v>
      </c>
      <c r="N275">
        <v>62.55</v>
      </c>
      <c r="O275">
        <v>95.81</v>
      </c>
      <c r="P275" t="s">
        <v>20</v>
      </c>
      <c r="Q275" t="s">
        <v>1262</v>
      </c>
      <c r="R275" t="s">
        <v>20</v>
      </c>
      <c r="S275" t="str">
        <f>HYPERLINK("https://cfpub.epa.gov/ecotox/explore.cfm?ncbi=279965","Explore in ECOTOX")</f>
        <v>Explore in ECOTOX</v>
      </c>
    </row>
    <row r="276" spans="1:19" x14ac:dyDescent="0.25">
      <c r="A276">
        <v>6</v>
      </c>
      <c r="B276" t="str">
        <f>HYPERLINK("http://www.ncbi.nlm.nih.gov/protein/XP_005441058.1","XP_005441058.1")</f>
        <v>XP_005441058.1</v>
      </c>
      <c r="C276">
        <v>30432</v>
      </c>
      <c r="D276" t="str">
        <f>HYPERLINK("http://www.ncbi.nlm.nih.gov/Taxonomy/Browser/wwwtax.cgi?mode=Info&amp;id=345164&amp;lvl=3&amp;lin=f&amp;keep=1&amp;srchmode=1&amp;unlock","345164")</f>
        <v>345164</v>
      </c>
      <c r="E276" t="s">
        <v>167</v>
      </c>
      <c r="F276" t="s">
        <v>167</v>
      </c>
      <c r="G276" t="str">
        <f>HYPERLINK("http://www.ncbi.nlm.nih.gov/Taxonomy/Browser/wwwtax.cgi?mode=Info&amp;id=345164&amp;lvl=3&amp;lin=f&amp;keep=1&amp;srchmode=1&amp;unlock","Falco cherrug")</f>
        <v>Falco cherrug</v>
      </c>
      <c r="H276" t="s">
        <v>432</v>
      </c>
      <c r="I276" t="str">
        <f>HYPERLINK("http://www.ncbi.nlm.nih.gov/protein/XP_005441058.1","androgen receptor")</f>
        <v>androgen receptor</v>
      </c>
      <c r="J276" t="s">
        <v>1261</v>
      </c>
      <c r="K276">
        <v>492.66</v>
      </c>
      <c r="L276" t="s">
        <v>25</v>
      </c>
      <c r="M276">
        <v>157</v>
      </c>
      <c r="N276">
        <v>62.55</v>
      </c>
      <c r="O276">
        <v>95.81</v>
      </c>
      <c r="P276" t="s">
        <v>20</v>
      </c>
      <c r="Q276" t="s">
        <v>1262</v>
      </c>
      <c r="R276" t="s">
        <v>20</v>
      </c>
      <c r="S276" t="str">
        <f>HYPERLINK("https://cfpub.epa.gov/ecotox/explore.cfm?ncbi=345164","Explore in ECOTOX")</f>
        <v>Explore in ECOTOX</v>
      </c>
    </row>
    <row r="277" spans="1:19" x14ac:dyDescent="0.25">
      <c r="A277">
        <v>6</v>
      </c>
      <c r="B277" t="str">
        <f>HYPERLINK("http://www.ncbi.nlm.nih.gov/protein/XP_013151847.2","XP_013151847.2")</f>
        <v>XP_013151847.2</v>
      </c>
      <c r="C277">
        <v>31321</v>
      </c>
      <c r="D277" t="str">
        <f>HYPERLINK("http://www.ncbi.nlm.nih.gov/Taxonomy/Browser/wwwtax.cgi?mode=Info&amp;id=8954&amp;lvl=3&amp;lin=f&amp;keep=1&amp;srchmode=1&amp;unlock","8954")</f>
        <v>8954</v>
      </c>
      <c r="E277" t="s">
        <v>167</v>
      </c>
      <c r="F277" t="s">
        <v>167</v>
      </c>
      <c r="G277" t="str">
        <f>HYPERLINK("http://www.ncbi.nlm.nih.gov/Taxonomy/Browser/wwwtax.cgi?mode=Info&amp;id=8954&amp;lvl=3&amp;lin=f&amp;keep=1&amp;srchmode=1&amp;unlock","Falco peregrinus")</f>
        <v>Falco peregrinus</v>
      </c>
      <c r="H277" t="s">
        <v>435</v>
      </c>
      <c r="I277" t="str">
        <f>HYPERLINK("http://www.ncbi.nlm.nih.gov/protein/XP_013151847.2","androgen receptor")</f>
        <v>androgen receptor</v>
      </c>
      <c r="J277" t="s">
        <v>1261</v>
      </c>
      <c r="K277">
        <v>492.66</v>
      </c>
      <c r="L277" t="s">
        <v>25</v>
      </c>
      <c r="M277">
        <v>157</v>
      </c>
      <c r="N277">
        <v>62.55</v>
      </c>
      <c r="O277">
        <v>95.81</v>
      </c>
      <c r="P277" t="s">
        <v>20</v>
      </c>
      <c r="Q277" t="s">
        <v>1262</v>
      </c>
      <c r="R277" t="s">
        <v>20</v>
      </c>
      <c r="S277" t="str">
        <f>HYPERLINK("https://cfpub.epa.gov/ecotox/explore.cfm?ncbi=8954","Explore in ECOTOX")</f>
        <v>Explore in ECOTOX</v>
      </c>
    </row>
    <row r="278" spans="1:19" x14ac:dyDescent="0.25">
      <c r="A278">
        <v>6</v>
      </c>
      <c r="B278" t="str">
        <f>HYPERLINK("http://www.ncbi.nlm.nih.gov/protein/KFW62480.1","KFW62480.1")</f>
        <v>KFW62480.1</v>
      </c>
      <c r="C278">
        <v>29751</v>
      </c>
      <c r="D278" t="str">
        <f>HYPERLINK("http://www.ncbi.nlm.nih.gov/Taxonomy/Browser/wwwtax.cgi?mode=Info&amp;id=9238&amp;lvl=3&amp;lin=f&amp;keep=1&amp;srchmode=1&amp;unlock","9238")</f>
        <v>9238</v>
      </c>
      <c r="E278" t="s">
        <v>167</v>
      </c>
      <c r="F278" t="s">
        <v>167</v>
      </c>
      <c r="G278" t="str">
        <f>HYPERLINK("http://www.ncbi.nlm.nih.gov/Taxonomy/Browser/wwwtax.cgi?mode=Info&amp;id=9238&amp;lvl=3&amp;lin=f&amp;keep=1&amp;srchmode=1&amp;unlock","Pygoscelis adeliae")</f>
        <v>Pygoscelis adeliae</v>
      </c>
      <c r="H278" t="s">
        <v>211</v>
      </c>
      <c r="I278" t="str">
        <f>HYPERLINK("http://www.ncbi.nlm.nih.gov/protein/KFW62480.1","Androgen receptor, partial")</f>
        <v>Androgen receptor, partial</v>
      </c>
      <c r="J278" t="s">
        <v>1261</v>
      </c>
      <c r="K278">
        <v>492.66</v>
      </c>
      <c r="L278" t="s">
        <v>25</v>
      </c>
      <c r="M278">
        <v>157</v>
      </c>
      <c r="N278">
        <v>62.55</v>
      </c>
      <c r="O278">
        <v>95.81</v>
      </c>
      <c r="P278" t="s">
        <v>20</v>
      </c>
      <c r="Q278" t="s">
        <v>1262</v>
      </c>
      <c r="R278" t="s">
        <v>20</v>
      </c>
      <c r="S278" t="str">
        <f>HYPERLINK("https://cfpub.epa.gov/ecotox/explore.cfm?ncbi=9238","Explore in ECOTOX")</f>
        <v>Explore in ECOTOX</v>
      </c>
    </row>
    <row r="279" spans="1:19" x14ac:dyDescent="0.25">
      <c r="A279">
        <v>6</v>
      </c>
      <c r="B279" t="str">
        <f>HYPERLINK("http://www.ncbi.nlm.nih.gov/protein/KFQ97104.1","KFQ97104.1")</f>
        <v>KFQ97104.1</v>
      </c>
      <c r="C279">
        <v>31423</v>
      </c>
      <c r="D279" t="str">
        <f>HYPERLINK("http://www.ncbi.nlm.nih.gov/Taxonomy/Browser/wwwtax.cgi?mode=Info&amp;id=128390&amp;lvl=3&amp;lin=f&amp;keep=1&amp;srchmode=1&amp;unlock","128390")</f>
        <v>128390</v>
      </c>
      <c r="E279" t="s">
        <v>167</v>
      </c>
      <c r="F279" t="s">
        <v>167</v>
      </c>
      <c r="G279" t="str">
        <f>HYPERLINK("http://www.ncbi.nlm.nih.gov/Taxonomy/Browser/wwwtax.cgi?mode=Info&amp;id=128390&amp;lvl=3&amp;lin=f&amp;keep=1&amp;srchmode=1&amp;unlock","Nipponia nippon")</f>
        <v>Nipponia nippon</v>
      </c>
      <c r="H279" t="s">
        <v>220</v>
      </c>
      <c r="I279" t="str">
        <f>HYPERLINK("http://www.ncbi.nlm.nih.gov/protein/KFQ97104.1","Androgen receptor, partial")</f>
        <v>Androgen receptor, partial</v>
      </c>
      <c r="J279" t="s">
        <v>1261</v>
      </c>
      <c r="K279">
        <v>492.66</v>
      </c>
      <c r="L279" t="s">
        <v>25</v>
      </c>
      <c r="M279">
        <v>157</v>
      </c>
      <c r="N279">
        <v>62.55</v>
      </c>
      <c r="O279">
        <v>95.81</v>
      </c>
      <c r="P279" t="s">
        <v>20</v>
      </c>
      <c r="Q279" t="s">
        <v>1262</v>
      </c>
      <c r="R279" t="s">
        <v>20</v>
      </c>
      <c r="S279" t="str">
        <f>HYPERLINK("https://cfpub.epa.gov/ecotox/explore.cfm?ncbi=128390","Explore in ECOTOX")</f>
        <v>Explore in ECOTOX</v>
      </c>
    </row>
    <row r="280" spans="1:19" x14ac:dyDescent="0.25">
      <c r="A280">
        <v>6</v>
      </c>
      <c r="B280" t="str">
        <f>HYPERLINK("http://www.ncbi.nlm.nih.gov/protein/NXE26420.1","NXE26420.1")</f>
        <v>NXE26420.1</v>
      </c>
      <c r="C280">
        <v>13745</v>
      </c>
      <c r="D280" t="str">
        <f>HYPERLINK("http://www.ncbi.nlm.nih.gov/Taxonomy/Browser/wwwtax.cgi?mode=Info&amp;id=89386&amp;lvl=3&amp;lin=f&amp;keep=1&amp;srchmode=1&amp;unlock","89386")</f>
        <v>89386</v>
      </c>
      <c r="E280" t="s">
        <v>167</v>
      </c>
      <c r="F280" t="s">
        <v>167</v>
      </c>
      <c r="G280" t="str">
        <f>HYPERLINK("http://www.ncbi.nlm.nih.gov/Taxonomy/Browser/wwwtax.cgi?mode=Info&amp;id=89386&amp;lvl=3&amp;lin=f&amp;keep=1&amp;srchmode=1&amp;unlock","Ardeotis kori")</f>
        <v>Ardeotis kori</v>
      </c>
      <c r="H280" t="s">
        <v>182</v>
      </c>
      <c r="I280" t="str">
        <f>HYPERLINK("http://www.ncbi.nlm.nih.gov/protein/NXE26420.1","ANDR protein")</f>
        <v>ANDR protein</v>
      </c>
      <c r="J280" t="s">
        <v>1261</v>
      </c>
      <c r="K280">
        <v>492.66</v>
      </c>
      <c r="L280" t="s">
        <v>25</v>
      </c>
      <c r="M280">
        <v>157</v>
      </c>
      <c r="N280">
        <v>62.55</v>
      </c>
      <c r="O280">
        <v>95.81</v>
      </c>
      <c r="P280" t="s">
        <v>20</v>
      </c>
      <c r="Q280" t="s">
        <v>1262</v>
      </c>
      <c r="R280" t="s">
        <v>20</v>
      </c>
      <c r="S280" t="str">
        <f>HYPERLINK("https://cfpub.epa.gov/ecotox/explore.cfm?ncbi=89386","Explore in ECOTOX")</f>
        <v>Explore in ECOTOX</v>
      </c>
    </row>
    <row r="281" spans="1:19" x14ac:dyDescent="0.25">
      <c r="A281">
        <v>6</v>
      </c>
      <c r="B281" t="str">
        <f>HYPERLINK("http://www.ncbi.nlm.nih.gov/protein/KFP90518.1","KFP90518.1")</f>
        <v>KFP90518.1</v>
      </c>
      <c r="C281">
        <v>26533</v>
      </c>
      <c r="D281" t="str">
        <f>HYPERLINK("http://www.ncbi.nlm.nih.gov/Taxonomy/Browser/wwwtax.cgi?mode=Info&amp;id=57397&amp;lvl=3&amp;lin=f&amp;keep=1&amp;srchmode=1&amp;unlock","57397")</f>
        <v>57397</v>
      </c>
      <c r="E281" t="s">
        <v>167</v>
      </c>
      <c r="F281" t="s">
        <v>167</v>
      </c>
      <c r="G281" t="str">
        <f>HYPERLINK("http://www.ncbi.nlm.nih.gov/Taxonomy/Browser/wwwtax.cgi?mode=Info&amp;id=57397&amp;lvl=3&amp;lin=f&amp;keep=1&amp;srchmode=1&amp;unlock","Apaloderma vittatum")</f>
        <v>Apaloderma vittatum</v>
      </c>
      <c r="H281" t="s">
        <v>340</v>
      </c>
      <c r="I281" t="str">
        <f>HYPERLINK("http://www.ncbi.nlm.nih.gov/protein/KFP90518.1","Androgen receptor, partial")</f>
        <v>Androgen receptor, partial</v>
      </c>
      <c r="J281" t="s">
        <v>1261</v>
      </c>
      <c r="K281">
        <v>492.66</v>
      </c>
      <c r="L281" t="s">
        <v>25</v>
      </c>
      <c r="M281">
        <v>157</v>
      </c>
      <c r="N281">
        <v>62.55</v>
      </c>
      <c r="O281">
        <v>95.81</v>
      </c>
      <c r="P281" t="s">
        <v>20</v>
      </c>
      <c r="Q281" t="s">
        <v>1262</v>
      </c>
      <c r="R281" t="s">
        <v>20</v>
      </c>
      <c r="S281" t="str">
        <f>HYPERLINK("https://cfpub.epa.gov/ecotox/explore.cfm?ncbi=57397","Explore in ECOTOX")</f>
        <v>Explore in ECOTOX</v>
      </c>
    </row>
    <row r="282" spans="1:19" x14ac:dyDescent="0.25">
      <c r="A282">
        <v>6</v>
      </c>
      <c r="B282" t="str">
        <f>HYPERLINK("http://www.ncbi.nlm.nih.gov/protein/NWU59399.1","NWU59399.1")</f>
        <v>NWU59399.1</v>
      </c>
      <c r="C282">
        <v>13926</v>
      </c>
      <c r="D282" t="str">
        <f>HYPERLINK("http://www.ncbi.nlm.nih.gov/Taxonomy/Browser/wwwtax.cgi?mode=Info&amp;id=458190&amp;lvl=3&amp;lin=f&amp;keep=1&amp;srchmode=1&amp;unlock","458190")</f>
        <v>458190</v>
      </c>
      <c r="E282" t="s">
        <v>167</v>
      </c>
      <c r="F282" t="s">
        <v>167</v>
      </c>
      <c r="G282" t="str">
        <f>HYPERLINK("http://www.ncbi.nlm.nih.gov/Taxonomy/Browser/wwwtax.cgi?mode=Info&amp;id=458190&amp;lvl=3&amp;lin=f&amp;keep=1&amp;srchmode=1&amp;unlock","Dromas ardeola")</f>
        <v>Dromas ardeola</v>
      </c>
      <c r="H282" t="s">
        <v>185</v>
      </c>
      <c r="I282" t="str">
        <f>HYPERLINK("http://www.ncbi.nlm.nih.gov/protein/NWU59399.1","ANDR protein")</f>
        <v>ANDR protein</v>
      </c>
      <c r="J282" t="s">
        <v>1261</v>
      </c>
      <c r="K282">
        <v>492.66</v>
      </c>
      <c r="L282" t="s">
        <v>25</v>
      </c>
      <c r="M282">
        <v>157</v>
      </c>
      <c r="N282">
        <v>62.55</v>
      </c>
      <c r="O282">
        <v>95.81</v>
      </c>
      <c r="P282" t="s">
        <v>20</v>
      </c>
      <c r="Q282" t="s">
        <v>1262</v>
      </c>
      <c r="R282" t="s">
        <v>20</v>
      </c>
      <c r="S282" t="str">
        <f>HYPERLINK("https://cfpub.epa.gov/ecotox/explore.cfm?ncbi=458190","Explore in ECOTOX")</f>
        <v>Explore in ECOTOX</v>
      </c>
    </row>
    <row r="283" spans="1:19" x14ac:dyDescent="0.25">
      <c r="A283">
        <v>6</v>
      </c>
      <c r="B283" t="str">
        <f>HYPERLINK("http://www.ncbi.nlm.nih.gov/protein/NXA26693.1","NXA26693.1")</f>
        <v>NXA26693.1</v>
      </c>
      <c r="C283">
        <v>13860</v>
      </c>
      <c r="D283" t="str">
        <f>HYPERLINK("http://www.ncbi.nlm.nih.gov/Taxonomy/Browser/wwwtax.cgi?mode=Info&amp;id=425643&amp;lvl=3&amp;lin=f&amp;keep=1&amp;srchmode=1&amp;unlock","425643")</f>
        <v>425643</v>
      </c>
      <c r="E283" t="s">
        <v>167</v>
      </c>
      <c r="F283" t="s">
        <v>167</v>
      </c>
      <c r="G283" t="str">
        <f>HYPERLINK("http://www.ncbi.nlm.nih.gov/Taxonomy/Browser/wwwtax.cgi?mode=Info&amp;id=425643&amp;lvl=3&amp;lin=f&amp;keep=1&amp;srchmode=1&amp;unlock","Ibidorhyncha struthersii")</f>
        <v>Ibidorhyncha struthersii</v>
      </c>
      <c r="H283" t="s">
        <v>185</v>
      </c>
      <c r="I283" t="str">
        <f>HYPERLINK("http://www.ncbi.nlm.nih.gov/protein/NXA26693.1","ANDR protein")</f>
        <v>ANDR protein</v>
      </c>
      <c r="J283" t="s">
        <v>1261</v>
      </c>
      <c r="K283">
        <v>492.66</v>
      </c>
      <c r="L283" t="s">
        <v>25</v>
      </c>
      <c r="M283">
        <v>157</v>
      </c>
      <c r="N283">
        <v>62.55</v>
      </c>
      <c r="O283">
        <v>95.81</v>
      </c>
      <c r="P283" t="s">
        <v>20</v>
      </c>
      <c r="Q283" t="s">
        <v>1262</v>
      </c>
      <c r="R283" t="s">
        <v>20</v>
      </c>
      <c r="S283" t="str">
        <f>HYPERLINK("https://cfpub.epa.gov/ecotox/explore.cfm?ncbi=425643","Explore in ECOTOX")</f>
        <v>Explore in ECOTOX</v>
      </c>
    </row>
    <row r="284" spans="1:19" x14ac:dyDescent="0.25">
      <c r="A284">
        <v>6</v>
      </c>
      <c r="B284" t="str">
        <f>HYPERLINK("http://www.ncbi.nlm.nih.gov/protein/NWQ91554.1","NWQ91554.1")</f>
        <v>NWQ91554.1</v>
      </c>
      <c r="C284">
        <v>14023</v>
      </c>
      <c r="D284" t="str">
        <f>HYPERLINK("http://www.ncbi.nlm.nih.gov/Taxonomy/Browser/wwwtax.cgi?mode=Info&amp;id=240201&amp;lvl=3&amp;lin=f&amp;keep=1&amp;srchmode=1&amp;unlock","240201")</f>
        <v>240201</v>
      </c>
      <c r="E284" t="s">
        <v>167</v>
      </c>
      <c r="F284" t="s">
        <v>167</v>
      </c>
      <c r="G284" t="str">
        <f>HYPERLINK("http://www.ncbi.nlm.nih.gov/Taxonomy/Browser/wwwtax.cgi?mode=Info&amp;id=240201&amp;lvl=3&amp;lin=f&amp;keep=1&amp;srchmode=1&amp;unlock","Burhinus bistriatus")</f>
        <v>Burhinus bistriatus</v>
      </c>
      <c r="H284" t="s">
        <v>185</v>
      </c>
      <c r="I284" t="str">
        <f>HYPERLINK("http://www.ncbi.nlm.nih.gov/protein/NWQ91554.1","ANDR protein")</f>
        <v>ANDR protein</v>
      </c>
      <c r="J284" t="s">
        <v>1261</v>
      </c>
      <c r="K284">
        <v>492.66</v>
      </c>
      <c r="L284" t="s">
        <v>25</v>
      </c>
      <c r="M284">
        <v>157</v>
      </c>
      <c r="N284">
        <v>62.55</v>
      </c>
      <c r="O284">
        <v>95.81</v>
      </c>
      <c r="P284" t="s">
        <v>20</v>
      </c>
      <c r="Q284" t="s">
        <v>1262</v>
      </c>
      <c r="R284" t="s">
        <v>20</v>
      </c>
      <c r="S284" t="str">
        <f>HYPERLINK("https://cfpub.epa.gov/ecotox/explore.cfm?ncbi=240201","Explore in ECOTOX")</f>
        <v>Explore in ECOTOX</v>
      </c>
    </row>
    <row r="285" spans="1:19" x14ac:dyDescent="0.25">
      <c r="A285">
        <v>6</v>
      </c>
      <c r="B285" t="str">
        <f>HYPERLINK("http://www.ncbi.nlm.nih.gov/protein/NXK08670.1","NXK08670.1")</f>
        <v>NXK08670.1</v>
      </c>
      <c r="C285">
        <v>14398</v>
      </c>
      <c r="D285" t="str">
        <f>HYPERLINK("http://www.ncbi.nlm.nih.gov/Taxonomy/Browser/wwwtax.cgi?mode=Info&amp;id=56343&amp;lvl=3&amp;lin=f&amp;keep=1&amp;srchmode=1&amp;unlock","56343")</f>
        <v>56343</v>
      </c>
      <c r="E285" t="s">
        <v>167</v>
      </c>
      <c r="F285" t="s">
        <v>167</v>
      </c>
      <c r="G285" t="str">
        <f>HYPERLINK("http://www.ncbi.nlm.nih.gov/Taxonomy/Browser/wwwtax.cgi?mode=Info&amp;id=56343&amp;lvl=3&amp;lin=f&amp;keep=1&amp;srchmode=1&amp;unlock","Herpetotheres cachinnans")</f>
        <v>Herpetotheres cachinnans</v>
      </c>
      <c r="H285" t="s">
        <v>239</v>
      </c>
      <c r="I285" t="str">
        <f>HYPERLINK("http://www.ncbi.nlm.nih.gov/protein/NXK08670.1","ANDR protein")</f>
        <v>ANDR protein</v>
      </c>
      <c r="J285" t="s">
        <v>1261</v>
      </c>
      <c r="K285">
        <v>492.66</v>
      </c>
      <c r="L285" t="s">
        <v>25</v>
      </c>
      <c r="M285">
        <v>157</v>
      </c>
      <c r="N285">
        <v>62.55</v>
      </c>
      <c r="O285">
        <v>95.81</v>
      </c>
      <c r="P285" t="s">
        <v>20</v>
      </c>
      <c r="Q285" t="s">
        <v>1262</v>
      </c>
      <c r="R285" t="s">
        <v>20</v>
      </c>
      <c r="S285" t="str">
        <f>HYPERLINK("https://cfpub.epa.gov/ecotox/explore.cfm?ncbi=56343","Explore in ECOTOX")</f>
        <v>Explore in ECOTOX</v>
      </c>
    </row>
    <row r="286" spans="1:19" x14ac:dyDescent="0.25">
      <c r="A286">
        <v>6</v>
      </c>
      <c r="B286" t="str">
        <f>HYPERLINK("http://www.ncbi.nlm.nih.gov/protein/NWX79862.1","NWX79862.1")</f>
        <v>NWX79862.1</v>
      </c>
      <c r="C286">
        <v>14034</v>
      </c>
      <c r="D286" t="str">
        <f>HYPERLINK("http://www.ncbi.nlm.nih.gov/Taxonomy/Browser/wwwtax.cgi?mode=Info&amp;id=28689&amp;lvl=3&amp;lin=f&amp;keep=1&amp;srchmode=1&amp;unlock","28689")</f>
        <v>28689</v>
      </c>
      <c r="E286" t="s">
        <v>167</v>
      </c>
      <c r="F286" t="s">
        <v>167</v>
      </c>
      <c r="G286" t="str">
        <f>HYPERLINK("http://www.ncbi.nlm.nih.gov/Taxonomy/Browser/wwwtax.cgi?mode=Info&amp;id=28689&amp;lvl=3&amp;lin=f&amp;keep=1&amp;srchmode=1&amp;unlock","Alca torda")</f>
        <v>Alca torda</v>
      </c>
      <c r="H286" t="s">
        <v>202</v>
      </c>
      <c r="I286" t="str">
        <f>HYPERLINK("http://www.ncbi.nlm.nih.gov/protein/NWX79862.1","ANDR protein")</f>
        <v>ANDR protein</v>
      </c>
      <c r="J286" t="s">
        <v>1261</v>
      </c>
      <c r="K286">
        <v>492.66</v>
      </c>
      <c r="L286" t="s">
        <v>25</v>
      </c>
      <c r="M286">
        <v>157</v>
      </c>
      <c r="N286">
        <v>62.55</v>
      </c>
      <c r="O286">
        <v>95.81</v>
      </c>
      <c r="P286" t="s">
        <v>20</v>
      </c>
      <c r="Q286" t="s">
        <v>1262</v>
      </c>
      <c r="R286" t="s">
        <v>20</v>
      </c>
      <c r="S286" t="str">
        <f>HYPERLINK("https://cfpub.epa.gov/ecotox/explore.cfm?ncbi=28689","Explore in ECOTOX")</f>
        <v>Explore in ECOTOX</v>
      </c>
    </row>
    <row r="287" spans="1:19" x14ac:dyDescent="0.25">
      <c r="A287">
        <v>6</v>
      </c>
      <c r="B287" t="str">
        <f>HYPERLINK("http://www.ncbi.nlm.nih.gov/protein/KAF1395903.1","KAF1395903.1")</f>
        <v>KAF1395903.1</v>
      </c>
      <c r="C287">
        <v>14628</v>
      </c>
      <c r="D287" t="str">
        <f>HYPERLINK("http://www.ncbi.nlm.nih.gov/Taxonomy/Browser/wwwtax.cgi?mode=Info&amp;id=156760&amp;lvl=3&amp;lin=f&amp;keep=1&amp;srchmode=1&amp;unlock","156760")</f>
        <v>156760</v>
      </c>
      <c r="E287" t="s">
        <v>167</v>
      </c>
      <c r="F287" t="s">
        <v>167</v>
      </c>
      <c r="G287" t="str">
        <f>HYPERLINK("http://www.ncbi.nlm.nih.gov/Taxonomy/Browser/wwwtax.cgi?mode=Info&amp;id=156760&amp;lvl=3&amp;lin=f&amp;keep=1&amp;srchmode=1&amp;unlock","Spheniscus mendiculus")</f>
        <v>Spheniscus mendiculus</v>
      </c>
      <c r="H287" t="s">
        <v>260</v>
      </c>
      <c r="I287" t="str">
        <f>HYPERLINK("http://www.ncbi.nlm.nih.gov/protein/KAF1395903.1","Androgen receptor, partial")</f>
        <v>Androgen receptor, partial</v>
      </c>
      <c r="J287" t="s">
        <v>1261</v>
      </c>
      <c r="K287">
        <v>492.66</v>
      </c>
      <c r="L287" t="s">
        <v>25</v>
      </c>
      <c r="M287">
        <v>157</v>
      </c>
      <c r="N287">
        <v>62.55</v>
      </c>
      <c r="O287">
        <v>95.81</v>
      </c>
      <c r="P287" t="s">
        <v>20</v>
      </c>
      <c r="Q287" t="s">
        <v>1262</v>
      </c>
      <c r="R287" t="s">
        <v>20</v>
      </c>
      <c r="S287" t="str">
        <f>HYPERLINK("https://cfpub.epa.gov/ecotox/explore.cfm?ncbi=156760","Explore in ECOTOX")</f>
        <v>Explore in ECOTOX</v>
      </c>
    </row>
    <row r="288" spans="1:19" x14ac:dyDescent="0.25">
      <c r="A288">
        <v>6</v>
      </c>
      <c r="B288" t="str">
        <f>HYPERLINK("http://www.ncbi.nlm.nih.gov/protein/KAF1415482.1","KAF1415482.1")</f>
        <v>KAF1415482.1</v>
      </c>
      <c r="C288">
        <v>15600</v>
      </c>
      <c r="D288" t="str">
        <f>HYPERLINK("http://www.ncbi.nlm.nih.gov/Taxonomy/Browser/wwwtax.cgi?mode=Info&amp;id=37081&amp;lvl=3&amp;lin=f&amp;keep=1&amp;srchmode=1&amp;unlock","37081")</f>
        <v>37081</v>
      </c>
      <c r="E288" t="s">
        <v>167</v>
      </c>
      <c r="F288" t="s">
        <v>167</v>
      </c>
      <c r="G288" t="str">
        <f>HYPERLINK("http://www.ncbi.nlm.nih.gov/Taxonomy/Browser/wwwtax.cgi?mode=Info&amp;id=37081&amp;lvl=3&amp;lin=f&amp;keep=1&amp;srchmode=1&amp;unlock","Spheniscus magellanicus")</f>
        <v>Spheniscus magellanicus</v>
      </c>
      <c r="H288" t="s">
        <v>255</v>
      </c>
      <c r="I288" t="str">
        <f>HYPERLINK("http://www.ncbi.nlm.nih.gov/protein/KAF1415482.1","Androgen receptor, partial")</f>
        <v>Androgen receptor, partial</v>
      </c>
      <c r="J288" t="s">
        <v>1261</v>
      </c>
      <c r="K288">
        <v>492.66</v>
      </c>
      <c r="L288" t="s">
        <v>25</v>
      </c>
      <c r="M288">
        <v>157</v>
      </c>
      <c r="N288">
        <v>62.55</v>
      </c>
      <c r="O288">
        <v>95.81</v>
      </c>
      <c r="P288" t="s">
        <v>20</v>
      </c>
      <c r="Q288" t="s">
        <v>1262</v>
      </c>
      <c r="R288" t="s">
        <v>20</v>
      </c>
      <c r="S288" t="str">
        <f>HYPERLINK("https://cfpub.epa.gov/ecotox/explore.cfm?ncbi=37081","Explore in ECOTOX")</f>
        <v>Explore in ECOTOX</v>
      </c>
    </row>
    <row r="289" spans="1:19" x14ac:dyDescent="0.25">
      <c r="A289">
        <v>6</v>
      </c>
      <c r="B289" t="str">
        <f>HYPERLINK("http://www.ncbi.nlm.nih.gov/protein/KAF1453100.1","KAF1453100.1")</f>
        <v>KAF1453100.1</v>
      </c>
      <c r="C289">
        <v>14289</v>
      </c>
      <c r="D289" t="str">
        <f>HYPERLINK("http://www.ncbi.nlm.nih.gov/Taxonomy/Browser/wwwtax.cgi?mode=Info&amp;id=92683&amp;lvl=3&amp;lin=f&amp;keep=1&amp;srchmode=1&amp;unlock","92683")</f>
        <v>92683</v>
      </c>
      <c r="E289" t="s">
        <v>167</v>
      </c>
      <c r="F289" t="s">
        <v>167</v>
      </c>
      <c r="G289" t="str">
        <f>HYPERLINK("http://www.ncbi.nlm.nih.gov/Taxonomy/Browser/wwwtax.cgi?mode=Info&amp;id=92683&amp;lvl=3&amp;lin=f&amp;keep=1&amp;srchmode=1&amp;unlock","Spheniscus demersus")</f>
        <v>Spheniscus demersus</v>
      </c>
      <c r="H289" t="s">
        <v>251</v>
      </c>
      <c r="I289" t="str">
        <f>HYPERLINK("http://www.ncbi.nlm.nih.gov/protein/KAF1453100.1","Androgen receptor, partial")</f>
        <v>Androgen receptor, partial</v>
      </c>
      <c r="J289" t="s">
        <v>1261</v>
      </c>
      <c r="K289">
        <v>492.66</v>
      </c>
      <c r="L289" t="s">
        <v>25</v>
      </c>
      <c r="M289">
        <v>157</v>
      </c>
      <c r="N289">
        <v>62.55</v>
      </c>
      <c r="O289">
        <v>95.81</v>
      </c>
      <c r="P289" t="s">
        <v>20</v>
      </c>
      <c r="Q289" t="s">
        <v>1262</v>
      </c>
      <c r="R289" t="s">
        <v>20</v>
      </c>
      <c r="S289" t="str">
        <f>HYPERLINK("https://cfpub.epa.gov/ecotox/explore.cfm?ncbi=92683","Explore in ECOTOX")</f>
        <v>Explore in ECOTOX</v>
      </c>
    </row>
    <row r="290" spans="1:19" x14ac:dyDescent="0.25">
      <c r="A290">
        <v>6</v>
      </c>
      <c r="B290" t="str">
        <f>HYPERLINK("http://www.ncbi.nlm.nih.gov/protein/KAF1471802.1","KAF1471802.1")</f>
        <v>KAF1471802.1</v>
      </c>
      <c r="C290">
        <v>14555</v>
      </c>
      <c r="D290" t="str">
        <f>HYPERLINK("http://www.ncbi.nlm.nih.gov/Taxonomy/Browser/wwwtax.cgi?mode=Info&amp;id=2517240&amp;lvl=3&amp;lin=f&amp;keep=1&amp;srchmode=1&amp;unlock","2517240")</f>
        <v>2517240</v>
      </c>
      <c r="E290" t="s">
        <v>167</v>
      </c>
      <c r="F290" t="s">
        <v>167</v>
      </c>
      <c r="G290" t="str">
        <f>HYPERLINK("http://www.ncbi.nlm.nih.gov/Taxonomy/Browser/wwwtax.cgi?mode=Info&amp;id=2517240&amp;lvl=3&amp;lin=f&amp;keep=1&amp;srchmode=1&amp;unlock","Megadyptes antipodes antipodes")</f>
        <v>Megadyptes antipodes antipodes</v>
      </c>
      <c r="H290" t="s">
        <v>277</v>
      </c>
      <c r="I290" t="str">
        <f>HYPERLINK("http://www.ncbi.nlm.nih.gov/protein/KAF1471802.1","Androgen receptor, partial")</f>
        <v>Androgen receptor, partial</v>
      </c>
      <c r="J290" t="s">
        <v>1261</v>
      </c>
      <c r="K290">
        <v>492.66</v>
      </c>
      <c r="L290" t="s">
        <v>25</v>
      </c>
      <c r="M290">
        <v>157</v>
      </c>
      <c r="N290">
        <v>62.55</v>
      </c>
      <c r="O290">
        <v>95.81</v>
      </c>
      <c r="P290" t="s">
        <v>20</v>
      </c>
      <c r="Q290" t="s">
        <v>1262</v>
      </c>
      <c r="R290" t="s">
        <v>20</v>
      </c>
      <c r="S290" t="str">
        <f>HYPERLINK("https://cfpub.epa.gov/ecotox/explore.cfm?ncbi=2517240","Explore in ECOTOX")</f>
        <v>Explore in ECOTOX</v>
      </c>
    </row>
    <row r="291" spans="1:19" x14ac:dyDescent="0.25">
      <c r="A291">
        <v>6</v>
      </c>
      <c r="B291" t="str">
        <f>HYPERLINK("http://www.ncbi.nlm.nih.gov/protein/KAF1521076.1","KAF1521076.1")</f>
        <v>KAF1521076.1</v>
      </c>
      <c r="C291">
        <v>12822</v>
      </c>
      <c r="D291" t="str">
        <f>HYPERLINK("http://www.ncbi.nlm.nih.gov/Taxonomy/Browser/wwwtax.cgi?mode=Info&amp;id=92688&amp;lvl=3&amp;lin=f&amp;keep=1&amp;srchmode=1&amp;unlock","92688")</f>
        <v>92688</v>
      </c>
      <c r="E291" t="s">
        <v>167</v>
      </c>
      <c r="F291" t="s">
        <v>167</v>
      </c>
      <c r="G291" t="str">
        <f>HYPERLINK("http://www.ncbi.nlm.nih.gov/Taxonomy/Browser/wwwtax.cgi?mode=Info&amp;id=92688&amp;lvl=3&amp;lin=f&amp;keep=1&amp;srchmode=1&amp;unlock","Eudyptes sclateri")</f>
        <v>Eudyptes sclateri</v>
      </c>
      <c r="H291" t="s">
        <v>247</v>
      </c>
      <c r="I291" t="str">
        <f>HYPERLINK("http://www.ncbi.nlm.nih.gov/protein/KAF1521076.1","Androgen receptor, partial")</f>
        <v>Androgen receptor, partial</v>
      </c>
      <c r="J291" t="s">
        <v>1261</v>
      </c>
      <c r="K291">
        <v>492.66</v>
      </c>
      <c r="L291" t="s">
        <v>25</v>
      </c>
      <c r="M291">
        <v>157</v>
      </c>
      <c r="N291">
        <v>62.55</v>
      </c>
      <c r="O291">
        <v>95.81</v>
      </c>
      <c r="P291" t="s">
        <v>20</v>
      </c>
      <c r="Q291" t="s">
        <v>1262</v>
      </c>
      <c r="R291" t="s">
        <v>20</v>
      </c>
      <c r="S291" t="str">
        <f>HYPERLINK("https://cfpub.epa.gov/ecotox/explore.cfm?ncbi=92688","Explore in ECOTOX")</f>
        <v>Explore in ECOTOX</v>
      </c>
    </row>
    <row r="292" spans="1:19" x14ac:dyDescent="0.25">
      <c r="A292">
        <v>6</v>
      </c>
      <c r="B292" t="str">
        <f>HYPERLINK("http://www.ncbi.nlm.nih.gov/protein/KAF1533857.1","KAF1533857.1")</f>
        <v>KAF1533857.1</v>
      </c>
      <c r="C292">
        <v>15140</v>
      </c>
      <c r="D292" t="str">
        <f>HYPERLINK("http://www.ncbi.nlm.nih.gov/Taxonomy/Browser/wwwtax.cgi?mode=Info&amp;id=345258&amp;lvl=3&amp;lin=f&amp;keep=1&amp;srchmode=1&amp;unlock","345258")</f>
        <v>345258</v>
      </c>
      <c r="E292" t="s">
        <v>167</v>
      </c>
      <c r="F292" t="s">
        <v>167</v>
      </c>
      <c r="G292" t="str">
        <f>HYPERLINK("http://www.ncbi.nlm.nih.gov/Taxonomy/Browser/wwwtax.cgi?mode=Info&amp;id=345258&amp;lvl=3&amp;lin=f&amp;keep=1&amp;srchmode=1&amp;unlock","Eudyptula albosignata")</f>
        <v>Eudyptula albosignata</v>
      </c>
      <c r="H292" t="s">
        <v>289</v>
      </c>
      <c r="I292" t="str">
        <f>HYPERLINK("http://www.ncbi.nlm.nih.gov/protein/KAF1533857.1","Androgen receptor, partial")</f>
        <v>Androgen receptor, partial</v>
      </c>
      <c r="J292" t="s">
        <v>1261</v>
      </c>
      <c r="K292">
        <v>492.66</v>
      </c>
      <c r="L292" t="s">
        <v>25</v>
      </c>
      <c r="M292">
        <v>157</v>
      </c>
      <c r="N292">
        <v>62.55</v>
      </c>
      <c r="O292">
        <v>95.81</v>
      </c>
      <c r="P292" t="s">
        <v>20</v>
      </c>
      <c r="Q292" t="s">
        <v>1262</v>
      </c>
      <c r="R292" t="s">
        <v>20</v>
      </c>
      <c r="S292" t="str">
        <f>HYPERLINK("https://cfpub.epa.gov/ecotox/explore.cfm?ncbi=345258","Explore in ECOTOX")</f>
        <v>Explore in ECOTOX</v>
      </c>
    </row>
    <row r="293" spans="1:19" x14ac:dyDescent="0.25">
      <c r="A293">
        <v>6</v>
      </c>
      <c r="B293" t="str">
        <f>HYPERLINK("http://www.ncbi.nlm.nih.gov/protein/KAF1540212.1","KAF1540212.1")</f>
        <v>KAF1540212.1</v>
      </c>
      <c r="C293">
        <v>15479</v>
      </c>
      <c r="D293" t="str">
        <f>HYPERLINK("http://www.ncbi.nlm.nih.gov/Taxonomy/Browser/wwwtax.cgi?mode=Info&amp;id=37083&amp;lvl=3&amp;lin=f&amp;keep=1&amp;srchmode=1&amp;unlock","37083")</f>
        <v>37083</v>
      </c>
      <c r="E293" t="s">
        <v>167</v>
      </c>
      <c r="F293" t="s">
        <v>167</v>
      </c>
      <c r="G293" t="str">
        <f>HYPERLINK("http://www.ncbi.nlm.nih.gov/Taxonomy/Browser/wwwtax.cgi?mode=Info&amp;id=37083&amp;lvl=3&amp;lin=f&amp;keep=1&amp;srchmode=1&amp;unlock","Eudyptula minor")</f>
        <v>Eudyptula minor</v>
      </c>
      <c r="H293" t="s">
        <v>281</v>
      </c>
      <c r="I293" t="str">
        <f>HYPERLINK("http://www.ncbi.nlm.nih.gov/protein/KAF1540212.1","Androgen receptor, partial")</f>
        <v>Androgen receptor, partial</v>
      </c>
      <c r="J293" t="s">
        <v>1261</v>
      </c>
      <c r="K293">
        <v>492.66</v>
      </c>
      <c r="L293" t="s">
        <v>25</v>
      </c>
      <c r="M293">
        <v>157</v>
      </c>
      <c r="N293">
        <v>62.55</v>
      </c>
      <c r="O293">
        <v>95.81</v>
      </c>
      <c r="P293" t="s">
        <v>20</v>
      </c>
      <c r="Q293" t="s">
        <v>1262</v>
      </c>
      <c r="R293" t="s">
        <v>20</v>
      </c>
      <c r="S293" t="str">
        <f>HYPERLINK("https://cfpub.epa.gov/ecotox/explore.cfm?ncbi=37083","Explore in ECOTOX")</f>
        <v>Explore in ECOTOX</v>
      </c>
    </row>
    <row r="294" spans="1:19" x14ac:dyDescent="0.25">
      <c r="A294">
        <v>6</v>
      </c>
      <c r="B294" t="str">
        <f>HYPERLINK("http://www.ncbi.nlm.nih.gov/protein/KAF1600035.1","KAF1600035.1")</f>
        <v>KAF1600035.1</v>
      </c>
      <c r="C294">
        <v>14662</v>
      </c>
      <c r="D294" t="str">
        <f>HYPERLINK("http://www.ncbi.nlm.nih.gov/Taxonomy/Browser/wwwtax.cgi?mode=Info&amp;id=79627&amp;lvl=3&amp;lin=f&amp;keep=1&amp;srchmode=1&amp;unlock","79627")</f>
        <v>79627</v>
      </c>
      <c r="E294" t="s">
        <v>167</v>
      </c>
      <c r="F294" t="s">
        <v>167</v>
      </c>
      <c r="G294" t="str">
        <f>HYPERLINK("http://www.ncbi.nlm.nih.gov/Taxonomy/Browser/wwwtax.cgi?mode=Info&amp;id=79627&amp;lvl=3&amp;lin=f&amp;keep=1&amp;srchmode=1&amp;unlock","Eudyptes chrysolophus")</f>
        <v>Eudyptes chrysolophus</v>
      </c>
      <c r="H294" t="s">
        <v>272</v>
      </c>
      <c r="I294" t="str">
        <f>HYPERLINK("http://www.ncbi.nlm.nih.gov/protein/KAF1600035.1","Androgen receptor, partial")</f>
        <v>Androgen receptor, partial</v>
      </c>
      <c r="J294" t="s">
        <v>1261</v>
      </c>
      <c r="K294">
        <v>492.66</v>
      </c>
      <c r="L294" t="s">
        <v>25</v>
      </c>
      <c r="M294">
        <v>157</v>
      </c>
      <c r="N294">
        <v>62.55</v>
      </c>
      <c r="O294">
        <v>95.81</v>
      </c>
      <c r="P294" t="s">
        <v>20</v>
      </c>
      <c r="Q294" t="s">
        <v>1262</v>
      </c>
      <c r="R294" t="s">
        <v>20</v>
      </c>
      <c r="S294" t="str">
        <f>HYPERLINK("https://cfpub.epa.gov/ecotox/explore.cfm?ncbi=79627","Explore in ECOTOX")</f>
        <v>Explore in ECOTOX</v>
      </c>
    </row>
    <row r="295" spans="1:19" x14ac:dyDescent="0.25">
      <c r="A295">
        <v>6</v>
      </c>
      <c r="B295" t="str">
        <f>HYPERLINK("http://www.ncbi.nlm.nih.gov/protein/KAF1629317.1","KAF1629317.1")</f>
        <v>KAF1629317.1</v>
      </c>
      <c r="C295">
        <v>12989</v>
      </c>
      <c r="D295" t="str">
        <f>HYPERLINK("http://www.ncbi.nlm.nih.gov/Taxonomy/Browser/wwwtax.cgi?mode=Info&amp;id=1419345&amp;lvl=3&amp;lin=f&amp;keep=1&amp;srchmode=1&amp;unlock","1419345")</f>
        <v>1419345</v>
      </c>
      <c r="E295" t="s">
        <v>167</v>
      </c>
      <c r="F295" t="s">
        <v>167</v>
      </c>
      <c r="G295" t="str">
        <f>HYPERLINK("http://www.ncbi.nlm.nih.gov/Taxonomy/Browser/wwwtax.cgi?mode=Info&amp;id=1419345&amp;lvl=3&amp;lin=f&amp;keep=1&amp;srchmode=1&amp;unlock","Eudyptes filholi")</f>
        <v>Eudyptes filholi</v>
      </c>
      <c r="H295" t="s">
        <v>259</v>
      </c>
      <c r="I295" t="str">
        <f>HYPERLINK("http://www.ncbi.nlm.nih.gov/protein/KAF1629317.1","Androgen receptor, partial")</f>
        <v>Androgen receptor, partial</v>
      </c>
      <c r="J295" t="s">
        <v>1261</v>
      </c>
      <c r="K295">
        <v>492.66</v>
      </c>
      <c r="L295" t="s">
        <v>25</v>
      </c>
      <c r="M295">
        <v>157</v>
      </c>
      <c r="N295">
        <v>62.55</v>
      </c>
      <c r="O295">
        <v>95.81</v>
      </c>
      <c r="P295" t="s">
        <v>20</v>
      </c>
      <c r="Q295" t="s">
        <v>1262</v>
      </c>
      <c r="R295" t="s">
        <v>20</v>
      </c>
      <c r="S295" t="str">
        <f>HYPERLINK("https://cfpub.epa.gov/ecotox/explore.cfm?ncbi=1419345","Explore in ECOTOX")</f>
        <v>Explore in ECOTOX</v>
      </c>
    </row>
    <row r="296" spans="1:19" x14ac:dyDescent="0.25">
      <c r="A296">
        <v>6</v>
      </c>
      <c r="B296" t="str">
        <f>HYPERLINK("http://www.ncbi.nlm.nih.gov/protein/KAF1642272.1","KAF1642272.1")</f>
        <v>KAF1642272.1</v>
      </c>
      <c r="C296">
        <v>12903</v>
      </c>
      <c r="D296" t="str">
        <f>HYPERLINK("http://www.ncbi.nlm.nih.gov/Taxonomy/Browser/wwwtax.cgi?mode=Info&amp;id=79626&amp;lvl=3&amp;lin=f&amp;keep=1&amp;srchmode=1&amp;unlock","79626")</f>
        <v>79626</v>
      </c>
      <c r="E296" t="s">
        <v>167</v>
      </c>
      <c r="F296" t="s">
        <v>167</v>
      </c>
      <c r="G296" t="str">
        <f>HYPERLINK("http://www.ncbi.nlm.nih.gov/Taxonomy/Browser/wwwtax.cgi?mode=Info&amp;id=79626&amp;lvl=3&amp;lin=f&amp;keep=1&amp;srchmode=1&amp;unlock","Eudyptes chrysocome")</f>
        <v>Eudyptes chrysocome</v>
      </c>
      <c r="H296" t="s">
        <v>249</v>
      </c>
      <c r="I296" t="str">
        <f>HYPERLINK("http://www.ncbi.nlm.nih.gov/protein/KAF1642272.1","Androgen receptor, partial")</f>
        <v>Androgen receptor, partial</v>
      </c>
      <c r="J296" t="s">
        <v>1261</v>
      </c>
      <c r="K296">
        <v>492.66</v>
      </c>
      <c r="L296" t="s">
        <v>25</v>
      </c>
      <c r="M296">
        <v>157</v>
      </c>
      <c r="N296">
        <v>62.55</v>
      </c>
      <c r="O296">
        <v>95.81</v>
      </c>
      <c r="P296" t="s">
        <v>20</v>
      </c>
      <c r="Q296" t="s">
        <v>1262</v>
      </c>
      <c r="R296" t="s">
        <v>20</v>
      </c>
      <c r="S296" t="str">
        <f>HYPERLINK("https://cfpub.epa.gov/ecotox/explore.cfm?ncbi=79626","Explore in ECOTOX")</f>
        <v>Explore in ECOTOX</v>
      </c>
    </row>
    <row r="297" spans="1:19" x14ac:dyDescent="0.25">
      <c r="A297">
        <v>6</v>
      </c>
      <c r="B297" t="str">
        <f>HYPERLINK("http://www.ncbi.nlm.nih.gov/protein/KAF1660980.1","KAF1660980.1")</f>
        <v>KAF1660980.1</v>
      </c>
      <c r="C297">
        <v>13994</v>
      </c>
      <c r="D297" t="str">
        <f>HYPERLINK("http://www.ncbi.nlm.nih.gov/Taxonomy/Browser/wwwtax.cgi?mode=Info&amp;id=9234&amp;lvl=3&amp;lin=f&amp;keep=1&amp;srchmode=1&amp;unlock","9234")</f>
        <v>9234</v>
      </c>
      <c r="E297" t="s">
        <v>167</v>
      </c>
      <c r="F297" t="s">
        <v>167</v>
      </c>
      <c r="G297" t="str">
        <f>HYPERLINK("http://www.ncbi.nlm.nih.gov/Taxonomy/Browser/wwwtax.cgi?mode=Info&amp;id=9234&amp;lvl=3&amp;lin=f&amp;keep=1&amp;srchmode=1&amp;unlock","Aptenodytes patagonicus")</f>
        <v>Aptenodytes patagonicus</v>
      </c>
      <c r="H297" t="s">
        <v>188</v>
      </c>
      <c r="I297" t="str">
        <f>HYPERLINK("http://www.ncbi.nlm.nih.gov/protein/KAF1660980.1","Androgen receptor, partial")</f>
        <v>Androgen receptor, partial</v>
      </c>
      <c r="J297" t="s">
        <v>1261</v>
      </c>
      <c r="K297">
        <v>492.66</v>
      </c>
      <c r="L297" t="s">
        <v>25</v>
      </c>
      <c r="M297">
        <v>157</v>
      </c>
      <c r="N297">
        <v>62.55</v>
      </c>
      <c r="O297">
        <v>95.81</v>
      </c>
      <c r="P297" t="s">
        <v>20</v>
      </c>
      <c r="Q297" t="s">
        <v>1262</v>
      </c>
      <c r="R297" t="s">
        <v>20</v>
      </c>
      <c r="S297" t="str">
        <f>HYPERLINK("https://cfpub.epa.gov/ecotox/explore.cfm?ncbi=9234","Explore in ECOTOX")</f>
        <v>Explore in ECOTOX</v>
      </c>
    </row>
    <row r="298" spans="1:19" x14ac:dyDescent="0.25">
      <c r="A298">
        <v>6</v>
      </c>
      <c r="B298" t="str">
        <f>HYPERLINK("http://www.ncbi.nlm.nih.gov/protein/KFM13400.1","KFM13400.1")</f>
        <v>KFM13400.1</v>
      </c>
      <c r="C298">
        <v>32672</v>
      </c>
      <c r="D298" t="str">
        <f>HYPERLINK("http://www.ncbi.nlm.nih.gov/Taxonomy/Browser/wwwtax.cgi?mode=Info&amp;id=9233&amp;lvl=3&amp;lin=f&amp;keep=1&amp;srchmode=1&amp;unlock","9233")</f>
        <v>9233</v>
      </c>
      <c r="E298" t="s">
        <v>167</v>
      </c>
      <c r="F298" t="s">
        <v>167</v>
      </c>
      <c r="G298" t="str">
        <f>HYPERLINK("http://www.ncbi.nlm.nih.gov/Taxonomy/Browser/wwwtax.cgi?mode=Info&amp;id=9233&amp;lvl=3&amp;lin=f&amp;keep=1&amp;srchmode=1&amp;unlock","Aptenodytes forsteri")</f>
        <v>Aptenodytes forsteri</v>
      </c>
      <c r="H298" t="s">
        <v>194</v>
      </c>
      <c r="I298" t="str">
        <f>HYPERLINK("http://www.ncbi.nlm.nih.gov/protein/KFM13400.1","Androgen receptor, partial")</f>
        <v>Androgen receptor, partial</v>
      </c>
      <c r="J298" t="s">
        <v>1261</v>
      </c>
      <c r="K298">
        <v>492.66</v>
      </c>
      <c r="L298" t="s">
        <v>25</v>
      </c>
      <c r="M298">
        <v>157</v>
      </c>
      <c r="N298">
        <v>62.55</v>
      </c>
      <c r="O298">
        <v>95.81</v>
      </c>
      <c r="P298" t="s">
        <v>20</v>
      </c>
      <c r="Q298" t="s">
        <v>1262</v>
      </c>
      <c r="R298" t="s">
        <v>20</v>
      </c>
      <c r="S298" t="str">
        <f>HYPERLINK("https://cfpub.epa.gov/ecotox/explore.cfm?ncbi=9233","Explore in ECOTOX")</f>
        <v>Explore in ECOTOX</v>
      </c>
    </row>
    <row r="299" spans="1:19" x14ac:dyDescent="0.25">
      <c r="A299">
        <v>6</v>
      </c>
      <c r="B299" t="str">
        <f>HYPERLINK("http://www.ncbi.nlm.nih.gov/protein/NXY76413.1","NXY76413.1")</f>
        <v>NXY76413.1</v>
      </c>
      <c r="C299">
        <v>13804</v>
      </c>
      <c r="D299" t="str">
        <f>HYPERLINK("http://www.ncbi.nlm.nih.gov/Taxonomy/Browser/wwwtax.cgi?mode=Info&amp;id=43316&amp;lvl=3&amp;lin=f&amp;keep=1&amp;srchmode=1&amp;unlock","43316")</f>
        <v>43316</v>
      </c>
      <c r="E299" t="s">
        <v>167</v>
      </c>
      <c r="F299" t="s">
        <v>167</v>
      </c>
      <c r="G299" t="str">
        <f>HYPERLINK("http://www.ncbi.nlm.nih.gov/Taxonomy/Browser/wwwtax.cgi?mode=Info&amp;id=43316&amp;lvl=3&amp;lin=f&amp;keep=1&amp;srchmode=1&amp;unlock","Glareola pratincola")</f>
        <v>Glareola pratincola</v>
      </c>
      <c r="H299" t="s">
        <v>185</v>
      </c>
      <c r="I299" t="str">
        <f>HYPERLINK("http://www.ncbi.nlm.nih.gov/protein/NXY76413.1","ANDR protein")</f>
        <v>ANDR protein</v>
      </c>
      <c r="J299" t="s">
        <v>1261</v>
      </c>
      <c r="K299">
        <v>492.66</v>
      </c>
      <c r="L299" t="s">
        <v>25</v>
      </c>
      <c r="M299">
        <v>157</v>
      </c>
      <c r="N299">
        <v>62.55</v>
      </c>
      <c r="O299">
        <v>95.81</v>
      </c>
      <c r="P299" t="s">
        <v>20</v>
      </c>
      <c r="Q299" t="s">
        <v>1262</v>
      </c>
      <c r="R299" t="s">
        <v>20</v>
      </c>
      <c r="S299" t="str">
        <f>HYPERLINK("https://cfpub.epa.gov/ecotox/explore.cfm?ncbi=43316","Explore in ECOTOX")</f>
        <v>Explore in ECOTOX</v>
      </c>
    </row>
    <row r="300" spans="1:19" x14ac:dyDescent="0.25">
      <c r="A300">
        <v>6</v>
      </c>
      <c r="B300" t="str">
        <f>HYPERLINK("http://www.ncbi.nlm.nih.gov/protein/NXK18727.1","NXK18727.1")</f>
        <v>NXK18727.1</v>
      </c>
      <c r="C300">
        <v>13971</v>
      </c>
      <c r="D300" t="str">
        <f>HYPERLINK("http://www.ncbi.nlm.nih.gov/Taxonomy/Browser/wwwtax.cgi?mode=Info&amp;id=54971&amp;lvl=3&amp;lin=f&amp;keep=1&amp;srchmode=1&amp;unlock","54971")</f>
        <v>54971</v>
      </c>
      <c r="E300" t="s">
        <v>167</v>
      </c>
      <c r="F300" t="s">
        <v>167</v>
      </c>
      <c r="G300" t="str">
        <f>HYPERLINK("http://www.ncbi.nlm.nih.gov/Taxonomy/Browser/wwwtax.cgi?mode=Info&amp;id=54971&amp;lvl=3&amp;lin=f&amp;keep=1&amp;srchmode=1&amp;unlock","Arenaria interpres")</f>
        <v>Arenaria interpres</v>
      </c>
      <c r="H300" t="s">
        <v>187</v>
      </c>
      <c r="I300" t="str">
        <f>HYPERLINK("http://www.ncbi.nlm.nih.gov/protein/NXK18727.1","ANDR protein")</f>
        <v>ANDR protein</v>
      </c>
      <c r="J300" t="s">
        <v>1261</v>
      </c>
      <c r="K300">
        <v>492.66</v>
      </c>
      <c r="L300" t="s">
        <v>25</v>
      </c>
      <c r="M300">
        <v>157</v>
      </c>
      <c r="N300">
        <v>62.55</v>
      </c>
      <c r="O300">
        <v>95.81</v>
      </c>
      <c r="P300" t="s">
        <v>20</v>
      </c>
      <c r="Q300" t="s">
        <v>1262</v>
      </c>
      <c r="R300" t="s">
        <v>20</v>
      </c>
      <c r="S300" t="str">
        <f>HYPERLINK("https://cfpub.epa.gov/ecotox/explore.cfm?ncbi=54971","Explore in ECOTOX")</f>
        <v>Explore in ECOTOX</v>
      </c>
    </row>
    <row r="301" spans="1:19" x14ac:dyDescent="0.25">
      <c r="A301">
        <v>6</v>
      </c>
      <c r="B301" t="str">
        <f>HYPERLINK("http://www.ncbi.nlm.nih.gov/protein/KAF1473077.1","KAF1473077.1")</f>
        <v>KAF1473077.1</v>
      </c>
      <c r="C301">
        <v>14369</v>
      </c>
      <c r="D301" t="str">
        <f>HYPERLINK("http://www.ncbi.nlm.nih.gov/Taxonomy/Browser/wwwtax.cgi?mode=Info&amp;id=79643&amp;lvl=3&amp;lin=f&amp;keep=1&amp;srchmode=1&amp;unlock","79643")</f>
        <v>79643</v>
      </c>
      <c r="E301" t="s">
        <v>167</v>
      </c>
      <c r="F301" t="s">
        <v>167</v>
      </c>
      <c r="G301" t="str">
        <f>HYPERLINK("http://www.ncbi.nlm.nih.gov/Taxonomy/Browser/wwwtax.cgi?mode=Info&amp;id=79643&amp;lvl=3&amp;lin=f&amp;keep=1&amp;srchmode=1&amp;unlock","Pygoscelis antarcticus")</f>
        <v>Pygoscelis antarcticus</v>
      </c>
      <c r="H301" t="s">
        <v>283</v>
      </c>
      <c r="I301" t="str">
        <f>HYPERLINK("http://www.ncbi.nlm.nih.gov/protein/KAF1473077.1","Androgen receptor, partial")</f>
        <v>Androgen receptor, partial</v>
      </c>
      <c r="J301" t="s">
        <v>1261</v>
      </c>
      <c r="K301">
        <v>492.66</v>
      </c>
      <c r="L301" t="s">
        <v>25</v>
      </c>
      <c r="M301">
        <v>157</v>
      </c>
      <c r="N301">
        <v>62.55</v>
      </c>
      <c r="O301">
        <v>95.81</v>
      </c>
      <c r="P301" t="s">
        <v>20</v>
      </c>
      <c r="Q301" t="s">
        <v>1262</v>
      </c>
      <c r="R301" t="s">
        <v>20</v>
      </c>
      <c r="S301" t="str">
        <f>HYPERLINK("https://cfpub.epa.gov/ecotox/explore.cfm?ncbi=79643","Explore in ECOTOX")</f>
        <v>Explore in ECOTOX</v>
      </c>
    </row>
    <row r="302" spans="1:19" x14ac:dyDescent="0.25">
      <c r="A302">
        <v>6</v>
      </c>
      <c r="B302" t="str">
        <f>HYPERLINK("http://www.ncbi.nlm.nih.gov/protein/KAF1674193.1","KAF1674193.1")</f>
        <v>KAF1674193.1</v>
      </c>
      <c r="C302">
        <v>15105</v>
      </c>
      <c r="D302" t="str">
        <f>HYPERLINK("http://www.ncbi.nlm.nih.gov/Taxonomy/Browser/wwwtax.cgi?mode=Info&amp;id=30457&amp;lvl=3&amp;lin=f&amp;keep=1&amp;srchmode=1&amp;unlock","30457")</f>
        <v>30457</v>
      </c>
      <c r="E302" t="s">
        <v>167</v>
      </c>
      <c r="F302" t="s">
        <v>167</v>
      </c>
      <c r="G302" t="str">
        <f>HYPERLINK("http://www.ncbi.nlm.nih.gov/Taxonomy/Browser/wwwtax.cgi?mode=Info&amp;id=30457&amp;lvl=3&amp;lin=f&amp;keep=1&amp;srchmode=1&amp;unlock","Pygoscelis papua")</f>
        <v>Pygoscelis papua</v>
      </c>
      <c r="H302" t="s">
        <v>288</v>
      </c>
      <c r="I302" t="str">
        <f>HYPERLINK("http://www.ncbi.nlm.nih.gov/protein/KAF1674193.1","Androgen receptor, partial")</f>
        <v>Androgen receptor, partial</v>
      </c>
      <c r="J302" t="s">
        <v>1261</v>
      </c>
      <c r="K302">
        <v>492.66</v>
      </c>
      <c r="L302" t="s">
        <v>25</v>
      </c>
      <c r="M302">
        <v>157</v>
      </c>
      <c r="N302">
        <v>62.55</v>
      </c>
      <c r="O302">
        <v>95.81</v>
      </c>
      <c r="P302" t="s">
        <v>20</v>
      </c>
      <c r="Q302" t="s">
        <v>1262</v>
      </c>
      <c r="R302" t="s">
        <v>20</v>
      </c>
      <c r="S302" t="str">
        <f>HYPERLINK("https://cfpub.epa.gov/ecotox/explore.cfm?ncbi=30457","Explore in ECOTOX")</f>
        <v>Explore in ECOTOX</v>
      </c>
    </row>
    <row r="303" spans="1:19" x14ac:dyDescent="0.25">
      <c r="A303">
        <v>6</v>
      </c>
      <c r="B303" t="str">
        <f>HYPERLINK("http://www.ncbi.nlm.nih.gov/protein/XP_010217956.1","XP_010217956.1")</f>
        <v>XP_010217956.1</v>
      </c>
      <c r="C303">
        <v>31346</v>
      </c>
      <c r="D303" t="str">
        <f>HYPERLINK("http://www.ncbi.nlm.nih.gov/Taxonomy/Browser/wwwtax.cgi?mode=Info&amp;id=94827&amp;lvl=3&amp;lin=f&amp;keep=1&amp;srchmode=1&amp;unlock","94827")</f>
        <v>94827</v>
      </c>
      <c r="E303" t="s">
        <v>167</v>
      </c>
      <c r="F303" t="s">
        <v>167</v>
      </c>
      <c r="G303" t="str">
        <f>HYPERLINK("http://www.ncbi.nlm.nih.gov/Taxonomy/Browser/wwwtax.cgi?mode=Info&amp;id=94827&amp;lvl=3&amp;lin=f&amp;keep=1&amp;srchmode=1&amp;unlock","Tinamus guttatus")</f>
        <v>Tinamus guttatus</v>
      </c>
      <c r="H303" t="s">
        <v>412</v>
      </c>
      <c r="I303" t="str">
        <f>HYPERLINK("http://www.ncbi.nlm.nih.gov/protein/XP_010217956.1","PREDICTED: androgen receptor")</f>
        <v>PREDICTED: androgen receptor</v>
      </c>
      <c r="J303" t="s">
        <v>1261</v>
      </c>
      <c r="K303">
        <v>492.66</v>
      </c>
      <c r="L303" t="s">
        <v>25</v>
      </c>
      <c r="M303">
        <v>157</v>
      </c>
      <c r="N303">
        <v>62.55</v>
      </c>
      <c r="O303">
        <v>95.81</v>
      </c>
      <c r="P303" t="s">
        <v>20</v>
      </c>
      <c r="Q303" t="s">
        <v>1262</v>
      </c>
      <c r="R303" t="s">
        <v>20</v>
      </c>
      <c r="S303" t="str">
        <f>HYPERLINK("https://cfpub.epa.gov/ecotox/explore.cfm?ncbi=94827","Explore in ECOTOX")</f>
        <v>Explore in ECOTOX</v>
      </c>
    </row>
    <row r="304" spans="1:19" x14ac:dyDescent="0.25">
      <c r="A304">
        <v>6</v>
      </c>
      <c r="B304" t="str">
        <f>HYPERLINK("http://www.ncbi.nlm.nih.gov/protein/NXE52890.1","NXE52890.1")</f>
        <v>NXE52890.1</v>
      </c>
      <c r="C304">
        <v>13811</v>
      </c>
      <c r="D304" t="str">
        <f>HYPERLINK("http://www.ncbi.nlm.nih.gov/Taxonomy/Browser/wwwtax.cgi?mode=Info&amp;id=8787&amp;lvl=3&amp;lin=f&amp;keep=1&amp;srchmode=1&amp;unlock","8787")</f>
        <v>8787</v>
      </c>
      <c r="E304" t="s">
        <v>167</v>
      </c>
      <c r="F304" t="s">
        <v>167</v>
      </c>
      <c r="G304" t="str">
        <f>HYPERLINK("http://www.ncbi.nlm.nih.gov/Taxonomy/Browser/wwwtax.cgi?mode=Info&amp;id=8787&amp;lvl=3&amp;lin=f&amp;keep=1&amp;srchmode=1&amp;unlock","Casuarius casuarius")</f>
        <v>Casuarius casuarius</v>
      </c>
      <c r="H304" t="s">
        <v>574</v>
      </c>
      <c r="I304" t="str">
        <f>HYPERLINK("http://www.ncbi.nlm.nih.gov/protein/NXE52890.1","ANDR protein")</f>
        <v>ANDR protein</v>
      </c>
      <c r="J304" t="s">
        <v>1261</v>
      </c>
      <c r="K304">
        <v>492.66</v>
      </c>
      <c r="L304" t="s">
        <v>25</v>
      </c>
      <c r="M304">
        <v>157</v>
      </c>
      <c r="N304">
        <v>62.55</v>
      </c>
      <c r="O304">
        <v>95.81</v>
      </c>
      <c r="P304" t="s">
        <v>20</v>
      </c>
      <c r="Q304" t="s">
        <v>1262</v>
      </c>
      <c r="R304" t="s">
        <v>20</v>
      </c>
      <c r="S304" t="str">
        <f>HYPERLINK("https://cfpub.epa.gov/ecotox/explore.cfm?ncbi=8787","Explore in ECOTOX")</f>
        <v>Explore in ECOTOX</v>
      </c>
    </row>
    <row r="305" spans="1:19" x14ac:dyDescent="0.25">
      <c r="A305">
        <v>6</v>
      </c>
      <c r="B305" t="str">
        <f>HYPERLINK("http://www.ncbi.nlm.nih.gov/protein/NXG35170.1","NXG35170.1")</f>
        <v>NXG35170.1</v>
      </c>
      <c r="C305">
        <v>45135</v>
      </c>
      <c r="D305" t="str">
        <f>HYPERLINK("http://www.ncbi.nlm.nih.gov/Taxonomy/Browser/wwwtax.cgi?mode=Info&amp;id=8790&amp;lvl=3&amp;lin=f&amp;keep=1&amp;srchmode=1&amp;unlock","8790")</f>
        <v>8790</v>
      </c>
      <c r="E305" t="s">
        <v>167</v>
      </c>
      <c r="F305" t="s">
        <v>167</v>
      </c>
      <c r="G305" t="str">
        <f>HYPERLINK("http://www.ncbi.nlm.nih.gov/Taxonomy/Browser/wwwtax.cgi?mode=Info&amp;id=8790&amp;lvl=3&amp;lin=f&amp;keep=1&amp;srchmode=1&amp;unlock","Dromaius novaehollandiae")</f>
        <v>Dromaius novaehollandiae</v>
      </c>
      <c r="H305" t="s">
        <v>336</v>
      </c>
      <c r="I305" t="str">
        <f>HYPERLINK("http://www.ncbi.nlm.nih.gov/protein/NXG35170.1","ANDR protein")</f>
        <v>ANDR protein</v>
      </c>
      <c r="J305" t="s">
        <v>1261</v>
      </c>
      <c r="K305">
        <v>492.66</v>
      </c>
      <c r="L305" t="s">
        <v>25</v>
      </c>
      <c r="M305">
        <v>157</v>
      </c>
      <c r="N305">
        <v>62.55</v>
      </c>
      <c r="O305">
        <v>95.81</v>
      </c>
      <c r="P305" t="s">
        <v>20</v>
      </c>
      <c r="Q305" t="s">
        <v>1262</v>
      </c>
      <c r="R305" t="s">
        <v>20</v>
      </c>
      <c r="S305" t="str">
        <f>HYPERLINK("https://cfpub.epa.gov/ecotox/explore.cfm?ncbi=8790","Explore in ECOTOX")</f>
        <v>Explore in ECOTOX</v>
      </c>
    </row>
    <row r="306" spans="1:19" x14ac:dyDescent="0.25">
      <c r="A306">
        <v>6</v>
      </c>
      <c r="B306" t="str">
        <f>HYPERLINK("http://www.ncbi.nlm.nih.gov/protein/NWI28193.1","NWI28193.1")</f>
        <v>NWI28193.1</v>
      </c>
      <c r="C306">
        <v>12998</v>
      </c>
      <c r="D306" t="str">
        <f>HYPERLINK("http://www.ncbi.nlm.nih.gov/Taxonomy/Browser/wwwtax.cgi?mode=Info&amp;id=56068&amp;lvl=3&amp;lin=f&amp;keep=1&amp;srchmode=1&amp;unlock","56068")</f>
        <v>56068</v>
      </c>
      <c r="E306" t="s">
        <v>167</v>
      </c>
      <c r="F306" t="s">
        <v>167</v>
      </c>
      <c r="G306" t="str">
        <f>HYPERLINK("http://www.ncbi.nlm.nih.gov/Taxonomy/Browser/wwwtax.cgi?mode=Info&amp;id=56068&amp;lvl=3&amp;lin=f&amp;keep=1&amp;srchmode=1&amp;unlock","Sula dactylatra")</f>
        <v>Sula dactylatra</v>
      </c>
      <c r="H306" t="s">
        <v>266</v>
      </c>
      <c r="I306" t="str">
        <f>HYPERLINK("http://www.ncbi.nlm.nih.gov/protein/NWI28193.1","ANDR protein")</f>
        <v>ANDR protein</v>
      </c>
      <c r="J306" t="s">
        <v>1261</v>
      </c>
      <c r="K306">
        <v>492.66</v>
      </c>
      <c r="L306" t="s">
        <v>25</v>
      </c>
      <c r="M306">
        <v>157</v>
      </c>
      <c r="N306">
        <v>62.55</v>
      </c>
      <c r="O306">
        <v>95.81</v>
      </c>
      <c r="P306" t="s">
        <v>20</v>
      </c>
      <c r="Q306" t="s">
        <v>1262</v>
      </c>
      <c r="R306" t="s">
        <v>20</v>
      </c>
      <c r="S306" t="str">
        <f>HYPERLINK("https://cfpub.epa.gov/ecotox/explore.cfm?ncbi=56068","Explore in ECOTOX")</f>
        <v>Explore in ECOTOX</v>
      </c>
    </row>
    <row r="307" spans="1:19" x14ac:dyDescent="0.25">
      <c r="A307">
        <v>6</v>
      </c>
      <c r="B307" t="str">
        <f>HYPERLINK("http://www.ncbi.nlm.nih.gov/protein/KFO15478.1","KFO15478.1")</f>
        <v>KFO15478.1</v>
      </c>
      <c r="C307">
        <v>27939</v>
      </c>
      <c r="D307" t="str">
        <f>HYPERLINK("http://www.ncbi.nlm.nih.gov/Taxonomy/Browser/wwwtax.cgi?mode=Info&amp;id=100784&amp;lvl=3&amp;lin=f&amp;keep=1&amp;srchmode=1&amp;unlock","100784")</f>
        <v>100784</v>
      </c>
      <c r="E307" t="s">
        <v>167</v>
      </c>
      <c r="F307" t="s">
        <v>167</v>
      </c>
      <c r="G307" t="str">
        <f>HYPERLINK("http://www.ncbi.nlm.nih.gov/Taxonomy/Browser/wwwtax.cgi?mode=Info&amp;id=100784&amp;lvl=3&amp;lin=f&amp;keep=1&amp;srchmode=1&amp;unlock","Balearica regulorum gibbericeps")</f>
        <v>Balearica regulorum gibbericeps</v>
      </c>
      <c r="H307" t="s">
        <v>307</v>
      </c>
      <c r="I307" t="str">
        <f>HYPERLINK("http://www.ncbi.nlm.nih.gov/protein/KFO15478.1","Androgen receptor, partial")</f>
        <v>Androgen receptor, partial</v>
      </c>
      <c r="J307" t="s">
        <v>1261</v>
      </c>
      <c r="K307">
        <v>492.66</v>
      </c>
      <c r="L307" t="s">
        <v>25</v>
      </c>
      <c r="M307">
        <v>157</v>
      </c>
      <c r="N307">
        <v>62.55</v>
      </c>
      <c r="O307">
        <v>95.81</v>
      </c>
      <c r="P307" t="s">
        <v>20</v>
      </c>
      <c r="Q307" t="s">
        <v>1262</v>
      </c>
      <c r="R307" t="s">
        <v>20</v>
      </c>
      <c r="S307" t="str">
        <f>HYPERLINK("https://cfpub.epa.gov/ecotox/explore.cfm?ncbi=100784","Explore in ECOTOX")</f>
        <v>Explore in ECOTOX</v>
      </c>
    </row>
    <row r="308" spans="1:19" x14ac:dyDescent="0.25">
      <c r="A308">
        <v>6</v>
      </c>
      <c r="B308" t="str">
        <f>HYPERLINK("http://www.ncbi.nlm.nih.gov/protein/NXD11944.1","NXD11944.1")</f>
        <v>NXD11944.1</v>
      </c>
      <c r="C308">
        <v>13147</v>
      </c>
      <c r="D308" t="str">
        <f>HYPERLINK("http://www.ncbi.nlm.nih.gov/Taxonomy/Browser/wwwtax.cgi?mode=Info&amp;id=1977171&amp;lvl=3&amp;lin=f&amp;keep=1&amp;srchmode=1&amp;unlock","1977171")</f>
        <v>1977171</v>
      </c>
      <c r="E308" t="s">
        <v>167</v>
      </c>
      <c r="F308" t="s">
        <v>167</v>
      </c>
      <c r="G308" t="str">
        <f>HYPERLINK("http://www.ncbi.nlm.nih.gov/Taxonomy/Browser/wwwtax.cgi?mode=Info&amp;id=1977171&amp;lvl=3&amp;lin=f&amp;keep=1&amp;srchmode=1&amp;unlock","Nothocercus nigrocapillus")</f>
        <v>Nothocercus nigrocapillus</v>
      </c>
      <c r="H308" t="s">
        <v>196</v>
      </c>
      <c r="I308" t="str">
        <f>HYPERLINK("http://www.ncbi.nlm.nih.gov/protein/NXD11944.1","ANDR protein")</f>
        <v>ANDR protein</v>
      </c>
      <c r="J308" t="s">
        <v>1261</v>
      </c>
      <c r="K308">
        <v>492.66</v>
      </c>
      <c r="L308" t="s">
        <v>25</v>
      </c>
      <c r="M308">
        <v>157</v>
      </c>
      <c r="N308">
        <v>62.55</v>
      </c>
      <c r="O308">
        <v>95.81</v>
      </c>
      <c r="P308" t="s">
        <v>20</v>
      </c>
      <c r="Q308" t="s">
        <v>1262</v>
      </c>
      <c r="R308" t="s">
        <v>20</v>
      </c>
      <c r="S308" t="str">
        <f>HYPERLINK("https://cfpub.epa.gov/ecotox/explore.cfm?ncbi=1977171","Explore in ECOTOX")</f>
        <v>Explore in ECOTOX</v>
      </c>
    </row>
    <row r="309" spans="1:19" x14ac:dyDescent="0.25">
      <c r="A309">
        <v>6</v>
      </c>
      <c r="B309" t="str">
        <f>HYPERLINK("http://www.ncbi.nlm.nih.gov/protein/NXA45752.1","NXA45752.1")</f>
        <v>NXA45752.1</v>
      </c>
      <c r="C309">
        <v>13387</v>
      </c>
      <c r="D309" t="str">
        <f>HYPERLINK("http://www.ncbi.nlm.nih.gov/Taxonomy/Browser/wwwtax.cgi?mode=Info&amp;id=2585813&amp;lvl=3&amp;lin=f&amp;keep=1&amp;srchmode=1&amp;unlock","2585813")</f>
        <v>2585813</v>
      </c>
      <c r="E309" t="s">
        <v>167</v>
      </c>
      <c r="F309" t="s">
        <v>167</v>
      </c>
      <c r="G309" t="str">
        <f>HYPERLINK("http://www.ncbi.nlm.nih.gov/Taxonomy/Browser/wwwtax.cgi?mode=Info&amp;id=2585813&amp;lvl=3&amp;lin=f&amp;keep=1&amp;srchmode=1&amp;unlock","Nothocercus julius")</f>
        <v>Nothocercus julius</v>
      </c>
      <c r="H309" t="s">
        <v>196</v>
      </c>
      <c r="I309" t="str">
        <f>HYPERLINK("http://www.ncbi.nlm.nih.gov/protein/NXA45752.1","ANDR protein")</f>
        <v>ANDR protein</v>
      </c>
      <c r="J309" t="s">
        <v>1261</v>
      </c>
      <c r="K309">
        <v>492.66</v>
      </c>
      <c r="L309" t="s">
        <v>25</v>
      </c>
      <c r="M309">
        <v>157</v>
      </c>
      <c r="N309">
        <v>62.55</v>
      </c>
      <c r="O309">
        <v>95.81</v>
      </c>
      <c r="P309" t="s">
        <v>20</v>
      </c>
      <c r="Q309" t="s">
        <v>1262</v>
      </c>
      <c r="R309" t="s">
        <v>20</v>
      </c>
      <c r="S309" t="str">
        <f>HYPERLINK("https://cfpub.epa.gov/ecotox/explore.cfm?ncbi=2585813","Explore in ECOTOX")</f>
        <v>Explore in ECOTOX</v>
      </c>
    </row>
    <row r="310" spans="1:19" x14ac:dyDescent="0.25">
      <c r="A310">
        <v>6</v>
      </c>
      <c r="B310" t="str">
        <f>HYPERLINK("http://www.ncbi.nlm.nih.gov/protein/NXJ67296.1","NXJ67296.1")</f>
        <v>NXJ67296.1</v>
      </c>
      <c r="C310">
        <v>14258</v>
      </c>
      <c r="D310" t="str">
        <f>HYPERLINK("http://www.ncbi.nlm.nih.gov/Taxonomy/Browser/wwwtax.cgi?mode=Info&amp;id=118793&amp;lvl=3&amp;lin=f&amp;keep=1&amp;srchmode=1&amp;unlock","118793")</f>
        <v>118793</v>
      </c>
      <c r="E310" t="s">
        <v>167</v>
      </c>
      <c r="F310" t="s">
        <v>167</v>
      </c>
      <c r="G310" t="str">
        <f>HYPERLINK("http://www.ncbi.nlm.nih.gov/Taxonomy/Browser/wwwtax.cgi?mode=Info&amp;id=118793&amp;lvl=3&amp;lin=f&amp;keep=1&amp;srchmode=1&amp;unlock","Rostratula benghalensis")</f>
        <v>Rostratula benghalensis</v>
      </c>
      <c r="H310" t="s">
        <v>316</v>
      </c>
      <c r="I310" t="str">
        <f>HYPERLINK("http://www.ncbi.nlm.nih.gov/protein/NXJ67296.1","ANDR protein")</f>
        <v>ANDR protein</v>
      </c>
      <c r="J310" t="s">
        <v>1261</v>
      </c>
      <c r="K310">
        <v>492.66</v>
      </c>
      <c r="L310" t="s">
        <v>25</v>
      </c>
      <c r="M310">
        <v>157</v>
      </c>
      <c r="N310">
        <v>62.55</v>
      </c>
      <c r="O310">
        <v>95.81</v>
      </c>
      <c r="P310" t="s">
        <v>20</v>
      </c>
      <c r="Q310" t="s">
        <v>1262</v>
      </c>
      <c r="R310" t="s">
        <v>20</v>
      </c>
      <c r="S310" t="str">
        <f>HYPERLINK("https://cfpub.epa.gov/ecotox/explore.cfm?ncbi=118793","Explore in ECOTOX")</f>
        <v>Explore in ECOTOX</v>
      </c>
    </row>
    <row r="311" spans="1:19" x14ac:dyDescent="0.25">
      <c r="A311">
        <v>6</v>
      </c>
      <c r="B311" t="str">
        <f>HYPERLINK("http://www.ncbi.nlm.nih.gov/protein/NWX86836.1","NWX86836.1")</f>
        <v>NWX86836.1</v>
      </c>
      <c r="C311">
        <v>13431</v>
      </c>
      <c r="D311" t="str">
        <f>HYPERLINK("http://www.ncbi.nlm.nih.gov/Taxonomy/Browser/wwwtax.cgi?mode=Info&amp;id=2585814&amp;lvl=3&amp;lin=f&amp;keep=1&amp;srchmode=1&amp;unlock","2585814")</f>
        <v>2585814</v>
      </c>
      <c r="E311" t="s">
        <v>167</v>
      </c>
      <c r="F311" t="s">
        <v>167</v>
      </c>
      <c r="G311" t="str">
        <f>HYPERLINK("http://www.ncbi.nlm.nih.gov/Taxonomy/Browser/wwwtax.cgi?mode=Info&amp;id=2585814&amp;lvl=3&amp;lin=f&amp;keep=1&amp;srchmode=1&amp;unlock","Nothoprocta pentlandii")</f>
        <v>Nothoprocta pentlandii</v>
      </c>
      <c r="H311" t="s">
        <v>196</v>
      </c>
      <c r="I311" t="str">
        <f>HYPERLINK("http://www.ncbi.nlm.nih.gov/protein/NWX86836.1","ANDR protein")</f>
        <v>ANDR protein</v>
      </c>
      <c r="J311" t="s">
        <v>1261</v>
      </c>
      <c r="K311">
        <v>492.66</v>
      </c>
      <c r="L311" t="s">
        <v>25</v>
      </c>
      <c r="M311">
        <v>157</v>
      </c>
      <c r="N311">
        <v>62.55</v>
      </c>
      <c r="O311">
        <v>95.81</v>
      </c>
      <c r="P311" t="s">
        <v>20</v>
      </c>
      <c r="Q311" t="s">
        <v>1262</v>
      </c>
      <c r="R311" t="s">
        <v>20</v>
      </c>
      <c r="S311" t="str">
        <f>HYPERLINK("https://cfpub.epa.gov/ecotox/explore.cfm?ncbi=2585814","Explore in ECOTOX")</f>
        <v>Explore in ECOTOX</v>
      </c>
    </row>
    <row r="312" spans="1:19" x14ac:dyDescent="0.25">
      <c r="A312">
        <v>6</v>
      </c>
      <c r="B312" t="str">
        <f>HYPERLINK("http://www.ncbi.nlm.nih.gov/protein/NWX97377.1","NWX97377.1")</f>
        <v>NWX97377.1</v>
      </c>
      <c r="C312">
        <v>13754</v>
      </c>
      <c r="D312" t="str">
        <f>HYPERLINK("http://www.ncbi.nlm.nih.gov/Taxonomy/Browser/wwwtax.cgi?mode=Info&amp;id=83376&amp;lvl=3&amp;lin=f&amp;keep=1&amp;srchmode=1&amp;unlock","83376")</f>
        <v>83376</v>
      </c>
      <c r="E312" t="s">
        <v>167</v>
      </c>
      <c r="F312" t="s">
        <v>167</v>
      </c>
      <c r="G312" t="str">
        <f>HYPERLINK("http://www.ncbi.nlm.nih.gov/Taxonomy/Browser/wwwtax.cgi?mode=Info&amp;id=83376&amp;lvl=3&amp;lin=f&amp;keep=1&amp;srchmode=1&amp;unlock","Nothoprocta ornata")</f>
        <v>Nothoprocta ornata</v>
      </c>
      <c r="H312" t="s">
        <v>196</v>
      </c>
      <c r="I312" t="str">
        <f>HYPERLINK("http://www.ncbi.nlm.nih.gov/protein/NWX97377.1","ANDR protein")</f>
        <v>ANDR protein</v>
      </c>
      <c r="J312" t="s">
        <v>1261</v>
      </c>
      <c r="K312">
        <v>492.66</v>
      </c>
      <c r="L312" t="s">
        <v>25</v>
      </c>
      <c r="M312">
        <v>157</v>
      </c>
      <c r="N312">
        <v>62.55</v>
      </c>
      <c r="O312">
        <v>95.81</v>
      </c>
      <c r="P312" t="s">
        <v>20</v>
      </c>
      <c r="Q312" t="s">
        <v>1262</v>
      </c>
      <c r="R312" t="s">
        <v>20</v>
      </c>
      <c r="S312" t="str">
        <f>HYPERLINK("https://cfpub.epa.gov/ecotox/explore.cfm?ncbi=83376","Explore in ECOTOX")</f>
        <v>Explore in ECOTOX</v>
      </c>
    </row>
    <row r="313" spans="1:19" x14ac:dyDescent="0.25">
      <c r="A313">
        <v>6</v>
      </c>
      <c r="B313" t="str">
        <f>HYPERLINK("http://www.ncbi.nlm.nih.gov/protein/NXO49100.1","NXO49100.1")</f>
        <v>NXO49100.1</v>
      </c>
      <c r="C313">
        <v>14352</v>
      </c>
      <c r="D313" t="str">
        <f>HYPERLINK("http://www.ncbi.nlm.nih.gov/Taxonomy/Browser/wwwtax.cgi?mode=Info&amp;id=54356&amp;lvl=3&amp;lin=f&amp;keep=1&amp;srchmode=1&amp;unlock","54356")</f>
        <v>54356</v>
      </c>
      <c r="E313" t="s">
        <v>167</v>
      </c>
      <c r="F313" t="s">
        <v>167</v>
      </c>
      <c r="G313" t="str">
        <f>HYPERLINK("http://www.ncbi.nlm.nih.gov/Taxonomy/Browser/wwwtax.cgi?mode=Info&amp;id=54356&amp;lvl=3&amp;lin=f&amp;keep=1&amp;srchmode=1&amp;unlock","Aramus guarauna")</f>
        <v>Aramus guarauna</v>
      </c>
      <c r="H313" t="s">
        <v>344</v>
      </c>
      <c r="I313" t="str">
        <f>HYPERLINK("http://www.ncbi.nlm.nih.gov/protein/NXO49100.1","ANDR protein")</f>
        <v>ANDR protein</v>
      </c>
      <c r="J313" t="s">
        <v>1261</v>
      </c>
      <c r="K313">
        <v>492.66</v>
      </c>
      <c r="L313" t="s">
        <v>25</v>
      </c>
      <c r="M313">
        <v>157</v>
      </c>
      <c r="N313">
        <v>62.55</v>
      </c>
      <c r="O313">
        <v>95.81</v>
      </c>
      <c r="P313" t="s">
        <v>20</v>
      </c>
      <c r="Q313" t="s">
        <v>1262</v>
      </c>
      <c r="R313" t="s">
        <v>20</v>
      </c>
      <c r="S313" t="str">
        <f>HYPERLINK("https://cfpub.epa.gov/ecotox/explore.cfm?ncbi=54356","Explore in ECOTOX")</f>
        <v>Explore in ECOTOX</v>
      </c>
    </row>
    <row r="314" spans="1:19" x14ac:dyDescent="0.25">
      <c r="A314">
        <v>6</v>
      </c>
      <c r="B314" t="str">
        <f>HYPERLINK("http://www.ncbi.nlm.nih.gov/protein/NXT94797.1","NXT94797.1")</f>
        <v>NXT94797.1</v>
      </c>
      <c r="C314">
        <v>10510</v>
      </c>
      <c r="D314" t="str">
        <f>HYPERLINK("http://www.ncbi.nlm.nih.gov/Taxonomy/Browser/wwwtax.cgi?mode=Info&amp;id=317792&amp;lvl=3&amp;lin=f&amp;keep=1&amp;srchmode=1&amp;unlock","317792")</f>
        <v>317792</v>
      </c>
      <c r="E314" t="s">
        <v>167</v>
      </c>
      <c r="F314" t="s">
        <v>167</v>
      </c>
      <c r="G314" t="str">
        <f>HYPERLINK("http://www.ncbi.nlm.nih.gov/Taxonomy/Browser/wwwtax.cgi?mode=Info&amp;id=317792&amp;lvl=3&amp;lin=f&amp;keep=1&amp;srchmode=1&amp;unlock","Anhinga rufa")</f>
        <v>Anhinga rufa</v>
      </c>
      <c r="H314" t="s">
        <v>347</v>
      </c>
      <c r="I314" t="str">
        <f>HYPERLINK("http://www.ncbi.nlm.nih.gov/protein/NXT94797.1","ANDR protein")</f>
        <v>ANDR protein</v>
      </c>
      <c r="J314" t="s">
        <v>1261</v>
      </c>
      <c r="K314">
        <v>492.66</v>
      </c>
      <c r="L314" t="s">
        <v>25</v>
      </c>
      <c r="M314">
        <v>157</v>
      </c>
      <c r="N314">
        <v>62.55</v>
      </c>
      <c r="O314">
        <v>95.81</v>
      </c>
      <c r="P314" t="s">
        <v>20</v>
      </c>
      <c r="Q314" t="s">
        <v>1262</v>
      </c>
      <c r="R314" t="s">
        <v>20</v>
      </c>
      <c r="S314" t="str">
        <f>HYPERLINK("https://cfpub.epa.gov/ecotox/explore.cfm?ncbi=317792","Explore in ECOTOX")</f>
        <v>Explore in ECOTOX</v>
      </c>
    </row>
    <row r="315" spans="1:19" x14ac:dyDescent="0.25">
      <c r="A315">
        <v>6</v>
      </c>
      <c r="B315" t="str">
        <f>HYPERLINK("http://www.ncbi.nlm.nih.gov/protein/NXC68749.1","NXC68749.1")</f>
        <v>NXC68749.1</v>
      </c>
      <c r="C315">
        <v>13634</v>
      </c>
      <c r="D315" t="str">
        <f>HYPERLINK("http://www.ncbi.nlm.nih.gov/Taxonomy/Browser/wwwtax.cgi?mode=Info&amp;id=56067&amp;lvl=3&amp;lin=f&amp;keep=1&amp;srchmode=1&amp;unlock","56067")</f>
        <v>56067</v>
      </c>
      <c r="E315" t="s">
        <v>167</v>
      </c>
      <c r="F315" t="s">
        <v>167</v>
      </c>
      <c r="G315" t="str">
        <f>HYPERLINK("http://www.ncbi.nlm.nih.gov/Taxonomy/Browser/wwwtax.cgi?mode=Info&amp;id=56067&amp;lvl=3&amp;lin=f&amp;keep=1&amp;srchmode=1&amp;unlock","Anhinga anhinga")</f>
        <v>Anhinga anhinga</v>
      </c>
      <c r="H315" t="s">
        <v>297</v>
      </c>
      <c r="I315" t="str">
        <f>HYPERLINK("http://www.ncbi.nlm.nih.gov/protein/NXC68749.1","ANDR protein")</f>
        <v>ANDR protein</v>
      </c>
      <c r="J315" t="s">
        <v>1261</v>
      </c>
      <c r="K315">
        <v>492.66</v>
      </c>
      <c r="L315" t="s">
        <v>25</v>
      </c>
      <c r="M315">
        <v>157</v>
      </c>
      <c r="N315">
        <v>62.55</v>
      </c>
      <c r="O315">
        <v>95.81</v>
      </c>
      <c r="P315" t="s">
        <v>20</v>
      </c>
      <c r="Q315" t="s">
        <v>1262</v>
      </c>
      <c r="R315" t="s">
        <v>20</v>
      </c>
      <c r="S315" t="str">
        <f>HYPERLINK("https://cfpub.epa.gov/ecotox/explore.cfm?ncbi=56067","Explore in ECOTOX")</f>
        <v>Explore in ECOTOX</v>
      </c>
    </row>
    <row r="316" spans="1:19" x14ac:dyDescent="0.25">
      <c r="A316">
        <v>6</v>
      </c>
      <c r="B316" t="str">
        <f>HYPERLINK("http://www.ncbi.nlm.nih.gov/protein/XP_009675620.1","XP_009675620.1")</f>
        <v>XP_009675620.1</v>
      </c>
      <c r="C316">
        <v>39498</v>
      </c>
      <c r="D316" t="str">
        <f>HYPERLINK("http://www.ncbi.nlm.nih.gov/Taxonomy/Browser/wwwtax.cgi?mode=Info&amp;id=441894&amp;lvl=3&amp;lin=f&amp;keep=1&amp;srchmode=1&amp;unlock","441894")</f>
        <v>441894</v>
      </c>
      <c r="E316" t="s">
        <v>167</v>
      </c>
      <c r="F316" t="s">
        <v>167</v>
      </c>
      <c r="G316" t="str">
        <f>HYPERLINK("http://www.ncbi.nlm.nih.gov/Taxonomy/Browser/wwwtax.cgi?mode=Info&amp;id=441894&amp;lvl=3&amp;lin=f&amp;keep=1&amp;srchmode=1&amp;unlock","Struthio camelus australis")</f>
        <v>Struthio camelus australis</v>
      </c>
      <c r="H316" t="s">
        <v>370</v>
      </c>
      <c r="I316" t="str">
        <f>HYPERLINK("http://www.ncbi.nlm.nih.gov/protein/XP_009675620.1","PREDICTED: androgen receptor")</f>
        <v>PREDICTED: androgen receptor</v>
      </c>
      <c r="J316" t="s">
        <v>1261</v>
      </c>
      <c r="K316">
        <v>492.66</v>
      </c>
      <c r="L316" t="s">
        <v>25</v>
      </c>
      <c r="M316">
        <v>157</v>
      </c>
      <c r="N316">
        <v>62.55</v>
      </c>
      <c r="O316">
        <v>95.81</v>
      </c>
      <c r="P316" t="s">
        <v>20</v>
      </c>
      <c r="Q316" t="s">
        <v>1262</v>
      </c>
      <c r="R316" t="s">
        <v>20</v>
      </c>
      <c r="S316" t="str">
        <f>HYPERLINK("https://cfpub.epa.gov/ecotox/explore.cfm?ncbi=441894","Explore in ECOTOX")</f>
        <v>Explore in ECOTOX</v>
      </c>
    </row>
    <row r="317" spans="1:19" x14ac:dyDescent="0.25">
      <c r="A317">
        <v>6</v>
      </c>
      <c r="B317" t="str">
        <f>HYPERLINK("http://www.ncbi.nlm.nih.gov/protein/NXW56789.1","NXW56789.1")</f>
        <v>NXW56789.1</v>
      </c>
      <c r="C317">
        <v>13972</v>
      </c>
      <c r="D317" t="str">
        <f>HYPERLINK("http://www.ncbi.nlm.nih.gov/Taxonomy/Browser/wwwtax.cgi?mode=Info&amp;id=325343&amp;lvl=3&amp;lin=f&amp;keep=1&amp;srchmode=1&amp;unlock","325343")</f>
        <v>325343</v>
      </c>
      <c r="E317" t="s">
        <v>167</v>
      </c>
      <c r="F317" t="s">
        <v>167</v>
      </c>
      <c r="G317" t="str">
        <f>HYPERLINK("http://www.ncbi.nlm.nih.gov/Taxonomy/Browser/wwwtax.cgi?mode=Info&amp;id=325343&amp;lvl=3&amp;lin=f&amp;keep=1&amp;srchmode=1&amp;unlock","Eurystomus gularis")</f>
        <v>Eurystomus gularis</v>
      </c>
      <c r="H317" t="s">
        <v>238</v>
      </c>
      <c r="I317" t="str">
        <f>HYPERLINK("http://www.ncbi.nlm.nih.gov/protein/NXW56789.1","ANDR protein")</f>
        <v>ANDR protein</v>
      </c>
      <c r="J317" t="s">
        <v>1261</v>
      </c>
      <c r="K317">
        <v>492.66</v>
      </c>
      <c r="L317" t="s">
        <v>25</v>
      </c>
      <c r="M317">
        <v>157</v>
      </c>
      <c r="N317">
        <v>62.55</v>
      </c>
      <c r="O317">
        <v>95.81</v>
      </c>
      <c r="P317" t="s">
        <v>20</v>
      </c>
      <c r="Q317" t="s">
        <v>1262</v>
      </c>
      <c r="R317" t="s">
        <v>20</v>
      </c>
      <c r="S317" t="str">
        <f>HYPERLINK("https://cfpub.epa.gov/ecotox/explore.cfm?ncbi=325343","Explore in ECOTOX")</f>
        <v>Explore in ECOTOX</v>
      </c>
    </row>
    <row r="318" spans="1:19" x14ac:dyDescent="0.25">
      <c r="A318">
        <v>6</v>
      </c>
      <c r="B318" t="str">
        <f>HYPERLINK("http://www.ncbi.nlm.nih.gov/protein/XP_009502702.1","XP_009502702.1")</f>
        <v>XP_009502702.1</v>
      </c>
      <c r="C318">
        <v>26157</v>
      </c>
      <c r="D318" t="str">
        <f>HYPERLINK("http://www.ncbi.nlm.nih.gov/Taxonomy/Browser/wwwtax.cgi?mode=Info&amp;id=9209&amp;lvl=3&amp;lin=f&amp;keep=1&amp;srchmode=1&amp;unlock","9209")</f>
        <v>9209</v>
      </c>
      <c r="E318" t="s">
        <v>167</v>
      </c>
      <c r="F318" t="s">
        <v>167</v>
      </c>
      <c r="G318" t="str">
        <f>HYPERLINK("http://www.ncbi.nlm.nih.gov/Taxonomy/Browser/wwwtax.cgi?mode=Info&amp;id=9209&amp;lvl=3&amp;lin=f&amp;keep=1&amp;srchmode=1&amp;unlock","Phalacrocorax carbo")</f>
        <v>Phalacrocorax carbo</v>
      </c>
      <c r="H318" t="s">
        <v>353</v>
      </c>
      <c r="I318" t="str">
        <f>HYPERLINK("http://www.ncbi.nlm.nih.gov/protein/XP_009502702.1","PREDICTED: androgen receptor, partial")</f>
        <v>PREDICTED: androgen receptor, partial</v>
      </c>
      <c r="J318" t="s">
        <v>1261</v>
      </c>
      <c r="K318">
        <v>492.66</v>
      </c>
      <c r="L318" t="s">
        <v>25</v>
      </c>
      <c r="M318">
        <v>157</v>
      </c>
      <c r="N318">
        <v>62.55</v>
      </c>
      <c r="O318">
        <v>95.81</v>
      </c>
      <c r="P318" t="s">
        <v>20</v>
      </c>
      <c r="Q318" t="s">
        <v>1262</v>
      </c>
      <c r="R318" t="s">
        <v>20</v>
      </c>
      <c r="S318" t="str">
        <f>HYPERLINK("https://cfpub.epa.gov/ecotox/explore.cfm?ncbi=9209","Explore in ECOTOX")</f>
        <v>Explore in ECOTOX</v>
      </c>
    </row>
    <row r="319" spans="1:19" x14ac:dyDescent="0.25">
      <c r="A319">
        <v>6</v>
      </c>
      <c r="B319" t="str">
        <f>HYPERLINK("http://www.ncbi.nlm.nih.gov/protein/XP_030304719.1","XP_030304719.1")</f>
        <v>XP_030304719.1</v>
      </c>
      <c r="C319">
        <v>42941</v>
      </c>
      <c r="D319" t="str">
        <f>HYPERLINK("http://www.ncbi.nlm.nih.gov/Taxonomy/Browser/wwwtax.cgi?mode=Info&amp;id=9244&amp;lvl=3&amp;lin=f&amp;keep=1&amp;srchmode=1&amp;unlock","9244")</f>
        <v>9244</v>
      </c>
      <c r="E319" t="s">
        <v>167</v>
      </c>
      <c r="F319" t="s">
        <v>167</v>
      </c>
      <c r="G319" t="str">
        <f>HYPERLINK("http://www.ncbi.nlm.nih.gov/Taxonomy/Browser/wwwtax.cgi?mode=Info&amp;id=9244&amp;lvl=3&amp;lin=f&amp;keep=1&amp;srchmode=1&amp;unlock","Calypte anna")</f>
        <v>Calypte anna</v>
      </c>
      <c r="H319" t="s">
        <v>219</v>
      </c>
      <c r="I319" t="str">
        <f>HYPERLINK("http://www.ncbi.nlm.nih.gov/protein/XP_030304719.1","androgen receptor")</f>
        <v>androgen receptor</v>
      </c>
      <c r="J319" t="s">
        <v>1261</v>
      </c>
      <c r="K319">
        <v>492.27</v>
      </c>
      <c r="L319" t="s">
        <v>25</v>
      </c>
      <c r="M319">
        <v>157</v>
      </c>
      <c r="N319">
        <v>62.55</v>
      </c>
      <c r="O319">
        <v>95.73</v>
      </c>
      <c r="P319" t="s">
        <v>20</v>
      </c>
      <c r="Q319" t="s">
        <v>1262</v>
      </c>
      <c r="R319" t="s">
        <v>20</v>
      </c>
      <c r="S319" t="str">
        <f>HYPERLINK("https://cfpub.epa.gov/ecotox/explore.cfm?ncbi=9244","Explore in ECOTOX")</f>
        <v>Explore in ECOTOX</v>
      </c>
    </row>
    <row r="320" spans="1:19" x14ac:dyDescent="0.25">
      <c r="A320">
        <v>6</v>
      </c>
      <c r="B320" t="str">
        <f>HYPERLINK("http://www.ncbi.nlm.nih.gov/protein/NXX82758.1","NXX82758.1")</f>
        <v>NXX82758.1</v>
      </c>
      <c r="C320">
        <v>14124</v>
      </c>
      <c r="D320" t="str">
        <f>HYPERLINK("http://www.ncbi.nlm.nih.gov/Taxonomy/Browser/wwwtax.cgi?mode=Info&amp;id=458196&amp;lvl=3&amp;lin=f&amp;keep=1&amp;srchmode=1&amp;unlock","458196")</f>
        <v>458196</v>
      </c>
      <c r="E320" t="s">
        <v>167</v>
      </c>
      <c r="F320" t="s">
        <v>167</v>
      </c>
      <c r="G320" t="str">
        <f>HYPERLINK("http://www.ncbi.nlm.nih.gov/Taxonomy/Browser/wwwtax.cgi?mode=Info&amp;id=458196&amp;lvl=3&amp;lin=f&amp;keep=1&amp;srchmode=1&amp;unlock","Urocolius indicus")</f>
        <v>Urocolius indicus</v>
      </c>
      <c r="H320" t="s">
        <v>228</v>
      </c>
      <c r="I320" t="str">
        <f>HYPERLINK("http://www.ncbi.nlm.nih.gov/protein/NXX82758.1","ANDR protein")</f>
        <v>ANDR protein</v>
      </c>
      <c r="J320" t="s">
        <v>1261</v>
      </c>
      <c r="K320">
        <v>492.27</v>
      </c>
      <c r="L320" t="s">
        <v>25</v>
      </c>
      <c r="M320">
        <v>157</v>
      </c>
      <c r="N320">
        <v>62.55</v>
      </c>
      <c r="O320">
        <v>95.73</v>
      </c>
      <c r="P320" t="s">
        <v>20</v>
      </c>
      <c r="Q320" t="s">
        <v>1262</v>
      </c>
      <c r="R320" t="s">
        <v>20</v>
      </c>
      <c r="S320" t="str">
        <f>HYPERLINK("https://cfpub.epa.gov/ecotox/explore.cfm?ncbi=458196","Explore in ECOTOX")</f>
        <v>Explore in ECOTOX</v>
      </c>
    </row>
    <row r="321" spans="1:19" x14ac:dyDescent="0.25">
      <c r="A321">
        <v>6</v>
      </c>
      <c r="B321" t="str">
        <f>HYPERLINK("http://www.ncbi.nlm.nih.gov/protein/XP_027518937.1","XP_027518937.1")</f>
        <v>XP_027518937.1</v>
      </c>
      <c r="C321">
        <v>39234</v>
      </c>
      <c r="D321" t="str">
        <f>HYPERLINK("http://www.ncbi.nlm.nih.gov/Taxonomy/Browser/wwwtax.cgi?mode=Info&amp;id=415028&amp;lvl=3&amp;lin=f&amp;keep=1&amp;srchmode=1&amp;unlock","415028")</f>
        <v>415028</v>
      </c>
      <c r="E321" t="s">
        <v>167</v>
      </c>
      <c r="F321" t="s">
        <v>167</v>
      </c>
      <c r="G321" t="str">
        <f>HYPERLINK("http://www.ncbi.nlm.nih.gov/Taxonomy/Browser/wwwtax.cgi?mode=Info&amp;id=415028&amp;lvl=3&amp;lin=f&amp;keep=1&amp;srchmode=1&amp;unlock","Corapipo altera")</f>
        <v>Corapipo altera</v>
      </c>
      <c r="H321" t="s">
        <v>493</v>
      </c>
      <c r="I321" t="str">
        <f>HYPERLINK("http://www.ncbi.nlm.nih.gov/protein/XP_027518937.1","androgen receptor, partial")</f>
        <v>androgen receptor, partial</v>
      </c>
      <c r="J321" t="s">
        <v>1261</v>
      </c>
      <c r="K321">
        <v>492.27</v>
      </c>
      <c r="L321" t="s">
        <v>25</v>
      </c>
      <c r="M321">
        <v>157</v>
      </c>
      <c r="N321">
        <v>62.55</v>
      </c>
      <c r="O321">
        <v>95.73</v>
      </c>
      <c r="P321" t="s">
        <v>20</v>
      </c>
      <c r="Q321" t="s">
        <v>1262</v>
      </c>
      <c r="R321" t="s">
        <v>20</v>
      </c>
      <c r="S321" t="str">
        <f>HYPERLINK("https://cfpub.epa.gov/ecotox/explore.cfm?ncbi=415028","Explore in ECOTOX")</f>
        <v>Explore in ECOTOX</v>
      </c>
    </row>
    <row r="322" spans="1:19" x14ac:dyDescent="0.25">
      <c r="A322">
        <v>6</v>
      </c>
      <c r="B322" t="str">
        <f>HYPERLINK("http://www.ncbi.nlm.nih.gov/protein/XP_032557749.1","XP_032557749.1")</f>
        <v>XP_032557749.1</v>
      </c>
      <c r="C322">
        <v>39420</v>
      </c>
      <c r="D322" t="str">
        <f>HYPERLINK("http://www.ncbi.nlm.nih.gov/Taxonomy/Browser/wwwtax.cgi?mode=Info&amp;id=296741&amp;lvl=3&amp;lin=f&amp;keep=1&amp;srchmode=1&amp;unlock","296741")</f>
        <v>296741</v>
      </c>
      <c r="E322" t="s">
        <v>167</v>
      </c>
      <c r="F322" t="s">
        <v>167</v>
      </c>
      <c r="G322" t="str">
        <f>HYPERLINK("http://www.ncbi.nlm.nih.gov/Taxonomy/Browser/wwwtax.cgi?mode=Info&amp;id=296741&amp;lvl=3&amp;lin=f&amp;keep=1&amp;srchmode=1&amp;unlock","Chiroxiphia lanceolata")</f>
        <v>Chiroxiphia lanceolata</v>
      </c>
      <c r="H322" t="s">
        <v>484</v>
      </c>
      <c r="I322" t="str">
        <f>HYPERLINK("http://www.ncbi.nlm.nih.gov/protein/XP_032557749.1","LOW QUALITY PROTEIN: androgen receptor")</f>
        <v>LOW QUALITY PROTEIN: androgen receptor</v>
      </c>
      <c r="J322" t="s">
        <v>1261</v>
      </c>
      <c r="K322">
        <v>492.27</v>
      </c>
      <c r="L322" t="s">
        <v>25</v>
      </c>
      <c r="M322">
        <v>157</v>
      </c>
      <c r="N322">
        <v>62.55</v>
      </c>
      <c r="O322">
        <v>95.73</v>
      </c>
      <c r="P322" t="s">
        <v>20</v>
      </c>
      <c r="Q322" t="s">
        <v>1262</v>
      </c>
      <c r="R322" t="s">
        <v>20</v>
      </c>
      <c r="S322" t="str">
        <f>HYPERLINK("https://cfpub.epa.gov/ecotox/explore.cfm?ncbi=296741","Explore in ECOTOX")</f>
        <v>Explore in ECOTOX</v>
      </c>
    </row>
    <row r="323" spans="1:19" x14ac:dyDescent="0.25">
      <c r="A323">
        <v>6</v>
      </c>
      <c r="B323" t="str">
        <f>HYPERLINK("http://www.ncbi.nlm.nih.gov/protein/XP_027586750.1","XP_027586750.1")</f>
        <v>XP_027586750.1</v>
      </c>
      <c r="C323">
        <v>35867</v>
      </c>
      <c r="D323" t="str">
        <f>HYPERLINK("http://www.ncbi.nlm.nih.gov/Taxonomy/Browser/wwwtax.cgi?mode=Info&amp;id=649802&amp;lvl=3&amp;lin=f&amp;keep=1&amp;srchmode=1&amp;unlock","649802")</f>
        <v>649802</v>
      </c>
      <c r="E323" t="s">
        <v>167</v>
      </c>
      <c r="F323" t="s">
        <v>167</v>
      </c>
      <c r="G323" t="str">
        <f>HYPERLINK("http://www.ncbi.nlm.nih.gov/Taxonomy/Browser/wwwtax.cgi?mode=Info&amp;id=649802&amp;lvl=3&amp;lin=f&amp;keep=1&amp;srchmode=1&amp;unlock","Pipra filicauda")</f>
        <v>Pipra filicauda</v>
      </c>
      <c r="H323" t="s">
        <v>478</v>
      </c>
      <c r="I323" t="str">
        <f>HYPERLINK("http://www.ncbi.nlm.nih.gov/protein/XP_027586750.1","androgen receptor isoform X1")</f>
        <v>androgen receptor isoform X1</v>
      </c>
      <c r="J323" t="s">
        <v>1261</v>
      </c>
      <c r="K323">
        <v>492.27</v>
      </c>
      <c r="L323" t="s">
        <v>25</v>
      </c>
      <c r="M323">
        <v>157</v>
      </c>
      <c r="N323">
        <v>62.55</v>
      </c>
      <c r="O323">
        <v>95.73</v>
      </c>
      <c r="P323" t="s">
        <v>20</v>
      </c>
      <c r="Q323" t="s">
        <v>1262</v>
      </c>
      <c r="R323" t="s">
        <v>20</v>
      </c>
      <c r="S323" t="str">
        <f>HYPERLINK("https://cfpub.epa.gov/ecotox/explore.cfm?ncbi=649802","Explore in ECOTOX")</f>
        <v>Explore in ECOTOX</v>
      </c>
    </row>
    <row r="324" spans="1:19" x14ac:dyDescent="0.25">
      <c r="A324">
        <v>6</v>
      </c>
      <c r="B324" t="str">
        <f>HYPERLINK("http://www.ncbi.nlm.nih.gov/protein/XP_017674811.1","XP_017674811.1")</f>
        <v>XP_017674811.1</v>
      </c>
      <c r="C324">
        <v>36957</v>
      </c>
      <c r="D324" t="str">
        <f>HYPERLINK("http://www.ncbi.nlm.nih.gov/Taxonomy/Browser/wwwtax.cgi?mode=Info&amp;id=321398&amp;lvl=3&amp;lin=f&amp;keep=1&amp;srchmode=1&amp;unlock","321398")</f>
        <v>321398</v>
      </c>
      <c r="E324" t="s">
        <v>167</v>
      </c>
      <c r="F324" t="s">
        <v>167</v>
      </c>
      <c r="G324" t="str">
        <f>HYPERLINK("http://www.ncbi.nlm.nih.gov/Taxonomy/Browser/wwwtax.cgi?mode=Info&amp;id=321398&amp;lvl=3&amp;lin=f&amp;keep=1&amp;srchmode=1&amp;unlock","Lepidothrix coronata")</f>
        <v>Lepidothrix coronata</v>
      </c>
      <c r="H324" t="s">
        <v>462</v>
      </c>
      <c r="I324" t="str">
        <f>HYPERLINK("http://www.ncbi.nlm.nih.gov/protein/XP_017674811.1","PREDICTED: androgen receptor")</f>
        <v>PREDICTED: androgen receptor</v>
      </c>
      <c r="J324" t="s">
        <v>1261</v>
      </c>
      <c r="K324">
        <v>492.27</v>
      </c>
      <c r="L324" t="s">
        <v>25</v>
      </c>
      <c r="M324">
        <v>157</v>
      </c>
      <c r="N324">
        <v>62.55</v>
      </c>
      <c r="O324">
        <v>95.73</v>
      </c>
      <c r="P324" t="s">
        <v>20</v>
      </c>
      <c r="Q324" t="s">
        <v>1262</v>
      </c>
      <c r="R324" t="s">
        <v>20</v>
      </c>
      <c r="S324" t="str">
        <f>HYPERLINK("https://cfpub.epa.gov/ecotox/explore.cfm?ncbi=321398","Explore in ECOTOX")</f>
        <v>Explore in ECOTOX</v>
      </c>
    </row>
    <row r="325" spans="1:19" x14ac:dyDescent="0.25">
      <c r="A325">
        <v>6</v>
      </c>
      <c r="B325" t="str">
        <f>HYPERLINK("http://www.ncbi.nlm.nih.gov/protein/XP_027546220.1","XP_027546220.1")</f>
        <v>XP_027546220.1</v>
      </c>
      <c r="C325">
        <v>39505</v>
      </c>
      <c r="D325" t="str">
        <f>HYPERLINK("http://www.ncbi.nlm.nih.gov/Taxonomy/Browser/wwwtax.cgi?mode=Info&amp;id=114329&amp;lvl=3&amp;lin=f&amp;keep=1&amp;srchmode=1&amp;unlock","114329")</f>
        <v>114329</v>
      </c>
      <c r="E325" t="s">
        <v>167</v>
      </c>
      <c r="F325" t="s">
        <v>167</v>
      </c>
      <c r="G325" t="str">
        <f>HYPERLINK("http://www.ncbi.nlm.nih.gov/Taxonomy/Browser/wwwtax.cgi?mode=Info&amp;id=114329&amp;lvl=3&amp;lin=f&amp;keep=1&amp;srchmode=1&amp;unlock","Neopelma chrysocephalum")</f>
        <v>Neopelma chrysocephalum</v>
      </c>
      <c r="H325" t="s">
        <v>357</v>
      </c>
      <c r="I325" t="str">
        <f>HYPERLINK("http://www.ncbi.nlm.nih.gov/protein/XP_027546220.1","androgen receptor, partial")</f>
        <v>androgen receptor, partial</v>
      </c>
      <c r="J325" t="s">
        <v>1261</v>
      </c>
      <c r="K325">
        <v>492.27</v>
      </c>
      <c r="L325" t="s">
        <v>25</v>
      </c>
      <c r="M325">
        <v>157</v>
      </c>
      <c r="N325">
        <v>62.55</v>
      </c>
      <c r="O325">
        <v>95.73</v>
      </c>
      <c r="P325" t="s">
        <v>20</v>
      </c>
      <c r="Q325" t="s">
        <v>1262</v>
      </c>
      <c r="R325" t="s">
        <v>20</v>
      </c>
      <c r="S325" t="str">
        <f>HYPERLINK("https://cfpub.epa.gov/ecotox/explore.cfm?ncbi=114329","Explore in ECOTOX")</f>
        <v>Explore in ECOTOX</v>
      </c>
    </row>
    <row r="326" spans="1:19" x14ac:dyDescent="0.25">
      <c r="A326">
        <v>6</v>
      </c>
      <c r="B326" t="str">
        <f>HYPERLINK("http://www.ncbi.nlm.nih.gov/protein/NXD80889.1","NXD80889.1")</f>
        <v>NXD80889.1</v>
      </c>
      <c r="C326">
        <v>14290</v>
      </c>
      <c r="D326" t="str">
        <f>HYPERLINK("http://www.ncbi.nlm.nih.gov/Taxonomy/Browser/wwwtax.cgi?mode=Info&amp;id=342381&amp;lvl=3&amp;lin=f&amp;keep=1&amp;srchmode=1&amp;unlock","342381")</f>
        <v>342381</v>
      </c>
      <c r="E326" t="s">
        <v>167</v>
      </c>
      <c r="F326" t="s">
        <v>167</v>
      </c>
      <c r="G326" t="str">
        <f>HYPERLINK("http://www.ncbi.nlm.nih.gov/Taxonomy/Browser/wwwtax.cgi?mode=Info&amp;id=342381&amp;lvl=3&amp;lin=f&amp;keep=1&amp;srchmode=1&amp;unlock","Halcyon senegalensis")</f>
        <v>Halcyon senegalensis</v>
      </c>
      <c r="H326" t="s">
        <v>229</v>
      </c>
      <c r="I326" t="str">
        <f>HYPERLINK("http://www.ncbi.nlm.nih.gov/protein/NXD80889.1","ANDR protein")</f>
        <v>ANDR protein</v>
      </c>
      <c r="J326" t="s">
        <v>1261</v>
      </c>
      <c r="K326">
        <v>492.27</v>
      </c>
      <c r="L326" t="s">
        <v>25</v>
      </c>
      <c r="M326">
        <v>157</v>
      </c>
      <c r="N326">
        <v>62.55</v>
      </c>
      <c r="O326">
        <v>95.73</v>
      </c>
      <c r="P326" t="s">
        <v>20</v>
      </c>
      <c r="Q326" t="s">
        <v>1262</v>
      </c>
      <c r="R326" t="s">
        <v>20</v>
      </c>
      <c r="S326" t="str">
        <f>HYPERLINK("https://cfpub.epa.gov/ecotox/explore.cfm?ncbi=342381","Explore in ECOTOX")</f>
        <v>Explore in ECOTOX</v>
      </c>
    </row>
    <row r="327" spans="1:19" x14ac:dyDescent="0.25">
      <c r="A327">
        <v>6</v>
      </c>
      <c r="B327" t="str">
        <f>HYPERLINK("http://www.ncbi.nlm.nih.gov/protein/KFW77147.1","KFW77147.1")</f>
        <v>KFW77147.1</v>
      </c>
      <c r="C327">
        <v>37258</v>
      </c>
      <c r="D327" t="str">
        <f>HYPERLINK("http://www.ncbi.nlm.nih.gov/Taxonomy/Browser/wwwtax.cgi?mode=Info&amp;id=328815&amp;lvl=3&amp;lin=f&amp;keep=1&amp;srchmode=1&amp;unlock","328815")</f>
        <v>328815</v>
      </c>
      <c r="E327" t="s">
        <v>167</v>
      </c>
      <c r="F327" t="s">
        <v>167</v>
      </c>
      <c r="G327" t="str">
        <f>HYPERLINK("http://www.ncbi.nlm.nih.gov/Taxonomy/Browser/wwwtax.cgi?mode=Info&amp;id=328815&amp;lvl=3&amp;lin=f&amp;keep=1&amp;srchmode=1&amp;unlock","Manacus vitellinus")</f>
        <v>Manacus vitellinus</v>
      </c>
      <c r="H327" t="s">
        <v>488</v>
      </c>
      <c r="I327" t="str">
        <f>HYPERLINK("http://www.ncbi.nlm.nih.gov/protein/KFW77147.1","Androgen receptor, partial")</f>
        <v>Androgen receptor, partial</v>
      </c>
      <c r="J327" t="s">
        <v>1261</v>
      </c>
      <c r="K327">
        <v>492.27</v>
      </c>
      <c r="L327" t="s">
        <v>25</v>
      </c>
      <c r="M327">
        <v>157</v>
      </c>
      <c r="N327">
        <v>62.55</v>
      </c>
      <c r="O327">
        <v>95.73</v>
      </c>
      <c r="P327" t="s">
        <v>20</v>
      </c>
      <c r="Q327" t="s">
        <v>1262</v>
      </c>
      <c r="R327" t="s">
        <v>20</v>
      </c>
      <c r="S327" t="str">
        <f>HYPERLINK("https://cfpub.epa.gov/ecotox/explore.cfm?ncbi=328815","Explore in ECOTOX")</f>
        <v>Explore in ECOTOX</v>
      </c>
    </row>
    <row r="328" spans="1:19" x14ac:dyDescent="0.25">
      <c r="A328">
        <v>6</v>
      </c>
      <c r="B328" t="str">
        <f>HYPERLINK("http://www.ncbi.nlm.nih.gov/protein/NXG18636.1","NXG18636.1")</f>
        <v>NXG18636.1</v>
      </c>
      <c r="C328">
        <v>13957</v>
      </c>
      <c r="D328" t="str">
        <f>HYPERLINK("http://www.ncbi.nlm.nih.gov/Taxonomy/Browser/wwwtax.cgi?mode=Info&amp;id=117165&amp;lvl=3&amp;lin=f&amp;keep=1&amp;srchmode=1&amp;unlock","117165")</f>
        <v>117165</v>
      </c>
      <c r="E328" t="s">
        <v>167</v>
      </c>
      <c r="F328" t="s">
        <v>167</v>
      </c>
      <c r="G328" t="str">
        <f>HYPERLINK("http://www.ncbi.nlm.nih.gov/Taxonomy/Browser/wwwtax.cgi?mode=Info&amp;id=117165&amp;lvl=3&amp;lin=f&amp;keep=1&amp;srchmode=1&amp;unlock","Grallaria varia")</f>
        <v>Grallaria varia</v>
      </c>
      <c r="H328" t="s">
        <v>400</v>
      </c>
      <c r="I328" t="str">
        <f>HYPERLINK("http://www.ncbi.nlm.nih.gov/protein/NXG18636.1","ANDR protein")</f>
        <v>ANDR protein</v>
      </c>
      <c r="J328" t="s">
        <v>1261</v>
      </c>
      <c r="K328">
        <v>492.27</v>
      </c>
      <c r="L328" t="s">
        <v>25</v>
      </c>
      <c r="M328">
        <v>157</v>
      </c>
      <c r="N328">
        <v>62.55</v>
      </c>
      <c r="O328">
        <v>95.73</v>
      </c>
      <c r="P328" t="s">
        <v>20</v>
      </c>
      <c r="Q328" t="s">
        <v>1262</v>
      </c>
      <c r="R328" t="s">
        <v>20</v>
      </c>
      <c r="S328" t="str">
        <f>HYPERLINK("https://cfpub.epa.gov/ecotox/explore.cfm?ncbi=117165","Explore in ECOTOX")</f>
        <v>Explore in ECOTOX</v>
      </c>
    </row>
    <row r="329" spans="1:19" x14ac:dyDescent="0.25">
      <c r="A329">
        <v>6</v>
      </c>
      <c r="B329" t="str">
        <f>HYPERLINK("http://www.ncbi.nlm.nih.gov/protein/NWI54587.1","NWI54587.1")</f>
        <v>NWI54587.1</v>
      </c>
      <c r="C329">
        <v>13255</v>
      </c>
      <c r="D329" t="str">
        <f>HYPERLINK("http://www.ncbi.nlm.nih.gov/Taxonomy/Browser/wwwtax.cgi?mode=Info&amp;id=135972&amp;lvl=3&amp;lin=f&amp;keep=1&amp;srchmode=1&amp;unlock","135972")</f>
        <v>135972</v>
      </c>
      <c r="E329" t="s">
        <v>167</v>
      </c>
      <c r="F329" t="s">
        <v>167</v>
      </c>
      <c r="G329" t="str">
        <f>HYPERLINK("http://www.ncbi.nlm.nih.gov/Taxonomy/Browser/wwwtax.cgi?mode=Info&amp;id=135972&amp;lvl=3&amp;lin=f&amp;keep=1&amp;srchmode=1&amp;unlock","Calyptomena viridis")</f>
        <v>Calyptomena viridis</v>
      </c>
      <c r="H329" t="s">
        <v>441</v>
      </c>
      <c r="I329" t="str">
        <f>HYPERLINK("http://www.ncbi.nlm.nih.gov/protein/NWI54587.1","ANDR protein")</f>
        <v>ANDR protein</v>
      </c>
      <c r="J329" t="s">
        <v>1261</v>
      </c>
      <c r="K329">
        <v>492.27</v>
      </c>
      <c r="L329" t="s">
        <v>25</v>
      </c>
      <c r="M329">
        <v>157</v>
      </c>
      <c r="N329">
        <v>62.55</v>
      </c>
      <c r="O329">
        <v>95.73</v>
      </c>
      <c r="P329" t="s">
        <v>20</v>
      </c>
      <c r="Q329" t="s">
        <v>1262</v>
      </c>
      <c r="R329" t="s">
        <v>20</v>
      </c>
      <c r="S329" t="str">
        <f>HYPERLINK("https://cfpub.epa.gov/ecotox/explore.cfm?ncbi=135972","Explore in ECOTOX")</f>
        <v>Explore in ECOTOX</v>
      </c>
    </row>
    <row r="330" spans="1:19" x14ac:dyDescent="0.25">
      <c r="A330">
        <v>6</v>
      </c>
      <c r="B330" t="str">
        <f>HYPERLINK("http://www.ncbi.nlm.nih.gov/protein/NXM03331.1","NXM03331.1")</f>
        <v>NXM03331.1</v>
      </c>
      <c r="C330">
        <v>13608</v>
      </c>
      <c r="D330" t="str">
        <f>HYPERLINK("http://www.ncbi.nlm.nih.gov/Taxonomy/Browser/wwwtax.cgi?mode=Info&amp;id=137541&amp;lvl=3&amp;lin=f&amp;keep=1&amp;srchmode=1&amp;unlock","137541")</f>
        <v>137541</v>
      </c>
      <c r="E330" t="s">
        <v>167</v>
      </c>
      <c r="F330" t="s">
        <v>167</v>
      </c>
      <c r="G330" t="str">
        <f>HYPERLINK("http://www.ncbi.nlm.nih.gov/Taxonomy/Browser/wwwtax.cgi?mode=Info&amp;id=137541&amp;lvl=3&amp;lin=f&amp;keep=1&amp;srchmode=1&amp;unlock","Tyrannus savana")</f>
        <v>Tyrannus savana</v>
      </c>
      <c r="H330" t="s">
        <v>364</v>
      </c>
      <c r="I330" t="str">
        <f>HYPERLINK("http://www.ncbi.nlm.nih.gov/protein/NXM03331.1","ANDR protein")</f>
        <v>ANDR protein</v>
      </c>
      <c r="J330" t="s">
        <v>1261</v>
      </c>
      <c r="K330">
        <v>492.27</v>
      </c>
      <c r="L330" t="s">
        <v>25</v>
      </c>
      <c r="M330">
        <v>157</v>
      </c>
      <c r="N330">
        <v>62.55</v>
      </c>
      <c r="O330">
        <v>95.73</v>
      </c>
      <c r="P330" t="s">
        <v>20</v>
      </c>
      <c r="Q330" t="s">
        <v>1262</v>
      </c>
      <c r="R330" t="s">
        <v>20</v>
      </c>
      <c r="S330" t="str">
        <f>HYPERLINK("https://cfpub.epa.gov/ecotox/explore.cfm?ncbi=137541","Explore in ECOTOX")</f>
        <v>Explore in ECOTOX</v>
      </c>
    </row>
    <row r="331" spans="1:19" x14ac:dyDescent="0.25">
      <c r="A331">
        <v>6</v>
      </c>
      <c r="B331" t="str">
        <f>HYPERLINK("http://www.ncbi.nlm.nih.gov/protein/NXU71634.1","NXU71634.1")</f>
        <v>NXU71634.1</v>
      </c>
      <c r="C331">
        <v>12185</v>
      </c>
      <c r="D331" t="str">
        <f>HYPERLINK("http://www.ncbi.nlm.nih.gov/Taxonomy/Browser/wwwtax.cgi?mode=Info&amp;id=689266&amp;lvl=3&amp;lin=f&amp;keep=1&amp;srchmode=1&amp;unlock","689266")</f>
        <v>689266</v>
      </c>
      <c r="E331" t="s">
        <v>167</v>
      </c>
      <c r="F331" t="s">
        <v>167</v>
      </c>
      <c r="G331" t="str">
        <f>HYPERLINK("http://www.ncbi.nlm.nih.gov/Taxonomy/Browser/wwwtax.cgi?mode=Info&amp;id=689266&amp;lvl=3&amp;lin=f&amp;keep=1&amp;srchmode=1&amp;unlock","Oreotrochilus melanogaster")</f>
        <v>Oreotrochilus melanogaster</v>
      </c>
      <c r="H331" t="s">
        <v>242</v>
      </c>
      <c r="I331" t="str">
        <f>HYPERLINK("http://www.ncbi.nlm.nih.gov/protein/NXU71634.1","ANDR protein")</f>
        <v>ANDR protein</v>
      </c>
      <c r="J331" t="s">
        <v>1261</v>
      </c>
      <c r="K331">
        <v>492.27</v>
      </c>
      <c r="L331" t="s">
        <v>25</v>
      </c>
      <c r="M331">
        <v>157</v>
      </c>
      <c r="N331">
        <v>62.55</v>
      </c>
      <c r="O331">
        <v>95.73</v>
      </c>
      <c r="P331" t="s">
        <v>20</v>
      </c>
      <c r="Q331" t="s">
        <v>1262</v>
      </c>
      <c r="R331" t="s">
        <v>20</v>
      </c>
      <c r="S331" t="str">
        <f>HYPERLINK("https://cfpub.epa.gov/ecotox/explore.cfm?ncbi=689266","Explore in ECOTOX")</f>
        <v>Explore in ECOTOX</v>
      </c>
    </row>
    <row r="332" spans="1:19" x14ac:dyDescent="0.25">
      <c r="A332">
        <v>6</v>
      </c>
      <c r="B332" t="str">
        <f>HYPERLINK("http://www.ncbi.nlm.nih.gov/protein/NWU88844.1","NWU88844.1")</f>
        <v>NWU88844.1</v>
      </c>
      <c r="C332">
        <v>13878</v>
      </c>
      <c r="D332" t="str">
        <f>HYPERLINK("http://www.ncbi.nlm.nih.gov/Taxonomy/Browser/wwwtax.cgi?mode=Info&amp;id=57439&amp;lvl=3&amp;lin=f&amp;keep=1&amp;srchmode=1&amp;unlock","57439")</f>
        <v>57439</v>
      </c>
      <c r="E332" t="s">
        <v>167</v>
      </c>
      <c r="F332" t="s">
        <v>167</v>
      </c>
      <c r="G332" t="str">
        <f>HYPERLINK("http://www.ncbi.nlm.nih.gov/Taxonomy/Browser/wwwtax.cgi?mode=Info&amp;id=57439&amp;lvl=3&amp;lin=f&amp;keep=1&amp;srchmode=1&amp;unlock","Upupa epops")</f>
        <v>Upupa epops</v>
      </c>
      <c r="H332" t="s">
        <v>234</v>
      </c>
      <c r="I332" t="str">
        <f>HYPERLINK("http://www.ncbi.nlm.nih.gov/protein/NWU88844.1","ANDR protein")</f>
        <v>ANDR protein</v>
      </c>
      <c r="J332" t="s">
        <v>1261</v>
      </c>
      <c r="K332">
        <v>492.27</v>
      </c>
      <c r="L332" t="s">
        <v>25</v>
      </c>
      <c r="M332">
        <v>157</v>
      </c>
      <c r="N332">
        <v>62.55</v>
      </c>
      <c r="O332">
        <v>95.73</v>
      </c>
      <c r="P332" t="s">
        <v>20</v>
      </c>
      <c r="Q332" t="s">
        <v>1262</v>
      </c>
      <c r="R332" t="s">
        <v>20</v>
      </c>
      <c r="S332" t="str">
        <f>HYPERLINK("https://cfpub.epa.gov/ecotox/explore.cfm?ncbi=57439","Explore in ECOTOX")</f>
        <v>Explore in ECOTOX</v>
      </c>
    </row>
    <row r="333" spans="1:19" x14ac:dyDescent="0.25">
      <c r="A333">
        <v>6</v>
      </c>
      <c r="B333" t="str">
        <f>HYPERLINK("http://www.ncbi.nlm.nih.gov/protein/XP_030354066.1","XP_030354066.1")</f>
        <v>XP_030354066.1</v>
      </c>
      <c r="C333">
        <v>43730</v>
      </c>
      <c r="D333" t="str">
        <f>HYPERLINK("http://www.ncbi.nlm.nih.gov/Taxonomy/Browser/wwwtax.cgi?mode=Info&amp;id=2489341&amp;lvl=3&amp;lin=f&amp;keep=1&amp;srchmode=1&amp;unlock","2489341")</f>
        <v>2489341</v>
      </c>
      <c r="E333" t="s">
        <v>167</v>
      </c>
      <c r="F333" t="s">
        <v>167</v>
      </c>
      <c r="G333" t="str">
        <f>HYPERLINK("http://www.ncbi.nlm.nih.gov/Taxonomy/Browser/wwwtax.cgi?mode=Info&amp;id=2489341&amp;lvl=3&amp;lin=f&amp;keep=1&amp;srchmode=1&amp;unlock","Strigops habroptila")</f>
        <v>Strigops habroptila</v>
      </c>
      <c r="H333" t="s">
        <v>396</v>
      </c>
      <c r="I333" t="str">
        <f>HYPERLINK("http://www.ncbi.nlm.nih.gov/protein/XP_030354066.1","androgen receptor")</f>
        <v>androgen receptor</v>
      </c>
      <c r="J333" t="s">
        <v>1261</v>
      </c>
      <c r="K333">
        <v>491.89</v>
      </c>
      <c r="L333" t="s">
        <v>25</v>
      </c>
      <c r="M333">
        <v>157</v>
      </c>
      <c r="N333">
        <v>62.55</v>
      </c>
      <c r="O333">
        <v>95.66</v>
      </c>
      <c r="P333" t="s">
        <v>20</v>
      </c>
      <c r="Q333" t="s">
        <v>1262</v>
      </c>
      <c r="R333" t="s">
        <v>20</v>
      </c>
      <c r="S333" t="str">
        <f>HYPERLINK("https://cfpub.epa.gov/ecotox/explore.cfm?ncbi=2489341","Explore in ECOTOX")</f>
        <v>Explore in ECOTOX</v>
      </c>
    </row>
    <row r="334" spans="1:19" x14ac:dyDescent="0.25">
      <c r="A334">
        <v>6</v>
      </c>
      <c r="B334" t="str">
        <f>HYPERLINK("http://www.ncbi.nlm.nih.gov/protein/NXE95941.1","NXE95941.1")</f>
        <v>NXE95941.1</v>
      </c>
      <c r="C334">
        <v>14528</v>
      </c>
      <c r="D334" t="str">
        <f>HYPERLINK("http://www.ncbi.nlm.nih.gov/Taxonomy/Browser/wwwtax.cgi?mode=Info&amp;id=47692&amp;lvl=3&amp;lin=f&amp;keep=1&amp;srchmode=1&amp;unlock","47692")</f>
        <v>47692</v>
      </c>
      <c r="E334" t="s">
        <v>167</v>
      </c>
      <c r="F334" t="s">
        <v>167</v>
      </c>
      <c r="G334" t="str">
        <f>HYPERLINK("http://www.ncbi.nlm.nih.gov/Taxonomy/Browser/wwwtax.cgi?mode=Info&amp;id=47692&amp;lvl=3&amp;lin=f&amp;keep=1&amp;srchmode=1&amp;unlock","Menura novaehollandiae")</f>
        <v>Menura novaehollandiae</v>
      </c>
      <c r="H334" t="s">
        <v>329</v>
      </c>
      <c r="I334" t="str">
        <f>HYPERLINK("http://www.ncbi.nlm.nih.gov/protein/NXE95941.1","ANDR protein")</f>
        <v>ANDR protein</v>
      </c>
      <c r="J334" t="s">
        <v>1261</v>
      </c>
      <c r="K334">
        <v>491.89</v>
      </c>
      <c r="L334" t="s">
        <v>25</v>
      </c>
      <c r="M334">
        <v>157</v>
      </c>
      <c r="N334">
        <v>62.55</v>
      </c>
      <c r="O334">
        <v>95.66</v>
      </c>
      <c r="P334" t="s">
        <v>20</v>
      </c>
      <c r="Q334" t="s">
        <v>1262</v>
      </c>
      <c r="R334" t="s">
        <v>20</v>
      </c>
      <c r="S334" t="str">
        <f>HYPERLINK("https://cfpub.epa.gov/ecotox/explore.cfm?ncbi=47692","Explore in ECOTOX")</f>
        <v>Explore in ECOTOX</v>
      </c>
    </row>
    <row r="335" spans="1:19" x14ac:dyDescent="0.25">
      <c r="A335">
        <v>6</v>
      </c>
      <c r="B335" t="str">
        <f>HYPERLINK("http://www.ncbi.nlm.nih.gov/protein/NXN72835.1","NXN72835.1")</f>
        <v>NXN72835.1</v>
      </c>
      <c r="C335">
        <v>14348</v>
      </c>
      <c r="D335" t="str">
        <f>HYPERLINK("http://www.ncbi.nlm.nih.gov/Taxonomy/Browser/wwwtax.cgi?mode=Info&amp;id=225398&amp;lvl=3&amp;lin=f&amp;keep=1&amp;srchmode=1&amp;unlock","225398")</f>
        <v>225398</v>
      </c>
      <c r="E335" t="s">
        <v>167</v>
      </c>
      <c r="F335" t="s">
        <v>167</v>
      </c>
      <c r="G335" t="str">
        <f>HYPERLINK("http://www.ncbi.nlm.nih.gov/Taxonomy/Browser/wwwtax.cgi?mode=Info&amp;id=225398&amp;lvl=3&amp;lin=f&amp;keep=1&amp;srchmode=1&amp;unlock","Himantopus himantopus")</f>
        <v>Himantopus himantopus</v>
      </c>
      <c r="H335" t="s">
        <v>589</v>
      </c>
      <c r="I335" t="str">
        <f>HYPERLINK("http://www.ncbi.nlm.nih.gov/protein/NXN72835.1","ANDR protein")</f>
        <v>ANDR protein</v>
      </c>
      <c r="J335" t="s">
        <v>1261</v>
      </c>
      <c r="K335">
        <v>491.89</v>
      </c>
      <c r="L335" t="s">
        <v>25</v>
      </c>
      <c r="M335">
        <v>157</v>
      </c>
      <c r="N335">
        <v>62.55</v>
      </c>
      <c r="O335">
        <v>95.66</v>
      </c>
      <c r="P335" t="s">
        <v>20</v>
      </c>
      <c r="Q335" t="s">
        <v>1262</v>
      </c>
      <c r="R335" t="s">
        <v>20</v>
      </c>
      <c r="S335" t="str">
        <f>HYPERLINK("https://cfpub.epa.gov/ecotox/explore.cfm?ncbi=225398","Explore in ECOTOX")</f>
        <v>Explore in ECOTOX</v>
      </c>
    </row>
    <row r="336" spans="1:19" x14ac:dyDescent="0.25">
      <c r="A336">
        <v>6</v>
      </c>
      <c r="B336" t="str">
        <f>HYPERLINK("http://www.ncbi.nlm.nih.gov/protein/NWV26475.1","NWV26475.1")</f>
        <v>NWV26475.1</v>
      </c>
      <c r="C336">
        <v>14487</v>
      </c>
      <c r="D336" t="str">
        <f>HYPERLINK("http://www.ncbi.nlm.nih.gov/Taxonomy/Browser/wwwtax.cgi?mode=Info&amp;id=720586&amp;lvl=3&amp;lin=f&amp;keep=1&amp;srchmode=1&amp;unlock","720586")</f>
        <v>720586</v>
      </c>
      <c r="E336" t="s">
        <v>167</v>
      </c>
      <c r="F336" t="s">
        <v>167</v>
      </c>
      <c r="G336" t="str">
        <f>HYPERLINK("http://www.ncbi.nlm.nih.gov/Taxonomy/Browser/wwwtax.cgi?mode=Info&amp;id=720586&amp;lvl=3&amp;lin=f&amp;keep=1&amp;srchmode=1&amp;unlock","Origma solitaria")</f>
        <v>Origma solitaria</v>
      </c>
      <c r="H336" t="s">
        <v>206</v>
      </c>
      <c r="I336" t="str">
        <f>HYPERLINK("http://www.ncbi.nlm.nih.gov/protein/NWV26475.1","ANDR protein")</f>
        <v>ANDR protein</v>
      </c>
      <c r="J336" t="s">
        <v>1261</v>
      </c>
      <c r="K336">
        <v>491.89</v>
      </c>
      <c r="L336" t="s">
        <v>25</v>
      </c>
      <c r="M336">
        <v>157</v>
      </c>
      <c r="N336">
        <v>62.55</v>
      </c>
      <c r="O336">
        <v>95.66</v>
      </c>
      <c r="P336" t="s">
        <v>20</v>
      </c>
      <c r="Q336" t="s">
        <v>1262</v>
      </c>
      <c r="R336" t="s">
        <v>20</v>
      </c>
      <c r="S336" t="str">
        <f>HYPERLINK("https://cfpub.epa.gov/ecotox/explore.cfm?ncbi=720586","Explore in ECOTOX")</f>
        <v>Explore in ECOTOX</v>
      </c>
    </row>
    <row r="337" spans="1:19" x14ac:dyDescent="0.25">
      <c r="A337">
        <v>6</v>
      </c>
      <c r="B337" t="str">
        <f>HYPERLINK("http://www.ncbi.nlm.nih.gov/protein/NWI38923.1","NWI38923.1")</f>
        <v>NWI38923.1</v>
      </c>
      <c r="C337">
        <v>13590</v>
      </c>
      <c r="D337" t="str">
        <f>HYPERLINK("http://www.ncbi.nlm.nih.gov/Taxonomy/Browser/wwwtax.cgi?mode=Info&amp;id=175131&amp;lvl=3&amp;lin=f&amp;keep=1&amp;srchmode=1&amp;unlock","175131")</f>
        <v>175131</v>
      </c>
      <c r="E337" t="s">
        <v>167</v>
      </c>
      <c r="F337" t="s">
        <v>167</v>
      </c>
      <c r="G337" t="str">
        <f>HYPERLINK("http://www.ncbi.nlm.nih.gov/Taxonomy/Browser/wwwtax.cgi?mode=Info&amp;id=175131&amp;lvl=3&amp;lin=f&amp;keep=1&amp;srchmode=1&amp;unlock","Picathartes gymnocephalus")</f>
        <v>Picathartes gymnocephalus</v>
      </c>
      <c r="H337" t="s">
        <v>206</v>
      </c>
      <c r="I337" t="str">
        <f>HYPERLINK("http://www.ncbi.nlm.nih.gov/protein/NWI38923.1","ANDR protein")</f>
        <v>ANDR protein</v>
      </c>
      <c r="J337" t="s">
        <v>1261</v>
      </c>
      <c r="K337">
        <v>491.89</v>
      </c>
      <c r="L337" t="s">
        <v>25</v>
      </c>
      <c r="M337">
        <v>157</v>
      </c>
      <c r="N337">
        <v>62.55</v>
      </c>
      <c r="O337">
        <v>95.66</v>
      </c>
      <c r="P337" t="s">
        <v>20</v>
      </c>
      <c r="Q337" t="s">
        <v>1262</v>
      </c>
      <c r="R337" t="s">
        <v>20</v>
      </c>
      <c r="S337" t="str">
        <f>HYPERLINK("https://cfpub.epa.gov/ecotox/explore.cfm?ncbi=175131","Explore in ECOTOX")</f>
        <v>Explore in ECOTOX</v>
      </c>
    </row>
    <row r="338" spans="1:19" x14ac:dyDescent="0.25">
      <c r="A338">
        <v>6</v>
      </c>
      <c r="B338" t="str">
        <f>HYPERLINK("http://www.ncbi.nlm.nih.gov/protein/NXA64517.1","NXA64517.1")</f>
        <v>NXA64517.1</v>
      </c>
      <c r="C338">
        <v>13619</v>
      </c>
      <c r="D338" t="str">
        <f>HYPERLINK("http://www.ncbi.nlm.nih.gov/Taxonomy/Browser/wwwtax.cgi?mode=Info&amp;id=874463&amp;lvl=3&amp;lin=f&amp;keep=1&amp;srchmode=1&amp;unlock","874463")</f>
        <v>874463</v>
      </c>
      <c r="E338" t="s">
        <v>167</v>
      </c>
      <c r="F338" t="s">
        <v>167</v>
      </c>
      <c r="G338" t="str">
        <f>HYPERLINK("http://www.ncbi.nlm.nih.gov/Taxonomy/Browser/wwwtax.cgi?mode=Info&amp;id=874463&amp;lvl=3&amp;lin=f&amp;keep=1&amp;srchmode=1&amp;unlock","Mohoua ochrocephala")</f>
        <v>Mohoua ochrocephala</v>
      </c>
      <c r="H338" t="s">
        <v>206</v>
      </c>
      <c r="I338" t="str">
        <f>HYPERLINK("http://www.ncbi.nlm.nih.gov/protein/NXA64517.1","ANDR protein")</f>
        <v>ANDR protein</v>
      </c>
      <c r="J338" t="s">
        <v>1261</v>
      </c>
      <c r="K338">
        <v>491.89</v>
      </c>
      <c r="L338" t="s">
        <v>25</v>
      </c>
      <c r="M338">
        <v>157</v>
      </c>
      <c r="N338">
        <v>62.55</v>
      </c>
      <c r="O338">
        <v>95.66</v>
      </c>
      <c r="P338" t="s">
        <v>20</v>
      </c>
      <c r="Q338" t="s">
        <v>1262</v>
      </c>
      <c r="R338" t="s">
        <v>20</v>
      </c>
      <c r="S338" t="str">
        <f>HYPERLINK("https://cfpub.epa.gov/ecotox/explore.cfm?ncbi=874463","Explore in ECOTOX")</f>
        <v>Explore in ECOTOX</v>
      </c>
    </row>
    <row r="339" spans="1:19" x14ac:dyDescent="0.25">
      <c r="A339">
        <v>6</v>
      </c>
      <c r="B339" t="str">
        <f>HYPERLINK("http://www.ncbi.nlm.nih.gov/protein/XP_032928056.1","XP_032928056.1")</f>
        <v>XP_032928056.1</v>
      </c>
      <c r="C339">
        <v>36100</v>
      </c>
      <c r="D339" t="str">
        <f>HYPERLINK("http://www.ncbi.nlm.nih.gov/Taxonomy/Browser/wwwtax.cgi?mode=Info&amp;id=91951&amp;lvl=3&amp;lin=f&amp;keep=1&amp;srchmode=1&amp;unlock","91951")</f>
        <v>91951</v>
      </c>
      <c r="E339" t="s">
        <v>167</v>
      </c>
      <c r="F339" t="s">
        <v>167</v>
      </c>
      <c r="G339" t="str">
        <f>HYPERLINK("http://www.ncbi.nlm.nih.gov/Taxonomy/Browser/wwwtax.cgi?mode=Info&amp;id=91951&amp;lvl=3&amp;lin=f&amp;keep=1&amp;srchmode=1&amp;unlock","Catharus ustulatus")</f>
        <v>Catharus ustulatus</v>
      </c>
      <c r="H339" t="s">
        <v>306</v>
      </c>
      <c r="I339" t="str">
        <f>HYPERLINK("http://www.ncbi.nlm.nih.gov/protein/XP_032928056.1","androgen receptor")</f>
        <v>androgen receptor</v>
      </c>
      <c r="J339" t="s">
        <v>1261</v>
      </c>
      <c r="K339">
        <v>491.89</v>
      </c>
      <c r="L339" t="s">
        <v>25</v>
      </c>
      <c r="M339">
        <v>157</v>
      </c>
      <c r="N339">
        <v>62.55</v>
      </c>
      <c r="O339">
        <v>95.66</v>
      </c>
      <c r="P339" t="s">
        <v>20</v>
      </c>
      <c r="Q339" t="s">
        <v>1262</v>
      </c>
      <c r="R339" t="s">
        <v>20</v>
      </c>
      <c r="S339" t="str">
        <f>HYPERLINK("https://cfpub.epa.gov/ecotox/explore.cfm?ncbi=91951","Explore in ECOTOX")</f>
        <v>Explore in ECOTOX</v>
      </c>
    </row>
    <row r="340" spans="1:19" x14ac:dyDescent="0.25">
      <c r="A340">
        <v>6</v>
      </c>
      <c r="B340" t="str">
        <f>HYPERLINK("http://www.ncbi.nlm.nih.gov/protein/NXB67985.1","NXB67985.1")</f>
        <v>NXB67985.1</v>
      </c>
      <c r="C340">
        <v>14168</v>
      </c>
      <c r="D340" t="str">
        <f>HYPERLINK("http://www.ncbi.nlm.nih.gov/Taxonomy/Browser/wwwtax.cgi?mode=Info&amp;id=181839&amp;lvl=3&amp;lin=f&amp;keep=1&amp;srchmode=1&amp;unlock","181839")</f>
        <v>181839</v>
      </c>
      <c r="E340" t="s">
        <v>167</v>
      </c>
      <c r="F340" t="s">
        <v>167</v>
      </c>
      <c r="G340" t="str">
        <f>HYPERLINK("http://www.ncbi.nlm.nih.gov/Taxonomy/Browser/wwwtax.cgi?mode=Info&amp;id=181839&amp;lvl=3&amp;lin=f&amp;keep=1&amp;srchmode=1&amp;unlock","Struthidea cinerea")</f>
        <v>Struthidea cinerea</v>
      </c>
      <c r="H340" t="s">
        <v>318</v>
      </c>
      <c r="I340" t="str">
        <f>HYPERLINK("http://www.ncbi.nlm.nih.gov/protein/NXB67985.1","ANDR protein")</f>
        <v>ANDR protein</v>
      </c>
      <c r="J340" t="s">
        <v>1261</v>
      </c>
      <c r="K340">
        <v>491.89</v>
      </c>
      <c r="L340" t="s">
        <v>25</v>
      </c>
      <c r="M340">
        <v>157</v>
      </c>
      <c r="N340">
        <v>62.55</v>
      </c>
      <c r="O340">
        <v>95.66</v>
      </c>
      <c r="P340" t="s">
        <v>20</v>
      </c>
      <c r="Q340" t="s">
        <v>1262</v>
      </c>
      <c r="R340" t="s">
        <v>20</v>
      </c>
      <c r="S340" t="str">
        <f>HYPERLINK("https://cfpub.epa.gov/ecotox/explore.cfm?ncbi=181839","Explore in ECOTOX")</f>
        <v>Explore in ECOTOX</v>
      </c>
    </row>
    <row r="341" spans="1:19" x14ac:dyDescent="0.25">
      <c r="A341">
        <v>6</v>
      </c>
      <c r="B341" t="str">
        <f>HYPERLINK("http://www.ncbi.nlm.nih.gov/protein/NWV62349.1","NWV62349.1")</f>
        <v>NWV62349.1</v>
      </c>
      <c r="C341">
        <v>14078</v>
      </c>
      <c r="D341" t="str">
        <f>HYPERLINK("http://www.ncbi.nlm.nih.gov/Taxonomy/Browser/wwwtax.cgi?mode=Info&amp;id=720584&amp;lvl=3&amp;lin=f&amp;keep=1&amp;srchmode=1&amp;unlock","720584")</f>
        <v>720584</v>
      </c>
      <c r="E341" t="s">
        <v>167</v>
      </c>
      <c r="F341" t="s">
        <v>167</v>
      </c>
      <c r="G341" t="str">
        <f>HYPERLINK("http://www.ncbi.nlm.nih.gov/Taxonomy/Browser/wwwtax.cgi?mode=Info&amp;id=720584&amp;lvl=3&amp;lin=f&amp;keep=1&amp;srchmode=1&amp;unlock","Malurus elegans")</f>
        <v>Malurus elegans</v>
      </c>
      <c r="H341" t="s">
        <v>548</v>
      </c>
      <c r="I341" t="str">
        <f>HYPERLINK("http://www.ncbi.nlm.nih.gov/protein/NWV62349.1","ANDR protein")</f>
        <v>ANDR protein</v>
      </c>
      <c r="J341" t="s">
        <v>1261</v>
      </c>
      <c r="K341">
        <v>491.89</v>
      </c>
      <c r="L341" t="s">
        <v>25</v>
      </c>
      <c r="M341">
        <v>157</v>
      </c>
      <c r="N341">
        <v>62.55</v>
      </c>
      <c r="O341">
        <v>95.66</v>
      </c>
      <c r="P341" t="s">
        <v>20</v>
      </c>
      <c r="Q341" t="s">
        <v>1262</v>
      </c>
      <c r="R341" t="s">
        <v>20</v>
      </c>
      <c r="S341" t="str">
        <f>HYPERLINK("https://cfpub.epa.gov/ecotox/explore.cfm?ncbi=720584","Explore in ECOTOX")</f>
        <v>Explore in ECOTOX</v>
      </c>
    </row>
    <row r="342" spans="1:19" x14ac:dyDescent="0.25">
      <c r="A342">
        <v>6</v>
      </c>
      <c r="B342" t="str">
        <f>HYPERLINK("http://www.ncbi.nlm.nih.gov/protein/NXB31053.1","NXB31053.1")</f>
        <v>NXB31053.1</v>
      </c>
      <c r="C342">
        <v>14343</v>
      </c>
      <c r="D342" t="str">
        <f>HYPERLINK("http://www.ncbi.nlm.nih.gov/Taxonomy/Browser/wwwtax.cgi?mode=Info&amp;id=461239&amp;lvl=3&amp;lin=f&amp;keep=1&amp;srchmode=1&amp;unlock","461239")</f>
        <v>461239</v>
      </c>
      <c r="E342" t="s">
        <v>167</v>
      </c>
      <c r="F342" t="s">
        <v>167</v>
      </c>
      <c r="G342" t="str">
        <f>HYPERLINK("http://www.ncbi.nlm.nih.gov/Taxonomy/Browser/wwwtax.cgi?mode=Info&amp;id=461239&amp;lvl=3&amp;lin=f&amp;keep=1&amp;srchmode=1&amp;unlock","Eulacestoma nigropectus")</f>
        <v>Eulacestoma nigropectus</v>
      </c>
      <c r="H342" t="s">
        <v>366</v>
      </c>
      <c r="I342" t="str">
        <f>HYPERLINK("http://www.ncbi.nlm.nih.gov/protein/NXB31053.1","ANDR protein")</f>
        <v>ANDR protein</v>
      </c>
      <c r="J342" t="s">
        <v>1261</v>
      </c>
      <c r="K342">
        <v>491.89</v>
      </c>
      <c r="L342" t="s">
        <v>25</v>
      </c>
      <c r="M342">
        <v>157</v>
      </c>
      <c r="N342">
        <v>62.55</v>
      </c>
      <c r="O342">
        <v>95.66</v>
      </c>
      <c r="P342" t="s">
        <v>20</v>
      </c>
      <c r="Q342" t="s">
        <v>1262</v>
      </c>
      <c r="R342" t="s">
        <v>20</v>
      </c>
      <c r="S342" t="str">
        <f>HYPERLINK("https://cfpub.epa.gov/ecotox/explore.cfm?ncbi=461239","Explore in ECOTOX")</f>
        <v>Explore in ECOTOX</v>
      </c>
    </row>
    <row r="343" spans="1:19" x14ac:dyDescent="0.25">
      <c r="A343">
        <v>6</v>
      </c>
      <c r="B343" t="str">
        <f>HYPERLINK("http://www.ncbi.nlm.nih.gov/protein/NXB85914.1","NXB85914.1")</f>
        <v>NXB85914.1</v>
      </c>
      <c r="C343">
        <v>14691</v>
      </c>
      <c r="D343" t="str">
        <f>HYPERLINK("http://www.ncbi.nlm.nih.gov/Taxonomy/Browser/wwwtax.cgi?mode=Info&amp;id=81927&amp;lvl=3&amp;lin=f&amp;keep=1&amp;srchmode=1&amp;unlock","81927")</f>
        <v>81927</v>
      </c>
      <c r="E343" t="s">
        <v>167</v>
      </c>
      <c r="F343" t="s">
        <v>167</v>
      </c>
      <c r="G343" t="str">
        <f>HYPERLINK("http://www.ncbi.nlm.nih.gov/Taxonomy/Browser/wwwtax.cgi?mode=Info&amp;id=81927&amp;lvl=3&amp;lin=f&amp;keep=1&amp;srchmode=1&amp;unlock","Vidua chalybeata")</f>
        <v>Vidua chalybeata</v>
      </c>
      <c r="H343" t="s">
        <v>206</v>
      </c>
      <c r="I343" t="str">
        <f>HYPERLINK("http://www.ncbi.nlm.nih.gov/protein/NXB85914.1","ANDR protein")</f>
        <v>ANDR protein</v>
      </c>
      <c r="J343" t="s">
        <v>1261</v>
      </c>
      <c r="K343">
        <v>491.89</v>
      </c>
      <c r="L343" t="s">
        <v>25</v>
      </c>
      <c r="M343">
        <v>157</v>
      </c>
      <c r="N343">
        <v>62.55</v>
      </c>
      <c r="O343">
        <v>95.66</v>
      </c>
      <c r="P343" t="s">
        <v>20</v>
      </c>
      <c r="Q343" t="s">
        <v>1262</v>
      </c>
      <c r="R343" t="s">
        <v>20</v>
      </c>
      <c r="S343" t="str">
        <f>HYPERLINK("https://cfpub.epa.gov/ecotox/explore.cfm?ncbi=81927","Explore in ECOTOX")</f>
        <v>Explore in ECOTOX</v>
      </c>
    </row>
    <row r="344" spans="1:19" x14ac:dyDescent="0.25">
      <c r="A344">
        <v>6</v>
      </c>
      <c r="B344" t="str">
        <f>HYPERLINK("http://www.ncbi.nlm.nih.gov/protein/NXT61193.1","NXT61193.1")</f>
        <v>NXT61193.1</v>
      </c>
      <c r="C344">
        <v>13266</v>
      </c>
      <c r="D344" t="str">
        <f>HYPERLINK("http://www.ncbi.nlm.nih.gov/Taxonomy/Browser/wwwtax.cgi?mode=Info&amp;id=221966&amp;lvl=3&amp;lin=f&amp;keep=1&amp;srchmode=1&amp;unlock","221966")</f>
        <v>221966</v>
      </c>
      <c r="E344" t="s">
        <v>167</v>
      </c>
      <c r="F344" t="s">
        <v>167</v>
      </c>
      <c r="G344" t="str">
        <f>HYPERLINK("http://www.ncbi.nlm.nih.gov/Taxonomy/Browser/wwwtax.cgi?mode=Info&amp;id=221966&amp;lvl=3&amp;lin=f&amp;keep=1&amp;srchmode=1&amp;unlock","Chaetops frenatus")</f>
        <v>Chaetops frenatus</v>
      </c>
      <c r="H344" t="s">
        <v>438</v>
      </c>
      <c r="I344" t="str">
        <f>HYPERLINK("http://www.ncbi.nlm.nih.gov/protein/NXT61193.1","ANDR protein")</f>
        <v>ANDR protein</v>
      </c>
      <c r="J344" t="s">
        <v>1261</v>
      </c>
      <c r="K344">
        <v>491.89</v>
      </c>
      <c r="L344" t="s">
        <v>25</v>
      </c>
      <c r="M344">
        <v>157</v>
      </c>
      <c r="N344">
        <v>62.55</v>
      </c>
      <c r="O344">
        <v>95.66</v>
      </c>
      <c r="P344" t="s">
        <v>20</v>
      </c>
      <c r="Q344" t="s">
        <v>1262</v>
      </c>
      <c r="R344" t="s">
        <v>20</v>
      </c>
      <c r="S344" t="str">
        <f>HYPERLINK("https://cfpub.epa.gov/ecotox/explore.cfm?ncbi=221966","Explore in ECOTOX")</f>
        <v>Explore in ECOTOX</v>
      </c>
    </row>
    <row r="345" spans="1:19" x14ac:dyDescent="0.25">
      <c r="A345">
        <v>6</v>
      </c>
      <c r="B345" t="str">
        <f>HYPERLINK("http://www.ncbi.nlm.nih.gov/protein/NXY24002.1","NXY24002.1")</f>
        <v>NXY24002.1</v>
      </c>
      <c r="C345">
        <v>14622</v>
      </c>
      <c r="D345" t="str">
        <f>HYPERLINK("http://www.ncbi.nlm.nih.gov/Taxonomy/Browser/wwwtax.cgi?mode=Info&amp;id=449594&amp;lvl=3&amp;lin=f&amp;keep=1&amp;srchmode=1&amp;unlock","449594")</f>
        <v>449594</v>
      </c>
      <c r="E345" t="s">
        <v>167</v>
      </c>
      <c r="F345" t="s">
        <v>167</v>
      </c>
      <c r="G345" t="str">
        <f>HYPERLINK("http://www.ncbi.nlm.nih.gov/Taxonomy/Browser/wwwtax.cgi?mode=Info&amp;id=449594&amp;lvl=3&amp;lin=f&amp;keep=1&amp;srchmode=1&amp;unlock","Atrichornis clamosus")</f>
        <v>Atrichornis clamosus</v>
      </c>
      <c r="H345" t="s">
        <v>206</v>
      </c>
      <c r="I345" t="str">
        <f>HYPERLINK("http://www.ncbi.nlm.nih.gov/protein/NXY24002.1","ANDR protein")</f>
        <v>ANDR protein</v>
      </c>
      <c r="J345" t="s">
        <v>1261</v>
      </c>
      <c r="K345">
        <v>491.89</v>
      </c>
      <c r="L345" t="s">
        <v>25</v>
      </c>
      <c r="M345">
        <v>157</v>
      </c>
      <c r="N345">
        <v>62.55</v>
      </c>
      <c r="O345">
        <v>95.66</v>
      </c>
      <c r="P345" t="s">
        <v>20</v>
      </c>
      <c r="Q345" t="s">
        <v>1262</v>
      </c>
      <c r="R345" t="s">
        <v>20</v>
      </c>
      <c r="S345" t="str">
        <f>HYPERLINK("https://cfpub.epa.gov/ecotox/explore.cfm?ncbi=449594","Explore in ECOTOX")</f>
        <v>Explore in ECOTOX</v>
      </c>
    </row>
    <row r="346" spans="1:19" x14ac:dyDescent="0.25">
      <c r="A346">
        <v>6</v>
      </c>
      <c r="B346" t="str">
        <f>HYPERLINK("http://www.ncbi.nlm.nih.gov/protein/NXJ22781.1","NXJ22781.1")</f>
        <v>NXJ22781.1</v>
      </c>
      <c r="C346">
        <v>14261</v>
      </c>
      <c r="D346" t="str">
        <f>HYPERLINK("http://www.ncbi.nlm.nih.gov/Taxonomy/Browser/wwwtax.cgi?mode=Info&amp;id=450177&amp;lvl=3&amp;lin=f&amp;keep=1&amp;srchmode=1&amp;unlock","450177")</f>
        <v>450177</v>
      </c>
      <c r="E346" t="s">
        <v>167</v>
      </c>
      <c r="F346" t="s">
        <v>167</v>
      </c>
      <c r="G346" t="str">
        <f>HYPERLINK("http://www.ncbi.nlm.nih.gov/Taxonomy/Browser/wwwtax.cgi?mode=Info&amp;id=450177&amp;lvl=3&amp;lin=f&amp;keep=1&amp;srchmode=1&amp;unlock","Dicrurus megarhynchus")</f>
        <v>Dicrurus megarhynchus</v>
      </c>
      <c r="H346" t="s">
        <v>206</v>
      </c>
      <c r="I346" t="str">
        <f>HYPERLINK("http://www.ncbi.nlm.nih.gov/protein/NXJ22781.1","ANDR protein")</f>
        <v>ANDR protein</v>
      </c>
      <c r="J346" t="s">
        <v>1261</v>
      </c>
      <c r="K346">
        <v>491.89</v>
      </c>
      <c r="L346" t="s">
        <v>25</v>
      </c>
      <c r="M346">
        <v>157</v>
      </c>
      <c r="N346">
        <v>62.55</v>
      </c>
      <c r="O346">
        <v>95.66</v>
      </c>
      <c r="P346" t="s">
        <v>20</v>
      </c>
      <c r="Q346" t="s">
        <v>1262</v>
      </c>
      <c r="R346" t="s">
        <v>20</v>
      </c>
      <c r="S346" t="str">
        <f>HYPERLINK("https://cfpub.epa.gov/ecotox/explore.cfm?ncbi=450177","Explore in ECOTOX")</f>
        <v>Explore in ECOTOX</v>
      </c>
    </row>
    <row r="347" spans="1:19" x14ac:dyDescent="0.25">
      <c r="A347">
        <v>6</v>
      </c>
      <c r="B347" t="str">
        <f>HYPERLINK("http://www.ncbi.nlm.nih.gov/protein/NXM46696.1","NXM46696.1")</f>
        <v>NXM46696.1</v>
      </c>
      <c r="C347">
        <v>14416</v>
      </c>
      <c r="D347" t="str">
        <f>HYPERLINK("http://www.ncbi.nlm.nih.gov/Taxonomy/Browser/wwwtax.cgi?mode=Info&amp;id=9132&amp;lvl=3&amp;lin=f&amp;keep=1&amp;srchmode=1&amp;unlock","9132")</f>
        <v>9132</v>
      </c>
      <c r="E347" t="s">
        <v>167</v>
      </c>
      <c r="F347" t="s">
        <v>167</v>
      </c>
      <c r="G347" t="str">
        <f>HYPERLINK("http://www.ncbi.nlm.nih.gov/Taxonomy/Browser/wwwtax.cgi?mode=Info&amp;id=9132&amp;lvl=3&amp;lin=f&amp;keep=1&amp;srchmode=1&amp;unlock","Gymnorhina tibicen")</f>
        <v>Gymnorhina tibicen</v>
      </c>
      <c r="H347" t="s">
        <v>326</v>
      </c>
      <c r="I347" t="str">
        <f>HYPERLINK("http://www.ncbi.nlm.nih.gov/protein/NXM46696.1","ANDR protein")</f>
        <v>ANDR protein</v>
      </c>
      <c r="J347" t="s">
        <v>1261</v>
      </c>
      <c r="K347">
        <v>491.89</v>
      </c>
      <c r="L347" t="s">
        <v>25</v>
      </c>
      <c r="M347">
        <v>157</v>
      </c>
      <c r="N347">
        <v>62.55</v>
      </c>
      <c r="O347">
        <v>95.66</v>
      </c>
      <c r="P347" t="s">
        <v>20</v>
      </c>
      <c r="Q347" t="s">
        <v>1262</v>
      </c>
      <c r="R347" t="s">
        <v>20</v>
      </c>
      <c r="S347" t="str">
        <f>HYPERLINK("https://cfpub.epa.gov/ecotox/explore.cfm?ncbi=9132","Explore in ECOTOX")</f>
        <v>Explore in ECOTOX</v>
      </c>
    </row>
    <row r="348" spans="1:19" x14ac:dyDescent="0.25">
      <c r="A348">
        <v>6</v>
      </c>
      <c r="B348" t="str">
        <f>HYPERLINK("http://www.ncbi.nlm.nih.gov/protein/NWW26771.1","NWW26771.1")</f>
        <v>NWW26771.1</v>
      </c>
      <c r="C348">
        <v>14502</v>
      </c>
      <c r="D348" t="str">
        <f>HYPERLINK("http://www.ncbi.nlm.nih.gov/Taxonomy/Browser/wwwtax.cgi?mode=Info&amp;id=254539&amp;lvl=3&amp;lin=f&amp;keep=1&amp;srchmode=1&amp;unlock","254539")</f>
        <v>254539</v>
      </c>
      <c r="E348" t="s">
        <v>167</v>
      </c>
      <c r="F348" t="s">
        <v>167</v>
      </c>
      <c r="G348" t="str">
        <f>HYPERLINK("http://www.ncbi.nlm.nih.gov/Taxonomy/Browser/wwwtax.cgi?mode=Info&amp;id=254539&amp;lvl=3&amp;lin=f&amp;keep=1&amp;srchmode=1&amp;unlock","Falcunculus frontatus")</f>
        <v>Falcunculus frontatus</v>
      </c>
      <c r="H348" t="s">
        <v>312</v>
      </c>
      <c r="I348" t="str">
        <f>HYPERLINK("http://www.ncbi.nlm.nih.gov/protein/NWW26771.1","ANDR protein")</f>
        <v>ANDR protein</v>
      </c>
      <c r="J348" t="s">
        <v>1261</v>
      </c>
      <c r="K348">
        <v>491.89</v>
      </c>
      <c r="L348" t="s">
        <v>25</v>
      </c>
      <c r="M348">
        <v>157</v>
      </c>
      <c r="N348">
        <v>62.55</v>
      </c>
      <c r="O348">
        <v>95.66</v>
      </c>
      <c r="P348" t="s">
        <v>20</v>
      </c>
      <c r="Q348" t="s">
        <v>1262</v>
      </c>
      <c r="R348" t="s">
        <v>20</v>
      </c>
      <c r="S348" t="str">
        <f>HYPERLINK("https://cfpub.epa.gov/ecotox/explore.cfm?ncbi=254539","Explore in ECOTOX")</f>
        <v>Explore in ECOTOX</v>
      </c>
    </row>
    <row r="349" spans="1:19" x14ac:dyDescent="0.25">
      <c r="A349">
        <v>6</v>
      </c>
      <c r="B349" t="str">
        <f>HYPERLINK("http://www.ncbi.nlm.nih.gov/protein/NWT18796.1","NWT18796.1")</f>
        <v>NWT18796.1</v>
      </c>
      <c r="C349">
        <v>14153</v>
      </c>
      <c r="D349" t="str">
        <f>HYPERLINK("http://www.ncbi.nlm.nih.gov/Taxonomy/Browser/wwwtax.cgi?mode=Info&amp;id=34956&amp;lvl=3&amp;lin=f&amp;keep=1&amp;srchmode=1&amp;unlock","34956")</f>
        <v>34956</v>
      </c>
      <c r="E349" t="s">
        <v>167</v>
      </c>
      <c r="F349" t="s">
        <v>167</v>
      </c>
      <c r="G349" t="str">
        <f>HYPERLINK("http://www.ncbi.nlm.nih.gov/Taxonomy/Browser/wwwtax.cgi?mode=Info&amp;id=34956&amp;lvl=3&amp;lin=f&amp;keep=1&amp;srchmode=1&amp;unlock","Vireo altiloquus")</f>
        <v>Vireo altiloquus</v>
      </c>
      <c r="H349" t="s">
        <v>302</v>
      </c>
      <c r="I349" t="str">
        <f>HYPERLINK("http://www.ncbi.nlm.nih.gov/protein/NWT18796.1","ANDR protein")</f>
        <v>ANDR protein</v>
      </c>
      <c r="J349" t="s">
        <v>1261</v>
      </c>
      <c r="K349">
        <v>491.89</v>
      </c>
      <c r="L349" t="s">
        <v>25</v>
      </c>
      <c r="M349">
        <v>157</v>
      </c>
      <c r="N349">
        <v>62.55</v>
      </c>
      <c r="O349">
        <v>95.66</v>
      </c>
      <c r="P349" t="s">
        <v>20</v>
      </c>
      <c r="Q349" t="s">
        <v>1262</v>
      </c>
      <c r="R349" t="s">
        <v>20</v>
      </c>
      <c r="S349" t="str">
        <f>HYPERLINK("https://cfpub.epa.gov/ecotox/explore.cfm?ncbi=34956","Explore in ECOTOX")</f>
        <v>Explore in ECOTOX</v>
      </c>
    </row>
    <row r="350" spans="1:19" x14ac:dyDescent="0.25">
      <c r="A350">
        <v>6</v>
      </c>
      <c r="B350" t="str">
        <f>HYPERLINK("http://www.ncbi.nlm.nih.gov/protein/NXD90970.1","NXD90970.1")</f>
        <v>NXD90970.1</v>
      </c>
      <c r="C350">
        <v>14358</v>
      </c>
      <c r="D350" t="str">
        <f>HYPERLINK("http://www.ncbi.nlm.nih.gov/Taxonomy/Browser/wwwtax.cgi?mode=Info&amp;id=254446&amp;lvl=3&amp;lin=f&amp;keep=1&amp;srchmode=1&amp;unlock","254446")</f>
        <v>254446</v>
      </c>
      <c r="E350" t="s">
        <v>167</v>
      </c>
      <c r="F350" t="s">
        <v>167</v>
      </c>
      <c r="G350" t="str">
        <f>HYPERLINK("http://www.ncbi.nlm.nih.gov/Taxonomy/Browser/wwwtax.cgi?mode=Info&amp;id=254446&amp;lvl=3&amp;lin=f&amp;keep=1&amp;srchmode=1&amp;unlock","Chaetorhynchus papuensis")</f>
        <v>Chaetorhynchus papuensis</v>
      </c>
      <c r="H350" t="s">
        <v>264</v>
      </c>
      <c r="I350" t="str">
        <f>HYPERLINK("http://www.ncbi.nlm.nih.gov/protein/NXD90970.1","ANDR protein")</f>
        <v>ANDR protein</v>
      </c>
      <c r="J350" t="s">
        <v>1261</v>
      </c>
      <c r="K350">
        <v>491.89</v>
      </c>
      <c r="L350" t="s">
        <v>25</v>
      </c>
      <c r="M350">
        <v>157</v>
      </c>
      <c r="N350">
        <v>62.55</v>
      </c>
      <c r="O350">
        <v>95.66</v>
      </c>
      <c r="P350" t="s">
        <v>20</v>
      </c>
      <c r="Q350" t="s">
        <v>1262</v>
      </c>
      <c r="R350" t="s">
        <v>20</v>
      </c>
      <c r="S350" t="str">
        <f>HYPERLINK("https://cfpub.epa.gov/ecotox/explore.cfm?ncbi=254446","Explore in ECOTOX")</f>
        <v>Explore in ECOTOX</v>
      </c>
    </row>
    <row r="351" spans="1:19" x14ac:dyDescent="0.25">
      <c r="A351">
        <v>6</v>
      </c>
      <c r="B351" t="str">
        <f>HYPERLINK("http://www.ncbi.nlm.nih.gov/protein/NXI81581.1","NXI81581.1")</f>
        <v>NXI81581.1</v>
      </c>
      <c r="C351">
        <v>14200</v>
      </c>
      <c r="D351" t="str">
        <f>HYPERLINK("http://www.ncbi.nlm.nih.gov/Taxonomy/Browser/wwwtax.cgi?mode=Info&amp;id=667186&amp;lvl=3&amp;lin=f&amp;keep=1&amp;srchmode=1&amp;unlock","667186")</f>
        <v>667186</v>
      </c>
      <c r="E351" t="s">
        <v>167</v>
      </c>
      <c r="F351" t="s">
        <v>167</v>
      </c>
      <c r="G351" t="str">
        <f>HYPERLINK("http://www.ncbi.nlm.nih.gov/Taxonomy/Browser/wwwtax.cgi?mode=Info&amp;id=667186&amp;lvl=3&amp;lin=f&amp;keep=1&amp;srchmode=1&amp;unlock","Rhipidura dahli")</f>
        <v>Rhipidura dahli</v>
      </c>
      <c r="H351" t="s">
        <v>206</v>
      </c>
      <c r="I351" t="str">
        <f>HYPERLINK("http://www.ncbi.nlm.nih.gov/protein/NXI81581.1","ANDR protein")</f>
        <v>ANDR protein</v>
      </c>
      <c r="J351" t="s">
        <v>1261</v>
      </c>
      <c r="K351">
        <v>491.89</v>
      </c>
      <c r="L351" t="s">
        <v>25</v>
      </c>
      <c r="M351">
        <v>157</v>
      </c>
      <c r="N351">
        <v>62.55</v>
      </c>
      <c r="O351">
        <v>95.66</v>
      </c>
      <c r="P351" t="s">
        <v>20</v>
      </c>
      <c r="Q351" t="s">
        <v>1262</v>
      </c>
      <c r="R351" t="s">
        <v>20</v>
      </c>
      <c r="S351" t="str">
        <f>HYPERLINK("https://cfpub.epa.gov/ecotox/explore.cfm?ncbi=667186","Explore in ECOTOX")</f>
        <v>Explore in ECOTOX</v>
      </c>
    </row>
    <row r="352" spans="1:19" x14ac:dyDescent="0.25">
      <c r="A352">
        <v>6</v>
      </c>
      <c r="B352" t="str">
        <f>HYPERLINK("http://www.ncbi.nlm.nih.gov/protein/NWX35055.1","NWX35055.1")</f>
        <v>NWX35055.1</v>
      </c>
      <c r="C352">
        <v>13735</v>
      </c>
      <c r="D352" t="str">
        <f>HYPERLINK("http://www.ncbi.nlm.nih.gov/Taxonomy/Browser/wwwtax.cgi?mode=Info&amp;id=366454&amp;lvl=3&amp;lin=f&amp;keep=1&amp;srchmode=1&amp;unlock","366454")</f>
        <v>366454</v>
      </c>
      <c r="E352" t="s">
        <v>167</v>
      </c>
      <c r="F352" t="s">
        <v>167</v>
      </c>
      <c r="G352" t="str">
        <f>HYPERLINK("http://www.ncbi.nlm.nih.gov/Taxonomy/Browser/wwwtax.cgi?mode=Info&amp;id=366454&amp;lvl=3&amp;lin=f&amp;keep=1&amp;srchmode=1&amp;unlock","Notiomystis cincta")</f>
        <v>Notiomystis cincta</v>
      </c>
      <c r="H352" t="s">
        <v>369</v>
      </c>
      <c r="I352" t="str">
        <f>HYPERLINK("http://www.ncbi.nlm.nih.gov/protein/NWX35055.1","ANDR protein")</f>
        <v>ANDR protein</v>
      </c>
      <c r="J352" t="s">
        <v>1261</v>
      </c>
      <c r="K352">
        <v>491.89</v>
      </c>
      <c r="L352" t="s">
        <v>25</v>
      </c>
      <c r="M352">
        <v>157</v>
      </c>
      <c r="N352">
        <v>62.55</v>
      </c>
      <c r="O352">
        <v>95.66</v>
      </c>
      <c r="P352" t="s">
        <v>20</v>
      </c>
      <c r="Q352" t="s">
        <v>1262</v>
      </c>
      <c r="R352" t="s">
        <v>20</v>
      </c>
      <c r="S352" t="str">
        <f>HYPERLINK("https://cfpub.epa.gov/ecotox/explore.cfm?ncbi=366454","Explore in ECOTOX")</f>
        <v>Explore in ECOTOX</v>
      </c>
    </row>
    <row r="353" spans="1:19" x14ac:dyDescent="0.25">
      <c r="A353">
        <v>6</v>
      </c>
      <c r="B353" t="str">
        <f>HYPERLINK("http://www.ncbi.nlm.nih.gov/protein/NWV93261.1","NWV93261.1")</f>
        <v>NWV93261.1</v>
      </c>
      <c r="C353">
        <v>13983</v>
      </c>
      <c r="D353" t="str">
        <f>HYPERLINK("http://www.ncbi.nlm.nih.gov/Taxonomy/Browser/wwwtax.cgi?mode=Info&amp;id=1160894&amp;lvl=3&amp;lin=f&amp;keep=1&amp;srchmode=1&amp;unlock","1160894")</f>
        <v>1160894</v>
      </c>
      <c r="E353" t="s">
        <v>167</v>
      </c>
      <c r="F353" t="s">
        <v>167</v>
      </c>
      <c r="G353" t="str">
        <f>HYPERLINK("http://www.ncbi.nlm.nih.gov/Taxonomy/Browser/wwwtax.cgi?mode=Info&amp;id=1160894&amp;lvl=3&amp;lin=f&amp;keep=1&amp;srchmode=1&amp;unlock","Machaerirhynchus nigripectus")</f>
        <v>Machaerirhynchus nigripectus</v>
      </c>
      <c r="H353" t="s">
        <v>206</v>
      </c>
      <c r="I353" t="str">
        <f>HYPERLINK("http://www.ncbi.nlm.nih.gov/protein/NWV93261.1","ANDR protein")</f>
        <v>ANDR protein</v>
      </c>
      <c r="J353" t="s">
        <v>1261</v>
      </c>
      <c r="K353">
        <v>491.89</v>
      </c>
      <c r="L353" t="s">
        <v>25</v>
      </c>
      <c r="M353">
        <v>157</v>
      </c>
      <c r="N353">
        <v>62.55</v>
      </c>
      <c r="O353">
        <v>95.66</v>
      </c>
      <c r="P353" t="s">
        <v>20</v>
      </c>
      <c r="Q353" t="s">
        <v>1262</v>
      </c>
      <c r="R353" t="s">
        <v>20</v>
      </c>
      <c r="S353" t="str">
        <f>HYPERLINK("https://cfpub.epa.gov/ecotox/explore.cfm?ncbi=1160894","Explore in ECOTOX")</f>
        <v>Explore in ECOTOX</v>
      </c>
    </row>
    <row r="354" spans="1:19" x14ac:dyDescent="0.25">
      <c r="A354">
        <v>6</v>
      </c>
      <c r="B354" t="str">
        <f>HYPERLINK("http://www.ncbi.nlm.nih.gov/protein/NXL20952.1","NXL20952.1")</f>
        <v>NXL20952.1</v>
      </c>
      <c r="C354">
        <v>13919</v>
      </c>
      <c r="D354" t="str">
        <f>HYPERLINK("http://www.ncbi.nlm.nih.gov/Taxonomy/Browser/wwwtax.cgi?mode=Info&amp;id=298831&amp;lvl=3&amp;lin=f&amp;keep=1&amp;srchmode=1&amp;unlock","298831")</f>
        <v>298831</v>
      </c>
      <c r="E354" t="s">
        <v>167</v>
      </c>
      <c r="F354" t="s">
        <v>167</v>
      </c>
      <c r="G354" t="str">
        <f>HYPERLINK("http://www.ncbi.nlm.nih.gov/Taxonomy/Browser/wwwtax.cgi?mode=Info&amp;id=298831&amp;lvl=3&amp;lin=f&amp;keep=1&amp;srchmode=1&amp;unlock","Setophaga kirtlandii")</f>
        <v>Setophaga kirtlandii</v>
      </c>
      <c r="H354" t="s">
        <v>463</v>
      </c>
      <c r="I354" t="str">
        <f>HYPERLINK("http://www.ncbi.nlm.nih.gov/protein/NXL20952.1","ANDR protein")</f>
        <v>ANDR protein</v>
      </c>
      <c r="J354" t="s">
        <v>1261</v>
      </c>
      <c r="K354">
        <v>491.89</v>
      </c>
      <c r="L354" t="s">
        <v>25</v>
      </c>
      <c r="M354">
        <v>157</v>
      </c>
      <c r="N354">
        <v>62.55</v>
      </c>
      <c r="O354">
        <v>95.66</v>
      </c>
      <c r="P354" t="s">
        <v>20</v>
      </c>
      <c r="Q354" t="s">
        <v>1262</v>
      </c>
      <c r="R354" t="s">
        <v>20</v>
      </c>
      <c r="S354" t="str">
        <f>HYPERLINK("https://cfpub.epa.gov/ecotox/explore.cfm?ncbi=298831","Explore in ECOTOX")</f>
        <v>Explore in ECOTOX</v>
      </c>
    </row>
    <row r="355" spans="1:19" x14ac:dyDescent="0.25">
      <c r="A355">
        <v>6</v>
      </c>
      <c r="B355" t="str">
        <f>HYPERLINK("http://www.ncbi.nlm.nih.gov/protein/KAF4792979.1","KAF4792979.1")</f>
        <v>KAF4792979.1</v>
      </c>
      <c r="C355">
        <v>18372</v>
      </c>
      <c r="D355" t="str">
        <f>HYPERLINK("http://www.ncbi.nlm.nih.gov/Taxonomy/Browser/wwwtax.cgi?mode=Info&amp;id=311356&amp;lvl=3&amp;lin=f&amp;keep=1&amp;srchmode=1&amp;unlock","311356")</f>
        <v>311356</v>
      </c>
      <c r="E355" t="s">
        <v>167</v>
      </c>
      <c r="F355" t="s">
        <v>167</v>
      </c>
      <c r="G355" t="str">
        <f>HYPERLINK("http://www.ncbi.nlm.nih.gov/Taxonomy/Browser/wwwtax.cgi?mode=Info&amp;id=311356&amp;lvl=3&amp;lin=f&amp;keep=1&amp;srchmode=1&amp;unlock","Turdus rufiventris")</f>
        <v>Turdus rufiventris</v>
      </c>
      <c r="H355" t="s">
        <v>668</v>
      </c>
      <c r="I355" t="str">
        <f>HYPERLINK("http://www.ncbi.nlm.nih.gov/protein/KAF4792979.1","androgen receptor")</f>
        <v>androgen receptor</v>
      </c>
      <c r="J355" t="s">
        <v>1261</v>
      </c>
      <c r="K355">
        <v>491.89</v>
      </c>
      <c r="L355" t="s">
        <v>25</v>
      </c>
      <c r="M355">
        <v>157</v>
      </c>
      <c r="N355">
        <v>62.55</v>
      </c>
      <c r="O355">
        <v>95.66</v>
      </c>
      <c r="P355" t="s">
        <v>20</v>
      </c>
      <c r="Q355" t="s">
        <v>1262</v>
      </c>
      <c r="R355" t="s">
        <v>20</v>
      </c>
      <c r="S355" t="str">
        <f>HYPERLINK("https://cfpub.epa.gov/ecotox/explore.cfm?ncbi=311356","Explore in ECOTOX")</f>
        <v>Explore in ECOTOX</v>
      </c>
    </row>
    <row r="356" spans="1:19" x14ac:dyDescent="0.25">
      <c r="A356">
        <v>6</v>
      </c>
      <c r="B356" t="str">
        <f>HYPERLINK("http://www.ncbi.nlm.nih.gov/protein/NXL81394.1","NXL81394.1")</f>
        <v>NXL81394.1</v>
      </c>
      <c r="C356">
        <v>13740</v>
      </c>
      <c r="D356" t="str">
        <f>HYPERLINK("http://www.ncbi.nlm.nih.gov/Taxonomy/Browser/wwwtax.cgi?mode=Info&amp;id=2585812&amp;lvl=3&amp;lin=f&amp;keep=1&amp;srchmode=1&amp;unlock","2585812")</f>
        <v>2585812</v>
      </c>
      <c r="E356" t="s">
        <v>167</v>
      </c>
      <c r="F356" t="s">
        <v>167</v>
      </c>
      <c r="G356" t="str">
        <f>HYPERLINK("http://www.ncbi.nlm.nih.gov/Taxonomy/Browser/wwwtax.cgi?mode=Info&amp;id=2585812&amp;lvl=3&amp;lin=f&amp;keep=1&amp;srchmode=1&amp;unlock","Leptocoma aspasia")</f>
        <v>Leptocoma aspasia</v>
      </c>
      <c r="H356" t="s">
        <v>206</v>
      </c>
      <c r="I356" t="str">
        <f>HYPERLINK("http://www.ncbi.nlm.nih.gov/protein/NXL81394.1","ANDR protein")</f>
        <v>ANDR protein</v>
      </c>
      <c r="J356" t="s">
        <v>1261</v>
      </c>
      <c r="K356">
        <v>491.89</v>
      </c>
      <c r="L356" t="s">
        <v>25</v>
      </c>
      <c r="M356">
        <v>157</v>
      </c>
      <c r="N356">
        <v>62.55</v>
      </c>
      <c r="O356">
        <v>95.66</v>
      </c>
      <c r="P356" t="s">
        <v>20</v>
      </c>
      <c r="Q356" t="s">
        <v>1262</v>
      </c>
      <c r="R356" t="s">
        <v>20</v>
      </c>
      <c r="S356" t="str">
        <f>HYPERLINK("https://cfpub.epa.gov/ecotox/explore.cfm?ncbi=2585812","Explore in ECOTOX")</f>
        <v>Explore in ECOTOX</v>
      </c>
    </row>
    <row r="357" spans="1:19" x14ac:dyDescent="0.25">
      <c r="A357">
        <v>6</v>
      </c>
      <c r="B357" t="str">
        <f>HYPERLINK("http://www.ncbi.nlm.nih.gov/protein/NWX53363.1","NWX53363.1")</f>
        <v>NWX53363.1</v>
      </c>
      <c r="C357">
        <v>14100</v>
      </c>
      <c r="D357" t="str">
        <f>HYPERLINK("http://www.ncbi.nlm.nih.gov/Taxonomy/Browser/wwwtax.cgi?mode=Info&amp;id=254652&amp;lvl=3&amp;lin=f&amp;keep=1&amp;srchmode=1&amp;unlock","254652")</f>
        <v>254652</v>
      </c>
      <c r="E357" t="s">
        <v>167</v>
      </c>
      <c r="F357" t="s">
        <v>167</v>
      </c>
      <c r="G357" t="str">
        <f>HYPERLINK("http://www.ncbi.nlm.nih.gov/Taxonomy/Browser/wwwtax.cgi?mode=Info&amp;id=254652&amp;lvl=3&amp;lin=f&amp;keep=1&amp;srchmode=1&amp;unlock","Promerops cafer")</f>
        <v>Promerops cafer</v>
      </c>
      <c r="H357" t="s">
        <v>431</v>
      </c>
      <c r="I357" t="str">
        <f>HYPERLINK("http://www.ncbi.nlm.nih.gov/protein/NWX53363.1","ANDR protein")</f>
        <v>ANDR protein</v>
      </c>
      <c r="J357" t="s">
        <v>1261</v>
      </c>
      <c r="K357">
        <v>491.89</v>
      </c>
      <c r="L357" t="s">
        <v>25</v>
      </c>
      <c r="M357">
        <v>157</v>
      </c>
      <c r="N357">
        <v>62.55</v>
      </c>
      <c r="O357">
        <v>95.66</v>
      </c>
      <c r="P357" t="s">
        <v>20</v>
      </c>
      <c r="Q357" t="s">
        <v>1262</v>
      </c>
      <c r="R357" t="s">
        <v>20</v>
      </c>
      <c r="S357" t="str">
        <f>HYPERLINK("https://cfpub.epa.gov/ecotox/explore.cfm?ncbi=254652","Explore in ECOTOX")</f>
        <v>Explore in ECOTOX</v>
      </c>
    </row>
    <row r="358" spans="1:19" x14ac:dyDescent="0.25">
      <c r="A358">
        <v>6</v>
      </c>
      <c r="B358" t="str">
        <f>HYPERLINK("http://www.ncbi.nlm.nih.gov/protein/NXS28167.1","NXS28167.1")</f>
        <v>NXS28167.1</v>
      </c>
      <c r="C358">
        <v>13329</v>
      </c>
      <c r="D358" t="str">
        <f>HYPERLINK("http://www.ncbi.nlm.nih.gov/Taxonomy/Browser/wwwtax.cgi?mode=Info&amp;id=9176&amp;lvl=3&amp;lin=f&amp;keep=1&amp;srchmode=1&amp;unlock","9176")</f>
        <v>9176</v>
      </c>
      <c r="E358" t="s">
        <v>167</v>
      </c>
      <c r="F358" t="s">
        <v>167</v>
      </c>
      <c r="G358" t="str">
        <f>HYPERLINK("http://www.ncbi.nlm.nih.gov/Taxonomy/Browser/wwwtax.cgi?mode=Info&amp;id=9176&amp;lvl=3&amp;lin=f&amp;keep=1&amp;srchmode=1&amp;unlock","Pomatostomus ruficeps")</f>
        <v>Pomatostomus ruficeps</v>
      </c>
      <c r="H358" t="s">
        <v>200</v>
      </c>
      <c r="I358" t="str">
        <f>HYPERLINK("http://www.ncbi.nlm.nih.gov/protein/NXS28167.1","ANDR protein")</f>
        <v>ANDR protein</v>
      </c>
      <c r="J358" t="s">
        <v>1261</v>
      </c>
      <c r="K358">
        <v>491.89</v>
      </c>
      <c r="L358" t="s">
        <v>25</v>
      </c>
      <c r="M358">
        <v>157</v>
      </c>
      <c r="N358">
        <v>62.55</v>
      </c>
      <c r="O358">
        <v>95.66</v>
      </c>
      <c r="P358" t="s">
        <v>20</v>
      </c>
      <c r="Q358" t="s">
        <v>1262</v>
      </c>
      <c r="R358" t="s">
        <v>20</v>
      </c>
      <c r="S358" t="str">
        <f>HYPERLINK("https://cfpub.epa.gov/ecotox/explore.cfm?ncbi=9176","Explore in ECOTOX")</f>
        <v>Explore in ECOTOX</v>
      </c>
    </row>
    <row r="359" spans="1:19" x14ac:dyDescent="0.25">
      <c r="A359">
        <v>6</v>
      </c>
      <c r="B359" t="str">
        <f>HYPERLINK("http://www.ncbi.nlm.nih.gov/protein/NWU01087.1","NWU01087.1")</f>
        <v>NWU01087.1</v>
      </c>
      <c r="C359">
        <v>13723</v>
      </c>
      <c r="D359" t="str">
        <f>HYPERLINK("http://www.ncbi.nlm.nih.gov/Taxonomy/Browser/wwwtax.cgi?mode=Info&amp;id=571890&amp;lvl=3&amp;lin=f&amp;keep=1&amp;srchmode=1&amp;unlock","571890")</f>
        <v>571890</v>
      </c>
      <c r="E359" t="s">
        <v>167</v>
      </c>
      <c r="F359" t="s">
        <v>167</v>
      </c>
      <c r="G359" t="str">
        <f>HYPERLINK("http://www.ncbi.nlm.nih.gov/Taxonomy/Browser/wwwtax.cgi?mode=Info&amp;id=571890&amp;lvl=3&amp;lin=f&amp;keep=1&amp;srchmode=1&amp;unlock","Urocynchramus pylzowi")</f>
        <v>Urocynchramus pylzowi</v>
      </c>
      <c r="H359" t="s">
        <v>206</v>
      </c>
      <c r="I359" t="str">
        <f>HYPERLINK("http://www.ncbi.nlm.nih.gov/protein/NWU01087.1","ANDR protein")</f>
        <v>ANDR protein</v>
      </c>
      <c r="J359" t="s">
        <v>1261</v>
      </c>
      <c r="K359">
        <v>491.89</v>
      </c>
      <c r="L359" t="s">
        <v>25</v>
      </c>
      <c r="M359">
        <v>157</v>
      </c>
      <c r="N359">
        <v>62.55</v>
      </c>
      <c r="O359">
        <v>95.66</v>
      </c>
      <c r="P359" t="s">
        <v>20</v>
      </c>
      <c r="Q359" t="s">
        <v>1262</v>
      </c>
      <c r="R359" t="s">
        <v>20</v>
      </c>
      <c r="S359" t="str">
        <f>HYPERLINK("https://cfpub.epa.gov/ecotox/explore.cfm?ncbi=571890","Explore in ECOTOX")</f>
        <v>Explore in ECOTOX</v>
      </c>
    </row>
    <row r="360" spans="1:19" x14ac:dyDescent="0.25">
      <c r="A360">
        <v>6</v>
      </c>
      <c r="B360" t="str">
        <f>HYPERLINK("http://www.ncbi.nlm.nih.gov/protein/NXO94999.1","NXO94999.1")</f>
        <v>NXO94999.1</v>
      </c>
      <c r="C360">
        <v>13923</v>
      </c>
      <c r="D360" t="str">
        <f>HYPERLINK("http://www.ncbi.nlm.nih.gov/Taxonomy/Browser/wwwtax.cgi?mode=Info&amp;id=73330&amp;lvl=3&amp;lin=f&amp;keep=1&amp;srchmode=1&amp;unlock","73330")</f>
        <v>73330</v>
      </c>
      <c r="E360" t="s">
        <v>167</v>
      </c>
      <c r="F360" t="s">
        <v>167</v>
      </c>
      <c r="G360" t="str">
        <f>HYPERLINK("http://www.ncbi.nlm.nih.gov/Taxonomy/Browser/wwwtax.cgi?mode=Info&amp;id=73330&amp;lvl=3&amp;lin=f&amp;keep=1&amp;srchmode=1&amp;unlock","Certhia brachydactyla")</f>
        <v>Certhia brachydactyla</v>
      </c>
      <c r="H360" t="s">
        <v>471</v>
      </c>
      <c r="I360" t="str">
        <f>HYPERLINK("http://www.ncbi.nlm.nih.gov/protein/NXO94999.1","ANDR protein")</f>
        <v>ANDR protein</v>
      </c>
      <c r="J360" t="s">
        <v>1261</v>
      </c>
      <c r="K360">
        <v>491.89</v>
      </c>
      <c r="L360" t="s">
        <v>25</v>
      </c>
      <c r="M360">
        <v>157</v>
      </c>
      <c r="N360">
        <v>62.55</v>
      </c>
      <c r="O360">
        <v>95.66</v>
      </c>
      <c r="P360" t="s">
        <v>20</v>
      </c>
      <c r="Q360" t="s">
        <v>1262</v>
      </c>
      <c r="R360" t="s">
        <v>20</v>
      </c>
      <c r="S360" t="str">
        <f>HYPERLINK("https://cfpub.epa.gov/ecotox/explore.cfm?ncbi=73330","Explore in ECOTOX")</f>
        <v>Explore in ECOTOX</v>
      </c>
    </row>
    <row r="361" spans="1:19" x14ac:dyDescent="0.25">
      <c r="A361">
        <v>6</v>
      </c>
      <c r="B361" t="str">
        <f>HYPERLINK("http://www.ncbi.nlm.nih.gov/protein/XP_031980337.1","XP_031980337.1")</f>
        <v>XP_031980337.1</v>
      </c>
      <c r="C361">
        <v>56759</v>
      </c>
      <c r="D361" t="str">
        <f>HYPERLINK("http://www.ncbi.nlm.nih.gov/Taxonomy/Browser/wwwtax.cgi?mode=Info&amp;id=1196302&amp;lvl=3&amp;lin=f&amp;keep=1&amp;srchmode=1&amp;unlock","1196302")</f>
        <v>1196302</v>
      </c>
      <c r="E361" t="s">
        <v>167</v>
      </c>
      <c r="F361" t="s">
        <v>167</v>
      </c>
      <c r="G361" t="str">
        <f>HYPERLINK("http://www.ncbi.nlm.nih.gov/Taxonomy/Browser/wwwtax.cgi?mode=Info&amp;id=1196302&amp;lvl=3&amp;lin=f&amp;keep=1&amp;srchmode=1&amp;unlock","Corvus moneduloides")</f>
        <v>Corvus moneduloides</v>
      </c>
      <c r="H361" t="s">
        <v>268</v>
      </c>
      <c r="I361" t="str">
        <f>HYPERLINK("http://www.ncbi.nlm.nih.gov/protein/XP_031980337.1","androgen receptor")</f>
        <v>androgen receptor</v>
      </c>
      <c r="J361" t="s">
        <v>1261</v>
      </c>
      <c r="K361">
        <v>491.89</v>
      </c>
      <c r="L361" t="s">
        <v>25</v>
      </c>
      <c r="M361">
        <v>157</v>
      </c>
      <c r="N361">
        <v>62.55</v>
      </c>
      <c r="O361">
        <v>95.66</v>
      </c>
      <c r="P361" t="s">
        <v>20</v>
      </c>
      <c r="Q361" t="s">
        <v>1262</v>
      </c>
      <c r="R361" t="s">
        <v>20</v>
      </c>
      <c r="S361" t="str">
        <f>HYPERLINK("https://cfpub.epa.gov/ecotox/explore.cfm?ncbi=1196302","Explore in ECOTOX")</f>
        <v>Explore in ECOTOX</v>
      </c>
    </row>
    <row r="362" spans="1:19" x14ac:dyDescent="0.25">
      <c r="A362">
        <v>6</v>
      </c>
      <c r="B362" t="str">
        <f>HYPERLINK("http://www.ncbi.nlm.nih.gov/protein/NXY35009.1","NXY35009.1")</f>
        <v>NXY35009.1</v>
      </c>
      <c r="C362">
        <v>13354</v>
      </c>
      <c r="D362" t="str">
        <f>HYPERLINK("http://www.ncbi.nlm.nih.gov/Taxonomy/Browser/wwwtax.cgi?mode=Info&amp;id=932028&amp;lvl=3&amp;lin=f&amp;keep=1&amp;srchmode=1&amp;unlock","932028")</f>
        <v>932028</v>
      </c>
      <c r="E362" t="s">
        <v>167</v>
      </c>
      <c r="F362" t="s">
        <v>167</v>
      </c>
      <c r="G362" t="str">
        <f>HYPERLINK("http://www.ncbi.nlm.nih.gov/Taxonomy/Browser/wwwtax.cgi?mode=Info&amp;id=932028&amp;lvl=3&amp;lin=f&amp;keep=1&amp;srchmode=1&amp;unlock","Pomatorhinus ruficollis")</f>
        <v>Pomatorhinus ruficollis</v>
      </c>
      <c r="H362" t="s">
        <v>666</v>
      </c>
      <c r="I362" t="str">
        <f>HYPERLINK("http://www.ncbi.nlm.nih.gov/protein/NXY35009.1","ANDR protein")</f>
        <v>ANDR protein</v>
      </c>
      <c r="J362" t="s">
        <v>1261</v>
      </c>
      <c r="K362">
        <v>491.89</v>
      </c>
      <c r="L362" t="s">
        <v>25</v>
      </c>
      <c r="M362">
        <v>157</v>
      </c>
      <c r="N362">
        <v>62.55</v>
      </c>
      <c r="O362">
        <v>95.66</v>
      </c>
      <c r="P362" t="s">
        <v>20</v>
      </c>
      <c r="Q362" t="s">
        <v>1262</v>
      </c>
      <c r="R362" t="s">
        <v>20</v>
      </c>
      <c r="S362" t="str">
        <f>HYPERLINK("https://cfpub.epa.gov/ecotox/explore.cfm?ncbi=932028","Explore in ECOTOX")</f>
        <v>Explore in ECOTOX</v>
      </c>
    </row>
    <row r="363" spans="1:19" x14ac:dyDescent="0.25">
      <c r="A363">
        <v>6</v>
      </c>
      <c r="B363" t="str">
        <f>HYPERLINK("http://www.ncbi.nlm.nih.gov/protein/XP_039428027.1","XP_039428027.1")</f>
        <v>XP_039428027.1</v>
      </c>
      <c r="C363">
        <v>42637</v>
      </c>
      <c r="D363" t="str">
        <f>HYPERLINK("http://www.ncbi.nlm.nih.gov/Taxonomy/Browser/wwwtax.cgi?mode=Info&amp;id=932674&amp;lvl=3&amp;lin=f&amp;keep=1&amp;srchmode=1&amp;unlock","932674")</f>
        <v>932674</v>
      </c>
      <c r="E363" t="s">
        <v>167</v>
      </c>
      <c r="F363" t="s">
        <v>167</v>
      </c>
      <c r="G363" t="str">
        <f>HYPERLINK("http://www.ncbi.nlm.nih.gov/Taxonomy/Browser/wwwtax.cgi?mode=Info&amp;id=932674&amp;lvl=3&amp;lin=f&amp;keep=1&amp;srchmode=1&amp;unlock","Corvus cornix cornix")</f>
        <v>Corvus cornix cornix</v>
      </c>
      <c r="H363" t="s">
        <v>298</v>
      </c>
      <c r="I363" t="str">
        <f>HYPERLINK("http://www.ncbi.nlm.nih.gov/protein/XP_039428027.1","LOW QUALITY PROTEIN: androgen receptor")</f>
        <v>LOW QUALITY PROTEIN: androgen receptor</v>
      </c>
      <c r="J363" t="s">
        <v>1261</v>
      </c>
      <c r="K363">
        <v>491.89</v>
      </c>
      <c r="L363" t="s">
        <v>25</v>
      </c>
      <c r="M363">
        <v>157</v>
      </c>
      <c r="N363">
        <v>62.55</v>
      </c>
      <c r="O363">
        <v>95.66</v>
      </c>
      <c r="P363" t="s">
        <v>20</v>
      </c>
      <c r="Q363" t="s">
        <v>1262</v>
      </c>
      <c r="R363" t="s">
        <v>20</v>
      </c>
      <c r="S363" t="str">
        <f>HYPERLINK("https://cfpub.epa.gov/ecotox/explore.cfm?ncbi=932674","Explore in ECOTOX")</f>
        <v>Explore in ECOTOX</v>
      </c>
    </row>
    <row r="364" spans="1:19" x14ac:dyDescent="0.25">
      <c r="A364">
        <v>6</v>
      </c>
      <c r="B364" t="str">
        <f>HYPERLINK("http://www.ncbi.nlm.nih.gov/protein/NWT58836.1","NWT58836.1")</f>
        <v>NWT58836.1</v>
      </c>
      <c r="C364">
        <v>14073</v>
      </c>
      <c r="D364" t="str">
        <f>HYPERLINK("http://www.ncbi.nlm.nih.gov/Taxonomy/Browser/wwwtax.cgi?mode=Info&amp;id=107208&amp;lvl=3&amp;lin=f&amp;keep=1&amp;srchmode=1&amp;unlock","107208")</f>
        <v>107208</v>
      </c>
      <c r="E364" t="s">
        <v>167</v>
      </c>
      <c r="F364" t="s">
        <v>167</v>
      </c>
      <c r="G364" t="str">
        <f>HYPERLINK("http://www.ncbi.nlm.nih.gov/Taxonomy/Browser/wwwtax.cgi?mode=Info&amp;id=107208&amp;lvl=3&amp;lin=f&amp;keep=1&amp;srchmode=1&amp;unlock","Erythrocercus mccallii")</f>
        <v>Erythrocercus mccallii</v>
      </c>
      <c r="H364" t="s">
        <v>206</v>
      </c>
      <c r="I364" t="str">
        <f>HYPERLINK("http://www.ncbi.nlm.nih.gov/protein/NWT58836.1","ANDR protein")</f>
        <v>ANDR protein</v>
      </c>
      <c r="J364" t="s">
        <v>1261</v>
      </c>
      <c r="K364">
        <v>491.89</v>
      </c>
      <c r="L364" t="s">
        <v>25</v>
      </c>
      <c r="M364">
        <v>157</v>
      </c>
      <c r="N364">
        <v>62.55</v>
      </c>
      <c r="O364">
        <v>95.66</v>
      </c>
      <c r="P364" t="s">
        <v>20</v>
      </c>
      <c r="Q364" t="s">
        <v>1262</v>
      </c>
      <c r="R364" t="s">
        <v>20</v>
      </c>
      <c r="S364" t="str">
        <f>HYPERLINK("https://cfpub.epa.gov/ecotox/explore.cfm?ncbi=107208","Explore in ECOTOX")</f>
        <v>Explore in ECOTOX</v>
      </c>
    </row>
    <row r="365" spans="1:19" x14ac:dyDescent="0.25">
      <c r="A365">
        <v>6</v>
      </c>
      <c r="B365" t="str">
        <f>HYPERLINK("http://www.ncbi.nlm.nih.gov/protein/NXY05797.1","NXY05797.1")</f>
        <v>NXY05797.1</v>
      </c>
      <c r="C365">
        <v>11998</v>
      </c>
      <c r="D365" t="str">
        <f>HYPERLINK("http://www.ncbi.nlm.nih.gov/Taxonomy/Browser/wwwtax.cgi?mode=Info&amp;id=357074&amp;lvl=3&amp;lin=f&amp;keep=1&amp;srchmode=1&amp;unlock","357074")</f>
        <v>357074</v>
      </c>
      <c r="E365" t="s">
        <v>167</v>
      </c>
      <c r="F365" t="s">
        <v>167</v>
      </c>
      <c r="G365" t="str">
        <f>HYPERLINK("http://www.ncbi.nlm.nih.gov/Taxonomy/Browser/wwwtax.cgi?mode=Info&amp;id=357074&amp;lvl=3&amp;lin=f&amp;keep=1&amp;srchmode=1&amp;unlock","Pteruthius melanotis")</f>
        <v>Pteruthius melanotis</v>
      </c>
      <c r="H365" t="s">
        <v>244</v>
      </c>
      <c r="I365" t="str">
        <f>HYPERLINK("http://www.ncbi.nlm.nih.gov/protein/NXY05797.1","ANDR protein")</f>
        <v>ANDR protein</v>
      </c>
      <c r="J365" t="s">
        <v>1261</v>
      </c>
      <c r="K365">
        <v>491.89</v>
      </c>
      <c r="L365" t="s">
        <v>25</v>
      </c>
      <c r="M365">
        <v>157</v>
      </c>
      <c r="N365">
        <v>62.55</v>
      </c>
      <c r="O365">
        <v>95.66</v>
      </c>
      <c r="P365" t="s">
        <v>20</v>
      </c>
      <c r="Q365" t="s">
        <v>1262</v>
      </c>
      <c r="R365" t="s">
        <v>20</v>
      </c>
      <c r="S365" t="str">
        <f>HYPERLINK("https://cfpub.epa.gov/ecotox/explore.cfm?ncbi=357074","Explore in ECOTOX")</f>
        <v>Explore in ECOTOX</v>
      </c>
    </row>
    <row r="366" spans="1:19" x14ac:dyDescent="0.25">
      <c r="A366">
        <v>6</v>
      </c>
      <c r="B366" t="str">
        <f>HYPERLINK("http://www.ncbi.nlm.nih.gov/protein/NXO21663.1","NXO21663.1")</f>
        <v>NXO21663.1</v>
      </c>
      <c r="C366">
        <v>13483</v>
      </c>
      <c r="D366" t="str">
        <f>HYPERLINK("http://www.ncbi.nlm.nih.gov/Taxonomy/Browser/wwwtax.cgi?mode=Info&amp;id=52622&amp;lvl=3&amp;lin=f&amp;keep=1&amp;srchmode=1&amp;unlock","52622")</f>
        <v>52622</v>
      </c>
      <c r="E366" t="s">
        <v>167</v>
      </c>
      <c r="F366" t="s">
        <v>167</v>
      </c>
      <c r="G366" t="str">
        <f>HYPERLINK("http://www.ncbi.nlm.nih.gov/Taxonomy/Browser/wwwtax.cgi?mode=Info&amp;id=52622&amp;lvl=3&amp;lin=f&amp;keep=1&amp;srchmode=1&amp;unlock","Cisticola juncidis")</f>
        <v>Cisticola juncidis</v>
      </c>
      <c r="H366" t="s">
        <v>206</v>
      </c>
      <c r="I366" t="str">
        <f>HYPERLINK("http://www.ncbi.nlm.nih.gov/protein/NXO21663.1","ANDR protein")</f>
        <v>ANDR protein</v>
      </c>
      <c r="J366" t="s">
        <v>1261</v>
      </c>
      <c r="K366">
        <v>491.89</v>
      </c>
      <c r="L366" t="s">
        <v>25</v>
      </c>
      <c r="M366">
        <v>157</v>
      </c>
      <c r="N366">
        <v>62.55</v>
      </c>
      <c r="O366">
        <v>95.66</v>
      </c>
      <c r="P366" t="s">
        <v>20</v>
      </c>
      <c r="Q366" t="s">
        <v>1262</v>
      </c>
      <c r="R366" t="s">
        <v>20</v>
      </c>
      <c r="S366" t="str">
        <f>HYPERLINK("https://cfpub.epa.gov/ecotox/explore.cfm?ncbi=52622","Explore in ECOTOX")</f>
        <v>Explore in ECOTOX</v>
      </c>
    </row>
    <row r="367" spans="1:19" x14ac:dyDescent="0.25">
      <c r="A367">
        <v>6</v>
      </c>
      <c r="B367" t="str">
        <f>HYPERLINK("http://www.ncbi.nlm.nih.gov/protein/NXH60516.1","NXH60516.1")</f>
        <v>NXH60516.1</v>
      </c>
      <c r="C367">
        <v>14389</v>
      </c>
      <c r="D367" t="str">
        <f>HYPERLINK("http://www.ncbi.nlm.nih.gov/Taxonomy/Browser/wwwtax.cgi?mode=Info&amp;id=237438&amp;lvl=3&amp;lin=f&amp;keep=1&amp;srchmode=1&amp;unlock","237438")</f>
        <v>237438</v>
      </c>
      <c r="E367" t="s">
        <v>167</v>
      </c>
      <c r="F367" t="s">
        <v>167</v>
      </c>
      <c r="G367" t="str">
        <f>HYPERLINK("http://www.ncbi.nlm.nih.gov/Taxonomy/Browser/wwwtax.cgi?mode=Info&amp;id=237438&amp;lvl=3&amp;lin=f&amp;keep=1&amp;srchmode=1&amp;unlock","Rhabdornis inornatus")</f>
        <v>Rhabdornis inornatus</v>
      </c>
      <c r="H367" t="s">
        <v>206</v>
      </c>
      <c r="I367" t="str">
        <f>HYPERLINK("http://www.ncbi.nlm.nih.gov/protein/NXH60516.1","ANDR protein")</f>
        <v>ANDR protein</v>
      </c>
      <c r="J367" t="s">
        <v>1261</v>
      </c>
      <c r="K367">
        <v>491.89</v>
      </c>
      <c r="L367" t="s">
        <v>25</v>
      </c>
      <c r="M367">
        <v>157</v>
      </c>
      <c r="N367">
        <v>62.55</v>
      </c>
      <c r="O367">
        <v>95.66</v>
      </c>
      <c r="P367" t="s">
        <v>20</v>
      </c>
      <c r="Q367" t="s">
        <v>1262</v>
      </c>
      <c r="R367" t="s">
        <v>20</v>
      </c>
      <c r="S367" t="str">
        <f>HYPERLINK("https://cfpub.epa.gov/ecotox/explore.cfm?ncbi=237438","Explore in ECOTOX")</f>
        <v>Explore in ECOTOX</v>
      </c>
    </row>
    <row r="368" spans="1:19" x14ac:dyDescent="0.25">
      <c r="A368">
        <v>6</v>
      </c>
      <c r="B368" t="str">
        <f>HYPERLINK("http://www.ncbi.nlm.nih.gov/protein/NXD22087.1","NXD22087.1")</f>
        <v>NXD22087.1</v>
      </c>
      <c r="C368">
        <v>14027</v>
      </c>
      <c r="D368" t="str">
        <f>HYPERLINK("http://www.ncbi.nlm.nih.gov/Taxonomy/Browser/wwwtax.cgi?mode=Info&amp;id=1463973&amp;lvl=3&amp;lin=f&amp;keep=1&amp;srchmode=1&amp;unlock","1463973")</f>
        <v>1463973</v>
      </c>
      <c r="E368" t="s">
        <v>167</v>
      </c>
      <c r="F368" t="s">
        <v>167</v>
      </c>
      <c r="G368" t="str">
        <f>HYPERLINK("http://www.ncbi.nlm.nih.gov/Taxonomy/Browser/wwwtax.cgi?mode=Info&amp;id=1463973&amp;lvl=3&amp;lin=f&amp;keep=1&amp;srchmode=1&amp;unlock","Elachura formosa")</f>
        <v>Elachura formosa</v>
      </c>
      <c r="H368" t="s">
        <v>390</v>
      </c>
      <c r="I368" t="str">
        <f>HYPERLINK("http://www.ncbi.nlm.nih.gov/protein/NXD22087.1","ANDR protein")</f>
        <v>ANDR protein</v>
      </c>
      <c r="J368" t="s">
        <v>1261</v>
      </c>
      <c r="K368">
        <v>491.89</v>
      </c>
      <c r="L368" t="s">
        <v>25</v>
      </c>
      <c r="M368">
        <v>157</v>
      </c>
      <c r="N368">
        <v>62.55</v>
      </c>
      <c r="O368">
        <v>95.66</v>
      </c>
      <c r="P368" t="s">
        <v>20</v>
      </c>
      <c r="Q368" t="s">
        <v>1262</v>
      </c>
      <c r="R368" t="s">
        <v>20</v>
      </c>
      <c r="S368" t="str">
        <f>HYPERLINK("https://cfpub.epa.gov/ecotox/explore.cfm?ncbi=1463973","Explore in ECOTOX")</f>
        <v>Explore in ECOTOX</v>
      </c>
    </row>
    <row r="369" spans="1:19" x14ac:dyDescent="0.25">
      <c r="A369">
        <v>6</v>
      </c>
      <c r="B369" t="str">
        <f>HYPERLINK("http://www.ncbi.nlm.nih.gov/protein/NWT72211.1","NWT72211.1")</f>
        <v>NWT72211.1</v>
      </c>
      <c r="C369">
        <v>13939</v>
      </c>
      <c r="D369" t="str">
        <f>HYPERLINK("http://www.ncbi.nlm.nih.gov/Taxonomy/Browser/wwwtax.cgi?mode=Info&amp;id=670356&amp;lvl=3&amp;lin=f&amp;keep=1&amp;srchmode=1&amp;unlock","670356")</f>
        <v>670356</v>
      </c>
      <c r="E369" t="s">
        <v>167</v>
      </c>
      <c r="F369" t="s">
        <v>167</v>
      </c>
      <c r="G369" t="str">
        <f>HYPERLINK("http://www.ncbi.nlm.nih.gov/Taxonomy/Browser/wwwtax.cgi?mode=Info&amp;id=670356&amp;lvl=3&amp;lin=f&amp;keep=1&amp;srchmode=1&amp;unlock","Prunella himalayana")</f>
        <v>Prunella himalayana</v>
      </c>
      <c r="H369" t="s">
        <v>467</v>
      </c>
      <c r="I369" t="str">
        <f>HYPERLINK("http://www.ncbi.nlm.nih.gov/protein/NWT72211.1","ANDR protein")</f>
        <v>ANDR protein</v>
      </c>
      <c r="J369" t="s">
        <v>1261</v>
      </c>
      <c r="K369">
        <v>491.89</v>
      </c>
      <c r="L369" t="s">
        <v>25</v>
      </c>
      <c r="M369">
        <v>157</v>
      </c>
      <c r="N369">
        <v>62.55</v>
      </c>
      <c r="O369">
        <v>95.66</v>
      </c>
      <c r="P369" t="s">
        <v>20</v>
      </c>
      <c r="Q369" t="s">
        <v>1262</v>
      </c>
      <c r="R369" t="s">
        <v>20</v>
      </c>
      <c r="S369" t="str">
        <f>HYPERLINK("https://cfpub.epa.gov/ecotox/explore.cfm?ncbi=670356","Explore in ECOTOX")</f>
        <v>Explore in ECOTOX</v>
      </c>
    </row>
    <row r="370" spans="1:19" x14ac:dyDescent="0.25">
      <c r="A370">
        <v>6</v>
      </c>
      <c r="B370" t="str">
        <f>HYPERLINK("http://www.ncbi.nlm.nih.gov/protein/NXT04703.1","NXT04703.1")</f>
        <v>NXT04703.1</v>
      </c>
      <c r="C370">
        <v>13423</v>
      </c>
      <c r="D370" t="str">
        <f>HYPERLINK("http://www.ncbi.nlm.nih.gov/Taxonomy/Browser/wwwtax.cgi?mode=Info&amp;id=670355&amp;lvl=3&amp;lin=f&amp;keep=1&amp;srchmode=1&amp;unlock","670355")</f>
        <v>670355</v>
      </c>
      <c r="E370" t="s">
        <v>167</v>
      </c>
      <c r="F370" t="s">
        <v>167</v>
      </c>
      <c r="G370" t="str">
        <f>HYPERLINK("http://www.ncbi.nlm.nih.gov/Taxonomy/Browser/wwwtax.cgi?mode=Info&amp;id=670355&amp;lvl=3&amp;lin=f&amp;keep=1&amp;srchmode=1&amp;unlock","Prunella fulvescens")</f>
        <v>Prunella fulvescens</v>
      </c>
      <c r="H370" t="s">
        <v>469</v>
      </c>
      <c r="I370" t="str">
        <f>HYPERLINK("http://www.ncbi.nlm.nih.gov/protein/NXT04703.1","ANDR protein")</f>
        <v>ANDR protein</v>
      </c>
      <c r="J370" t="s">
        <v>1261</v>
      </c>
      <c r="K370">
        <v>491.89</v>
      </c>
      <c r="L370" t="s">
        <v>25</v>
      </c>
      <c r="M370">
        <v>157</v>
      </c>
      <c r="N370">
        <v>62.55</v>
      </c>
      <c r="O370">
        <v>95.66</v>
      </c>
      <c r="P370" t="s">
        <v>20</v>
      </c>
      <c r="Q370" t="s">
        <v>1262</v>
      </c>
      <c r="R370" t="s">
        <v>20</v>
      </c>
      <c r="S370" t="str">
        <f>HYPERLINK("https://cfpub.epa.gov/ecotox/explore.cfm?ncbi=670355","Explore in ECOTOX")</f>
        <v>Explore in ECOTOX</v>
      </c>
    </row>
    <row r="371" spans="1:19" x14ac:dyDescent="0.25">
      <c r="A371">
        <v>6</v>
      </c>
      <c r="B371" t="str">
        <f>HYPERLINK("http://www.ncbi.nlm.nih.gov/protein/NWZ06784.1","NWZ06784.1")</f>
        <v>NWZ06784.1</v>
      </c>
      <c r="C371">
        <v>14309</v>
      </c>
      <c r="D371" t="str">
        <f>HYPERLINK("http://www.ncbi.nlm.nih.gov/Taxonomy/Browser/wwwtax.cgi?mode=Info&amp;id=39638&amp;lvl=3&amp;lin=f&amp;keep=1&amp;srchmode=1&amp;unlock","39638")</f>
        <v>39638</v>
      </c>
      <c r="E371" t="s">
        <v>167</v>
      </c>
      <c r="F371" t="s">
        <v>167</v>
      </c>
      <c r="G371" t="str">
        <f>HYPERLINK("http://www.ncbi.nlm.nih.gov/Taxonomy/Browser/wwwtax.cgi?mode=Info&amp;id=39638&amp;lvl=3&amp;lin=f&amp;keep=1&amp;srchmode=1&amp;unlock","Agelaius phoeniceus")</f>
        <v>Agelaius phoeniceus</v>
      </c>
      <c r="H371" t="s">
        <v>426</v>
      </c>
      <c r="I371" t="str">
        <f>HYPERLINK("http://www.ncbi.nlm.nih.gov/protein/NWZ06784.1","ANDR protein")</f>
        <v>ANDR protein</v>
      </c>
      <c r="J371" t="s">
        <v>1261</v>
      </c>
      <c r="K371">
        <v>491.89</v>
      </c>
      <c r="L371" t="s">
        <v>25</v>
      </c>
      <c r="M371">
        <v>157</v>
      </c>
      <c r="N371">
        <v>62.55</v>
      </c>
      <c r="O371">
        <v>95.66</v>
      </c>
      <c r="P371" t="s">
        <v>20</v>
      </c>
      <c r="Q371" t="s">
        <v>1262</v>
      </c>
      <c r="R371" t="s">
        <v>20</v>
      </c>
      <c r="S371" t="str">
        <f>HYPERLINK("https://cfpub.epa.gov/ecotox/explore.cfm?ncbi=39638","Explore in ECOTOX")</f>
        <v>Explore in ECOTOX</v>
      </c>
    </row>
    <row r="372" spans="1:19" x14ac:dyDescent="0.25">
      <c r="A372">
        <v>6</v>
      </c>
      <c r="B372" t="str">
        <f>HYPERLINK("http://www.ncbi.nlm.nih.gov/protein/NXV62008.1","NXV62008.1")</f>
        <v>NXV62008.1</v>
      </c>
      <c r="C372">
        <v>44051</v>
      </c>
      <c r="D372" t="str">
        <f>HYPERLINK("http://www.ncbi.nlm.nih.gov/Taxonomy/Browser/wwwtax.cgi?mode=Info&amp;id=84834&amp;lvl=3&amp;lin=f&amp;keep=1&amp;srchmode=1&amp;unlock","84834")</f>
        <v>84834</v>
      </c>
      <c r="E372" t="s">
        <v>167</v>
      </c>
      <c r="F372" t="s">
        <v>167</v>
      </c>
      <c r="G372" t="str">
        <f>HYPERLINK("http://www.ncbi.nlm.nih.gov/Taxonomy/Browser/wwwtax.cgi?mode=Info&amp;id=84834&amp;lvl=3&amp;lin=f&amp;keep=1&amp;srchmode=1&amp;unlock","Molothrus ater")</f>
        <v>Molothrus ater</v>
      </c>
      <c r="H372" t="s">
        <v>430</v>
      </c>
      <c r="I372" t="str">
        <f>HYPERLINK("http://www.ncbi.nlm.nih.gov/protein/NXV62008.1","ANDR protein")</f>
        <v>ANDR protein</v>
      </c>
      <c r="J372" t="s">
        <v>1261</v>
      </c>
      <c r="K372">
        <v>491.89</v>
      </c>
      <c r="L372" t="s">
        <v>25</v>
      </c>
      <c r="M372">
        <v>157</v>
      </c>
      <c r="N372">
        <v>62.55</v>
      </c>
      <c r="O372">
        <v>95.66</v>
      </c>
      <c r="P372" t="s">
        <v>20</v>
      </c>
      <c r="Q372" t="s">
        <v>1262</v>
      </c>
      <c r="R372" t="s">
        <v>20</v>
      </c>
      <c r="S372" t="str">
        <f>HYPERLINK("https://cfpub.epa.gov/ecotox/explore.cfm?ncbi=84834","Explore in ECOTOX")</f>
        <v>Explore in ECOTOX</v>
      </c>
    </row>
    <row r="373" spans="1:19" x14ac:dyDescent="0.25">
      <c r="A373">
        <v>6</v>
      </c>
      <c r="B373" t="str">
        <f>HYPERLINK("http://www.ncbi.nlm.nih.gov/protein/XP_030823606.1","XP_030823606.1")</f>
        <v>XP_030823606.1</v>
      </c>
      <c r="C373">
        <v>28938</v>
      </c>
      <c r="D373" t="str">
        <f>HYPERLINK("http://www.ncbi.nlm.nih.gov/Taxonomy/Browser/wwwtax.cgi?mode=Info&amp;id=87175&amp;lvl=3&amp;lin=f&amp;keep=1&amp;srchmode=1&amp;unlock","87175")</f>
        <v>87175</v>
      </c>
      <c r="E373" t="s">
        <v>167</v>
      </c>
      <c r="F373" t="s">
        <v>167</v>
      </c>
      <c r="G373" t="str">
        <f>HYPERLINK("http://www.ncbi.nlm.nih.gov/Taxonomy/Browser/wwwtax.cgi?mode=Info&amp;id=87175&amp;lvl=3&amp;lin=f&amp;keep=1&amp;srchmode=1&amp;unlock","Camarhynchus parvulus")</f>
        <v>Camarhynchus parvulus</v>
      </c>
      <c r="H373" t="s">
        <v>414</v>
      </c>
      <c r="I373" t="str">
        <f>HYPERLINK("http://www.ncbi.nlm.nih.gov/protein/XP_030823606.1","androgen receptor")</f>
        <v>androgen receptor</v>
      </c>
      <c r="J373" t="s">
        <v>1261</v>
      </c>
      <c r="K373">
        <v>491.89</v>
      </c>
      <c r="L373" t="s">
        <v>25</v>
      </c>
      <c r="M373">
        <v>157</v>
      </c>
      <c r="N373">
        <v>62.55</v>
      </c>
      <c r="O373">
        <v>95.66</v>
      </c>
      <c r="P373" t="s">
        <v>20</v>
      </c>
      <c r="Q373" t="s">
        <v>1262</v>
      </c>
      <c r="R373" t="s">
        <v>20</v>
      </c>
      <c r="S373" t="str">
        <f>HYPERLINK("https://cfpub.epa.gov/ecotox/explore.cfm?ncbi=87175","Explore in ECOTOX")</f>
        <v>Explore in ECOTOX</v>
      </c>
    </row>
    <row r="374" spans="1:19" x14ac:dyDescent="0.25">
      <c r="A374">
        <v>6</v>
      </c>
      <c r="B374" t="str">
        <f>HYPERLINK("http://www.ncbi.nlm.nih.gov/protein/NWH37034.1","NWH37034.1")</f>
        <v>NWH37034.1</v>
      </c>
      <c r="C374">
        <v>13554</v>
      </c>
      <c r="D374" t="str">
        <f>HYPERLINK("http://www.ncbi.nlm.nih.gov/Taxonomy/Browser/wwwtax.cgi?mode=Info&amp;id=667144&amp;lvl=3&amp;lin=f&amp;keep=1&amp;srchmode=1&amp;unlock","667144")</f>
        <v>667144</v>
      </c>
      <c r="E374" t="s">
        <v>167</v>
      </c>
      <c r="F374" t="s">
        <v>167</v>
      </c>
      <c r="G374" t="str">
        <f>HYPERLINK("http://www.ncbi.nlm.nih.gov/Taxonomy/Browser/wwwtax.cgi?mode=Info&amp;id=667144&amp;lvl=3&amp;lin=f&amp;keep=1&amp;srchmode=1&amp;unlock","Chloropsis hardwickii")</f>
        <v>Chloropsis hardwickii</v>
      </c>
      <c r="H374" t="s">
        <v>206</v>
      </c>
      <c r="I374" t="str">
        <f>HYPERLINK("http://www.ncbi.nlm.nih.gov/protein/NWH37034.1","ANDR protein")</f>
        <v>ANDR protein</v>
      </c>
      <c r="J374" t="s">
        <v>1261</v>
      </c>
      <c r="K374">
        <v>491.89</v>
      </c>
      <c r="L374" t="s">
        <v>25</v>
      </c>
      <c r="M374">
        <v>157</v>
      </c>
      <c r="N374">
        <v>62.55</v>
      </c>
      <c r="O374">
        <v>95.66</v>
      </c>
      <c r="P374" t="s">
        <v>20</v>
      </c>
      <c r="Q374" t="s">
        <v>1262</v>
      </c>
      <c r="R374" t="s">
        <v>20</v>
      </c>
      <c r="S374" t="str">
        <f>HYPERLINK("https://cfpub.epa.gov/ecotox/explore.cfm?ncbi=667144","Explore in ECOTOX")</f>
        <v>Explore in ECOTOX</v>
      </c>
    </row>
    <row r="375" spans="1:19" x14ac:dyDescent="0.25">
      <c r="A375">
        <v>6</v>
      </c>
      <c r="B375" t="str">
        <f>HYPERLINK("http://www.ncbi.nlm.nih.gov/protein/XP_016153689.1","XP_016153689.1")</f>
        <v>XP_016153689.1</v>
      </c>
      <c r="C375">
        <v>26779</v>
      </c>
      <c r="D375" t="str">
        <f>HYPERLINK("http://www.ncbi.nlm.nih.gov/Taxonomy/Browser/wwwtax.cgi?mode=Info&amp;id=59894&amp;lvl=3&amp;lin=f&amp;keep=1&amp;srchmode=1&amp;unlock","59894")</f>
        <v>59894</v>
      </c>
      <c r="E375" t="s">
        <v>167</v>
      </c>
      <c r="F375" t="s">
        <v>167</v>
      </c>
      <c r="G375" t="str">
        <f>HYPERLINK("http://www.ncbi.nlm.nih.gov/Taxonomy/Browser/wwwtax.cgi?mode=Info&amp;id=59894&amp;lvl=3&amp;lin=f&amp;keep=1&amp;srchmode=1&amp;unlock","Ficedula albicollis")</f>
        <v>Ficedula albicollis</v>
      </c>
      <c r="H375" t="s">
        <v>394</v>
      </c>
      <c r="I375" t="str">
        <f>HYPERLINK("http://www.ncbi.nlm.nih.gov/protein/XP_016153689.1","PREDICTED: androgen receptor, partial")</f>
        <v>PREDICTED: androgen receptor, partial</v>
      </c>
      <c r="J375" t="s">
        <v>1261</v>
      </c>
      <c r="K375">
        <v>491.89</v>
      </c>
      <c r="L375" t="s">
        <v>25</v>
      </c>
      <c r="M375">
        <v>157</v>
      </c>
      <c r="N375">
        <v>62.55</v>
      </c>
      <c r="O375">
        <v>95.66</v>
      </c>
      <c r="P375" t="s">
        <v>20</v>
      </c>
      <c r="Q375" t="s">
        <v>1262</v>
      </c>
      <c r="R375" t="s">
        <v>20</v>
      </c>
      <c r="S375" t="str">
        <f>HYPERLINK("https://cfpub.epa.gov/ecotox/explore.cfm?ncbi=59894","Explore in ECOTOX")</f>
        <v>Explore in ECOTOX</v>
      </c>
    </row>
    <row r="376" spans="1:19" x14ac:dyDescent="0.25">
      <c r="A376">
        <v>6</v>
      </c>
      <c r="B376" t="str">
        <f>HYPERLINK("http://www.ncbi.nlm.nih.gov/protein/NWY75297.1","NWY75297.1")</f>
        <v>NWY75297.1</v>
      </c>
      <c r="C376">
        <v>13909</v>
      </c>
      <c r="D376" t="str">
        <f>HYPERLINK("http://www.ncbi.nlm.nih.gov/Taxonomy/Browser/wwwtax.cgi?mode=Info&amp;id=37610&amp;lvl=3&amp;lin=f&amp;keep=1&amp;srchmode=1&amp;unlock","37610")</f>
        <v>37610</v>
      </c>
      <c r="E376" t="s">
        <v>167</v>
      </c>
      <c r="F376" t="s">
        <v>167</v>
      </c>
      <c r="G376" t="str">
        <f>HYPERLINK("http://www.ncbi.nlm.nih.gov/Taxonomy/Browser/wwwtax.cgi?mode=Info&amp;id=37610&amp;lvl=3&amp;lin=f&amp;keep=1&amp;srchmode=1&amp;unlock","Erithacus rubecula")</f>
        <v>Erithacus rubecula</v>
      </c>
      <c r="H376" t="s">
        <v>442</v>
      </c>
      <c r="I376" t="str">
        <f>HYPERLINK("http://www.ncbi.nlm.nih.gov/protein/NWY75297.1","ANDR protein")</f>
        <v>ANDR protein</v>
      </c>
      <c r="J376" t="s">
        <v>1261</v>
      </c>
      <c r="K376">
        <v>491.89</v>
      </c>
      <c r="L376" t="s">
        <v>25</v>
      </c>
      <c r="M376">
        <v>157</v>
      </c>
      <c r="N376">
        <v>62.55</v>
      </c>
      <c r="O376">
        <v>95.66</v>
      </c>
      <c r="P376" t="s">
        <v>20</v>
      </c>
      <c r="Q376" t="s">
        <v>1262</v>
      </c>
      <c r="R376" t="s">
        <v>20</v>
      </c>
      <c r="S376" t="str">
        <f>HYPERLINK("https://cfpub.epa.gov/ecotox/explore.cfm?ncbi=37610","Explore in ECOTOX")</f>
        <v>Explore in ECOTOX</v>
      </c>
    </row>
    <row r="377" spans="1:19" x14ac:dyDescent="0.25">
      <c r="A377">
        <v>6</v>
      </c>
      <c r="B377" t="str">
        <f>HYPERLINK("http://www.ncbi.nlm.nih.gov/protein/NXS86641.1","NXS86641.1")</f>
        <v>NXS86641.1</v>
      </c>
      <c r="C377">
        <v>13355</v>
      </c>
      <c r="D377" t="str">
        <f>HYPERLINK("http://www.ncbi.nlm.nih.gov/Taxonomy/Browser/wwwtax.cgi?mode=Info&amp;id=1112836&amp;lvl=3&amp;lin=f&amp;keep=1&amp;srchmode=1&amp;unlock","1112836")</f>
        <v>1112836</v>
      </c>
      <c r="E377" t="s">
        <v>167</v>
      </c>
      <c r="F377" t="s">
        <v>167</v>
      </c>
      <c r="G377" t="str">
        <f>HYPERLINK("http://www.ncbi.nlm.nih.gov/Taxonomy/Browser/wwwtax.cgi?mode=Info&amp;id=1112836&amp;lvl=3&amp;lin=f&amp;keep=1&amp;srchmode=1&amp;unlock","Erpornis zantholeuca")</f>
        <v>Erpornis zantholeuca</v>
      </c>
      <c r="H377" t="s">
        <v>244</v>
      </c>
      <c r="I377" t="str">
        <f>HYPERLINK("http://www.ncbi.nlm.nih.gov/protein/NXS86641.1","ANDR protein")</f>
        <v>ANDR protein</v>
      </c>
      <c r="J377" t="s">
        <v>1261</v>
      </c>
      <c r="K377">
        <v>491.89</v>
      </c>
      <c r="L377" t="s">
        <v>25</v>
      </c>
      <c r="M377">
        <v>157</v>
      </c>
      <c r="N377">
        <v>62.55</v>
      </c>
      <c r="O377">
        <v>95.66</v>
      </c>
      <c r="P377" t="s">
        <v>20</v>
      </c>
      <c r="Q377" t="s">
        <v>1262</v>
      </c>
      <c r="R377" t="s">
        <v>20</v>
      </c>
      <c r="S377" t="str">
        <f>HYPERLINK("https://cfpub.epa.gov/ecotox/explore.cfm?ncbi=1112836","Explore in ECOTOX")</f>
        <v>Explore in ECOTOX</v>
      </c>
    </row>
    <row r="378" spans="1:19" x14ac:dyDescent="0.25">
      <c r="A378">
        <v>6</v>
      </c>
      <c r="B378" t="str">
        <f>HYPERLINK("http://www.ncbi.nlm.nih.gov/protein/NWY28386.1","NWY28386.1")</f>
        <v>NWY28386.1</v>
      </c>
      <c r="C378">
        <v>12918</v>
      </c>
      <c r="D378" t="str">
        <f>HYPERLINK("http://www.ncbi.nlm.nih.gov/Taxonomy/Browser/wwwtax.cgi?mode=Info&amp;id=371919&amp;lvl=3&amp;lin=f&amp;keep=1&amp;srchmode=1&amp;unlock","371919")</f>
        <v>371919</v>
      </c>
      <c r="E378" t="s">
        <v>167</v>
      </c>
      <c r="F378" t="s">
        <v>167</v>
      </c>
      <c r="G378" t="str">
        <f>HYPERLINK("http://www.ncbi.nlm.nih.gov/Taxonomy/Browser/wwwtax.cgi?mode=Info&amp;id=371919&amp;lvl=3&amp;lin=f&amp;keep=1&amp;srchmode=1&amp;unlock","Pheucticus melanocephalus")</f>
        <v>Pheucticus melanocephalus</v>
      </c>
      <c r="H378" t="s">
        <v>206</v>
      </c>
      <c r="I378" t="str">
        <f>HYPERLINK("http://www.ncbi.nlm.nih.gov/protein/NWY28386.1","ANDR protein")</f>
        <v>ANDR protein</v>
      </c>
      <c r="J378" t="s">
        <v>1261</v>
      </c>
      <c r="K378">
        <v>491.89</v>
      </c>
      <c r="L378" t="s">
        <v>25</v>
      </c>
      <c r="M378">
        <v>157</v>
      </c>
      <c r="N378">
        <v>62.55</v>
      </c>
      <c r="O378">
        <v>95.66</v>
      </c>
      <c r="P378" t="s">
        <v>20</v>
      </c>
      <c r="Q378" t="s">
        <v>1262</v>
      </c>
      <c r="R378" t="s">
        <v>20</v>
      </c>
      <c r="S378" t="str">
        <f>HYPERLINK("https://cfpub.epa.gov/ecotox/explore.cfm?ncbi=371919","Explore in ECOTOX")</f>
        <v>Explore in ECOTOX</v>
      </c>
    </row>
    <row r="379" spans="1:19" x14ac:dyDescent="0.25">
      <c r="A379">
        <v>6</v>
      </c>
      <c r="B379" t="str">
        <f>HYPERLINK("http://www.ncbi.nlm.nih.gov/protein/NWZ80032.1","NWZ80032.1")</f>
        <v>NWZ80032.1</v>
      </c>
      <c r="C379">
        <v>14278</v>
      </c>
      <c r="D379" t="str">
        <f>HYPERLINK("http://www.ncbi.nlm.nih.gov/Taxonomy/Browser/wwwtax.cgi?mode=Info&amp;id=48891&amp;lvl=3&amp;lin=f&amp;keep=1&amp;srchmode=1&amp;unlock","48891")</f>
        <v>48891</v>
      </c>
      <c r="E379" t="s">
        <v>167</v>
      </c>
      <c r="F379" t="s">
        <v>167</v>
      </c>
      <c r="G379" t="str">
        <f>HYPERLINK("http://www.ncbi.nlm.nih.gov/Taxonomy/Browser/wwwtax.cgi?mode=Info&amp;id=48891&amp;lvl=3&amp;lin=f&amp;keep=1&amp;srchmode=1&amp;unlock","Poecile atricapillus")</f>
        <v>Poecile atricapillus</v>
      </c>
      <c r="H379" t="s">
        <v>423</v>
      </c>
      <c r="I379" t="str">
        <f>HYPERLINK("http://www.ncbi.nlm.nih.gov/protein/NWZ80032.1","ANDR protein")</f>
        <v>ANDR protein</v>
      </c>
      <c r="J379" t="s">
        <v>1261</v>
      </c>
      <c r="K379">
        <v>491.89</v>
      </c>
      <c r="L379" t="s">
        <v>25</v>
      </c>
      <c r="M379">
        <v>157</v>
      </c>
      <c r="N379">
        <v>62.55</v>
      </c>
      <c r="O379">
        <v>95.66</v>
      </c>
      <c r="P379" t="s">
        <v>20</v>
      </c>
      <c r="Q379" t="s">
        <v>1262</v>
      </c>
      <c r="R379" t="s">
        <v>20</v>
      </c>
      <c r="S379" t="str">
        <f>HYPERLINK("https://cfpub.epa.gov/ecotox/explore.cfm?ncbi=48891","Explore in ECOTOX")</f>
        <v>Explore in ECOTOX</v>
      </c>
    </row>
    <row r="380" spans="1:19" x14ac:dyDescent="0.25">
      <c r="A380">
        <v>6</v>
      </c>
      <c r="B380" t="str">
        <f>HYPERLINK("http://www.ncbi.nlm.nih.gov/protein/NWY98553.1","NWY98553.1")</f>
        <v>NWY98553.1</v>
      </c>
      <c r="C380">
        <v>14648</v>
      </c>
      <c r="D380" t="str">
        <f>HYPERLINK("http://www.ncbi.nlm.nih.gov/Taxonomy/Browser/wwwtax.cgi?mode=Info&amp;id=64802&amp;lvl=3&amp;lin=f&amp;keep=1&amp;srchmode=1&amp;unlock","64802")</f>
        <v>64802</v>
      </c>
      <c r="E380" t="s">
        <v>167</v>
      </c>
      <c r="F380" t="s">
        <v>167</v>
      </c>
      <c r="G380" t="str">
        <f>HYPERLINK("http://www.ncbi.nlm.nih.gov/Taxonomy/Browser/wwwtax.cgi?mode=Info&amp;id=64802&amp;lvl=3&amp;lin=f&amp;keep=1&amp;srchmode=1&amp;unlock","Loxia curvirostra")</f>
        <v>Loxia curvirostra</v>
      </c>
      <c r="H380" t="s">
        <v>457</v>
      </c>
      <c r="I380" t="str">
        <f>HYPERLINK("http://www.ncbi.nlm.nih.gov/protein/NWY98553.1","ANDR protein")</f>
        <v>ANDR protein</v>
      </c>
      <c r="J380" t="s">
        <v>1261</v>
      </c>
      <c r="K380">
        <v>491.89</v>
      </c>
      <c r="L380" t="s">
        <v>25</v>
      </c>
      <c r="M380">
        <v>157</v>
      </c>
      <c r="N380">
        <v>62.55</v>
      </c>
      <c r="O380">
        <v>95.66</v>
      </c>
      <c r="P380" t="s">
        <v>20</v>
      </c>
      <c r="Q380" t="s">
        <v>1262</v>
      </c>
      <c r="R380" t="s">
        <v>20</v>
      </c>
      <c r="S380" t="str">
        <f>HYPERLINK("https://cfpub.epa.gov/ecotox/explore.cfm?ncbi=64802","Explore in ECOTOX")</f>
        <v>Explore in ECOTOX</v>
      </c>
    </row>
    <row r="381" spans="1:19" x14ac:dyDescent="0.25">
      <c r="A381">
        <v>6</v>
      </c>
      <c r="B381" t="str">
        <f>HYPERLINK("http://www.ncbi.nlm.nih.gov/protein/NXS97465.1","NXS97465.1")</f>
        <v>NXS97465.1</v>
      </c>
      <c r="C381">
        <v>13322</v>
      </c>
      <c r="D381" t="str">
        <f>HYPERLINK("http://www.ncbi.nlm.nih.gov/Taxonomy/Browser/wwwtax.cgi?mode=Info&amp;id=54508&amp;lvl=3&amp;lin=f&amp;keep=1&amp;srchmode=1&amp;unlock","54508")</f>
        <v>54508</v>
      </c>
      <c r="E381" t="s">
        <v>167</v>
      </c>
      <c r="F381" t="s">
        <v>167</v>
      </c>
      <c r="G381" t="str">
        <f>HYPERLINK("http://www.ncbi.nlm.nih.gov/Taxonomy/Browser/wwwtax.cgi?mode=Info&amp;id=54508&amp;lvl=3&amp;lin=f&amp;keep=1&amp;srchmode=1&amp;unlock","Jacana jacana")</f>
        <v>Jacana jacana</v>
      </c>
      <c r="H381" t="s">
        <v>339</v>
      </c>
      <c r="I381" t="str">
        <f>HYPERLINK("http://www.ncbi.nlm.nih.gov/protein/NXS97465.1","ANDR protein")</f>
        <v>ANDR protein</v>
      </c>
      <c r="J381" t="s">
        <v>1261</v>
      </c>
      <c r="K381">
        <v>491.89</v>
      </c>
      <c r="L381" t="s">
        <v>25</v>
      </c>
      <c r="M381">
        <v>157</v>
      </c>
      <c r="N381">
        <v>62.55</v>
      </c>
      <c r="O381">
        <v>95.66</v>
      </c>
      <c r="P381" t="s">
        <v>20</v>
      </c>
      <c r="Q381" t="s">
        <v>1262</v>
      </c>
      <c r="R381" t="s">
        <v>20</v>
      </c>
      <c r="S381" t="str">
        <f>HYPERLINK("https://cfpub.epa.gov/ecotox/explore.cfm?ncbi=54508","Explore in ECOTOX")</f>
        <v>Explore in ECOTOX</v>
      </c>
    </row>
    <row r="382" spans="1:19" x14ac:dyDescent="0.25">
      <c r="A382">
        <v>6</v>
      </c>
      <c r="B382" t="str">
        <f>HYPERLINK("http://www.ncbi.nlm.nih.gov/protein/NXK64764.1","NXK64764.1")</f>
        <v>NXK64764.1</v>
      </c>
      <c r="C382">
        <v>13823</v>
      </c>
      <c r="D382" t="str">
        <f>HYPERLINK("http://www.ncbi.nlm.nih.gov/Taxonomy/Browser/wwwtax.cgi?mode=Info&amp;id=208069&amp;lvl=3&amp;lin=f&amp;keep=1&amp;srchmode=1&amp;unlock","208069")</f>
        <v>208069</v>
      </c>
      <c r="E382" t="s">
        <v>167</v>
      </c>
      <c r="F382" t="s">
        <v>167</v>
      </c>
      <c r="G382" t="str">
        <f>HYPERLINK("http://www.ncbi.nlm.nih.gov/Taxonomy/Browser/wwwtax.cgi?mode=Info&amp;id=208069&amp;lvl=3&amp;lin=f&amp;keep=1&amp;srchmode=1&amp;unlock","Sylvietta virens")</f>
        <v>Sylvietta virens</v>
      </c>
      <c r="H382" t="s">
        <v>434</v>
      </c>
      <c r="I382" t="str">
        <f>HYPERLINK("http://www.ncbi.nlm.nih.gov/protein/NXK64764.1","ANDR protein")</f>
        <v>ANDR protein</v>
      </c>
      <c r="J382" t="s">
        <v>1261</v>
      </c>
      <c r="K382">
        <v>491.89</v>
      </c>
      <c r="L382" t="s">
        <v>25</v>
      </c>
      <c r="M382">
        <v>157</v>
      </c>
      <c r="N382">
        <v>62.55</v>
      </c>
      <c r="O382">
        <v>95.66</v>
      </c>
      <c r="P382" t="s">
        <v>20</v>
      </c>
      <c r="Q382" t="s">
        <v>1262</v>
      </c>
      <c r="R382" t="s">
        <v>20</v>
      </c>
      <c r="S382" t="str">
        <f>HYPERLINK("https://cfpub.epa.gov/ecotox/explore.cfm?ncbi=208069","Explore in ECOTOX")</f>
        <v>Explore in ECOTOX</v>
      </c>
    </row>
    <row r="383" spans="1:19" x14ac:dyDescent="0.25">
      <c r="A383">
        <v>6</v>
      </c>
      <c r="B383" t="str">
        <f>HYPERLINK("http://www.ncbi.nlm.nih.gov/protein/NXF15410.1","NXF15410.1")</f>
        <v>NXF15410.1</v>
      </c>
      <c r="C383">
        <v>14142</v>
      </c>
      <c r="D383" t="str">
        <f>HYPERLINK("http://www.ncbi.nlm.nih.gov/Taxonomy/Browser/wwwtax.cgi?mode=Info&amp;id=58203&amp;lvl=3&amp;lin=f&amp;keep=1&amp;srchmode=1&amp;unlock","58203")</f>
        <v>58203</v>
      </c>
      <c r="E383" t="s">
        <v>167</v>
      </c>
      <c r="F383" t="s">
        <v>167</v>
      </c>
      <c r="G383" t="str">
        <f>HYPERLINK("http://www.ncbi.nlm.nih.gov/Taxonomy/Browser/wwwtax.cgi?mode=Info&amp;id=58203&amp;lvl=3&amp;lin=f&amp;keep=1&amp;srchmode=1&amp;unlock","Rhodinocichla rosea")</f>
        <v>Rhodinocichla rosea</v>
      </c>
      <c r="H383" t="s">
        <v>414</v>
      </c>
      <c r="I383" t="str">
        <f>HYPERLINK("http://www.ncbi.nlm.nih.gov/protein/NXF15410.1","ANDR protein")</f>
        <v>ANDR protein</v>
      </c>
      <c r="J383" t="s">
        <v>1261</v>
      </c>
      <c r="K383">
        <v>491.89</v>
      </c>
      <c r="L383" t="s">
        <v>25</v>
      </c>
      <c r="M383">
        <v>157</v>
      </c>
      <c r="N383">
        <v>62.55</v>
      </c>
      <c r="O383">
        <v>95.66</v>
      </c>
      <c r="P383" t="s">
        <v>20</v>
      </c>
      <c r="Q383" t="s">
        <v>1262</v>
      </c>
      <c r="R383" t="s">
        <v>20</v>
      </c>
      <c r="S383" t="str">
        <f>HYPERLINK("https://cfpub.epa.gov/ecotox/explore.cfm?ncbi=58203","Explore in ECOTOX")</f>
        <v>Explore in ECOTOX</v>
      </c>
    </row>
    <row r="384" spans="1:19" x14ac:dyDescent="0.25">
      <c r="A384">
        <v>6</v>
      </c>
      <c r="B384" t="str">
        <f>HYPERLINK("http://www.ncbi.nlm.nih.gov/protein/NXR27516.1","NXR27516.1")</f>
        <v>NXR27516.1</v>
      </c>
      <c r="C384">
        <v>13525</v>
      </c>
      <c r="D384" t="str">
        <f>HYPERLINK("http://www.ncbi.nlm.nih.gov/Taxonomy/Browser/wwwtax.cgi?mode=Info&amp;id=161649&amp;lvl=3&amp;lin=f&amp;keep=1&amp;srchmode=1&amp;unlock","161649")</f>
        <v>161649</v>
      </c>
      <c r="E384" t="s">
        <v>167</v>
      </c>
      <c r="F384" t="s">
        <v>167</v>
      </c>
      <c r="G384" t="str">
        <f>HYPERLINK("http://www.ncbi.nlm.nih.gov/Taxonomy/Browser/wwwtax.cgi?mode=Info&amp;id=161649&amp;lvl=3&amp;lin=f&amp;keep=1&amp;srchmode=1&amp;unlock","Cinclus mexicanus")</f>
        <v>Cinclus mexicanus</v>
      </c>
      <c r="H384" t="s">
        <v>206</v>
      </c>
      <c r="I384" t="str">
        <f>HYPERLINK("http://www.ncbi.nlm.nih.gov/protein/NXR27516.1","ANDR protein")</f>
        <v>ANDR protein</v>
      </c>
      <c r="J384" t="s">
        <v>1261</v>
      </c>
      <c r="K384">
        <v>491.89</v>
      </c>
      <c r="L384" t="s">
        <v>25</v>
      </c>
      <c r="M384">
        <v>157</v>
      </c>
      <c r="N384">
        <v>62.55</v>
      </c>
      <c r="O384">
        <v>95.66</v>
      </c>
      <c r="P384" t="s">
        <v>20</v>
      </c>
      <c r="Q384" t="s">
        <v>1262</v>
      </c>
      <c r="R384" t="s">
        <v>20</v>
      </c>
      <c r="S384" t="str">
        <f>HYPERLINK("https://cfpub.epa.gov/ecotox/explore.cfm?ncbi=161649","Explore in ECOTOX")</f>
        <v>Explore in ECOTOX</v>
      </c>
    </row>
    <row r="385" spans="1:19" x14ac:dyDescent="0.25">
      <c r="A385">
        <v>6</v>
      </c>
      <c r="B385" t="str">
        <f>HYPERLINK("http://www.ncbi.nlm.nih.gov/protein/NWZ67800.1","NWZ67800.1")</f>
        <v>NWZ67800.1</v>
      </c>
      <c r="C385">
        <v>14269</v>
      </c>
      <c r="D385" t="str">
        <f>HYPERLINK("http://www.ncbi.nlm.nih.gov/Taxonomy/Browser/wwwtax.cgi?mode=Info&amp;id=39621&amp;lvl=3&amp;lin=f&amp;keep=1&amp;srchmode=1&amp;unlock","39621")</f>
        <v>39621</v>
      </c>
      <c r="E385" t="s">
        <v>167</v>
      </c>
      <c r="F385" t="s">
        <v>167</v>
      </c>
      <c r="G385" t="str">
        <f>HYPERLINK("http://www.ncbi.nlm.nih.gov/Taxonomy/Browser/wwwtax.cgi?mode=Info&amp;id=39621&amp;lvl=3&amp;lin=f&amp;keep=1&amp;srchmode=1&amp;unlock","Acrocephalus arundinaceus")</f>
        <v>Acrocephalus arundinaceus</v>
      </c>
      <c r="H385" t="s">
        <v>439</v>
      </c>
      <c r="I385" t="str">
        <f>HYPERLINK("http://www.ncbi.nlm.nih.gov/protein/NWZ67800.1","ANDR protein")</f>
        <v>ANDR protein</v>
      </c>
      <c r="J385" t="s">
        <v>1261</v>
      </c>
      <c r="K385">
        <v>491.89</v>
      </c>
      <c r="L385" t="s">
        <v>25</v>
      </c>
      <c r="M385">
        <v>157</v>
      </c>
      <c r="N385">
        <v>62.55</v>
      </c>
      <c r="O385">
        <v>95.66</v>
      </c>
      <c r="P385" t="s">
        <v>20</v>
      </c>
      <c r="Q385" t="s">
        <v>1262</v>
      </c>
      <c r="R385" t="s">
        <v>20</v>
      </c>
      <c r="S385" t="str">
        <f>HYPERLINK("https://cfpub.epa.gov/ecotox/explore.cfm?ncbi=39621","Explore in ECOTOX")</f>
        <v>Explore in ECOTOX</v>
      </c>
    </row>
    <row r="386" spans="1:19" x14ac:dyDescent="0.25">
      <c r="A386">
        <v>6</v>
      </c>
      <c r="B386" t="str">
        <f>HYPERLINK("http://www.ncbi.nlm.nih.gov/protein/NWV14670.1","NWV14670.1")</f>
        <v>NWV14670.1</v>
      </c>
      <c r="C386">
        <v>14013</v>
      </c>
      <c r="D386" t="str">
        <f>HYPERLINK("http://www.ncbi.nlm.nih.gov/Taxonomy/Browser/wwwtax.cgi?mode=Info&amp;id=28724&amp;lvl=3&amp;lin=f&amp;keep=1&amp;srchmode=1&amp;unlock","28724")</f>
        <v>28724</v>
      </c>
      <c r="E386" t="s">
        <v>167</v>
      </c>
      <c r="F386" t="s">
        <v>167</v>
      </c>
      <c r="G386" t="str">
        <f>HYPERLINK("http://www.ncbi.nlm.nih.gov/Taxonomy/Browser/wwwtax.cgi?mode=Info&amp;id=28724&amp;lvl=3&amp;lin=f&amp;keep=1&amp;srchmode=1&amp;unlock","Ptilonorhynchus violaceus")</f>
        <v>Ptilonorhynchus violaceus</v>
      </c>
      <c r="H386" t="s">
        <v>293</v>
      </c>
      <c r="I386" t="str">
        <f>HYPERLINK("http://www.ncbi.nlm.nih.gov/protein/NWV14670.1","ANDR protein")</f>
        <v>ANDR protein</v>
      </c>
      <c r="J386" t="s">
        <v>1261</v>
      </c>
      <c r="K386">
        <v>491.89</v>
      </c>
      <c r="L386" t="s">
        <v>25</v>
      </c>
      <c r="M386">
        <v>157</v>
      </c>
      <c r="N386">
        <v>62.55</v>
      </c>
      <c r="O386">
        <v>95.66</v>
      </c>
      <c r="P386" t="s">
        <v>20</v>
      </c>
      <c r="Q386" t="s">
        <v>1262</v>
      </c>
      <c r="R386" t="s">
        <v>20</v>
      </c>
      <c r="S386" t="str">
        <f>HYPERLINK("https://cfpub.epa.gov/ecotox/explore.cfm?ncbi=28724","Explore in ECOTOX")</f>
        <v>Explore in ECOTOX</v>
      </c>
    </row>
    <row r="387" spans="1:19" x14ac:dyDescent="0.25">
      <c r="A387">
        <v>6</v>
      </c>
      <c r="B387" t="str">
        <f>HYPERLINK("http://www.ncbi.nlm.nih.gov/protein/NXU36076.1","NXU36076.1")</f>
        <v>NXU36076.1</v>
      </c>
      <c r="C387">
        <v>13604</v>
      </c>
      <c r="D387" t="str">
        <f>HYPERLINK("http://www.ncbi.nlm.nih.gov/Taxonomy/Browser/wwwtax.cgi?mode=Info&amp;id=626378&amp;lvl=3&amp;lin=f&amp;keep=1&amp;srchmode=1&amp;unlock","626378")</f>
        <v>626378</v>
      </c>
      <c r="E387" t="s">
        <v>167</v>
      </c>
      <c r="F387" t="s">
        <v>167</v>
      </c>
      <c r="G387" t="str">
        <f>HYPERLINK("http://www.ncbi.nlm.nih.gov/Taxonomy/Browser/wwwtax.cgi?mode=Info&amp;id=626378&amp;lvl=3&amp;lin=f&amp;keep=1&amp;srchmode=1&amp;unlock","Drymodes brunneopygia")</f>
        <v>Drymodes brunneopygia</v>
      </c>
      <c r="H387" t="s">
        <v>351</v>
      </c>
      <c r="I387" t="str">
        <f>HYPERLINK("http://www.ncbi.nlm.nih.gov/protein/NXU36076.1","ANDR protein")</f>
        <v>ANDR protein</v>
      </c>
      <c r="J387" t="s">
        <v>1261</v>
      </c>
      <c r="K387">
        <v>491.89</v>
      </c>
      <c r="L387" t="s">
        <v>25</v>
      </c>
      <c r="M387">
        <v>157</v>
      </c>
      <c r="N387">
        <v>62.55</v>
      </c>
      <c r="O387">
        <v>95.66</v>
      </c>
      <c r="P387" t="s">
        <v>20</v>
      </c>
      <c r="Q387" t="s">
        <v>1262</v>
      </c>
      <c r="R387" t="s">
        <v>20</v>
      </c>
      <c r="S387" t="str">
        <f>HYPERLINK("https://cfpub.epa.gov/ecotox/explore.cfm?ncbi=626378","Explore in ECOTOX")</f>
        <v>Explore in ECOTOX</v>
      </c>
    </row>
    <row r="388" spans="1:19" x14ac:dyDescent="0.25">
      <c r="A388">
        <v>6</v>
      </c>
      <c r="B388" t="str">
        <f>HYPERLINK("http://www.ncbi.nlm.nih.gov/protein/NXJ84563.1","NXJ84563.1")</f>
        <v>NXJ84563.1</v>
      </c>
      <c r="C388">
        <v>14194</v>
      </c>
      <c r="D388" t="str">
        <f>HYPERLINK("http://www.ncbi.nlm.nih.gov/Taxonomy/Browser/wwwtax.cgi?mode=Info&amp;id=56311&amp;lvl=3&amp;lin=f&amp;keep=1&amp;srchmode=1&amp;unlock","56311")</f>
        <v>56311</v>
      </c>
      <c r="E388" t="s">
        <v>167</v>
      </c>
      <c r="F388" t="s">
        <v>167</v>
      </c>
      <c r="G388" t="str">
        <f>HYPERLINK("http://www.ncbi.nlm.nih.gov/Taxonomy/Browser/wwwtax.cgi?mode=Info&amp;id=56311&amp;lvl=3&amp;lin=f&amp;keep=1&amp;srchmode=1&amp;unlock","Trogon melanurus")</f>
        <v>Trogon melanurus</v>
      </c>
      <c r="H388" t="s">
        <v>355</v>
      </c>
      <c r="I388" t="str">
        <f>HYPERLINK("http://www.ncbi.nlm.nih.gov/protein/NXJ84563.1","ANDR protein")</f>
        <v>ANDR protein</v>
      </c>
      <c r="J388" t="s">
        <v>1261</v>
      </c>
      <c r="K388">
        <v>491.89</v>
      </c>
      <c r="L388" t="s">
        <v>25</v>
      </c>
      <c r="M388">
        <v>157</v>
      </c>
      <c r="N388">
        <v>62.55</v>
      </c>
      <c r="O388">
        <v>95.66</v>
      </c>
      <c r="P388" t="s">
        <v>20</v>
      </c>
      <c r="Q388" t="s">
        <v>1262</v>
      </c>
      <c r="R388" t="s">
        <v>20</v>
      </c>
      <c r="S388" t="str">
        <f>HYPERLINK("https://cfpub.epa.gov/ecotox/explore.cfm?ncbi=56311","Explore in ECOTOX")</f>
        <v>Explore in ECOTOX</v>
      </c>
    </row>
    <row r="389" spans="1:19" x14ac:dyDescent="0.25">
      <c r="A389">
        <v>6</v>
      </c>
      <c r="B389" t="str">
        <f>HYPERLINK("http://www.ncbi.nlm.nih.gov/protein/NWY37490.1","NWY37490.1")</f>
        <v>NWY37490.1</v>
      </c>
      <c r="C389">
        <v>13444</v>
      </c>
      <c r="D389" t="str">
        <f>HYPERLINK("http://www.ncbi.nlm.nih.gov/Taxonomy/Browser/wwwtax.cgi?mode=Info&amp;id=48155&amp;lvl=3&amp;lin=f&amp;keep=1&amp;srchmode=1&amp;unlock","48155")</f>
        <v>48155</v>
      </c>
      <c r="E389" t="s">
        <v>167</v>
      </c>
      <c r="F389" t="s">
        <v>167</v>
      </c>
      <c r="G389" t="str">
        <f>HYPERLINK("http://www.ncbi.nlm.nih.gov/Taxonomy/Browser/wwwtax.cgi?mode=Info&amp;id=48155&amp;lvl=3&amp;lin=f&amp;keep=1&amp;srchmode=1&amp;unlock","Sylvia atricapilla")</f>
        <v>Sylvia atricapilla</v>
      </c>
      <c r="H389" t="s">
        <v>459</v>
      </c>
      <c r="I389" t="str">
        <f>HYPERLINK("http://www.ncbi.nlm.nih.gov/protein/NWY37490.1","ANDR protein")</f>
        <v>ANDR protein</v>
      </c>
      <c r="J389" t="s">
        <v>1261</v>
      </c>
      <c r="K389">
        <v>491.89</v>
      </c>
      <c r="L389" t="s">
        <v>25</v>
      </c>
      <c r="M389">
        <v>157</v>
      </c>
      <c r="N389">
        <v>62.55</v>
      </c>
      <c r="O389">
        <v>95.66</v>
      </c>
      <c r="P389" t="s">
        <v>20</v>
      </c>
      <c r="Q389" t="s">
        <v>1262</v>
      </c>
      <c r="R389" t="s">
        <v>20</v>
      </c>
      <c r="S389" t="str">
        <f>HYPERLINK("https://cfpub.epa.gov/ecotox/explore.cfm?ncbi=48155","Explore in ECOTOX")</f>
        <v>Explore in ECOTOX</v>
      </c>
    </row>
    <row r="390" spans="1:19" x14ac:dyDescent="0.25">
      <c r="A390">
        <v>6</v>
      </c>
      <c r="B390" t="str">
        <f>HYPERLINK("http://www.ncbi.nlm.nih.gov/protein/XP_005526207.1","XP_005526207.1")</f>
        <v>XP_005526207.1</v>
      </c>
      <c r="C390">
        <v>27658</v>
      </c>
      <c r="D390" t="str">
        <f>HYPERLINK("http://www.ncbi.nlm.nih.gov/Taxonomy/Browser/wwwtax.cgi?mode=Info&amp;id=181119&amp;lvl=3&amp;lin=f&amp;keep=1&amp;srchmode=1&amp;unlock","181119")</f>
        <v>181119</v>
      </c>
      <c r="E390" t="s">
        <v>167</v>
      </c>
      <c r="F390" t="s">
        <v>167</v>
      </c>
      <c r="G390" t="str">
        <f>HYPERLINK("http://www.ncbi.nlm.nih.gov/Taxonomy/Browser/wwwtax.cgi?mode=Info&amp;id=181119&amp;lvl=3&amp;lin=f&amp;keep=1&amp;srchmode=1&amp;unlock","Pseudopodoces humilis")</f>
        <v>Pseudopodoces humilis</v>
      </c>
      <c r="H390" t="s">
        <v>409</v>
      </c>
      <c r="I390" t="str">
        <f>HYPERLINK("http://www.ncbi.nlm.nih.gov/protein/XP_005526207.1","PREDICTED: androgen receptor")</f>
        <v>PREDICTED: androgen receptor</v>
      </c>
      <c r="J390" t="s">
        <v>1261</v>
      </c>
      <c r="K390">
        <v>491.89</v>
      </c>
      <c r="L390" t="s">
        <v>25</v>
      </c>
      <c r="M390">
        <v>157</v>
      </c>
      <c r="N390">
        <v>62.55</v>
      </c>
      <c r="O390">
        <v>95.66</v>
      </c>
      <c r="P390" t="s">
        <v>20</v>
      </c>
      <c r="Q390" t="s">
        <v>1262</v>
      </c>
      <c r="R390" t="s">
        <v>20</v>
      </c>
      <c r="S390" t="str">
        <f>HYPERLINK("https://cfpub.epa.gov/ecotox/explore.cfm?ncbi=181119","Explore in ECOTOX")</f>
        <v>Explore in ECOTOX</v>
      </c>
    </row>
    <row r="391" spans="1:19" x14ac:dyDescent="0.25">
      <c r="A391">
        <v>6</v>
      </c>
      <c r="B391" t="str">
        <f>HYPERLINK("http://www.ncbi.nlm.nih.gov/protein/XP_015482175.1","XP_015482175.1")</f>
        <v>XP_015482175.1</v>
      </c>
      <c r="C391">
        <v>39858</v>
      </c>
      <c r="D391" t="str">
        <f>HYPERLINK("http://www.ncbi.nlm.nih.gov/Taxonomy/Browser/wwwtax.cgi?mode=Info&amp;id=9157&amp;lvl=3&amp;lin=f&amp;keep=1&amp;srchmode=1&amp;unlock","9157")</f>
        <v>9157</v>
      </c>
      <c r="E391" t="s">
        <v>167</v>
      </c>
      <c r="F391" t="s">
        <v>167</v>
      </c>
      <c r="G391" t="str">
        <f>HYPERLINK("http://www.ncbi.nlm.nih.gov/Taxonomy/Browser/wwwtax.cgi?mode=Info&amp;id=9157&amp;lvl=3&amp;lin=f&amp;keep=1&amp;srchmode=1&amp;unlock","Parus major")</f>
        <v>Parus major</v>
      </c>
      <c r="H391" t="s">
        <v>448</v>
      </c>
      <c r="I391" t="str">
        <f>HYPERLINK("http://www.ncbi.nlm.nih.gov/protein/XP_015482175.1","androgen receptor")</f>
        <v>androgen receptor</v>
      </c>
      <c r="J391" t="s">
        <v>1261</v>
      </c>
      <c r="K391">
        <v>491.89</v>
      </c>
      <c r="L391" t="s">
        <v>25</v>
      </c>
      <c r="M391">
        <v>157</v>
      </c>
      <c r="N391">
        <v>62.55</v>
      </c>
      <c r="O391">
        <v>95.66</v>
      </c>
      <c r="P391" t="s">
        <v>20</v>
      </c>
      <c r="Q391" t="s">
        <v>1262</v>
      </c>
      <c r="R391" t="s">
        <v>20</v>
      </c>
      <c r="S391" t="str">
        <f>HYPERLINK("https://cfpub.epa.gov/ecotox/explore.cfm?ncbi=9157","Explore in ECOTOX")</f>
        <v>Explore in ECOTOX</v>
      </c>
    </row>
    <row r="392" spans="1:19" x14ac:dyDescent="0.25">
      <c r="A392">
        <v>6</v>
      </c>
      <c r="B392" t="str">
        <f>HYPERLINK("http://www.ncbi.nlm.nih.gov/protein/NXB24753.1","NXB24753.1")</f>
        <v>NXB24753.1</v>
      </c>
      <c r="C392">
        <v>14272</v>
      </c>
      <c r="D392" t="str">
        <f>HYPERLINK("http://www.ncbi.nlm.nih.gov/Taxonomy/Browser/wwwtax.cgi?mode=Info&amp;id=156170&amp;lvl=3&amp;lin=f&amp;keep=1&amp;srchmode=1&amp;unlock","156170")</f>
        <v>156170</v>
      </c>
      <c r="E392" t="s">
        <v>167</v>
      </c>
      <c r="F392" t="s">
        <v>167</v>
      </c>
      <c r="G392" t="str">
        <f>HYPERLINK("http://www.ncbi.nlm.nih.gov/Taxonomy/Browser/wwwtax.cgi?mode=Info&amp;id=156170&amp;lvl=3&amp;lin=f&amp;keep=1&amp;srchmode=1&amp;unlock","Rhagologus leucostigma")</f>
        <v>Rhagologus leucostigma</v>
      </c>
      <c r="H392" t="s">
        <v>502</v>
      </c>
      <c r="I392" t="str">
        <f>HYPERLINK("http://www.ncbi.nlm.nih.gov/protein/NXB24753.1","ANDR protein")</f>
        <v>ANDR protein</v>
      </c>
      <c r="J392" t="s">
        <v>1261</v>
      </c>
      <c r="K392">
        <v>491.89</v>
      </c>
      <c r="L392" t="s">
        <v>25</v>
      </c>
      <c r="M392">
        <v>157</v>
      </c>
      <c r="N392">
        <v>62.55</v>
      </c>
      <c r="O392">
        <v>95.66</v>
      </c>
      <c r="P392" t="s">
        <v>20</v>
      </c>
      <c r="Q392" t="s">
        <v>1262</v>
      </c>
      <c r="R392" t="s">
        <v>20</v>
      </c>
      <c r="S392" t="str">
        <f>HYPERLINK("https://cfpub.epa.gov/ecotox/explore.cfm?ncbi=156170","Explore in ECOTOX")</f>
        <v>Explore in ECOTOX</v>
      </c>
    </row>
    <row r="393" spans="1:19" x14ac:dyDescent="0.25">
      <c r="A393">
        <v>6</v>
      </c>
      <c r="B393" t="str">
        <f>HYPERLINK("http://www.ncbi.nlm.nih.gov/protein/XP_030084849.1","XP_030084849.1")</f>
        <v>XP_030084849.1</v>
      </c>
      <c r="C393">
        <v>30512</v>
      </c>
      <c r="D393" t="str">
        <f>HYPERLINK("http://www.ncbi.nlm.nih.gov/Taxonomy/Browser/wwwtax.cgi?mode=Info&amp;id=9135&amp;lvl=3&amp;lin=f&amp;keep=1&amp;srchmode=1&amp;unlock","9135")</f>
        <v>9135</v>
      </c>
      <c r="E393" t="s">
        <v>167</v>
      </c>
      <c r="F393" t="s">
        <v>167</v>
      </c>
      <c r="G393" t="str">
        <f>HYPERLINK("http://www.ncbi.nlm.nih.gov/Taxonomy/Browser/wwwtax.cgi?mode=Info&amp;id=9135&amp;lvl=3&amp;lin=f&amp;keep=1&amp;srchmode=1&amp;unlock","Serinus canaria")</f>
        <v>Serinus canaria</v>
      </c>
      <c r="H393" t="s">
        <v>477</v>
      </c>
      <c r="I393" t="str">
        <f>HYPERLINK("http://www.ncbi.nlm.nih.gov/protein/XP_030084849.1","androgen receptor")</f>
        <v>androgen receptor</v>
      </c>
      <c r="J393" t="s">
        <v>1261</v>
      </c>
      <c r="K393">
        <v>491.89</v>
      </c>
      <c r="L393" t="s">
        <v>25</v>
      </c>
      <c r="M393">
        <v>157</v>
      </c>
      <c r="N393">
        <v>62.55</v>
      </c>
      <c r="O393">
        <v>95.66</v>
      </c>
      <c r="P393" t="s">
        <v>20</v>
      </c>
      <c r="Q393" t="s">
        <v>1262</v>
      </c>
      <c r="R393" t="s">
        <v>20</v>
      </c>
      <c r="S393" t="str">
        <f>HYPERLINK("https://cfpub.epa.gov/ecotox/explore.cfm?ncbi=9135","Explore in ECOTOX")</f>
        <v>Explore in ECOTOX</v>
      </c>
    </row>
    <row r="394" spans="1:19" x14ac:dyDescent="0.25">
      <c r="A394">
        <v>6</v>
      </c>
      <c r="B394" t="str">
        <f>HYPERLINK("http://www.ncbi.nlm.nih.gov/protein/XP_039578559.1","XP_039578559.1")</f>
        <v>XP_039578559.1</v>
      </c>
      <c r="C394">
        <v>39374</v>
      </c>
      <c r="D394" t="str">
        <f>HYPERLINK("http://www.ncbi.nlm.nih.gov/Taxonomy/Browser/wwwtax.cgi?mode=Info&amp;id=9160&amp;lvl=3&amp;lin=f&amp;keep=1&amp;srchmode=1&amp;unlock","9160")</f>
        <v>9160</v>
      </c>
      <c r="E394" t="s">
        <v>167</v>
      </c>
      <c r="F394" t="s">
        <v>167</v>
      </c>
      <c r="G394" t="str">
        <f>HYPERLINK("http://www.ncbi.nlm.nih.gov/Taxonomy/Browser/wwwtax.cgi?mode=Info&amp;id=9160&amp;lvl=3&amp;lin=f&amp;keep=1&amp;srchmode=1&amp;unlock","Passer montanus")</f>
        <v>Passer montanus</v>
      </c>
      <c r="H394" t="s">
        <v>405</v>
      </c>
      <c r="I394" t="str">
        <f>HYPERLINK("http://www.ncbi.nlm.nih.gov/protein/XP_039578559.1","LOW QUALITY PROTEIN: androgen receptor")</f>
        <v>LOW QUALITY PROTEIN: androgen receptor</v>
      </c>
      <c r="J394" t="s">
        <v>1261</v>
      </c>
      <c r="K394">
        <v>491.89</v>
      </c>
      <c r="L394" t="s">
        <v>25</v>
      </c>
      <c r="M394">
        <v>157</v>
      </c>
      <c r="N394">
        <v>62.55</v>
      </c>
      <c r="O394">
        <v>95.66</v>
      </c>
      <c r="P394" t="s">
        <v>20</v>
      </c>
      <c r="Q394" t="s">
        <v>1262</v>
      </c>
      <c r="R394" t="s">
        <v>20</v>
      </c>
      <c r="S394" t="str">
        <f>HYPERLINK("https://cfpub.epa.gov/ecotox/explore.cfm?ncbi=9160","Explore in ECOTOX")</f>
        <v>Explore in ECOTOX</v>
      </c>
    </row>
    <row r="395" spans="1:19" x14ac:dyDescent="0.25">
      <c r="A395">
        <v>6</v>
      </c>
      <c r="B395" t="str">
        <f>HYPERLINK("http://www.ncbi.nlm.nih.gov/protein/NXA05249.1","NXA05249.1")</f>
        <v>NXA05249.1</v>
      </c>
      <c r="C395">
        <v>13903</v>
      </c>
      <c r="D395" t="str">
        <f>HYPERLINK("http://www.ncbi.nlm.nih.gov/Taxonomy/Browser/wwwtax.cgi?mode=Info&amp;id=239371&amp;lvl=3&amp;lin=f&amp;keep=1&amp;srchmode=1&amp;unlock","239371")</f>
        <v>239371</v>
      </c>
      <c r="E395" t="s">
        <v>167</v>
      </c>
      <c r="F395" t="s">
        <v>167</v>
      </c>
      <c r="G395" t="str">
        <f>HYPERLINK("http://www.ncbi.nlm.nih.gov/Taxonomy/Browser/wwwtax.cgi?mode=Info&amp;id=239371&amp;lvl=3&amp;lin=f&amp;keep=1&amp;srchmode=1&amp;unlock","Sapayoa aenigma")</f>
        <v>Sapayoa aenigma</v>
      </c>
      <c r="H395" t="s">
        <v>360</v>
      </c>
      <c r="I395" t="str">
        <f>HYPERLINK("http://www.ncbi.nlm.nih.gov/protein/NXA05249.1","ANDR protein")</f>
        <v>ANDR protein</v>
      </c>
      <c r="J395" t="s">
        <v>1261</v>
      </c>
      <c r="K395">
        <v>491.89</v>
      </c>
      <c r="L395" t="s">
        <v>25</v>
      </c>
      <c r="M395">
        <v>157</v>
      </c>
      <c r="N395">
        <v>62.55</v>
      </c>
      <c r="O395">
        <v>95.66</v>
      </c>
      <c r="P395" t="s">
        <v>20</v>
      </c>
      <c r="Q395" t="s">
        <v>1262</v>
      </c>
      <c r="R395" t="s">
        <v>20</v>
      </c>
      <c r="S395" t="str">
        <f>HYPERLINK("https://cfpub.epa.gov/ecotox/explore.cfm?ncbi=239371","Explore in ECOTOX")</f>
        <v>Explore in ECOTOX</v>
      </c>
    </row>
    <row r="396" spans="1:19" x14ac:dyDescent="0.25">
      <c r="A396">
        <v>6</v>
      </c>
      <c r="B396" t="str">
        <f>HYPERLINK("http://www.ncbi.nlm.nih.gov/protein/NXQ07008.1","NXQ07008.1")</f>
        <v>NXQ07008.1</v>
      </c>
      <c r="C396">
        <v>13115</v>
      </c>
      <c r="D396" t="str">
        <f>HYPERLINK("http://www.ncbi.nlm.nih.gov/Taxonomy/Browser/wwwtax.cgi?mode=Info&amp;id=187451&amp;lvl=3&amp;lin=f&amp;keep=1&amp;srchmode=1&amp;unlock","187451")</f>
        <v>187451</v>
      </c>
      <c r="E396" t="s">
        <v>167</v>
      </c>
      <c r="F396" t="s">
        <v>167</v>
      </c>
      <c r="G396" t="str">
        <f>HYPERLINK("http://www.ncbi.nlm.nih.gov/Taxonomy/Browser/wwwtax.cgi?mode=Info&amp;id=187451&amp;lvl=3&amp;lin=f&amp;keep=1&amp;srchmode=1&amp;unlock","Vidua macroura")</f>
        <v>Vidua macroura</v>
      </c>
      <c r="H396" t="s">
        <v>206</v>
      </c>
      <c r="I396" t="str">
        <f>HYPERLINK("http://www.ncbi.nlm.nih.gov/protein/NXQ07008.1","ANDR protein")</f>
        <v>ANDR protein</v>
      </c>
      <c r="J396" t="s">
        <v>1261</v>
      </c>
      <c r="K396">
        <v>491.89</v>
      </c>
      <c r="L396" t="s">
        <v>25</v>
      </c>
      <c r="M396">
        <v>157</v>
      </c>
      <c r="N396">
        <v>62.55</v>
      </c>
      <c r="O396">
        <v>95.66</v>
      </c>
      <c r="P396" t="s">
        <v>20</v>
      </c>
      <c r="Q396" t="s">
        <v>1262</v>
      </c>
      <c r="R396" t="s">
        <v>20</v>
      </c>
      <c r="S396" t="str">
        <f>HYPERLINK("https://cfpub.epa.gov/ecotox/explore.cfm?ncbi=187451","Explore in ECOTOX")</f>
        <v>Explore in ECOTOX</v>
      </c>
    </row>
    <row r="397" spans="1:19" x14ac:dyDescent="0.25">
      <c r="A397">
        <v>6</v>
      </c>
      <c r="B397" t="str">
        <f>HYPERLINK("http://www.ncbi.nlm.nih.gov/protein/NXQ65688.1","NXQ65688.1")</f>
        <v>NXQ65688.1</v>
      </c>
      <c r="C397">
        <v>13681</v>
      </c>
      <c r="D397" t="str">
        <f>HYPERLINK("http://www.ncbi.nlm.nih.gov/Taxonomy/Browser/wwwtax.cgi?mode=Info&amp;id=64278&amp;lvl=3&amp;lin=f&amp;keep=1&amp;srchmode=1&amp;unlock","64278")</f>
        <v>64278</v>
      </c>
      <c r="E397" t="s">
        <v>167</v>
      </c>
      <c r="F397" t="s">
        <v>167</v>
      </c>
      <c r="G397" t="str">
        <f>HYPERLINK("http://www.ncbi.nlm.nih.gov/Taxonomy/Browser/wwwtax.cgi?mode=Info&amp;id=64278&amp;lvl=3&amp;lin=f&amp;keep=1&amp;srchmode=1&amp;unlock","Quiscalus mexicanus")</f>
        <v>Quiscalus mexicanus</v>
      </c>
      <c r="H397" t="s">
        <v>428</v>
      </c>
      <c r="I397" t="str">
        <f>HYPERLINK("http://www.ncbi.nlm.nih.gov/protein/NXQ65688.1","ANDR protein")</f>
        <v>ANDR protein</v>
      </c>
      <c r="J397" t="s">
        <v>1261</v>
      </c>
      <c r="K397">
        <v>491.89</v>
      </c>
      <c r="L397" t="s">
        <v>25</v>
      </c>
      <c r="M397">
        <v>157</v>
      </c>
      <c r="N397">
        <v>62.55</v>
      </c>
      <c r="O397">
        <v>95.66</v>
      </c>
      <c r="P397" t="s">
        <v>20</v>
      </c>
      <c r="Q397" t="s">
        <v>1262</v>
      </c>
      <c r="R397" t="s">
        <v>20</v>
      </c>
      <c r="S397" t="str">
        <f>HYPERLINK("https://cfpub.epa.gov/ecotox/explore.cfm?ncbi=64278","Explore in ECOTOX")</f>
        <v>Explore in ECOTOX</v>
      </c>
    </row>
    <row r="398" spans="1:19" x14ac:dyDescent="0.25">
      <c r="A398">
        <v>6</v>
      </c>
      <c r="B398" t="str">
        <f>HYPERLINK("http://www.ncbi.nlm.nih.gov/protein/NWR19752.1","NWR19752.1")</f>
        <v>NWR19752.1</v>
      </c>
      <c r="C398">
        <v>13259</v>
      </c>
      <c r="D398" t="str">
        <f>HYPERLINK("http://www.ncbi.nlm.nih.gov/Taxonomy/Browser/wwwtax.cgi?mode=Info&amp;id=337179&amp;lvl=3&amp;lin=f&amp;keep=1&amp;srchmode=1&amp;unlock","337179")</f>
        <v>337179</v>
      </c>
      <c r="E398" t="s">
        <v>167</v>
      </c>
      <c r="F398" t="s">
        <v>167</v>
      </c>
      <c r="G398" t="str">
        <f>HYPERLINK("http://www.ncbi.nlm.nih.gov/Taxonomy/Browser/wwwtax.cgi?mode=Info&amp;id=337179&amp;lvl=3&amp;lin=f&amp;keep=1&amp;srchmode=1&amp;unlock","Emberiza fucata")</f>
        <v>Emberiza fucata</v>
      </c>
      <c r="H398" t="s">
        <v>429</v>
      </c>
      <c r="I398" t="str">
        <f>HYPERLINK("http://www.ncbi.nlm.nih.gov/protein/NWR19752.1","ANDR protein")</f>
        <v>ANDR protein</v>
      </c>
      <c r="J398" t="s">
        <v>1261</v>
      </c>
      <c r="K398">
        <v>491.89</v>
      </c>
      <c r="L398" t="s">
        <v>25</v>
      </c>
      <c r="M398">
        <v>157</v>
      </c>
      <c r="N398">
        <v>62.55</v>
      </c>
      <c r="O398">
        <v>95.66</v>
      </c>
      <c r="P398" t="s">
        <v>20</v>
      </c>
      <c r="Q398" t="s">
        <v>1262</v>
      </c>
      <c r="R398" t="s">
        <v>20</v>
      </c>
      <c r="S398" t="str">
        <f>HYPERLINK("https://cfpub.epa.gov/ecotox/explore.cfm?ncbi=337179","Explore in ECOTOX")</f>
        <v>Explore in ECOTOX</v>
      </c>
    </row>
    <row r="399" spans="1:19" x14ac:dyDescent="0.25">
      <c r="A399">
        <v>6</v>
      </c>
      <c r="B399" t="str">
        <f>HYPERLINK("http://www.ncbi.nlm.nih.gov/protein/NXL35044.1","NXL35044.1")</f>
        <v>NXL35044.1</v>
      </c>
      <c r="C399">
        <v>14261</v>
      </c>
      <c r="D399" t="str">
        <f>HYPERLINK("http://www.ncbi.nlm.nih.gov/Taxonomy/Browser/wwwtax.cgi?mode=Info&amp;id=78217&amp;lvl=3&amp;lin=f&amp;keep=1&amp;srchmode=1&amp;unlock","78217")</f>
        <v>78217</v>
      </c>
      <c r="E399" t="s">
        <v>167</v>
      </c>
      <c r="F399" t="s">
        <v>167</v>
      </c>
      <c r="G399" t="str">
        <f>HYPERLINK("http://www.ncbi.nlm.nih.gov/Taxonomy/Browser/wwwtax.cgi?mode=Info&amp;id=78217&amp;lvl=3&amp;lin=f&amp;keep=1&amp;srchmode=1&amp;unlock","Glaucidium brasilianum")</f>
        <v>Glaucidium brasilianum</v>
      </c>
      <c r="H399" t="s">
        <v>253</v>
      </c>
      <c r="I399" t="str">
        <f>HYPERLINK("http://www.ncbi.nlm.nih.gov/protein/NXL35044.1","ANDR protein")</f>
        <v>ANDR protein</v>
      </c>
      <c r="J399" t="s">
        <v>1261</v>
      </c>
      <c r="K399">
        <v>491.89</v>
      </c>
      <c r="L399" t="s">
        <v>25</v>
      </c>
      <c r="M399">
        <v>157</v>
      </c>
      <c r="N399">
        <v>62.55</v>
      </c>
      <c r="O399">
        <v>95.66</v>
      </c>
      <c r="P399" t="s">
        <v>20</v>
      </c>
      <c r="Q399" t="s">
        <v>1262</v>
      </c>
      <c r="R399" t="s">
        <v>20</v>
      </c>
      <c r="S399" t="str">
        <f>HYPERLINK("https://cfpub.epa.gov/ecotox/explore.cfm?ncbi=78217","Explore in ECOTOX")</f>
        <v>Explore in ECOTOX</v>
      </c>
    </row>
    <row r="400" spans="1:19" x14ac:dyDescent="0.25">
      <c r="A400">
        <v>6</v>
      </c>
      <c r="B400" t="str">
        <f>HYPERLINK("http://www.ncbi.nlm.nih.gov/protein/NXH04935.1","NXH04935.1")</f>
        <v>NXH04935.1</v>
      </c>
      <c r="C400">
        <v>14012</v>
      </c>
      <c r="D400" t="str">
        <f>HYPERLINK("http://www.ncbi.nlm.nih.gov/Taxonomy/Browser/wwwtax.cgi?mode=Info&amp;id=96539&amp;lvl=3&amp;lin=f&amp;keep=1&amp;srchmode=1&amp;unlock","96539")</f>
        <v>96539</v>
      </c>
      <c r="E400" t="s">
        <v>167</v>
      </c>
      <c r="F400" t="s">
        <v>167</v>
      </c>
      <c r="G400" t="str">
        <f>HYPERLINK("http://www.ncbi.nlm.nih.gov/Taxonomy/Browser/wwwtax.cgi?mode=Info&amp;id=96539&amp;lvl=3&amp;lin=f&amp;keep=1&amp;srchmode=1&amp;unlock","Loxia leucoptera")</f>
        <v>Loxia leucoptera</v>
      </c>
      <c r="H400" t="s">
        <v>456</v>
      </c>
      <c r="I400" t="str">
        <f>HYPERLINK("http://www.ncbi.nlm.nih.gov/protein/NXH04935.1","ANDR protein")</f>
        <v>ANDR protein</v>
      </c>
      <c r="J400" t="s">
        <v>1261</v>
      </c>
      <c r="K400">
        <v>491.89</v>
      </c>
      <c r="L400" t="s">
        <v>25</v>
      </c>
      <c r="M400">
        <v>157</v>
      </c>
      <c r="N400">
        <v>62.55</v>
      </c>
      <c r="O400">
        <v>95.66</v>
      </c>
      <c r="P400" t="s">
        <v>20</v>
      </c>
      <c r="Q400" t="s">
        <v>1262</v>
      </c>
      <c r="R400" t="s">
        <v>20</v>
      </c>
      <c r="S400" t="str">
        <f>HYPERLINK("https://cfpub.epa.gov/ecotox/explore.cfm?ncbi=96539","Explore in ECOTOX")</f>
        <v>Explore in ECOTOX</v>
      </c>
    </row>
    <row r="401" spans="1:19" x14ac:dyDescent="0.25">
      <c r="A401">
        <v>6</v>
      </c>
      <c r="B401" t="str">
        <f>HYPERLINK("http://www.ncbi.nlm.nih.gov/protein/NWT34258.1","NWT34258.1")</f>
        <v>NWT34258.1</v>
      </c>
      <c r="C401">
        <v>14099</v>
      </c>
      <c r="D401" t="str">
        <f>HYPERLINK("http://www.ncbi.nlm.nih.gov/Taxonomy/Browser/wwwtax.cgi?mode=Info&amp;id=98964&amp;lvl=3&amp;lin=f&amp;keep=1&amp;srchmode=1&amp;unlock","98964")</f>
        <v>98964</v>
      </c>
      <c r="E401" t="s">
        <v>167</v>
      </c>
      <c r="F401" t="s">
        <v>167</v>
      </c>
      <c r="G401" t="str">
        <f>HYPERLINK("http://www.ncbi.nlm.nih.gov/Taxonomy/Browser/wwwtax.cgi?mode=Info&amp;id=98964&amp;lvl=3&amp;lin=f&amp;keep=1&amp;srchmode=1&amp;unlock","Cardinalis cardinalis")</f>
        <v>Cardinalis cardinalis</v>
      </c>
      <c r="H401" t="s">
        <v>425</v>
      </c>
      <c r="I401" t="str">
        <f>HYPERLINK("http://www.ncbi.nlm.nih.gov/protein/NWT34258.1","ANDR protein")</f>
        <v>ANDR protein</v>
      </c>
      <c r="J401" t="s">
        <v>1261</v>
      </c>
      <c r="K401">
        <v>491.89</v>
      </c>
      <c r="L401" t="s">
        <v>25</v>
      </c>
      <c r="M401">
        <v>157</v>
      </c>
      <c r="N401">
        <v>62.55</v>
      </c>
      <c r="O401">
        <v>95.66</v>
      </c>
      <c r="P401" t="s">
        <v>20</v>
      </c>
      <c r="Q401" t="s">
        <v>1262</v>
      </c>
      <c r="R401" t="s">
        <v>20</v>
      </c>
      <c r="S401" t="str">
        <f>HYPERLINK("https://cfpub.epa.gov/ecotox/explore.cfm?ncbi=98964","Explore in ECOTOX")</f>
        <v>Explore in ECOTOX</v>
      </c>
    </row>
    <row r="402" spans="1:19" x14ac:dyDescent="0.25">
      <c r="A402">
        <v>6</v>
      </c>
      <c r="B402" t="str">
        <f>HYPERLINK("http://www.ncbi.nlm.nih.gov/protein/NWS32365.1","NWS32365.1")</f>
        <v>NWS32365.1</v>
      </c>
      <c r="C402">
        <v>13635</v>
      </c>
      <c r="D402" t="str">
        <f>HYPERLINK("http://www.ncbi.nlm.nih.gov/Taxonomy/Browser/wwwtax.cgi?mode=Info&amp;id=66707&amp;lvl=3&amp;lin=f&amp;keep=1&amp;srchmode=1&amp;unlock","66707")</f>
        <v>66707</v>
      </c>
      <c r="E402" t="s">
        <v>167</v>
      </c>
      <c r="F402" t="s">
        <v>167</v>
      </c>
      <c r="G402" t="str">
        <f>HYPERLINK("http://www.ncbi.nlm.nih.gov/Taxonomy/Browser/wwwtax.cgi?mode=Info&amp;id=66707&amp;lvl=3&amp;lin=f&amp;keep=1&amp;srchmode=1&amp;unlock","Polioptila caerulea")</f>
        <v>Polioptila caerulea</v>
      </c>
      <c r="H402" t="s">
        <v>206</v>
      </c>
      <c r="I402" t="str">
        <f>HYPERLINK("http://www.ncbi.nlm.nih.gov/protein/NWS32365.1","ANDR protein")</f>
        <v>ANDR protein</v>
      </c>
      <c r="J402" t="s">
        <v>1261</v>
      </c>
      <c r="K402">
        <v>491.89</v>
      </c>
      <c r="L402" t="s">
        <v>25</v>
      </c>
      <c r="M402">
        <v>157</v>
      </c>
      <c r="N402">
        <v>62.55</v>
      </c>
      <c r="O402">
        <v>95.66</v>
      </c>
      <c r="P402" t="s">
        <v>20</v>
      </c>
      <c r="Q402" t="s">
        <v>1262</v>
      </c>
      <c r="R402" t="s">
        <v>20</v>
      </c>
      <c r="S402" t="str">
        <f>HYPERLINK("https://cfpub.epa.gov/ecotox/explore.cfm?ncbi=66707","Explore in ECOTOX")</f>
        <v>Explore in ECOTOX</v>
      </c>
    </row>
    <row r="403" spans="1:19" x14ac:dyDescent="0.25">
      <c r="A403">
        <v>6</v>
      </c>
      <c r="B403" t="str">
        <f>HYPERLINK("http://www.ncbi.nlm.nih.gov/protein/NWT86496.1","NWT86496.1")</f>
        <v>NWT86496.1</v>
      </c>
      <c r="C403">
        <v>13729</v>
      </c>
      <c r="D403" t="str">
        <f>HYPERLINK("http://www.ncbi.nlm.nih.gov/Taxonomy/Browser/wwwtax.cgi?mode=Info&amp;id=28713&amp;lvl=3&amp;lin=f&amp;keep=1&amp;srchmode=1&amp;unlock","28713")</f>
        <v>28713</v>
      </c>
      <c r="E403" t="s">
        <v>167</v>
      </c>
      <c r="F403" t="s">
        <v>167</v>
      </c>
      <c r="G403" t="str">
        <f>HYPERLINK("http://www.ncbi.nlm.nih.gov/Taxonomy/Browser/wwwtax.cgi?mode=Info&amp;id=28713&amp;lvl=3&amp;lin=f&amp;keep=1&amp;srchmode=1&amp;unlock","Lanius ludovicianus")</f>
        <v>Lanius ludovicianus</v>
      </c>
      <c r="H403" t="s">
        <v>327</v>
      </c>
      <c r="I403" t="str">
        <f>HYPERLINK("http://www.ncbi.nlm.nih.gov/protein/NWT86496.1","ANDR protein")</f>
        <v>ANDR protein</v>
      </c>
      <c r="J403" t="s">
        <v>1261</v>
      </c>
      <c r="K403">
        <v>491.89</v>
      </c>
      <c r="L403" t="s">
        <v>25</v>
      </c>
      <c r="M403">
        <v>157</v>
      </c>
      <c r="N403">
        <v>62.55</v>
      </c>
      <c r="O403">
        <v>95.66</v>
      </c>
      <c r="P403" t="s">
        <v>20</v>
      </c>
      <c r="Q403" t="s">
        <v>1262</v>
      </c>
      <c r="R403" t="s">
        <v>20</v>
      </c>
      <c r="S403" t="str">
        <f>HYPERLINK("https://cfpub.epa.gov/ecotox/explore.cfm?ncbi=28713","Explore in ECOTOX")</f>
        <v>Explore in ECOTOX</v>
      </c>
    </row>
    <row r="404" spans="1:19" x14ac:dyDescent="0.25">
      <c r="A404">
        <v>6</v>
      </c>
      <c r="B404" t="str">
        <f>HYPERLINK("http://www.ncbi.nlm.nih.gov/protein/NXH89347.1","NXH89347.1")</f>
        <v>NXH89347.1</v>
      </c>
      <c r="C404">
        <v>13686</v>
      </c>
      <c r="D404" t="str">
        <f>HYPERLINK("http://www.ncbi.nlm.nih.gov/Taxonomy/Browser/wwwtax.cgi?mode=Info&amp;id=2585810&amp;lvl=3&amp;lin=f&amp;keep=1&amp;srchmode=1&amp;unlock","2585810")</f>
        <v>2585810</v>
      </c>
      <c r="E404" t="s">
        <v>167</v>
      </c>
      <c r="F404" t="s">
        <v>167</v>
      </c>
      <c r="G404" t="str">
        <f>HYPERLINK("http://www.ncbi.nlm.nih.gov/Taxonomy/Browser/wwwtax.cgi?mode=Info&amp;id=2585810&amp;lvl=3&amp;lin=f&amp;keep=1&amp;srchmode=1&amp;unlock","Edolisoma coerulescens")</f>
        <v>Edolisoma coerulescens</v>
      </c>
      <c r="H404" t="s">
        <v>987</v>
      </c>
      <c r="I404" t="str">
        <f>HYPERLINK("http://www.ncbi.nlm.nih.gov/protein/NXH89347.1","ANDR protein")</f>
        <v>ANDR protein</v>
      </c>
      <c r="J404" t="s">
        <v>1261</v>
      </c>
      <c r="K404">
        <v>491.89</v>
      </c>
      <c r="L404" t="s">
        <v>25</v>
      </c>
      <c r="M404">
        <v>157</v>
      </c>
      <c r="N404">
        <v>62.55</v>
      </c>
      <c r="O404">
        <v>95.66</v>
      </c>
      <c r="P404" t="s">
        <v>20</v>
      </c>
      <c r="Q404" t="s">
        <v>1262</v>
      </c>
      <c r="R404" t="s">
        <v>20</v>
      </c>
      <c r="S404" t="str">
        <f>HYPERLINK("https://cfpub.epa.gov/ecotox/explore.cfm?ncbi=2585810","Explore in ECOTOX")</f>
        <v>Explore in ECOTOX</v>
      </c>
    </row>
    <row r="405" spans="1:19" x14ac:dyDescent="0.25">
      <c r="A405">
        <v>6</v>
      </c>
      <c r="B405" t="str">
        <f>HYPERLINK("http://www.ncbi.nlm.nih.gov/protein/NWI75478.1","NWI75478.1")</f>
        <v>NWI75478.1</v>
      </c>
      <c r="C405">
        <v>12349</v>
      </c>
      <c r="D405" t="str">
        <f>HYPERLINK("http://www.ncbi.nlm.nih.gov/Taxonomy/Browser/wwwtax.cgi?mode=Info&amp;id=85069&amp;lvl=3&amp;lin=f&amp;keep=1&amp;srchmode=1&amp;unlock","85069")</f>
        <v>85069</v>
      </c>
      <c r="E405" t="s">
        <v>167</v>
      </c>
      <c r="F405" t="s">
        <v>167</v>
      </c>
      <c r="G405" t="str">
        <f>HYPERLINK("http://www.ncbi.nlm.nih.gov/Taxonomy/Browser/wwwtax.cgi?mode=Info&amp;id=85069&amp;lvl=3&amp;lin=f&amp;keep=1&amp;srchmode=1&amp;unlock","Dryoscopus gambensis")</f>
        <v>Dryoscopus gambensis</v>
      </c>
      <c r="H405" t="s">
        <v>206</v>
      </c>
      <c r="I405" t="str">
        <f>HYPERLINK("http://www.ncbi.nlm.nih.gov/protein/NWI75478.1","ANDR protein")</f>
        <v>ANDR protein</v>
      </c>
      <c r="J405" t="s">
        <v>1261</v>
      </c>
      <c r="K405">
        <v>491.89</v>
      </c>
      <c r="L405" t="s">
        <v>25</v>
      </c>
      <c r="M405">
        <v>157</v>
      </c>
      <c r="N405">
        <v>62.55</v>
      </c>
      <c r="O405">
        <v>95.66</v>
      </c>
      <c r="P405" t="s">
        <v>20</v>
      </c>
      <c r="Q405" t="s">
        <v>1262</v>
      </c>
      <c r="R405" t="s">
        <v>20</v>
      </c>
      <c r="S405" t="str">
        <f>HYPERLINK("https://cfpub.epa.gov/ecotox/explore.cfm?ncbi=85069","Explore in ECOTOX")</f>
        <v>Explore in ECOTOX</v>
      </c>
    </row>
    <row r="406" spans="1:19" x14ac:dyDescent="0.25">
      <c r="A406">
        <v>6</v>
      </c>
      <c r="B406" t="str">
        <f>HYPERLINK("http://www.ncbi.nlm.nih.gov/protein/NWV41644.1","NWV41644.1")</f>
        <v>NWV41644.1</v>
      </c>
      <c r="C406">
        <v>14091</v>
      </c>
      <c r="D406" t="str">
        <f>HYPERLINK("http://www.ncbi.nlm.nih.gov/Taxonomy/Browser/wwwtax.cgi?mode=Info&amp;id=266360&amp;lvl=3&amp;lin=f&amp;keep=1&amp;srchmode=1&amp;unlock","266360")</f>
        <v>266360</v>
      </c>
      <c r="E406" t="s">
        <v>167</v>
      </c>
      <c r="F406" t="s">
        <v>167</v>
      </c>
      <c r="G406" t="str">
        <f>HYPERLINK("http://www.ncbi.nlm.nih.gov/Taxonomy/Browser/wwwtax.cgi?mode=Info&amp;id=266360&amp;lvl=3&amp;lin=f&amp;keep=1&amp;srchmode=1&amp;unlock","Grantiella picta")</f>
        <v>Grantiella picta</v>
      </c>
      <c r="H406" t="s">
        <v>369</v>
      </c>
      <c r="I406" t="str">
        <f>HYPERLINK("http://www.ncbi.nlm.nih.gov/protein/NWV41644.1","ANDR protein")</f>
        <v>ANDR protein</v>
      </c>
      <c r="J406" t="s">
        <v>1261</v>
      </c>
      <c r="K406">
        <v>491.89</v>
      </c>
      <c r="L406" t="s">
        <v>25</v>
      </c>
      <c r="M406">
        <v>157</v>
      </c>
      <c r="N406">
        <v>62.55</v>
      </c>
      <c r="O406">
        <v>95.66</v>
      </c>
      <c r="P406" t="s">
        <v>20</v>
      </c>
      <c r="Q406" t="s">
        <v>1262</v>
      </c>
      <c r="R406" t="s">
        <v>20</v>
      </c>
      <c r="S406" t="str">
        <f>HYPERLINK("https://cfpub.epa.gov/ecotox/explore.cfm?ncbi=266360","Explore in ECOTOX")</f>
        <v>Explore in ECOTOX</v>
      </c>
    </row>
    <row r="407" spans="1:19" x14ac:dyDescent="0.25">
      <c r="A407">
        <v>6</v>
      </c>
      <c r="B407" t="str">
        <f>HYPERLINK("http://www.ncbi.nlm.nih.gov/protein/NXM14711.1","NXM14711.1")</f>
        <v>NXM14711.1</v>
      </c>
      <c r="C407">
        <v>13548</v>
      </c>
      <c r="D407" t="str">
        <f>HYPERLINK("http://www.ncbi.nlm.nih.gov/Taxonomy/Browser/wwwtax.cgi?mode=Info&amp;id=441696&amp;lvl=3&amp;lin=f&amp;keep=1&amp;srchmode=1&amp;unlock","441696")</f>
        <v>441696</v>
      </c>
      <c r="E407" t="s">
        <v>167</v>
      </c>
      <c r="F407" t="s">
        <v>167</v>
      </c>
      <c r="G407" t="str">
        <f>HYPERLINK("http://www.ncbi.nlm.nih.gov/Taxonomy/Browser/wwwtax.cgi?mode=Info&amp;id=441696&amp;lvl=3&amp;lin=f&amp;keep=1&amp;srchmode=1&amp;unlock","Ploceus nigricollis")</f>
        <v>Ploceus nigricollis</v>
      </c>
      <c r="H407" t="s">
        <v>206</v>
      </c>
      <c r="I407" t="str">
        <f>HYPERLINK("http://www.ncbi.nlm.nih.gov/protein/NXM14711.1","ANDR protein")</f>
        <v>ANDR protein</v>
      </c>
      <c r="J407" t="s">
        <v>1261</v>
      </c>
      <c r="K407">
        <v>491.89</v>
      </c>
      <c r="L407" t="s">
        <v>25</v>
      </c>
      <c r="M407">
        <v>157</v>
      </c>
      <c r="N407">
        <v>62.55</v>
      </c>
      <c r="O407">
        <v>95.66</v>
      </c>
      <c r="P407" t="s">
        <v>20</v>
      </c>
      <c r="Q407" t="s">
        <v>1262</v>
      </c>
      <c r="R407" t="s">
        <v>20</v>
      </c>
      <c r="S407" t="str">
        <f>HYPERLINK("https://cfpub.epa.gov/ecotox/explore.cfm?ncbi=441696","Explore in ECOTOX")</f>
        <v>Explore in ECOTOX</v>
      </c>
    </row>
    <row r="408" spans="1:19" x14ac:dyDescent="0.25">
      <c r="A408">
        <v>6</v>
      </c>
      <c r="B408" t="str">
        <f>HYPERLINK("http://www.ncbi.nlm.nih.gov/protein/NXQ40065.1","NXQ40065.1")</f>
        <v>NXQ40065.1</v>
      </c>
      <c r="C408">
        <v>13978</v>
      </c>
      <c r="D408" t="str">
        <f>HYPERLINK("http://www.ncbi.nlm.nih.gov/Taxonomy/Browser/wwwtax.cgi?mode=Info&amp;id=159581&amp;lvl=3&amp;lin=f&amp;keep=1&amp;srchmode=1&amp;unlock","159581")</f>
        <v>159581</v>
      </c>
      <c r="E408" t="s">
        <v>167</v>
      </c>
      <c r="F408" t="s">
        <v>167</v>
      </c>
      <c r="G408" t="str">
        <f>HYPERLINK("http://www.ncbi.nlm.nih.gov/Taxonomy/Browser/wwwtax.cgi?mode=Info&amp;id=159581&amp;lvl=3&amp;lin=f&amp;keep=1&amp;srchmode=1&amp;unlock","Catharus fuscescens")</f>
        <v>Catharus fuscescens</v>
      </c>
      <c r="H408" t="s">
        <v>661</v>
      </c>
      <c r="I408" t="str">
        <f>HYPERLINK("http://www.ncbi.nlm.nih.gov/protein/NXQ40065.1","ANDR protein")</f>
        <v>ANDR protein</v>
      </c>
      <c r="J408" t="s">
        <v>1261</v>
      </c>
      <c r="K408">
        <v>491.89</v>
      </c>
      <c r="L408" t="s">
        <v>25</v>
      </c>
      <c r="M408">
        <v>157</v>
      </c>
      <c r="N408">
        <v>62.55</v>
      </c>
      <c r="O408">
        <v>95.66</v>
      </c>
      <c r="P408" t="s">
        <v>20</v>
      </c>
      <c r="Q408" t="s">
        <v>1262</v>
      </c>
      <c r="R408" t="s">
        <v>20</v>
      </c>
      <c r="S408" t="str">
        <f>HYPERLINK("https://cfpub.epa.gov/ecotox/explore.cfm?ncbi=159581","Explore in ECOTOX")</f>
        <v>Explore in ECOTOX</v>
      </c>
    </row>
    <row r="409" spans="1:19" x14ac:dyDescent="0.25">
      <c r="A409">
        <v>6</v>
      </c>
      <c r="B409" t="str">
        <f>HYPERLINK("http://www.ncbi.nlm.nih.gov/protein/NXP57137.1","NXP57137.1")</f>
        <v>NXP57137.1</v>
      </c>
      <c r="C409">
        <v>12587</v>
      </c>
      <c r="D409" t="str">
        <f>HYPERLINK("http://www.ncbi.nlm.nih.gov/Taxonomy/Browser/wwwtax.cgi?mode=Info&amp;id=1218682&amp;lvl=3&amp;lin=f&amp;keep=1&amp;srchmode=1&amp;unlock","1218682")</f>
        <v>1218682</v>
      </c>
      <c r="E409" t="s">
        <v>167</v>
      </c>
      <c r="F409" t="s">
        <v>167</v>
      </c>
      <c r="G409" t="str">
        <f>HYPERLINK("http://www.ncbi.nlm.nih.gov/Taxonomy/Browser/wwwtax.cgi?mode=Info&amp;id=1218682&amp;lvl=3&amp;lin=f&amp;keep=1&amp;srchmode=1&amp;unlock","Chloropsis cyanopogon")</f>
        <v>Chloropsis cyanopogon</v>
      </c>
      <c r="H409" t="s">
        <v>206</v>
      </c>
      <c r="I409" t="str">
        <f>HYPERLINK("http://www.ncbi.nlm.nih.gov/protein/NXP57137.1","ANDR protein")</f>
        <v>ANDR protein</v>
      </c>
      <c r="J409" t="s">
        <v>1261</v>
      </c>
      <c r="K409">
        <v>491.89</v>
      </c>
      <c r="L409" t="s">
        <v>25</v>
      </c>
      <c r="M409">
        <v>157</v>
      </c>
      <c r="N409">
        <v>62.55</v>
      </c>
      <c r="O409">
        <v>95.66</v>
      </c>
      <c r="P409" t="s">
        <v>20</v>
      </c>
      <c r="Q409" t="s">
        <v>1262</v>
      </c>
      <c r="R409" t="s">
        <v>20</v>
      </c>
      <c r="S409" t="str">
        <f>HYPERLINK("https://cfpub.epa.gov/ecotox/explore.cfm?ncbi=1218682","Explore in ECOTOX")</f>
        <v>Explore in ECOTOX</v>
      </c>
    </row>
    <row r="410" spans="1:19" x14ac:dyDescent="0.25">
      <c r="A410">
        <v>6</v>
      </c>
      <c r="B410" t="str">
        <f>HYPERLINK("http://www.ncbi.nlm.nih.gov/protein/KAF2985417.1","KAF2985417.1")</f>
        <v>KAF2985417.1</v>
      </c>
      <c r="C410">
        <v>15084</v>
      </c>
      <c r="D410" t="str">
        <f>HYPERLINK("http://www.ncbi.nlm.nih.gov/Taxonomy/Browser/wwwtax.cgi?mode=Info&amp;id=2498840&amp;lvl=3&amp;lin=f&amp;keep=1&amp;srchmode=1&amp;unlock","2498840")</f>
        <v>2498840</v>
      </c>
      <c r="E410" t="s">
        <v>167</v>
      </c>
      <c r="F410" t="s">
        <v>167</v>
      </c>
      <c r="G410" t="str">
        <f>HYPERLINK("http://www.ncbi.nlm.nih.gov/Taxonomy/Browser/wwwtax.cgi?mode=Info&amp;id=2498840&amp;lvl=3&amp;lin=f&amp;keep=1&amp;srchmode=1&amp;unlock","Melospiza melodia maxima")</f>
        <v>Melospiza melodia maxima</v>
      </c>
      <c r="H410" t="s">
        <v>380</v>
      </c>
      <c r="I410" t="str">
        <f>HYPERLINK("http://www.ncbi.nlm.nih.gov/protein/KAF2985417.1","hypothetical protein EK904_002061, partial")</f>
        <v>hypothetical protein EK904_002061, partial</v>
      </c>
      <c r="J410" t="s">
        <v>1261</v>
      </c>
      <c r="K410">
        <v>491.89</v>
      </c>
      <c r="L410" t="s">
        <v>25</v>
      </c>
      <c r="M410">
        <v>157</v>
      </c>
      <c r="N410">
        <v>62.55</v>
      </c>
      <c r="O410">
        <v>95.66</v>
      </c>
      <c r="P410" t="s">
        <v>20</v>
      </c>
      <c r="Q410" t="s">
        <v>1262</v>
      </c>
      <c r="R410" t="s">
        <v>20</v>
      </c>
      <c r="S410" t="str">
        <f>HYPERLINK("https://cfpub.epa.gov/ecotox/explore.cfm?ncbi=2498840","Explore in ECOTOX")</f>
        <v>Explore in ECOTOX</v>
      </c>
    </row>
    <row r="411" spans="1:19" x14ac:dyDescent="0.25">
      <c r="A411">
        <v>6</v>
      </c>
      <c r="B411" t="str">
        <f>HYPERLINK("http://www.ncbi.nlm.nih.gov/protein/NWV56669.1","NWV56669.1")</f>
        <v>NWV56669.1</v>
      </c>
      <c r="C411">
        <v>13977</v>
      </c>
      <c r="D411" t="str">
        <f>HYPERLINK("http://www.ncbi.nlm.nih.gov/Taxonomy/Browser/wwwtax.cgi?mode=Info&amp;id=254528&amp;lvl=3&amp;lin=f&amp;keep=1&amp;srchmode=1&amp;unlock","254528")</f>
        <v>254528</v>
      </c>
      <c r="E411" t="s">
        <v>167</v>
      </c>
      <c r="F411" t="s">
        <v>167</v>
      </c>
      <c r="G411" t="str">
        <f>HYPERLINK("http://www.ncbi.nlm.nih.gov/Taxonomy/Browser/wwwtax.cgi?mode=Info&amp;id=254528&amp;lvl=3&amp;lin=f&amp;keep=1&amp;srchmode=1&amp;unlock","Daphoenositta chrysoptera")</f>
        <v>Daphoenositta chrysoptera</v>
      </c>
      <c r="H411" t="s">
        <v>280</v>
      </c>
      <c r="I411" t="str">
        <f>HYPERLINK("http://www.ncbi.nlm.nih.gov/protein/NWV56669.1","ANDR protein")</f>
        <v>ANDR protein</v>
      </c>
      <c r="J411" t="s">
        <v>1261</v>
      </c>
      <c r="K411">
        <v>491.89</v>
      </c>
      <c r="L411" t="s">
        <v>25</v>
      </c>
      <c r="M411">
        <v>157</v>
      </c>
      <c r="N411">
        <v>62.55</v>
      </c>
      <c r="O411">
        <v>95.66</v>
      </c>
      <c r="P411" t="s">
        <v>20</v>
      </c>
      <c r="Q411" t="s">
        <v>1262</v>
      </c>
      <c r="R411" t="s">
        <v>20</v>
      </c>
      <c r="S411" t="str">
        <f>HYPERLINK("https://cfpub.epa.gov/ecotox/explore.cfm?ncbi=254528","Explore in ECOTOX")</f>
        <v>Explore in ECOTOX</v>
      </c>
    </row>
    <row r="412" spans="1:19" x14ac:dyDescent="0.25">
      <c r="A412">
        <v>6</v>
      </c>
      <c r="B412" t="str">
        <f>HYPERLINK("http://www.ncbi.nlm.nih.gov/protein/XP_023781741.1","XP_023781741.1")</f>
        <v>XP_023781741.1</v>
      </c>
      <c r="C412">
        <v>31627</v>
      </c>
      <c r="D412" t="str">
        <f>HYPERLINK("http://www.ncbi.nlm.nih.gov/Taxonomy/Browser/wwwtax.cgi?mode=Info&amp;id=156563&amp;lvl=3&amp;lin=f&amp;keep=1&amp;srchmode=1&amp;unlock","156563")</f>
        <v>156563</v>
      </c>
      <c r="E412" t="s">
        <v>167</v>
      </c>
      <c r="F412" t="s">
        <v>167</v>
      </c>
      <c r="G412" t="str">
        <f>HYPERLINK("http://www.ncbi.nlm.nih.gov/Taxonomy/Browser/wwwtax.cgi?mode=Info&amp;id=156563&amp;lvl=3&amp;lin=f&amp;keep=1&amp;srchmode=1&amp;unlock","Cyanistes caeruleus")</f>
        <v>Cyanistes caeruleus</v>
      </c>
      <c r="H412" t="s">
        <v>455</v>
      </c>
      <c r="I412" t="str">
        <f>HYPERLINK("http://www.ncbi.nlm.nih.gov/protein/XP_023781741.1","androgen receptor")</f>
        <v>androgen receptor</v>
      </c>
      <c r="J412" t="s">
        <v>1261</v>
      </c>
      <c r="K412">
        <v>491.89</v>
      </c>
      <c r="L412" t="s">
        <v>25</v>
      </c>
      <c r="M412">
        <v>157</v>
      </c>
      <c r="N412">
        <v>62.55</v>
      </c>
      <c r="O412">
        <v>95.66</v>
      </c>
      <c r="P412" t="s">
        <v>20</v>
      </c>
      <c r="Q412" t="s">
        <v>1262</v>
      </c>
      <c r="R412" t="s">
        <v>20</v>
      </c>
      <c r="S412" t="str">
        <f>HYPERLINK("https://cfpub.epa.gov/ecotox/explore.cfm?ncbi=156563","Explore in ECOTOX")</f>
        <v>Explore in ECOTOX</v>
      </c>
    </row>
    <row r="413" spans="1:19" x14ac:dyDescent="0.25">
      <c r="A413">
        <v>6</v>
      </c>
      <c r="B413" t="str">
        <f>HYPERLINK("http://www.ncbi.nlm.nih.gov/protein/NXN04548.1","NXN04548.1")</f>
        <v>NXN04548.1</v>
      </c>
      <c r="C413">
        <v>13617</v>
      </c>
      <c r="D413" t="str">
        <f>HYPERLINK("http://www.ncbi.nlm.nih.gov/Taxonomy/Browser/wwwtax.cgi?mode=Info&amp;id=73324&amp;lvl=3&amp;lin=f&amp;keep=1&amp;srchmode=1&amp;unlock","73324")</f>
        <v>73324</v>
      </c>
      <c r="E413" t="s">
        <v>167</v>
      </c>
      <c r="F413" t="s">
        <v>167</v>
      </c>
      <c r="G413" t="str">
        <f>HYPERLINK("http://www.ncbi.nlm.nih.gov/Taxonomy/Browser/wwwtax.cgi?mode=Info&amp;id=73324&amp;lvl=3&amp;lin=f&amp;keep=1&amp;srchmode=1&amp;unlock","Sylvia borin")</f>
        <v>Sylvia borin</v>
      </c>
      <c r="H413" t="s">
        <v>989</v>
      </c>
      <c r="I413" t="str">
        <f>HYPERLINK("http://www.ncbi.nlm.nih.gov/protein/NXN04548.1","ANDR protein")</f>
        <v>ANDR protein</v>
      </c>
      <c r="J413" t="s">
        <v>1261</v>
      </c>
      <c r="K413">
        <v>491.89</v>
      </c>
      <c r="L413" t="s">
        <v>25</v>
      </c>
      <c r="M413">
        <v>157</v>
      </c>
      <c r="N413">
        <v>62.55</v>
      </c>
      <c r="O413">
        <v>95.66</v>
      </c>
      <c r="P413" t="s">
        <v>20</v>
      </c>
      <c r="Q413" t="s">
        <v>1262</v>
      </c>
      <c r="R413" t="s">
        <v>20</v>
      </c>
      <c r="S413" t="str">
        <f>HYPERLINK("https://cfpub.epa.gov/ecotox/explore.cfm?ncbi=73324","Explore in ECOTOX")</f>
        <v>Explore in ECOTOX</v>
      </c>
    </row>
    <row r="414" spans="1:19" x14ac:dyDescent="0.25">
      <c r="A414">
        <v>6</v>
      </c>
      <c r="B414" t="str">
        <f>HYPERLINK("http://www.ncbi.nlm.nih.gov/protein/XP_026650071.1","XP_026650071.1")</f>
        <v>XP_026650071.1</v>
      </c>
      <c r="C414">
        <v>26699</v>
      </c>
      <c r="D414" t="str">
        <f>HYPERLINK("http://www.ncbi.nlm.nih.gov/Taxonomy/Browser/wwwtax.cgi?mode=Info&amp;id=44394&amp;lvl=3&amp;lin=f&amp;keep=1&amp;srchmode=1&amp;unlock","44394")</f>
        <v>44394</v>
      </c>
      <c r="E414" t="s">
        <v>167</v>
      </c>
      <c r="F414" t="s">
        <v>167</v>
      </c>
      <c r="G414" t="str">
        <f>HYPERLINK("http://www.ncbi.nlm.nih.gov/Taxonomy/Browser/wwwtax.cgi?mode=Info&amp;id=44394&amp;lvl=3&amp;lin=f&amp;keep=1&amp;srchmode=1&amp;unlock","Zonotrichia albicollis")</f>
        <v>Zonotrichia albicollis</v>
      </c>
      <c r="H414" t="s">
        <v>465</v>
      </c>
      <c r="I414" t="str">
        <f>HYPERLINK("http://www.ncbi.nlm.nih.gov/protein/XP_026650071.1","androgen receptor")</f>
        <v>androgen receptor</v>
      </c>
      <c r="J414" t="s">
        <v>1261</v>
      </c>
      <c r="K414">
        <v>491.89</v>
      </c>
      <c r="L414" t="s">
        <v>25</v>
      </c>
      <c r="M414">
        <v>157</v>
      </c>
      <c r="N414">
        <v>62.55</v>
      </c>
      <c r="O414">
        <v>95.66</v>
      </c>
      <c r="P414" t="s">
        <v>20</v>
      </c>
      <c r="Q414" t="s">
        <v>1262</v>
      </c>
      <c r="R414" t="s">
        <v>20</v>
      </c>
      <c r="S414" t="str">
        <f>HYPERLINK("https://cfpub.epa.gov/ecotox/explore.cfm?ncbi=44394","Explore in ECOTOX")</f>
        <v>Explore in ECOTOX</v>
      </c>
    </row>
    <row r="415" spans="1:19" x14ac:dyDescent="0.25">
      <c r="A415">
        <v>6</v>
      </c>
      <c r="B415" t="str">
        <f>HYPERLINK("http://www.ncbi.nlm.nih.gov/protein/NXY61431.1","NXY61431.1")</f>
        <v>NXY61431.1</v>
      </c>
      <c r="C415">
        <v>14612</v>
      </c>
      <c r="D415" t="str">
        <f>HYPERLINK("http://www.ncbi.nlm.nih.gov/Taxonomy/Browser/wwwtax.cgi?mode=Info&amp;id=1347786&amp;lvl=3&amp;lin=f&amp;keep=1&amp;srchmode=1&amp;unlock","1347786")</f>
        <v>1347786</v>
      </c>
      <c r="E415" t="s">
        <v>167</v>
      </c>
      <c r="F415" t="s">
        <v>167</v>
      </c>
      <c r="G415" t="str">
        <f>HYPERLINK("http://www.ncbi.nlm.nih.gov/Taxonomy/Browser/wwwtax.cgi?mode=Info&amp;id=1347786&amp;lvl=3&amp;lin=f&amp;keep=1&amp;srchmode=1&amp;unlock","Callaeas wilsoni")</f>
        <v>Callaeas wilsoni</v>
      </c>
      <c r="H415" t="s">
        <v>335</v>
      </c>
      <c r="I415" t="str">
        <f>HYPERLINK("http://www.ncbi.nlm.nih.gov/protein/NXY61431.1","ANDR protein")</f>
        <v>ANDR protein</v>
      </c>
      <c r="J415" t="s">
        <v>1261</v>
      </c>
      <c r="K415">
        <v>491.89</v>
      </c>
      <c r="L415" t="s">
        <v>25</v>
      </c>
      <c r="M415">
        <v>157</v>
      </c>
      <c r="N415">
        <v>62.55</v>
      </c>
      <c r="O415">
        <v>95.66</v>
      </c>
      <c r="P415" t="s">
        <v>20</v>
      </c>
      <c r="Q415" t="s">
        <v>1262</v>
      </c>
      <c r="R415" t="s">
        <v>20</v>
      </c>
      <c r="S415" t="str">
        <f>HYPERLINK("https://cfpub.epa.gov/ecotox/explore.cfm?ncbi=1347786","Explore in ECOTOX")</f>
        <v>Explore in ECOTOX</v>
      </c>
    </row>
    <row r="416" spans="1:19" x14ac:dyDescent="0.25">
      <c r="A416">
        <v>6</v>
      </c>
      <c r="B416" t="str">
        <f>HYPERLINK("http://www.ncbi.nlm.nih.gov/protein/NXH42391.1","NXH42391.1")</f>
        <v>NXH42391.1</v>
      </c>
      <c r="C416">
        <v>13663</v>
      </c>
      <c r="D416" t="str">
        <f>HYPERLINK("http://www.ncbi.nlm.nih.gov/Taxonomy/Browser/wwwtax.cgi?mode=Info&amp;id=667154&amp;lvl=3&amp;lin=f&amp;keep=1&amp;srchmode=1&amp;unlock","667154")</f>
        <v>667154</v>
      </c>
      <c r="E416" t="s">
        <v>167</v>
      </c>
      <c r="F416" t="s">
        <v>167</v>
      </c>
      <c r="G416" t="str">
        <f>HYPERLINK("http://www.ncbi.nlm.nih.gov/Taxonomy/Browser/wwwtax.cgi?mode=Info&amp;id=667154&amp;lvl=3&amp;lin=f&amp;keep=1&amp;srchmode=1&amp;unlock","Dicaeum eximium")</f>
        <v>Dicaeum eximium</v>
      </c>
      <c r="H416" t="s">
        <v>206</v>
      </c>
      <c r="I416" t="str">
        <f>HYPERLINK("http://www.ncbi.nlm.nih.gov/protein/NXH42391.1","ANDR protein")</f>
        <v>ANDR protein</v>
      </c>
      <c r="J416" t="s">
        <v>1261</v>
      </c>
      <c r="K416">
        <v>491.89</v>
      </c>
      <c r="L416" t="s">
        <v>25</v>
      </c>
      <c r="M416">
        <v>157</v>
      </c>
      <c r="N416">
        <v>62.55</v>
      </c>
      <c r="O416">
        <v>95.66</v>
      </c>
      <c r="P416" t="s">
        <v>20</v>
      </c>
      <c r="Q416" t="s">
        <v>1262</v>
      </c>
      <c r="R416" t="s">
        <v>20</v>
      </c>
      <c r="S416" t="str">
        <f>HYPERLINK("https://cfpub.epa.gov/ecotox/explore.cfm?ncbi=667154","Explore in ECOTOX")</f>
        <v>Explore in ECOTOX</v>
      </c>
    </row>
    <row r="417" spans="1:19" x14ac:dyDescent="0.25">
      <c r="A417">
        <v>6</v>
      </c>
      <c r="B417" t="str">
        <f>HYPERLINK("http://www.ncbi.nlm.nih.gov/protein/KFQ36661.1","KFQ36661.1")</f>
        <v>KFQ36661.1</v>
      </c>
      <c r="C417">
        <v>29408</v>
      </c>
      <c r="D417" t="str">
        <f>HYPERLINK("http://www.ncbi.nlm.nih.gov/Taxonomy/Browser/wwwtax.cgi?mode=Info&amp;id=54374&amp;lvl=3&amp;lin=f&amp;keep=1&amp;srchmode=1&amp;unlock","54374")</f>
        <v>54374</v>
      </c>
      <c r="E417" t="s">
        <v>167</v>
      </c>
      <c r="F417" t="s">
        <v>167</v>
      </c>
      <c r="G417" t="str">
        <f>HYPERLINK("http://www.ncbi.nlm.nih.gov/Taxonomy/Browser/wwwtax.cgi?mode=Info&amp;id=54374&amp;lvl=3&amp;lin=f&amp;keep=1&amp;srchmode=1&amp;unlock","Mesitornis unicolor")</f>
        <v>Mesitornis unicolor</v>
      </c>
      <c r="H417" t="s">
        <v>197</v>
      </c>
      <c r="I417" t="str">
        <f>HYPERLINK("http://www.ncbi.nlm.nih.gov/protein/KFQ36661.1","Androgen receptor, partial")</f>
        <v>Androgen receptor, partial</v>
      </c>
      <c r="J417" t="s">
        <v>1261</v>
      </c>
      <c r="K417">
        <v>491.89</v>
      </c>
      <c r="L417" t="s">
        <v>25</v>
      </c>
      <c r="M417">
        <v>157</v>
      </c>
      <c r="N417">
        <v>62.55</v>
      </c>
      <c r="O417">
        <v>95.66</v>
      </c>
      <c r="P417" t="s">
        <v>20</v>
      </c>
      <c r="Q417" t="s">
        <v>1262</v>
      </c>
      <c r="R417" t="s">
        <v>20</v>
      </c>
      <c r="S417" t="str">
        <f>HYPERLINK("https://cfpub.epa.gov/ecotox/explore.cfm?ncbi=54374","Explore in ECOTOX")</f>
        <v>Explore in ECOTOX</v>
      </c>
    </row>
    <row r="418" spans="1:19" x14ac:dyDescent="0.25">
      <c r="A418">
        <v>6</v>
      </c>
      <c r="B418" t="str">
        <f>HYPERLINK("http://www.ncbi.nlm.nih.gov/protein/NWW47350.1","NWW47350.1")</f>
        <v>NWW47350.1</v>
      </c>
      <c r="C418">
        <v>13358</v>
      </c>
      <c r="D418" t="str">
        <f>HYPERLINK("http://www.ncbi.nlm.nih.gov/Taxonomy/Browser/wwwtax.cgi?mode=Info&amp;id=227192&amp;lvl=3&amp;lin=f&amp;keep=1&amp;srchmode=1&amp;unlock","227192")</f>
        <v>227192</v>
      </c>
      <c r="E418" t="s">
        <v>167</v>
      </c>
      <c r="F418" t="s">
        <v>167</v>
      </c>
      <c r="G418" t="str">
        <f>HYPERLINK("http://www.ncbi.nlm.nih.gov/Taxonomy/Browser/wwwtax.cgi?mode=Info&amp;id=227192&amp;lvl=3&amp;lin=f&amp;keep=1&amp;srchmode=1&amp;unlock","Pedionomus torquatus")</f>
        <v>Pedionomus torquatus</v>
      </c>
      <c r="H418" t="s">
        <v>286</v>
      </c>
      <c r="I418" t="str">
        <f>HYPERLINK("http://www.ncbi.nlm.nih.gov/protein/NWW47350.1","ANDR protein")</f>
        <v>ANDR protein</v>
      </c>
      <c r="J418" t="s">
        <v>1261</v>
      </c>
      <c r="K418">
        <v>491.89</v>
      </c>
      <c r="L418" t="s">
        <v>25</v>
      </c>
      <c r="M418">
        <v>157</v>
      </c>
      <c r="N418">
        <v>62.55</v>
      </c>
      <c r="O418">
        <v>95.66</v>
      </c>
      <c r="P418" t="s">
        <v>20</v>
      </c>
      <c r="Q418" t="s">
        <v>1262</v>
      </c>
      <c r="R418" t="s">
        <v>20</v>
      </c>
      <c r="S418" t="str">
        <f>HYPERLINK("https://cfpub.epa.gov/ecotox/explore.cfm?ncbi=227192","Explore in ECOTOX")</f>
        <v>Explore in ECOTOX</v>
      </c>
    </row>
    <row r="419" spans="1:19" x14ac:dyDescent="0.25">
      <c r="A419">
        <v>6</v>
      </c>
      <c r="B419" t="str">
        <f>HYPERLINK("http://www.ncbi.nlm.nih.gov/protein/NXI03838.1","NXI03838.1")</f>
        <v>NXI03838.1</v>
      </c>
      <c r="C419">
        <v>13430</v>
      </c>
      <c r="D419" t="str">
        <f>HYPERLINK("http://www.ncbi.nlm.nih.gov/Taxonomy/Browser/wwwtax.cgi?mode=Info&amp;id=449367&amp;lvl=3&amp;lin=f&amp;keep=1&amp;srchmode=1&amp;unlock","449367")</f>
        <v>449367</v>
      </c>
      <c r="E419" t="s">
        <v>167</v>
      </c>
      <c r="F419" t="s">
        <v>167</v>
      </c>
      <c r="G419" t="str">
        <f>HYPERLINK("http://www.ncbi.nlm.nih.gov/Taxonomy/Browser/wwwtax.cgi?mode=Info&amp;id=449367&amp;lvl=3&amp;lin=f&amp;keep=1&amp;srchmode=1&amp;unlock","Pachycephala philippinensis")</f>
        <v>Pachycephala philippinensis</v>
      </c>
      <c r="H419" t="s">
        <v>309</v>
      </c>
      <c r="I419" t="str">
        <f>HYPERLINK("http://www.ncbi.nlm.nih.gov/protein/NXI03838.1","ANDR protein")</f>
        <v>ANDR protein</v>
      </c>
      <c r="J419" t="s">
        <v>1261</v>
      </c>
      <c r="K419">
        <v>491.89</v>
      </c>
      <c r="L419" t="s">
        <v>25</v>
      </c>
      <c r="M419">
        <v>157</v>
      </c>
      <c r="N419">
        <v>62.55</v>
      </c>
      <c r="O419">
        <v>95.66</v>
      </c>
      <c r="P419" t="s">
        <v>20</v>
      </c>
      <c r="Q419" t="s">
        <v>1262</v>
      </c>
      <c r="R419" t="s">
        <v>20</v>
      </c>
      <c r="S419" t="str">
        <f>HYPERLINK("https://cfpub.epa.gov/ecotox/explore.cfm?ncbi=449367","Explore in ECOTOX")</f>
        <v>Explore in ECOTOX</v>
      </c>
    </row>
    <row r="420" spans="1:19" x14ac:dyDescent="0.25">
      <c r="A420">
        <v>6</v>
      </c>
      <c r="B420" t="str">
        <f>HYPERLINK("http://www.ncbi.nlm.nih.gov/protein/TRZ08387.1","TRZ08387.1")</f>
        <v>TRZ08387.1</v>
      </c>
      <c r="C420">
        <v>22654</v>
      </c>
      <c r="D420" t="str">
        <f>HYPERLINK("http://www.ncbi.nlm.nih.gov/Taxonomy/Browser/wwwtax.cgi?mode=Info&amp;id=364589&amp;lvl=3&amp;lin=f&amp;keep=1&amp;srchmode=1&amp;unlock","364589")</f>
        <v>364589</v>
      </c>
      <c r="E420" t="s">
        <v>167</v>
      </c>
      <c r="F420" t="s">
        <v>167</v>
      </c>
      <c r="G420" t="str">
        <f>HYPERLINK("http://www.ncbi.nlm.nih.gov/Taxonomy/Browser/wwwtax.cgi?mode=Info&amp;id=364589&amp;lvl=3&amp;lin=f&amp;keep=1&amp;srchmode=1&amp;unlock","Zosterops borbonicus")</f>
        <v>Zosterops borbonicus</v>
      </c>
      <c r="H420" t="s">
        <v>449</v>
      </c>
      <c r="I420" t="str">
        <f>HYPERLINK("http://www.ncbi.nlm.nih.gov/protein/TRZ08387.1","hypothetical protein HGM15179_018721, partial")</f>
        <v>hypothetical protein HGM15179_018721, partial</v>
      </c>
      <c r="J420" t="s">
        <v>1261</v>
      </c>
      <c r="K420">
        <v>491.89</v>
      </c>
      <c r="L420" t="s">
        <v>25</v>
      </c>
      <c r="M420">
        <v>157</v>
      </c>
      <c r="N420">
        <v>62.55</v>
      </c>
      <c r="O420">
        <v>95.66</v>
      </c>
      <c r="P420" t="s">
        <v>20</v>
      </c>
      <c r="Q420" t="s">
        <v>1262</v>
      </c>
      <c r="R420" t="s">
        <v>20</v>
      </c>
      <c r="S420" t="str">
        <f>HYPERLINK("https://cfpub.epa.gov/ecotox/explore.cfm?ncbi=364589","Explore in ECOTOX")</f>
        <v>Explore in ECOTOX</v>
      </c>
    </row>
    <row r="421" spans="1:19" x14ac:dyDescent="0.25">
      <c r="A421">
        <v>6</v>
      </c>
      <c r="B421" t="str">
        <f>HYPERLINK("http://www.ncbi.nlm.nih.gov/protein/NXP93640.1","NXP93640.1")</f>
        <v>NXP93640.1</v>
      </c>
      <c r="C421">
        <v>13042</v>
      </c>
      <c r="D421" t="str">
        <f>HYPERLINK("http://www.ncbi.nlm.nih.gov/Taxonomy/Browser/wwwtax.cgi?mode=Info&amp;id=142471&amp;lvl=3&amp;lin=f&amp;keep=1&amp;srchmode=1&amp;unlock","142471")</f>
        <v>142471</v>
      </c>
      <c r="E421" t="s">
        <v>167</v>
      </c>
      <c r="F421" t="s">
        <v>167</v>
      </c>
      <c r="G421" t="str">
        <f>HYPERLINK("http://www.ncbi.nlm.nih.gov/Taxonomy/Browser/wwwtax.cgi?mode=Info&amp;id=142471&amp;lvl=3&amp;lin=f&amp;keep=1&amp;srchmode=1&amp;unlock","Passerina amoena")</f>
        <v>Passerina amoena</v>
      </c>
      <c r="H421" t="s">
        <v>206</v>
      </c>
      <c r="I421" t="str">
        <f>HYPERLINK("http://www.ncbi.nlm.nih.gov/protein/NXP93640.1","ANDR protein")</f>
        <v>ANDR protein</v>
      </c>
      <c r="J421" t="s">
        <v>1261</v>
      </c>
      <c r="K421">
        <v>491.89</v>
      </c>
      <c r="L421" t="s">
        <v>25</v>
      </c>
      <c r="M421">
        <v>157</v>
      </c>
      <c r="N421">
        <v>62.55</v>
      </c>
      <c r="O421">
        <v>95.66</v>
      </c>
      <c r="P421" t="s">
        <v>20</v>
      </c>
      <c r="Q421" t="s">
        <v>1262</v>
      </c>
      <c r="R421" t="s">
        <v>20</v>
      </c>
      <c r="S421" t="str">
        <f>HYPERLINK("https://cfpub.epa.gov/ecotox/explore.cfm?ncbi=142471","Explore in ECOTOX")</f>
        <v>Explore in ECOTOX</v>
      </c>
    </row>
    <row r="422" spans="1:19" x14ac:dyDescent="0.25">
      <c r="A422">
        <v>6</v>
      </c>
      <c r="B422" t="str">
        <f>HYPERLINK("http://www.ncbi.nlm.nih.gov/protein/XP_037978951.1","XP_037978951.1")</f>
        <v>XP_037978951.1</v>
      </c>
      <c r="C422">
        <v>42237</v>
      </c>
      <c r="D422" t="str">
        <f>HYPERLINK("http://www.ncbi.nlm.nih.gov/Taxonomy/Browser/wwwtax.cgi?mode=Info&amp;id=1094192&amp;lvl=3&amp;lin=f&amp;keep=1&amp;srchmode=1&amp;unlock","1094192")</f>
        <v>1094192</v>
      </c>
      <c r="E422" t="s">
        <v>167</v>
      </c>
      <c r="F422" t="s">
        <v>167</v>
      </c>
      <c r="G422" t="str">
        <f>HYPERLINK("http://www.ncbi.nlm.nih.gov/Taxonomy/Browser/wwwtax.cgi?mode=Info&amp;id=1094192&amp;lvl=3&amp;lin=f&amp;keep=1&amp;srchmode=1&amp;unlock","Motacilla alba alba")</f>
        <v>Motacilla alba alba</v>
      </c>
      <c r="H422" t="s">
        <v>450</v>
      </c>
      <c r="I422" t="str">
        <f>HYPERLINK("http://www.ncbi.nlm.nih.gov/protein/XP_037978951.1","androgen receptor-like, partial")</f>
        <v>androgen receptor-like, partial</v>
      </c>
      <c r="J422" t="s">
        <v>1261</v>
      </c>
      <c r="K422">
        <v>491.89</v>
      </c>
      <c r="L422" t="s">
        <v>25</v>
      </c>
      <c r="M422">
        <v>157</v>
      </c>
      <c r="N422">
        <v>62.55</v>
      </c>
      <c r="O422">
        <v>95.66</v>
      </c>
      <c r="P422" t="s">
        <v>20</v>
      </c>
      <c r="Q422" t="s">
        <v>1262</v>
      </c>
      <c r="R422" t="s">
        <v>20</v>
      </c>
      <c r="S422" t="str">
        <f>HYPERLINK("https://cfpub.epa.gov/ecotox/explore.cfm?ncbi=1094192","Explore in ECOTOX")</f>
        <v>Explore in ECOTOX</v>
      </c>
    </row>
    <row r="423" spans="1:19" x14ac:dyDescent="0.25">
      <c r="A423">
        <v>6</v>
      </c>
      <c r="B423" t="str">
        <f>HYPERLINK("http://www.ncbi.nlm.nih.gov/protein/XP_009073792.1","XP_009073792.1")</f>
        <v>XP_009073792.1</v>
      </c>
      <c r="C423">
        <v>28094</v>
      </c>
      <c r="D423" t="str">
        <f>HYPERLINK("http://www.ncbi.nlm.nih.gov/Taxonomy/Browser/wwwtax.cgi?mode=Info&amp;id=57068&amp;lvl=3&amp;lin=f&amp;keep=1&amp;srchmode=1&amp;unlock","57068")</f>
        <v>57068</v>
      </c>
      <c r="E423" t="s">
        <v>167</v>
      </c>
      <c r="F423" t="s">
        <v>167</v>
      </c>
      <c r="G423" t="str">
        <f>HYPERLINK("http://www.ncbi.nlm.nih.gov/Taxonomy/Browser/wwwtax.cgi?mode=Info&amp;id=57068&amp;lvl=3&amp;lin=f&amp;keep=1&amp;srchmode=1&amp;unlock","Acanthisitta chloris")</f>
        <v>Acanthisitta chloris</v>
      </c>
      <c r="H423" t="s">
        <v>180</v>
      </c>
      <c r="I423" t="str">
        <f>HYPERLINK("http://www.ncbi.nlm.nih.gov/protein/XP_009073792.1","PREDICTED: androgen receptor")</f>
        <v>PREDICTED: androgen receptor</v>
      </c>
      <c r="J423" t="s">
        <v>1261</v>
      </c>
      <c r="K423">
        <v>491.89</v>
      </c>
      <c r="L423" t="s">
        <v>25</v>
      </c>
      <c r="M423">
        <v>157</v>
      </c>
      <c r="N423">
        <v>62.55</v>
      </c>
      <c r="O423">
        <v>95.66</v>
      </c>
      <c r="P423" t="s">
        <v>20</v>
      </c>
      <c r="Q423" t="s">
        <v>1262</v>
      </c>
      <c r="R423" t="s">
        <v>20</v>
      </c>
      <c r="S423" t="str">
        <f>HYPERLINK("https://cfpub.epa.gov/ecotox/explore.cfm?ncbi=57068","Explore in ECOTOX")</f>
        <v>Explore in ECOTOX</v>
      </c>
    </row>
    <row r="424" spans="1:19" x14ac:dyDescent="0.25">
      <c r="A424">
        <v>6</v>
      </c>
      <c r="B424" t="str">
        <f>HYPERLINK("http://www.ncbi.nlm.nih.gov/protein/NWZ49946.1","NWZ49946.1")</f>
        <v>NWZ49946.1</v>
      </c>
      <c r="C424">
        <v>45028</v>
      </c>
      <c r="D424" t="str">
        <f>HYPERLINK("http://www.ncbi.nlm.nih.gov/Taxonomy/Browser/wwwtax.cgi?mode=Info&amp;id=8969&amp;lvl=3&amp;lin=f&amp;keep=1&amp;srchmode=1&amp;unlock","8969")</f>
        <v>8969</v>
      </c>
      <c r="E424" t="s">
        <v>167</v>
      </c>
      <c r="F424" t="s">
        <v>167</v>
      </c>
      <c r="G424" t="str">
        <f>HYPERLINK("http://www.ncbi.nlm.nih.gov/Taxonomy/Browser/wwwtax.cgi?mode=Info&amp;id=8969&amp;lvl=3&amp;lin=f&amp;keep=1&amp;srchmode=1&amp;unlock","Haliaeetus albicilla")</f>
        <v>Haliaeetus albicilla</v>
      </c>
      <c r="H424" t="s">
        <v>337</v>
      </c>
      <c r="I424" t="str">
        <f>HYPERLINK("http://www.ncbi.nlm.nih.gov/protein/NWZ49946.1","ANDR protein")</f>
        <v>ANDR protein</v>
      </c>
      <c r="J424" t="s">
        <v>1261</v>
      </c>
      <c r="K424">
        <v>491.5</v>
      </c>
      <c r="L424" t="s">
        <v>25</v>
      </c>
      <c r="M424">
        <v>157</v>
      </c>
      <c r="N424">
        <v>62.55</v>
      </c>
      <c r="O424">
        <v>95.58</v>
      </c>
      <c r="P424" t="s">
        <v>20</v>
      </c>
      <c r="Q424" t="s">
        <v>1262</v>
      </c>
      <c r="R424" t="s">
        <v>20</v>
      </c>
      <c r="S424" t="str">
        <f>HYPERLINK("https://cfpub.epa.gov/ecotox/explore.cfm?ncbi=8969","Explore in ECOTOX")</f>
        <v>Explore in ECOTOX</v>
      </c>
    </row>
    <row r="425" spans="1:19" x14ac:dyDescent="0.25">
      <c r="A425">
        <v>6</v>
      </c>
      <c r="B425" t="str">
        <f>HYPERLINK("http://www.ncbi.nlm.nih.gov/protein/XP_029852782.1","XP_029852782.1")</f>
        <v>XP_029852782.1</v>
      </c>
      <c r="C425">
        <v>48151</v>
      </c>
      <c r="D425" t="str">
        <f>HYPERLINK("http://www.ncbi.nlm.nih.gov/Taxonomy/Browser/wwwtax.cgi?mode=Info&amp;id=223781&amp;lvl=3&amp;lin=f&amp;keep=1&amp;srchmode=1&amp;unlock","223781")</f>
        <v>223781</v>
      </c>
      <c r="E425" t="s">
        <v>167</v>
      </c>
      <c r="F425" t="s">
        <v>167</v>
      </c>
      <c r="G425" t="str">
        <f>HYPERLINK("http://www.ncbi.nlm.nih.gov/Taxonomy/Browser/wwwtax.cgi?mode=Info&amp;id=223781&amp;lvl=3&amp;lin=f&amp;keep=1&amp;srchmode=1&amp;unlock","Aquila chrysaetos chrysaetos")</f>
        <v>Aquila chrysaetos chrysaetos</v>
      </c>
      <c r="H425" t="s">
        <v>291</v>
      </c>
      <c r="I425" t="str">
        <f>HYPERLINK("http://www.ncbi.nlm.nih.gov/protein/XP_029852782.1","androgen receptor")</f>
        <v>androgen receptor</v>
      </c>
      <c r="J425" t="s">
        <v>1261</v>
      </c>
      <c r="K425">
        <v>491.5</v>
      </c>
      <c r="L425" t="s">
        <v>25</v>
      </c>
      <c r="M425">
        <v>157</v>
      </c>
      <c r="N425">
        <v>62.55</v>
      </c>
      <c r="O425">
        <v>95.58</v>
      </c>
      <c r="P425" t="s">
        <v>20</v>
      </c>
      <c r="Q425" t="s">
        <v>1262</v>
      </c>
      <c r="R425" t="s">
        <v>20</v>
      </c>
      <c r="S425" t="str">
        <f>HYPERLINK("https://cfpub.epa.gov/ecotox/explore.cfm?ncbi=223781","Explore in ECOTOX")</f>
        <v>Explore in ECOTOX</v>
      </c>
    </row>
    <row r="426" spans="1:19" x14ac:dyDescent="0.25">
      <c r="A426">
        <v>6</v>
      </c>
      <c r="B426" t="str">
        <f>HYPERLINK("http://www.ncbi.nlm.nih.gov/protein/NXW17840.1","NXW17840.1")</f>
        <v>NXW17840.1</v>
      </c>
      <c r="C426">
        <v>14176</v>
      </c>
      <c r="D426" t="str">
        <f>HYPERLINK("http://www.ncbi.nlm.nih.gov/Taxonomy/Browser/wwwtax.cgi?mode=Info&amp;id=321084&amp;lvl=3&amp;lin=f&amp;keep=1&amp;srchmode=1&amp;unlock","321084")</f>
        <v>321084</v>
      </c>
      <c r="E426" t="s">
        <v>167</v>
      </c>
      <c r="F426" t="s">
        <v>167</v>
      </c>
      <c r="G426" t="str">
        <f>HYPERLINK("http://www.ncbi.nlm.nih.gov/Taxonomy/Browser/wwwtax.cgi?mode=Info&amp;id=321084&amp;lvl=3&amp;lin=f&amp;keep=1&amp;srchmode=1&amp;unlock","Circaetus pectoralis")</f>
        <v>Circaetus pectoralis</v>
      </c>
      <c r="H426" t="s">
        <v>304</v>
      </c>
      <c r="I426" t="str">
        <f>HYPERLINK("http://www.ncbi.nlm.nih.gov/protein/NXW17840.1","ANDR protein")</f>
        <v>ANDR protein</v>
      </c>
      <c r="J426" t="s">
        <v>1261</v>
      </c>
      <c r="K426">
        <v>491.5</v>
      </c>
      <c r="L426" t="s">
        <v>25</v>
      </c>
      <c r="M426">
        <v>157</v>
      </c>
      <c r="N426">
        <v>62.55</v>
      </c>
      <c r="O426">
        <v>95.58</v>
      </c>
      <c r="P426" t="s">
        <v>20</v>
      </c>
      <c r="Q426" t="s">
        <v>1262</v>
      </c>
      <c r="R426" t="s">
        <v>20</v>
      </c>
      <c r="S426" t="str">
        <f>HYPERLINK("https://cfpub.epa.gov/ecotox/explore.cfm?ncbi=321084","Explore in ECOTOX")</f>
        <v>Explore in ECOTOX</v>
      </c>
    </row>
    <row r="427" spans="1:19" x14ac:dyDescent="0.25">
      <c r="A427">
        <v>6</v>
      </c>
      <c r="B427" t="str">
        <f>HYPERLINK("http://www.ncbi.nlm.nih.gov/protein/NXO37548.1","NXO37548.1")</f>
        <v>NXO37548.1</v>
      </c>
      <c r="C427">
        <v>13974</v>
      </c>
      <c r="D427" t="str">
        <f>HYPERLINK("http://www.ncbi.nlm.nih.gov/Taxonomy/Browser/wwwtax.cgi?mode=Info&amp;id=187437&amp;lvl=3&amp;lin=f&amp;keep=1&amp;srchmode=1&amp;unlock","187437")</f>
        <v>187437</v>
      </c>
      <c r="E427" t="s">
        <v>167</v>
      </c>
      <c r="F427" t="s">
        <v>167</v>
      </c>
      <c r="G427" t="str">
        <f>HYPERLINK("http://www.ncbi.nlm.nih.gov/Taxonomy/Browser/wwwtax.cgi?mode=Info&amp;id=187437&amp;lvl=3&amp;lin=f&amp;keep=1&amp;srchmode=1&amp;unlock","Locustella ochotensis")</f>
        <v>Locustella ochotensis</v>
      </c>
      <c r="H427" t="s">
        <v>402</v>
      </c>
      <c r="I427" t="str">
        <f>HYPERLINK("http://www.ncbi.nlm.nih.gov/protein/NXO37548.1","ANDR protein")</f>
        <v>ANDR protein</v>
      </c>
      <c r="J427" t="s">
        <v>1261</v>
      </c>
      <c r="K427">
        <v>491.5</v>
      </c>
      <c r="L427" t="s">
        <v>25</v>
      </c>
      <c r="M427">
        <v>157</v>
      </c>
      <c r="N427">
        <v>62.55</v>
      </c>
      <c r="O427">
        <v>95.58</v>
      </c>
      <c r="P427" t="s">
        <v>20</v>
      </c>
      <c r="Q427" t="s">
        <v>1262</v>
      </c>
      <c r="R427" t="s">
        <v>20</v>
      </c>
      <c r="S427" t="str">
        <f>HYPERLINK("https://cfpub.epa.gov/ecotox/explore.cfm?ncbi=187437","Explore in ECOTOX")</f>
        <v>Explore in ECOTOX</v>
      </c>
    </row>
    <row r="428" spans="1:19" x14ac:dyDescent="0.25">
      <c r="A428">
        <v>6</v>
      </c>
      <c r="B428" t="str">
        <f>HYPERLINK("http://www.ncbi.nlm.nih.gov/protein/NXH30905.1","NXH30905.1")</f>
        <v>NXH30905.1</v>
      </c>
      <c r="C428">
        <v>13940</v>
      </c>
      <c r="D428" t="str">
        <f>HYPERLINK("http://www.ncbi.nlm.nih.gov/Taxonomy/Browser/wwwtax.cgi?mode=Info&amp;id=381031&amp;lvl=3&amp;lin=f&amp;keep=1&amp;srchmode=1&amp;unlock","381031")</f>
        <v>381031</v>
      </c>
      <c r="E428" t="s">
        <v>167</v>
      </c>
      <c r="F428" t="s">
        <v>167</v>
      </c>
      <c r="G428" t="str">
        <f>HYPERLINK("http://www.ncbi.nlm.nih.gov/Taxonomy/Browser/wwwtax.cgi?mode=Info&amp;id=381031&amp;lvl=3&amp;lin=f&amp;keep=1&amp;srchmode=1&amp;unlock","Myiagra hebetior")</f>
        <v>Myiagra hebetior</v>
      </c>
      <c r="H428" t="s">
        <v>206</v>
      </c>
      <c r="I428" t="str">
        <f>HYPERLINK("http://www.ncbi.nlm.nih.gov/protein/NXH30905.1","ANDR protein")</f>
        <v>ANDR protein</v>
      </c>
      <c r="J428" t="s">
        <v>1261</v>
      </c>
      <c r="K428">
        <v>491.5</v>
      </c>
      <c r="L428" t="s">
        <v>25</v>
      </c>
      <c r="M428">
        <v>157</v>
      </c>
      <c r="N428">
        <v>62.55</v>
      </c>
      <c r="O428">
        <v>95.58</v>
      </c>
      <c r="P428" t="s">
        <v>20</v>
      </c>
      <c r="Q428" t="s">
        <v>1262</v>
      </c>
      <c r="R428" t="s">
        <v>20</v>
      </c>
      <c r="S428" t="str">
        <f>HYPERLINK("https://cfpub.epa.gov/ecotox/explore.cfm?ncbi=381031","Explore in ECOTOX")</f>
        <v>Explore in ECOTOX</v>
      </c>
    </row>
    <row r="429" spans="1:19" x14ac:dyDescent="0.25">
      <c r="A429">
        <v>6</v>
      </c>
      <c r="B429" t="str">
        <f>HYPERLINK("http://www.ncbi.nlm.nih.gov/protein/NWR43887.1","NWR43887.1")</f>
        <v>NWR43887.1</v>
      </c>
      <c r="C429">
        <v>13036</v>
      </c>
      <c r="D429" t="str">
        <f>HYPERLINK("http://www.ncbi.nlm.nih.gov/Taxonomy/Browser/wwwtax.cgi?mode=Info&amp;id=13245&amp;lvl=3&amp;lin=f&amp;keep=1&amp;srchmode=1&amp;unlock","13245")</f>
        <v>13245</v>
      </c>
      <c r="E429" t="s">
        <v>167</v>
      </c>
      <c r="F429" t="s">
        <v>167</v>
      </c>
      <c r="G429" t="str">
        <f>HYPERLINK("http://www.ncbi.nlm.nih.gov/Taxonomy/Browser/wwwtax.cgi?mode=Info&amp;id=13245&amp;lvl=3&amp;lin=f&amp;keep=1&amp;srchmode=1&amp;unlock","Regulus satrapa")</f>
        <v>Regulus satrapa</v>
      </c>
      <c r="H429" t="s">
        <v>669</v>
      </c>
      <c r="I429" t="str">
        <f>HYPERLINK("http://www.ncbi.nlm.nih.gov/protein/NWR43887.1","ANDR protein")</f>
        <v>ANDR protein</v>
      </c>
      <c r="J429" t="s">
        <v>1261</v>
      </c>
      <c r="K429">
        <v>491.5</v>
      </c>
      <c r="L429" t="s">
        <v>25</v>
      </c>
      <c r="M429">
        <v>157</v>
      </c>
      <c r="N429">
        <v>62.55</v>
      </c>
      <c r="O429">
        <v>95.58</v>
      </c>
      <c r="P429" t="s">
        <v>20</v>
      </c>
      <c r="Q429" t="s">
        <v>1262</v>
      </c>
      <c r="R429" t="s">
        <v>20</v>
      </c>
      <c r="S429" t="str">
        <f>HYPERLINK("https://cfpub.epa.gov/ecotox/explore.cfm?ncbi=13245","Explore in ECOTOX")</f>
        <v>Explore in ECOTOX</v>
      </c>
    </row>
    <row r="430" spans="1:19" x14ac:dyDescent="0.25">
      <c r="A430">
        <v>6</v>
      </c>
      <c r="B430" t="str">
        <f>HYPERLINK("http://www.ncbi.nlm.nih.gov/protein/NWX13164.1","NWX13164.1")</f>
        <v>NWX13164.1</v>
      </c>
      <c r="C430">
        <v>13717</v>
      </c>
      <c r="D430" t="str">
        <f>HYPERLINK("http://www.ncbi.nlm.nih.gov/Taxonomy/Browser/wwwtax.cgi?mode=Info&amp;id=48278&amp;lvl=3&amp;lin=f&amp;keep=1&amp;srchmode=1&amp;unlock","48278")</f>
        <v>48278</v>
      </c>
      <c r="E430" t="s">
        <v>167</v>
      </c>
      <c r="F430" t="s">
        <v>167</v>
      </c>
      <c r="G430" t="str">
        <f>HYPERLINK("http://www.ncbi.nlm.nih.gov/Taxonomy/Browser/wwwtax.cgi?mode=Info&amp;id=48278&amp;lvl=3&amp;lin=f&amp;keep=1&amp;srchmode=1&amp;unlock","Aegotheles bennettii")</f>
        <v>Aegotheles bennettii</v>
      </c>
      <c r="H430" t="s">
        <v>233</v>
      </c>
      <c r="I430" t="str">
        <f>HYPERLINK("http://www.ncbi.nlm.nih.gov/protein/NWX13164.1","ANDR protein")</f>
        <v>ANDR protein</v>
      </c>
      <c r="J430" t="s">
        <v>1261</v>
      </c>
      <c r="K430">
        <v>491.5</v>
      </c>
      <c r="L430" t="s">
        <v>25</v>
      </c>
      <c r="M430">
        <v>157</v>
      </c>
      <c r="N430">
        <v>62.55</v>
      </c>
      <c r="O430">
        <v>95.58</v>
      </c>
      <c r="P430" t="s">
        <v>20</v>
      </c>
      <c r="Q430" t="s">
        <v>1262</v>
      </c>
      <c r="R430" t="s">
        <v>20</v>
      </c>
      <c r="S430" t="str">
        <f>HYPERLINK("https://cfpub.epa.gov/ecotox/explore.cfm?ncbi=48278","Explore in ECOTOX")</f>
        <v>Explore in ECOTOX</v>
      </c>
    </row>
    <row r="431" spans="1:19" x14ac:dyDescent="0.25">
      <c r="A431">
        <v>6</v>
      </c>
      <c r="B431" t="str">
        <f>HYPERLINK("http://www.ncbi.nlm.nih.gov/protein/NWH98271.1","NWH98271.1")</f>
        <v>NWH98271.1</v>
      </c>
      <c r="C431">
        <v>11529</v>
      </c>
      <c r="D431" t="str">
        <f>HYPERLINK("http://www.ncbi.nlm.nih.gov/Taxonomy/Browser/wwwtax.cgi?mode=Info&amp;id=237442&amp;lvl=3&amp;lin=f&amp;keep=1&amp;srchmode=1&amp;unlock","237442")</f>
        <v>237442</v>
      </c>
      <c r="E431" t="s">
        <v>167</v>
      </c>
      <c r="F431" t="s">
        <v>167</v>
      </c>
      <c r="G431" t="str">
        <f>HYPERLINK("http://www.ncbi.nlm.nih.gov/Taxonomy/Browser/wwwtax.cgi?mode=Info&amp;id=237442&amp;lvl=3&amp;lin=f&amp;keep=1&amp;srchmode=1&amp;unlock","Tichodroma muraria")</f>
        <v>Tichodroma muraria</v>
      </c>
      <c r="H431" t="s">
        <v>206</v>
      </c>
      <c r="I431" t="str">
        <f>HYPERLINK("http://www.ncbi.nlm.nih.gov/protein/NWH98271.1","ANDR protein")</f>
        <v>ANDR protein</v>
      </c>
      <c r="J431" t="s">
        <v>1261</v>
      </c>
      <c r="K431">
        <v>491.5</v>
      </c>
      <c r="L431" t="s">
        <v>25</v>
      </c>
      <c r="M431">
        <v>157</v>
      </c>
      <c r="N431">
        <v>62.55</v>
      </c>
      <c r="O431">
        <v>95.58</v>
      </c>
      <c r="P431" t="s">
        <v>20</v>
      </c>
      <c r="Q431" t="s">
        <v>1262</v>
      </c>
      <c r="R431" t="s">
        <v>20</v>
      </c>
      <c r="S431" t="str">
        <f>HYPERLINK("https://cfpub.epa.gov/ecotox/explore.cfm?ncbi=237442","Explore in ECOTOX")</f>
        <v>Explore in ECOTOX</v>
      </c>
    </row>
    <row r="432" spans="1:19" x14ac:dyDescent="0.25">
      <c r="A432">
        <v>6</v>
      </c>
      <c r="B432" t="str">
        <f>HYPERLINK("http://www.ncbi.nlm.nih.gov/protein/NXC43881.1","NXC43881.1")</f>
        <v>NXC43881.1</v>
      </c>
      <c r="C432">
        <v>13966</v>
      </c>
      <c r="D432" t="str">
        <f>HYPERLINK("http://www.ncbi.nlm.nih.gov/Taxonomy/Browser/wwwtax.cgi?mode=Info&amp;id=1118817&amp;lvl=3&amp;lin=f&amp;keep=1&amp;srchmode=1&amp;unlock","1118817")</f>
        <v>1118817</v>
      </c>
      <c r="E432" t="s">
        <v>167</v>
      </c>
      <c r="F432" t="s">
        <v>167</v>
      </c>
      <c r="G432" t="str">
        <f>HYPERLINK("http://www.ncbi.nlm.nih.gov/Taxonomy/Browser/wwwtax.cgi?mode=Info&amp;id=1118817&amp;lvl=3&amp;lin=f&amp;keep=1&amp;srchmode=1&amp;unlock","Penelope pileata")</f>
        <v>Penelope pileata</v>
      </c>
      <c r="H432" t="s">
        <v>267</v>
      </c>
      <c r="I432" t="str">
        <f>HYPERLINK("http://www.ncbi.nlm.nih.gov/protein/NXC43881.1","ANDR protein")</f>
        <v>ANDR protein</v>
      </c>
      <c r="J432" t="s">
        <v>1261</v>
      </c>
      <c r="K432">
        <v>491.5</v>
      </c>
      <c r="L432" t="s">
        <v>25</v>
      </c>
      <c r="M432">
        <v>157</v>
      </c>
      <c r="N432">
        <v>62.55</v>
      </c>
      <c r="O432">
        <v>95.58</v>
      </c>
      <c r="P432" t="s">
        <v>20</v>
      </c>
      <c r="Q432" t="s">
        <v>1262</v>
      </c>
      <c r="R432" t="s">
        <v>20</v>
      </c>
      <c r="S432" t="str">
        <f>HYPERLINK("https://cfpub.epa.gov/ecotox/explore.cfm?ncbi=1118817","Explore in ECOTOX")</f>
        <v>Explore in ECOTOX</v>
      </c>
    </row>
    <row r="433" spans="1:19" x14ac:dyDescent="0.25">
      <c r="A433">
        <v>6</v>
      </c>
      <c r="B433" t="str">
        <f>HYPERLINK("http://www.ncbi.nlm.nih.gov/protein/NWH57317.1","NWH57317.1")</f>
        <v>NWH57317.1</v>
      </c>
      <c r="C433">
        <v>13556</v>
      </c>
      <c r="D433" t="str">
        <f>HYPERLINK("http://www.ncbi.nlm.nih.gov/Taxonomy/Browser/wwwtax.cgi?mode=Info&amp;id=8947&amp;lvl=3&amp;lin=f&amp;keep=1&amp;srchmode=1&amp;unlock","8947")</f>
        <v>8947</v>
      </c>
      <c r="E433" t="s">
        <v>167</v>
      </c>
      <c r="F433" t="s">
        <v>167</v>
      </c>
      <c r="G433" t="str">
        <f>HYPERLINK("http://www.ncbi.nlm.nih.gov/Taxonomy/Browser/wwwtax.cgi?mode=Info&amp;id=8947&amp;lvl=3&amp;lin=f&amp;keep=1&amp;srchmode=1&amp;unlock","Geococcyx californianus")</f>
        <v>Geococcyx californianus</v>
      </c>
      <c r="H433" t="s">
        <v>552</v>
      </c>
      <c r="I433" t="str">
        <f>HYPERLINK("http://www.ncbi.nlm.nih.gov/protein/NWH57317.1","ANDR protein")</f>
        <v>ANDR protein</v>
      </c>
      <c r="J433" t="s">
        <v>1261</v>
      </c>
      <c r="K433">
        <v>491.5</v>
      </c>
      <c r="L433" t="s">
        <v>25</v>
      </c>
      <c r="M433">
        <v>157</v>
      </c>
      <c r="N433">
        <v>62.55</v>
      </c>
      <c r="O433">
        <v>95.58</v>
      </c>
      <c r="P433" t="s">
        <v>20</v>
      </c>
      <c r="Q433" t="s">
        <v>1262</v>
      </c>
      <c r="R433" t="s">
        <v>20</v>
      </c>
      <c r="S433" t="str">
        <f>HYPERLINK("https://cfpub.epa.gov/ecotox/explore.cfm?ncbi=8947","Explore in ECOTOX")</f>
        <v>Explore in ECOTOX</v>
      </c>
    </row>
    <row r="434" spans="1:19" x14ac:dyDescent="0.25">
      <c r="A434">
        <v>6</v>
      </c>
      <c r="B434" t="str">
        <f>HYPERLINK("http://www.ncbi.nlm.nih.gov/protein/NWS71072.1","NWS71072.1")</f>
        <v>NWS71072.1</v>
      </c>
      <c r="C434">
        <v>13919</v>
      </c>
      <c r="D434" t="str">
        <f>HYPERLINK("http://www.ncbi.nlm.nih.gov/Taxonomy/Browser/wwwtax.cgi?mode=Info&amp;id=33598&amp;lvl=3&amp;lin=f&amp;keep=1&amp;srchmode=1&amp;unlock","33598")</f>
        <v>33598</v>
      </c>
      <c r="E434" t="s">
        <v>167</v>
      </c>
      <c r="F434" t="s">
        <v>167</v>
      </c>
      <c r="G434" t="str">
        <f>HYPERLINK("http://www.ncbi.nlm.nih.gov/Taxonomy/Browser/wwwtax.cgi?mode=Info&amp;id=33598&amp;lvl=3&amp;lin=f&amp;keep=1&amp;srchmode=1&amp;unlock","Crotophaga sulcirostris")</f>
        <v>Crotophaga sulcirostris</v>
      </c>
      <c r="H434" t="s">
        <v>559</v>
      </c>
      <c r="I434" t="str">
        <f>HYPERLINK("http://www.ncbi.nlm.nih.gov/protein/NWS71072.1","ANDR protein")</f>
        <v>ANDR protein</v>
      </c>
      <c r="J434" t="s">
        <v>1261</v>
      </c>
      <c r="K434">
        <v>491.5</v>
      </c>
      <c r="L434" t="s">
        <v>25</v>
      </c>
      <c r="M434">
        <v>157</v>
      </c>
      <c r="N434">
        <v>62.55</v>
      </c>
      <c r="O434">
        <v>95.58</v>
      </c>
      <c r="P434" t="s">
        <v>20</v>
      </c>
      <c r="Q434" t="s">
        <v>1262</v>
      </c>
      <c r="R434" t="s">
        <v>20</v>
      </c>
      <c r="S434" t="str">
        <f>HYPERLINK("https://cfpub.epa.gov/ecotox/explore.cfm?ncbi=33598","Explore in ECOTOX")</f>
        <v>Explore in ECOTOX</v>
      </c>
    </row>
    <row r="435" spans="1:19" x14ac:dyDescent="0.25">
      <c r="A435">
        <v>6</v>
      </c>
      <c r="B435" t="str">
        <f>HYPERLINK("http://www.ncbi.nlm.nih.gov/protein/NXJ51229.1","NXJ51229.1")</f>
        <v>NXJ51229.1</v>
      </c>
      <c r="C435">
        <v>14391</v>
      </c>
      <c r="D435" t="str">
        <f>HYPERLINK("http://www.ncbi.nlm.nih.gov/Taxonomy/Browser/wwwtax.cgi?mode=Info&amp;id=252798&amp;lvl=3&amp;lin=f&amp;keep=1&amp;srchmode=1&amp;unlock","252798")</f>
        <v>252798</v>
      </c>
      <c r="E435" t="s">
        <v>167</v>
      </c>
      <c r="F435" t="s">
        <v>167</v>
      </c>
      <c r="G435" t="str">
        <f>HYPERLINK("http://www.ncbi.nlm.nih.gov/Taxonomy/Browser/wwwtax.cgi?mode=Info&amp;id=252798&amp;lvl=3&amp;lin=f&amp;keep=1&amp;srchmode=1&amp;unlock","Spizaetus tyrannus")</f>
        <v>Spizaetus tyrannus</v>
      </c>
      <c r="H435" t="s">
        <v>292</v>
      </c>
      <c r="I435" t="str">
        <f>HYPERLINK("http://www.ncbi.nlm.nih.gov/protein/NXJ51229.1","ANDR protein")</f>
        <v>ANDR protein</v>
      </c>
      <c r="J435" t="s">
        <v>1261</v>
      </c>
      <c r="K435">
        <v>491.5</v>
      </c>
      <c r="L435" t="s">
        <v>25</v>
      </c>
      <c r="M435">
        <v>157</v>
      </c>
      <c r="N435">
        <v>62.55</v>
      </c>
      <c r="O435">
        <v>95.58</v>
      </c>
      <c r="P435" t="s">
        <v>20</v>
      </c>
      <c r="Q435" t="s">
        <v>1262</v>
      </c>
      <c r="R435" t="s">
        <v>20</v>
      </c>
      <c r="S435" t="str">
        <f>HYPERLINK("https://cfpub.epa.gov/ecotox/explore.cfm?ncbi=252798","Explore in ECOTOX")</f>
        <v>Explore in ECOTOX</v>
      </c>
    </row>
    <row r="436" spans="1:19" x14ac:dyDescent="0.25">
      <c r="A436">
        <v>6</v>
      </c>
      <c r="B436" t="str">
        <f>HYPERLINK("http://www.ncbi.nlm.nih.gov/protein/XP_010570824.1","XP_010570824.1")</f>
        <v>XP_010570824.1</v>
      </c>
      <c r="C436">
        <v>25384</v>
      </c>
      <c r="D436" t="str">
        <f>HYPERLINK("http://www.ncbi.nlm.nih.gov/Taxonomy/Browser/wwwtax.cgi?mode=Info&amp;id=52644&amp;lvl=3&amp;lin=f&amp;keep=1&amp;srchmode=1&amp;unlock","52644")</f>
        <v>52644</v>
      </c>
      <c r="E436" t="s">
        <v>167</v>
      </c>
      <c r="F436" t="s">
        <v>167</v>
      </c>
      <c r="G436" t="str">
        <f>HYPERLINK("http://www.ncbi.nlm.nih.gov/Taxonomy/Browser/wwwtax.cgi?mode=Info&amp;id=52644&amp;lvl=3&amp;lin=f&amp;keep=1&amp;srchmode=1&amp;unlock","Haliaeetus leucocephalus")</f>
        <v>Haliaeetus leucocephalus</v>
      </c>
      <c r="H436" t="s">
        <v>334</v>
      </c>
      <c r="I436" t="str">
        <f>HYPERLINK("http://www.ncbi.nlm.nih.gov/protein/XP_010570824.1","PREDICTED: androgen receptor")</f>
        <v>PREDICTED: androgen receptor</v>
      </c>
      <c r="J436" t="s">
        <v>1261</v>
      </c>
      <c r="K436">
        <v>491.5</v>
      </c>
      <c r="L436" t="s">
        <v>25</v>
      </c>
      <c r="M436">
        <v>157</v>
      </c>
      <c r="N436">
        <v>62.55</v>
      </c>
      <c r="O436">
        <v>95.58</v>
      </c>
      <c r="P436" t="s">
        <v>20</v>
      </c>
      <c r="Q436" t="s">
        <v>1262</v>
      </c>
      <c r="R436" t="s">
        <v>20</v>
      </c>
      <c r="S436" t="str">
        <f>HYPERLINK("https://cfpub.epa.gov/ecotox/explore.cfm?ncbi=52644","Explore in ECOTOX")</f>
        <v>Explore in ECOTOX</v>
      </c>
    </row>
    <row r="437" spans="1:19" x14ac:dyDescent="0.25">
      <c r="A437">
        <v>6</v>
      </c>
      <c r="B437" t="str">
        <f>HYPERLINK("http://www.ncbi.nlm.nih.gov/protein/NXA36954.1","NXA36954.1")</f>
        <v>NXA36954.1</v>
      </c>
      <c r="C437">
        <v>13771</v>
      </c>
      <c r="D437" t="str">
        <f>HYPERLINK("http://www.ncbi.nlm.nih.gov/Taxonomy/Browser/wwwtax.cgi?mode=Info&amp;id=8805&amp;lvl=3&amp;lin=f&amp;keep=1&amp;srchmode=1&amp;unlock","8805")</f>
        <v>8805</v>
      </c>
      <c r="E437" t="s">
        <v>167</v>
      </c>
      <c r="F437" t="s">
        <v>167</v>
      </c>
      <c r="G437" t="str">
        <f>HYPERLINK("http://www.ncbi.nlm.nih.gov/Taxonomy/Browser/wwwtax.cgi?mode=Info&amp;id=8805&amp;lvl=3&amp;lin=f&amp;keep=1&amp;srchmode=1&amp;unlock","Eudromia elegans")</f>
        <v>Eudromia elegans</v>
      </c>
      <c r="H437" t="s">
        <v>485</v>
      </c>
      <c r="I437" t="str">
        <f>HYPERLINK("http://www.ncbi.nlm.nih.gov/protein/NXA36954.1","ANDR protein")</f>
        <v>ANDR protein</v>
      </c>
      <c r="J437" t="s">
        <v>1261</v>
      </c>
      <c r="K437">
        <v>491.5</v>
      </c>
      <c r="L437" t="s">
        <v>25</v>
      </c>
      <c r="M437">
        <v>157</v>
      </c>
      <c r="N437">
        <v>62.55</v>
      </c>
      <c r="O437">
        <v>95.58</v>
      </c>
      <c r="P437" t="s">
        <v>20</v>
      </c>
      <c r="Q437" t="s">
        <v>1262</v>
      </c>
      <c r="R437" t="s">
        <v>20</v>
      </c>
      <c r="S437" t="str">
        <f>HYPERLINK("https://cfpub.epa.gov/ecotox/explore.cfm?ncbi=8805","Explore in ECOTOX")</f>
        <v>Explore in ECOTOX</v>
      </c>
    </row>
    <row r="438" spans="1:19" x14ac:dyDescent="0.25">
      <c r="A438">
        <v>6</v>
      </c>
      <c r="B438" t="str">
        <f>HYPERLINK("http://www.ncbi.nlm.nih.gov/protein/NXD37465.1","NXD37465.1")</f>
        <v>NXD37465.1</v>
      </c>
      <c r="C438">
        <v>14417</v>
      </c>
      <c r="D438" t="str">
        <f>HYPERLINK("http://www.ncbi.nlm.nih.gov/Taxonomy/Browser/wwwtax.cgi?mode=Info&amp;id=797021&amp;lvl=3&amp;lin=f&amp;keep=1&amp;srchmode=1&amp;unlock","797021")</f>
        <v>797021</v>
      </c>
      <c r="E438" t="s">
        <v>167</v>
      </c>
      <c r="F438" t="s">
        <v>167</v>
      </c>
      <c r="G438" t="str">
        <f>HYPERLINK("http://www.ncbi.nlm.nih.gov/Taxonomy/Browser/wwwtax.cgi?mode=Info&amp;id=797021&amp;lvl=3&amp;lin=f&amp;keep=1&amp;srchmode=1&amp;unlock","Copsychus sechellarum")</f>
        <v>Copsychus sechellarum</v>
      </c>
      <c r="H438" t="s">
        <v>378</v>
      </c>
      <c r="I438" t="str">
        <f>HYPERLINK("http://www.ncbi.nlm.nih.gov/protein/NXD37465.1","ANDR protein")</f>
        <v>ANDR protein</v>
      </c>
      <c r="J438" t="s">
        <v>1261</v>
      </c>
      <c r="K438">
        <v>491.12</v>
      </c>
      <c r="L438" t="s">
        <v>25</v>
      </c>
      <c r="M438">
        <v>157</v>
      </c>
      <c r="N438">
        <v>62.55</v>
      </c>
      <c r="O438">
        <v>95.51</v>
      </c>
      <c r="P438" t="s">
        <v>20</v>
      </c>
      <c r="Q438" t="s">
        <v>1262</v>
      </c>
      <c r="R438" t="s">
        <v>20</v>
      </c>
      <c r="S438" t="str">
        <f>HYPERLINK("https://cfpub.epa.gov/ecotox/explore.cfm?ncbi=797021","Explore in ECOTOX")</f>
        <v>Explore in ECOTOX</v>
      </c>
    </row>
    <row r="439" spans="1:19" x14ac:dyDescent="0.25">
      <c r="A439">
        <v>6</v>
      </c>
      <c r="B439" t="str">
        <f>HYPERLINK("http://www.ncbi.nlm.nih.gov/protein/NWW76724.1","NWW76724.1")</f>
        <v>NWW76724.1</v>
      </c>
      <c r="C439">
        <v>14135</v>
      </c>
      <c r="D439" t="str">
        <f>HYPERLINK("http://www.ncbi.nlm.nih.gov/Taxonomy/Browser/wwwtax.cgi?mode=Info&amp;id=47695&amp;lvl=3&amp;lin=f&amp;keep=1&amp;srchmode=1&amp;unlock","47695")</f>
        <v>47695</v>
      </c>
      <c r="E439" t="s">
        <v>167</v>
      </c>
      <c r="F439" t="s">
        <v>167</v>
      </c>
      <c r="G439" t="str">
        <f>HYPERLINK("http://www.ncbi.nlm.nih.gov/Taxonomy/Browser/wwwtax.cgi?mode=Info&amp;id=47695&amp;lvl=3&amp;lin=f&amp;keep=1&amp;srchmode=1&amp;unlock","Climacteris rufus")</f>
        <v>Climacteris rufus</v>
      </c>
      <c r="H439" t="s">
        <v>495</v>
      </c>
      <c r="I439" t="str">
        <f>HYPERLINK("http://www.ncbi.nlm.nih.gov/protein/NWW76724.1","ANDR protein")</f>
        <v>ANDR protein</v>
      </c>
      <c r="J439" t="s">
        <v>1261</v>
      </c>
      <c r="K439">
        <v>491.12</v>
      </c>
      <c r="L439" t="s">
        <v>25</v>
      </c>
      <c r="M439">
        <v>157</v>
      </c>
      <c r="N439">
        <v>62.55</v>
      </c>
      <c r="O439">
        <v>95.51</v>
      </c>
      <c r="P439" t="s">
        <v>20</v>
      </c>
      <c r="Q439" t="s">
        <v>1262</v>
      </c>
      <c r="R439" t="s">
        <v>20</v>
      </c>
      <c r="S439" t="str">
        <f>HYPERLINK("https://cfpub.epa.gov/ecotox/explore.cfm?ncbi=47695","Explore in ECOTOX")</f>
        <v>Explore in ECOTOX</v>
      </c>
    </row>
    <row r="440" spans="1:19" x14ac:dyDescent="0.25">
      <c r="A440">
        <v>6</v>
      </c>
      <c r="B440" t="str">
        <f>HYPERLINK("http://www.ncbi.nlm.nih.gov/protein/XP_035397716.1","XP_035397716.1")</f>
        <v>XP_035397716.1</v>
      </c>
      <c r="C440">
        <v>36022</v>
      </c>
      <c r="D440" t="str">
        <f>HYPERLINK("http://www.ncbi.nlm.nih.gov/Taxonomy/Browser/wwwtax.cgi?mode=Info&amp;id=8868&amp;lvl=3&amp;lin=f&amp;keep=1&amp;srchmode=1&amp;unlock","8868")</f>
        <v>8868</v>
      </c>
      <c r="E440" t="s">
        <v>167</v>
      </c>
      <c r="F440" t="s">
        <v>167</v>
      </c>
      <c r="G440" t="str">
        <f>HYPERLINK("http://www.ncbi.nlm.nih.gov/Taxonomy/Browser/wwwtax.cgi?mode=Info&amp;id=8868&amp;lvl=3&amp;lin=f&amp;keep=1&amp;srchmode=1&amp;unlock","Cygnus atratus")</f>
        <v>Cygnus atratus</v>
      </c>
      <c r="H440" t="s">
        <v>356</v>
      </c>
      <c r="I440" t="str">
        <f>HYPERLINK("http://www.ncbi.nlm.nih.gov/protein/XP_035397716.1","LOW QUALITY PROTEIN: androgen receptor")</f>
        <v>LOW QUALITY PROTEIN: androgen receptor</v>
      </c>
      <c r="J440" t="s">
        <v>1261</v>
      </c>
      <c r="K440">
        <v>490.73</v>
      </c>
      <c r="L440" t="s">
        <v>25</v>
      </c>
      <c r="M440">
        <v>157</v>
      </c>
      <c r="N440">
        <v>62.55</v>
      </c>
      <c r="O440">
        <v>95.43</v>
      </c>
      <c r="P440" t="s">
        <v>20</v>
      </c>
      <c r="Q440" t="s">
        <v>1262</v>
      </c>
      <c r="R440" t="s">
        <v>20</v>
      </c>
      <c r="S440" t="str">
        <f>HYPERLINK("https://cfpub.epa.gov/ecotox/explore.cfm?ncbi=8868","Explore in ECOTOX")</f>
        <v>Explore in ECOTOX</v>
      </c>
    </row>
    <row r="441" spans="1:19" x14ac:dyDescent="0.25">
      <c r="A441">
        <v>6</v>
      </c>
      <c r="B441" t="str">
        <f>HYPERLINK("http://www.ncbi.nlm.nih.gov/protein/XP_038039951.1","XP_038039951.1")</f>
        <v>XP_038039951.1</v>
      </c>
      <c r="C441">
        <v>63920</v>
      </c>
      <c r="D441" t="str">
        <f>HYPERLINK("http://www.ncbi.nlm.nih.gov/Taxonomy/Browser/wwwtax.cgi?mode=Info&amp;id=8839&amp;lvl=3&amp;lin=f&amp;keep=1&amp;srchmode=1&amp;unlock","8839")</f>
        <v>8839</v>
      </c>
      <c r="E441" t="s">
        <v>167</v>
      </c>
      <c r="F441" t="s">
        <v>167</v>
      </c>
      <c r="G441" t="str">
        <f>HYPERLINK("http://www.ncbi.nlm.nih.gov/Taxonomy/Browser/wwwtax.cgi?mode=Info&amp;id=8839&amp;lvl=3&amp;lin=f&amp;keep=1&amp;srchmode=1&amp;unlock","Anas platyrhynchos")</f>
        <v>Anas platyrhynchos</v>
      </c>
      <c r="H441" t="s">
        <v>358</v>
      </c>
      <c r="I441" t="str">
        <f>HYPERLINK("http://www.ncbi.nlm.nih.gov/protein/XP_038039951.1","androgen receptor")</f>
        <v>androgen receptor</v>
      </c>
      <c r="J441" t="s">
        <v>1261</v>
      </c>
      <c r="K441">
        <v>490.73</v>
      </c>
      <c r="L441" t="s">
        <v>25</v>
      </c>
      <c r="M441">
        <v>157</v>
      </c>
      <c r="N441">
        <v>62.55</v>
      </c>
      <c r="O441">
        <v>95.43</v>
      </c>
      <c r="P441" t="s">
        <v>20</v>
      </c>
      <c r="Q441" t="s">
        <v>1262</v>
      </c>
      <c r="R441" t="s">
        <v>20</v>
      </c>
      <c r="S441" t="str">
        <f>HYPERLINK("https://cfpub.epa.gov/ecotox/explore.cfm?ncbi=8839","Explore in ECOTOX")</f>
        <v>Explore in ECOTOX</v>
      </c>
    </row>
    <row r="442" spans="1:19" x14ac:dyDescent="0.25">
      <c r="A442">
        <v>6</v>
      </c>
      <c r="B442" t="str">
        <f>HYPERLINK("http://www.ncbi.nlm.nih.gov/protein/XP_040427846.1","XP_040427846.1")</f>
        <v>XP_040427846.1</v>
      </c>
      <c r="C442">
        <v>47842</v>
      </c>
      <c r="D442" t="str">
        <f>HYPERLINK("http://www.ncbi.nlm.nih.gov/Taxonomy/Browser/wwwtax.cgi?mode=Info&amp;id=8869&amp;lvl=3&amp;lin=f&amp;keep=1&amp;srchmode=1&amp;unlock","8869")</f>
        <v>8869</v>
      </c>
      <c r="E442" t="s">
        <v>167</v>
      </c>
      <c r="F442" t="s">
        <v>167</v>
      </c>
      <c r="G442" t="str">
        <f>HYPERLINK("http://www.ncbi.nlm.nih.gov/Taxonomy/Browser/wwwtax.cgi?mode=Info&amp;id=8869&amp;lvl=3&amp;lin=f&amp;keep=1&amp;srchmode=1&amp;unlock","Cygnus olor")</f>
        <v>Cygnus olor</v>
      </c>
      <c r="H442" t="s">
        <v>328</v>
      </c>
      <c r="I442" t="str">
        <f>HYPERLINK("http://www.ncbi.nlm.nih.gov/protein/XP_040427846.1","androgen receptor")</f>
        <v>androgen receptor</v>
      </c>
      <c r="J442" t="s">
        <v>1261</v>
      </c>
      <c r="K442">
        <v>490.73</v>
      </c>
      <c r="L442" t="s">
        <v>25</v>
      </c>
      <c r="M442">
        <v>157</v>
      </c>
      <c r="N442">
        <v>62.55</v>
      </c>
      <c r="O442">
        <v>95.43</v>
      </c>
      <c r="P442" t="s">
        <v>20</v>
      </c>
      <c r="Q442" t="s">
        <v>1262</v>
      </c>
      <c r="R442" t="s">
        <v>20</v>
      </c>
      <c r="S442" t="str">
        <f>HYPERLINK("https://cfpub.epa.gov/ecotox/explore.cfm?ncbi=8869","Explore in ECOTOX")</f>
        <v>Explore in ECOTOX</v>
      </c>
    </row>
    <row r="443" spans="1:19" x14ac:dyDescent="0.25">
      <c r="A443">
        <v>6</v>
      </c>
      <c r="B443" t="str">
        <f>HYPERLINK("http://www.ncbi.nlm.nih.gov/protein/XP_032051997.1","XP_032051997.1")</f>
        <v>XP_032051997.1</v>
      </c>
      <c r="C443">
        <v>27813</v>
      </c>
      <c r="D443" t="str">
        <f>HYPERLINK("http://www.ncbi.nlm.nih.gov/Taxonomy/Browser/wwwtax.cgi?mode=Info&amp;id=219594&amp;lvl=3&amp;lin=f&amp;keep=1&amp;srchmode=1&amp;unlock","219594")</f>
        <v>219594</v>
      </c>
      <c r="E443" t="s">
        <v>167</v>
      </c>
      <c r="F443" t="s">
        <v>167</v>
      </c>
      <c r="G443" t="str">
        <f>HYPERLINK("http://www.ncbi.nlm.nih.gov/Taxonomy/Browser/wwwtax.cgi?mode=Info&amp;id=219594&amp;lvl=3&amp;lin=f&amp;keep=1&amp;srchmode=1&amp;unlock","Aythya fuligula")</f>
        <v>Aythya fuligula</v>
      </c>
      <c r="H443" t="s">
        <v>319</v>
      </c>
      <c r="I443" t="str">
        <f>HYPERLINK("http://www.ncbi.nlm.nih.gov/protein/XP_032051997.1","androgen receptor isoform X1")</f>
        <v>androgen receptor isoform X1</v>
      </c>
      <c r="J443" t="s">
        <v>1261</v>
      </c>
      <c r="K443">
        <v>490.73</v>
      </c>
      <c r="L443" t="s">
        <v>25</v>
      </c>
      <c r="M443">
        <v>157</v>
      </c>
      <c r="N443">
        <v>62.55</v>
      </c>
      <c r="O443">
        <v>95.43</v>
      </c>
      <c r="P443" t="s">
        <v>20</v>
      </c>
      <c r="Q443" t="s">
        <v>1262</v>
      </c>
      <c r="R443" t="s">
        <v>20</v>
      </c>
      <c r="S443" t="str">
        <f>HYPERLINK("https://cfpub.epa.gov/ecotox/explore.cfm?ncbi=219594","Explore in ECOTOX")</f>
        <v>Explore in ECOTOX</v>
      </c>
    </row>
    <row r="444" spans="1:19" x14ac:dyDescent="0.25">
      <c r="A444">
        <v>6</v>
      </c>
      <c r="B444" t="str">
        <f>HYPERLINK("http://www.ncbi.nlm.nih.gov/protein/NWZ19633.1","NWZ19633.1")</f>
        <v>NWZ19633.1</v>
      </c>
      <c r="C444">
        <v>14748</v>
      </c>
      <c r="D444" t="str">
        <f>HYPERLINK("http://www.ncbi.nlm.nih.gov/Taxonomy/Browser/wwwtax.cgi?mode=Info&amp;id=75869&amp;lvl=3&amp;lin=f&amp;keep=1&amp;srchmode=1&amp;unlock","75869")</f>
        <v>75869</v>
      </c>
      <c r="E444" t="s">
        <v>167</v>
      </c>
      <c r="F444" t="s">
        <v>167</v>
      </c>
      <c r="G444" t="str">
        <f>HYPERLINK("http://www.ncbi.nlm.nih.gov/Taxonomy/Browser/wwwtax.cgi?mode=Info&amp;id=75869&amp;lvl=3&amp;lin=f&amp;keep=1&amp;srchmode=1&amp;unlock","Asarcornis scutulata")</f>
        <v>Asarcornis scutulata</v>
      </c>
      <c r="H444" t="s">
        <v>317</v>
      </c>
      <c r="I444" t="str">
        <f>HYPERLINK("http://www.ncbi.nlm.nih.gov/protein/NWZ19633.1","ANDR protein")</f>
        <v>ANDR protein</v>
      </c>
      <c r="J444" t="s">
        <v>1261</v>
      </c>
      <c r="K444">
        <v>490.73</v>
      </c>
      <c r="L444" t="s">
        <v>25</v>
      </c>
      <c r="M444">
        <v>157</v>
      </c>
      <c r="N444">
        <v>62.55</v>
      </c>
      <c r="O444">
        <v>95.43</v>
      </c>
      <c r="P444" t="s">
        <v>20</v>
      </c>
      <c r="Q444" t="s">
        <v>1262</v>
      </c>
      <c r="R444" t="s">
        <v>20</v>
      </c>
      <c r="S444" t="str">
        <f>HYPERLINK("https://cfpub.epa.gov/ecotox/explore.cfm?ncbi=75869","Explore in ECOTOX")</f>
        <v>Explore in ECOTOX</v>
      </c>
    </row>
    <row r="445" spans="1:19" x14ac:dyDescent="0.25">
      <c r="A445">
        <v>6</v>
      </c>
      <c r="B445" t="str">
        <f>HYPERLINK("http://www.ncbi.nlm.nih.gov/protein/XP_035180057.1","XP_035180057.1")</f>
        <v>XP_035180057.1</v>
      </c>
      <c r="C445">
        <v>39822</v>
      </c>
      <c r="D445" t="str">
        <f>HYPERLINK("http://www.ncbi.nlm.nih.gov/Taxonomy/Browser/wwwtax.cgi?mode=Info&amp;id=8884&amp;lvl=3&amp;lin=f&amp;keep=1&amp;srchmode=1&amp;unlock","8884")</f>
        <v>8884</v>
      </c>
      <c r="E445" t="s">
        <v>167</v>
      </c>
      <c r="F445" t="s">
        <v>167</v>
      </c>
      <c r="G445" t="str">
        <f>HYPERLINK("http://www.ncbi.nlm.nih.gov/Taxonomy/Browser/wwwtax.cgi?mode=Info&amp;id=8884&amp;lvl=3&amp;lin=f&amp;keep=1&amp;srchmode=1&amp;unlock","Oxyura jamaicensis")</f>
        <v>Oxyura jamaicensis</v>
      </c>
      <c r="H445" t="s">
        <v>273</v>
      </c>
      <c r="I445" t="str">
        <f>HYPERLINK("http://www.ncbi.nlm.nih.gov/protein/XP_035180057.1","androgen receptor")</f>
        <v>androgen receptor</v>
      </c>
      <c r="J445" t="s">
        <v>1261</v>
      </c>
      <c r="K445">
        <v>490.73</v>
      </c>
      <c r="L445" t="s">
        <v>25</v>
      </c>
      <c r="M445">
        <v>157</v>
      </c>
      <c r="N445">
        <v>62.55</v>
      </c>
      <c r="O445">
        <v>95.43</v>
      </c>
      <c r="P445" t="s">
        <v>20</v>
      </c>
      <c r="Q445" t="s">
        <v>1262</v>
      </c>
      <c r="R445" t="s">
        <v>20</v>
      </c>
      <c r="S445" t="str">
        <f>HYPERLINK("https://cfpub.epa.gov/ecotox/explore.cfm?ncbi=8884","Explore in ECOTOX")</f>
        <v>Explore in ECOTOX</v>
      </c>
    </row>
    <row r="446" spans="1:19" x14ac:dyDescent="0.25">
      <c r="A446">
        <v>6</v>
      </c>
      <c r="B446" t="str">
        <f>HYPERLINK("http://www.ncbi.nlm.nih.gov/protein/NXK46303.1","NXK46303.1")</f>
        <v>NXK46303.1</v>
      </c>
      <c r="C446">
        <v>13560</v>
      </c>
      <c r="D446" t="str">
        <f>HYPERLINK("http://www.ncbi.nlm.nih.gov/Taxonomy/Browser/wwwtax.cgi?mode=Info&amp;id=30388&amp;lvl=3&amp;lin=f&amp;keep=1&amp;srchmode=1&amp;unlock","30388")</f>
        <v>30388</v>
      </c>
      <c r="E446" t="s">
        <v>167</v>
      </c>
      <c r="F446" t="s">
        <v>167</v>
      </c>
      <c r="G446" t="str">
        <f>HYPERLINK("http://www.ncbi.nlm.nih.gov/Taxonomy/Browser/wwwtax.cgi?mode=Info&amp;id=30388&amp;lvl=3&amp;lin=f&amp;keep=1&amp;srchmode=1&amp;unlock","Chauna torquata")</f>
        <v>Chauna torquata</v>
      </c>
      <c r="H446" t="s">
        <v>981</v>
      </c>
      <c r="I446" t="str">
        <f>HYPERLINK("http://www.ncbi.nlm.nih.gov/protein/NXK46303.1","ANDR protein")</f>
        <v>ANDR protein</v>
      </c>
      <c r="J446" t="s">
        <v>1261</v>
      </c>
      <c r="K446">
        <v>490.73</v>
      </c>
      <c r="L446" t="s">
        <v>25</v>
      </c>
      <c r="M446">
        <v>157</v>
      </c>
      <c r="N446">
        <v>62.55</v>
      </c>
      <c r="O446">
        <v>95.43</v>
      </c>
      <c r="P446" t="s">
        <v>20</v>
      </c>
      <c r="Q446" t="s">
        <v>1262</v>
      </c>
      <c r="R446" t="s">
        <v>20</v>
      </c>
      <c r="S446" t="str">
        <f>HYPERLINK("https://cfpub.epa.gov/ecotox/explore.cfm?ncbi=30388","Explore in ECOTOX")</f>
        <v>Explore in ECOTOX</v>
      </c>
    </row>
    <row r="447" spans="1:19" x14ac:dyDescent="0.25">
      <c r="A447">
        <v>6</v>
      </c>
      <c r="B447" t="str">
        <f>HYPERLINK("http://www.ncbi.nlm.nih.gov/protein/NWR78491.1","NWR78491.1")</f>
        <v>NWR78491.1</v>
      </c>
      <c r="C447">
        <v>14035</v>
      </c>
      <c r="D447" t="str">
        <f>HYPERLINK("http://www.ncbi.nlm.nih.gov/Taxonomy/Browser/wwwtax.cgi?mode=Info&amp;id=1118519&amp;lvl=3&amp;lin=f&amp;keep=1&amp;srchmode=1&amp;unlock","1118519")</f>
        <v>1118519</v>
      </c>
      <c r="E447" t="s">
        <v>167</v>
      </c>
      <c r="F447" t="s">
        <v>167</v>
      </c>
      <c r="G447" t="str">
        <f>HYPERLINK("http://www.ncbi.nlm.nih.gov/Taxonomy/Browser/wwwtax.cgi?mode=Info&amp;id=1118519&amp;lvl=3&amp;lin=f&amp;keep=1&amp;srchmode=1&amp;unlock","Centropus unirufus")</f>
        <v>Centropus unirufus</v>
      </c>
      <c r="H447" t="s">
        <v>303</v>
      </c>
      <c r="I447" t="str">
        <f>HYPERLINK("http://www.ncbi.nlm.nih.gov/protein/NWR78491.1","ANDR protein")</f>
        <v>ANDR protein</v>
      </c>
      <c r="J447" t="s">
        <v>1261</v>
      </c>
      <c r="K447">
        <v>490.73</v>
      </c>
      <c r="L447" t="s">
        <v>25</v>
      </c>
      <c r="M447">
        <v>157</v>
      </c>
      <c r="N447">
        <v>62.55</v>
      </c>
      <c r="O447">
        <v>95.43</v>
      </c>
      <c r="P447" t="s">
        <v>20</v>
      </c>
      <c r="Q447" t="s">
        <v>1262</v>
      </c>
      <c r="R447" t="s">
        <v>20</v>
      </c>
      <c r="S447" t="str">
        <f>HYPERLINK("https://cfpub.epa.gov/ecotox/explore.cfm?ncbi=1118519","Explore in ECOTOX")</f>
        <v>Explore in ECOTOX</v>
      </c>
    </row>
    <row r="448" spans="1:19" x14ac:dyDescent="0.25">
      <c r="A448">
        <v>6</v>
      </c>
      <c r="B448" t="str">
        <f>HYPERLINK("http://www.ncbi.nlm.nih.gov/protein/NXL92296.1","NXL92296.1")</f>
        <v>NXL92296.1</v>
      </c>
      <c r="C448">
        <v>13493</v>
      </c>
      <c r="D448" t="str">
        <f>HYPERLINK("http://www.ncbi.nlm.nih.gov/Taxonomy/Browser/wwwtax.cgi?mode=Info&amp;id=81907&amp;lvl=3&amp;lin=f&amp;keep=1&amp;srchmode=1&amp;unlock","81907")</f>
        <v>81907</v>
      </c>
      <c r="E448" t="s">
        <v>167</v>
      </c>
      <c r="F448" t="s">
        <v>167</v>
      </c>
      <c r="G448" t="str">
        <f>HYPERLINK("http://www.ncbi.nlm.nih.gov/Taxonomy/Browser/wwwtax.cgi?mode=Info&amp;id=81907&amp;lvl=3&amp;lin=f&amp;keep=1&amp;srchmode=1&amp;unlock","Alectura lathami")</f>
        <v>Alectura lathami</v>
      </c>
      <c r="H448" t="s">
        <v>988</v>
      </c>
      <c r="I448" t="str">
        <f>HYPERLINK("http://www.ncbi.nlm.nih.gov/protein/NXL92296.1","ANDR protein")</f>
        <v>ANDR protein</v>
      </c>
      <c r="J448" t="s">
        <v>1261</v>
      </c>
      <c r="K448">
        <v>490.73</v>
      </c>
      <c r="L448" t="s">
        <v>25</v>
      </c>
      <c r="M448">
        <v>157</v>
      </c>
      <c r="N448">
        <v>62.55</v>
      </c>
      <c r="O448">
        <v>95.43</v>
      </c>
      <c r="P448" t="s">
        <v>20</v>
      </c>
      <c r="Q448" t="s">
        <v>1262</v>
      </c>
      <c r="R448" t="s">
        <v>20</v>
      </c>
      <c r="S448" t="str">
        <f>HYPERLINK("https://cfpub.epa.gov/ecotox/explore.cfm?ncbi=81907","Explore in ECOTOX")</f>
        <v>Explore in ECOTOX</v>
      </c>
    </row>
    <row r="449" spans="1:19" x14ac:dyDescent="0.25">
      <c r="A449">
        <v>6</v>
      </c>
      <c r="B449" t="str">
        <f>HYPERLINK("http://www.ncbi.nlm.nih.gov/protein/NXX93605.1","NXX93605.1")</f>
        <v>NXX93605.1</v>
      </c>
      <c r="C449">
        <v>13206</v>
      </c>
      <c r="D449" t="str">
        <f>HYPERLINK("http://www.ncbi.nlm.nih.gov/Taxonomy/Browser/wwwtax.cgi?mode=Info&amp;id=1463675&amp;lvl=3&amp;lin=f&amp;keep=1&amp;srchmode=1&amp;unlock","1463675")</f>
        <v>1463675</v>
      </c>
      <c r="E449" t="s">
        <v>167</v>
      </c>
      <c r="F449" t="s">
        <v>167</v>
      </c>
      <c r="G449" t="str">
        <f>HYPERLINK("http://www.ncbi.nlm.nih.gov/Taxonomy/Browser/wwwtax.cgi?mode=Info&amp;id=1463675&amp;lvl=3&amp;lin=f&amp;keep=1&amp;srchmode=1&amp;unlock","Centropus bengalensis")</f>
        <v>Centropus bengalensis</v>
      </c>
      <c r="H449" t="s">
        <v>254</v>
      </c>
      <c r="I449" t="str">
        <f>HYPERLINK("http://www.ncbi.nlm.nih.gov/protein/NXX93605.1","ANDR protein")</f>
        <v>ANDR protein</v>
      </c>
      <c r="J449" t="s">
        <v>1261</v>
      </c>
      <c r="K449">
        <v>490.73</v>
      </c>
      <c r="L449" t="s">
        <v>25</v>
      </c>
      <c r="M449">
        <v>157</v>
      </c>
      <c r="N449">
        <v>62.55</v>
      </c>
      <c r="O449">
        <v>95.43</v>
      </c>
      <c r="P449" t="s">
        <v>20</v>
      </c>
      <c r="Q449" t="s">
        <v>1262</v>
      </c>
      <c r="R449" t="s">
        <v>20</v>
      </c>
      <c r="S449" t="str">
        <f>HYPERLINK("https://cfpub.epa.gov/ecotox/explore.cfm?ncbi=1463675","Explore in ECOTOX")</f>
        <v>Explore in ECOTOX</v>
      </c>
    </row>
    <row r="450" spans="1:19" x14ac:dyDescent="0.25">
      <c r="A450">
        <v>6</v>
      </c>
      <c r="B450" t="str">
        <f>HYPERLINK("http://www.ncbi.nlm.nih.gov/protein/XP_013051573.1","XP_013051573.1")</f>
        <v>XP_013051573.1</v>
      </c>
      <c r="C450">
        <v>31837</v>
      </c>
      <c r="D450" t="str">
        <f>HYPERLINK("http://www.ncbi.nlm.nih.gov/Taxonomy/Browser/wwwtax.cgi?mode=Info&amp;id=381198&amp;lvl=3&amp;lin=f&amp;keep=1&amp;srchmode=1&amp;unlock","381198")</f>
        <v>381198</v>
      </c>
      <c r="E450" t="s">
        <v>167</v>
      </c>
      <c r="F450" t="s">
        <v>167</v>
      </c>
      <c r="G450" t="str">
        <f>HYPERLINK("http://www.ncbi.nlm.nih.gov/Taxonomy/Browser/wwwtax.cgi?mode=Info&amp;id=381198&amp;lvl=3&amp;lin=f&amp;keep=1&amp;srchmode=1&amp;unlock","Anser cygnoides domesticus")</f>
        <v>Anser cygnoides domesticus</v>
      </c>
      <c r="H450" t="s">
        <v>276</v>
      </c>
      <c r="I450" t="str">
        <f>HYPERLINK("http://www.ncbi.nlm.nih.gov/protein/XP_013051573.1","PREDICTED: androgen receptor")</f>
        <v>PREDICTED: androgen receptor</v>
      </c>
      <c r="J450" t="s">
        <v>1261</v>
      </c>
      <c r="K450">
        <v>490.73</v>
      </c>
      <c r="L450" t="s">
        <v>25</v>
      </c>
      <c r="M450">
        <v>157</v>
      </c>
      <c r="N450">
        <v>62.55</v>
      </c>
      <c r="O450">
        <v>95.43</v>
      </c>
      <c r="P450" t="s">
        <v>20</v>
      </c>
      <c r="Q450" t="s">
        <v>1262</v>
      </c>
      <c r="R450" t="s">
        <v>20</v>
      </c>
      <c r="S450" t="str">
        <f>HYPERLINK("https://cfpub.epa.gov/ecotox/explore.cfm?ncbi=381198","Explore in ECOTOX")</f>
        <v>Explore in ECOTOX</v>
      </c>
    </row>
    <row r="451" spans="1:19" x14ac:dyDescent="0.25">
      <c r="A451">
        <v>6</v>
      </c>
      <c r="B451" t="str">
        <f>HYPERLINK("http://www.ncbi.nlm.nih.gov/protein/NWU71276.1","NWU71276.1")</f>
        <v>NWU71276.1</v>
      </c>
      <c r="C451">
        <v>13883</v>
      </c>
      <c r="D451" t="str">
        <f>HYPERLINK("http://www.ncbi.nlm.nih.gov/Taxonomy/Browser/wwwtax.cgi?mode=Info&amp;id=2585816&amp;lvl=3&amp;lin=f&amp;keep=1&amp;srchmode=1&amp;unlock","2585816")</f>
        <v>2585816</v>
      </c>
      <c r="E451" t="s">
        <v>167</v>
      </c>
      <c r="F451" t="s">
        <v>167</v>
      </c>
      <c r="G451" t="str">
        <f>HYPERLINK("http://www.ncbi.nlm.nih.gov/Taxonomy/Browser/wwwtax.cgi?mode=Info&amp;id=2585816&amp;lvl=3&amp;lin=f&amp;keep=1&amp;srchmode=1&amp;unlock","Pterocles burchelli")</f>
        <v>Pterocles burchelli</v>
      </c>
      <c r="H451" t="s">
        <v>217</v>
      </c>
      <c r="I451" t="str">
        <f>HYPERLINK("http://www.ncbi.nlm.nih.gov/protein/NWU71276.1","ANDR protein")</f>
        <v>ANDR protein</v>
      </c>
      <c r="J451" t="s">
        <v>1261</v>
      </c>
      <c r="K451">
        <v>490.73</v>
      </c>
      <c r="L451" t="s">
        <v>25</v>
      </c>
      <c r="M451">
        <v>157</v>
      </c>
      <c r="N451">
        <v>62.55</v>
      </c>
      <c r="O451">
        <v>95.43</v>
      </c>
      <c r="P451" t="s">
        <v>20</v>
      </c>
      <c r="Q451" t="s">
        <v>1262</v>
      </c>
      <c r="R451" t="s">
        <v>20</v>
      </c>
      <c r="S451" t="str">
        <f>HYPERLINK("https://cfpub.epa.gov/ecotox/explore.cfm?ncbi=2585816","Explore in ECOTOX")</f>
        <v>Explore in ECOTOX</v>
      </c>
    </row>
    <row r="452" spans="1:19" x14ac:dyDescent="0.25">
      <c r="A452">
        <v>6</v>
      </c>
      <c r="B452" t="str">
        <f>HYPERLINK("http://www.ncbi.nlm.nih.gov/protein/NXE09334.1","NXE09334.1")</f>
        <v>NXE09334.1</v>
      </c>
      <c r="C452">
        <v>13942</v>
      </c>
      <c r="D452" t="str">
        <f>HYPERLINK("http://www.ncbi.nlm.nih.gov/Taxonomy/Browser/wwwtax.cgi?mode=Info&amp;id=172689&amp;lvl=3&amp;lin=f&amp;keep=1&amp;srchmode=1&amp;unlock","172689")</f>
        <v>172689</v>
      </c>
      <c r="E452" t="s">
        <v>167</v>
      </c>
      <c r="F452" t="s">
        <v>167</v>
      </c>
      <c r="G452" t="str">
        <f>HYPERLINK("http://www.ncbi.nlm.nih.gov/Taxonomy/Browser/wwwtax.cgi?mode=Info&amp;id=172689&amp;lvl=3&amp;lin=f&amp;keep=1&amp;srchmode=1&amp;unlock","Lophotis ruficrista")</f>
        <v>Lophotis ruficrista</v>
      </c>
      <c r="H452" t="s">
        <v>182</v>
      </c>
      <c r="I452" t="str">
        <f>HYPERLINK("http://www.ncbi.nlm.nih.gov/protein/NXE09334.1","ANDR protein")</f>
        <v>ANDR protein</v>
      </c>
      <c r="J452" t="s">
        <v>1261</v>
      </c>
      <c r="K452">
        <v>490.73</v>
      </c>
      <c r="L452" t="s">
        <v>25</v>
      </c>
      <c r="M452">
        <v>157</v>
      </c>
      <c r="N452">
        <v>62.55</v>
      </c>
      <c r="O452">
        <v>95.43</v>
      </c>
      <c r="P452" t="s">
        <v>20</v>
      </c>
      <c r="Q452" t="s">
        <v>1262</v>
      </c>
      <c r="R452" t="s">
        <v>20</v>
      </c>
      <c r="S452" t="str">
        <f>HYPERLINK("https://cfpub.epa.gov/ecotox/explore.cfm?ncbi=172689","Explore in ECOTOX")</f>
        <v>Explore in ECOTOX</v>
      </c>
    </row>
    <row r="453" spans="1:19" x14ac:dyDescent="0.25">
      <c r="A453">
        <v>6</v>
      </c>
      <c r="B453" t="str">
        <f>HYPERLINK("http://www.ncbi.nlm.nih.gov/protein/NXT22234.1","NXT22234.1")</f>
        <v>NXT22234.1</v>
      </c>
      <c r="C453">
        <v>13562</v>
      </c>
      <c r="D453" t="str">
        <f>HYPERLINK("http://www.ncbi.nlm.nih.gov/Taxonomy/Browser/wwwtax.cgi?mode=Info&amp;id=302527&amp;lvl=3&amp;lin=f&amp;keep=1&amp;srchmode=1&amp;unlock","302527")</f>
        <v>302527</v>
      </c>
      <c r="E453" t="s">
        <v>167</v>
      </c>
      <c r="F453" t="s">
        <v>167</v>
      </c>
      <c r="G453" t="str">
        <f>HYPERLINK("http://www.ncbi.nlm.nih.gov/Taxonomy/Browser/wwwtax.cgi?mode=Info&amp;id=302527&amp;lvl=3&amp;lin=f&amp;keep=1&amp;srchmode=1&amp;unlock","Syrrhaptes paradoxus")</f>
        <v>Syrrhaptes paradoxus</v>
      </c>
      <c r="H453" t="s">
        <v>509</v>
      </c>
      <c r="I453" t="str">
        <f>HYPERLINK("http://www.ncbi.nlm.nih.gov/protein/NXT22234.1","ANDR protein")</f>
        <v>ANDR protein</v>
      </c>
      <c r="J453" t="s">
        <v>1261</v>
      </c>
      <c r="K453">
        <v>490.73</v>
      </c>
      <c r="L453" t="s">
        <v>25</v>
      </c>
      <c r="M453">
        <v>157</v>
      </c>
      <c r="N453">
        <v>62.55</v>
      </c>
      <c r="O453">
        <v>95.43</v>
      </c>
      <c r="P453" t="s">
        <v>20</v>
      </c>
      <c r="Q453" t="s">
        <v>1262</v>
      </c>
      <c r="R453" t="s">
        <v>20</v>
      </c>
      <c r="S453" t="str">
        <f>HYPERLINK("https://cfpub.epa.gov/ecotox/explore.cfm?ncbi=302527","Explore in ECOTOX")</f>
        <v>Explore in ECOTOX</v>
      </c>
    </row>
    <row r="454" spans="1:19" x14ac:dyDescent="0.25">
      <c r="A454">
        <v>6</v>
      </c>
      <c r="B454" t="str">
        <f>HYPERLINK("http://www.ncbi.nlm.nih.gov/protein/NWX53097.1","NWX53097.1")</f>
        <v>NWX53097.1</v>
      </c>
      <c r="C454">
        <v>14617</v>
      </c>
      <c r="D454" t="str">
        <f>HYPERLINK("http://www.ncbi.nlm.nih.gov/Taxonomy/Browser/wwwtax.cgi?mode=Info&amp;id=48435&amp;lvl=3&amp;lin=f&amp;keep=1&amp;srchmode=1&amp;unlock","48435")</f>
        <v>48435</v>
      </c>
      <c r="E454" t="s">
        <v>167</v>
      </c>
      <c r="F454" t="s">
        <v>167</v>
      </c>
      <c r="G454" t="str">
        <f>HYPERLINK("http://www.ncbi.nlm.nih.gov/Taxonomy/Browser/wwwtax.cgi?mode=Info&amp;id=48435&amp;lvl=3&amp;lin=f&amp;keep=1&amp;srchmode=1&amp;unlock","Steatornis caripensis")</f>
        <v>Steatornis caripensis</v>
      </c>
      <c r="H454" t="s">
        <v>263</v>
      </c>
      <c r="I454" t="str">
        <f>HYPERLINK("http://www.ncbi.nlm.nih.gov/protein/NWX53097.1","ANDR protein")</f>
        <v>ANDR protein</v>
      </c>
      <c r="J454" t="s">
        <v>1261</v>
      </c>
      <c r="K454">
        <v>490.73</v>
      </c>
      <c r="L454" t="s">
        <v>25</v>
      </c>
      <c r="M454">
        <v>157</v>
      </c>
      <c r="N454">
        <v>62.55</v>
      </c>
      <c r="O454">
        <v>95.43</v>
      </c>
      <c r="P454" t="s">
        <v>20</v>
      </c>
      <c r="Q454" t="s">
        <v>1262</v>
      </c>
      <c r="R454" t="s">
        <v>20</v>
      </c>
      <c r="S454" t="str">
        <f>HYPERLINK("https://cfpub.epa.gov/ecotox/explore.cfm?ncbi=48435","Explore in ECOTOX")</f>
        <v>Explore in ECOTOX</v>
      </c>
    </row>
    <row r="455" spans="1:19" x14ac:dyDescent="0.25">
      <c r="A455">
        <v>6</v>
      </c>
      <c r="B455" t="str">
        <f>HYPERLINK("http://www.ncbi.nlm.nih.gov/protein/NXB98894.1","NXB98894.1")</f>
        <v>NXB98894.1</v>
      </c>
      <c r="C455">
        <v>14308</v>
      </c>
      <c r="D455" t="str">
        <f>HYPERLINK("http://www.ncbi.nlm.nih.gov/Taxonomy/Browser/wwwtax.cgi?mode=Info&amp;id=38397&amp;lvl=3&amp;lin=f&amp;keep=1&amp;srchmode=1&amp;unlock","38397")</f>
        <v>38397</v>
      </c>
      <c r="E455" t="s">
        <v>167</v>
      </c>
      <c r="F455" t="s">
        <v>167</v>
      </c>
      <c r="G455" t="str">
        <f>HYPERLINK("http://www.ncbi.nlm.nih.gov/Taxonomy/Browser/wwwtax.cgi?mode=Info&amp;id=38397&amp;lvl=3&amp;lin=f&amp;keep=1&amp;srchmode=1&amp;unlock","Orthonyx spaldingii")</f>
        <v>Orthonyx spaldingii</v>
      </c>
      <c r="H455" t="s">
        <v>215</v>
      </c>
      <c r="I455" t="str">
        <f>HYPERLINK("http://www.ncbi.nlm.nih.gov/protein/NXB98894.1","ANDR protein")</f>
        <v>ANDR protein</v>
      </c>
      <c r="J455" t="s">
        <v>1261</v>
      </c>
      <c r="K455">
        <v>490.35</v>
      </c>
      <c r="L455" t="s">
        <v>25</v>
      </c>
      <c r="M455">
        <v>157</v>
      </c>
      <c r="N455">
        <v>62.55</v>
      </c>
      <c r="O455">
        <v>95.36</v>
      </c>
      <c r="P455" t="s">
        <v>20</v>
      </c>
      <c r="Q455" t="s">
        <v>1262</v>
      </c>
      <c r="R455" t="s">
        <v>20</v>
      </c>
      <c r="S455" t="str">
        <f>HYPERLINK("https://cfpub.epa.gov/ecotox/explore.cfm?ncbi=38397","Explore in ECOTOX")</f>
        <v>Explore in ECOTOX</v>
      </c>
    </row>
    <row r="456" spans="1:19" x14ac:dyDescent="0.25">
      <c r="A456">
        <v>6</v>
      </c>
      <c r="B456" t="str">
        <f>HYPERLINK("http://www.ncbi.nlm.nih.gov/protein/KFQ03285.1","KFQ03285.1")</f>
        <v>KFQ03285.1</v>
      </c>
      <c r="C456">
        <v>28808</v>
      </c>
      <c r="D456" t="str">
        <f>HYPERLINK("http://www.ncbi.nlm.nih.gov/Taxonomy/Browser/wwwtax.cgi?mode=Info&amp;id=188344&amp;lvl=3&amp;lin=f&amp;keep=1&amp;srchmode=1&amp;unlock","188344")</f>
        <v>188344</v>
      </c>
      <c r="E456" t="s">
        <v>167</v>
      </c>
      <c r="F456" t="s">
        <v>167</v>
      </c>
      <c r="G456" t="str">
        <f>HYPERLINK("http://www.ncbi.nlm.nih.gov/Taxonomy/Browser/wwwtax.cgi?mode=Info&amp;id=188344&amp;lvl=3&amp;lin=f&amp;keep=1&amp;srchmode=1&amp;unlock","Leptosomus discolor")</f>
        <v>Leptosomus discolor</v>
      </c>
      <c r="H456" t="s">
        <v>174</v>
      </c>
      <c r="I456" t="str">
        <f>HYPERLINK("http://www.ncbi.nlm.nih.gov/protein/KFQ03285.1","Androgen receptor, partial")</f>
        <v>Androgen receptor, partial</v>
      </c>
      <c r="J456" t="s">
        <v>1261</v>
      </c>
      <c r="K456">
        <v>490.35</v>
      </c>
      <c r="L456" t="s">
        <v>25</v>
      </c>
      <c r="M456">
        <v>157</v>
      </c>
      <c r="N456">
        <v>62.55</v>
      </c>
      <c r="O456">
        <v>95.36</v>
      </c>
      <c r="P456" t="s">
        <v>20</v>
      </c>
      <c r="Q456" t="s">
        <v>1262</v>
      </c>
      <c r="R456" t="s">
        <v>20</v>
      </c>
      <c r="S456" t="str">
        <f>HYPERLINK("https://cfpub.epa.gov/ecotox/explore.cfm?ncbi=188344","Explore in ECOTOX")</f>
        <v>Explore in ECOTOX</v>
      </c>
    </row>
    <row r="457" spans="1:19" x14ac:dyDescent="0.25">
      <c r="A457">
        <v>6</v>
      </c>
      <c r="B457" t="str">
        <f>HYPERLINK("http://www.ncbi.nlm.nih.gov/protein/NXT82985.1","NXT82985.1")</f>
        <v>NXT82985.1</v>
      </c>
      <c r="C457">
        <v>13359</v>
      </c>
      <c r="D457" t="str">
        <f>HYPERLINK("http://www.ncbi.nlm.nih.gov/Taxonomy/Browser/wwwtax.cgi?mode=Info&amp;id=2585822&amp;lvl=3&amp;lin=f&amp;keep=1&amp;srchmode=1&amp;unlock","2585822")</f>
        <v>2585822</v>
      </c>
      <c r="E457" t="s">
        <v>167</v>
      </c>
      <c r="F457" t="s">
        <v>167</v>
      </c>
      <c r="G457" t="str">
        <f>HYPERLINK("http://www.ncbi.nlm.nih.gov/Taxonomy/Browser/wwwtax.cgi?mode=Info&amp;id=2585822&amp;lvl=3&amp;lin=f&amp;keep=1&amp;srchmode=1&amp;unlock","Zapornia atra")</f>
        <v>Zapornia atra</v>
      </c>
      <c r="H457" t="s">
        <v>208</v>
      </c>
      <c r="I457" t="str">
        <f>HYPERLINK("http://www.ncbi.nlm.nih.gov/protein/NXT82985.1","ANDR protein")</f>
        <v>ANDR protein</v>
      </c>
      <c r="J457" t="s">
        <v>1261</v>
      </c>
      <c r="K457">
        <v>489.96</v>
      </c>
      <c r="L457" t="s">
        <v>25</v>
      </c>
      <c r="M457">
        <v>157</v>
      </c>
      <c r="N457">
        <v>62.55</v>
      </c>
      <c r="O457">
        <v>95.28</v>
      </c>
      <c r="P457" t="s">
        <v>20</v>
      </c>
      <c r="Q457" t="s">
        <v>1262</v>
      </c>
      <c r="R457" t="s">
        <v>20</v>
      </c>
      <c r="S457" t="str">
        <f>HYPERLINK("https://cfpub.epa.gov/ecotox/explore.cfm?ncbi=2585822","Explore in ECOTOX")</f>
        <v>Explore in ECOTOX</v>
      </c>
    </row>
    <row r="458" spans="1:19" x14ac:dyDescent="0.25">
      <c r="A458">
        <v>6</v>
      </c>
      <c r="B458" t="str">
        <f>HYPERLINK("http://www.ncbi.nlm.nih.gov/protein/NXS72487.1","NXS72487.1")</f>
        <v>NXS72487.1</v>
      </c>
      <c r="C458">
        <v>12873</v>
      </c>
      <c r="D458" t="str">
        <f>HYPERLINK("http://www.ncbi.nlm.nih.gov/Taxonomy/Browser/wwwtax.cgi?mode=Info&amp;id=56262&amp;lvl=3&amp;lin=f&amp;keep=1&amp;srchmode=1&amp;unlock","56262")</f>
        <v>56262</v>
      </c>
      <c r="E458" t="s">
        <v>167</v>
      </c>
      <c r="F458" t="s">
        <v>167</v>
      </c>
      <c r="G458" t="str">
        <f>HYPERLINK("http://www.ncbi.nlm.nih.gov/Taxonomy/Browser/wwwtax.cgi?mode=Info&amp;id=56262&amp;lvl=3&amp;lin=f&amp;keep=1&amp;srchmode=1&amp;unlock","Pandion haliaetus")</f>
        <v>Pandion haliaetus</v>
      </c>
      <c r="H458" t="s">
        <v>324</v>
      </c>
      <c r="I458" t="str">
        <f>HYPERLINK("http://www.ncbi.nlm.nih.gov/protein/NXS72487.1","ANDR protein")</f>
        <v>ANDR protein</v>
      </c>
      <c r="J458" t="s">
        <v>1261</v>
      </c>
      <c r="K458">
        <v>489.57</v>
      </c>
      <c r="L458" t="s">
        <v>25</v>
      </c>
      <c r="M458">
        <v>157</v>
      </c>
      <c r="N458">
        <v>62.55</v>
      </c>
      <c r="O458">
        <v>95.21</v>
      </c>
      <c r="P458" t="s">
        <v>20</v>
      </c>
      <c r="Q458" t="s">
        <v>1262</v>
      </c>
      <c r="R458" t="s">
        <v>20</v>
      </c>
      <c r="S458" t="str">
        <f>HYPERLINK("https://cfpub.epa.gov/ecotox/explore.cfm?ncbi=56262","Explore in ECOTOX")</f>
        <v>Explore in ECOTOX</v>
      </c>
    </row>
    <row r="459" spans="1:19" x14ac:dyDescent="0.25">
      <c r="A459">
        <v>6</v>
      </c>
      <c r="B459" t="str">
        <f>HYPERLINK("http://www.ncbi.nlm.nih.gov/protein/KFO72045.1","KFO72045.1")</f>
        <v>KFO72045.1</v>
      </c>
      <c r="C459">
        <v>30502</v>
      </c>
      <c r="D459" t="str">
        <f>HYPERLINK("http://www.ncbi.nlm.nih.gov/Taxonomy/Browser/wwwtax.cgi?mode=Info&amp;id=55661&amp;lvl=3&amp;lin=f&amp;keep=1&amp;srchmode=1&amp;unlock","55661")</f>
        <v>55661</v>
      </c>
      <c r="E459" t="s">
        <v>167</v>
      </c>
      <c r="F459" t="s">
        <v>167</v>
      </c>
      <c r="G459" t="str">
        <f>HYPERLINK("http://www.ncbi.nlm.nih.gov/Taxonomy/Browser/wwwtax.cgi?mode=Info&amp;id=55661&amp;lvl=3&amp;lin=f&amp;keep=1&amp;srchmode=1&amp;unlock","Cuculus canorus")</f>
        <v>Cuculus canorus</v>
      </c>
      <c r="H459" t="s">
        <v>246</v>
      </c>
      <c r="I459" t="str">
        <f>HYPERLINK("http://www.ncbi.nlm.nih.gov/protein/KFO72045.1","Androgen receptor, partial")</f>
        <v>Androgen receptor, partial</v>
      </c>
      <c r="J459" t="s">
        <v>1261</v>
      </c>
      <c r="K459">
        <v>489.19</v>
      </c>
      <c r="L459" t="s">
        <v>25</v>
      </c>
      <c r="M459">
        <v>157</v>
      </c>
      <c r="N459">
        <v>62.55</v>
      </c>
      <c r="O459">
        <v>95.13</v>
      </c>
      <c r="P459" t="s">
        <v>20</v>
      </c>
      <c r="Q459" t="s">
        <v>1262</v>
      </c>
      <c r="R459" t="s">
        <v>20</v>
      </c>
      <c r="S459" t="str">
        <f>HYPERLINK("https://cfpub.epa.gov/ecotox/explore.cfm?ncbi=55661","Explore in ECOTOX")</f>
        <v>Explore in ECOTOX</v>
      </c>
    </row>
    <row r="460" spans="1:19" x14ac:dyDescent="0.25">
      <c r="A460">
        <v>6</v>
      </c>
      <c r="B460" t="str">
        <f>HYPERLINK("http://www.ncbi.nlm.nih.gov/protein/XP_030918538.1","XP_030918538.1")</f>
        <v>XP_030918538.1</v>
      </c>
      <c r="C460">
        <v>20687</v>
      </c>
      <c r="D460" t="str">
        <f>HYPERLINK("http://www.ncbi.nlm.nih.gov/Taxonomy/Browser/wwwtax.cgi?mode=Info&amp;id=48883&amp;lvl=3&amp;lin=f&amp;keep=1&amp;srchmode=1&amp;unlock","48883")</f>
        <v>48883</v>
      </c>
      <c r="E460" t="s">
        <v>167</v>
      </c>
      <c r="F460" t="s">
        <v>167</v>
      </c>
      <c r="G460" t="str">
        <f>HYPERLINK("http://www.ncbi.nlm.nih.gov/Taxonomy/Browser/wwwtax.cgi?mode=Info&amp;id=48883&amp;lvl=3&amp;lin=f&amp;keep=1&amp;srchmode=1&amp;unlock","Geospiza fortis")</f>
        <v>Geospiza fortis</v>
      </c>
      <c r="H460" t="s">
        <v>411</v>
      </c>
      <c r="I460" t="str">
        <f>HYPERLINK("http://www.ncbi.nlm.nih.gov/protein/XP_030918538.1","androgen receptor")</f>
        <v>androgen receptor</v>
      </c>
      <c r="J460" t="s">
        <v>1261</v>
      </c>
      <c r="K460">
        <v>489.19</v>
      </c>
      <c r="L460" t="s">
        <v>25</v>
      </c>
      <c r="M460">
        <v>157</v>
      </c>
      <c r="N460">
        <v>62.55</v>
      </c>
      <c r="O460">
        <v>95.13</v>
      </c>
      <c r="P460" t="s">
        <v>20</v>
      </c>
      <c r="Q460" t="s">
        <v>1262</v>
      </c>
      <c r="R460" t="s">
        <v>20</v>
      </c>
      <c r="S460" t="str">
        <f>HYPERLINK("https://cfpub.epa.gov/ecotox/explore.cfm?ncbi=48883","Explore in ECOTOX")</f>
        <v>Explore in ECOTOX</v>
      </c>
    </row>
    <row r="461" spans="1:19" x14ac:dyDescent="0.25">
      <c r="A461">
        <v>6</v>
      </c>
      <c r="B461" t="str">
        <f>HYPERLINK("http://www.ncbi.nlm.nih.gov/protein/NWY14237.1","NWY14237.1")</f>
        <v>NWY14237.1</v>
      </c>
      <c r="C461">
        <v>14632</v>
      </c>
      <c r="D461" t="str">
        <f>HYPERLINK("http://www.ncbi.nlm.nih.gov/Taxonomy/Browser/wwwtax.cgi?mode=Info&amp;id=39617&amp;lvl=3&amp;lin=f&amp;keep=1&amp;srchmode=1&amp;unlock","39617")</f>
        <v>39617</v>
      </c>
      <c r="E461" t="s">
        <v>167</v>
      </c>
      <c r="F461" t="s">
        <v>167</v>
      </c>
      <c r="G461" t="str">
        <f>HYPERLINK("http://www.ncbi.nlm.nih.gov/Taxonomy/Browser/wwwtax.cgi?mode=Info&amp;id=39617&amp;lvl=3&amp;lin=f&amp;keep=1&amp;srchmode=1&amp;unlock","Aphelocoma coerulescens")</f>
        <v>Aphelocoma coerulescens</v>
      </c>
      <c r="H461" t="s">
        <v>224</v>
      </c>
      <c r="I461" t="str">
        <f>HYPERLINK("http://www.ncbi.nlm.nih.gov/protein/NWY14237.1","ANDR protein")</f>
        <v>ANDR protein</v>
      </c>
      <c r="J461" t="s">
        <v>1261</v>
      </c>
      <c r="K461">
        <v>488.8</v>
      </c>
      <c r="L461" t="s">
        <v>25</v>
      </c>
      <c r="M461">
        <v>157</v>
      </c>
      <c r="N461">
        <v>62.55</v>
      </c>
      <c r="O461">
        <v>95.06</v>
      </c>
      <c r="P461" t="s">
        <v>20</v>
      </c>
      <c r="Q461" t="s">
        <v>1262</v>
      </c>
      <c r="R461" t="s">
        <v>20</v>
      </c>
      <c r="S461" t="str">
        <f>HYPERLINK("https://cfpub.epa.gov/ecotox/explore.cfm?ncbi=39617","Explore in ECOTOX")</f>
        <v>Explore in ECOTOX</v>
      </c>
    </row>
    <row r="462" spans="1:19" x14ac:dyDescent="0.25">
      <c r="A462">
        <v>6</v>
      </c>
      <c r="B462" t="str">
        <f>HYPERLINK("http://www.ncbi.nlm.nih.gov/protein/NXO72063.1","NXO72063.1")</f>
        <v>NXO72063.1</v>
      </c>
      <c r="C462">
        <v>13570</v>
      </c>
      <c r="D462" t="str">
        <f>HYPERLINK("http://www.ncbi.nlm.nih.gov/Taxonomy/Browser/wwwtax.cgi?mode=Info&amp;id=161653&amp;lvl=3&amp;lin=f&amp;keep=1&amp;srchmode=1&amp;unlock","161653")</f>
        <v>161653</v>
      </c>
      <c r="E462" t="s">
        <v>167</v>
      </c>
      <c r="F462" t="s">
        <v>167</v>
      </c>
      <c r="G462" t="str">
        <f>HYPERLINK("http://www.ncbi.nlm.nih.gov/Taxonomy/Browser/wwwtax.cgi?mode=Info&amp;id=161653&amp;lvl=3&amp;lin=f&amp;keep=1&amp;srchmode=1&amp;unlock","Phainopepla nitens")</f>
        <v>Phainopepla nitens</v>
      </c>
      <c r="H462" t="s">
        <v>206</v>
      </c>
      <c r="I462" t="str">
        <f>HYPERLINK("http://www.ncbi.nlm.nih.gov/protein/NXO72063.1","ANDR protein")</f>
        <v>ANDR protein</v>
      </c>
      <c r="J462" t="s">
        <v>1261</v>
      </c>
      <c r="K462">
        <v>488.8</v>
      </c>
      <c r="L462" t="s">
        <v>25</v>
      </c>
      <c r="M462">
        <v>157</v>
      </c>
      <c r="N462">
        <v>62.55</v>
      </c>
      <c r="O462">
        <v>95.06</v>
      </c>
      <c r="P462" t="s">
        <v>20</v>
      </c>
      <c r="Q462" t="s">
        <v>1262</v>
      </c>
      <c r="R462" t="s">
        <v>20</v>
      </c>
      <c r="S462" t="str">
        <f>HYPERLINK("https://cfpub.epa.gov/ecotox/explore.cfm?ncbi=161653","Explore in ECOTOX")</f>
        <v>Explore in ECOTOX</v>
      </c>
    </row>
    <row r="463" spans="1:19" x14ac:dyDescent="0.25">
      <c r="A463">
        <v>6</v>
      </c>
      <c r="B463" t="str">
        <f>HYPERLINK("http://www.ncbi.nlm.nih.gov/protein/NWU10266.1","NWU10266.1")</f>
        <v>NWU10266.1</v>
      </c>
      <c r="C463">
        <v>13939</v>
      </c>
      <c r="D463" t="str">
        <f>HYPERLINK("http://www.ncbi.nlm.nih.gov/Taxonomy/Browser/wwwtax.cgi?mode=Info&amp;id=114276&amp;lvl=3&amp;lin=f&amp;keep=1&amp;srchmode=1&amp;unlock","114276")</f>
        <v>114276</v>
      </c>
      <c r="E463" t="s">
        <v>167</v>
      </c>
      <c r="F463" t="s">
        <v>167</v>
      </c>
      <c r="G463" t="str">
        <f>HYPERLINK("http://www.ncbi.nlm.nih.gov/Taxonomy/Browser/wwwtax.cgi?mode=Info&amp;id=114276&amp;lvl=3&amp;lin=f&amp;keep=1&amp;srchmode=1&amp;unlock","Cephalopterus ornatus")</f>
        <v>Cephalopterus ornatus</v>
      </c>
      <c r="H463" t="s">
        <v>346</v>
      </c>
      <c r="I463" t="str">
        <f>HYPERLINK("http://www.ncbi.nlm.nih.gov/protein/NWU10266.1","ANDR protein")</f>
        <v>ANDR protein</v>
      </c>
      <c r="J463" t="s">
        <v>1261</v>
      </c>
      <c r="K463">
        <v>488.8</v>
      </c>
      <c r="L463" t="s">
        <v>25</v>
      </c>
      <c r="M463">
        <v>157</v>
      </c>
      <c r="N463">
        <v>62.55</v>
      </c>
      <c r="O463">
        <v>95.06</v>
      </c>
      <c r="P463" t="s">
        <v>20</v>
      </c>
      <c r="Q463" t="s">
        <v>1262</v>
      </c>
      <c r="R463" t="s">
        <v>20</v>
      </c>
      <c r="S463" t="str">
        <f>HYPERLINK("https://cfpub.epa.gov/ecotox/explore.cfm?ncbi=114276","Explore in ECOTOX")</f>
        <v>Explore in ECOTOX</v>
      </c>
    </row>
    <row r="464" spans="1:19" x14ac:dyDescent="0.25">
      <c r="A464">
        <v>6</v>
      </c>
      <c r="B464" t="str">
        <f>HYPERLINK("http://www.ncbi.nlm.nih.gov/protein/NXN85644.1","NXN85644.1")</f>
        <v>NXN85644.1</v>
      </c>
      <c r="C464">
        <v>13865</v>
      </c>
      <c r="D464" t="str">
        <f>HYPERLINK("http://www.ncbi.nlm.nih.gov/Taxonomy/Browser/wwwtax.cgi?mode=Info&amp;id=125297&amp;lvl=3&amp;lin=f&amp;keep=1&amp;srchmode=1&amp;unlock","125297")</f>
        <v>125297</v>
      </c>
      <c r="E464" t="s">
        <v>167</v>
      </c>
      <c r="F464" t="s">
        <v>167</v>
      </c>
      <c r="G464" t="str">
        <f>HYPERLINK("http://www.ncbi.nlm.nih.gov/Taxonomy/Browser/wwwtax.cgi?mode=Info&amp;id=125297&amp;lvl=3&amp;lin=f&amp;keep=1&amp;srchmode=1&amp;unlock","Bombycilla garrulus")</f>
        <v>Bombycilla garrulus</v>
      </c>
      <c r="H464" t="s">
        <v>419</v>
      </c>
      <c r="I464" t="str">
        <f>HYPERLINK("http://www.ncbi.nlm.nih.gov/protein/NXN85644.1","ANDR protein")</f>
        <v>ANDR protein</v>
      </c>
      <c r="J464" t="s">
        <v>1261</v>
      </c>
      <c r="K464">
        <v>488.8</v>
      </c>
      <c r="L464" t="s">
        <v>25</v>
      </c>
      <c r="M464">
        <v>157</v>
      </c>
      <c r="N464">
        <v>62.55</v>
      </c>
      <c r="O464">
        <v>95.06</v>
      </c>
      <c r="P464" t="s">
        <v>20</v>
      </c>
      <c r="Q464" t="s">
        <v>1262</v>
      </c>
      <c r="R464" t="s">
        <v>20</v>
      </c>
      <c r="S464" t="str">
        <f>HYPERLINK("https://cfpub.epa.gov/ecotox/explore.cfm?ncbi=125297","Explore in ECOTOX")</f>
        <v>Explore in ECOTOX</v>
      </c>
    </row>
    <row r="465" spans="1:19" x14ac:dyDescent="0.25">
      <c r="A465">
        <v>6</v>
      </c>
      <c r="B465" t="str">
        <f>HYPERLINK("http://www.ncbi.nlm.nih.gov/protein/KFV08368.1","KFV08368.1")</f>
        <v>KFV08368.1</v>
      </c>
      <c r="C465">
        <v>27073</v>
      </c>
      <c r="D465" t="str">
        <f>HYPERLINK("http://www.ncbi.nlm.nih.gov/Taxonomy/Browser/wwwtax.cgi?mode=Info&amp;id=240206&amp;lvl=3&amp;lin=f&amp;keep=1&amp;srchmode=1&amp;unlock","240206")</f>
        <v>240206</v>
      </c>
      <c r="E465" t="s">
        <v>167</v>
      </c>
      <c r="F465" t="s">
        <v>167</v>
      </c>
      <c r="G465" t="str">
        <f>HYPERLINK("http://www.ncbi.nlm.nih.gov/Taxonomy/Browser/wwwtax.cgi?mode=Info&amp;id=240206&amp;lvl=3&amp;lin=f&amp;keep=1&amp;srchmode=1&amp;unlock","Pterocles gutturalis")</f>
        <v>Pterocles gutturalis</v>
      </c>
      <c r="H465" t="s">
        <v>504</v>
      </c>
      <c r="I465" t="str">
        <f>HYPERLINK("http://www.ncbi.nlm.nih.gov/protein/KFV08368.1","Androgen receptor, partial")</f>
        <v>Androgen receptor, partial</v>
      </c>
      <c r="J465" t="s">
        <v>1261</v>
      </c>
      <c r="K465">
        <v>488.8</v>
      </c>
      <c r="L465" t="s">
        <v>25</v>
      </c>
      <c r="M465">
        <v>157</v>
      </c>
      <c r="N465">
        <v>62.55</v>
      </c>
      <c r="O465">
        <v>95.06</v>
      </c>
      <c r="P465" t="s">
        <v>20</v>
      </c>
      <c r="Q465" t="s">
        <v>1262</v>
      </c>
      <c r="R465" t="s">
        <v>20</v>
      </c>
      <c r="S465" t="str">
        <f>HYPERLINK("https://cfpub.epa.gov/ecotox/explore.cfm?ncbi=240206","Explore in ECOTOX")</f>
        <v>Explore in ECOTOX</v>
      </c>
    </row>
    <row r="466" spans="1:19" x14ac:dyDescent="0.25">
      <c r="A466">
        <v>6</v>
      </c>
      <c r="B466" t="str">
        <f>HYPERLINK("http://www.ncbi.nlm.nih.gov/protein/NXJ37054.1","NXJ37054.1")</f>
        <v>NXJ37054.1</v>
      </c>
      <c r="C466">
        <v>13317</v>
      </c>
      <c r="D466" t="str">
        <f>HYPERLINK("http://www.ncbi.nlm.nih.gov/Taxonomy/Browser/wwwtax.cgi?mode=Info&amp;id=52777&amp;lvl=3&amp;lin=f&amp;keep=1&amp;srchmode=1&amp;unlock","52777")</f>
        <v>52777</v>
      </c>
      <c r="E466" t="s">
        <v>167</v>
      </c>
      <c r="F466" t="s">
        <v>167</v>
      </c>
      <c r="G466" t="str">
        <f>HYPERLINK("http://www.ncbi.nlm.nih.gov/Taxonomy/Browser/wwwtax.cgi?mode=Info&amp;id=52777&amp;lvl=3&amp;lin=f&amp;keep=1&amp;srchmode=1&amp;unlock","Ciconia maguari")</f>
        <v>Ciconia maguari</v>
      </c>
      <c r="H466" t="s">
        <v>514</v>
      </c>
      <c r="I466" t="str">
        <f>HYPERLINK("http://www.ncbi.nlm.nih.gov/protein/NXJ37054.1","ANDR protein")</f>
        <v>ANDR protein</v>
      </c>
      <c r="J466" t="s">
        <v>1261</v>
      </c>
      <c r="K466">
        <v>488.8</v>
      </c>
      <c r="L466" t="s">
        <v>25</v>
      </c>
      <c r="M466">
        <v>157</v>
      </c>
      <c r="N466">
        <v>62.55</v>
      </c>
      <c r="O466">
        <v>95.06</v>
      </c>
      <c r="P466" t="s">
        <v>20</v>
      </c>
      <c r="Q466" t="s">
        <v>1262</v>
      </c>
      <c r="R466" t="s">
        <v>20</v>
      </c>
      <c r="S466" t="str">
        <f>HYPERLINK("https://cfpub.epa.gov/ecotox/explore.cfm?ncbi=52777","Explore in ECOTOX")</f>
        <v>Explore in ECOTOX</v>
      </c>
    </row>
    <row r="467" spans="1:19" x14ac:dyDescent="0.25">
      <c r="A467">
        <v>6</v>
      </c>
      <c r="B467" t="str">
        <f>HYPERLINK("http://www.ncbi.nlm.nih.gov/protein/NP_001035179.1","NP_001035179.1")</f>
        <v>NP_001035179.1</v>
      </c>
      <c r="C467">
        <v>115665</v>
      </c>
      <c r="D467" t="str">
        <f>HYPERLINK("http://www.ncbi.nlm.nih.gov/Taxonomy/Browser/wwwtax.cgi?mode=Info&amp;id=9031&amp;lvl=3&amp;lin=f&amp;keep=1&amp;srchmode=1&amp;unlock","9031")</f>
        <v>9031</v>
      </c>
      <c r="E467" t="s">
        <v>167</v>
      </c>
      <c r="F467" t="s">
        <v>167</v>
      </c>
      <c r="G467" t="str">
        <f>HYPERLINK("http://www.ncbi.nlm.nih.gov/Taxonomy/Browser/wwwtax.cgi?mode=Info&amp;id=9031&amp;lvl=3&amp;lin=f&amp;keep=1&amp;srchmode=1&amp;unlock","Gallus gallus")</f>
        <v>Gallus gallus</v>
      </c>
      <c r="H467" t="s">
        <v>387</v>
      </c>
      <c r="I467" t="str">
        <f>HYPERLINK("http://www.ncbi.nlm.nih.gov/protein/NP_001035179.1","androgen receptor")</f>
        <v>androgen receptor</v>
      </c>
      <c r="J467" t="s">
        <v>1261</v>
      </c>
      <c r="K467">
        <v>488.42</v>
      </c>
      <c r="L467" t="s">
        <v>25</v>
      </c>
      <c r="M467">
        <v>157</v>
      </c>
      <c r="N467">
        <v>62.55</v>
      </c>
      <c r="O467">
        <v>94.98</v>
      </c>
      <c r="P467" t="s">
        <v>20</v>
      </c>
      <c r="Q467" t="s">
        <v>1262</v>
      </c>
      <c r="R467" t="s">
        <v>20</v>
      </c>
      <c r="S467" t="str">
        <f>HYPERLINK("https://cfpub.epa.gov/ecotox/explore.cfm?ncbi=9031","Explore in ECOTOX")</f>
        <v>Explore in ECOTOX</v>
      </c>
    </row>
    <row r="468" spans="1:19" x14ac:dyDescent="0.25">
      <c r="A468">
        <v>6</v>
      </c>
      <c r="B468" t="str">
        <f>HYPERLINK("http://www.ncbi.nlm.nih.gov/protein/XP_031449825.1","XP_031449825.1")</f>
        <v>XP_031449825.1</v>
      </c>
      <c r="C468">
        <v>29368</v>
      </c>
      <c r="D468" t="str">
        <f>HYPERLINK("http://www.ncbi.nlm.nih.gov/Taxonomy/Browser/wwwtax.cgi?mode=Info&amp;id=9054&amp;lvl=3&amp;lin=f&amp;keep=1&amp;srchmode=1&amp;unlock","9054")</f>
        <v>9054</v>
      </c>
      <c r="E468" t="s">
        <v>167</v>
      </c>
      <c r="F468" t="s">
        <v>167</v>
      </c>
      <c r="G468" t="str">
        <f>HYPERLINK("http://www.ncbi.nlm.nih.gov/Taxonomy/Browser/wwwtax.cgi?mode=Info&amp;id=9054&amp;lvl=3&amp;lin=f&amp;keep=1&amp;srchmode=1&amp;unlock","Phasianus colchicus")</f>
        <v>Phasianus colchicus</v>
      </c>
      <c r="H468" t="s">
        <v>397</v>
      </c>
      <c r="I468" t="str">
        <f>HYPERLINK("http://www.ncbi.nlm.nih.gov/protein/XP_031449825.1","androgen receptor")</f>
        <v>androgen receptor</v>
      </c>
      <c r="J468" t="s">
        <v>1261</v>
      </c>
      <c r="K468">
        <v>488.42</v>
      </c>
      <c r="L468" t="s">
        <v>25</v>
      </c>
      <c r="M468">
        <v>157</v>
      </c>
      <c r="N468">
        <v>62.55</v>
      </c>
      <c r="O468">
        <v>94.98</v>
      </c>
      <c r="P468" t="s">
        <v>20</v>
      </c>
      <c r="Q468" t="s">
        <v>1262</v>
      </c>
      <c r="R468" t="s">
        <v>20</v>
      </c>
      <c r="S468" t="str">
        <f>HYPERLINK("https://cfpub.epa.gov/ecotox/explore.cfm?ncbi=9054","Explore in ECOTOX")</f>
        <v>Explore in ECOTOX</v>
      </c>
    </row>
    <row r="469" spans="1:19" x14ac:dyDescent="0.25">
      <c r="A469">
        <v>6</v>
      </c>
      <c r="B469" t="str">
        <f>HYPERLINK("http://www.ncbi.nlm.nih.gov/protein/XP_031410502.1","XP_031410502.1")</f>
        <v>XP_031410502.1</v>
      </c>
      <c r="C469">
        <v>30542</v>
      </c>
      <c r="D469" t="str">
        <f>HYPERLINK("http://www.ncbi.nlm.nih.gov/Taxonomy/Browser/wwwtax.cgi?mode=Info&amp;id=9103&amp;lvl=3&amp;lin=f&amp;keep=1&amp;srchmode=1&amp;unlock","9103")</f>
        <v>9103</v>
      </c>
      <c r="E469" t="s">
        <v>167</v>
      </c>
      <c r="F469" t="s">
        <v>167</v>
      </c>
      <c r="G469" t="str">
        <f>HYPERLINK("http://www.ncbi.nlm.nih.gov/Taxonomy/Browser/wwwtax.cgi?mode=Info&amp;id=9103&amp;lvl=3&amp;lin=f&amp;keep=1&amp;srchmode=1&amp;unlock","Meleagris gallopavo")</f>
        <v>Meleagris gallopavo</v>
      </c>
      <c r="H469" t="s">
        <v>590</v>
      </c>
      <c r="I469" t="str">
        <f>HYPERLINK("http://www.ncbi.nlm.nih.gov/protein/XP_031410502.1","androgen receptor")</f>
        <v>androgen receptor</v>
      </c>
      <c r="J469" t="s">
        <v>1261</v>
      </c>
      <c r="K469">
        <v>488.42</v>
      </c>
      <c r="L469" t="s">
        <v>25</v>
      </c>
      <c r="M469">
        <v>157</v>
      </c>
      <c r="N469">
        <v>62.55</v>
      </c>
      <c r="O469">
        <v>94.98</v>
      </c>
      <c r="P469" t="s">
        <v>20</v>
      </c>
      <c r="Q469" t="s">
        <v>1262</v>
      </c>
      <c r="R469" t="s">
        <v>20</v>
      </c>
      <c r="S469" t="str">
        <f>HYPERLINK("https://cfpub.epa.gov/ecotox/explore.cfm?ncbi=9103","Explore in ECOTOX")</f>
        <v>Explore in ECOTOX</v>
      </c>
    </row>
    <row r="470" spans="1:19" x14ac:dyDescent="0.25">
      <c r="A470">
        <v>6</v>
      </c>
      <c r="B470" t="str">
        <f>HYPERLINK("http://www.ncbi.nlm.nih.gov/protein/POI27812.1","POI27812.1")</f>
        <v>POI27812.1</v>
      </c>
      <c r="C470">
        <v>18021</v>
      </c>
      <c r="D470" t="str">
        <f>HYPERLINK("http://www.ncbi.nlm.nih.gov/Taxonomy/Browser/wwwtax.cgi?mode=Info&amp;id=9083&amp;lvl=3&amp;lin=f&amp;keep=1&amp;srchmode=1&amp;unlock","9083")</f>
        <v>9083</v>
      </c>
      <c r="E470" t="s">
        <v>167</v>
      </c>
      <c r="F470" t="s">
        <v>167</v>
      </c>
      <c r="G470" t="str">
        <f>HYPERLINK("http://www.ncbi.nlm.nih.gov/Taxonomy/Browser/wwwtax.cgi?mode=Info&amp;id=9083&amp;lvl=3&amp;lin=f&amp;keep=1&amp;srchmode=1&amp;unlock","Bambusicola thoracicus")</f>
        <v>Bambusicola thoracicus</v>
      </c>
      <c r="H470" t="s">
        <v>458</v>
      </c>
      <c r="I470" t="str">
        <f>HYPERLINK("http://www.ncbi.nlm.nih.gov/protein/POI27812.1","hypothetical protein CIB84_008438, partial")</f>
        <v>hypothetical protein CIB84_008438, partial</v>
      </c>
      <c r="J470" t="s">
        <v>1261</v>
      </c>
      <c r="K470">
        <v>488.42</v>
      </c>
      <c r="L470" t="s">
        <v>25</v>
      </c>
      <c r="M470">
        <v>157</v>
      </c>
      <c r="N470">
        <v>62.55</v>
      </c>
      <c r="O470">
        <v>94.98</v>
      </c>
      <c r="P470" t="s">
        <v>20</v>
      </c>
      <c r="Q470" t="s">
        <v>1262</v>
      </c>
      <c r="R470" t="s">
        <v>20</v>
      </c>
      <c r="S470" t="str">
        <f>HYPERLINK("https://cfpub.epa.gov/ecotox/explore.cfm?ncbi=9083","Explore in ECOTOX")</f>
        <v>Explore in ECOTOX</v>
      </c>
    </row>
    <row r="471" spans="1:19" x14ac:dyDescent="0.25">
      <c r="A471">
        <v>6</v>
      </c>
      <c r="B471" t="str">
        <f>HYPERLINK("http://www.ncbi.nlm.nih.gov/protein/AXF36050.1","AXF36050.1")</f>
        <v>AXF36050.1</v>
      </c>
      <c r="C471">
        <v>43398</v>
      </c>
      <c r="D471" t="str">
        <f>HYPERLINK("http://www.ncbi.nlm.nih.gov/Taxonomy/Browser/wwwtax.cgi?mode=Info&amp;id=38654&amp;lvl=3&amp;lin=f&amp;keep=1&amp;srchmode=1&amp;unlock","38654")</f>
        <v>38654</v>
      </c>
      <c r="E471" t="s">
        <v>371</v>
      </c>
      <c r="F471" t="s">
        <v>371</v>
      </c>
      <c r="G471" t="str">
        <f>HYPERLINK("http://www.ncbi.nlm.nih.gov/Taxonomy/Browser/wwwtax.cgi?mode=Info&amp;id=38654&amp;lvl=3&amp;lin=f&amp;keep=1&amp;srchmode=1&amp;unlock","Alligator sinensis")</f>
        <v>Alligator sinensis</v>
      </c>
      <c r="H471" t="s">
        <v>376</v>
      </c>
      <c r="I471" t="str">
        <f>HYPERLINK("http://www.ncbi.nlm.nih.gov/protein/AXF36050.1","androgen receptor")</f>
        <v>androgen receptor</v>
      </c>
      <c r="J471" t="s">
        <v>1261</v>
      </c>
      <c r="K471">
        <v>488.03</v>
      </c>
      <c r="L471" t="s">
        <v>25</v>
      </c>
      <c r="M471">
        <v>157</v>
      </c>
      <c r="N471">
        <v>62.55</v>
      </c>
      <c r="O471">
        <v>94.91</v>
      </c>
      <c r="P471" t="s">
        <v>20</v>
      </c>
      <c r="Q471" t="s">
        <v>1262</v>
      </c>
      <c r="R471" t="s">
        <v>20</v>
      </c>
      <c r="S471" t="str">
        <f>HYPERLINK("https://cfpub.epa.gov/ecotox/explore.cfm?ncbi=38654","Explore in ECOTOX")</f>
        <v>Explore in ECOTOX</v>
      </c>
    </row>
    <row r="472" spans="1:19" x14ac:dyDescent="0.25">
      <c r="A472">
        <v>6</v>
      </c>
      <c r="B472" t="str">
        <f>HYPERLINK("http://www.ncbi.nlm.nih.gov/protein/XP_021261575.1","XP_021261575.1")</f>
        <v>XP_021261575.1</v>
      </c>
      <c r="C472">
        <v>43424</v>
      </c>
      <c r="D472" t="str">
        <f>HYPERLINK("http://www.ncbi.nlm.nih.gov/Taxonomy/Browser/wwwtax.cgi?mode=Info&amp;id=8996&amp;lvl=3&amp;lin=f&amp;keep=1&amp;srchmode=1&amp;unlock","8996")</f>
        <v>8996</v>
      </c>
      <c r="E472" t="s">
        <v>167</v>
      </c>
      <c r="F472" t="s">
        <v>167</v>
      </c>
      <c r="G472" t="str">
        <f>HYPERLINK("http://www.ncbi.nlm.nih.gov/Taxonomy/Browser/wwwtax.cgi?mode=Info&amp;id=8996&amp;lvl=3&amp;lin=f&amp;keep=1&amp;srchmode=1&amp;unlock","Numida meleagris")</f>
        <v>Numida meleagris</v>
      </c>
      <c r="H472" t="s">
        <v>454</v>
      </c>
      <c r="I472" t="str">
        <f>HYPERLINK("http://www.ncbi.nlm.nih.gov/protein/XP_021261575.1","androgen receptor")</f>
        <v>androgen receptor</v>
      </c>
      <c r="J472" t="s">
        <v>1261</v>
      </c>
      <c r="K472">
        <v>488.03</v>
      </c>
      <c r="L472" t="s">
        <v>20</v>
      </c>
      <c r="M472">
        <v>157</v>
      </c>
      <c r="N472">
        <v>62.55</v>
      </c>
      <c r="O472">
        <v>94.91</v>
      </c>
      <c r="P472" t="s">
        <v>20</v>
      </c>
      <c r="Q472" t="s">
        <v>1262</v>
      </c>
      <c r="R472" t="s">
        <v>20</v>
      </c>
      <c r="S472" t="str">
        <f>HYPERLINK("https://cfpub.epa.gov/ecotox/explore.cfm?ncbi=8996","Explore in ECOTOX")</f>
        <v>Explore in ECOTOX</v>
      </c>
    </row>
    <row r="473" spans="1:19" x14ac:dyDescent="0.25">
      <c r="A473">
        <v>6</v>
      </c>
      <c r="B473" t="str">
        <f>HYPERLINK("http://www.ncbi.nlm.nih.gov/protein/XP_015715505.1","XP_015715505.1")</f>
        <v>XP_015715505.1</v>
      </c>
      <c r="C473">
        <v>41813</v>
      </c>
      <c r="D473" t="str">
        <f>HYPERLINK("http://www.ncbi.nlm.nih.gov/Taxonomy/Browser/wwwtax.cgi?mode=Info&amp;id=93934&amp;lvl=3&amp;lin=f&amp;keep=1&amp;srchmode=1&amp;unlock","93934")</f>
        <v>93934</v>
      </c>
      <c r="E473" t="s">
        <v>167</v>
      </c>
      <c r="F473" t="s">
        <v>167</v>
      </c>
      <c r="G473" t="str">
        <f>HYPERLINK("http://www.ncbi.nlm.nih.gov/Taxonomy/Browser/wwwtax.cgi?mode=Info&amp;id=93934&amp;lvl=3&amp;lin=f&amp;keep=1&amp;srchmode=1&amp;unlock","Coturnix japonica")</f>
        <v>Coturnix japonica</v>
      </c>
      <c r="H473" t="s">
        <v>367</v>
      </c>
      <c r="I473" t="str">
        <f>HYPERLINK("http://www.ncbi.nlm.nih.gov/protein/XP_015715505.1","androgen receptor")</f>
        <v>androgen receptor</v>
      </c>
      <c r="J473" t="s">
        <v>1261</v>
      </c>
      <c r="K473">
        <v>488.03</v>
      </c>
      <c r="L473" t="s">
        <v>25</v>
      </c>
      <c r="M473">
        <v>157</v>
      </c>
      <c r="N473">
        <v>62.55</v>
      </c>
      <c r="O473">
        <v>94.91</v>
      </c>
      <c r="P473" t="s">
        <v>20</v>
      </c>
      <c r="Q473" t="s">
        <v>1262</v>
      </c>
      <c r="R473" t="s">
        <v>20</v>
      </c>
      <c r="S473" t="str">
        <f>HYPERLINK("https://cfpub.epa.gov/ecotox/explore.cfm?ncbi=93934","Explore in ECOTOX")</f>
        <v>Explore in ECOTOX</v>
      </c>
    </row>
    <row r="474" spans="1:19" x14ac:dyDescent="0.25">
      <c r="A474">
        <v>6</v>
      </c>
      <c r="B474" t="str">
        <f>HYPERLINK("http://www.ncbi.nlm.nih.gov/protein/OXB62659.1","OXB62659.1")</f>
        <v>OXB62659.1</v>
      </c>
      <c r="C474">
        <v>17176</v>
      </c>
      <c r="D474" t="str">
        <f>HYPERLINK("http://www.ncbi.nlm.nih.gov/Taxonomy/Browser/wwwtax.cgi?mode=Info&amp;id=9009&amp;lvl=3&amp;lin=f&amp;keep=1&amp;srchmode=1&amp;unlock","9009")</f>
        <v>9009</v>
      </c>
      <c r="E474" t="s">
        <v>167</v>
      </c>
      <c r="F474" t="s">
        <v>167</v>
      </c>
      <c r="G474" t="str">
        <f>HYPERLINK("http://www.ncbi.nlm.nih.gov/Taxonomy/Browser/wwwtax.cgi?mode=Info&amp;id=9009&amp;lvl=3&amp;lin=f&amp;keep=1&amp;srchmode=1&amp;unlock","Callipepla squamata")</f>
        <v>Callipepla squamata</v>
      </c>
      <c r="H474" t="s">
        <v>976</v>
      </c>
      <c r="I474" t="str">
        <f>HYPERLINK("http://www.ncbi.nlm.nih.gov/protein/OXB62659.1","hypothetical protein ASZ78_006478")</f>
        <v>hypothetical protein ASZ78_006478</v>
      </c>
      <c r="J474" t="s">
        <v>1261</v>
      </c>
      <c r="K474">
        <v>488.03</v>
      </c>
      <c r="L474" t="s">
        <v>25</v>
      </c>
      <c r="M474">
        <v>157</v>
      </c>
      <c r="N474">
        <v>62.55</v>
      </c>
      <c r="O474">
        <v>94.91</v>
      </c>
      <c r="P474" t="s">
        <v>20</v>
      </c>
      <c r="Q474" t="s">
        <v>1262</v>
      </c>
      <c r="R474" t="s">
        <v>20</v>
      </c>
      <c r="S474" t="str">
        <f>HYPERLINK("https://cfpub.epa.gov/ecotox/explore.cfm?ncbi=9009","Explore in ECOTOX")</f>
        <v>Explore in ECOTOX</v>
      </c>
    </row>
    <row r="475" spans="1:19" x14ac:dyDescent="0.25">
      <c r="A475">
        <v>6</v>
      </c>
      <c r="B475" t="str">
        <f>HYPERLINK("http://www.ncbi.nlm.nih.gov/protein/XP_019376541.1","XP_019376541.1")</f>
        <v>XP_019376541.1</v>
      </c>
      <c r="C475">
        <v>27413</v>
      </c>
      <c r="D475" t="str">
        <f>HYPERLINK("http://www.ncbi.nlm.nih.gov/Taxonomy/Browser/wwwtax.cgi?mode=Info&amp;id=94835&amp;lvl=3&amp;lin=f&amp;keep=1&amp;srchmode=1&amp;unlock","94835")</f>
        <v>94835</v>
      </c>
      <c r="E475" t="s">
        <v>371</v>
      </c>
      <c r="F475" t="s">
        <v>371</v>
      </c>
      <c r="G475" t="str">
        <f>HYPERLINK("http://www.ncbi.nlm.nih.gov/Taxonomy/Browser/wwwtax.cgi?mode=Info&amp;id=94835&amp;lvl=3&amp;lin=f&amp;keep=1&amp;srchmode=1&amp;unlock","Gavialis gangeticus")</f>
        <v>Gavialis gangeticus</v>
      </c>
      <c r="H475" t="s">
        <v>453</v>
      </c>
      <c r="I475" t="str">
        <f>HYPERLINK("http://www.ncbi.nlm.nih.gov/protein/XP_019376541.1","PREDICTED: androgen receptor")</f>
        <v>PREDICTED: androgen receptor</v>
      </c>
      <c r="J475" t="s">
        <v>1261</v>
      </c>
      <c r="K475">
        <v>488.03</v>
      </c>
      <c r="L475" t="s">
        <v>25</v>
      </c>
      <c r="M475">
        <v>157</v>
      </c>
      <c r="N475">
        <v>62.55</v>
      </c>
      <c r="O475">
        <v>94.91</v>
      </c>
      <c r="P475" t="s">
        <v>20</v>
      </c>
      <c r="Q475" t="s">
        <v>1262</v>
      </c>
      <c r="R475" t="s">
        <v>20</v>
      </c>
      <c r="S475" t="str">
        <f>HYPERLINK("https://cfpub.epa.gov/ecotox/explore.cfm?ncbi=94835","Explore in ECOTOX")</f>
        <v>Explore in ECOTOX</v>
      </c>
    </row>
    <row r="476" spans="1:19" x14ac:dyDescent="0.25">
      <c r="A476">
        <v>6</v>
      </c>
      <c r="B476" t="str">
        <f>HYPERLINK("http://www.ncbi.nlm.nih.gov/protein/NXJ09376.1","NXJ09376.1")</f>
        <v>NXJ09376.1</v>
      </c>
      <c r="C476">
        <v>13852</v>
      </c>
      <c r="D476" t="str">
        <f>HYPERLINK("http://www.ncbi.nlm.nih.gov/Taxonomy/Browser/wwwtax.cgi?mode=Info&amp;id=886794&amp;lvl=3&amp;lin=f&amp;keep=1&amp;srchmode=1&amp;unlock","886794")</f>
        <v>886794</v>
      </c>
      <c r="E476" t="s">
        <v>167</v>
      </c>
      <c r="F476" t="s">
        <v>167</v>
      </c>
      <c r="G476" t="str">
        <f>HYPERLINK("http://www.ncbi.nlm.nih.gov/Taxonomy/Browser/wwwtax.cgi?mode=Info&amp;id=886794&amp;lvl=3&amp;lin=f&amp;keep=1&amp;srchmode=1&amp;unlock","Odontophorus gujanensis")</f>
        <v>Odontophorus gujanensis</v>
      </c>
      <c r="H476" t="s">
        <v>407</v>
      </c>
      <c r="I476" t="str">
        <f>HYPERLINK("http://www.ncbi.nlm.nih.gov/protein/NXJ09376.1","ANDR protein")</f>
        <v>ANDR protein</v>
      </c>
      <c r="J476" t="s">
        <v>1261</v>
      </c>
      <c r="K476">
        <v>488.03</v>
      </c>
      <c r="L476" t="s">
        <v>25</v>
      </c>
      <c r="M476">
        <v>157</v>
      </c>
      <c r="N476">
        <v>62.55</v>
      </c>
      <c r="O476">
        <v>94.91</v>
      </c>
      <c r="P476" t="s">
        <v>20</v>
      </c>
      <c r="Q476" t="s">
        <v>1262</v>
      </c>
      <c r="R476" t="s">
        <v>20</v>
      </c>
      <c r="S476" t="str">
        <f>HYPERLINK("https://cfpub.epa.gov/ecotox/explore.cfm?ncbi=886794","Explore in ECOTOX")</f>
        <v>Explore in ECOTOX</v>
      </c>
    </row>
    <row r="477" spans="1:19" x14ac:dyDescent="0.25">
      <c r="A477">
        <v>6</v>
      </c>
      <c r="B477" t="str">
        <f>HYPERLINK("http://www.ncbi.nlm.nih.gov/protein/OXB79573.1","OXB79573.1")</f>
        <v>OXB79573.1</v>
      </c>
      <c r="C477">
        <v>17233</v>
      </c>
      <c r="D477" t="str">
        <f>HYPERLINK("http://www.ncbi.nlm.nih.gov/Taxonomy/Browser/wwwtax.cgi?mode=Info&amp;id=9014&amp;lvl=3&amp;lin=f&amp;keep=1&amp;srchmode=1&amp;unlock","9014")</f>
        <v>9014</v>
      </c>
      <c r="E477" t="s">
        <v>167</v>
      </c>
      <c r="F477" t="s">
        <v>167</v>
      </c>
      <c r="G477" t="str">
        <f>HYPERLINK("http://www.ncbi.nlm.nih.gov/Taxonomy/Browser/wwwtax.cgi?mode=Info&amp;id=9014&amp;lvl=3&amp;lin=f&amp;keep=1&amp;srchmode=1&amp;unlock","Colinus virginianus")</f>
        <v>Colinus virginianus</v>
      </c>
      <c r="H477" t="s">
        <v>634</v>
      </c>
      <c r="I477" t="str">
        <f>HYPERLINK("http://www.ncbi.nlm.nih.gov/protein/OXB79573.1","hypothetical protein H355_010959")</f>
        <v>hypothetical protein H355_010959</v>
      </c>
      <c r="J477" t="s">
        <v>1261</v>
      </c>
      <c r="K477">
        <v>488.03</v>
      </c>
      <c r="L477" t="s">
        <v>25</v>
      </c>
      <c r="M477">
        <v>157</v>
      </c>
      <c r="N477">
        <v>62.55</v>
      </c>
      <c r="O477">
        <v>94.91</v>
      </c>
      <c r="P477" t="s">
        <v>20</v>
      </c>
      <c r="Q477" t="s">
        <v>1262</v>
      </c>
      <c r="R477" t="s">
        <v>20</v>
      </c>
      <c r="S477" t="str">
        <f>HYPERLINK("https://cfpub.epa.gov/ecotox/explore.cfm?ncbi=9014","Explore in ECOTOX")</f>
        <v>Explore in ECOTOX</v>
      </c>
    </row>
    <row r="478" spans="1:19" x14ac:dyDescent="0.25">
      <c r="A478">
        <v>6</v>
      </c>
      <c r="B478" t="str">
        <f>HYPERLINK("http://www.ncbi.nlm.nih.gov/protein/XP_019391690.1","XP_019391690.1")</f>
        <v>XP_019391690.1</v>
      </c>
      <c r="C478">
        <v>29001</v>
      </c>
      <c r="D478" t="str">
        <f>HYPERLINK("http://www.ncbi.nlm.nih.gov/Taxonomy/Browser/wwwtax.cgi?mode=Info&amp;id=8502&amp;lvl=3&amp;lin=f&amp;keep=1&amp;srchmode=1&amp;unlock","8502")</f>
        <v>8502</v>
      </c>
      <c r="E478" t="s">
        <v>371</v>
      </c>
      <c r="F478" t="s">
        <v>371</v>
      </c>
      <c r="G478" t="str">
        <f>HYPERLINK("http://www.ncbi.nlm.nih.gov/Taxonomy/Browser/wwwtax.cgi?mode=Info&amp;id=8502&amp;lvl=3&amp;lin=f&amp;keep=1&amp;srchmode=1&amp;unlock","Crocodylus porosus")</f>
        <v>Crocodylus porosus</v>
      </c>
      <c r="H478" t="s">
        <v>408</v>
      </c>
      <c r="I478" t="str">
        <f>HYPERLINK("http://www.ncbi.nlm.nih.gov/protein/XP_019391690.1","PREDICTED: androgen receptor, partial")</f>
        <v>PREDICTED: androgen receptor, partial</v>
      </c>
      <c r="J478" t="s">
        <v>1261</v>
      </c>
      <c r="K478">
        <v>487.26</v>
      </c>
      <c r="L478" t="s">
        <v>25</v>
      </c>
      <c r="M478">
        <v>157</v>
      </c>
      <c r="N478">
        <v>62.55</v>
      </c>
      <c r="O478">
        <v>94.76</v>
      </c>
      <c r="P478" t="s">
        <v>20</v>
      </c>
      <c r="Q478" t="s">
        <v>1262</v>
      </c>
      <c r="R478" t="s">
        <v>20</v>
      </c>
      <c r="S478" t="str">
        <f>HYPERLINK("https://cfpub.epa.gov/ecotox/explore.cfm?ncbi=8502","Explore in ECOTOX")</f>
        <v>Explore in ECOTOX</v>
      </c>
    </row>
    <row r="479" spans="1:19" x14ac:dyDescent="0.25">
      <c r="A479">
        <v>6</v>
      </c>
      <c r="B479" t="str">
        <f>HYPERLINK("http://www.ncbi.nlm.nih.gov/protein/NWW41366.1","NWW41366.1")</f>
        <v>NWW41366.1</v>
      </c>
      <c r="C479">
        <v>12841</v>
      </c>
      <c r="D479" t="str">
        <f>HYPERLINK("http://www.ncbi.nlm.nih.gov/Taxonomy/Browser/wwwtax.cgi?mode=Info&amp;id=181101&amp;lvl=3&amp;lin=f&amp;keep=1&amp;srchmode=1&amp;unlock","181101")</f>
        <v>181101</v>
      </c>
      <c r="E479" t="s">
        <v>167</v>
      </c>
      <c r="F479" t="s">
        <v>167</v>
      </c>
      <c r="G479" t="str">
        <f>HYPERLINK("http://www.ncbi.nlm.nih.gov/Taxonomy/Browser/wwwtax.cgi?mode=Info&amp;id=181101&amp;lvl=3&amp;lin=f&amp;keep=1&amp;srchmode=1&amp;unlock","Panurus biarmicus")</f>
        <v>Panurus biarmicus</v>
      </c>
      <c r="H479" t="s">
        <v>395</v>
      </c>
      <c r="I479" t="str">
        <f>HYPERLINK("http://www.ncbi.nlm.nih.gov/protein/NWW41366.1","ANDR protein")</f>
        <v>ANDR protein</v>
      </c>
      <c r="J479" t="s">
        <v>1261</v>
      </c>
      <c r="K479">
        <v>487.26</v>
      </c>
      <c r="L479" t="s">
        <v>25</v>
      </c>
      <c r="M479">
        <v>157</v>
      </c>
      <c r="N479">
        <v>62.55</v>
      </c>
      <c r="O479">
        <v>94.76</v>
      </c>
      <c r="P479" t="s">
        <v>20</v>
      </c>
      <c r="Q479" t="s">
        <v>1262</v>
      </c>
      <c r="R479" t="s">
        <v>20</v>
      </c>
      <c r="S479" t="str">
        <f>HYPERLINK("https://cfpub.epa.gov/ecotox/explore.cfm?ncbi=181101","Explore in ECOTOX")</f>
        <v>Explore in ECOTOX</v>
      </c>
    </row>
    <row r="480" spans="1:19" x14ac:dyDescent="0.25">
      <c r="A480">
        <v>6</v>
      </c>
      <c r="B480" t="str">
        <f>HYPERLINK("http://www.ncbi.nlm.nih.gov/protein/NXI74886.1","NXI74886.1")</f>
        <v>NXI74886.1</v>
      </c>
      <c r="C480">
        <v>14308</v>
      </c>
      <c r="D480" t="str">
        <f>HYPERLINK("http://www.ncbi.nlm.nih.gov/Taxonomy/Browser/wwwtax.cgi?mode=Info&amp;id=8851&amp;lvl=3&amp;lin=f&amp;keep=1&amp;srchmode=1&amp;unlock","8851")</f>
        <v>8851</v>
      </c>
      <c r="E480" t="s">
        <v>167</v>
      </c>
      <c r="F480" t="s">
        <v>167</v>
      </c>
      <c r="G480" t="str">
        <f>HYPERLINK("http://www.ncbi.nlm.nih.gov/Taxonomy/Browser/wwwtax.cgi?mode=Info&amp;id=8851&amp;lvl=3&amp;lin=f&amp;keep=1&amp;srchmode=1&amp;unlock","Anseranas semipalmata")</f>
        <v>Anseranas semipalmata</v>
      </c>
      <c r="H480" t="s">
        <v>345</v>
      </c>
      <c r="I480" t="str">
        <f>HYPERLINK("http://www.ncbi.nlm.nih.gov/protein/NXI74886.1","ANDR protein")</f>
        <v>ANDR protein</v>
      </c>
      <c r="J480" t="s">
        <v>1261</v>
      </c>
      <c r="K480">
        <v>487.26</v>
      </c>
      <c r="L480" t="s">
        <v>25</v>
      </c>
      <c r="M480">
        <v>157</v>
      </c>
      <c r="N480">
        <v>62.55</v>
      </c>
      <c r="O480">
        <v>94.76</v>
      </c>
      <c r="P480" t="s">
        <v>20</v>
      </c>
      <c r="Q480" t="s">
        <v>1262</v>
      </c>
      <c r="R480" t="s">
        <v>20</v>
      </c>
      <c r="S480" t="str">
        <f>HYPERLINK("https://cfpub.epa.gov/ecotox/explore.cfm?ncbi=8851","Explore in ECOTOX")</f>
        <v>Explore in ECOTOX</v>
      </c>
    </row>
    <row r="481" spans="1:19" x14ac:dyDescent="0.25">
      <c r="A481">
        <v>6</v>
      </c>
      <c r="B481" t="str">
        <f>HYPERLINK("http://www.ncbi.nlm.nih.gov/protein/XP_030901415.2","XP_030901415.2")</f>
        <v>XP_030901415.2</v>
      </c>
      <c r="C481">
        <v>29316</v>
      </c>
      <c r="D481" t="str">
        <f>HYPERLINK("http://www.ncbi.nlm.nih.gov/Taxonomy/Browser/wwwtax.cgi?mode=Info&amp;id=13146&amp;lvl=3&amp;lin=f&amp;keep=1&amp;srchmode=1&amp;unlock","13146")</f>
        <v>13146</v>
      </c>
      <c r="E481" t="s">
        <v>167</v>
      </c>
      <c r="F481" t="s">
        <v>167</v>
      </c>
      <c r="G481" t="str">
        <f>HYPERLINK("http://www.ncbi.nlm.nih.gov/Taxonomy/Browser/wwwtax.cgi?mode=Info&amp;id=13146&amp;lvl=3&amp;lin=f&amp;keep=1&amp;srchmode=1&amp;unlock","Melopsittacus undulatus")</f>
        <v>Melopsittacus undulatus</v>
      </c>
      <c r="H481" t="s">
        <v>415</v>
      </c>
      <c r="I481" t="str">
        <f>HYPERLINK("http://www.ncbi.nlm.nih.gov/protein/XP_030901415.2","androgen receptor isoform X1")</f>
        <v>androgen receptor isoform X1</v>
      </c>
      <c r="J481" t="s">
        <v>1261</v>
      </c>
      <c r="K481">
        <v>486.88</v>
      </c>
      <c r="L481" t="s">
        <v>25</v>
      </c>
      <c r="M481">
        <v>157</v>
      </c>
      <c r="N481">
        <v>62.55</v>
      </c>
      <c r="O481">
        <v>94.68</v>
      </c>
      <c r="P481" t="s">
        <v>20</v>
      </c>
      <c r="Q481" t="s">
        <v>1262</v>
      </c>
      <c r="R481" t="s">
        <v>20</v>
      </c>
      <c r="S481" t="str">
        <f>HYPERLINK("https://cfpub.epa.gov/ecotox/explore.cfm?ncbi=13146","Explore in ECOTOX")</f>
        <v>Explore in ECOTOX</v>
      </c>
    </row>
    <row r="482" spans="1:19" x14ac:dyDescent="0.25">
      <c r="A482">
        <v>6</v>
      </c>
      <c r="B482" t="str">
        <f>HYPERLINK("http://www.ncbi.nlm.nih.gov/protein/KYO38361.1","KYO38361.1")</f>
        <v>KYO38361.1</v>
      </c>
      <c r="C482">
        <v>74714</v>
      </c>
      <c r="D482" t="str">
        <f>HYPERLINK("http://www.ncbi.nlm.nih.gov/Taxonomy/Browser/wwwtax.cgi?mode=Info&amp;id=8496&amp;lvl=3&amp;lin=f&amp;keep=1&amp;srchmode=1&amp;unlock","8496")</f>
        <v>8496</v>
      </c>
      <c r="E482" t="s">
        <v>371</v>
      </c>
      <c r="F482" t="s">
        <v>371</v>
      </c>
      <c r="G482" t="str">
        <f>HYPERLINK("http://www.ncbi.nlm.nih.gov/Taxonomy/Browser/wwwtax.cgi?mode=Info&amp;id=8496&amp;lvl=3&amp;lin=f&amp;keep=1&amp;srchmode=1&amp;unlock","Alligator mississippiensis")</f>
        <v>Alligator mississippiensis</v>
      </c>
      <c r="H482" t="s">
        <v>372</v>
      </c>
      <c r="I482" t="str">
        <f>HYPERLINK("http://www.ncbi.nlm.nih.gov/protein/KYO38361.1","androgen receptor")</f>
        <v>androgen receptor</v>
      </c>
      <c r="J482" t="s">
        <v>1261</v>
      </c>
      <c r="K482">
        <v>484.57</v>
      </c>
      <c r="L482" t="s">
        <v>25</v>
      </c>
      <c r="M482">
        <v>157</v>
      </c>
      <c r="N482">
        <v>62.55</v>
      </c>
      <c r="O482">
        <v>94.23</v>
      </c>
      <c r="P482" t="s">
        <v>20</v>
      </c>
      <c r="Q482" t="s">
        <v>1262</v>
      </c>
      <c r="R482" t="s">
        <v>20</v>
      </c>
      <c r="S482" t="str">
        <f>HYPERLINK("https://cfpub.epa.gov/ecotox/explore.cfm?ncbi=8496","Explore in ECOTOX")</f>
        <v>Explore in ECOTOX</v>
      </c>
    </row>
    <row r="483" spans="1:19" x14ac:dyDescent="0.25">
      <c r="A483">
        <v>6</v>
      </c>
      <c r="B483" t="str">
        <f>HYPERLINK("http://www.ncbi.nlm.nih.gov/protein/NXM75698.1","NXM75698.1")</f>
        <v>NXM75698.1</v>
      </c>
      <c r="C483">
        <v>14138</v>
      </c>
      <c r="D483" t="str">
        <f>HYPERLINK("http://www.ncbi.nlm.nih.gov/Taxonomy/Browser/wwwtax.cgi?mode=Info&amp;id=239386&amp;lvl=3&amp;lin=f&amp;keep=1&amp;srchmode=1&amp;unlock","239386")</f>
        <v>239386</v>
      </c>
      <c r="E483" t="s">
        <v>167</v>
      </c>
      <c r="F483" t="s">
        <v>167</v>
      </c>
      <c r="G483" t="str">
        <f>HYPERLINK("http://www.ncbi.nlm.nih.gov/Taxonomy/Browser/wwwtax.cgi?mode=Info&amp;id=239386&amp;lvl=3&amp;lin=f&amp;keep=1&amp;srchmode=1&amp;unlock","Serilophus lunatus")</f>
        <v>Serilophus lunatus</v>
      </c>
      <c r="H483" t="s">
        <v>443</v>
      </c>
      <c r="I483" t="str">
        <f>HYPERLINK("http://www.ncbi.nlm.nih.gov/protein/NXM75698.1","ANDR protein")</f>
        <v>ANDR protein</v>
      </c>
      <c r="J483" t="s">
        <v>1261</v>
      </c>
      <c r="K483">
        <v>484.18</v>
      </c>
      <c r="L483" t="s">
        <v>25</v>
      </c>
      <c r="M483">
        <v>157</v>
      </c>
      <c r="N483">
        <v>62.55</v>
      </c>
      <c r="O483">
        <v>94.16</v>
      </c>
      <c r="P483" t="s">
        <v>20</v>
      </c>
      <c r="Q483" t="s">
        <v>1262</v>
      </c>
      <c r="R483" t="s">
        <v>20</v>
      </c>
      <c r="S483" t="str">
        <f>HYPERLINK("https://cfpub.epa.gov/ecotox/explore.cfm?ncbi=239386","Explore in ECOTOX")</f>
        <v>Explore in ECOTOX</v>
      </c>
    </row>
    <row r="484" spans="1:19" x14ac:dyDescent="0.25">
      <c r="A484">
        <v>6</v>
      </c>
      <c r="B484" t="str">
        <f>HYPERLINK("http://www.ncbi.nlm.nih.gov/protein/NXD70106.1","NXD70106.1")</f>
        <v>NXD70106.1</v>
      </c>
      <c r="C484">
        <v>13476</v>
      </c>
      <c r="D484" t="str">
        <f>HYPERLINK("http://www.ncbi.nlm.nih.gov/Taxonomy/Browser/wwwtax.cgi?mode=Info&amp;id=176039&amp;lvl=3&amp;lin=f&amp;keep=1&amp;srchmode=1&amp;unlock","176039")</f>
        <v>176039</v>
      </c>
      <c r="E484" t="s">
        <v>167</v>
      </c>
      <c r="F484" t="s">
        <v>167</v>
      </c>
      <c r="G484" t="str">
        <f>HYPERLINK("http://www.ncbi.nlm.nih.gov/Taxonomy/Browser/wwwtax.cgi?mode=Info&amp;id=176039&amp;lvl=3&amp;lin=f&amp;keep=1&amp;srchmode=1&amp;unlock","Eolophus roseicapilla")</f>
        <v>Eolophus roseicapilla</v>
      </c>
      <c r="H484" t="s">
        <v>585</v>
      </c>
      <c r="I484" t="str">
        <f>HYPERLINK("http://www.ncbi.nlm.nih.gov/protein/NXD70106.1","ANDR protein")</f>
        <v>ANDR protein</v>
      </c>
      <c r="J484" t="s">
        <v>1261</v>
      </c>
      <c r="K484">
        <v>481.1</v>
      </c>
      <c r="L484" t="s">
        <v>25</v>
      </c>
      <c r="M484">
        <v>157</v>
      </c>
      <c r="N484">
        <v>62.55</v>
      </c>
      <c r="O484">
        <v>93.56</v>
      </c>
      <c r="P484" t="s">
        <v>20</v>
      </c>
      <c r="Q484" t="s">
        <v>1262</v>
      </c>
      <c r="R484" t="s">
        <v>20</v>
      </c>
      <c r="S484" t="str">
        <f>HYPERLINK("https://cfpub.epa.gov/ecotox/explore.cfm?ncbi=176039","Explore in ECOTOX")</f>
        <v>Explore in ECOTOX</v>
      </c>
    </row>
    <row r="485" spans="1:19" x14ac:dyDescent="0.25">
      <c r="A485">
        <v>6</v>
      </c>
      <c r="B485" t="str">
        <f>HYPERLINK("http://www.ncbi.nlm.nih.gov/protein/KAG0124948.1","KAG0124948.1")</f>
        <v>KAG0124948.1</v>
      </c>
      <c r="C485">
        <v>14275</v>
      </c>
      <c r="D485" t="str">
        <f>HYPERLINK("http://www.ncbi.nlm.nih.gov/Taxonomy/Browser/wwwtax.cgi?mode=Info&amp;id=245042&amp;lvl=3&amp;lin=f&amp;keep=1&amp;srchmode=1&amp;unlock","245042")</f>
        <v>245042</v>
      </c>
      <c r="E485" t="s">
        <v>167</v>
      </c>
      <c r="F485" t="s">
        <v>167</v>
      </c>
      <c r="G485" t="str">
        <f>HYPERLINK("http://www.ncbi.nlm.nih.gov/Taxonomy/Browser/wwwtax.cgi?mode=Info&amp;id=245042&amp;lvl=3&amp;lin=f&amp;keep=1&amp;srchmode=1&amp;unlock","Lamprotornis superbus")</f>
        <v>Lamprotornis superbus</v>
      </c>
      <c r="H485" t="s">
        <v>984</v>
      </c>
      <c r="I485" t="str">
        <f>HYPERLINK("http://www.ncbi.nlm.nih.gov/protein/KAG0124948.1","Androgen receptor, partial")</f>
        <v>Androgen receptor, partial</v>
      </c>
      <c r="J485" t="s">
        <v>1261</v>
      </c>
      <c r="K485">
        <v>477.25</v>
      </c>
      <c r="L485" t="s">
        <v>25</v>
      </c>
      <c r="M485">
        <v>157</v>
      </c>
      <c r="N485">
        <v>62.55</v>
      </c>
      <c r="O485">
        <v>92.81</v>
      </c>
      <c r="P485" t="s">
        <v>20</v>
      </c>
      <c r="Q485" t="s">
        <v>1262</v>
      </c>
      <c r="R485" t="s">
        <v>20</v>
      </c>
      <c r="S485" t="str">
        <f>HYPERLINK("https://cfpub.epa.gov/ecotox/explore.cfm?ncbi=245042","Explore in ECOTOX")</f>
        <v>Explore in ECOTOX</v>
      </c>
    </row>
    <row r="486" spans="1:19" x14ac:dyDescent="0.25">
      <c r="A486">
        <v>6</v>
      </c>
      <c r="B486" t="str">
        <f>HYPERLINK("http://www.ncbi.nlm.nih.gov/protein/XP_040262119.1","XP_040262119.1")</f>
        <v>XP_040262119.1</v>
      </c>
      <c r="C486">
        <v>38439</v>
      </c>
      <c r="D486" t="str">
        <f>HYPERLINK("http://www.ncbi.nlm.nih.gov/Taxonomy/Browser/wwwtax.cgi?mode=Info&amp;id=8384&amp;lvl=3&amp;lin=f&amp;keep=1&amp;srchmode=1&amp;unlock","8384")</f>
        <v>8384</v>
      </c>
      <c r="E486" t="s">
        <v>134</v>
      </c>
      <c r="F486" t="s">
        <v>134</v>
      </c>
      <c r="G486" t="str">
        <f>HYPERLINK("http://www.ncbi.nlm.nih.gov/Taxonomy/Browser/wwwtax.cgi?mode=Info&amp;id=8384&amp;lvl=3&amp;lin=f&amp;keep=1&amp;srchmode=1&amp;unlock","Bufo bufo")</f>
        <v>Bufo bufo</v>
      </c>
      <c r="H486" t="s">
        <v>579</v>
      </c>
      <c r="I486" t="str">
        <f>HYPERLINK("http://www.ncbi.nlm.nih.gov/protein/XP_040262119.1","androgen receptor")</f>
        <v>androgen receptor</v>
      </c>
      <c r="J486" t="s">
        <v>1261</v>
      </c>
      <c r="K486">
        <v>474.94</v>
      </c>
      <c r="L486" t="s">
        <v>20</v>
      </c>
      <c r="M486">
        <v>157</v>
      </c>
      <c r="N486">
        <v>62.55</v>
      </c>
      <c r="O486">
        <v>92.36</v>
      </c>
      <c r="P486" t="s">
        <v>20</v>
      </c>
      <c r="Q486" t="s">
        <v>1262</v>
      </c>
      <c r="R486" t="s">
        <v>20</v>
      </c>
      <c r="S486" t="str">
        <f>HYPERLINK("https://cfpub.epa.gov/ecotox/explore.cfm?ncbi=8384","Explore in ECOTOX")</f>
        <v>Explore in ECOTOX</v>
      </c>
    </row>
    <row r="487" spans="1:19" x14ac:dyDescent="0.25">
      <c r="A487">
        <v>6</v>
      </c>
      <c r="B487" t="str">
        <f>HYPERLINK("http://www.ncbi.nlm.nih.gov/protein/BAM10999.1","BAM10999.1")</f>
        <v>BAM10999.1</v>
      </c>
      <c r="C487">
        <v>137</v>
      </c>
      <c r="D487" t="str">
        <f>HYPERLINK("http://www.ncbi.nlm.nih.gov/Taxonomy/Browser/wwwtax.cgi?mode=Info&amp;id=191197&amp;lvl=3&amp;lin=f&amp;keep=1&amp;srchmode=1&amp;unlock","191197")</f>
        <v>191197</v>
      </c>
      <c r="E487" t="s">
        <v>134</v>
      </c>
      <c r="F487" t="s">
        <v>134</v>
      </c>
      <c r="G487" t="str">
        <f>HYPERLINK("http://www.ncbi.nlm.nih.gov/Taxonomy/Browser/wwwtax.cgi?mode=Info&amp;id=191197&amp;lvl=3&amp;lin=f&amp;keep=1&amp;srchmode=1&amp;unlock","Buergeria buergeri")</f>
        <v>Buergeria buergeri</v>
      </c>
      <c r="H487" t="s">
        <v>995</v>
      </c>
      <c r="I487" t="str">
        <f>HYPERLINK("http://www.ncbi.nlm.nih.gov/protein/BAM10999.1","androgen receptor, partial")</f>
        <v>androgen receptor, partial</v>
      </c>
      <c r="J487" t="s">
        <v>1261</v>
      </c>
      <c r="K487">
        <v>473.4</v>
      </c>
      <c r="L487" t="s">
        <v>25</v>
      </c>
      <c r="M487">
        <v>157</v>
      </c>
      <c r="N487">
        <v>62.55</v>
      </c>
      <c r="O487">
        <v>92.06</v>
      </c>
      <c r="P487" t="s">
        <v>20</v>
      </c>
      <c r="Q487" t="s">
        <v>1262</v>
      </c>
      <c r="R487" t="s">
        <v>20</v>
      </c>
      <c r="S487" t="str">
        <f>HYPERLINK("https://cfpub.epa.gov/ecotox/explore.cfm?ncbi=191197","Explore in ECOTOX")</f>
        <v>Explore in ECOTOX</v>
      </c>
    </row>
    <row r="488" spans="1:19" x14ac:dyDescent="0.25">
      <c r="A488">
        <v>6</v>
      </c>
      <c r="B488" t="str">
        <f>HYPERLINK("http://www.ncbi.nlm.nih.gov/protein/XP_002941888.3","XP_002941888.3")</f>
        <v>XP_002941888.3</v>
      </c>
      <c r="C488">
        <v>122938</v>
      </c>
      <c r="D488" t="str">
        <f>HYPERLINK("http://www.ncbi.nlm.nih.gov/Taxonomy/Browser/wwwtax.cgi?mode=Info&amp;id=8364&amp;lvl=3&amp;lin=f&amp;keep=1&amp;srchmode=1&amp;unlock","8364")</f>
        <v>8364</v>
      </c>
      <c r="E488" t="s">
        <v>134</v>
      </c>
      <c r="F488" t="s">
        <v>134</v>
      </c>
      <c r="G488" t="str">
        <f>HYPERLINK("http://www.ncbi.nlm.nih.gov/Taxonomy/Browser/wwwtax.cgi?mode=Info&amp;id=8364&amp;lvl=3&amp;lin=f&amp;keep=1&amp;srchmode=1&amp;unlock","Xenopus tropicalis")</f>
        <v>Xenopus tropicalis</v>
      </c>
      <c r="H488" t="s">
        <v>468</v>
      </c>
      <c r="I488" t="str">
        <f>HYPERLINK("http://www.ncbi.nlm.nih.gov/protein/XP_002941888.3","androgen receptor")</f>
        <v>androgen receptor</v>
      </c>
      <c r="J488" t="s">
        <v>1261</v>
      </c>
      <c r="K488">
        <v>472.63</v>
      </c>
      <c r="L488" t="s">
        <v>20</v>
      </c>
      <c r="M488">
        <v>157</v>
      </c>
      <c r="N488">
        <v>62.55</v>
      </c>
      <c r="O488">
        <v>91.91</v>
      </c>
      <c r="P488" t="s">
        <v>20</v>
      </c>
      <c r="Q488" t="s">
        <v>1262</v>
      </c>
      <c r="R488" t="s">
        <v>20</v>
      </c>
      <c r="S488" t="str">
        <f>HYPERLINK("https://cfpub.epa.gov/ecotox/explore.cfm?ncbi=8364","Explore in ECOTOX")</f>
        <v>Explore in ECOTOX</v>
      </c>
    </row>
    <row r="489" spans="1:19" x14ac:dyDescent="0.25">
      <c r="A489">
        <v>6</v>
      </c>
      <c r="B489" t="str">
        <f>HYPERLINK("http://www.ncbi.nlm.nih.gov/protein/BAI87835.1","BAI87835.1")</f>
        <v>BAI87835.1</v>
      </c>
      <c r="C489">
        <v>233</v>
      </c>
      <c r="D489" t="str">
        <f>HYPERLINK("http://www.ncbi.nlm.nih.gov/Taxonomy/Browser/wwwtax.cgi?mode=Info&amp;id=8410&amp;lvl=3&amp;lin=f&amp;keep=1&amp;srchmode=1&amp;unlock","8410")</f>
        <v>8410</v>
      </c>
      <c r="E489" t="s">
        <v>134</v>
      </c>
      <c r="F489" t="s">
        <v>134</v>
      </c>
      <c r="G489" t="str">
        <f>HYPERLINK("http://www.ncbi.nlm.nih.gov/Taxonomy/Browser/wwwtax.cgi?mode=Info&amp;id=8410&amp;lvl=3&amp;lin=f&amp;keep=1&amp;srchmode=1&amp;unlock","Glandirana rugosa")</f>
        <v>Glandirana rugosa</v>
      </c>
      <c r="H489" t="s">
        <v>975</v>
      </c>
      <c r="I489" t="str">
        <f>HYPERLINK("http://www.ncbi.nlm.nih.gov/protein/BAI87835.1","androgen receptor")</f>
        <v>androgen receptor</v>
      </c>
      <c r="J489" t="s">
        <v>1261</v>
      </c>
      <c r="K489">
        <v>472.63</v>
      </c>
      <c r="L489" t="s">
        <v>20</v>
      </c>
      <c r="M489">
        <v>157</v>
      </c>
      <c r="N489">
        <v>62.55</v>
      </c>
      <c r="O489">
        <v>91.91</v>
      </c>
      <c r="P489" t="s">
        <v>20</v>
      </c>
      <c r="Q489" t="s">
        <v>1262</v>
      </c>
      <c r="R489" t="s">
        <v>20</v>
      </c>
      <c r="S489" t="str">
        <f>HYPERLINK("https://cfpub.epa.gov/ecotox/explore.cfm?ncbi=8410","Explore in ECOTOX")</f>
        <v>Explore in ECOTOX</v>
      </c>
    </row>
    <row r="490" spans="1:19" x14ac:dyDescent="0.25">
      <c r="A490">
        <v>6</v>
      </c>
      <c r="B490" t="str">
        <f>HYPERLINK("http://www.ncbi.nlm.nih.gov/protein/XP_018410253.1","XP_018410253.1")</f>
        <v>XP_018410253.1</v>
      </c>
      <c r="C490">
        <v>24944</v>
      </c>
      <c r="D490" t="str">
        <f>HYPERLINK("http://www.ncbi.nlm.nih.gov/Taxonomy/Browser/wwwtax.cgi?mode=Info&amp;id=125878&amp;lvl=3&amp;lin=f&amp;keep=1&amp;srchmode=1&amp;unlock","125878")</f>
        <v>125878</v>
      </c>
      <c r="E490" t="s">
        <v>134</v>
      </c>
      <c r="F490" t="s">
        <v>134</v>
      </c>
      <c r="G490" t="str">
        <f>HYPERLINK("http://www.ncbi.nlm.nih.gov/Taxonomy/Browser/wwwtax.cgi?mode=Info&amp;id=125878&amp;lvl=3&amp;lin=f&amp;keep=1&amp;srchmode=1&amp;unlock","Nanorana parkeri")</f>
        <v>Nanorana parkeri</v>
      </c>
      <c r="H490" t="s">
        <v>642</v>
      </c>
      <c r="I490" t="str">
        <f>HYPERLINK("http://www.ncbi.nlm.nih.gov/protein/XP_018410253.1","PREDICTED: androgen receptor")</f>
        <v>PREDICTED: androgen receptor</v>
      </c>
      <c r="J490" t="s">
        <v>1261</v>
      </c>
      <c r="K490">
        <v>472.63</v>
      </c>
      <c r="L490" t="s">
        <v>20</v>
      </c>
      <c r="M490">
        <v>157</v>
      </c>
      <c r="N490">
        <v>62.55</v>
      </c>
      <c r="O490">
        <v>91.91</v>
      </c>
      <c r="P490" t="s">
        <v>20</v>
      </c>
      <c r="Q490" t="s">
        <v>1262</v>
      </c>
      <c r="R490" t="s">
        <v>20</v>
      </c>
      <c r="S490" t="str">
        <f>HYPERLINK("https://cfpub.epa.gov/ecotox/explore.cfm?ncbi=125878","Explore in ECOTOX")</f>
        <v>Explore in ECOTOX</v>
      </c>
    </row>
    <row r="491" spans="1:19" x14ac:dyDescent="0.25">
      <c r="A491">
        <v>6</v>
      </c>
      <c r="B491" t="str">
        <f>HYPERLINK("http://www.ncbi.nlm.nih.gov/protein/XP_040178839.1","XP_040178839.1")</f>
        <v>XP_040178839.1</v>
      </c>
      <c r="C491">
        <v>42547</v>
      </c>
      <c r="D491" t="str">
        <f>HYPERLINK("http://www.ncbi.nlm.nih.gov/Taxonomy/Browser/wwwtax.cgi?mode=Info&amp;id=8407&amp;lvl=3&amp;lin=f&amp;keep=1&amp;srchmode=1&amp;unlock","8407")</f>
        <v>8407</v>
      </c>
      <c r="E491" t="s">
        <v>134</v>
      </c>
      <c r="F491" t="s">
        <v>134</v>
      </c>
      <c r="G491" t="str">
        <f>HYPERLINK("http://www.ncbi.nlm.nih.gov/Taxonomy/Browser/wwwtax.cgi?mode=Info&amp;id=8407&amp;lvl=3&amp;lin=f&amp;keep=1&amp;srchmode=1&amp;unlock","Rana temporaria")</f>
        <v>Rana temporaria</v>
      </c>
      <c r="H491" t="s">
        <v>607</v>
      </c>
      <c r="I491" t="str">
        <f>HYPERLINK("http://www.ncbi.nlm.nih.gov/protein/XP_040178839.1","androgen receptor")</f>
        <v>androgen receptor</v>
      </c>
      <c r="J491" t="s">
        <v>1261</v>
      </c>
      <c r="K491">
        <v>472.63</v>
      </c>
      <c r="L491" t="s">
        <v>20</v>
      </c>
      <c r="M491">
        <v>157</v>
      </c>
      <c r="N491">
        <v>62.55</v>
      </c>
      <c r="O491">
        <v>91.91</v>
      </c>
      <c r="P491" t="s">
        <v>20</v>
      </c>
      <c r="Q491" t="s">
        <v>1262</v>
      </c>
      <c r="R491" t="s">
        <v>20</v>
      </c>
      <c r="S491" t="str">
        <f>HYPERLINK("https://cfpub.epa.gov/ecotox/explore.cfm?ncbi=8407","Explore in ECOTOX")</f>
        <v>Explore in ECOTOX</v>
      </c>
    </row>
    <row r="492" spans="1:19" x14ac:dyDescent="0.25">
      <c r="A492">
        <v>6</v>
      </c>
      <c r="B492" t="str">
        <f>HYPERLINK("http://www.ncbi.nlm.nih.gov/protein/AAC97386.1","AAC97386.1")</f>
        <v>AAC97386.1</v>
      </c>
      <c r="C492">
        <v>129058</v>
      </c>
      <c r="D492" t="str">
        <f>HYPERLINK("http://www.ncbi.nlm.nih.gov/Taxonomy/Browser/wwwtax.cgi?mode=Info&amp;id=8355&amp;lvl=3&amp;lin=f&amp;keep=1&amp;srchmode=1&amp;unlock","8355")</f>
        <v>8355</v>
      </c>
      <c r="E492" t="s">
        <v>134</v>
      </c>
      <c r="F492" t="s">
        <v>134</v>
      </c>
      <c r="G492" t="str">
        <f>HYPERLINK("http://www.ncbi.nlm.nih.gov/Taxonomy/Browser/wwwtax.cgi?mode=Info&amp;id=8355&amp;lvl=3&amp;lin=f&amp;keep=1&amp;srchmode=1&amp;unlock","Xenopus laevis")</f>
        <v>Xenopus laevis</v>
      </c>
      <c r="H492" t="s">
        <v>473</v>
      </c>
      <c r="I492" t="str">
        <f>HYPERLINK("http://www.ncbi.nlm.nih.gov/protein/AAC97386.1","androgen receptor alpha isoform")</f>
        <v>androgen receptor alpha isoform</v>
      </c>
      <c r="J492" t="s">
        <v>1261</v>
      </c>
      <c r="K492">
        <v>471.47</v>
      </c>
      <c r="L492" t="s">
        <v>20</v>
      </c>
      <c r="M492">
        <v>157</v>
      </c>
      <c r="N492">
        <v>62.55</v>
      </c>
      <c r="O492">
        <v>91.69</v>
      </c>
      <c r="P492" t="s">
        <v>20</v>
      </c>
      <c r="Q492" t="s">
        <v>1262</v>
      </c>
      <c r="R492" t="s">
        <v>20</v>
      </c>
      <c r="S492" t="str">
        <f>HYPERLINK("https://cfpub.epa.gov/ecotox/explore.cfm?ncbi=8355","Explore in ECOTOX")</f>
        <v>Explore in ECOTOX</v>
      </c>
    </row>
    <row r="493" spans="1:19" x14ac:dyDescent="0.25">
      <c r="A493">
        <v>6</v>
      </c>
      <c r="B493" t="str">
        <f>HYPERLINK("http://www.ncbi.nlm.nih.gov/protein/XP_029463146.1","XP_029463146.1")</f>
        <v>XP_029463146.1</v>
      </c>
      <c r="C493">
        <v>49320</v>
      </c>
      <c r="D493" t="str">
        <f>HYPERLINK("http://www.ncbi.nlm.nih.gov/Taxonomy/Browser/wwwtax.cgi?mode=Info&amp;id=194408&amp;lvl=3&amp;lin=f&amp;keep=1&amp;srchmode=1&amp;unlock","194408")</f>
        <v>194408</v>
      </c>
      <c r="E493" t="s">
        <v>134</v>
      </c>
      <c r="F493" t="s">
        <v>134</v>
      </c>
      <c r="G493" t="str">
        <f>HYPERLINK("http://www.ncbi.nlm.nih.gov/Taxonomy/Browser/wwwtax.cgi?mode=Info&amp;id=194408&amp;lvl=3&amp;lin=f&amp;keep=1&amp;srchmode=1&amp;unlock","Rhinatrema bivittatum")</f>
        <v>Rhinatrema bivittatum</v>
      </c>
      <c r="H493" t="s">
        <v>393</v>
      </c>
      <c r="I493" t="str">
        <f>HYPERLINK("http://www.ncbi.nlm.nih.gov/protein/XP_029463146.1","androgen receptor")</f>
        <v>androgen receptor</v>
      </c>
      <c r="J493" t="s">
        <v>1261</v>
      </c>
      <c r="K493">
        <v>469.54</v>
      </c>
      <c r="L493" t="s">
        <v>20</v>
      </c>
      <c r="M493">
        <v>157</v>
      </c>
      <c r="N493">
        <v>62.55</v>
      </c>
      <c r="O493">
        <v>91.31</v>
      </c>
      <c r="P493" t="s">
        <v>20</v>
      </c>
      <c r="Q493" t="s">
        <v>1262</v>
      </c>
      <c r="R493" t="s">
        <v>20</v>
      </c>
      <c r="S493" t="str">
        <f>HYPERLINK("https://cfpub.epa.gov/ecotox/explore.cfm?ncbi=194408","Explore in ECOTOX")</f>
        <v>Explore in ECOTOX</v>
      </c>
    </row>
    <row r="494" spans="1:19" x14ac:dyDescent="0.25">
      <c r="A494">
        <v>6</v>
      </c>
      <c r="B494" t="str">
        <f>HYPERLINK("http://www.ncbi.nlm.nih.gov/protein/ETE65931.1","ETE65931.1")</f>
        <v>ETE65931.1</v>
      </c>
      <c r="C494">
        <v>18733</v>
      </c>
      <c r="D494" t="str">
        <f>HYPERLINK("http://www.ncbi.nlm.nih.gov/Taxonomy/Browser/wwwtax.cgi?mode=Info&amp;id=8665&amp;lvl=3&amp;lin=f&amp;keep=1&amp;srchmode=1&amp;unlock","8665")</f>
        <v>8665</v>
      </c>
      <c r="E494" t="s">
        <v>236</v>
      </c>
      <c r="F494" t="s">
        <v>236</v>
      </c>
      <c r="G494" t="str">
        <f>HYPERLINK("http://www.ncbi.nlm.nih.gov/Taxonomy/Browser/wwwtax.cgi?mode=Info&amp;id=8665&amp;lvl=3&amp;lin=f&amp;keep=1&amp;srchmode=1&amp;unlock","Ophiophagus hannah")</f>
        <v>Ophiophagus hannah</v>
      </c>
      <c r="H494" t="s">
        <v>890</v>
      </c>
      <c r="I494" t="str">
        <f>HYPERLINK("http://www.ncbi.nlm.nih.gov/protein/ETE65931.1","Androgen receptor, partial")</f>
        <v>Androgen receptor, partial</v>
      </c>
      <c r="J494" t="s">
        <v>1261</v>
      </c>
      <c r="K494">
        <v>468.77</v>
      </c>
      <c r="L494" t="s">
        <v>25</v>
      </c>
      <c r="M494">
        <v>157</v>
      </c>
      <c r="N494">
        <v>62.55</v>
      </c>
      <c r="O494">
        <v>91.16</v>
      </c>
      <c r="P494" t="s">
        <v>20</v>
      </c>
      <c r="Q494" t="s">
        <v>1262</v>
      </c>
      <c r="R494" t="s">
        <v>20</v>
      </c>
      <c r="S494" t="str">
        <f>HYPERLINK("https://cfpub.epa.gov/ecotox/explore.cfm?ncbi=8665","Explore in ECOTOX")</f>
        <v>Explore in ECOTOX</v>
      </c>
    </row>
    <row r="495" spans="1:19" x14ac:dyDescent="0.25">
      <c r="A495">
        <v>6</v>
      </c>
      <c r="B495" t="str">
        <f>HYPERLINK("http://www.ncbi.nlm.nih.gov/protein/XP_033801389.1","XP_033801389.1")</f>
        <v>XP_033801389.1</v>
      </c>
      <c r="C495">
        <v>50058</v>
      </c>
      <c r="D495" t="str">
        <f>HYPERLINK("http://www.ncbi.nlm.nih.gov/Taxonomy/Browser/wwwtax.cgi?mode=Info&amp;id=260995&amp;lvl=3&amp;lin=f&amp;keep=1&amp;srchmode=1&amp;unlock","260995")</f>
        <v>260995</v>
      </c>
      <c r="E495" t="s">
        <v>134</v>
      </c>
      <c r="F495" t="s">
        <v>134</v>
      </c>
      <c r="G495" t="str">
        <f>HYPERLINK("http://www.ncbi.nlm.nih.gov/Taxonomy/Browser/wwwtax.cgi?mode=Info&amp;id=260995&amp;lvl=3&amp;lin=f&amp;keep=1&amp;srchmode=1&amp;unlock","Geotrypetes seraphini")</f>
        <v>Geotrypetes seraphini</v>
      </c>
      <c r="H495" t="s">
        <v>649</v>
      </c>
      <c r="I495" t="str">
        <f>HYPERLINK("http://www.ncbi.nlm.nih.gov/protein/XP_033801389.1","androgen receptor")</f>
        <v>androgen receptor</v>
      </c>
      <c r="J495" t="s">
        <v>1261</v>
      </c>
      <c r="K495">
        <v>467.23</v>
      </c>
      <c r="L495" t="s">
        <v>25</v>
      </c>
      <c r="M495">
        <v>157</v>
      </c>
      <c r="N495">
        <v>62.55</v>
      </c>
      <c r="O495">
        <v>90.86</v>
      </c>
      <c r="P495" t="s">
        <v>20</v>
      </c>
      <c r="Q495" t="s">
        <v>1262</v>
      </c>
      <c r="R495" t="s">
        <v>20</v>
      </c>
      <c r="S495" t="str">
        <f>HYPERLINK("https://cfpub.epa.gov/ecotox/explore.cfm?ncbi=260995","Explore in ECOTOX")</f>
        <v>Explore in ECOTOX</v>
      </c>
    </row>
    <row r="496" spans="1:19" x14ac:dyDescent="0.25">
      <c r="A496">
        <v>6</v>
      </c>
      <c r="B496" t="str">
        <f>HYPERLINK("http://www.ncbi.nlm.nih.gov/protein/QIS93408.1","QIS93408.1")</f>
        <v>QIS93408.1</v>
      </c>
      <c r="C496">
        <v>162</v>
      </c>
      <c r="D496" t="str">
        <f>HYPERLINK("http://www.ncbi.nlm.nih.gov/Taxonomy/Browser/wwwtax.cgi?mode=Info&amp;id=137245&amp;lvl=3&amp;lin=f&amp;keep=1&amp;srchmode=1&amp;unlock","137245")</f>
        <v>137245</v>
      </c>
      <c r="E496" t="s">
        <v>134</v>
      </c>
      <c r="F496" t="s">
        <v>134</v>
      </c>
      <c r="G496" t="str">
        <f>HYPERLINK("http://www.ncbi.nlm.nih.gov/Taxonomy/Browser/wwwtax.cgi?mode=Info&amp;id=137245&amp;lvl=3&amp;lin=f&amp;keep=1&amp;srchmode=1&amp;unlock","Cynops orientalis")</f>
        <v>Cynops orientalis</v>
      </c>
      <c r="H496" t="s">
        <v>979</v>
      </c>
      <c r="I496" t="str">
        <f>HYPERLINK("http://www.ncbi.nlm.nih.gov/protein/QIS93408.1","androgen receptor AR")</f>
        <v>androgen receptor AR</v>
      </c>
      <c r="J496" t="s">
        <v>1261</v>
      </c>
      <c r="K496">
        <v>461.45</v>
      </c>
      <c r="L496" t="s">
        <v>25</v>
      </c>
      <c r="M496">
        <v>157</v>
      </c>
      <c r="N496">
        <v>62.55</v>
      </c>
      <c r="O496">
        <v>89.74</v>
      </c>
      <c r="P496" t="s">
        <v>20</v>
      </c>
      <c r="Q496" t="s">
        <v>1262</v>
      </c>
      <c r="R496" t="s">
        <v>20</v>
      </c>
      <c r="S496" t="str">
        <f>HYPERLINK("https://cfpub.epa.gov/ecotox/explore.cfm?ncbi=137245","Explore in ECOTOX")</f>
        <v>Explore in ECOTOX</v>
      </c>
    </row>
    <row r="497" spans="1:19" x14ac:dyDescent="0.25">
      <c r="A497">
        <v>6</v>
      </c>
      <c r="B497" t="str">
        <f>HYPERLINK("http://www.ncbi.nlm.nih.gov/protein/XP_030064562.1","XP_030064562.1")</f>
        <v>XP_030064562.1</v>
      </c>
      <c r="C497">
        <v>37123</v>
      </c>
      <c r="D497" t="str">
        <f>HYPERLINK("http://www.ncbi.nlm.nih.gov/Taxonomy/Browser/wwwtax.cgi?mode=Info&amp;id=1415580&amp;lvl=3&amp;lin=f&amp;keep=1&amp;srchmode=1&amp;unlock","1415580")</f>
        <v>1415580</v>
      </c>
      <c r="E497" t="s">
        <v>134</v>
      </c>
      <c r="F497" t="s">
        <v>134</v>
      </c>
      <c r="G497" t="str">
        <f>HYPERLINK("http://www.ncbi.nlm.nih.gov/Taxonomy/Browser/wwwtax.cgi?mode=Info&amp;id=1415580&amp;lvl=3&amp;lin=f&amp;keep=1&amp;srchmode=1&amp;unlock","Microcaecilia unicolor")</f>
        <v>Microcaecilia unicolor</v>
      </c>
      <c r="H497" t="s">
        <v>338</v>
      </c>
      <c r="I497" t="str">
        <f>HYPERLINK("http://www.ncbi.nlm.nih.gov/protein/XP_030064562.1","LOW QUALITY PROTEIN: androgen receptor")</f>
        <v>LOW QUALITY PROTEIN: androgen receptor</v>
      </c>
      <c r="J497" t="s">
        <v>1261</v>
      </c>
      <c r="K497">
        <v>460.69</v>
      </c>
      <c r="L497" t="s">
        <v>20</v>
      </c>
      <c r="M497">
        <v>157</v>
      </c>
      <c r="N497">
        <v>62.55</v>
      </c>
      <c r="O497">
        <v>89.59</v>
      </c>
      <c r="P497" t="s">
        <v>20</v>
      </c>
      <c r="Q497" t="s">
        <v>1262</v>
      </c>
      <c r="R497" t="s">
        <v>20</v>
      </c>
      <c r="S497" t="str">
        <f>HYPERLINK("https://cfpub.epa.gov/ecotox/explore.cfm?ncbi=1415580","Explore in ECOTOX")</f>
        <v>Explore in ECOTOX</v>
      </c>
    </row>
    <row r="498" spans="1:19" x14ac:dyDescent="0.25">
      <c r="A498">
        <v>6</v>
      </c>
      <c r="B498" t="str">
        <f>HYPERLINK("http://www.ncbi.nlm.nih.gov/protein/BAI50383.1","BAI50383.1")</f>
        <v>BAI50383.1</v>
      </c>
      <c r="C498">
        <v>77</v>
      </c>
      <c r="D498" t="str">
        <f>HYPERLINK("http://www.ncbi.nlm.nih.gov/Taxonomy/Browser/wwwtax.cgi?mode=Info&amp;id=596103&amp;lvl=3&amp;lin=f&amp;keep=1&amp;srchmode=1&amp;unlock","596103")</f>
        <v>596103</v>
      </c>
      <c r="E498" t="s">
        <v>236</v>
      </c>
      <c r="F498" t="s">
        <v>236</v>
      </c>
      <c r="G498" t="str">
        <f>HYPERLINK("http://www.ncbi.nlm.nih.gov/Taxonomy/Browser/wwwtax.cgi?mode=Info&amp;id=596103&amp;lvl=3&amp;lin=f&amp;keep=1&amp;srchmode=1&amp;unlock","Leiolepis reevesii rubritaeniata")</f>
        <v>Leiolepis reevesii rubritaeniata</v>
      </c>
      <c r="H498" t="s">
        <v>1014</v>
      </c>
      <c r="I498" t="str">
        <f>HYPERLINK("http://www.ncbi.nlm.nih.gov/protein/BAI50383.1","androgen receptor, partial")</f>
        <v>androgen receptor, partial</v>
      </c>
      <c r="J498" t="s">
        <v>1261</v>
      </c>
      <c r="K498">
        <v>456.06</v>
      </c>
      <c r="L498" t="s">
        <v>25</v>
      </c>
      <c r="M498">
        <v>157</v>
      </c>
      <c r="N498">
        <v>62.55</v>
      </c>
      <c r="O498">
        <v>88.69</v>
      </c>
      <c r="P498" t="s">
        <v>20</v>
      </c>
      <c r="Q498" t="s">
        <v>1262</v>
      </c>
      <c r="R498" t="s">
        <v>20</v>
      </c>
      <c r="S498" t="str">
        <f>HYPERLINK("https://cfpub.epa.gov/ecotox/explore.cfm?ncbi=596103","Explore in ECOTOX")</f>
        <v>Explore in ECOTOX</v>
      </c>
    </row>
    <row r="499" spans="1:19" x14ac:dyDescent="0.25">
      <c r="A499">
        <v>6</v>
      </c>
      <c r="B499" t="str">
        <f>HYPERLINK("http://www.ncbi.nlm.nih.gov/protein/Q7T1K4.1","Q7T1K4.1")</f>
        <v>Q7T1K4.1</v>
      </c>
      <c r="C499">
        <v>30167</v>
      </c>
      <c r="D499" t="str">
        <f>HYPERLINK("http://www.ncbi.nlm.nih.gov/Taxonomy/Browser/wwwtax.cgi?mode=Info&amp;id=8400&amp;lvl=3&amp;lin=f&amp;keep=1&amp;srchmode=1&amp;unlock","8400")</f>
        <v>8400</v>
      </c>
      <c r="E499" t="s">
        <v>134</v>
      </c>
      <c r="F499" t="s">
        <v>134</v>
      </c>
      <c r="G499" t="str">
        <f>HYPERLINK("http://www.ncbi.nlm.nih.gov/Taxonomy/Browser/wwwtax.cgi?mode=Info&amp;id=8400&amp;lvl=3&amp;lin=f&amp;keep=1&amp;srchmode=1&amp;unlock","Lithobates catesbeianus")</f>
        <v>Lithobates catesbeianus</v>
      </c>
      <c r="H499" t="s">
        <v>578</v>
      </c>
      <c r="I499" t="str">
        <f>HYPERLINK("http://www.ncbi.nlm.nih.gov/protein/Q7T1K4.1","RecName: Full=Androgen receptor; Short=bfAR; AltName: Full=Dihydrotestosterone receptor; AltName: Full=Nuclear receptor subfamily 3 group C member 4")</f>
        <v>RecName: Full=Androgen receptor; Short=bfAR; AltName: Full=Dihydrotestosterone receptor; AltName: Full=Nuclear receptor subfamily 3 group C member 4</v>
      </c>
      <c r="J499" t="s">
        <v>1261</v>
      </c>
      <c r="K499">
        <v>429.87</v>
      </c>
      <c r="L499" t="s">
        <v>25</v>
      </c>
      <c r="M499">
        <v>157</v>
      </c>
      <c r="N499">
        <v>62.55</v>
      </c>
      <c r="O499">
        <v>83.6</v>
      </c>
      <c r="P499" t="s">
        <v>20</v>
      </c>
      <c r="Q499" t="s">
        <v>1262</v>
      </c>
      <c r="R499" t="s">
        <v>20</v>
      </c>
      <c r="S499" t="str">
        <f>HYPERLINK("https://cfpub.epa.gov/ecotox/explore.cfm?ncbi=8400","Explore in ECOTOX")</f>
        <v>Explore in ECOTOX</v>
      </c>
    </row>
    <row r="500" spans="1:19" x14ac:dyDescent="0.25">
      <c r="A500">
        <v>6</v>
      </c>
      <c r="B500" t="str">
        <f>HYPERLINK("http://www.ncbi.nlm.nih.gov/protein/XP_008579122.1","XP_008579122.1")</f>
        <v>XP_008579122.1</v>
      </c>
      <c r="C500">
        <v>32194</v>
      </c>
      <c r="D500" t="str">
        <f>HYPERLINK("http://www.ncbi.nlm.nih.gov/Taxonomy/Browser/wwwtax.cgi?mode=Info&amp;id=482537&amp;lvl=3&amp;lin=f&amp;keep=1&amp;srchmode=1&amp;unlock","482537")</f>
        <v>482537</v>
      </c>
      <c r="E500" t="s">
        <v>18</v>
      </c>
      <c r="F500" t="s">
        <v>18</v>
      </c>
      <c r="G500" t="str">
        <f>HYPERLINK("http://www.ncbi.nlm.nih.gov/Taxonomy/Browser/wwwtax.cgi?mode=Info&amp;id=482537&amp;lvl=3&amp;lin=f&amp;keep=1&amp;srchmode=1&amp;unlock","Galeopterus variegatus")</f>
        <v>Galeopterus variegatus</v>
      </c>
      <c r="H500" t="s">
        <v>648</v>
      </c>
      <c r="I500" t="str">
        <f>HYPERLINK("http://www.ncbi.nlm.nih.gov/protein/XP_008579122.1","PREDICTED: androgen receptor")</f>
        <v>PREDICTED: androgen receptor</v>
      </c>
      <c r="J500" t="s">
        <v>1261</v>
      </c>
      <c r="K500">
        <v>417.93</v>
      </c>
      <c r="L500" t="s">
        <v>20</v>
      </c>
      <c r="M500">
        <v>157</v>
      </c>
      <c r="N500">
        <v>62.55</v>
      </c>
      <c r="O500">
        <v>81.27</v>
      </c>
      <c r="P500" t="s">
        <v>20</v>
      </c>
      <c r="Q500" t="s">
        <v>1262</v>
      </c>
      <c r="R500" t="s">
        <v>20</v>
      </c>
      <c r="S500" t="str">
        <f>HYPERLINK("https://cfpub.epa.gov/ecotox/explore.cfm?ncbi=482537","Explore in ECOTOX")</f>
        <v>Explore in ECOTOX</v>
      </c>
    </row>
    <row r="501" spans="1:19" x14ac:dyDescent="0.25">
      <c r="A501">
        <v>6</v>
      </c>
      <c r="B501" t="str">
        <f>HYPERLINK("http://www.ncbi.nlm.nih.gov/protein/AFQ62062.1","AFQ62062.1")</f>
        <v>AFQ62062.1</v>
      </c>
      <c r="C501">
        <v>357</v>
      </c>
      <c r="D501" t="str">
        <f>HYPERLINK("http://www.ncbi.nlm.nih.gov/Taxonomy/Browser/wwwtax.cgi?mode=Info&amp;id=45438&amp;lvl=3&amp;lin=f&amp;keep=1&amp;srchmode=1&amp;unlock","45438")</f>
        <v>45438</v>
      </c>
      <c r="E501" t="s">
        <v>134</v>
      </c>
      <c r="F501" t="s">
        <v>134</v>
      </c>
      <c r="G501" t="str">
        <f>HYPERLINK("http://www.ncbi.nlm.nih.gov/Taxonomy/Browser/wwwtax.cgi?mode=Info&amp;id=45438&amp;lvl=3&amp;lin=f&amp;keep=1&amp;srchmode=1&amp;unlock","Lithobates sylvaticus")</f>
        <v>Lithobates sylvaticus</v>
      </c>
      <c r="H501" t="s">
        <v>1018</v>
      </c>
      <c r="I501" t="str">
        <f>HYPERLINK("http://www.ncbi.nlm.nih.gov/protein/AFQ62062.1","androgen receptor, partial")</f>
        <v>androgen receptor, partial</v>
      </c>
      <c r="J501" t="s">
        <v>1261</v>
      </c>
      <c r="K501">
        <v>417.54</v>
      </c>
      <c r="L501" t="s">
        <v>25</v>
      </c>
      <c r="M501">
        <v>157</v>
      </c>
      <c r="N501">
        <v>62.55</v>
      </c>
      <c r="O501">
        <v>81.2</v>
      </c>
      <c r="P501" t="s">
        <v>20</v>
      </c>
      <c r="Q501" t="s">
        <v>1262</v>
      </c>
      <c r="R501" t="s">
        <v>20</v>
      </c>
      <c r="S501" t="str">
        <f>HYPERLINK("https://cfpub.epa.gov/ecotox/explore.cfm?ncbi=45438","Explore in ECOTOX")</f>
        <v>Explore in ECOTOX</v>
      </c>
    </row>
    <row r="502" spans="1:19" x14ac:dyDescent="0.25">
      <c r="A502">
        <v>6</v>
      </c>
      <c r="B502" t="str">
        <f>HYPERLINK("http://www.ncbi.nlm.nih.gov/protein/XP_019503520.1","XP_019503520.1")</f>
        <v>XP_019503520.1</v>
      </c>
      <c r="C502">
        <v>46132</v>
      </c>
      <c r="D502" t="str">
        <f>HYPERLINK("http://www.ncbi.nlm.nih.gov/Taxonomy/Browser/wwwtax.cgi?mode=Info&amp;id=186990&amp;lvl=3&amp;lin=f&amp;keep=1&amp;srchmode=1&amp;unlock","186990")</f>
        <v>186990</v>
      </c>
      <c r="E502" t="s">
        <v>18</v>
      </c>
      <c r="F502" t="s">
        <v>18</v>
      </c>
      <c r="G502" t="str">
        <f>HYPERLINK("http://www.ncbi.nlm.nih.gov/Taxonomy/Browser/wwwtax.cgi?mode=Info&amp;id=186990&amp;lvl=3&amp;lin=f&amp;keep=1&amp;srchmode=1&amp;unlock","Hipposideros armiger")</f>
        <v>Hipposideros armiger</v>
      </c>
      <c r="H502" t="s">
        <v>82</v>
      </c>
      <c r="I502" t="str">
        <f>HYPERLINK("http://www.ncbi.nlm.nih.gov/protein/XP_019503520.1","PREDICTED: androgen receptor")</f>
        <v>PREDICTED: androgen receptor</v>
      </c>
      <c r="J502" t="s">
        <v>1261</v>
      </c>
      <c r="K502">
        <v>405.99</v>
      </c>
      <c r="L502" t="s">
        <v>20</v>
      </c>
      <c r="M502">
        <v>157</v>
      </c>
      <c r="N502">
        <v>62.55</v>
      </c>
      <c r="O502">
        <v>78.95</v>
      </c>
      <c r="P502" t="s">
        <v>20</v>
      </c>
      <c r="Q502" t="s">
        <v>1262</v>
      </c>
      <c r="R502" t="s">
        <v>20</v>
      </c>
      <c r="S502" t="str">
        <f>HYPERLINK("https://cfpub.epa.gov/ecotox/explore.cfm?ncbi=186990","Explore in ECOTOX")</f>
        <v>Explore in ECOTOX</v>
      </c>
    </row>
    <row r="503" spans="1:19" x14ac:dyDescent="0.25">
      <c r="A503">
        <v>6</v>
      </c>
      <c r="B503" t="str">
        <f>HYPERLINK("http://www.ncbi.nlm.nih.gov/protein/XP_009638408.1","XP_009638408.1")</f>
        <v>XP_009638408.1</v>
      </c>
      <c r="C503">
        <v>37431</v>
      </c>
      <c r="D503" t="str">
        <f>HYPERLINK("http://www.ncbi.nlm.nih.gov/Taxonomy/Browser/wwwtax.cgi?mode=Info&amp;id=188379&amp;lvl=3&amp;lin=f&amp;keep=1&amp;srchmode=1&amp;unlock","188379")</f>
        <v>188379</v>
      </c>
      <c r="E503" t="s">
        <v>167</v>
      </c>
      <c r="F503" t="s">
        <v>167</v>
      </c>
      <c r="G503" t="str">
        <f>HYPERLINK("http://www.ncbi.nlm.nih.gov/Taxonomy/Browser/wwwtax.cgi?mode=Info&amp;id=188379&amp;lvl=3&amp;lin=f&amp;keep=1&amp;srchmode=1&amp;unlock","Egretta garzetta")</f>
        <v>Egretta garzetta</v>
      </c>
      <c r="H503" t="s">
        <v>285</v>
      </c>
      <c r="I503" t="str">
        <f>HYPERLINK("http://www.ncbi.nlm.nih.gov/protein/XP_009638408.1","LOW QUALITY PROTEIN: androgen receptor")</f>
        <v>LOW QUALITY PROTEIN: androgen receptor</v>
      </c>
      <c r="J503" t="s">
        <v>1261</v>
      </c>
      <c r="K503">
        <v>404.44</v>
      </c>
      <c r="L503" t="s">
        <v>25</v>
      </c>
      <c r="M503">
        <v>157</v>
      </c>
      <c r="N503">
        <v>62.55</v>
      </c>
      <c r="O503">
        <v>78.650000000000006</v>
      </c>
      <c r="P503" t="s">
        <v>20</v>
      </c>
      <c r="Q503" t="s">
        <v>1262</v>
      </c>
      <c r="R503" t="s">
        <v>20</v>
      </c>
      <c r="S503" t="str">
        <f>HYPERLINK("https://cfpub.epa.gov/ecotox/explore.cfm?ncbi=188379","Explore in ECOTOX")</f>
        <v>Explore in ECOTOX</v>
      </c>
    </row>
    <row r="504" spans="1:19" x14ac:dyDescent="0.25">
      <c r="A504">
        <v>6</v>
      </c>
      <c r="B504" t="str">
        <f>HYPERLINK("http://www.ncbi.nlm.nih.gov/protein/XP_009815805.1","XP_009815805.1")</f>
        <v>XP_009815805.1</v>
      </c>
      <c r="C504">
        <v>26695</v>
      </c>
      <c r="D504" t="str">
        <f>HYPERLINK("http://www.ncbi.nlm.nih.gov/Taxonomy/Browser/wwwtax.cgi?mode=Info&amp;id=37040&amp;lvl=3&amp;lin=f&amp;keep=1&amp;srchmode=1&amp;unlock","37040")</f>
        <v>37040</v>
      </c>
      <c r="E504" t="s">
        <v>167</v>
      </c>
      <c r="F504" t="s">
        <v>167</v>
      </c>
      <c r="G504" t="str">
        <f>HYPERLINK("http://www.ncbi.nlm.nih.gov/Taxonomy/Browser/wwwtax.cgi?mode=Info&amp;id=37040&amp;lvl=3&amp;lin=f&amp;keep=1&amp;srchmode=1&amp;unlock","Gavia stellata")</f>
        <v>Gavia stellata</v>
      </c>
      <c r="H504" t="s">
        <v>191</v>
      </c>
      <c r="I504" t="str">
        <f>HYPERLINK("http://www.ncbi.nlm.nih.gov/protein/XP_009815805.1","PREDICTED: androgen receptor, partial")</f>
        <v>PREDICTED: androgen receptor, partial</v>
      </c>
      <c r="J504" t="s">
        <v>1261</v>
      </c>
      <c r="K504">
        <v>394.43</v>
      </c>
      <c r="L504" t="s">
        <v>25</v>
      </c>
      <c r="M504">
        <v>157</v>
      </c>
      <c r="N504">
        <v>62.55</v>
      </c>
      <c r="O504">
        <v>76.7</v>
      </c>
      <c r="P504" t="s">
        <v>20</v>
      </c>
      <c r="Q504" t="s">
        <v>1262</v>
      </c>
      <c r="R504" t="s">
        <v>20</v>
      </c>
      <c r="S504" t="str">
        <f>HYPERLINK("https://cfpub.epa.gov/ecotox/explore.cfm?ncbi=37040","Explore in ECOTOX")</f>
        <v>Explore in ECOTOX</v>
      </c>
    </row>
    <row r="505" spans="1:19" x14ac:dyDescent="0.25">
      <c r="A505">
        <v>6</v>
      </c>
      <c r="B505" t="str">
        <f>HYPERLINK("http://www.ncbi.nlm.nih.gov/protein/XP_010281627.1","XP_010281627.1")</f>
        <v>XP_010281627.1</v>
      </c>
      <c r="C505">
        <v>28598</v>
      </c>
      <c r="D505" t="str">
        <f>HYPERLINK("http://www.ncbi.nlm.nih.gov/Taxonomy/Browser/wwwtax.cgi?mode=Info&amp;id=97097&amp;lvl=3&amp;lin=f&amp;keep=1&amp;srchmode=1&amp;unlock","97097")</f>
        <v>97097</v>
      </c>
      <c r="E505" t="s">
        <v>167</v>
      </c>
      <c r="F505" t="s">
        <v>167</v>
      </c>
      <c r="G505" t="str">
        <f>HYPERLINK("http://www.ncbi.nlm.nih.gov/Taxonomy/Browser/wwwtax.cgi?mode=Info&amp;id=97097&amp;lvl=3&amp;lin=f&amp;keep=1&amp;srchmode=1&amp;unlock","Phaethon lepturus")</f>
        <v>Phaethon lepturus</v>
      </c>
      <c r="H505" t="s">
        <v>265</v>
      </c>
      <c r="I505" t="str">
        <f>HYPERLINK("http://www.ncbi.nlm.nih.gov/protein/XP_010281627.1","PREDICTED: androgen receptor, partial")</f>
        <v>PREDICTED: androgen receptor, partial</v>
      </c>
      <c r="J505" t="s">
        <v>1261</v>
      </c>
      <c r="K505">
        <v>391.35</v>
      </c>
      <c r="L505" t="s">
        <v>25</v>
      </c>
      <c r="M505">
        <v>157</v>
      </c>
      <c r="N505">
        <v>62.55</v>
      </c>
      <c r="O505">
        <v>76.099999999999994</v>
      </c>
      <c r="P505" t="s">
        <v>20</v>
      </c>
      <c r="Q505" t="s">
        <v>1262</v>
      </c>
      <c r="R505" t="s">
        <v>20</v>
      </c>
      <c r="S505" t="str">
        <f>HYPERLINK("https://cfpub.epa.gov/ecotox/explore.cfm?ncbi=97097","Explore in ECOTOX")</f>
        <v>Explore in ECOTOX</v>
      </c>
    </row>
    <row r="506" spans="1:19" x14ac:dyDescent="0.25">
      <c r="A506">
        <v>6</v>
      </c>
      <c r="B506" t="str">
        <f>HYPERLINK("http://www.ncbi.nlm.nih.gov/protein/CCP19126.1","CCP19126.1")</f>
        <v>CCP19126.1</v>
      </c>
      <c r="C506">
        <v>237</v>
      </c>
      <c r="D506" t="str">
        <f>HYPERLINK("http://www.ncbi.nlm.nih.gov/Taxonomy/Browser/wwwtax.cgi?mode=Info&amp;id=106881&amp;lvl=3&amp;lin=f&amp;keep=1&amp;srchmode=1&amp;unlock","106881")</f>
        <v>106881</v>
      </c>
      <c r="E506" t="s">
        <v>646</v>
      </c>
      <c r="F506" t="s">
        <v>646</v>
      </c>
      <c r="G506" t="str">
        <f>HYPERLINK("http://www.ncbi.nlm.nih.gov/Taxonomy/Browser/wwwtax.cgi?mode=Info&amp;id=106881&amp;lvl=3&amp;lin=f&amp;keep=1&amp;srchmode=1&amp;unlock","Latimeria menadoensis")</f>
        <v>Latimeria menadoensis</v>
      </c>
      <c r="H506" t="s">
        <v>994</v>
      </c>
      <c r="I506" t="str">
        <f>HYPERLINK("http://www.ncbi.nlm.nih.gov/protein/CCP19126.1","androgen receptor, partial")</f>
        <v>androgen receptor, partial</v>
      </c>
      <c r="J506" t="s">
        <v>1261</v>
      </c>
      <c r="K506">
        <v>390.96</v>
      </c>
      <c r="L506" t="s">
        <v>25</v>
      </c>
      <c r="M506">
        <v>157</v>
      </c>
      <c r="N506">
        <v>62.55</v>
      </c>
      <c r="O506">
        <v>76.03</v>
      </c>
      <c r="P506" t="s">
        <v>20</v>
      </c>
      <c r="Q506" t="s">
        <v>1262</v>
      </c>
      <c r="R506" t="s">
        <v>20</v>
      </c>
      <c r="S506" t="str">
        <f>HYPERLINK("https://cfpub.epa.gov/ecotox/explore.cfm?ncbi=106881","Explore in ECOTOX")</f>
        <v>Explore in ECOTOX</v>
      </c>
    </row>
    <row r="507" spans="1:19" x14ac:dyDescent="0.25">
      <c r="A507">
        <v>6</v>
      </c>
      <c r="B507" t="str">
        <f>HYPERLINK("http://www.ncbi.nlm.nih.gov/protein/XP_014340971.1","XP_014340971.1")</f>
        <v>XP_014340971.1</v>
      </c>
      <c r="C507">
        <v>34479</v>
      </c>
      <c r="D507" t="str">
        <f>HYPERLINK("http://www.ncbi.nlm.nih.gov/Taxonomy/Browser/wwwtax.cgi?mode=Info&amp;id=7897&amp;lvl=3&amp;lin=f&amp;keep=1&amp;srchmode=1&amp;unlock","7897")</f>
        <v>7897</v>
      </c>
      <c r="E507" t="s">
        <v>646</v>
      </c>
      <c r="F507" t="s">
        <v>646</v>
      </c>
      <c r="G507" t="str">
        <f>HYPERLINK("http://www.ncbi.nlm.nih.gov/Taxonomy/Browser/wwwtax.cgi?mode=Info&amp;id=7897&amp;lvl=3&amp;lin=f&amp;keep=1&amp;srchmode=1&amp;unlock","Latimeria chalumnae")</f>
        <v>Latimeria chalumnae</v>
      </c>
      <c r="H507" t="s">
        <v>647</v>
      </c>
      <c r="I507" t="str">
        <f>HYPERLINK("http://www.ncbi.nlm.nih.gov/protein/XP_014340971.1","PREDICTED: androgen receptor")</f>
        <v>PREDICTED: androgen receptor</v>
      </c>
      <c r="J507" t="s">
        <v>1261</v>
      </c>
      <c r="K507">
        <v>390.96</v>
      </c>
      <c r="L507" t="s">
        <v>25</v>
      </c>
      <c r="M507">
        <v>157</v>
      </c>
      <c r="N507">
        <v>62.55</v>
      </c>
      <c r="O507">
        <v>76.03</v>
      </c>
      <c r="P507" t="s">
        <v>20</v>
      </c>
      <c r="Q507" t="s">
        <v>1262</v>
      </c>
      <c r="R507" t="s">
        <v>20</v>
      </c>
      <c r="S507" t="str">
        <f>HYPERLINK("https://cfpub.epa.gov/ecotox/explore.cfm?ncbi=7897","Explore in ECOTOX")</f>
        <v>Explore in ECOTOX</v>
      </c>
    </row>
    <row r="508" spans="1:19" x14ac:dyDescent="0.25">
      <c r="A508">
        <v>6</v>
      </c>
      <c r="B508" t="str">
        <f>HYPERLINK("http://www.ncbi.nlm.nih.gov/protein/XP_010136470.1","XP_010136470.1")</f>
        <v>XP_010136470.1</v>
      </c>
      <c r="C508">
        <v>27223</v>
      </c>
      <c r="D508" t="str">
        <f>HYPERLINK("http://www.ncbi.nlm.nih.gov/Taxonomy/Browser/wwwtax.cgi?mode=Info&amp;id=175836&amp;lvl=3&amp;lin=f&amp;keep=1&amp;srchmode=1&amp;unlock","175836")</f>
        <v>175836</v>
      </c>
      <c r="E508" t="s">
        <v>167</v>
      </c>
      <c r="F508" t="s">
        <v>167</v>
      </c>
      <c r="G508" t="str">
        <f>HYPERLINK("http://www.ncbi.nlm.nih.gov/Taxonomy/Browser/wwwtax.cgi?mode=Info&amp;id=175836&amp;lvl=3&amp;lin=f&amp;keep=1&amp;srchmode=1&amp;unlock","Buceros rhinoceros silvestris")</f>
        <v>Buceros rhinoceros silvestris</v>
      </c>
      <c r="H508" t="s">
        <v>301</v>
      </c>
      <c r="I508" t="str">
        <f>HYPERLINK("http://www.ncbi.nlm.nih.gov/protein/XP_010136470.1","PREDICTED: androgen receptor, partial")</f>
        <v>PREDICTED: androgen receptor, partial</v>
      </c>
      <c r="J508" t="s">
        <v>1261</v>
      </c>
      <c r="K508">
        <v>389.81</v>
      </c>
      <c r="L508" t="s">
        <v>25</v>
      </c>
      <c r="M508">
        <v>157</v>
      </c>
      <c r="N508">
        <v>62.55</v>
      </c>
      <c r="O508">
        <v>75.8</v>
      </c>
      <c r="P508" t="s">
        <v>20</v>
      </c>
      <c r="Q508" t="s">
        <v>1262</v>
      </c>
      <c r="R508" t="s">
        <v>20</v>
      </c>
      <c r="S508" t="str">
        <f>HYPERLINK("https://cfpub.epa.gov/ecotox/explore.cfm?ncbi=175836","Explore in ECOTOX")</f>
        <v>Explore in ECOTOX</v>
      </c>
    </row>
    <row r="509" spans="1:19" x14ac:dyDescent="0.25">
      <c r="A509">
        <v>6</v>
      </c>
      <c r="B509" t="str">
        <f>HYPERLINK("http://www.ncbi.nlm.nih.gov/protein/MBN3301371.1","MBN3301371.1")</f>
        <v>MBN3301371.1</v>
      </c>
      <c r="C509">
        <v>16713</v>
      </c>
      <c r="D509" t="str">
        <f>HYPERLINK("http://www.ncbi.nlm.nih.gov/Taxonomy/Browser/wwwtax.cgi?mode=Info&amp;id=7924&amp;lvl=3&amp;lin=f&amp;keep=1&amp;srchmode=1&amp;unlock","7924")</f>
        <v>7924</v>
      </c>
      <c r="E509" t="s">
        <v>384</v>
      </c>
      <c r="F509" t="s">
        <v>384</v>
      </c>
      <c r="G509" t="str">
        <f>HYPERLINK("http://www.ncbi.nlm.nih.gov/Taxonomy/Browser/wwwtax.cgi?mode=Info&amp;id=7924&amp;lvl=3&amp;lin=f&amp;keep=1&amp;srchmode=1&amp;unlock","Amia calva")</f>
        <v>Amia calva</v>
      </c>
      <c r="H509" t="s">
        <v>997</v>
      </c>
      <c r="I509" t="str">
        <f>HYPERLINK("http://www.ncbi.nlm.nih.gov/protein/MBN3301371.1","ANDR protein")</f>
        <v>ANDR protein</v>
      </c>
      <c r="J509" t="s">
        <v>1261</v>
      </c>
      <c r="K509">
        <v>388.27</v>
      </c>
      <c r="L509" t="s">
        <v>25</v>
      </c>
      <c r="M509">
        <v>157</v>
      </c>
      <c r="N509">
        <v>62.55</v>
      </c>
      <c r="O509">
        <v>75.5</v>
      </c>
      <c r="P509" t="s">
        <v>20</v>
      </c>
      <c r="Q509" t="s">
        <v>1262</v>
      </c>
      <c r="R509" t="s">
        <v>20</v>
      </c>
      <c r="S509" t="str">
        <f>HYPERLINK("https://cfpub.epa.gov/ecotox/explore.cfm?ncbi=7924","Explore in ECOTOX")</f>
        <v>Explore in ECOTOX</v>
      </c>
    </row>
    <row r="510" spans="1:19" x14ac:dyDescent="0.25">
      <c r="A510">
        <v>6</v>
      </c>
      <c r="B510" t="str">
        <f>HYPERLINK("http://www.ncbi.nlm.nih.gov/protein/XP_039622287.1","XP_039622287.1")</f>
        <v>XP_039622287.1</v>
      </c>
      <c r="C510">
        <v>64388</v>
      </c>
      <c r="D510" t="str">
        <f>HYPERLINK("http://www.ncbi.nlm.nih.gov/Taxonomy/Browser/wwwtax.cgi?mode=Info&amp;id=55291&amp;lvl=3&amp;lin=f&amp;keep=1&amp;srchmode=1&amp;unlock","55291")</f>
        <v>55291</v>
      </c>
      <c r="E510" t="s">
        <v>522</v>
      </c>
      <c r="F510" t="s">
        <v>522</v>
      </c>
      <c r="G510" t="str">
        <f>HYPERLINK("http://www.ncbi.nlm.nih.gov/Taxonomy/Browser/wwwtax.cgi?mode=Info&amp;id=55291&amp;lvl=3&amp;lin=f&amp;keep=1&amp;srchmode=1&amp;unlock","Polypterus senegalus")</f>
        <v>Polypterus senegalus</v>
      </c>
      <c r="H510" t="s">
        <v>554</v>
      </c>
      <c r="I510" t="str">
        <f>HYPERLINK("http://www.ncbi.nlm.nih.gov/protein/XP_039622287.1","androgen receptor")</f>
        <v>androgen receptor</v>
      </c>
      <c r="J510" t="s">
        <v>1261</v>
      </c>
      <c r="K510">
        <v>387.11</v>
      </c>
      <c r="L510" t="s">
        <v>25</v>
      </c>
      <c r="M510">
        <v>157</v>
      </c>
      <c r="N510">
        <v>62.55</v>
      </c>
      <c r="O510">
        <v>75.28</v>
      </c>
      <c r="P510" t="s">
        <v>20</v>
      </c>
      <c r="Q510" t="s">
        <v>1262</v>
      </c>
      <c r="R510" t="s">
        <v>20</v>
      </c>
      <c r="S510" t="str">
        <f>HYPERLINK("https://cfpub.epa.gov/ecotox/explore.cfm?ncbi=55291","Explore in ECOTOX")</f>
        <v>Explore in ECOTOX</v>
      </c>
    </row>
    <row r="511" spans="1:19" x14ac:dyDescent="0.25">
      <c r="A511">
        <v>6</v>
      </c>
      <c r="B511" t="str">
        <f>HYPERLINK("http://www.ncbi.nlm.nih.gov/protein/XP_028838042.1","XP_028838042.1")</f>
        <v>XP_028838042.1</v>
      </c>
      <c r="C511">
        <v>50098</v>
      </c>
      <c r="D511" t="str">
        <f>HYPERLINK("http://www.ncbi.nlm.nih.gov/Taxonomy/Browser/wwwtax.cgi?mode=Info&amp;id=299321&amp;lvl=3&amp;lin=f&amp;keep=1&amp;srchmode=1&amp;unlock","299321")</f>
        <v>299321</v>
      </c>
      <c r="E511" t="s">
        <v>384</v>
      </c>
      <c r="F511" t="s">
        <v>384</v>
      </c>
      <c r="G511" t="str">
        <f>HYPERLINK("http://www.ncbi.nlm.nih.gov/Taxonomy/Browser/wwwtax.cgi?mode=Info&amp;id=299321&amp;lvl=3&amp;lin=f&amp;keep=1&amp;srchmode=1&amp;unlock","Denticeps clupeoides")</f>
        <v>Denticeps clupeoides</v>
      </c>
      <c r="H511" t="s">
        <v>506</v>
      </c>
      <c r="I511" t="str">
        <f>HYPERLINK("http://www.ncbi.nlm.nih.gov/protein/XP_028838042.1","androgen receptor-like")</f>
        <v>androgen receptor-like</v>
      </c>
      <c r="J511" t="s">
        <v>1261</v>
      </c>
      <c r="K511">
        <v>384.42</v>
      </c>
      <c r="L511" t="s">
        <v>25</v>
      </c>
      <c r="M511">
        <v>157</v>
      </c>
      <c r="N511">
        <v>62.55</v>
      </c>
      <c r="O511">
        <v>74.760000000000005</v>
      </c>
      <c r="P511" t="s">
        <v>20</v>
      </c>
      <c r="Q511" t="s">
        <v>1262</v>
      </c>
      <c r="R511" t="s">
        <v>20</v>
      </c>
      <c r="S511" t="str">
        <f>HYPERLINK("https://cfpub.epa.gov/ecotox/explore.cfm?ncbi=299321","Explore in ECOTOX")</f>
        <v>Explore in ECOTOX</v>
      </c>
    </row>
    <row r="512" spans="1:19" x14ac:dyDescent="0.25">
      <c r="A512">
        <v>6</v>
      </c>
      <c r="B512" t="str">
        <f>HYPERLINK("http://www.ncbi.nlm.nih.gov/protein/XP_028671330.1","XP_028671330.1")</f>
        <v>XP_028671330.1</v>
      </c>
      <c r="C512">
        <v>35768</v>
      </c>
      <c r="D512" t="str">
        <f>HYPERLINK("http://www.ncbi.nlm.nih.gov/Taxonomy/Browser/wwwtax.cgi?mode=Info&amp;id=27687&amp;lvl=3&amp;lin=f&amp;keep=1&amp;srchmode=1&amp;unlock","27687")</f>
        <v>27687</v>
      </c>
      <c r="E512" t="s">
        <v>522</v>
      </c>
      <c r="F512" t="s">
        <v>522</v>
      </c>
      <c r="G512" t="str">
        <f>HYPERLINK("http://www.ncbi.nlm.nih.gov/Taxonomy/Browser/wwwtax.cgi?mode=Info&amp;id=27687&amp;lvl=3&amp;lin=f&amp;keep=1&amp;srchmode=1&amp;unlock","Erpetoichthys calabaricus")</f>
        <v>Erpetoichthys calabaricus</v>
      </c>
      <c r="H512" t="s">
        <v>523</v>
      </c>
      <c r="I512" t="str">
        <f>HYPERLINK("http://www.ncbi.nlm.nih.gov/protein/XP_028671330.1","androgen receptor")</f>
        <v>androgen receptor</v>
      </c>
      <c r="J512" t="s">
        <v>1261</v>
      </c>
      <c r="K512">
        <v>383.64</v>
      </c>
      <c r="L512" t="s">
        <v>25</v>
      </c>
      <c r="M512">
        <v>157</v>
      </c>
      <c r="N512">
        <v>62.55</v>
      </c>
      <c r="O512">
        <v>74.61</v>
      </c>
      <c r="P512" t="s">
        <v>20</v>
      </c>
      <c r="Q512" t="s">
        <v>1262</v>
      </c>
      <c r="R512" t="s">
        <v>20</v>
      </c>
      <c r="S512" t="str">
        <f>HYPERLINK("https://cfpub.epa.gov/ecotox/explore.cfm?ncbi=27687","Explore in ECOTOX")</f>
        <v>Explore in ECOTOX</v>
      </c>
    </row>
    <row r="513" spans="1:19" x14ac:dyDescent="0.25">
      <c r="A513">
        <v>6</v>
      </c>
      <c r="B513" t="str">
        <f>HYPERLINK("http://www.ncbi.nlm.nih.gov/protein/XP_013927643.1","XP_013927643.1")</f>
        <v>XP_013927643.1</v>
      </c>
      <c r="C513">
        <v>25644</v>
      </c>
      <c r="D513" t="str">
        <f>HYPERLINK("http://www.ncbi.nlm.nih.gov/Taxonomy/Browser/wwwtax.cgi?mode=Info&amp;id=35019&amp;lvl=3&amp;lin=f&amp;keep=1&amp;srchmode=1&amp;unlock","35019")</f>
        <v>35019</v>
      </c>
      <c r="E513" t="s">
        <v>236</v>
      </c>
      <c r="F513" t="s">
        <v>236</v>
      </c>
      <c r="G513" t="str">
        <f>HYPERLINK("http://www.ncbi.nlm.nih.gov/Taxonomy/Browser/wwwtax.cgi?mode=Info&amp;id=35019&amp;lvl=3&amp;lin=f&amp;keep=1&amp;srchmode=1&amp;unlock","Thamnophis sirtalis")</f>
        <v>Thamnophis sirtalis</v>
      </c>
      <c r="H513" t="s">
        <v>653</v>
      </c>
      <c r="I513" t="str">
        <f>HYPERLINK("http://www.ncbi.nlm.nih.gov/protein/XP_013927643.1","PREDICTED: androgen receptor")</f>
        <v>PREDICTED: androgen receptor</v>
      </c>
      <c r="J513" t="s">
        <v>1261</v>
      </c>
      <c r="K513">
        <v>382.87</v>
      </c>
      <c r="L513" t="s">
        <v>25</v>
      </c>
      <c r="M513">
        <v>157</v>
      </c>
      <c r="N513">
        <v>62.55</v>
      </c>
      <c r="O513">
        <v>74.459999999999994</v>
      </c>
      <c r="P513" t="s">
        <v>20</v>
      </c>
      <c r="Q513" t="s">
        <v>1262</v>
      </c>
      <c r="R513" t="s">
        <v>20</v>
      </c>
      <c r="S513" t="str">
        <f>HYPERLINK("https://cfpub.epa.gov/ecotox/explore.cfm?ncbi=35019","Explore in ECOTOX")</f>
        <v>Explore in ECOTOX</v>
      </c>
    </row>
    <row r="514" spans="1:19" x14ac:dyDescent="0.25">
      <c r="A514">
        <v>6</v>
      </c>
      <c r="B514" t="str">
        <f>HYPERLINK("http://www.ncbi.nlm.nih.gov/protein/MBN3318739.1","MBN3318739.1")</f>
        <v>MBN3318739.1</v>
      </c>
      <c r="C514">
        <v>15567</v>
      </c>
      <c r="D514" t="str">
        <f>HYPERLINK("http://www.ncbi.nlm.nih.gov/Taxonomy/Browser/wwwtax.cgi?mode=Info&amp;id=7917&amp;lvl=3&amp;lin=f&amp;keep=1&amp;srchmode=1&amp;unlock","7917")</f>
        <v>7917</v>
      </c>
      <c r="E514" t="s">
        <v>384</v>
      </c>
      <c r="F514" t="s">
        <v>384</v>
      </c>
      <c r="G514" t="str">
        <f>HYPERLINK("http://www.ncbi.nlm.nih.gov/Taxonomy/Browser/wwwtax.cgi?mode=Info&amp;id=7917&amp;lvl=3&amp;lin=f&amp;keep=1&amp;srchmode=1&amp;unlock","Atractosteus spatula")</f>
        <v>Atractosteus spatula</v>
      </c>
      <c r="H514" t="s">
        <v>632</v>
      </c>
      <c r="I514" t="str">
        <f>HYPERLINK("http://www.ncbi.nlm.nih.gov/protein/MBN3318739.1","ANDR protein")</f>
        <v>ANDR protein</v>
      </c>
      <c r="J514" t="s">
        <v>1261</v>
      </c>
      <c r="K514">
        <v>382.1</v>
      </c>
      <c r="L514" t="s">
        <v>25</v>
      </c>
      <c r="M514">
        <v>157</v>
      </c>
      <c r="N514">
        <v>62.55</v>
      </c>
      <c r="O514">
        <v>74.31</v>
      </c>
      <c r="P514" t="s">
        <v>20</v>
      </c>
      <c r="Q514" t="s">
        <v>1262</v>
      </c>
      <c r="R514" t="s">
        <v>20</v>
      </c>
      <c r="S514" t="str">
        <f>HYPERLINK("https://cfpub.epa.gov/ecotox/explore.cfm?ncbi=7917","Explore in ECOTOX")</f>
        <v>Explore in ECOTOX</v>
      </c>
    </row>
    <row r="515" spans="1:19" x14ac:dyDescent="0.25">
      <c r="A515">
        <v>6</v>
      </c>
      <c r="B515" t="str">
        <f>HYPERLINK("http://www.ncbi.nlm.nih.gov/protein/XP_029113724.1","XP_029113724.1")</f>
        <v>XP_029113724.1</v>
      </c>
      <c r="C515">
        <v>72416</v>
      </c>
      <c r="D515" t="str">
        <f>HYPERLINK("http://www.ncbi.nlm.nih.gov/Taxonomy/Browser/wwwtax.cgi?mode=Info&amp;id=113540&amp;lvl=3&amp;lin=f&amp;keep=1&amp;srchmode=1&amp;unlock","113540")</f>
        <v>113540</v>
      </c>
      <c r="E515" t="s">
        <v>384</v>
      </c>
      <c r="F515" t="s">
        <v>384</v>
      </c>
      <c r="G515" t="str">
        <f>HYPERLINK("http://www.ncbi.nlm.nih.gov/Taxonomy/Browser/wwwtax.cgi?mode=Info&amp;id=113540&amp;lvl=3&amp;lin=f&amp;keep=1&amp;srchmode=1&amp;unlock","Scleropages formosus")</f>
        <v>Scleropages formosus</v>
      </c>
      <c r="H515" t="s">
        <v>627</v>
      </c>
      <c r="I515" t="str">
        <f>HYPERLINK("http://www.ncbi.nlm.nih.gov/protein/XP_029113724.1","androgen receptor")</f>
        <v>androgen receptor</v>
      </c>
      <c r="J515" t="s">
        <v>1261</v>
      </c>
      <c r="K515">
        <v>381.72</v>
      </c>
      <c r="L515" t="s">
        <v>25</v>
      </c>
      <c r="M515">
        <v>157</v>
      </c>
      <c r="N515">
        <v>62.55</v>
      </c>
      <c r="O515">
        <v>74.23</v>
      </c>
      <c r="P515" t="s">
        <v>20</v>
      </c>
      <c r="Q515" t="s">
        <v>1262</v>
      </c>
      <c r="R515" t="s">
        <v>20</v>
      </c>
      <c r="S515" t="str">
        <f>HYPERLINK("https://cfpub.epa.gov/ecotox/explore.cfm?ncbi=113540","Explore in ECOTOX")</f>
        <v>Explore in ECOTOX</v>
      </c>
    </row>
    <row r="516" spans="1:19" x14ac:dyDescent="0.25">
      <c r="A516">
        <v>6</v>
      </c>
      <c r="B516" t="str">
        <f>HYPERLINK("http://www.ncbi.nlm.nih.gov/protein/KAF7241998.1","KAF7241998.1")</f>
        <v>KAF7241998.1</v>
      </c>
      <c r="C516">
        <v>18342</v>
      </c>
      <c r="D516" t="str">
        <f>HYPERLINK("http://www.ncbi.nlm.nih.gov/Taxonomy/Browser/wwwtax.cgi?mode=Info&amp;id=61221&amp;lvl=3&amp;lin=f&amp;keep=1&amp;srchmode=1&amp;unlock","61221")</f>
        <v>61221</v>
      </c>
      <c r="E516" t="s">
        <v>236</v>
      </c>
      <c r="F516" t="s">
        <v>236</v>
      </c>
      <c r="G516" t="str">
        <f>HYPERLINK("http://www.ncbi.nlm.nih.gov/Taxonomy/Browser/wwwtax.cgi?mode=Info&amp;id=61221&amp;lvl=3&amp;lin=f&amp;keep=1&amp;srchmode=1&amp;unlock","Varanus komodoensis")</f>
        <v>Varanus komodoensis</v>
      </c>
      <c r="H516" t="s">
        <v>333</v>
      </c>
      <c r="I516" t="str">
        <f>HYPERLINK("http://www.ncbi.nlm.nih.gov/protein/KAF7241998.1","Androgen receptor")</f>
        <v>Androgen receptor</v>
      </c>
      <c r="J516" t="s">
        <v>1261</v>
      </c>
      <c r="K516">
        <v>380.56</v>
      </c>
      <c r="L516" t="s">
        <v>25</v>
      </c>
      <c r="M516">
        <v>157</v>
      </c>
      <c r="N516">
        <v>62.55</v>
      </c>
      <c r="O516">
        <v>74.010000000000005</v>
      </c>
      <c r="P516" t="s">
        <v>20</v>
      </c>
      <c r="Q516" t="s">
        <v>1262</v>
      </c>
      <c r="R516" t="s">
        <v>20</v>
      </c>
      <c r="S516" t="str">
        <f>HYPERLINK("https://cfpub.epa.gov/ecotox/explore.cfm?ncbi=61221","Explore in ECOTOX")</f>
        <v>Explore in ECOTOX</v>
      </c>
    </row>
    <row r="517" spans="1:19" x14ac:dyDescent="0.25">
      <c r="A517">
        <v>6</v>
      </c>
      <c r="B517" t="str">
        <f>HYPERLINK("http://www.ncbi.nlm.nih.gov/protein/XP_006632826.1","XP_006632826.1")</f>
        <v>XP_006632826.1</v>
      </c>
      <c r="C517">
        <v>41863</v>
      </c>
      <c r="D517" t="str">
        <f>HYPERLINK("http://www.ncbi.nlm.nih.gov/Taxonomy/Browser/wwwtax.cgi?mode=Info&amp;id=7918&amp;lvl=3&amp;lin=f&amp;keep=1&amp;srchmode=1&amp;unlock","7918")</f>
        <v>7918</v>
      </c>
      <c r="E517" t="s">
        <v>384</v>
      </c>
      <c r="F517" t="s">
        <v>384</v>
      </c>
      <c r="G517" t="str">
        <f>HYPERLINK("http://www.ncbi.nlm.nih.gov/Taxonomy/Browser/wwwtax.cgi?mode=Info&amp;id=7918&amp;lvl=3&amp;lin=f&amp;keep=1&amp;srchmode=1&amp;unlock","Lepisosteus oculatus")</f>
        <v>Lepisosteus oculatus</v>
      </c>
      <c r="H517" t="s">
        <v>537</v>
      </c>
      <c r="I517" t="str">
        <f>HYPERLINK("http://www.ncbi.nlm.nih.gov/protein/XP_006632826.1","PREDICTED: androgen receptor")</f>
        <v>PREDICTED: androgen receptor</v>
      </c>
      <c r="J517" t="s">
        <v>1261</v>
      </c>
      <c r="K517">
        <v>380.18</v>
      </c>
      <c r="L517" t="s">
        <v>25</v>
      </c>
      <c r="M517">
        <v>157</v>
      </c>
      <c r="N517">
        <v>62.55</v>
      </c>
      <c r="O517">
        <v>73.930000000000007</v>
      </c>
      <c r="P517" t="s">
        <v>20</v>
      </c>
      <c r="Q517" t="s">
        <v>1262</v>
      </c>
      <c r="R517" t="s">
        <v>20</v>
      </c>
      <c r="S517" t="str">
        <f>HYPERLINK("https://cfpub.epa.gov/ecotox/explore.cfm?ncbi=7918","Explore in ECOTOX")</f>
        <v>Explore in ECOTOX</v>
      </c>
    </row>
    <row r="518" spans="1:19" x14ac:dyDescent="0.25">
      <c r="A518">
        <v>6</v>
      </c>
      <c r="B518" t="str">
        <f>HYPERLINK("http://www.ncbi.nlm.nih.gov/protein/ABW79801.1","ABW79801.1")</f>
        <v>ABW79801.1</v>
      </c>
      <c r="C518">
        <v>316</v>
      </c>
      <c r="D518" t="str">
        <f>HYPERLINK("http://www.ncbi.nlm.nih.gov/Taxonomy/Browser/wwwtax.cgi?mode=Info&amp;id=7782&amp;lvl=3&amp;lin=f&amp;keep=1&amp;srchmode=1&amp;unlock","7782")</f>
        <v>7782</v>
      </c>
      <c r="E518" t="s">
        <v>550</v>
      </c>
      <c r="F518" t="s">
        <v>550</v>
      </c>
      <c r="G518" t="str">
        <f>HYPERLINK("http://www.ncbi.nlm.nih.gov/Taxonomy/Browser/wwwtax.cgi?mode=Info&amp;id=7782&amp;lvl=3&amp;lin=f&amp;keep=1&amp;srchmode=1&amp;unlock","Leucoraja erinacea")</f>
        <v>Leucoraja erinacea</v>
      </c>
      <c r="H518" t="s">
        <v>1003</v>
      </c>
      <c r="I518" t="str">
        <f>HYPERLINK("http://www.ncbi.nlm.nih.gov/protein/ABW79801.1","testicular androgen receptor, partial")</f>
        <v>testicular androgen receptor, partial</v>
      </c>
      <c r="J518" t="s">
        <v>1261</v>
      </c>
      <c r="K518">
        <v>379.79</v>
      </c>
      <c r="L518" t="s">
        <v>25</v>
      </c>
      <c r="M518">
        <v>157</v>
      </c>
      <c r="N518">
        <v>62.55</v>
      </c>
      <c r="O518">
        <v>73.86</v>
      </c>
      <c r="P518" t="s">
        <v>20</v>
      </c>
      <c r="Q518" t="s">
        <v>1262</v>
      </c>
      <c r="R518" t="s">
        <v>20</v>
      </c>
      <c r="S518" t="str">
        <f>HYPERLINK("https://cfpub.epa.gov/ecotox/explore.cfm?ncbi=7782","Explore in ECOTOX")</f>
        <v>Explore in ECOTOX</v>
      </c>
    </row>
    <row r="519" spans="1:19" x14ac:dyDescent="0.25">
      <c r="A519">
        <v>6</v>
      </c>
      <c r="B519" t="str">
        <f>HYPERLINK("http://www.ncbi.nlm.nih.gov/protein/XP_032885987.1","XP_032885987.1")</f>
        <v>XP_032885987.1</v>
      </c>
      <c r="C519">
        <v>38961</v>
      </c>
      <c r="D519" t="str">
        <f>HYPERLINK("http://www.ncbi.nlm.nih.gov/Taxonomy/Browser/wwwtax.cgi?mode=Info&amp;id=386614&amp;lvl=3&amp;lin=f&amp;keep=1&amp;srchmode=1&amp;unlock","386614")</f>
        <v>386614</v>
      </c>
      <c r="E519" t="s">
        <v>550</v>
      </c>
      <c r="F519" t="s">
        <v>550</v>
      </c>
      <c r="G519" t="str">
        <f>HYPERLINK("http://www.ncbi.nlm.nih.gov/Taxonomy/Browser/wwwtax.cgi?mode=Info&amp;id=386614&amp;lvl=3&amp;lin=f&amp;keep=1&amp;srchmode=1&amp;unlock","Amblyraja radiata")</f>
        <v>Amblyraja radiata</v>
      </c>
      <c r="H519" t="s">
        <v>633</v>
      </c>
      <c r="I519" t="str">
        <f>HYPERLINK("http://www.ncbi.nlm.nih.gov/protein/XP_032885987.1","LOW QUALITY PROTEIN: androgen receptor")</f>
        <v>LOW QUALITY PROTEIN: androgen receptor</v>
      </c>
      <c r="J519" t="s">
        <v>1261</v>
      </c>
      <c r="K519">
        <v>379.79</v>
      </c>
      <c r="L519" t="s">
        <v>25</v>
      </c>
      <c r="M519">
        <v>157</v>
      </c>
      <c r="N519">
        <v>62.55</v>
      </c>
      <c r="O519">
        <v>73.86</v>
      </c>
      <c r="P519" t="s">
        <v>20</v>
      </c>
      <c r="Q519" t="s">
        <v>1262</v>
      </c>
      <c r="R519" t="s">
        <v>20</v>
      </c>
      <c r="S519" t="str">
        <f>HYPERLINK("https://cfpub.epa.gov/ecotox/explore.cfm?ncbi=386614","Explore in ECOTOX")</f>
        <v>Explore in ECOTOX</v>
      </c>
    </row>
    <row r="520" spans="1:19" x14ac:dyDescent="0.25">
      <c r="A520">
        <v>6</v>
      </c>
      <c r="B520" t="str">
        <f>HYPERLINK("http://www.ncbi.nlm.nih.gov/protein/XP_010893698.1","XP_010893698.1")</f>
        <v>XP_010893698.1</v>
      </c>
      <c r="C520">
        <v>59853</v>
      </c>
      <c r="D520" t="str">
        <f>HYPERLINK("http://www.ncbi.nlm.nih.gov/Taxonomy/Browser/wwwtax.cgi?mode=Info&amp;id=8010&amp;lvl=3&amp;lin=f&amp;keep=1&amp;srchmode=1&amp;unlock","8010")</f>
        <v>8010</v>
      </c>
      <c r="E520" t="s">
        <v>384</v>
      </c>
      <c r="F520" t="s">
        <v>384</v>
      </c>
      <c r="G520" t="str">
        <f>HYPERLINK("http://www.ncbi.nlm.nih.gov/Taxonomy/Browser/wwwtax.cgi?mode=Info&amp;id=8010&amp;lvl=3&amp;lin=f&amp;keep=1&amp;srchmode=1&amp;unlock","Esox lucius")</f>
        <v>Esox lucius</v>
      </c>
      <c r="H520" t="s">
        <v>489</v>
      </c>
      <c r="I520" t="str">
        <f>HYPERLINK("http://www.ncbi.nlm.nih.gov/protein/XP_010893698.1","androgen receptor isoform X1")</f>
        <v>androgen receptor isoform X1</v>
      </c>
      <c r="J520" t="s">
        <v>1261</v>
      </c>
      <c r="K520">
        <v>379.41</v>
      </c>
      <c r="L520" t="s">
        <v>25</v>
      </c>
      <c r="M520">
        <v>157</v>
      </c>
      <c r="N520">
        <v>62.55</v>
      </c>
      <c r="O520">
        <v>73.78</v>
      </c>
      <c r="P520" t="s">
        <v>20</v>
      </c>
      <c r="Q520" t="s">
        <v>1262</v>
      </c>
      <c r="R520" t="s">
        <v>20</v>
      </c>
      <c r="S520" t="str">
        <f>HYPERLINK("https://cfpub.epa.gov/ecotox/explore.cfm?ncbi=8010","Explore in ECOTOX")</f>
        <v>Explore in ECOTOX</v>
      </c>
    </row>
    <row r="521" spans="1:19" x14ac:dyDescent="0.25">
      <c r="A521">
        <v>6</v>
      </c>
      <c r="B521" t="str">
        <f>HYPERLINK("http://www.ncbi.nlm.nih.gov/protein/GCB67008.1","GCB67008.1")</f>
        <v>GCB67008.1</v>
      </c>
      <c r="C521">
        <v>27748</v>
      </c>
      <c r="D521" t="str">
        <f>HYPERLINK("http://www.ncbi.nlm.nih.gov/Taxonomy/Browser/wwwtax.cgi?mode=Info&amp;id=75743&amp;lvl=3&amp;lin=f&amp;keep=1&amp;srchmode=1&amp;unlock","75743")</f>
        <v>75743</v>
      </c>
      <c r="E521" t="s">
        <v>550</v>
      </c>
      <c r="F521" t="s">
        <v>550</v>
      </c>
      <c r="G521" t="str">
        <f>HYPERLINK("http://www.ncbi.nlm.nih.gov/Taxonomy/Browser/wwwtax.cgi?mode=Info&amp;id=75743&amp;lvl=3&amp;lin=f&amp;keep=1&amp;srchmode=1&amp;unlock","Scyliorhinus torazame")</f>
        <v>Scyliorhinus torazame</v>
      </c>
      <c r="H521" t="s">
        <v>636</v>
      </c>
      <c r="I521" t="str">
        <f>HYPERLINK("http://www.ncbi.nlm.nih.gov/protein/GCB67008.1","hypothetical protein")</f>
        <v>hypothetical protein</v>
      </c>
      <c r="J521" t="s">
        <v>1261</v>
      </c>
      <c r="K521">
        <v>379.02</v>
      </c>
      <c r="L521" t="s">
        <v>25</v>
      </c>
      <c r="M521">
        <v>157</v>
      </c>
      <c r="N521">
        <v>62.55</v>
      </c>
      <c r="O521">
        <v>73.709999999999994</v>
      </c>
      <c r="P521" t="s">
        <v>20</v>
      </c>
      <c r="Q521" t="s">
        <v>1262</v>
      </c>
      <c r="R521" t="s">
        <v>20</v>
      </c>
      <c r="S521" t="str">
        <f>HYPERLINK("https://cfpub.epa.gov/ecotox/explore.cfm?ncbi=75743","Explore in ECOTOX")</f>
        <v>Explore in ECOTOX</v>
      </c>
    </row>
    <row r="522" spans="1:19" x14ac:dyDescent="0.25">
      <c r="A522">
        <v>6</v>
      </c>
      <c r="B522" t="str">
        <f>HYPERLINK("http://www.ncbi.nlm.nih.gov/protein/XP_038630283.1","XP_038630283.1")</f>
        <v>XP_038630283.1</v>
      </c>
      <c r="C522">
        <v>50056</v>
      </c>
      <c r="D522" t="str">
        <f>HYPERLINK("http://www.ncbi.nlm.nih.gov/Taxonomy/Browser/wwwtax.cgi?mode=Info&amp;id=7830&amp;lvl=3&amp;lin=f&amp;keep=1&amp;srchmode=1&amp;unlock","7830")</f>
        <v>7830</v>
      </c>
      <c r="E522" t="s">
        <v>550</v>
      </c>
      <c r="F522" t="s">
        <v>550</v>
      </c>
      <c r="G522" t="str">
        <f>HYPERLINK("http://www.ncbi.nlm.nih.gov/Taxonomy/Browser/wwwtax.cgi?mode=Info&amp;id=7830&amp;lvl=3&amp;lin=f&amp;keep=1&amp;srchmode=1&amp;unlock","Scyliorhinus canicula")</f>
        <v>Scyliorhinus canicula</v>
      </c>
      <c r="H522" t="s">
        <v>614</v>
      </c>
      <c r="I522" t="str">
        <f>HYPERLINK("http://www.ncbi.nlm.nih.gov/protein/XP_038630283.1","androgen receptor isoform X1")</f>
        <v>androgen receptor isoform X1</v>
      </c>
      <c r="J522" t="s">
        <v>1261</v>
      </c>
      <c r="K522">
        <v>378.64</v>
      </c>
      <c r="L522" t="s">
        <v>25</v>
      </c>
      <c r="M522">
        <v>157</v>
      </c>
      <c r="N522">
        <v>62.55</v>
      </c>
      <c r="O522">
        <v>73.63</v>
      </c>
      <c r="P522" t="s">
        <v>20</v>
      </c>
      <c r="Q522" t="s">
        <v>1262</v>
      </c>
      <c r="R522" t="s">
        <v>20</v>
      </c>
      <c r="S522" t="str">
        <f>HYPERLINK("https://cfpub.epa.gov/ecotox/explore.cfm?ncbi=7830","Explore in ECOTOX")</f>
        <v>Explore in ECOTOX</v>
      </c>
    </row>
    <row r="523" spans="1:19" x14ac:dyDescent="0.25">
      <c r="A523">
        <v>6</v>
      </c>
      <c r="B523" t="str">
        <f>HYPERLINK("http://www.ncbi.nlm.nih.gov/protein/XP_026104666.1","XP_026104666.1")</f>
        <v>XP_026104666.1</v>
      </c>
      <c r="C523">
        <v>98599</v>
      </c>
      <c r="D523" t="str">
        <f>HYPERLINK("http://www.ncbi.nlm.nih.gov/Taxonomy/Browser/wwwtax.cgi?mode=Info&amp;id=7957&amp;lvl=3&amp;lin=f&amp;keep=1&amp;srchmode=1&amp;unlock","7957")</f>
        <v>7957</v>
      </c>
      <c r="E523" t="s">
        <v>384</v>
      </c>
      <c r="F523" t="s">
        <v>384</v>
      </c>
      <c r="G523" t="str">
        <f>HYPERLINK("http://www.ncbi.nlm.nih.gov/Taxonomy/Browser/wwwtax.cgi?mode=Info&amp;id=7957&amp;lvl=3&amp;lin=f&amp;keep=1&amp;srchmode=1&amp;unlock","Carassius auratus")</f>
        <v>Carassius auratus</v>
      </c>
      <c r="H523" t="s">
        <v>518</v>
      </c>
      <c r="I523" t="str">
        <f>HYPERLINK("http://www.ncbi.nlm.nih.gov/protein/XP_026104666.1","androgen receptor-like")</f>
        <v>androgen receptor-like</v>
      </c>
      <c r="J523" t="s">
        <v>1261</v>
      </c>
      <c r="K523">
        <v>377.87</v>
      </c>
      <c r="L523" t="s">
        <v>25</v>
      </c>
      <c r="M523">
        <v>157</v>
      </c>
      <c r="N523">
        <v>62.55</v>
      </c>
      <c r="O523">
        <v>73.48</v>
      </c>
      <c r="P523" t="s">
        <v>20</v>
      </c>
      <c r="Q523" t="s">
        <v>1262</v>
      </c>
      <c r="R523" t="s">
        <v>20</v>
      </c>
      <c r="S523" t="str">
        <f>HYPERLINK("https://cfpub.epa.gov/ecotox/explore.cfm?ncbi=7957","Explore in ECOTOX")</f>
        <v>Explore in ECOTOX</v>
      </c>
    </row>
    <row r="524" spans="1:19" x14ac:dyDescent="0.25">
      <c r="A524">
        <v>6</v>
      </c>
      <c r="B524" t="str">
        <f>HYPERLINK("http://www.ncbi.nlm.nih.gov/protein/GCC22146.1","GCC22146.1")</f>
        <v>GCC22146.1</v>
      </c>
      <c r="C524">
        <v>33621</v>
      </c>
      <c r="D524" t="str">
        <f>HYPERLINK("http://www.ncbi.nlm.nih.gov/Taxonomy/Browser/wwwtax.cgi?mode=Info&amp;id=137246&amp;lvl=3&amp;lin=f&amp;keep=1&amp;srchmode=1&amp;unlock","137246")</f>
        <v>137246</v>
      </c>
      <c r="E524" t="s">
        <v>550</v>
      </c>
      <c r="F524" t="s">
        <v>550</v>
      </c>
      <c r="G524" t="str">
        <f>HYPERLINK("http://www.ncbi.nlm.nih.gov/Taxonomy/Browser/wwwtax.cgi?mode=Info&amp;id=137246&amp;lvl=3&amp;lin=f&amp;keep=1&amp;srchmode=1&amp;unlock","Chiloscyllium punctatum")</f>
        <v>Chiloscyllium punctatum</v>
      </c>
      <c r="H524" t="s">
        <v>551</v>
      </c>
      <c r="I524" t="str">
        <f>HYPERLINK("http://www.ncbi.nlm.nih.gov/protein/GCC22146.1","hypothetical protein")</f>
        <v>hypothetical protein</v>
      </c>
      <c r="J524" t="s">
        <v>1261</v>
      </c>
      <c r="K524">
        <v>377.87</v>
      </c>
      <c r="L524" t="s">
        <v>25</v>
      </c>
      <c r="M524">
        <v>157</v>
      </c>
      <c r="N524">
        <v>62.55</v>
      </c>
      <c r="O524">
        <v>73.48</v>
      </c>
      <c r="P524" t="s">
        <v>20</v>
      </c>
      <c r="Q524" t="s">
        <v>1262</v>
      </c>
      <c r="R524" t="s">
        <v>20</v>
      </c>
      <c r="S524" t="str">
        <f>HYPERLINK("https://cfpub.epa.gov/ecotox/explore.cfm?ncbi=137246","Explore in ECOTOX")</f>
        <v>Explore in ECOTOX</v>
      </c>
    </row>
    <row r="525" spans="1:19" x14ac:dyDescent="0.25">
      <c r="A525">
        <v>6</v>
      </c>
      <c r="B525" t="str">
        <f>HYPERLINK("http://www.ncbi.nlm.nih.gov/protein/XP_008301461.1","XP_008301461.1")</f>
        <v>XP_008301461.1</v>
      </c>
      <c r="C525">
        <v>31743</v>
      </c>
      <c r="D525" t="str">
        <f>HYPERLINK("http://www.ncbi.nlm.nih.gov/Taxonomy/Browser/wwwtax.cgi?mode=Info&amp;id=144197&amp;lvl=3&amp;lin=f&amp;keep=1&amp;srchmode=1&amp;unlock","144197")</f>
        <v>144197</v>
      </c>
      <c r="E525" t="s">
        <v>384</v>
      </c>
      <c r="F525" t="s">
        <v>384</v>
      </c>
      <c r="G525" t="str">
        <f>HYPERLINK("http://www.ncbi.nlm.nih.gov/Taxonomy/Browser/wwwtax.cgi?mode=Info&amp;id=144197&amp;lvl=3&amp;lin=f&amp;keep=1&amp;srchmode=1&amp;unlock","Stegastes partitus")</f>
        <v>Stegastes partitus</v>
      </c>
      <c r="H525" t="s">
        <v>546</v>
      </c>
      <c r="I525" t="str">
        <f>HYPERLINK("http://www.ncbi.nlm.nih.gov/protein/XP_008301461.1","PREDICTED: androgen receptor-like isoform X2")</f>
        <v>PREDICTED: androgen receptor-like isoform X2</v>
      </c>
      <c r="J525" t="s">
        <v>1261</v>
      </c>
      <c r="K525">
        <v>377.48</v>
      </c>
      <c r="L525" t="s">
        <v>25</v>
      </c>
      <c r="M525">
        <v>157</v>
      </c>
      <c r="N525">
        <v>62.55</v>
      </c>
      <c r="O525">
        <v>73.41</v>
      </c>
      <c r="P525" t="s">
        <v>20</v>
      </c>
      <c r="Q525" t="s">
        <v>1262</v>
      </c>
      <c r="R525" t="s">
        <v>20</v>
      </c>
      <c r="S525" t="str">
        <f>HYPERLINK("https://cfpub.epa.gov/ecotox/explore.cfm?ncbi=144197","Explore in ECOTOX")</f>
        <v>Explore in ECOTOX</v>
      </c>
    </row>
    <row r="526" spans="1:19" x14ac:dyDescent="0.25">
      <c r="A526">
        <v>6</v>
      </c>
      <c r="B526" t="str">
        <f>HYPERLINK("http://www.ncbi.nlm.nih.gov/protein/XP_037389456.1","XP_037389456.1")</f>
        <v>XP_037389456.1</v>
      </c>
      <c r="C526">
        <v>50677</v>
      </c>
      <c r="D526" t="str">
        <f>HYPERLINK("http://www.ncbi.nlm.nih.gov/Taxonomy/Browser/wwwtax.cgi?mode=Info&amp;id=42514&amp;lvl=3&amp;lin=f&amp;keep=1&amp;srchmode=1&amp;unlock","42514")</f>
        <v>42514</v>
      </c>
      <c r="E526" t="s">
        <v>384</v>
      </c>
      <c r="F526" t="s">
        <v>384</v>
      </c>
      <c r="G526" t="str">
        <f>HYPERLINK("http://www.ncbi.nlm.nih.gov/Taxonomy/Browser/wwwtax.cgi?mode=Info&amp;id=42514&amp;lvl=3&amp;lin=f&amp;keep=1&amp;srchmode=1&amp;unlock","Pygocentrus nattereri")</f>
        <v>Pygocentrus nattereri</v>
      </c>
      <c r="H526" t="s">
        <v>510</v>
      </c>
      <c r="I526" t="str">
        <f>HYPERLINK("http://www.ncbi.nlm.nih.gov/protein/XP_037389456.1","androgen receptor isoform X1")</f>
        <v>androgen receptor isoform X1</v>
      </c>
      <c r="J526" t="s">
        <v>1261</v>
      </c>
      <c r="K526">
        <v>377.1</v>
      </c>
      <c r="L526" t="s">
        <v>25</v>
      </c>
      <c r="M526">
        <v>157</v>
      </c>
      <c r="N526">
        <v>62.55</v>
      </c>
      <c r="O526">
        <v>73.33</v>
      </c>
      <c r="P526" t="s">
        <v>20</v>
      </c>
      <c r="Q526" t="s">
        <v>1262</v>
      </c>
      <c r="R526" t="s">
        <v>20</v>
      </c>
      <c r="S526" t="str">
        <f>HYPERLINK("https://cfpub.epa.gov/ecotox/explore.cfm?ncbi=42514","Explore in ECOTOX")</f>
        <v>Explore in ECOTOX</v>
      </c>
    </row>
    <row r="527" spans="1:19" x14ac:dyDescent="0.25">
      <c r="A527">
        <v>6</v>
      </c>
      <c r="B527" t="str">
        <f>HYPERLINK("http://www.ncbi.nlm.nih.gov/protein/KAA0717190.1","KAA0717190.1")</f>
        <v>KAA0717190.1</v>
      </c>
      <c r="C527">
        <v>24328</v>
      </c>
      <c r="D527" t="str">
        <f>HYPERLINK("http://www.ncbi.nlm.nih.gov/Taxonomy/Browser/wwwtax.cgi?mode=Info&amp;id=1572043&amp;lvl=3&amp;lin=f&amp;keep=1&amp;srchmode=1&amp;unlock","1572043")</f>
        <v>1572043</v>
      </c>
      <c r="E527" t="s">
        <v>384</v>
      </c>
      <c r="F527" t="s">
        <v>384</v>
      </c>
      <c r="G527" t="str">
        <f>HYPERLINK("http://www.ncbi.nlm.nih.gov/Taxonomy/Browser/wwwtax.cgi?mode=Info&amp;id=1572043&amp;lvl=3&amp;lin=f&amp;keep=1&amp;srchmode=1&amp;unlock","Triplophysa tibetana")</f>
        <v>Triplophysa tibetana</v>
      </c>
      <c r="H527" t="s">
        <v>612</v>
      </c>
      <c r="I527" t="str">
        <f>HYPERLINK("http://www.ncbi.nlm.nih.gov/protein/KAA0717190.1","Androgen receptor")</f>
        <v>Androgen receptor</v>
      </c>
      <c r="J527" t="s">
        <v>1261</v>
      </c>
      <c r="K527">
        <v>376.71</v>
      </c>
      <c r="L527" t="s">
        <v>25</v>
      </c>
      <c r="M527">
        <v>157</v>
      </c>
      <c r="N527">
        <v>62.55</v>
      </c>
      <c r="O527">
        <v>73.260000000000005</v>
      </c>
      <c r="P527" t="s">
        <v>20</v>
      </c>
      <c r="Q527" t="s">
        <v>1262</v>
      </c>
      <c r="R527" t="s">
        <v>20</v>
      </c>
      <c r="S527" t="str">
        <f>HYPERLINK("https://cfpub.epa.gov/ecotox/explore.cfm?ncbi=1572043","Explore in ECOTOX")</f>
        <v>Explore in ECOTOX</v>
      </c>
    </row>
    <row r="528" spans="1:19" x14ac:dyDescent="0.25">
      <c r="A528">
        <v>6</v>
      </c>
      <c r="B528" t="str">
        <f>HYPERLINK("http://www.ncbi.nlm.nih.gov/protein/XP_034461725.1","XP_034461725.1")</f>
        <v>XP_034461725.1</v>
      </c>
      <c r="C528">
        <v>47299</v>
      </c>
      <c r="D528" t="str">
        <f>HYPERLINK("http://www.ncbi.nlm.nih.gov/Taxonomy/Browser/wwwtax.cgi?mode=Info&amp;id=8267&amp;lvl=3&amp;lin=f&amp;keep=1&amp;srchmode=1&amp;unlock","8267")</f>
        <v>8267</v>
      </c>
      <c r="E528" t="s">
        <v>384</v>
      </c>
      <c r="F528" t="s">
        <v>384</v>
      </c>
      <c r="G528" t="str">
        <f>HYPERLINK("http://www.ncbi.nlm.nih.gov/Taxonomy/Browser/wwwtax.cgi?mode=Info&amp;id=8267&amp;lvl=3&amp;lin=f&amp;keep=1&amp;srchmode=1&amp;unlock","Hippoglossus hippoglossus")</f>
        <v>Hippoglossus hippoglossus</v>
      </c>
      <c r="H528" t="s">
        <v>538</v>
      </c>
      <c r="I528" t="str">
        <f>HYPERLINK("http://www.ncbi.nlm.nih.gov/protein/XP_034461725.1","androgen receptor-like isoform X6")</f>
        <v>androgen receptor-like isoform X6</v>
      </c>
      <c r="J528" t="s">
        <v>1261</v>
      </c>
      <c r="K528">
        <v>375.94</v>
      </c>
      <c r="L528" t="s">
        <v>25</v>
      </c>
      <c r="M528">
        <v>157</v>
      </c>
      <c r="N528">
        <v>62.55</v>
      </c>
      <c r="O528">
        <v>73.11</v>
      </c>
      <c r="P528" t="s">
        <v>20</v>
      </c>
      <c r="Q528" t="s">
        <v>1262</v>
      </c>
      <c r="R528" t="s">
        <v>20</v>
      </c>
      <c r="S528" t="str">
        <f>HYPERLINK("https://cfpub.epa.gov/ecotox/explore.cfm?ncbi=8267","Explore in ECOTOX")</f>
        <v>Explore in ECOTOX</v>
      </c>
    </row>
    <row r="529" spans="1:19" x14ac:dyDescent="0.25">
      <c r="A529">
        <v>6</v>
      </c>
      <c r="B529" t="str">
        <f>HYPERLINK("http://www.ncbi.nlm.nih.gov/protein/XP_035034996.1","XP_035034996.1")</f>
        <v>XP_035034996.1</v>
      </c>
      <c r="C529">
        <v>65062</v>
      </c>
      <c r="D529" t="str">
        <f>HYPERLINK("http://www.ncbi.nlm.nih.gov/Taxonomy/Browser/wwwtax.cgi?mode=Info&amp;id=195615&amp;lvl=3&amp;lin=f&amp;keep=1&amp;srchmode=1&amp;unlock","195615")</f>
        <v>195615</v>
      </c>
      <c r="E529" t="s">
        <v>384</v>
      </c>
      <c r="F529" t="s">
        <v>384</v>
      </c>
      <c r="G529" t="str">
        <f>HYPERLINK("http://www.ncbi.nlm.nih.gov/Taxonomy/Browser/wwwtax.cgi?mode=Info&amp;id=195615&amp;lvl=3&amp;lin=f&amp;keep=1&amp;srchmode=1&amp;unlock","Hippoglossus stenolepis")</f>
        <v>Hippoglossus stenolepis</v>
      </c>
      <c r="H529" t="s">
        <v>524</v>
      </c>
      <c r="I529" t="str">
        <f>HYPERLINK("http://www.ncbi.nlm.nih.gov/protein/XP_035034996.1","androgen receptor-like isoform X6")</f>
        <v>androgen receptor-like isoform X6</v>
      </c>
      <c r="J529" t="s">
        <v>1261</v>
      </c>
      <c r="K529">
        <v>375.94</v>
      </c>
      <c r="L529" t="s">
        <v>25</v>
      </c>
      <c r="M529">
        <v>157</v>
      </c>
      <c r="N529">
        <v>62.55</v>
      </c>
      <c r="O529">
        <v>73.11</v>
      </c>
      <c r="P529" t="s">
        <v>20</v>
      </c>
      <c r="Q529" t="s">
        <v>1262</v>
      </c>
      <c r="R529" t="s">
        <v>20</v>
      </c>
      <c r="S529" t="str">
        <f>HYPERLINK("https://cfpub.epa.gov/ecotox/explore.cfm?ncbi=195615","Explore in ECOTOX")</f>
        <v>Explore in ECOTOX</v>
      </c>
    </row>
    <row r="530" spans="1:19" x14ac:dyDescent="0.25">
      <c r="A530">
        <v>6</v>
      </c>
      <c r="B530" t="str">
        <f>HYPERLINK("http://www.ncbi.nlm.nih.gov/protein/AKP99415.1","AKP99415.1")</f>
        <v>AKP99415.1</v>
      </c>
      <c r="C530">
        <v>606</v>
      </c>
      <c r="D530" t="str">
        <f>HYPERLINK("http://www.ncbi.nlm.nih.gov/Taxonomy/Browser/wwwtax.cgi?mode=Info&amp;id=101364&amp;lvl=3&amp;lin=f&amp;keep=1&amp;srchmode=1&amp;unlock","101364")</f>
        <v>101364</v>
      </c>
      <c r="E530" t="s">
        <v>384</v>
      </c>
      <c r="F530" t="s">
        <v>384</v>
      </c>
      <c r="G530" t="str">
        <f>HYPERLINK("http://www.ncbi.nlm.nih.gov/Taxonomy/Browser/wwwtax.cgi?mode=Info&amp;id=101364&amp;lvl=3&amp;lin=f&amp;keep=1&amp;srchmode=1&amp;unlock","Carassius gibelio")</f>
        <v>Carassius gibelio</v>
      </c>
      <c r="H530" t="s">
        <v>999</v>
      </c>
      <c r="I530" t="str">
        <f>HYPERLINK("http://www.ncbi.nlm.nih.gov/protein/AKP99415.1","androgen receptor")</f>
        <v>androgen receptor</v>
      </c>
      <c r="J530" t="s">
        <v>1261</v>
      </c>
      <c r="K530">
        <v>375.56</v>
      </c>
      <c r="L530" t="s">
        <v>25</v>
      </c>
      <c r="M530">
        <v>157</v>
      </c>
      <c r="N530">
        <v>62.55</v>
      </c>
      <c r="O530">
        <v>73.03</v>
      </c>
      <c r="P530" t="s">
        <v>20</v>
      </c>
      <c r="Q530" t="s">
        <v>1262</v>
      </c>
      <c r="R530" t="s">
        <v>20</v>
      </c>
      <c r="S530" t="str">
        <f>HYPERLINK("https://cfpub.epa.gov/ecotox/explore.cfm?ncbi=101364","Explore in ECOTOX")</f>
        <v>Explore in ECOTOX</v>
      </c>
    </row>
    <row r="531" spans="1:19" x14ac:dyDescent="0.25">
      <c r="A531">
        <v>6</v>
      </c>
      <c r="B531" t="str">
        <f>HYPERLINK("http://www.ncbi.nlm.nih.gov/protein/XP_022067774.1","XP_022067774.1")</f>
        <v>XP_022067774.1</v>
      </c>
      <c r="C531">
        <v>36648</v>
      </c>
      <c r="D531" t="str">
        <f>HYPERLINK("http://www.ncbi.nlm.nih.gov/Taxonomy/Browser/wwwtax.cgi?mode=Info&amp;id=80966&amp;lvl=3&amp;lin=f&amp;keep=1&amp;srchmode=1&amp;unlock","80966")</f>
        <v>80966</v>
      </c>
      <c r="E531" t="s">
        <v>384</v>
      </c>
      <c r="F531" t="s">
        <v>384</v>
      </c>
      <c r="G531" t="str">
        <f>HYPERLINK("http://www.ncbi.nlm.nih.gov/Taxonomy/Browser/wwwtax.cgi?mode=Info&amp;id=80966&amp;lvl=3&amp;lin=f&amp;keep=1&amp;srchmode=1&amp;unlock","Acanthochromis polyacanthus")</f>
        <v>Acanthochromis polyacanthus</v>
      </c>
      <c r="H531" t="s">
        <v>1002</v>
      </c>
      <c r="I531" t="str">
        <f>HYPERLINK("http://www.ncbi.nlm.nih.gov/protein/XP_022067774.1","androgen receptor")</f>
        <v>androgen receptor</v>
      </c>
      <c r="J531" t="s">
        <v>1261</v>
      </c>
      <c r="K531">
        <v>375.56</v>
      </c>
      <c r="L531" t="s">
        <v>25</v>
      </c>
      <c r="M531">
        <v>157</v>
      </c>
      <c r="N531">
        <v>62.55</v>
      </c>
      <c r="O531">
        <v>73.03</v>
      </c>
      <c r="P531" t="s">
        <v>20</v>
      </c>
      <c r="Q531" t="s">
        <v>1262</v>
      </c>
      <c r="R531" t="s">
        <v>20</v>
      </c>
      <c r="S531" t="str">
        <f>HYPERLINK("https://cfpub.epa.gov/ecotox/explore.cfm?ncbi=80966","Explore in ECOTOX")</f>
        <v>Explore in ECOTOX</v>
      </c>
    </row>
    <row r="532" spans="1:19" x14ac:dyDescent="0.25">
      <c r="A532">
        <v>6</v>
      </c>
      <c r="B532" t="str">
        <f>HYPERLINK("http://www.ncbi.nlm.nih.gov/protein/KAF7664194.1","KAF7664194.1")</f>
        <v>KAF7664194.1</v>
      </c>
      <c r="C532">
        <v>29676</v>
      </c>
      <c r="D532" t="str">
        <f>HYPERLINK("http://www.ncbi.nlm.nih.gov/Taxonomy/Browser/wwwtax.cgi?mode=Info&amp;id=670423&amp;lvl=3&amp;lin=f&amp;keep=1&amp;srchmode=1&amp;unlock","670423")</f>
        <v>670423</v>
      </c>
      <c r="E532" t="s">
        <v>384</v>
      </c>
      <c r="F532" t="s">
        <v>384</v>
      </c>
      <c r="G532" t="str">
        <f>HYPERLINK("http://www.ncbi.nlm.nih.gov/Taxonomy/Browser/wwwtax.cgi?mode=Info&amp;id=670423&amp;lvl=3&amp;lin=f&amp;keep=1&amp;srchmode=1&amp;unlock","Lucifuga dentata")</f>
        <v>Lucifuga dentata</v>
      </c>
      <c r="H532" t="s">
        <v>1000</v>
      </c>
      <c r="I532" t="str">
        <f>HYPERLINK("http://www.ncbi.nlm.nih.gov/protein/KAF7664194.1","hypothetical protein LDENG_00185350")</f>
        <v>hypothetical protein LDENG_00185350</v>
      </c>
      <c r="J532" t="s">
        <v>1261</v>
      </c>
      <c r="K532">
        <v>374.79</v>
      </c>
      <c r="L532" t="s">
        <v>25</v>
      </c>
      <c r="M532">
        <v>157</v>
      </c>
      <c r="N532">
        <v>62.55</v>
      </c>
      <c r="O532">
        <v>72.88</v>
      </c>
      <c r="P532" t="s">
        <v>20</v>
      </c>
      <c r="Q532" t="s">
        <v>1262</v>
      </c>
      <c r="R532" t="s">
        <v>20</v>
      </c>
      <c r="S532" t="str">
        <f>HYPERLINK("https://cfpub.epa.gov/ecotox/explore.cfm?ncbi=670423","Explore in ECOTOX")</f>
        <v>Explore in ECOTOX</v>
      </c>
    </row>
    <row r="533" spans="1:19" x14ac:dyDescent="0.25">
      <c r="A533">
        <v>6</v>
      </c>
      <c r="B533" t="str">
        <f>HYPERLINK("http://www.ncbi.nlm.nih.gov/protein/XP_036436049.1","XP_036436049.1")</f>
        <v>XP_036436049.1</v>
      </c>
      <c r="C533">
        <v>43803</v>
      </c>
      <c r="D533" t="str">
        <f>HYPERLINK("http://www.ncbi.nlm.nih.gov/Taxonomy/Browser/wwwtax.cgi?mode=Info&amp;id=42526&amp;lvl=3&amp;lin=f&amp;keep=1&amp;srchmode=1&amp;unlock","42526")</f>
        <v>42526</v>
      </c>
      <c r="E533" t="s">
        <v>384</v>
      </c>
      <c r="F533" t="s">
        <v>384</v>
      </c>
      <c r="G533" t="str">
        <f>HYPERLINK("http://www.ncbi.nlm.nih.gov/Taxonomy/Browser/wwwtax.cgi?mode=Info&amp;id=42526&amp;lvl=3&amp;lin=f&amp;keep=1&amp;srchmode=1&amp;unlock","Colossoma macropomum")</f>
        <v>Colossoma macropomum</v>
      </c>
      <c r="H533" t="s">
        <v>507</v>
      </c>
      <c r="I533" t="str">
        <f>HYPERLINK("http://www.ncbi.nlm.nih.gov/protein/XP_036436049.1","androgen receptor-like")</f>
        <v>androgen receptor-like</v>
      </c>
      <c r="J533" t="s">
        <v>1261</v>
      </c>
      <c r="K533">
        <v>374.79</v>
      </c>
      <c r="L533" t="s">
        <v>25</v>
      </c>
      <c r="M533">
        <v>157</v>
      </c>
      <c r="N533">
        <v>62.55</v>
      </c>
      <c r="O533">
        <v>72.88</v>
      </c>
      <c r="P533" t="s">
        <v>20</v>
      </c>
      <c r="Q533" t="s">
        <v>1262</v>
      </c>
      <c r="R533" t="s">
        <v>20</v>
      </c>
      <c r="S533" t="str">
        <f>HYPERLINK("https://cfpub.epa.gov/ecotox/explore.cfm?ncbi=42526","Explore in ECOTOX")</f>
        <v>Explore in ECOTOX</v>
      </c>
    </row>
    <row r="534" spans="1:19" x14ac:dyDescent="0.25">
      <c r="A534">
        <v>6</v>
      </c>
      <c r="B534" t="str">
        <f>HYPERLINK("http://www.ncbi.nlm.nih.gov/protein/XP_024250063.1","XP_024250063.1")</f>
        <v>XP_024250063.1</v>
      </c>
      <c r="C534">
        <v>73759</v>
      </c>
      <c r="D534" t="str">
        <f>HYPERLINK("http://www.ncbi.nlm.nih.gov/Taxonomy/Browser/wwwtax.cgi?mode=Info&amp;id=74940&amp;lvl=3&amp;lin=f&amp;keep=1&amp;srchmode=1&amp;unlock","74940")</f>
        <v>74940</v>
      </c>
      <c r="E534" t="s">
        <v>384</v>
      </c>
      <c r="F534" t="s">
        <v>384</v>
      </c>
      <c r="G534" t="str">
        <f>HYPERLINK("http://www.ncbi.nlm.nih.gov/Taxonomy/Browser/wwwtax.cgi?mode=Info&amp;id=74940&amp;lvl=3&amp;lin=f&amp;keep=1&amp;srchmode=1&amp;unlock","Oncorhynchus tshawytscha")</f>
        <v>Oncorhynchus tshawytscha</v>
      </c>
      <c r="H534" t="s">
        <v>500</v>
      </c>
      <c r="I534" t="str">
        <f>HYPERLINK("http://www.ncbi.nlm.nih.gov/protein/XP_024250063.1","androgen receptor-like isoform X1")</f>
        <v>androgen receptor-like isoform X1</v>
      </c>
      <c r="J534" t="s">
        <v>1261</v>
      </c>
      <c r="K534">
        <v>374.01</v>
      </c>
      <c r="L534" t="s">
        <v>25</v>
      </c>
      <c r="M534">
        <v>157</v>
      </c>
      <c r="N534">
        <v>62.55</v>
      </c>
      <c r="O534">
        <v>72.73</v>
      </c>
      <c r="P534" t="s">
        <v>20</v>
      </c>
      <c r="Q534" t="s">
        <v>1262</v>
      </c>
      <c r="R534" t="s">
        <v>20</v>
      </c>
      <c r="S534" t="str">
        <f>HYPERLINK("https://cfpub.epa.gov/ecotox/explore.cfm?ncbi=74940","Explore in ECOTOX")</f>
        <v>Explore in ECOTOX</v>
      </c>
    </row>
    <row r="535" spans="1:19" x14ac:dyDescent="0.25">
      <c r="A535">
        <v>6</v>
      </c>
      <c r="B535" t="str">
        <f>HYPERLINK("http://www.ncbi.nlm.nih.gov/protein/XP_023823693.1","XP_023823693.1")</f>
        <v>XP_023823693.1</v>
      </c>
      <c r="C535">
        <v>60779</v>
      </c>
      <c r="D535" t="str">
        <f>HYPERLINK("http://www.ncbi.nlm.nih.gov/Taxonomy/Browser/wwwtax.cgi?mode=Info&amp;id=8036&amp;lvl=3&amp;lin=f&amp;keep=1&amp;srchmode=1&amp;unlock","8036")</f>
        <v>8036</v>
      </c>
      <c r="E535" t="s">
        <v>384</v>
      </c>
      <c r="F535" t="s">
        <v>384</v>
      </c>
      <c r="G535" t="str">
        <f>HYPERLINK("http://www.ncbi.nlm.nih.gov/Taxonomy/Browser/wwwtax.cgi?mode=Info&amp;id=8036&amp;lvl=3&amp;lin=f&amp;keep=1&amp;srchmode=1&amp;unlock","Salvelinus alpinus")</f>
        <v>Salvelinus alpinus</v>
      </c>
      <c r="H535" t="s">
        <v>483</v>
      </c>
      <c r="I535" t="str">
        <f>HYPERLINK("http://www.ncbi.nlm.nih.gov/protein/XP_023823693.1","androgen receptor")</f>
        <v>androgen receptor</v>
      </c>
      <c r="J535" t="s">
        <v>1261</v>
      </c>
      <c r="K535">
        <v>374.01</v>
      </c>
      <c r="L535" t="s">
        <v>25</v>
      </c>
      <c r="M535">
        <v>157</v>
      </c>
      <c r="N535">
        <v>62.55</v>
      </c>
      <c r="O535">
        <v>72.73</v>
      </c>
      <c r="P535" t="s">
        <v>20</v>
      </c>
      <c r="Q535" t="s">
        <v>1262</v>
      </c>
      <c r="R535" t="s">
        <v>20</v>
      </c>
      <c r="S535" t="str">
        <f>HYPERLINK("https://cfpub.epa.gov/ecotox/explore.cfm?ncbi=8036","Explore in ECOTOX")</f>
        <v>Explore in ECOTOX</v>
      </c>
    </row>
    <row r="536" spans="1:19" x14ac:dyDescent="0.25">
      <c r="A536">
        <v>6</v>
      </c>
      <c r="B536" t="str">
        <f>HYPERLINK("http://www.ncbi.nlm.nih.gov/protein/NP_001117657.1","NP_001117657.1")</f>
        <v>NP_001117657.1</v>
      </c>
      <c r="C536">
        <v>150751</v>
      </c>
      <c r="D536" t="str">
        <f>HYPERLINK("http://www.ncbi.nlm.nih.gov/Taxonomy/Browser/wwwtax.cgi?mode=Info&amp;id=8022&amp;lvl=3&amp;lin=f&amp;keep=1&amp;srchmode=1&amp;unlock","8022")</f>
        <v>8022</v>
      </c>
      <c r="E536" t="s">
        <v>384</v>
      </c>
      <c r="F536" t="s">
        <v>384</v>
      </c>
      <c r="G536" t="str">
        <f>HYPERLINK("http://www.ncbi.nlm.nih.gov/Taxonomy/Browser/wwwtax.cgi?mode=Info&amp;id=8022&amp;lvl=3&amp;lin=f&amp;keep=1&amp;srchmode=1&amp;unlock","Oncorhynchus mykiss")</f>
        <v>Oncorhynchus mykiss</v>
      </c>
      <c r="H536" t="s">
        <v>482</v>
      </c>
      <c r="I536" t="str">
        <f>HYPERLINK("http://www.ncbi.nlm.nih.gov/protein/NP_001117657.1","androgen receptor beta")</f>
        <v>androgen receptor beta</v>
      </c>
      <c r="J536" t="s">
        <v>1261</v>
      </c>
      <c r="K536">
        <v>374.01</v>
      </c>
      <c r="L536" t="s">
        <v>25</v>
      </c>
      <c r="M536">
        <v>157</v>
      </c>
      <c r="N536">
        <v>62.55</v>
      </c>
      <c r="O536">
        <v>72.73</v>
      </c>
      <c r="P536" t="s">
        <v>20</v>
      </c>
      <c r="Q536" t="s">
        <v>1262</v>
      </c>
      <c r="R536" t="s">
        <v>20</v>
      </c>
      <c r="S536" t="str">
        <f>HYPERLINK("https://cfpub.epa.gov/ecotox/explore.cfm?ncbi=8022","Explore in ECOTOX")</f>
        <v>Explore in ECOTOX</v>
      </c>
    </row>
    <row r="537" spans="1:19" x14ac:dyDescent="0.25">
      <c r="A537">
        <v>6</v>
      </c>
      <c r="B537" t="str">
        <f>HYPERLINK("http://www.ncbi.nlm.nih.gov/protein/XP_029526655.1","XP_029526655.1")</f>
        <v>XP_029526655.1</v>
      </c>
      <c r="C537">
        <v>69382</v>
      </c>
      <c r="D537" t="str">
        <f>HYPERLINK("http://www.ncbi.nlm.nih.gov/Taxonomy/Browser/wwwtax.cgi?mode=Info&amp;id=8023&amp;lvl=3&amp;lin=f&amp;keep=1&amp;srchmode=1&amp;unlock","8023")</f>
        <v>8023</v>
      </c>
      <c r="E537" t="s">
        <v>384</v>
      </c>
      <c r="F537" t="s">
        <v>384</v>
      </c>
      <c r="G537" t="str">
        <f>HYPERLINK("http://www.ncbi.nlm.nih.gov/Taxonomy/Browser/wwwtax.cgi?mode=Info&amp;id=8023&amp;lvl=3&amp;lin=f&amp;keep=1&amp;srchmode=1&amp;unlock","Oncorhynchus nerka")</f>
        <v>Oncorhynchus nerka</v>
      </c>
      <c r="H537" t="s">
        <v>479</v>
      </c>
      <c r="I537" t="str">
        <f>HYPERLINK("http://www.ncbi.nlm.nih.gov/protein/XP_029526655.1","androgen receptor-like isoform X1")</f>
        <v>androgen receptor-like isoform X1</v>
      </c>
      <c r="J537" t="s">
        <v>1261</v>
      </c>
      <c r="K537">
        <v>374.01</v>
      </c>
      <c r="L537" t="s">
        <v>25</v>
      </c>
      <c r="M537">
        <v>157</v>
      </c>
      <c r="N537">
        <v>62.55</v>
      </c>
      <c r="O537">
        <v>72.73</v>
      </c>
      <c r="P537" t="s">
        <v>20</v>
      </c>
      <c r="Q537" t="s">
        <v>1262</v>
      </c>
      <c r="R537" t="s">
        <v>20</v>
      </c>
      <c r="S537" t="str">
        <f>HYPERLINK("https://cfpub.epa.gov/ecotox/explore.cfm?ncbi=8023","Explore in ECOTOX")</f>
        <v>Explore in ECOTOX</v>
      </c>
    </row>
    <row r="538" spans="1:19" x14ac:dyDescent="0.25">
      <c r="A538">
        <v>6</v>
      </c>
      <c r="B538" t="str">
        <f>HYPERLINK("http://www.ncbi.nlm.nih.gov/protein/XP_035636547.1","XP_035636547.1")</f>
        <v>XP_035636547.1</v>
      </c>
      <c r="C538">
        <v>67512</v>
      </c>
      <c r="D538" t="str">
        <f>HYPERLINK("http://www.ncbi.nlm.nih.gov/Taxonomy/Browser/wwwtax.cgi?mode=Info&amp;id=8018&amp;lvl=3&amp;lin=f&amp;keep=1&amp;srchmode=1&amp;unlock","8018")</f>
        <v>8018</v>
      </c>
      <c r="E538" t="s">
        <v>384</v>
      </c>
      <c r="F538" t="s">
        <v>384</v>
      </c>
      <c r="G538" t="str">
        <f>HYPERLINK("http://www.ncbi.nlm.nih.gov/Taxonomy/Browser/wwwtax.cgi?mode=Info&amp;id=8018&amp;lvl=3&amp;lin=f&amp;keep=1&amp;srchmode=1&amp;unlock","Oncorhynchus keta")</f>
        <v>Oncorhynchus keta</v>
      </c>
      <c r="H538" t="s">
        <v>492</v>
      </c>
      <c r="I538" t="str">
        <f>HYPERLINK("http://www.ncbi.nlm.nih.gov/protein/XP_035636547.1","androgen receptor-like isoform X1")</f>
        <v>androgen receptor-like isoform X1</v>
      </c>
      <c r="J538" t="s">
        <v>1261</v>
      </c>
      <c r="K538">
        <v>374.01</v>
      </c>
      <c r="L538" t="s">
        <v>25</v>
      </c>
      <c r="M538">
        <v>157</v>
      </c>
      <c r="N538">
        <v>62.55</v>
      </c>
      <c r="O538">
        <v>72.73</v>
      </c>
      <c r="P538" t="s">
        <v>20</v>
      </c>
      <c r="Q538" t="s">
        <v>1262</v>
      </c>
      <c r="R538" t="s">
        <v>20</v>
      </c>
      <c r="S538" t="str">
        <f>HYPERLINK("https://cfpub.epa.gov/ecotox/explore.cfm?ncbi=8018","Explore in ECOTOX")</f>
        <v>Explore in ECOTOX</v>
      </c>
    </row>
    <row r="539" spans="1:19" x14ac:dyDescent="0.25">
      <c r="A539">
        <v>6</v>
      </c>
      <c r="B539" t="str">
        <f>HYPERLINK("http://www.ncbi.nlm.nih.gov/protein/XP_020319720.1","XP_020319720.1")</f>
        <v>XP_020319720.1</v>
      </c>
      <c r="C539">
        <v>89590</v>
      </c>
      <c r="D539" t="str">
        <f>HYPERLINK("http://www.ncbi.nlm.nih.gov/Taxonomy/Browser/wwwtax.cgi?mode=Info&amp;id=8019&amp;lvl=3&amp;lin=f&amp;keep=1&amp;srchmode=1&amp;unlock","8019")</f>
        <v>8019</v>
      </c>
      <c r="E539" t="s">
        <v>384</v>
      </c>
      <c r="F539" t="s">
        <v>384</v>
      </c>
      <c r="G539" t="str">
        <f>HYPERLINK("http://www.ncbi.nlm.nih.gov/Taxonomy/Browser/wwwtax.cgi?mode=Info&amp;id=8019&amp;lvl=3&amp;lin=f&amp;keep=1&amp;srchmode=1&amp;unlock","Oncorhynchus kisutch")</f>
        <v>Oncorhynchus kisutch</v>
      </c>
      <c r="H539" t="s">
        <v>501</v>
      </c>
      <c r="I539" t="str">
        <f>HYPERLINK("http://www.ncbi.nlm.nih.gov/protein/XP_020319720.1","androgen receptor-like isoform X1")</f>
        <v>androgen receptor-like isoform X1</v>
      </c>
      <c r="J539" t="s">
        <v>1261</v>
      </c>
      <c r="K539">
        <v>374.01</v>
      </c>
      <c r="L539" t="s">
        <v>25</v>
      </c>
      <c r="M539">
        <v>157</v>
      </c>
      <c r="N539">
        <v>62.55</v>
      </c>
      <c r="O539">
        <v>72.73</v>
      </c>
      <c r="P539" t="s">
        <v>20</v>
      </c>
      <c r="Q539" t="s">
        <v>1262</v>
      </c>
      <c r="R539" t="s">
        <v>20</v>
      </c>
      <c r="S539" t="str">
        <f>HYPERLINK("https://cfpub.epa.gov/ecotox/explore.cfm?ncbi=8019","Explore in ECOTOX")</f>
        <v>Explore in ECOTOX</v>
      </c>
    </row>
    <row r="540" spans="1:19" x14ac:dyDescent="0.25">
      <c r="A540">
        <v>6</v>
      </c>
      <c r="B540" t="str">
        <f>HYPERLINK("http://www.ncbi.nlm.nih.gov/protein/XP_014052302.1","XP_014052302.1")</f>
        <v>XP_014052302.1</v>
      </c>
      <c r="C540">
        <v>111579</v>
      </c>
      <c r="D540" t="str">
        <f>HYPERLINK("http://www.ncbi.nlm.nih.gov/Taxonomy/Browser/wwwtax.cgi?mode=Info&amp;id=8030&amp;lvl=3&amp;lin=f&amp;keep=1&amp;srchmode=1&amp;unlock","8030")</f>
        <v>8030</v>
      </c>
      <c r="E540" t="s">
        <v>384</v>
      </c>
      <c r="F540" t="s">
        <v>384</v>
      </c>
      <c r="G540" t="str">
        <f>HYPERLINK("http://www.ncbi.nlm.nih.gov/Taxonomy/Browser/wwwtax.cgi?mode=Info&amp;id=8030&amp;lvl=3&amp;lin=f&amp;keep=1&amp;srchmode=1&amp;unlock","Salmo salar")</f>
        <v>Salmo salar</v>
      </c>
      <c r="H540" t="s">
        <v>490</v>
      </c>
      <c r="I540" t="str">
        <f>HYPERLINK("http://www.ncbi.nlm.nih.gov/protein/XP_014052302.1","PREDICTED: androgen receptor isoform X1")</f>
        <v>PREDICTED: androgen receptor isoform X1</v>
      </c>
      <c r="J540" t="s">
        <v>1261</v>
      </c>
      <c r="K540">
        <v>374.01</v>
      </c>
      <c r="L540" t="s">
        <v>25</v>
      </c>
      <c r="M540">
        <v>157</v>
      </c>
      <c r="N540">
        <v>62.55</v>
      </c>
      <c r="O540">
        <v>72.73</v>
      </c>
      <c r="P540" t="s">
        <v>20</v>
      </c>
      <c r="Q540" t="s">
        <v>1262</v>
      </c>
      <c r="R540" t="s">
        <v>20</v>
      </c>
      <c r="S540" t="str">
        <f>HYPERLINK("https://cfpub.epa.gov/ecotox/explore.cfm?ncbi=8030","Explore in ECOTOX")</f>
        <v>Explore in ECOTOX</v>
      </c>
    </row>
    <row r="541" spans="1:19" x14ac:dyDescent="0.25">
      <c r="A541">
        <v>6</v>
      </c>
      <c r="B541" t="str">
        <f>HYPERLINK("http://www.ncbi.nlm.nih.gov/protein/KAF4113183.1","KAF4113183.1")</f>
        <v>KAF4113183.1</v>
      </c>
      <c r="C541">
        <v>24833</v>
      </c>
      <c r="D541" t="str">
        <f>HYPERLINK("http://www.ncbi.nlm.nih.gov/Taxonomy/Browser/wwwtax.cgi?mode=Info&amp;id=369639&amp;lvl=3&amp;lin=f&amp;keep=1&amp;srchmode=1&amp;unlock","369639")</f>
        <v>369639</v>
      </c>
      <c r="E541" t="s">
        <v>384</v>
      </c>
      <c r="F541" t="s">
        <v>384</v>
      </c>
      <c r="G541" t="str">
        <f>HYPERLINK("http://www.ncbi.nlm.nih.gov/Taxonomy/Browser/wwwtax.cgi?mode=Info&amp;id=369639&amp;lvl=3&amp;lin=f&amp;keep=1&amp;srchmode=1&amp;unlock","Onychostoma macrolepis")</f>
        <v>Onychostoma macrolepis</v>
      </c>
      <c r="H541" t="s">
        <v>529</v>
      </c>
      <c r="I541" t="str">
        <f>HYPERLINK("http://www.ncbi.nlm.nih.gov/protein/KAF4113183.1","hypothetical protein G5714_005728")</f>
        <v>hypothetical protein G5714_005728</v>
      </c>
      <c r="J541" t="s">
        <v>1261</v>
      </c>
      <c r="K541">
        <v>374.01</v>
      </c>
      <c r="L541" t="s">
        <v>25</v>
      </c>
      <c r="M541">
        <v>157</v>
      </c>
      <c r="N541">
        <v>62.55</v>
      </c>
      <c r="O541">
        <v>72.73</v>
      </c>
      <c r="P541" t="s">
        <v>20</v>
      </c>
      <c r="Q541" t="s">
        <v>1262</v>
      </c>
      <c r="R541" t="s">
        <v>20</v>
      </c>
      <c r="S541" t="str">
        <f>HYPERLINK("https://cfpub.epa.gov/ecotox/explore.cfm?ncbi=369639","Explore in ECOTOX")</f>
        <v>Explore in ECOTOX</v>
      </c>
    </row>
    <row r="542" spans="1:19" x14ac:dyDescent="0.25">
      <c r="A542">
        <v>6</v>
      </c>
      <c r="B542" t="str">
        <f>HYPERLINK("http://www.ncbi.nlm.nih.gov/protein/XP_016430523.1","XP_016430523.1")</f>
        <v>XP_016430523.1</v>
      </c>
      <c r="C542">
        <v>68583</v>
      </c>
      <c r="D542" t="str">
        <f>HYPERLINK("http://www.ncbi.nlm.nih.gov/Taxonomy/Browser/wwwtax.cgi?mode=Info&amp;id=307959&amp;lvl=3&amp;lin=f&amp;keep=1&amp;srchmode=1&amp;unlock","307959")</f>
        <v>307959</v>
      </c>
      <c r="E542" t="s">
        <v>384</v>
      </c>
      <c r="F542" t="s">
        <v>384</v>
      </c>
      <c r="G542" t="str">
        <f>HYPERLINK("http://www.ncbi.nlm.nih.gov/Taxonomy/Browser/wwwtax.cgi?mode=Info&amp;id=307959&amp;lvl=3&amp;lin=f&amp;keep=1&amp;srchmode=1&amp;unlock","Sinocyclocheilus rhinocerous")</f>
        <v>Sinocyclocheilus rhinocerous</v>
      </c>
      <c r="H542" t="s">
        <v>529</v>
      </c>
      <c r="I542" t="str">
        <f>HYPERLINK("http://www.ncbi.nlm.nih.gov/protein/XP_016430523.1","PREDICTED: androgen receptor-like")</f>
        <v>PREDICTED: androgen receptor-like</v>
      </c>
      <c r="J542" t="s">
        <v>1261</v>
      </c>
      <c r="K542">
        <v>374.01</v>
      </c>
      <c r="L542" t="s">
        <v>25</v>
      </c>
      <c r="M542">
        <v>157</v>
      </c>
      <c r="N542">
        <v>62.55</v>
      </c>
      <c r="O542">
        <v>72.73</v>
      </c>
      <c r="P542" t="s">
        <v>20</v>
      </c>
      <c r="Q542" t="s">
        <v>1262</v>
      </c>
      <c r="R542" t="s">
        <v>20</v>
      </c>
      <c r="S542" t="str">
        <f>HYPERLINK("https://cfpub.epa.gov/ecotox/explore.cfm?ncbi=307959","Explore in ECOTOX")</f>
        <v>Explore in ECOTOX</v>
      </c>
    </row>
    <row r="543" spans="1:19" x14ac:dyDescent="0.25">
      <c r="A543">
        <v>6</v>
      </c>
      <c r="B543" t="str">
        <f>HYPERLINK("http://www.ncbi.nlm.nih.gov/protein/XP_022540802.1","XP_022540802.1")</f>
        <v>XP_022540802.1</v>
      </c>
      <c r="C543">
        <v>42884</v>
      </c>
      <c r="D543" t="str">
        <f>HYPERLINK("http://www.ncbi.nlm.nih.gov/Taxonomy/Browser/wwwtax.cgi?mode=Info&amp;id=7994&amp;lvl=3&amp;lin=f&amp;keep=1&amp;srchmode=1&amp;unlock","7994")</f>
        <v>7994</v>
      </c>
      <c r="E543" t="s">
        <v>384</v>
      </c>
      <c r="F543" t="s">
        <v>384</v>
      </c>
      <c r="G543" t="str">
        <f>HYPERLINK("http://www.ncbi.nlm.nih.gov/Taxonomy/Browser/wwwtax.cgi?mode=Info&amp;id=7994&amp;lvl=3&amp;lin=f&amp;keep=1&amp;srchmode=1&amp;unlock","Astyanax mexicanus")</f>
        <v>Astyanax mexicanus</v>
      </c>
      <c r="H543" t="s">
        <v>508</v>
      </c>
      <c r="I543" t="str">
        <f>HYPERLINK("http://www.ncbi.nlm.nih.gov/protein/XP_022540802.1","androgen receptor")</f>
        <v>androgen receptor</v>
      </c>
      <c r="J543" t="s">
        <v>1261</v>
      </c>
      <c r="K543">
        <v>374.01</v>
      </c>
      <c r="L543" t="s">
        <v>25</v>
      </c>
      <c r="M543">
        <v>157</v>
      </c>
      <c r="N543">
        <v>62.55</v>
      </c>
      <c r="O543">
        <v>72.73</v>
      </c>
      <c r="P543" t="s">
        <v>20</v>
      </c>
      <c r="Q543" t="s">
        <v>1262</v>
      </c>
      <c r="R543" t="s">
        <v>20</v>
      </c>
      <c r="S543" t="str">
        <f>HYPERLINK("https://cfpub.epa.gov/ecotox/explore.cfm?ncbi=7994","Explore in ECOTOX")</f>
        <v>Explore in ECOTOX</v>
      </c>
    </row>
    <row r="544" spans="1:19" x14ac:dyDescent="0.25">
      <c r="A544">
        <v>6</v>
      </c>
      <c r="B544" t="str">
        <f>HYPERLINK("http://www.ncbi.nlm.nih.gov/protein/ALV13263.1","ALV13263.1")</f>
        <v>ALV13263.1</v>
      </c>
      <c r="C544">
        <v>100</v>
      </c>
      <c r="D544" t="str">
        <f>HYPERLINK("http://www.ncbi.nlm.nih.gov/Taxonomy/Browser/wwwtax.cgi?mode=Info&amp;id=357695&amp;lvl=3&amp;lin=f&amp;keep=1&amp;srchmode=1&amp;unlock","357695")</f>
        <v>357695</v>
      </c>
      <c r="E544" t="s">
        <v>167</v>
      </c>
      <c r="F544" t="s">
        <v>167</v>
      </c>
      <c r="G544" t="str">
        <f>HYPERLINK("http://www.ncbi.nlm.nih.gov/Taxonomy/Browser/wwwtax.cgi?mode=Info&amp;id=357695&amp;lvl=3&amp;lin=f&amp;keep=1&amp;srchmode=1&amp;unlock","Emberiza bruniceps")</f>
        <v>Emberiza bruniceps</v>
      </c>
      <c r="H544" t="s">
        <v>1060</v>
      </c>
      <c r="I544" t="str">
        <f>HYPERLINK("http://www.ncbi.nlm.nih.gov/protein/ALV13263.1","androgen receptor, partial")</f>
        <v>androgen receptor, partial</v>
      </c>
      <c r="J544" t="s">
        <v>1261</v>
      </c>
      <c r="K544">
        <v>374.01</v>
      </c>
      <c r="L544" t="s">
        <v>25</v>
      </c>
      <c r="M544">
        <v>157</v>
      </c>
      <c r="N544">
        <v>62.55</v>
      </c>
      <c r="O544">
        <v>72.73</v>
      </c>
      <c r="P544" t="s">
        <v>20</v>
      </c>
      <c r="Q544" t="s">
        <v>1262</v>
      </c>
      <c r="R544" t="s">
        <v>20</v>
      </c>
      <c r="S544" t="str">
        <f>HYPERLINK("https://cfpub.epa.gov/ecotox/explore.cfm?ncbi=357695","Explore in ECOTOX")</f>
        <v>Explore in ECOTOX</v>
      </c>
    </row>
    <row r="545" spans="1:19" x14ac:dyDescent="0.25">
      <c r="A545">
        <v>6</v>
      </c>
      <c r="B545" t="str">
        <f>HYPERLINK("http://www.ncbi.nlm.nih.gov/protein/AMQ81677.1","AMQ81677.1")</f>
        <v>AMQ81677.1</v>
      </c>
      <c r="C545">
        <v>75</v>
      </c>
      <c r="D545" t="str">
        <f>HYPERLINK("http://www.ncbi.nlm.nih.gov/Taxonomy/Browser/wwwtax.cgi?mode=Info&amp;id=77794&amp;lvl=3&amp;lin=f&amp;keep=1&amp;srchmode=1&amp;unlock","77794")</f>
        <v>77794</v>
      </c>
      <c r="E545" t="s">
        <v>384</v>
      </c>
      <c r="F545" t="s">
        <v>384</v>
      </c>
      <c r="G545" t="str">
        <f>HYPERLINK("http://www.ncbi.nlm.nih.gov/Taxonomy/Browser/wwwtax.cgi?mode=Info&amp;id=77794&amp;lvl=3&amp;lin=f&amp;keep=1&amp;srchmode=1&amp;unlock","Luciobarbus capito")</f>
        <v>Luciobarbus capito</v>
      </c>
      <c r="H545" t="s">
        <v>1006</v>
      </c>
      <c r="I545" t="str">
        <f>HYPERLINK("http://www.ncbi.nlm.nih.gov/protein/AMQ81677.1","androgen receptor protein")</f>
        <v>androgen receptor protein</v>
      </c>
      <c r="J545" t="s">
        <v>1261</v>
      </c>
      <c r="K545">
        <v>373.63</v>
      </c>
      <c r="L545" t="s">
        <v>25</v>
      </c>
      <c r="M545">
        <v>157</v>
      </c>
      <c r="N545">
        <v>62.55</v>
      </c>
      <c r="O545">
        <v>72.66</v>
      </c>
      <c r="P545" t="s">
        <v>20</v>
      </c>
      <c r="Q545" t="s">
        <v>1262</v>
      </c>
      <c r="R545" t="s">
        <v>20</v>
      </c>
      <c r="S545" t="str">
        <f>HYPERLINK("https://cfpub.epa.gov/ecotox/explore.cfm?ncbi=77794","Explore in ECOTOX")</f>
        <v>Explore in ECOTOX</v>
      </c>
    </row>
    <row r="546" spans="1:19" x14ac:dyDescent="0.25">
      <c r="A546">
        <v>6</v>
      </c>
      <c r="B546" t="str">
        <f>HYPERLINK("http://www.ncbi.nlm.nih.gov/protein/AAP55843.2","AAP55843.2")</f>
        <v>AAP55843.2</v>
      </c>
      <c r="C546">
        <v>517</v>
      </c>
      <c r="D546" t="str">
        <f>HYPERLINK("http://www.ncbi.nlm.nih.gov/Taxonomy/Browser/wwwtax.cgi?mode=Info&amp;id=7797&amp;lvl=3&amp;lin=f&amp;keep=1&amp;srchmode=1&amp;unlock","7797")</f>
        <v>7797</v>
      </c>
      <c r="E546" t="s">
        <v>550</v>
      </c>
      <c r="F546" t="s">
        <v>550</v>
      </c>
      <c r="G546" t="str">
        <f>HYPERLINK("http://www.ncbi.nlm.nih.gov/Taxonomy/Browser/wwwtax.cgi?mode=Info&amp;id=7797&amp;lvl=3&amp;lin=f&amp;keep=1&amp;srchmode=1&amp;unlock","Squalus acanthias")</f>
        <v>Squalus acanthias</v>
      </c>
      <c r="H546" t="s">
        <v>1007</v>
      </c>
      <c r="I546" t="str">
        <f>HYPERLINK("http://www.ncbi.nlm.nih.gov/protein/AAP55843.2","androgen receptor, partial")</f>
        <v>androgen receptor, partial</v>
      </c>
      <c r="J546" t="s">
        <v>1261</v>
      </c>
      <c r="K546">
        <v>373.63</v>
      </c>
      <c r="L546" t="s">
        <v>25</v>
      </c>
      <c r="M546">
        <v>157</v>
      </c>
      <c r="N546">
        <v>62.55</v>
      </c>
      <c r="O546">
        <v>72.66</v>
      </c>
      <c r="P546" t="s">
        <v>20</v>
      </c>
      <c r="Q546" t="s">
        <v>1262</v>
      </c>
      <c r="R546" t="s">
        <v>20</v>
      </c>
      <c r="S546" t="str">
        <f>HYPERLINK("https://cfpub.epa.gov/ecotox/explore.cfm?ncbi=7797","Explore in ECOTOX")</f>
        <v>Explore in ECOTOX</v>
      </c>
    </row>
    <row r="547" spans="1:19" x14ac:dyDescent="0.25">
      <c r="A547">
        <v>6</v>
      </c>
      <c r="B547" t="str">
        <f>HYPERLINK("http://www.ncbi.nlm.nih.gov/protein/AGL91133.1","AGL91133.1")</f>
        <v>AGL91133.1</v>
      </c>
      <c r="C547">
        <v>339</v>
      </c>
      <c r="D547" t="str">
        <f>HYPERLINK("http://www.ncbi.nlm.nih.gov/Taxonomy/Browser/wwwtax.cgi?mode=Info&amp;id=8164&amp;lvl=3&amp;lin=f&amp;keep=1&amp;srchmode=1&amp;unlock","8164")</f>
        <v>8164</v>
      </c>
      <c r="E547" t="s">
        <v>384</v>
      </c>
      <c r="F547" t="s">
        <v>384</v>
      </c>
      <c r="G547" t="str">
        <f>HYPERLINK("http://www.ncbi.nlm.nih.gov/Taxonomy/Browser/wwwtax.cgi?mode=Info&amp;id=8164&amp;lvl=3&amp;lin=f&amp;keep=1&amp;srchmode=1&amp;unlock","Lateolabrax japonicus")</f>
        <v>Lateolabrax japonicus</v>
      </c>
      <c r="H547" t="s">
        <v>543</v>
      </c>
      <c r="I547" t="str">
        <f>HYPERLINK("http://www.ncbi.nlm.nih.gov/protein/AGL91133.1","nuclear androgen receptor, partial")</f>
        <v>nuclear androgen receptor, partial</v>
      </c>
      <c r="J547" t="s">
        <v>1261</v>
      </c>
      <c r="K547">
        <v>373.63</v>
      </c>
      <c r="L547" t="s">
        <v>25</v>
      </c>
      <c r="M547">
        <v>157</v>
      </c>
      <c r="N547">
        <v>62.55</v>
      </c>
      <c r="O547">
        <v>72.66</v>
      </c>
      <c r="P547" t="s">
        <v>20</v>
      </c>
      <c r="Q547" t="s">
        <v>1262</v>
      </c>
      <c r="R547" t="s">
        <v>20</v>
      </c>
      <c r="S547" t="str">
        <f>HYPERLINK("https://cfpub.epa.gov/ecotox/explore.cfm?ncbi=8164","Explore in ECOTOX")</f>
        <v>Explore in ECOTOX</v>
      </c>
    </row>
    <row r="548" spans="1:19" x14ac:dyDescent="0.25">
      <c r="A548">
        <v>6</v>
      </c>
      <c r="B548" t="str">
        <f>HYPERLINK("http://www.ncbi.nlm.nih.gov/protein/XP_023153051.1","XP_023153051.1")</f>
        <v>XP_023153051.1</v>
      </c>
      <c r="C548">
        <v>48634</v>
      </c>
      <c r="D548" t="str">
        <f>HYPERLINK("http://www.ncbi.nlm.nih.gov/Taxonomy/Browser/wwwtax.cgi?mode=Info&amp;id=80972&amp;lvl=3&amp;lin=f&amp;keep=1&amp;srchmode=1&amp;unlock","80972")</f>
        <v>80972</v>
      </c>
      <c r="E548" t="s">
        <v>384</v>
      </c>
      <c r="F548" t="s">
        <v>384</v>
      </c>
      <c r="G548" t="str">
        <f>HYPERLINK("http://www.ncbi.nlm.nih.gov/Taxonomy/Browser/wwwtax.cgi?mode=Info&amp;id=80972&amp;lvl=3&amp;lin=f&amp;keep=1&amp;srchmode=1&amp;unlock","Amphiprion ocellaris")</f>
        <v>Amphiprion ocellaris</v>
      </c>
      <c r="H548" t="s">
        <v>525</v>
      </c>
      <c r="I548" t="str">
        <f>HYPERLINK("http://www.ncbi.nlm.nih.gov/protein/XP_023153051.1","androgen receptor isoform X1")</f>
        <v>androgen receptor isoform X1</v>
      </c>
      <c r="J548" t="s">
        <v>1261</v>
      </c>
      <c r="K548">
        <v>373.24</v>
      </c>
      <c r="L548" t="s">
        <v>25</v>
      </c>
      <c r="M548">
        <v>157</v>
      </c>
      <c r="N548">
        <v>62.55</v>
      </c>
      <c r="O548">
        <v>72.58</v>
      </c>
      <c r="P548" t="s">
        <v>20</v>
      </c>
      <c r="Q548" t="s">
        <v>1262</v>
      </c>
      <c r="R548" t="s">
        <v>20</v>
      </c>
      <c r="S548" t="str">
        <f>HYPERLINK("https://cfpub.epa.gov/ecotox/explore.cfm?ncbi=80972","Explore in ECOTOX")</f>
        <v>Explore in ECOTOX</v>
      </c>
    </row>
    <row r="549" spans="1:19" x14ac:dyDescent="0.25">
      <c r="A549">
        <v>6</v>
      </c>
      <c r="B549" t="str">
        <f>HYPERLINK("http://www.ncbi.nlm.nih.gov/protein/XP_012678441.2","XP_012678441.2")</f>
        <v>XP_012678441.2</v>
      </c>
      <c r="C549">
        <v>43045</v>
      </c>
      <c r="D549" t="str">
        <f>HYPERLINK("http://www.ncbi.nlm.nih.gov/Taxonomy/Browser/wwwtax.cgi?mode=Info&amp;id=7950&amp;lvl=3&amp;lin=f&amp;keep=1&amp;srchmode=1&amp;unlock","7950")</f>
        <v>7950</v>
      </c>
      <c r="E549" t="s">
        <v>384</v>
      </c>
      <c r="F549" t="s">
        <v>384</v>
      </c>
      <c r="G549" t="str">
        <f>HYPERLINK("http://www.ncbi.nlm.nih.gov/Taxonomy/Browser/wwwtax.cgi?mode=Info&amp;id=7950&amp;lvl=3&amp;lin=f&amp;keep=1&amp;srchmode=1&amp;unlock","Clupea harengus")</f>
        <v>Clupea harengus</v>
      </c>
      <c r="H549" t="s">
        <v>385</v>
      </c>
      <c r="I549" t="str">
        <f>HYPERLINK("http://www.ncbi.nlm.nih.gov/protein/XP_012678441.2","androgen receptor")</f>
        <v>androgen receptor</v>
      </c>
      <c r="J549" t="s">
        <v>1261</v>
      </c>
      <c r="K549">
        <v>373.24</v>
      </c>
      <c r="L549" t="s">
        <v>25</v>
      </c>
      <c r="M549">
        <v>157</v>
      </c>
      <c r="N549">
        <v>62.55</v>
      </c>
      <c r="O549">
        <v>72.58</v>
      </c>
      <c r="P549" t="s">
        <v>20</v>
      </c>
      <c r="Q549" t="s">
        <v>1262</v>
      </c>
      <c r="R549" t="s">
        <v>20</v>
      </c>
      <c r="S549" t="str">
        <f>HYPERLINK("https://cfpub.epa.gov/ecotox/explore.cfm?ncbi=7950","Explore in ECOTOX")</f>
        <v>Explore in ECOTOX</v>
      </c>
    </row>
    <row r="550" spans="1:19" x14ac:dyDescent="0.25">
      <c r="A550">
        <v>6</v>
      </c>
      <c r="B550" t="str">
        <f>HYPERLINK("http://www.ncbi.nlm.nih.gov/protein/ACA96518.1","ACA96518.1")</f>
        <v>ACA96518.1</v>
      </c>
      <c r="C550">
        <v>70</v>
      </c>
      <c r="D550" t="str">
        <f>HYPERLINK("http://www.ncbi.nlm.nih.gov/Taxonomy/Browser/wwwtax.cgi?mode=Info&amp;id=75369&amp;lvl=3&amp;lin=f&amp;keep=1&amp;srchmode=1&amp;unlock","75369")</f>
        <v>75369</v>
      </c>
      <c r="E550" t="s">
        <v>384</v>
      </c>
      <c r="F550" t="s">
        <v>384</v>
      </c>
      <c r="G550" t="str">
        <f>HYPERLINK("http://www.ncbi.nlm.nih.gov/Taxonomy/Browser/wwwtax.cgi?mode=Info&amp;id=75369&amp;lvl=3&amp;lin=f&amp;keep=1&amp;srchmode=1&amp;unlock","Spinibarbus denticulatus")</f>
        <v>Spinibarbus denticulatus</v>
      </c>
      <c r="H550" t="s">
        <v>529</v>
      </c>
      <c r="I550" t="str">
        <f>HYPERLINK("http://www.ncbi.nlm.nih.gov/protein/ACA96518.1","androgen receptor protein")</f>
        <v>androgen receptor protein</v>
      </c>
      <c r="J550" t="s">
        <v>1261</v>
      </c>
      <c r="K550">
        <v>372.86</v>
      </c>
      <c r="L550" t="s">
        <v>25</v>
      </c>
      <c r="M550">
        <v>157</v>
      </c>
      <c r="N550">
        <v>62.55</v>
      </c>
      <c r="O550">
        <v>72.510000000000005</v>
      </c>
      <c r="P550" t="s">
        <v>20</v>
      </c>
      <c r="Q550" t="s">
        <v>1262</v>
      </c>
      <c r="R550" t="s">
        <v>20</v>
      </c>
      <c r="S550" t="str">
        <f>HYPERLINK("https://cfpub.epa.gov/ecotox/explore.cfm?ncbi=75369","Explore in ECOTOX")</f>
        <v>Explore in ECOTOX</v>
      </c>
    </row>
    <row r="551" spans="1:19" x14ac:dyDescent="0.25">
      <c r="A551">
        <v>6</v>
      </c>
      <c r="B551" t="str">
        <f>HYPERLINK("http://www.ncbi.nlm.nih.gov/protein/AAU09477.1","AAU09477.1")</f>
        <v>AAU09477.1</v>
      </c>
      <c r="C551">
        <v>92</v>
      </c>
      <c r="D551" t="str">
        <f>HYPERLINK("http://www.ncbi.nlm.nih.gov/Taxonomy/Browser/wwwtax.cgi?mode=Info&amp;id=29154&amp;lvl=3&amp;lin=f&amp;keep=1&amp;srchmode=1&amp;unlock","29154")</f>
        <v>29154</v>
      </c>
      <c r="E551" t="s">
        <v>384</v>
      </c>
      <c r="F551" t="s">
        <v>384</v>
      </c>
      <c r="G551" t="str">
        <f>HYPERLINK("http://www.ncbi.nlm.nih.gov/Taxonomy/Browser/wwwtax.cgi?mode=Info&amp;id=29154&amp;lvl=3&amp;lin=f&amp;keep=1&amp;srchmode=1&amp;unlock","Micropogonias undulatus")</f>
        <v>Micropogonias undulatus</v>
      </c>
      <c r="H551" t="s">
        <v>1005</v>
      </c>
      <c r="I551" t="str">
        <f>HYPERLINK("http://www.ncbi.nlm.nih.gov/protein/AAU09477.1","nuclear androgen receptor")</f>
        <v>nuclear androgen receptor</v>
      </c>
      <c r="J551" t="s">
        <v>1261</v>
      </c>
      <c r="K551">
        <v>372.86</v>
      </c>
      <c r="L551" t="s">
        <v>25</v>
      </c>
      <c r="M551">
        <v>157</v>
      </c>
      <c r="N551">
        <v>62.55</v>
      </c>
      <c r="O551">
        <v>72.510000000000005</v>
      </c>
      <c r="P551" t="s">
        <v>20</v>
      </c>
      <c r="Q551" t="s">
        <v>1262</v>
      </c>
      <c r="R551" t="s">
        <v>20</v>
      </c>
      <c r="S551" t="str">
        <f>HYPERLINK("https://cfpub.epa.gov/ecotox/explore.cfm?ncbi=29154","Explore in ECOTOX")</f>
        <v>Explore in ECOTOX</v>
      </c>
    </row>
    <row r="552" spans="1:19" x14ac:dyDescent="0.25">
      <c r="A552">
        <v>6</v>
      </c>
      <c r="B552" t="str">
        <f>HYPERLINK("http://www.ncbi.nlm.nih.gov/protein/XP_038861580.1","XP_038861580.1")</f>
        <v>XP_038861580.1</v>
      </c>
      <c r="C552">
        <v>58413</v>
      </c>
      <c r="D552" t="str">
        <f>HYPERLINK("http://www.ncbi.nlm.nih.gov/Taxonomy/Browser/wwwtax.cgi?mode=Info&amp;id=8040&amp;lvl=3&amp;lin=f&amp;keep=1&amp;srchmode=1&amp;unlock","8040")</f>
        <v>8040</v>
      </c>
      <c r="E552" t="s">
        <v>384</v>
      </c>
      <c r="F552" t="s">
        <v>384</v>
      </c>
      <c r="G552" t="str">
        <f>HYPERLINK("http://www.ncbi.nlm.nih.gov/Taxonomy/Browser/wwwtax.cgi?mode=Info&amp;id=8040&amp;lvl=3&amp;lin=f&amp;keep=1&amp;srchmode=1&amp;unlock","Salvelinus namaycush")</f>
        <v>Salvelinus namaycush</v>
      </c>
      <c r="H552" t="s">
        <v>480</v>
      </c>
      <c r="I552" t="str">
        <f>HYPERLINK("http://www.ncbi.nlm.nih.gov/protein/XP_038861580.1","androgen receptor-like isoform X1")</f>
        <v>androgen receptor-like isoform X1</v>
      </c>
      <c r="J552" t="s">
        <v>1261</v>
      </c>
      <c r="K552">
        <v>372.47</v>
      </c>
      <c r="L552" t="s">
        <v>25</v>
      </c>
      <c r="M552">
        <v>157</v>
      </c>
      <c r="N552">
        <v>62.55</v>
      </c>
      <c r="O552">
        <v>72.430000000000007</v>
      </c>
      <c r="P552" t="s">
        <v>20</v>
      </c>
      <c r="Q552" t="s">
        <v>1262</v>
      </c>
      <c r="R552" t="s">
        <v>20</v>
      </c>
      <c r="S552" t="str">
        <f>HYPERLINK("https://cfpub.epa.gov/ecotox/explore.cfm?ncbi=8040","Explore in ECOTOX")</f>
        <v>Explore in ECOTOX</v>
      </c>
    </row>
    <row r="553" spans="1:19" x14ac:dyDescent="0.25">
      <c r="A553">
        <v>6</v>
      </c>
      <c r="B553" t="str">
        <f>HYPERLINK("http://www.ncbi.nlm.nih.gov/protein/XP_029556707.1","XP_029556707.1")</f>
        <v>XP_029556707.1</v>
      </c>
      <c r="C553">
        <v>88634</v>
      </c>
      <c r="D553" t="str">
        <f>HYPERLINK("http://www.ncbi.nlm.nih.gov/Taxonomy/Browser/wwwtax.cgi?mode=Info&amp;id=8032&amp;lvl=3&amp;lin=f&amp;keep=1&amp;srchmode=1&amp;unlock","8032")</f>
        <v>8032</v>
      </c>
      <c r="E553" t="s">
        <v>384</v>
      </c>
      <c r="F553" t="s">
        <v>384</v>
      </c>
      <c r="G553" t="str">
        <f>HYPERLINK("http://www.ncbi.nlm.nih.gov/Taxonomy/Browser/wwwtax.cgi?mode=Info&amp;id=8032&amp;lvl=3&amp;lin=f&amp;keep=1&amp;srchmode=1&amp;unlock","Salmo trutta")</f>
        <v>Salmo trutta</v>
      </c>
      <c r="H553" t="s">
        <v>491</v>
      </c>
      <c r="I553" t="str">
        <f>HYPERLINK("http://www.ncbi.nlm.nih.gov/protein/XP_029556707.1","androgen receptor-like isoform X1")</f>
        <v>androgen receptor-like isoform X1</v>
      </c>
      <c r="J553" t="s">
        <v>1261</v>
      </c>
      <c r="K553">
        <v>372.47</v>
      </c>
      <c r="L553" t="s">
        <v>25</v>
      </c>
      <c r="M553">
        <v>157</v>
      </c>
      <c r="N553">
        <v>62.55</v>
      </c>
      <c r="O553">
        <v>72.430000000000007</v>
      </c>
      <c r="P553" t="s">
        <v>20</v>
      </c>
      <c r="Q553" t="s">
        <v>1262</v>
      </c>
      <c r="R553" t="s">
        <v>20</v>
      </c>
      <c r="S553" t="str">
        <f>HYPERLINK("https://cfpub.epa.gov/ecotox/explore.cfm?ncbi=8032","Explore in ECOTOX")</f>
        <v>Explore in ECOTOX</v>
      </c>
    </row>
    <row r="554" spans="1:19" x14ac:dyDescent="0.25">
      <c r="A554">
        <v>6</v>
      </c>
      <c r="B554" t="str">
        <f>HYPERLINK("http://www.ncbi.nlm.nih.gov/protein/ADC35724.1","ADC35724.1")</f>
        <v>ADC35724.1</v>
      </c>
      <c r="C554">
        <v>371</v>
      </c>
      <c r="D554" t="str">
        <f>HYPERLINK("http://www.ncbi.nlm.nih.gov/Taxonomy/Browser/wwwtax.cgi?mode=Info&amp;id=143606&amp;lvl=3&amp;lin=f&amp;keep=1&amp;srchmode=1&amp;unlock","143606")</f>
        <v>143606</v>
      </c>
      <c r="E554" t="s">
        <v>384</v>
      </c>
      <c r="F554" t="s">
        <v>384</v>
      </c>
      <c r="G554" t="str">
        <f>HYPERLINK("http://www.ncbi.nlm.nih.gov/Taxonomy/Browser/wwwtax.cgi?mode=Info&amp;id=143606&amp;lvl=3&amp;lin=f&amp;keep=1&amp;srchmode=1&amp;unlock","Gobiocypris rarus")</f>
        <v>Gobiocypris rarus</v>
      </c>
      <c r="H554" t="s">
        <v>529</v>
      </c>
      <c r="I554" t="str">
        <f>HYPERLINK("http://www.ncbi.nlm.nih.gov/protein/ADC35724.1","androgen receptor")</f>
        <v>androgen receptor</v>
      </c>
      <c r="J554" t="s">
        <v>1261</v>
      </c>
      <c r="K554">
        <v>372.47</v>
      </c>
      <c r="L554" t="s">
        <v>25</v>
      </c>
      <c r="M554">
        <v>157</v>
      </c>
      <c r="N554">
        <v>62.55</v>
      </c>
      <c r="O554">
        <v>72.430000000000007</v>
      </c>
      <c r="P554" t="s">
        <v>20</v>
      </c>
      <c r="Q554" t="s">
        <v>1262</v>
      </c>
      <c r="R554" t="s">
        <v>20</v>
      </c>
      <c r="S554" t="str">
        <f>HYPERLINK("https://cfpub.epa.gov/ecotox/explore.cfm?ncbi=143606","Explore in ECOTOX")</f>
        <v>Explore in ECOTOX</v>
      </c>
    </row>
    <row r="555" spans="1:19" x14ac:dyDescent="0.25">
      <c r="A555">
        <v>6</v>
      </c>
      <c r="B555" t="str">
        <f>HYPERLINK("http://www.ncbi.nlm.nih.gov/protein/AFU35774.1","AFU35774.1")</f>
        <v>AFU35774.1</v>
      </c>
      <c r="C555">
        <v>57</v>
      </c>
      <c r="D555" t="str">
        <f>HYPERLINK("http://www.ncbi.nlm.nih.gov/Taxonomy/Browser/wwwtax.cgi?mode=Info&amp;id=564874&amp;lvl=3&amp;lin=f&amp;keep=1&amp;srchmode=1&amp;unlock","564874")</f>
        <v>564874</v>
      </c>
      <c r="E555" t="s">
        <v>384</v>
      </c>
      <c r="F555" t="s">
        <v>384</v>
      </c>
      <c r="G555" t="str">
        <f>HYPERLINK("http://www.ncbi.nlm.nih.gov/Taxonomy/Browser/wwwtax.cgi?mode=Info&amp;id=564874&amp;lvl=3&amp;lin=f&amp;keep=1&amp;srchmode=1&amp;unlock","Carassius auratus ssp. 'Pengze'")</f>
        <v>Carassius auratus ssp. 'Pengze'</v>
      </c>
      <c r="H555" t="s">
        <v>1001</v>
      </c>
      <c r="I555" t="str">
        <f>HYPERLINK("http://www.ncbi.nlm.nih.gov/protein/AFU35774.1","androgen receptor")</f>
        <v>androgen receptor</v>
      </c>
      <c r="J555" t="s">
        <v>1261</v>
      </c>
      <c r="K555">
        <v>372.47</v>
      </c>
      <c r="L555" t="s">
        <v>25</v>
      </c>
      <c r="M555">
        <v>157</v>
      </c>
      <c r="N555">
        <v>62.55</v>
      </c>
      <c r="O555">
        <v>72.430000000000007</v>
      </c>
      <c r="P555" t="s">
        <v>20</v>
      </c>
      <c r="Q555" t="s">
        <v>1262</v>
      </c>
      <c r="R555" t="s">
        <v>20</v>
      </c>
      <c r="S555" t="str">
        <f>HYPERLINK("https://cfpub.epa.gov/ecotox/explore.cfm?ncbi=564874","Explore in ECOTOX")</f>
        <v>Explore in ECOTOX</v>
      </c>
    </row>
    <row r="556" spans="1:19" x14ac:dyDescent="0.25">
      <c r="A556">
        <v>6</v>
      </c>
      <c r="B556" t="str">
        <f>HYPERLINK("http://www.ncbi.nlm.nih.gov/protein/ABO21344.1","ABO21344.1")</f>
        <v>ABO21344.1</v>
      </c>
      <c r="C556">
        <v>87653</v>
      </c>
      <c r="D556" t="str">
        <f>HYPERLINK("http://www.ncbi.nlm.nih.gov/Taxonomy/Browser/wwwtax.cgi?mode=Info&amp;id=7955&amp;lvl=3&amp;lin=f&amp;keep=1&amp;srchmode=1&amp;unlock","7955")</f>
        <v>7955</v>
      </c>
      <c r="E556" t="s">
        <v>384</v>
      </c>
      <c r="F556" t="s">
        <v>384</v>
      </c>
      <c r="G556" t="str">
        <f>HYPERLINK("http://www.ncbi.nlm.nih.gov/Taxonomy/Browser/wwwtax.cgi?mode=Info&amp;id=7955&amp;lvl=3&amp;lin=f&amp;keep=1&amp;srchmode=1&amp;unlock","Danio rerio")</f>
        <v>Danio rerio</v>
      </c>
      <c r="H556" t="s">
        <v>535</v>
      </c>
      <c r="I556" t="str">
        <f>HYPERLINK("http://www.ncbi.nlm.nih.gov/protein/ABO21344.1","androgen receptor")</f>
        <v>androgen receptor</v>
      </c>
      <c r="J556" t="s">
        <v>1261</v>
      </c>
      <c r="K556">
        <v>372.47</v>
      </c>
      <c r="L556" t="s">
        <v>25</v>
      </c>
      <c r="M556">
        <v>157</v>
      </c>
      <c r="N556">
        <v>62.55</v>
      </c>
      <c r="O556">
        <v>72.430000000000007</v>
      </c>
      <c r="P556" t="s">
        <v>20</v>
      </c>
      <c r="Q556" t="s">
        <v>1262</v>
      </c>
      <c r="R556" t="s">
        <v>20</v>
      </c>
      <c r="S556" t="str">
        <f>HYPERLINK("https://cfpub.epa.gov/ecotox/explore.cfm?ncbi=7955","Explore in ECOTOX")</f>
        <v>Explore in ECOTOX</v>
      </c>
    </row>
    <row r="557" spans="1:19" x14ac:dyDescent="0.25">
      <c r="A557">
        <v>6</v>
      </c>
      <c r="B557" t="str">
        <f>HYPERLINK("http://www.ncbi.nlm.nih.gov/protein/XP_017315035.1","XP_017315035.1")</f>
        <v>XP_017315035.1</v>
      </c>
      <c r="C557">
        <v>51410</v>
      </c>
      <c r="D557" t="str">
        <f>HYPERLINK("http://www.ncbi.nlm.nih.gov/Taxonomy/Browser/wwwtax.cgi?mode=Info&amp;id=7998&amp;lvl=3&amp;lin=f&amp;keep=1&amp;srchmode=1&amp;unlock","7998")</f>
        <v>7998</v>
      </c>
      <c r="E557" t="s">
        <v>384</v>
      </c>
      <c r="F557" t="s">
        <v>384</v>
      </c>
      <c r="G557" t="str">
        <f>HYPERLINK("http://www.ncbi.nlm.nih.gov/Taxonomy/Browser/wwwtax.cgi?mode=Info&amp;id=7998&amp;lvl=3&amp;lin=f&amp;keep=1&amp;srchmode=1&amp;unlock","Ictalurus punctatus")</f>
        <v>Ictalurus punctatus</v>
      </c>
      <c r="H557" t="s">
        <v>593</v>
      </c>
      <c r="I557" t="str">
        <f>HYPERLINK("http://www.ncbi.nlm.nih.gov/protein/XP_017315035.1","PREDICTED: androgen receptor")</f>
        <v>PREDICTED: androgen receptor</v>
      </c>
      <c r="J557" t="s">
        <v>1261</v>
      </c>
      <c r="K557">
        <v>372.47</v>
      </c>
      <c r="L557" t="s">
        <v>25</v>
      </c>
      <c r="M557">
        <v>157</v>
      </c>
      <c r="N557">
        <v>62.55</v>
      </c>
      <c r="O557">
        <v>72.430000000000007</v>
      </c>
      <c r="P557" t="s">
        <v>20</v>
      </c>
      <c r="Q557" t="s">
        <v>1262</v>
      </c>
      <c r="R557" t="s">
        <v>20</v>
      </c>
      <c r="S557" t="str">
        <f>HYPERLINK("https://cfpub.epa.gov/ecotox/explore.cfm?ncbi=7998","Explore in ECOTOX")</f>
        <v>Explore in ECOTOX</v>
      </c>
    </row>
    <row r="558" spans="1:19" x14ac:dyDescent="0.25">
      <c r="A558">
        <v>6</v>
      </c>
      <c r="B558" t="str">
        <f>HYPERLINK("http://www.ncbi.nlm.nih.gov/protein/KAF4073461.1","KAF4073461.1")</f>
        <v>KAF4073461.1</v>
      </c>
      <c r="C558">
        <v>24478</v>
      </c>
      <c r="D558" t="str">
        <f>HYPERLINK("http://www.ncbi.nlm.nih.gov/Taxonomy/Browser/wwwtax.cgi?mode=Info&amp;id=219545&amp;lvl=3&amp;lin=f&amp;keep=1&amp;srchmode=1&amp;unlock","219545")</f>
        <v>219545</v>
      </c>
      <c r="E558" t="s">
        <v>384</v>
      </c>
      <c r="F558" t="s">
        <v>384</v>
      </c>
      <c r="G558" t="str">
        <f>HYPERLINK("http://www.ncbi.nlm.nih.gov/Taxonomy/Browser/wwwtax.cgi?mode=Info&amp;id=219545&amp;lvl=3&amp;lin=f&amp;keep=1&amp;srchmode=1&amp;unlock","Ameiurus melas")</f>
        <v>Ameiurus melas</v>
      </c>
      <c r="H558" t="s">
        <v>663</v>
      </c>
      <c r="I558" t="str">
        <f>HYPERLINK("http://www.ncbi.nlm.nih.gov/protein/KAF4073461.1","hypothetical protein AMELA_G00258820, partial")</f>
        <v>hypothetical protein AMELA_G00258820, partial</v>
      </c>
      <c r="J558" t="s">
        <v>1261</v>
      </c>
      <c r="K558">
        <v>372.47</v>
      </c>
      <c r="L558" t="s">
        <v>25</v>
      </c>
      <c r="M558">
        <v>157</v>
      </c>
      <c r="N558">
        <v>62.55</v>
      </c>
      <c r="O558">
        <v>72.430000000000007</v>
      </c>
      <c r="P558" t="s">
        <v>20</v>
      </c>
      <c r="Q558" t="s">
        <v>1262</v>
      </c>
      <c r="R558" t="s">
        <v>20</v>
      </c>
      <c r="S558" t="str">
        <f>HYPERLINK("https://cfpub.epa.gov/ecotox/explore.cfm?ncbi=219545","Explore in ECOTOX")</f>
        <v>Explore in ECOTOX</v>
      </c>
    </row>
    <row r="559" spans="1:19" x14ac:dyDescent="0.25">
      <c r="A559">
        <v>6</v>
      </c>
      <c r="B559" t="str">
        <f>HYPERLINK("http://www.ncbi.nlm.nih.gov/protein/XP_030648983.1","XP_030648983.1")</f>
        <v>XP_030648983.1</v>
      </c>
      <c r="C559">
        <v>30173</v>
      </c>
      <c r="D559" t="str">
        <f>HYPERLINK("http://www.ncbi.nlm.nih.gov/Taxonomy/Browser/wwwtax.cgi?mode=Info&amp;id=29144&amp;lvl=3&amp;lin=f&amp;keep=1&amp;srchmode=1&amp;unlock","29144")</f>
        <v>29144</v>
      </c>
      <c r="E559" t="s">
        <v>384</v>
      </c>
      <c r="F559" t="s">
        <v>384</v>
      </c>
      <c r="G559" t="str">
        <f>HYPERLINK("http://www.ncbi.nlm.nih.gov/Taxonomy/Browser/wwwtax.cgi?mode=Info&amp;id=29144&amp;lvl=3&amp;lin=f&amp;keep=1&amp;srchmode=1&amp;unlock","Chanos chanos")</f>
        <v>Chanos chanos</v>
      </c>
      <c r="H559" t="s">
        <v>658</v>
      </c>
      <c r="I559" t="str">
        <f>HYPERLINK("http://www.ncbi.nlm.nih.gov/protein/XP_030648983.1","androgen receptor")</f>
        <v>androgen receptor</v>
      </c>
      <c r="J559" t="s">
        <v>1261</v>
      </c>
      <c r="K559">
        <v>372.09</v>
      </c>
      <c r="L559" t="s">
        <v>25</v>
      </c>
      <c r="M559">
        <v>157</v>
      </c>
      <c r="N559">
        <v>62.55</v>
      </c>
      <c r="O559">
        <v>72.36</v>
      </c>
      <c r="P559" t="s">
        <v>20</v>
      </c>
      <c r="Q559" t="s">
        <v>1262</v>
      </c>
      <c r="R559" t="s">
        <v>20</v>
      </c>
      <c r="S559" t="str">
        <f>HYPERLINK("https://cfpub.epa.gov/ecotox/explore.cfm?ncbi=29144","Explore in ECOTOX")</f>
        <v>Explore in ECOTOX</v>
      </c>
    </row>
    <row r="560" spans="1:19" x14ac:dyDescent="0.25">
      <c r="A560">
        <v>6</v>
      </c>
      <c r="B560" t="str">
        <f>HYPERLINK("http://www.ncbi.nlm.nih.gov/protein/XP_009570858.1","XP_009570858.1")</f>
        <v>XP_009570858.1</v>
      </c>
      <c r="C560">
        <v>28139</v>
      </c>
      <c r="D560" t="str">
        <f>HYPERLINK("http://www.ncbi.nlm.nih.gov/Taxonomy/Browser/wwwtax.cgi?mode=Info&amp;id=30455&amp;lvl=3&amp;lin=f&amp;keep=1&amp;srchmode=1&amp;unlock","30455")</f>
        <v>30455</v>
      </c>
      <c r="E560" t="s">
        <v>167</v>
      </c>
      <c r="F560" t="s">
        <v>167</v>
      </c>
      <c r="G560" t="str">
        <f>HYPERLINK("http://www.ncbi.nlm.nih.gov/Taxonomy/Browser/wwwtax.cgi?mode=Info&amp;id=30455&amp;lvl=3&amp;lin=f&amp;keep=1&amp;srchmode=1&amp;unlock","Fulmarus glacialis")</f>
        <v>Fulmarus glacialis</v>
      </c>
      <c r="H560" t="s">
        <v>171</v>
      </c>
      <c r="I560" t="str">
        <f>HYPERLINK("http://www.ncbi.nlm.nih.gov/protein/XP_009570858.1","PREDICTED: androgen receptor-like")</f>
        <v>PREDICTED: androgen receptor-like</v>
      </c>
      <c r="J560" t="s">
        <v>1261</v>
      </c>
      <c r="K560">
        <v>372.09</v>
      </c>
      <c r="L560" t="s">
        <v>25</v>
      </c>
      <c r="M560">
        <v>157</v>
      </c>
      <c r="N560">
        <v>62.55</v>
      </c>
      <c r="O560">
        <v>72.36</v>
      </c>
      <c r="P560" t="s">
        <v>20</v>
      </c>
      <c r="Q560" t="s">
        <v>1262</v>
      </c>
      <c r="R560" t="s">
        <v>20</v>
      </c>
      <c r="S560" t="str">
        <f>HYPERLINK("https://cfpub.epa.gov/ecotox/explore.cfm?ncbi=30455","Explore in ECOTOX")</f>
        <v>Explore in ECOTOX</v>
      </c>
    </row>
    <row r="561" spans="1:19" x14ac:dyDescent="0.25">
      <c r="A561">
        <v>6</v>
      </c>
      <c r="B561" t="str">
        <f>HYPERLINK("http://www.ncbi.nlm.nih.gov/protein/XP_010125721.1","XP_010125721.1")</f>
        <v>XP_010125721.1</v>
      </c>
      <c r="C561">
        <v>26949</v>
      </c>
      <c r="D561" t="str">
        <f>HYPERLINK("http://www.ncbi.nlm.nih.gov/Taxonomy/Browser/wwwtax.cgi?mode=Info&amp;id=187382&amp;lvl=3&amp;lin=f&amp;keep=1&amp;srchmode=1&amp;unlock","187382")</f>
        <v>187382</v>
      </c>
      <c r="E561" t="s">
        <v>167</v>
      </c>
      <c r="F561" t="s">
        <v>167</v>
      </c>
      <c r="G561" t="str">
        <f>HYPERLINK("http://www.ncbi.nlm.nih.gov/Taxonomy/Browser/wwwtax.cgi?mode=Info&amp;id=187382&amp;lvl=3&amp;lin=f&amp;keep=1&amp;srchmode=1&amp;unlock","Chlamydotis macqueenii")</f>
        <v>Chlamydotis macqueenii</v>
      </c>
      <c r="H561" t="s">
        <v>176</v>
      </c>
      <c r="I561" t="str">
        <f>HYPERLINK("http://www.ncbi.nlm.nih.gov/protein/XP_010125721.1","PREDICTED: androgen receptor-like")</f>
        <v>PREDICTED: androgen receptor-like</v>
      </c>
      <c r="J561" t="s">
        <v>1261</v>
      </c>
      <c r="K561">
        <v>372.09</v>
      </c>
      <c r="L561" t="s">
        <v>25</v>
      </c>
      <c r="M561">
        <v>157</v>
      </c>
      <c r="N561">
        <v>62.55</v>
      </c>
      <c r="O561">
        <v>72.36</v>
      </c>
      <c r="P561" t="s">
        <v>20</v>
      </c>
      <c r="Q561" t="s">
        <v>1262</v>
      </c>
      <c r="R561" t="s">
        <v>20</v>
      </c>
      <c r="S561" t="str">
        <f>HYPERLINK("https://cfpub.epa.gov/ecotox/explore.cfm?ncbi=187382","Explore in ECOTOX")</f>
        <v>Explore in ECOTOX</v>
      </c>
    </row>
    <row r="562" spans="1:19" x14ac:dyDescent="0.25">
      <c r="A562">
        <v>6</v>
      </c>
      <c r="B562" t="str">
        <f>HYPERLINK("http://www.ncbi.nlm.nih.gov/protein/XP_030009492.1","XP_030009492.1")</f>
        <v>XP_030009492.1</v>
      </c>
      <c r="C562">
        <v>42352</v>
      </c>
      <c r="D562" t="str">
        <f>HYPERLINK("http://www.ncbi.nlm.nih.gov/Taxonomy/Browser/wwwtax.cgi?mode=Info&amp;id=375764&amp;lvl=3&amp;lin=f&amp;keep=1&amp;srchmode=1&amp;unlock","375764")</f>
        <v>375764</v>
      </c>
      <c r="E562" t="s">
        <v>384</v>
      </c>
      <c r="F562" t="s">
        <v>384</v>
      </c>
      <c r="G562" t="str">
        <f>HYPERLINK("http://www.ncbi.nlm.nih.gov/Taxonomy/Browser/wwwtax.cgi?mode=Info&amp;id=375764&amp;lvl=3&amp;lin=f&amp;keep=1&amp;srchmode=1&amp;unlock","Sphaeramia orbicularis")</f>
        <v>Sphaeramia orbicularis</v>
      </c>
      <c r="H562" t="s">
        <v>561</v>
      </c>
      <c r="I562" t="str">
        <f>HYPERLINK("http://www.ncbi.nlm.nih.gov/protein/XP_030009492.1","androgen receptor-like")</f>
        <v>androgen receptor-like</v>
      </c>
      <c r="J562" t="s">
        <v>1261</v>
      </c>
      <c r="K562">
        <v>371.7</v>
      </c>
      <c r="L562" t="s">
        <v>25</v>
      </c>
      <c r="M562">
        <v>157</v>
      </c>
      <c r="N562">
        <v>62.55</v>
      </c>
      <c r="O562">
        <v>72.28</v>
      </c>
      <c r="P562" t="s">
        <v>20</v>
      </c>
      <c r="Q562" t="s">
        <v>1262</v>
      </c>
      <c r="R562" t="s">
        <v>20</v>
      </c>
      <c r="S562" t="str">
        <f>HYPERLINK("https://cfpub.epa.gov/ecotox/explore.cfm?ncbi=375764","Explore in ECOTOX")</f>
        <v>Explore in ECOTOX</v>
      </c>
    </row>
    <row r="563" spans="1:19" x14ac:dyDescent="0.25">
      <c r="A563">
        <v>6</v>
      </c>
      <c r="B563" t="str">
        <f>HYPERLINK("http://www.ncbi.nlm.nih.gov/protein/AGV29986.1","AGV29986.1")</f>
        <v>AGV29986.1</v>
      </c>
      <c r="C563">
        <v>37796</v>
      </c>
      <c r="D563" t="str">
        <f>HYPERLINK("http://www.ncbi.nlm.nih.gov/Taxonomy/Browser/wwwtax.cgi?mode=Info&amp;id=8255&amp;lvl=3&amp;lin=f&amp;keep=1&amp;srchmode=1&amp;unlock","8255")</f>
        <v>8255</v>
      </c>
      <c r="E563" t="s">
        <v>384</v>
      </c>
      <c r="F563" t="s">
        <v>384</v>
      </c>
      <c r="G563" t="str">
        <f>HYPERLINK("http://www.ncbi.nlm.nih.gov/Taxonomy/Browser/wwwtax.cgi?mode=Info&amp;id=8255&amp;lvl=3&amp;lin=f&amp;keep=1&amp;srchmode=1&amp;unlock","Paralichthys olivaceus")</f>
        <v>Paralichthys olivaceus</v>
      </c>
      <c r="H563" t="s">
        <v>563</v>
      </c>
      <c r="I563" t="str">
        <f>HYPERLINK("http://www.ncbi.nlm.nih.gov/protein/AGV29986.1","androgen receptor beta")</f>
        <v>androgen receptor beta</v>
      </c>
      <c r="J563" t="s">
        <v>1261</v>
      </c>
      <c r="K563">
        <v>371.7</v>
      </c>
      <c r="L563" t="s">
        <v>25</v>
      </c>
      <c r="M563">
        <v>157</v>
      </c>
      <c r="N563">
        <v>62.55</v>
      </c>
      <c r="O563">
        <v>72.28</v>
      </c>
      <c r="P563" t="s">
        <v>20</v>
      </c>
      <c r="Q563" t="s">
        <v>1262</v>
      </c>
      <c r="R563" t="s">
        <v>20</v>
      </c>
      <c r="S563" t="str">
        <f>HYPERLINK("https://cfpub.epa.gov/ecotox/explore.cfm?ncbi=8255","Explore in ECOTOX")</f>
        <v>Explore in ECOTOX</v>
      </c>
    </row>
    <row r="564" spans="1:19" x14ac:dyDescent="0.25">
      <c r="A564">
        <v>6</v>
      </c>
      <c r="B564" t="str">
        <f>HYPERLINK("http://www.ncbi.nlm.nih.gov/protein/XP_009703239.1","XP_009703239.1")</f>
        <v>XP_009703239.1</v>
      </c>
      <c r="C564">
        <v>27818</v>
      </c>
      <c r="D564" t="str">
        <f>HYPERLINK("http://www.ncbi.nlm.nih.gov/Taxonomy/Browser/wwwtax.cgi?mode=Info&amp;id=54380&amp;lvl=3&amp;lin=f&amp;keep=1&amp;srchmode=1&amp;unlock","54380")</f>
        <v>54380</v>
      </c>
      <c r="E564" t="s">
        <v>167</v>
      </c>
      <c r="F564" t="s">
        <v>167</v>
      </c>
      <c r="G564" t="str">
        <f>HYPERLINK("http://www.ncbi.nlm.nih.gov/Taxonomy/Browser/wwwtax.cgi?mode=Info&amp;id=54380&amp;lvl=3&amp;lin=f&amp;keep=1&amp;srchmode=1&amp;unlock","Cariama cristata")</f>
        <v>Cariama cristata</v>
      </c>
      <c r="H564" t="s">
        <v>282</v>
      </c>
      <c r="I564" t="str">
        <f>HYPERLINK("http://www.ncbi.nlm.nih.gov/protein/XP_009703239.1","PREDICTED: androgen receptor-like")</f>
        <v>PREDICTED: androgen receptor-like</v>
      </c>
      <c r="J564" t="s">
        <v>1261</v>
      </c>
      <c r="K564">
        <v>371.7</v>
      </c>
      <c r="L564" t="s">
        <v>25</v>
      </c>
      <c r="M564">
        <v>157</v>
      </c>
      <c r="N564">
        <v>62.55</v>
      </c>
      <c r="O564">
        <v>72.28</v>
      </c>
      <c r="P564" t="s">
        <v>20</v>
      </c>
      <c r="Q564" t="s">
        <v>1262</v>
      </c>
      <c r="R564" t="s">
        <v>20</v>
      </c>
      <c r="S564" t="str">
        <f>HYPERLINK("https://cfpub.epa.gov/ecotox/explore.cfm?ncbi=54380","Explore in ECOTOX")</f>
        <v>Explore in ECOTOX</v>
      </c>
    </row>
    <row r="565" spans="1:19" x14ac:dyDescent="0.25">
      <c r="A565">
        <v>6</v>
      </c>
      <c r="B565" t="str">
        <f>HYPERLINK("http://www.ncbi.nlm.nih.gov/protein/NXC18930.1","NXC18930.1")</f>
        <v>NXC18930.1</v>
      </c>
      <c r="C565">
        <v>11553</v>
      </c>
      <c r="D565" t="str">
        <f>HYPERLINK("http://www.ncbi.nlm.nih.gov/Taxonomy/Browser/wwwtax.cgi?mode=Info&amp;id=103954&amp;lvl=3&amp;lin=f&amp;keep=1&amp;srchmode=1&amp;unlock","103954")</f>
        <v>103954</v>
      </c>
      <c r="E565" t="s">
        <v>167</v>
      </c>
      <c r="F565" t="s">
        <v>167</v>
      </c>
      <c r="G565" t="str">
        <f>HYPERLINK("http://www.ncbi.nlm.nih.gov/Taxonomy/Browser/wwwtax.cgi?mode=Info&amp;id=103954&amp;lvl=3&amp;lin=f&amp;keep=1&amp;srchmode=1&amp;unlock","Corythaeola cristata")</f>
        <v>Corythaeola cristata</v>
      </c>
      <c r="H565" t="s">
        <v>996</v>
      </c>
      <c r="I565" t="str">
        <f>HYPERLINK("http://www.ncbi.nlm.nih.gov/protein/NXC18930.1","ANDR protein")</f>
        <v>ANDR protein</v>
      </c>
      <c r="J565" t="s">
        <v>1261</v>
      </c>
      <c r="K565">
        <v>371.32</v>
      </c>
      <c r="L565" t="s">
        <v>25</v>
      </c>
      <c r="M565">
        <v>157</v>
      </c>
      <c r="N565">
        <v>62.55</v>
      </c>
      <c r="O565">
        <v>72.209999999999994</v>
      </c>
      <c r="P565" t="s">
        <v>20</v>
      </c>
      <c r="Q565" t="s">
        <v>1262</v>
      </c>
      <c r="R565" t="s">
        <v>20</v>
      </c>
      <c r="S565" t="str">
        <f>HYPERLINK("https://cfpub.epa.gov/ecotox/explore.cfm?ncbi=103954","Explore in ECOTOX")</f>
        <v>Explore in ECOTOX</v>
      </c>
    </row>
    <row r="566" spans="1:19" x14ac:dyDescent="0.25">
      <c r="A566">
        <v>6</v>
      </c>
      <c r="B566" t="str">
        <f>HYPERLINK("http://www.ncbi.nlm.nih.gov/protein/XP_039505961.1","XP_039505961.1")</f>
        <v>XP_039505961.1</v>
      </c>
      <c r="C566">
        <v>96106</v>
      </c>
      <c r="D566" t="str">
        <f>HYPERLINK("http://www.ncbi.nlm.nih.gov/Taxonomy/Browser/wwwtax.cgi?mode=Info&amp;id=90988&amp;lvl=3&amp;lin=f&amp;keep=1&amp;srchmode=1&amp;unlock","90988")</f>
        <v>90988</v>
      </c>
      <c r="E566" t="s">
        <v>384</v>
      </c>
      <c r="F566" t="s">
        <v>384</v>
      </c>
      <c r="G566" t="str">
        <f>HYPERLINK("http://www.ncbi.nlm.nih.gov/Taxonomy/Browser/wwwtax.cgi?mode=Info&amp;id=90988&amp;lvl=3&amp;lin=f&amp;keep=1&amp;srchmode=1&amp;unlock","Pimephales promelas")</f>
        <v>Pimephales promelas</v>
      </c>
      <c r="H566" t="s">
        <v>513</v>
      </c>
      <c r="I566" t="str">
        <f>HYPERLINK("http://www.ncbi.nlm.nih.gov/protein/XP_039505961.1","androgen receptor")</f>
        <v>androgen receptor</v>
      </c>
      <c r="J566" t="s">
        <v>1261</v>
      </c>
      <c r="K566">
        <v>371.32</v>
      </c>
      <c r="L566" t="s">
        <v>25</v>
      </c>
      <c r="M566">
        <v>157</v>
      </c>
      <c r="N566">
        <v>62.55</v>
      </c>
      <c r="O566">
        <v>72.209999999999994</v>
      </c>
      <c r="P566" t="s">
        <v>20</v>
      </c>
      <c r="Q566" t="s">
        <v>1262</v>
      </c>
      <c r="R566" t="s">
        <v>20</v>
      </c>
      <c r="S566" t="str">
        <f>HYPERLINK("https://cfpub.epa.gov/ecotox/explore.cfm?ncbi=90988","Explore in ECOTOX")</f>
        <v>Explore in ECOTOX</v>
      </c>
    </row>
    <row r="567" spans="1:19" x14ac:dyDescent="0.25">
      <c r="A567">
        <v>6</v>
      </c>
      <c r="B567" t="str">
        <f>HYPERLINK("http://www.ncbi.nlm.nih.gov/protein/BAA33451.1","BAA33451.1")</f>
        <v>BAA33451.1</v>
      </c>
      <c r="C567">
        <v>337</v>
      </c>
      <c r="D567" t="str">
        <f>HYPERLINK("http://www.ncbi.nlm.nih.gov/Taxonomy/Browser/wwwtax.cgi?mode=Info&amp;id=143350&amp;lvl=3&amp;lin=f&amp;keep=1&amp;srchmode=1&amp;unlock","143350")</f>
        <v>143350</v>
      </c>
      <c r="E567" t="s">
        <v>384</v>
      </c>
      <c r="F567" t="s">
        <v>384</v>
      </c>
      <c r="G567" t="str">
        <f>HYPERLINK("http://www.ncbi.nlm.nih.gov/Taxonomy/Browser/wwwtax.cgi?mode=Info&amp;id=143350&amp;lvl=3&amp;lin=f&amp;keep=1&amp;srchmode=1&amp;unlock","Pagrus major")</f>
        <v>Pagrus major</v>
      </c>
      <c r="H567" t="s">
        <v>955</v>
      </c>
      <c r="I567" t="str">
        <f>HYPERLINK("http://www.ncbi.nlm.nih.gov/protein/BAA33451.1","androgen receptor")</f>
        <v>androgen receptor</v>
      </c>
      <c r="J567" t="s">
        <v>1261</v>
      </c>
      <c r="K567">
        <v>371.32</v>
      </c>
      <c r="L567" t="s">
        <v>25</v>
      </c>
      <c r="M567">
        <v>157</v>
      </c>
      <c r="N567">
        <v>62.55</v>
      </c>
      <c r="O567">
        <v>72.209999999999994</v>
      </c>
      <c r="P567" t="s">
        <v>20</v>
      </c>
      <c r="Q567" t="s">
        <v>1262</v>
      </c>
      <c r="R567" t="s">
        <v>20</v>
      </c>
      <c r="S567" t="str">
        <f>HYPERLINK("https://cfpub.epa.gov/ecotox/explore.cfm?ncbi=143350","Explore in ECOTOX")</f>
        <v>Explore in ECOTOX</v>
      </c>
    </row>
    <row r="568" spans="1:19" x14ac:dyDescent="0.25">
      <c r="A568">
        <v>6</v>
      </c>
      <c r="B568" t="str">
        <f>HYPERLINK("http://www.ncbi.nlm.nih.gov/protein/XP_040907264.1","XP_040907264.1")</f>
        <v>XP_040907264.1</v>
      </c>
      <c r="C568">
        <v>38442</v>
      </c>
      <c r="D568" t="str">
        <f>HYPERLINK("http://www.ncbi.nlm.nih.gov/Taxonomy/Browser/wwwtax.cgi?mode=Info&amp;id=941984&amp;lvl=3&amp;lin=f&amp;keep=1&amp;srchmode=1&amp;unlock","941984")</f>
        <v>941984</v>
      </c>
      <c r="E568" t="s">
        <v>384</v>
      </c>
      <c r="F568" t="s">
        <v>384</v>
      </c>
      <c r="G568" t="str">
        <f>HYPERLINK("http://www.ncbi.nlm.nih.gov/Taxonomy/Browser/wwwtax.cgi?mode=Info&amp;id=941984&amp;lvl=3&amp;lin=f&amp;keep=1&amp;srchmode=1&amp;unlock","Toxotes jaculatrix")</f>
        <v>Toxotes jaculatrix</v>
      </c>
      <c r="H568" t="s">
        <v>531</v>
      </c>
      <c r="I568" t="str">
        <f>HYPERLINK("http://www.ncbi.nlm.nih.gov/protein/XP_040907264.1","androgen receptor isoform X1")</f>
        <v>androgen receptor isoform X1</v>
      </c>
      <c r="J568" t="s">
        <v>1261</v>
      </c>
      <c r="K568">
        <v>371.32</v>
      </c>
      <c r="L568" t="s">
        <v>25</v>
      </c>
      <c r="M568">
        <v>157</v>
      </c>
      <c r="N568">
        <v>62.55</v>
      </c>
      <c r="O568">
        <v>72.209999999999994</v>
      </c>
      <c r="P568" t="s">
        <v>20</v>
      </c>
      <c r="Q568" t="s">
        <v>1262</v>
      </c>
      <c r="R568" t="s">
        <v>20</v>
      </c>
      <c r="S568" t="str">
        <f>HYPERLINK("https://cfpub.epa.gov/ecotox/explore.cfm?ncbi=941984","Explore in ECOTOX")</f>
        <v>Explore in ECOTOX</v>
      </c>
    </row>
    <row r="569" spans="1:19" x14ac:dyDescent="0.25">
      <c r="A569">
        <v>6</v>
      </c>
      <c r="B569" t="str">
        <f>HYPERLINK("http://www.ncbi.nlm.nih.gov/protein/BAI58984.1","BAI58984.1")</f>
        <v>BAI58984.1</v>
      </c>
      <c r="C569">
        <v>47310</v>
      </c>
      <c r="D569" t="str">
        <f>HYPERLINK("http://www.ncbi.nlm.nih.gov/Taxonomy/Browser/wwwtax.cgi?mode=Info&amp;id=8090&amp;lvl=3&amp;lin=f&amp;keep=1&amp;srchmode=1&amp;unlock","8090")</f>
        <v>8090</v>
      </c>
      <c r="E569" t="s">
        <v>384</v>
      </c>
      <c r="F569" t="s">
        <v>384</v>
      </c>
      <c r="G569" t="str">
        <f>HYPERLINK("http://www.ncbi.nlm.nih.gov/Taxonomy/Browser/wwwtax.cgi?mode=Info&amp;id=8090&amp;lvl=3&amp;lin=f&amp;keep=1&amp;srchmode=1&amp;unlock","Oryzias latipes")</f>
        <v>Oryzias latipes</v>
      </c>
      <c r="H569" t="s">
        <v>644</v>
      </c>
      <c r="I569" t="str">
        <f>HYPERLINK("http://www.ncbi.nlm.nih.gov/protein/BAI58984.1","androgen receptor beta subtype")</f>
        <v>androgen receptor beta subtype</v>
      </c>
      <c r="J569" t="s">
        <v>1261</v>
      </c>
      <c r="K569">
        <v>371.32</v>
      </c>
      <c r="L569" t="s">
        <v>25</v>
      </c>
      <c r="M569">
        <v>157</v>
      </c>
      <c r="N569">
        <v>62.55</v>
      </c>
      <c r="O569">
        <v>72.209999999999994</v>
      </c>
      <c r="P569" t="s">
        <v>20</v>
      </c>
      <c r="Q569" t="s">
        <v>1262</v>
      </c>
      <c r="R569" t="s">
        <v>20</v>
      </c>
      <c r="S569" t="str">
        <f>HYPERLINK("https://cfpub.epa.gov/ecotox/explore.cfm?ncbi=8090","Explore in ECOTOX")</f>
        <v>Explore in ECOTOX</v>
      </c>
    </row>
    <row r="570" spans="1:19" x14ac:dyDescent="0.25">
      <c r="A570">
        <v>6</v>
      </c>
      <c r="B570" t="str">
        <f>HYPERLINK("http://www.ncbi.nlm.nih.gov/protein/XP_028276724.1","XP_028276724.1")</f>
        <v>XP_028276724.1</v>
      </c>
      <c r="C570">
        <v>41035</v>
      </c>
      <c r="D570" t="str">
        <f>HYPERLINK("http://www.ncbi.nlm.nih.gov/Taxonomy/Browser/wwwtax.cgi?mode=Info&amp;id=210632&amp;lvl=3&amp;lin=f&amp;keep=1&amp;srchmode=1&amp;unlock","210632")</f>
        <v>210632</v>
      </c>
      <c r="E570" t="s">
        <v>384</v>
      </c>
      <c r="F570" t="s">
        <v>384</v>
      </c>
      <c r="G570" t="str">
        <f>HYPERLINK("http://www.ncbi.nlm.nih.gov/Taxonomy/Browser/wwwtax.cgi?mode=Info&amp;id=210632&amp;lvl=3&amp;lin=f&amp;keep=1&amp;srchmode=1&amp;unlock","Parambassis ranga")</f>
        <v>Parambassis ranga</v>
      </c>
      <c r="H570" t="s">
        <v>549</v>
      </c>
      <c r="I570" t="str">
        <f>HYPERLINK("http://www.ncbi.nlm.nih.gov/protein/XP_028276724.1","androgen receptor")</f>
        <v>androgen receptor</v>
      </c>
      <c r="J570" t="s">
        <v>1261</v>
      </c>
      <c r="K570">
        <v>370.93</v>
      </c>
      <c r="L570" t="s">
        <v>25</v>
      </c>
      <c r="M570">
        <v>157</v>
      </c>
      <c r="N570">
        <v>62.55</v>
      </c>
      <c r="O570">
        <v>72.13</v>
      </c>
      <c r="P570" t="s">
        <v>20</v>
      </c>
      <c r="Q570" t="s">
        <v>1262</v>
      </c>
      <c r="R570" t="s">
        <v>20</v>
      </c>
      <c r="S570" t="str">
        <f>HYPERLINK("https://cfpub.epa.gov/ecotox/explore.cfm?ncbi=210632","Explore in ECOTOX")</f>
        <v>Explore in ECOTOX</v>
      </c>
    </row>
    <row r="571" spans="1:19" x14ac:dyDescent="0.25">
      <c r="A571">
        <v>6</v>
      </c>
      <c r="B571" t="str">
        <f>HYPERLINK("http://www.ncbi.nlm.nih.gov/protein/XP_026704635.1","XP_026704635.1")</f>
        <v>XP_026704635.1</v>
      </c>
      <c r="C571">
        <v>27794</v>
      </c>
      <c r="D571" t="str">
        <f>HYPERLINK("http://www.ncbi.nlm.nih.gov/Taxonomy/Browser/wwwtax.cgi?mode=Info&amp;id=194338&amp;lvl=3&amp;lin=f&amp;keep=1&amp;srchmode=1&amp;unlock","194338")</f>
        <v>194338</v>
      </c>
      <c r="E571" t="s">
        <v>167</v>
      </c>
      <c r="F571" t="s">
        <v>167</v>
      </c>
      <c r="G571" t="str">
        <f>HYPERLINK("http://www.ncbi.nlm.nih.gov/Taxonomy/Browser/wwwtax.cgi?mode=Info&amp;id=194338&amp;lvl=3&amp;lin=f&amp;keep=1&amp;srchmode=1&amp;unlock","Athene cunicularia")</f>
        <v>Athene cunicularia</v>
      </c>
      <c r="H571" t="s">
        <v>275</v>
      </c>
      <c r="I571" t="str">
        <f>HYPERLINK("http://www.ncbi.nlm.nih.gov/protein/XP_026704635.1","androgen receptor")</f>
        <v>androgen receptor</v>
      </c>
      <c r="J571" t="s">
        <v>1261</v>
      </c>
      <c r="K571">
        <v>370.55</v>
      </c>
      <c r="L571" t="s">
        <v>25</v>
      </c>
      <c r="M571">
        <v>157</v>
      </c>
      <c r="N571">
        <v>62.55</v>
      </c>
      <c r="O571">
        <v>72.06</v>
      </c>
      <c r="P571" t="s">
        <v>20</v>
      </c>
      <c r="Q571" t="s">
        <v>1262</v>
      </c>
      <c r="R571" t="s">
        <v>20</v>
      </c>
      <c r="S571" t="str">
        <f>HYPERLINK("https://cfpub.epa.gov/ecotox/explore.cfm?ncbi=194338","Explore in ECOTOX")</f>
        <v>Explore in ECOTOX</v>
      </c>
    </row>
    <row r="572" spans="1:19" x14ac:dyDescent="0.25">
      <c r="A572">
        <v>6</v>
      </c>
      <c r="B572" t="str">
        <f>HYPERLINK("http://www.ncbi.nlm.nih.gov/protein/XP_029925114.1","XP_029925114.1")</f>
        <v>XP_029925114.1</v>
      </c>
      <c r="C572">
        <v>38165</v>
      </c>
      <c r="D572" t="str">
        <f>HYPERLINK("http://www.ncbi.nlm.nih.gov/Taxonomy/Browser/wwwtax.cgi?mode=Info&amp;id=586833&amp;lvl=3&amp;lin=f&amp;keep=1&amp;srchmode=1&amp;unlock","586833")</f>
        <v>586833</v>
      </c>
      <c r="E572" t="s">
        <v>384</v>
      </c>
      <c r="F572" t="s">
        <v>384</v>
      </c>
      <c r="G572" t="str">
        <f>HYPERLINK("http://www.ncbi.nlm.nih.gov/Taxonomy/Browser/wwwtax.cgi?mode=Info&amp;id=586833&amp;lvl=3&amp;lin=f&amp;keep=1&amp;srchmode=1&amp;unlock","Myripristis murdjan")</f>
        <v>Myripristis murdjan</v>
      </c>
      <c r="H572" t="s">
        <v>533</v>
      </c>
      <c r="I572" t="str">
        <f>HYPERLINK("http://www.ncbi.nlm.nih.gov/protein/XP_029925114.1","androgen receptor-like")</f>
        <v>androgen receptor-like</v>
      </c>
      <c r="J572" t="s">
        <v>1261</v>
      </c>
      <c r="K572">
        <v>370.55</v>
      </c>
      <c r="L572" t="s">
        <v>25</v>
      </c>
      <c r="M572">
        <v>157</v>
      </c>
      <c r="N572">
        <v>62.55</v>
      </c>
      <c r="O572">
        <v>72.06</v>
      </c>
      <c r="P572" t="s">
        <v>20</v>
      </c>
      <c r="Q572" t="s">
        <v>1262</v>
      </c>
      <c r="R572" t="s">
        <v>20</v>
      </c>
      <c r="S572" t="str">
        <f>HYPERLINK("https://cfpub.epa.gov/ecotox/explore.cfm?ncbi=586833","Explore in ECOTOX")</f>
        <v>Explore in ECOTOX</v>
      </c>
    </row>
    <row r="573" spans="1:19" x14ac:dyDescent="0.25">
      <c r="A573">
        <v>6</v>
      </c>
      <c r="B573" t="str">
        <f>HYPERLINK("http://www.ncbi.nlm.nih.gov/protein/ANA50341.1","ANA50341.1")</f>
        <v>ANA50341.1</v>
      </c>
      <c r="C573">
        <v>5</v>
      </c>
      <c r="D573" t="str">
        <f>HYPERLINK("http://www.ncbi.nlm.nih.gov/Taxonomy/Browser/wwwtax.cgi?mode=Info&amp;id=749193&amp;lvl=3&amp;lin=f&amp;keep=1&amp;srchmode=1&amp;unlock","749193")</f>
        <v>749193</v>
      </c>
      <c r="E573" t="s">
        <v>384</v>
      </c>
      <c r="F573" t="s">
        <v>384</v>
      </c>
      <c r="G573" t="str">
        <f>HYPERLINK("http://www.ncbi.nlm.nih.gov/Taxonomy/Browser/wwwtax.cgi?mode=Info&amp;id=749193&amp;lvl=3&amp;lin=f&amp;keep=1&amp;srchmode=1&amp;unlock","Cyprinus carpio 'singuonensis'")</f>
        <v>Cyprinus carpio 'singuonensis'</v>
      </c>
      <c r="H573" t="s">
        <v>625</v>
      </c>
      <c r="I573" t="str">
        <f>HYPERLINK("http://www.ncbi.nlm.nih.gov/protein/ANA50341.1","androgen receptor")</f>
        <v>androgen receptor</v>
      </c>
      <c r="J573" t="s">
        <v>1261</v>
      </c>
      <c r="K573">
        <v>370.55</v>
      </c>
      <c r="L573" t="s">
        <v>25</v>
      </c>
      <c r="M573">
        <v>157</v>
      </c>
      <c r="N573">
        <v>62.55</v>
      </c>
      <c r="O573">
        <v>72.06</v>
      </c>
      <c r="P573" t="s">
        <v>20</v>
      </c>
      <c r="Q573" t="s">
        <v>1262</v>
      </c>
      <c r="R573" t="s">
        <v>20</v>
      </c>
      <c r="S573" t="str">
        <f>HYPERLINK("https://cfpub.epa.gov/ecotox/explore.cfm?ncbi=749193","Explore in ECOTOX")</f>
        <v>Explore in ECOTOX</v>
      </c>
    </row>
    <row r="574" spans="1:19" x14ac:dyDescent="0.25">
      <c r="A574">
        <v>6</v>
      </c>
      <c r="B574" t="str">
        <f>HYPERLINK("http://www.ncbi.nlm.nih.gov/protein/XP_034539180.1","XP_034539180.1")</f>
        <v>XP_034539180.1</v>
      </c>
      <c r="C574">
        <v>39441</v>
      </c>
      <c r="D574" t="str">
        <f>HYPERLINK("http://www.ncbi.nlm.nih.gov/Taxonomy/Browser/wwwtax.cgi?mode=Info&amp;id=1203425&amp;lvl=3&amp;lin=f&amp;keep=1&amp;srchmode=1&amp;unlock","1203425")</f>
        <v>1203425</v>
      </c>
      <c r="E574" t="s">
        <v>384</v>
      </c>
      <c r="F574" t="s">
        <v>384</v>
      </c>
      <c r="G574" t="str">
        <f>HYPERLINK("http://www.ncbi.nlm.nih.gov/Taxonomy/Browser/wwwtax.cgi?mode=Info&amp;id=1203425&amp;lvl=3&amp;lin=f&amp;keep=1&amp;srchmode=1&amp;unlock","Notolabrus celidotus")</f>
        <v>Notolabrus celidotus</v>
      </c>
      <c r="H574" t="s">
        <v>572</v>
      </c>
      <c r="I574" t="str">
        <f>HYPERLINK("http://www.ncbi.nlm.nih.gov/protein/XP_034539180.1","androgen receptor isoform X2")</f>
        <v>androgen receptor isoform X2</v>
      </c>
      <c r="J574" t="s">
        <v>1261</v>
      </c>
      <c r="K574">
        <v>370.55</v>
      </c>
      <c r="L574" t="s">
        <v>25</v>
      </c>
      <c r="M574">
        <v>157</v>
      </c>
      <c r="N574">
        <v>62.55</v>
      </c>
      <c r="O574">
        <v>72.06</v>
      </c>
      <c r="P574" t="s">
        <v>20</v>
      </c>
      <c r="Q574" t="s">
        <v>1262</v>
      </c>
      <c r="R574" t="s">
        <v>20</v>
      </c>
      <c r="S574" t="str">
        <f>HYPERLINK("https://cfpub.epa.gov/ecotox/explore.cfm?ncbi=1203425","Explore in ECOTOX")</f>
        <v>Explore in ECOTOX</v>
      </c>
    </row>
    <row r="575" spans="1:19" x14ac:dyDescent="0.25">
      <c r="A575">
        <v>6</v>
      </c>
      <c r="B575" t="str">
        <f>HYPERLINK("http://www.ncbi.nlm.nih.gov/protein/XP_018547304.1","XP_018547304.1")</f>
        <v>XP_018547304.1</v>
      </c>
      <c r="C575">
        <v>45628</v>
      </c>
      <c r="D575" t="str">
        <f>HYPERLINK("http://www.ncbi.nlm.nih.gov/Taxonomy/Browser/wwwtax.cgi?mode=Info&amp;id=8187&amp;lvl=3&amp;lin=f&amp;keep=1&amp;srchmode=1&amp;unlock","8187")</f>
        <v>8187</v>
      </c>
      <c r="E575" t="s">
        <v>384</v>
      </c>
      <c r="F575" t="s">
        <v>384</v>
      </c>
      <c r="G575" t="str">
        <f>HYPERLINK("http://www.ncbi.nlm.nih.gov/Taxonomy/Browser/wwwtax.cgi?mode=Info&amp;id=8187&amp;lvl=3&amp;lin=f&amp;keep=1&amp;srchmode=1&amp;unlock","Lates calcarifer")</f>
        <v>Lates calcarifer</v>
      </c>
      <c r="H575" t="s">
        <v>532</v>
      </c>
      <c r="I575" t="str">
        <f>HYPERLINK("http://www.ncbi.nlm.nih.gov/protein/XP_018547304.1","PREDICTED: androgen receptor-like")</f>
        <v>PREDICTED: androgen receptor-like</v>
      </c>
      <c r="J575" t="s">
        <v>1261</v>
      </c>
      <c r="K575">
        <v>370.55</v>
      </c>
      <c r="L575" t="s">
        <v>25</v>
      </c>
      <c r="M575">
        <v>157</v>
      </c>
      <c r="N575">
        <v>62.55</v>
      </c>
      <c r="O575">
        <v>72.06</v>
      </c>
      <c r="P575" t="s">
        <v>20</v>
      </c>
      <c r="Q575" t="s">
        <v>1262</v>
      </c>
      <c r="R575" t="s">
        <v>20</v>
      </c>
      <c r="S575" t="str">
        <f>HYPERLINK("https://cfpub.epa.gov/ecotox/explore.cfm?ncbi=8187","Explore in ECOTOX")</f>
        <v>Explore in ECOTOX</v>
      </c>
    </row>
    <row r="576" spans="1:19" x14ac:dyDescent="0.25">
      <c r="A576">
        <v>6</v>
      </c>
      <c r="B576" t="str">
        <f>HYPERLINK("http://www.ncbi.nlm.nih.gov/protein/XP_035289658.1","XP_035289658.1")</f>
        <v>XP_035289658.1</v>
      </c>
      <c r="C576">
        <v>58879</v>
      </c>
      <c r="D576" t="str">
        <f>HYPERLINK("http://www.ncbi.nlm.nih.gov/Taxonomy/Browser/wwwtax.cgi?mode=Info&amp;id=7936&amp;lvl=3&amp;lin=f&amp;keep=1&amp;srchmode=1&amp;unlock","7936")</f>
        <v>7936</v>
      </c>
      <c r="E576" t="s">
        <v>384</v>
      </c>
      <c r="F576" t="s">
        <v>384</v>
      </c>
      <c r="G576" t="str">
        <f>HYPERLINK("http://www.ncbi.nlm.nih.gov/Taxonomy/Browser/wwwtax.cgi?mode=Info&amp;id=7936&amp;lvl=3&amp;lin=f&amp;keep=1&amp;srchmode=1&amp;unlock","Anguilla anguilla")</f>
        <v>Anguilla anguilla</v>
      </c>
      <c r="H576" t="s">
        <v>619</v>
      </c>
      <c r="I576" t="str">
        <f>HYPERLINK("http://www.ncbi.nlm.nih.gov/protein/XP_035289658.1","androgen receptor-like")</f>
        <v>androgen receptor-like</v>
      </c>
      <c r="J576" t="s">
        <v>1261</v>
      </c>
      <c r="K576">
        <v>370.16</v>
      </c>
      <c r="L576" t="s">
        <v>25</v>
      </c>
      <c r="M576">
        <v>157</v>
      </c>
      <c r="N576">
        <v>62.55</v>
      </c>
      <c r="O576">
        <v>71.98</v>
      </c>
      <c r="P576" t="s">
        <v>20</v>
      </c>
      <c r="Q576" t="s">
        <v>1262</v>
      </c>
      <c r="R576" t="s">
        <v>20</v>
      </c>
      <c r="S576" t="str">
        <f>HYPERLINK("https://cfpub.epa.gov/ecotox/explore.cfm?ncbi=7936","Explore in ECOTOX")</f>
        <v>Explore in ECOTOX</v>
      </c>
    </row>
    <row r="577" spans="1:19" x14ac:dyDescent="0.25">
      <c r="A577">
        <v>6</v>
      </c>
      <c r="B577" t="str">
        <f>HYPERLINK("http://www.ncbi.nlm.nih.gov/protein/BAA83805.1","BAA83805.1")</f>
        <v>BAA83805.1</v>
      </c>
      <c r="C577">
        <v>702</v>
      </c>
      <c r="D577" t="str">
        <f>HYPERLINK("http://www.ncbi.nlm.nih.gov/Taxonomy/Browser/wwwtax.cgi?mode=Info&amp;id=7937&amp;lvl=3&amp;lin=f&amp;keep=1&amp;srchmode=1&amp;unlock","7937")</f>
        <v>7937</v>
      </c>
      <c r="E577" t="s">
        <v>384</v>
      </c>
      <c r="F577" t="s">
        <v>384</v>
      </c>
      <c r="G577" t="str">
        <f>HYPERLINK("http://www.ncbi.nlm.nih.gov/Taxonomy/Browser/wwwtax.cgi?mode=Info&amp;id=7937&amp;lvl=3&amp;lin=f&amp;keep=1&amp;srchmode=1&amp;unlock","Anguilla japonica")</f>
        <v>Anguilla japonica</v>
      </c>
      <c r="H577" t="s">
        <v>886</v>
      </c>
      <c r="I577" t="str">
        <f>HYPERLINK("http://www.ncbi.nlm.nih.gov/protein/BAA83805.1","androgen receptor-beta")</f>
        <v>androgen receptor-beta</v>
      </c>
      <c r="J577" t="s">
        <v>1261</v>
      </c>
      <c r="K577">
        <v>370.16</v>
      </c>
      <c r="L577" t="s">
        <v>25</v>
      </c>
      <c r="M577">
        <v>157</v>
      </c>
      <c r="N577">
        <v>62.55</v>
      </c>
      <c r="O577">
        <v>71.98</v>
      </c>
      <c r="P577" t="s">
        <v>20</v>
      </c>
      <c r="Q577" t="s">
        <v>1262</v>
      </c>
      <c r="R577" t="s">
        <v>20</v>
      </c>
      <c r="S577" t="str">
        <f>HYPERLINK("https://cfpub.epa.gov/ecotox/explore.cfm?ncbi=7937","Explore in ECOTOX")</f>
        <v>Explore in ECOTOX</v>
      </c>
    </row>
    <row r="578" spans="1:19" x14ac:dyDescent="0.25">
      <c r="A578">
        <v>6</v>
      </c>
      <c r="B578" t="str">
        <f>HYPERLINK("http://www.ncbi.nlm.nih.gov/protein/BAM48919.1","BAM48919.1")</f>
        <v>BAM48919.1</v>
      </c>
      <c r="C578">
        <v>42</v>
      </c>
      <c r="D578" t="str">
        <f>HYPERLINK("http://www.ncbi.nlm.nih.gov/Taxonomy/Browser/wwwtax.cgi?mode=Info&amp;id=7940&amp;lvl=3&amp;lin=f&amp;keep=1&amp;srchmode=1&amp;unlock","7940")</f>
        <v>7940</v>
      </c>
      <c r="E578" t="s">
        <v>384</v>
      </c>
      <c r="F578" t="s">
        <v>384</v>
      </c>
      <c r="G578" t="str">
        <f>HYPERLINK("http://www.ncbi.nlm.nih.gov/Taxonomy/Browser/wwwtax.cgi?mode=Info&amp;id=7940&amp;lvl=3&amp;lin=f&amp;keep=1&amp;srchmode=1&amp;unlock","Anguilla australis")</f>
        <v>Anguilla australis</v>
      </c>
      <c r="H578" t="s">
        <v>998</v>
      </c>
      <c r="I578" t="str">
        <f>HYPERLINK("http://www.ncbi.nlm.nih.gov/protein/BAM48919.1","androgen receptor beta, partial")</f>
        <v>androgen receptor beta, partial</v>
      </c>
      <c r="J578" t="s">
        <v>1261</v>
      </c>
      <c r="K578">
        <v>370.16</v>
      </c>
      <c r="L578" t="s">
        <v>25</v>
      </c>
      <c r="M578">
        <v>157</v>
      </c>
      <c r="N578">
        <v>62.55</v>
      </c>
      <c r="O578">
        <v>71.98</v>
      </c>
      <c r="P578" t="s">
        <v>20</v>
      </c>
      <c r="Q578" t="s">
        <v>1262</v>
      </c>
      <c r="R578" t="s">
        <v>20</v>
      </c>
      <c r="S578" t="str">
        <f>HYPERLINK("https://cfpub.epa.gov/ecotox/explore.cfm?ncbi=7940","Explore in ECOTOX")</f>
        <v>Explore in ECOTOX</v>
      </c>
    </row>
    <row r="579" spans="1:19" x14ac:dyDescent="0.25">
      <c r="A579">
        <v>6</v>
      </c>
      <c r="B579" t="str">
        <f>HYPERLINK("http://www.ncbi.nlm.nih.gov/protein/XP_040005544.1","XP_040005544.1")</f>
        <v>XP_040005544.1</v>
      </c>
      <c r="C579">
        <v>44807</v>
      </c>
      <c r="D579" t="str">
        <f>HYPERLINK("http://www.ncbi.nlm.nih.gov/Taxonomy/Browser/wwwtax.cgi?mode=Info&amp;id=8245&amp;lvl=3&amp;lin=f&amp;keep=1&amp;srchmode=1&amp;unlock","8245")</f>
        <v>8245</v>
      </c>
      <c r="E579" t="s">
        <v>384</v>
      </c>
      <c r="F579" t="s">
        <v>384</v>
      </c>
      <c r="G579" t="str">
        <f>HYPERLINK("http://www.ncbi.nlm.nih.gov/Taxonomy/Browser/wwwtax.cgi?mode=Info&amp;id=8245&amp;lvl=3&amp;lin=f&amp;keep=1&amp;srchmode=1&amp;unlock","Xiphias gladius")</f>
        <v>Xiphias gladius</v>
      </c>
      <c r="H579" t="s">
        <v>573</v>
      </c>
      <c r="I579" t="str">
        <f>HYPERLINK("http://www.ncbi.nlm.nih.gov/protein/XP_040005544.1","androgen receptor-like isoform X3")</f>
        <v>androgen receptor-like isoform X3</v>
      </c>
      <c r="J579" t="s">
        <v>1261</v>
      </c>
      <c r="K579">
        <v>370.16</v>
      </c>
      <c r="L579" t="s">
        <v>25</v>
      </c>
      <c r="M579">
        <v>157</v>
      </c>
      <c r="N579">
        <v>62.55</v>
      </c>
      <c r="O579">
        <v>71.98</v>
      </c>
      <c r="P579" t="s">
        <v>20</v>
      </c>
      <c r="Q579" t="s">
        <v>1262</v>
      </c>
      <c r="R579" t="s">
        <v>20</v>
      </c>
      <c r="S579" t="str">
        <f>HYPERLINK("https://cfpub.epa.gov/ecotox/explore.cfm?ncbi=8245","Explore in ECOTOX")</f>
        <v>Explore in ECOTOX</v>
      </c>
    </row>
    <row r="580" spans="1:19" x14ac:dyDescent="0.25">
      <c r="A580">
        <v>6</v>
      </c>
      <c r="B580" t="str">
        <f>HYPERLINK("http://www.ncbi.nlm.nih.gov/protein/XP_035481930.1","XP_035481930.1")</f>
        <v>XP_035481930.1</v>
      </c>
      <c r="C580">
        <v>101851</v>
      </c>
      <c r="D580" t="str">
        <f>HYPERLINK("http://www.ncbi.nlm.nih.gov/Taxonomy/Browser/wwwtax.cgi?mode=Info&amp;id=52904&amp;lvl=3&amp;lin=f&amp;keep=1&amp;srchmode=1&amp;unlock","52904")</f>
        <v>52904</v>
      </c>
      <c r="E580" t="s">
        <v>384</v>
      </c>
      <c r="F580" t="s">
        <v>384</v>
      </c>
      <c r="G580" t="str">
        <f>HYPERLINK("http://www.ncbi.nlm.nih.gov/Taxonomy/Browser/wwwtax.cgi?mode=Info&amp;id=52904&amp;lvl=3&amp;lin=f&amp;keep=1&amp;srchmode=1&amp;unlock","Scophthalmus maximus")</f>
        <v>Scophthalmus maximus</v>
      </c>
      <c r="H580" t="s">
        <v>595</v>
      </c>
      <c r="I580" t="str">
        <f>HYPERLINK("http://www.ncbi.nlm.nih.gov/protein/XP_035481930.1","androgen receptor-like isoform X2")</f>
        <v>androgen receptor-like isoform X2</v>
      </c>
      <c r="J580" t="s">
        <v>1261</v>
      </c>
      <c r="K580">
        <v>369.78</v>
      </c>
      <c r="L580" t="s">
        <v>25</v>
      </c>
      <c r="M580">
        <v>157</v>
      </c>
      <c r="N580">
        <v>62.55</v>
      </c>
      <c r="O580">
        <v>71.91</v>
      </c>
      <c r="P580" t="s">
        <v>20</v>
      </c>
      <c r="Q580" t="s">
        <v>1262</v>
      </c>
      <c r="R580" t="s">
        <v>20</v>
      </c>
      <c r="S580" t="str">
        <f>HYPERLINK("https://cfpub.epa.gov/ecotox/explore.cfm?ncbi=52904","Explore in ECOTOX")</f>
        <v>Explore in ECOTOX</v>
      </c>
    </row>
    <row r="581" spans="1:19" x14ac:dyDescent="0.25">
      <c r="A581">
        <v>6</v>
      </c>
      <c r="B581" t="str">
        <f>HYPERLINK("http://www.ncbi.nlm.nih.gov/protein/TKS83515.1","TKS83515.1")</f>
        <v>TKS83515.1</v>
      </c>
      <c r="C581">
        <v>28569</v>
      </c>
      <c r="D581" t="str">
        <f>HYPERLINK("http://www.ncbi.nlm.nih.gov/Taxonomy/Browser/wwwtax.cgi?mode=Info&amp;id=240159&amp;lvl=3&amp;lin=f&amp;keep=1&amp;srchmode=1&amp;unlock","240159")</f>
        <v>240159</v>
      </c>
      <c r="E581" t="s">
        <v>384</v>
      </c>
      <c r="F581" t="s">
        <v>384</v>
      </c>
      <c r="G581" t="str">
        <f>HYPERLINK("http://www.ncbi.nlm.nih.gov/Taxonomy/Browser/wwwtax.cgi?mode=Info&amp;id=240159&amp;lvl=3&amp;lin=f&amp;keep=1&amp;srchmode=1&amp;unlock","Collichthys lucidus")</f>
        <v>Collichthys lucidus</v>
      </c>
      <c r="H581" t="s">
        <v>528</v>
      </c>
      <c r="I581" t="str">
        <f>HYPERLINK("http://www.ncbi.nlm.nih.gov/protein/TKS83515.1","Androgen receptor")</f>
        <v>Androgen receptor</v>
      </c>
      <c r="J581" t="s">
        <v>1261</v>
      </c>
      <c r="K581">
        <v>369.78</v>
      </c>
      <c r="L581" t="s">
        <v>25</v>
      </c>
      <c r="M581">
        <v>157</v>
      </c>
      <c r="N581">
        <v>62.55</v>
      </c>
      <c r="O581">
        <v>71.91</v>
      </c>
      <c r="P581" t="s">
        <v>20</v>
      </c>
      <c r="Q581" t="s">
        <v>1262</v>
      </c>
      <c r="R581" t="s">
        <v>20</v>
      </c>
      <c r="S581" t="str">
        <f>HYPERLINK("https://cfpub.epa.gov/ecotox/explore.cfm?ncbi=240159","Explore in ECOTOX")</f>
        <v>Explore in ECOTOX</v>
      </c>
    </row>
    <row r="582" spans="1:19" x14ac:dyDescent="0.25">
      <c r="A582">
        <v>6</v>
      </c>
      <c r="B582" t="str">
        <f>HYPERLINK("http://www.ncbi.nlm.nih.gov/protein/XP_036974842.1","XP_036974842.1")</f>
        <v>XP_036974842.1</v>
      </c>
      <c r="C582">
        <v>54695</v>
      </c>
      <c r="D582" t="str">
        <f>HYPERLINK("http://www.ncbi.nlm.nih.gov/Taxonomy/Browser/wwwtax.cgi?mode=Info&amp;id=8177&amp;lvl=3&amp;lin=f&amp;keep=1&amp;srchmode=1&amp;unlock","8177")</f>
        <v>8177</v>
      </c>
      <c r="E582" t="s">
        <v>384</v>
      </c>
      <c r="F582" t="s">
        <v>384</v>
      </c>
      <c r="G582" t="str">
        <f>HYPERLINK("http://www.ncbi.nlm.nih.gov/Taxonomy/Browser/wwwtax.cgi?mode=Info&amp;id=8177&amp;lvl=3&amp;lin=f&amp;keep=1&amp;srchmode=1&amp;unlock","Acanthopagrus latus")</f>
        <v>Acanthopagrus latus</v>
      </c>
      <c r="H582" t="s">
        <v>570</v>
      </c>
      <c r="I582" t="str">
        <f>HYPERLINK("http://www.ncbi.nlm.nih.gov/protein/XP_036974842.1","androgen receptor-like")</f>
        <v>androgen receptor-like</v>
      </c>
      <c r="J582" t="s">
        <v>1261</v>
      </c>
      <c r="K582">
        <v>369.78</v>
      </c>
      <c r="L582" t="s">
        <v>25</v>
      </c>
      <c r="M582">
        <v>157</v>
      </c>
      <c r="N582">
        <v>62.55</v>
      </c>
      <c r="O582">
        <v>71.91</v>
      </c>
      <c r="P582" t="s">
        <v>20</v>
      </c>
      <c r="Q582" t="s">
        <v>1262</v>
      </c>
      <c r="R582" t="s">
        <v>20</v>
      </c>
      <c r="S582" t="str">
        <f>HYPERLINK("https://cfpub.epa.gov/ecotox/explore.cfm?ncbi=8177","Explore in ECOTOX")</f>
        <v>Explore in ECOTOX</v>
      </c>
    </row>
    <row r="583" spans="1:19" x14ac:dyDescent="0.25">
      <c r="A583">
        <v>6</v>
      </c>
      <c r="B583" t="str">
        <f>HYPERLINK("http://www.ncbi.nlm.nih.gov/protein/AAO61694.1","AAO61694.1")</f>
        <v>AAO61694.1</v>
      </c>
      <c r="C583">
        <v>282</v>
      </c>
      <c r="D583" t="str">
        <f>HYPERLINK("http://www.ncbi.nlm.nih.gov/Taxonomy/Browser/wwwtax.cgi?mode=Info&amp;id=72011&amp;lvl=3&amp;lin=f&amp;keep=1&amp;srchmode=1&amp;unlock","72011")</f>
        <v>72011</v>
      </c>
      <c r="E583" t="s">
        <v>384</v>
      </c>
      <c r="F583" t="s">
        <v>384</v>
      </c>
      <c r="G583" t="str">
        <f>HYPERLINK("http://www.ncbi.nlm.nih.gov/Taxonomy/Browser/wwwtax.cgi?mode=Info&amp;id=72011&amp;lvl=3&amp;lin=f&amp;keep=1&amp;srchmode=1&amp;unlock","Acanthopagrus schlegelii")</f>
        <v>Acanthopagrus schlegelii</v>
      </c>
      <c r="H583" t="s">
        <v>690</v>
      </c>
      <c r="I583" t="str">
        <f>HYPERLINK("http://www.ncbi.nlm.nih.gov/protein/AAO61694.1","androgen receptor")</f>
        <v>androgen receptor</v>
      </c>
      <c r="J583" t="s">
        <v>1261</v>
      </c>
      <c r="K583">
        <v>369.78</v>
      </c>
      <c r="L583" t="s">
        <v>25</v>
      </c>
      <c r="M583">
        <v>157</v>
      </c>
      <c r="N583">
        <v>62.55</v>
      </c>
      <c r="O583">
        <v>71.91</v>
      </c>
      <c r="P583" t="s">
        <v>20</v>
      </c>
      <c r="Q583" t="s">
        <v>1262</v>
      </c>
      <c r="R583" t="s">
        <v>20</v>
      </c>
      <c r="S583" t="str">
        <f>HYPERLINK("https://cfpub.epa.gov/ecotox/explore.cfm?ncbi=72011","Explore in ECOTOX")</f>
        <v>Explore in ECOTOX</v>
      </c>
    </row>
    <row r="584" spans="1:19" x14ac:dyDescent="0.25">
      <c r="A584">
        <v>6</v>
      </c>
      <c r="B584" t="str">
        <f>HYPERLINK("http://www.ncbi.nlm.nih.gov/protein/XP_030217061.1","XP_030217061.1")</f>
        <v>XP_030217061.1</v>
      </c>
      <c r="C584">
        <v>47233</v>
      </c>
      <c r="D584" t="str">
        <f>HYPERLINK("http://www.ncbi.nlm.nih.gov/Taxonomy/Browser/wwwtax.cgi?mode=Info&amp;id=8049&amp;lvl=3&amp;lin=f&amp;keep=1&amp;srchmode=1&amp;unlock","8049")</f>
        <v>8049</v>
      </c>
      <c r="E584" t="s">
        <v>384</v>
      </c>
      <c r="F584" t="s">
        <v>384</v>
      </c>
      <c r="G584" t="str">
        <f>HYPERLINK("http://www.ncbi.nlm.nih.gov/Taxonomy/Browser/wwwtax.cgi?mode=Info&amp;id=8049&amp;lvl=3&amp;lin=f&amp;keep=1&amp;srchmode=1&amp;unlock","Gadus morhua")</f>
        <v>Gadus morhua</v>
      </c>
      <c r="H584" t="s">
        <v>566</v>
      </c>
      <c r="I584" t="str">
        <f>HYPERLINK("http://www.ncbi.nlm.nih.gov/protein/XP_030217061.1","androgen receptor-like")</f>
        <v>androgen receptor-like</v>
      </c>
      <c r="J584" t="s">
        <v>1261</v>
      </c>
      <c r="K584">
        <v>369.78</v>
      </c>
      <c r="L584" t="s">
        <v>25</v>
      </c>
      <c r="M584">
        <v>157</v>
      </c>
      <c r="N584">
        <v>62.55</v>
      </c>
      <c r="O584">
        <v>71.91</v>
      </c>
      <c r="P584" t="s">
        <v>20</v>
      </c>
      <c r="Q584" t="s">
        <v>1262</v>
      </c>
      <c r="R584" t="s">
        <v>20</v>
      </c>
      <c r="S584" t="str">
        <f>HYPERLINK("https://cfpub.epa.gov/ecotox/explore.cfm?ncbi=8049","Explore in ECOTOX")</f>
        <v>Explore in ECOTOX</v>
      </c>
    </row>
    <row r="585" spans="1:19" x14ac:dyDescent="0.25">
      <c r="A585">
        <v>6</v>
      </c>
      <c r="B585" t="str">
        <f>HYPERLINK("http://www.ncbi.nlm.nih.gov/protein/XP_023689872.1","XP_023689872.1")</f>
        <v>XP_023689872.1</v>
      </c>
      <c r="C585">
        <v>55296</v>
      </c>
      <c r="D585" t="str">
        <f>HYPERLINK("http://www.ncbi.nlm.nih.gov/Taxonomy/Browser/wwwtax.cgi?mode=Info&amp;id=1676925&amp;lvl=3&amp;lin=f&amp;keep=1&amp;srchmode=1&amp;unlock","1676925")</f>
        <v>1676925</v>
      </c>
      <c r="E585" t="s">
        <v>384</v>
      </c>
      <c r="F585" t="s">
        <v>384</v>
      </c>
      <c r="G585" t="str">
        <f>HYPERLINK("http://www.ncbi.nlm.nih.gov/Taxonomy/Browser/wwwtax.cgi?mode=Info&amp;id=1676925&amp;lvl=3&amp;lin=f&amp;keep=1&amp;srchmode=1&amp;unlock","Paramormyrops kingsleyae")</f>
        <v>Paramormyrops kingsleyae</v>
      </c>
      <c r="H585" t="s">
        <v>651</v>
      </c>
      <c r="I585" t="str">
        <f>HYPERLINK("http://www.ncbi.nlm.nih.gov/protein/XP_023689872.1","androgen receptor-like")</f>
        <v>androgen receptor-like</v>
      </c>
      <c r="J585" t="s">
        <v>1261</v>
      </c>
      <c r="K585">
        <v>369.39</v>
      </c>
      <c r="L585" t="s">
        <v>25</v>
      </c>
      <c r="M585">
        <v>157</v>
      </c>
      <c r="N585">
        <v>62.55</v>
      </c>
      <c r="O585">
        <v>71.83</v>
      </c>
      <c r="P585" t="s">
        <v>20</v>
      </c>
      <c r="Q585" t="s">
        <v>1262</v>
      </c>
      <c r="R585" t="s">
        <v>20</v>
      </c>
      <c r="S585" t="str">
        <f>HYPERLINK("https://cfpub.epa.gov/ecotox/explore.cfm?ncbi=1676925","Explore in ECOTOX")</f>
        <v>Explore in ECOTOX</v>
      </c>
    </row>
    <row r="586" spans="1:19" x14ac:dyDescent="0.25">
      <c r="A586">
        <v>6</v>
      </c>
      <c r="B586" t="str">
        <f>HYPERLINK("http://www.ncbi.nlm.nih.gov/protein/XP_026227849.1","XP_026227849.1")</f>
        <v>XP_026227849.1</v>
      </c>
      <c r="C586">
        <v>40631</v>
      </c>
      <c r="D586" t="str">
        <f>HYPERLINK("http://www.ncbi.nlm.nih.gov/Taxonomy/Browser/wwwtax.cgi?mode=Info&amp;id=64144&amp;lvl=3&amp;lin=f&amp;keep=1&amp;srchmode=1&amp;unlock","64144")</f>
        <v>64144</v>
      </c>
      <c r="E586" t="s">
        <v>384</v>
      </c>
      <c r="F586" t="s">
        <v>384</v>
      </c>
      <c r="G586" t="str">
        <f>HYPERLINK("http://www.ncbi.nlm.nih.gov/Taxonomy/Browser/wwwtax.cgi?mode=Info&amp;id=64144&amp;lvl=3&amp;lin=f&amp;keep=1&amp;srchmode=1&amp;unlock","Anabas testudineus")</f>
        <v>Anabas testudineus</v>
      </c>
      <c r="H586" t="s">
        <v>553</v>
      </c>
      <c r="I586" t="str">
        <f>HYPERLINK("http://www.ncbi.nlm.nih.gov/protein/XP_026227849.1","androgen receptor")</f>
        <v>androgen receptor</v>
      </c>
      <c r="J586" t="s">
        <v>1261</v>
      </c>
      <c r="K586">
        <v>369.39</v>
      </c>
      <c r="L586" t="s">
        <v>25</v>
      </c>
      <c r="M586">
        <v>157</v>
      </c>
      <c r="N586">
        <v>62.55</v>
      </c>
      <c r="O586">
        <v>71.83</v>
      </c>
      <c r="P586" t="s">
        <v>20</v>
      </c>
      <c r="Q586" t="s">
        <v>1262</v>
      </c>
      <c r="R586" t="s">
        <v>20</v>
      </c>
      <c r="S586" t="str">
        <f>HYPERLINK("https://cfpub.epa.gov/ecotox/explore.cfm?ncbi=64144","Explore in ECOTOX")</f>
        <v>Explore in ECOTOX</v>
      </c>
    </row>
    <row r="587" spans="1:19" x14ac:dyDescent="0.25">
      <c r="A587">
        <v>6</v>
      </c>
      <c r="B587" t="str">
        <f>HYPERLINK("http://www.ncbi.nlm.nih.gov/protein/AYM51328.1","AYM51328.1")</f>
        <v>AYM51328.1</v>
      </c>
      <c r="C587">
        <v>49355</v>
      </c>
      <c r="D587" t="str">
        <f>HYPERLINK("http://www.ncbi.nlm.nih.gov/Taxonomy/Browser/wwwtax.cgi?mode=Info&amp;id=158456&amp;lvl=3&amp;lin=f&amp;keep=1&amp;srchmode=1&amp;unlock","158456")</f>
        <v>158456</v>
      </c>
      <c r="E587" t="s">
        <v>384</v>
      </c>
      <c r="F587" t="s">
        <v>384</v>
      </c>
      <c r="G587" t="str">
        <f>HYPERLINK("http://www.ncbi.nlm.nih.gov/Taxonomy/Browser/wwwtax.cgi?mode=Info&amp;id=158456&amp;lvl=3&amp;lin=f&amp;keep=1&amp;srchmode=1&amp;unlock","Betta splendens")</f>
        <v>Betta splendens</v>
      </c>
      <c r="H587" t="s">
        <v>592</v>
      </c>
      <c r="I587" t="str">
        <f>HYPERLINK("http://www.ncbi.nlm.nih.gov/protein/AYM51328.1","androgen receptor ARb")</f>
        <v>androgen receptor ARb</v>
      </c>
      <c r="J587" t="s">
        <v>1261</v>
      </c>
      <c r="K587">
        <v>369.39</v>
      </c>
      <c r="L587" t="s">
        <v>25</v>
      </c>
      <c r="M587">
        <v>157</v>
      </c>
      <c r="N587">
        <v>62.55</v>
      </c>
      <c r="O587">
        <v>71.83</v>
      </c>
      <c r="P587" t="s">
        <v>20</v>
      </c>
      <c r="Q587" t="s">
        <v>1262</v>
      </c>
      <c r="R587" t="s">
        <v>20</v>
      </c>
      <c r="S587" t="str">
        <f>HYPERLINK("https://cfpub.epa.gov/ecotox/explore.cfm?ncbi=158456","Explore in ECOTOX")</f>
        <v>Explore in ECOTOX</v>
      </c>
    </row>
    <row r="588" spans="1:19" x14ac:dyDescent="0.25">
      <c r="A588">
        <v>6</v>
      </c>
      <c r="B588" t="str">
        <f>HYPERLINK("http://www.ncbi.nlm.nih.gov/protein/XP_022601703.1","XP_022601703.1")</f>
        <v>XP_022601703.1</v>
      </c>
      <c r="C588">
        <v>32883</v>
      </c>
      <c r="D588" t="str">
        <f>HYPERLINK("http://www.ncbi.nlm.nih.gov/Taxonomy/Browser/wwwtax.cgi?mode=Info&amp;id=41447&amp;lvl=3&amp;lin=f&amp;keep=1&amp;srchmode=1&amp;unlock","41447")</f>
        <v>41447</v>
      </c>
      <c r="E588" t="s">
        <v>384</v>
      </c>
      <c r="F588" t="s">
        <v>384</v>
      </c>
      <c r="G588" t="str">
        <f>HYPERLINK("http://www.ncbi.nlm.nih.gov/Taxonomy/Browser/wwwtax.cgi?mode=Info&amp;id=41447&amp;lvl=3&amp;lin=f&amp;keep=1&amp;srchmode=1&amp;unlock","Seriola dumerili")</f>
        <v>Seriola dumerili</v>
      </c>
      <c r="H588" t="s">
        <v>584</v>
      </c>
      <c r="I588" t="str">
        <f>HYPERLINK("http://www.ncbi.nlm.nih.gov/protein/XP_022601703.1","androgen receptor-like isoform X2")</f>
        <v>androgen receptor-like isoform X2</v>
      </c>
      <c r="J588" t="s">
        <v>1261</v>
      </c>
      <c r="K588">
        <v>369.39</v>
      </c>
      <c r="L588" t="s">
        <v>25</v>
      </c>
      <c r="M588">
        <v>157</v>
      </c>
      <c r="N588">
        <v>62.55</v>
      </c>
      <c r="O588">
        <v>71.83</v>
      </c>
      <c r="P588" t="s">
        <v>20</v>
      </c>
      <c r="Q588" t="s">
        <v>1262</v>
      </c>
      <c r="R588" t="s">
        <v>20</v>
      </c>
      <c r="S588" t="str">
        <f>HYPERLINK("https://cfpub.epa.gov/ecotox/explore.cfm?ncbi=41447","Explore in ECOTOX")</f>
        <v>Explore in ECOTOX</v>
      </c>
    </row>
    <row r="589" spans="1:19" x14ac:dyDescent="0.25">
      <c r="A589">
        <v>6</v>
      </c>
      <c r="B589" t="str">
        <f>HYPERLINK("http://www.ncbi.nlm.nih.gov/protein/XP_023266520.1","XP_023266520.1")</f>
        <v>XP_023266520.1</v>
      </c>
      <c r="C589">
        <v>38822</v>
      </c>
      <c r="D589" t="str">
        <f>HYPERLINK("http://www.ncbi.nlm.nih.gov/Taxonomy/Browser/wwwtax.cgi?mode=Info&amp;id=1841481&amp;lvl=3&amp;lin=f&amp;keep=1&amp;srchmode=1&amp;unlock","1841481")</f>
        <v>1841481</v>
      </c>
      <c r="E589" t="s">
        <v>384</v>
      </c>
      <c r="F589" t="s">
        <v>384</v>
      </c>
      <c r="G589" t="str">
        <f>HYPERLINK("http://www.ncbi.nlm.nih.gov/Taxonomy/Browser/wwwtax.cgi?mode=Info&amp;id=1841481&amp;lvl=3&amp;lin=f&amp;keep=1&amp;srchmode=1&amp;unlock","Seriola lalandi dorsalis")</f>
        <v>Seriola lalandi dorsalis</v>
      </c>
      <c r="H589" t="s">
        <v>591</v>
      </c>
      <c r="I589" t="str">
        <f>HYPERLINK("http://www.ncbi.nlm.nih.gov/protein/XP_023266520.1","androgen receptor")</f>
        <v>androgen receptor</v>
      </c>
      <c r="J589" t="s">
        <v>1261</v>
      </c>
      <c r="K589">
        <v>369.39</v>
      </c>
      <c r="L589" t="s">
        <v>25</v>
      </c>
      <c r="M589">
        <v>157</v>
      </c>
      <c r="N589">
        <v>62.55</v>
      </c>
      <c r="O589">
        <v>71.83</v>
      </c>
      <c r="P589" t="s">
        <v>20</v>
      </c>
      <c r="Q589" t="s">
        <v>1262</v>
      </c>
      <c r="R589" t="s">
        <v>20</v>
      </c>
      <c r="S589" t="str">
        <f>HYPERLINK("https://cfpub.epa.gov/ecotox/explore.cfm?ncbi=1841481","Explore in ECOTOX")</f>
        <v>Explore in ECOTOX</v>
      </c>
    </row>
    <row r="590" spans="1:19" x14ac:dyDescent="0.25">
      <c r="A590">
        <v>6</v>
      </c>
      <c r="B590" t="str">
        <f>HYPERLINK("http://www.ncbi.nlm.nih.gov/protein/XP_026184784.1","XP_026184784.1")</f>
        <v>XP_026184784.1</v>
      </c>
      <c r="C590">
        <v>42451</v>
      </c>
      <c r="D590" t="str">
        <f>HYPERLINK("http://www.ncbi.nlm.nih.gov/Taxonomy/Browser/wwwtax.cgi?mode=Info&amp;id=205130&amp;lvl=3&amp;lin=f&amp;keep=1&amp;srchmode=1&amp;unlock","205130")</f>
        <v>205130</v>
      </c>
      <c r="E590" t="s">
        <v>384</v>
      </c>
      <c r="F590" t="s">
        <v>384</v>
      </c>
      <c r="G590" t="str">
        <f>HYPERLINK("http://www.ncbi.nlm.nih.gov/Taxonomy/Browser/wwwtax.cgi?mode=Info&amp;id=205130&amp;lvl=3&amp;lin=f&amp;keep=1&amp;srchmode=1&amp;unlock","Mastacembelus armatus")</f>
        <v>Mastacembelus armatus</v>
      </c>
      <c r="H590" t="s">
        <v>540</v>
      </c>
      <c r="I590" t="str">
        <f>HYPERLINK("http://www.ncbi.nlm.nih.gov/protein/XP_026184784.1","androgen receptor-like")</f>
        <v>androgen receptor-like</v>
      </c>
      <c r="J590" t="s">
        <v>1261</v>
      </c>
      <c r="K590">
        <v>369.01</v>
      </c>
      <c r="L590" t="s">
        <v>25</v>
      </c>
      <c r="M590">
        <v>157</v>
      </c>
      <c r="N590">
        <v>62.55</v>
      </c>
      <c r="O590">
        <v>71.760000000000005</v>
      </c>
      <c r="P590" t="s">
        <v>20</v>
      </c>
      <c r="Q590" t="s">
        <v>1262</v>
      </c>
      <c r="R590" t="s">
        <v>20</v>
      </c>
      <c r="S590" t="str">
        <f>HYPERLINK("https://cfpub.epa.gov/ecotox/explore.cfm?ncbi=205130","Explore in ECOTOX")</f>
        <v>Explore in ECOTOX</v>
      </c>
    </row>
    <row r="591" spans="1:19" x14ac:dyDescent="0.25">
      <c r="A591">
        <v>6</v>
      </c>
      <c r="B591" t="str">
        <f>HYPERLINK("http://www.ncbi.nlm.nih.gov/protein/AXZ78408.1","AXZ78408.1")</f>
        <v>AXZ78408.1</v>
      </c>
      <c r="C591">
        <v>166</v>
      </c>
      <c r="D591" t="str">
        <f>HYPERLINK("http://www.ncbi.nlm.nih.gov/Taxonomy/Browser/wwwtax.cgi?mode=Info&amp;id=241271&amp;lvl=3&amp;lin=f&amp;keep=1&amp;srchmode=1&amp;unlock","241271")</f>
        <v>241271</v>
      </c>
      <c r="E591" t="s">
        <v>384</v>
      </c>
      <c r="F591" t="s">
        <v>384</v>
      </c>
      <c r="G591" t="str">
        <f>HYPERLINK("http://www.ncbi.nlm.nih.gov/Taxonomy/Browser/wwwtax.cgi?mode=Info&amp;id=241271&amp;lvl=3&amp;lin=f&amp;keep=1&amp;srchmode=1&amp;unlock","Cheilinus undulatus")</f>
        <v>Cheilinus undulatus</v>
      </c>
      <c r="H591" t="s">
        <v>1008</v>
      </c>
      <c r="I591" t="str">
        <f>HYPERLINK("http://www.ncbi.nlm.nih.gov/protein/AXZ78408.1","androgen receptor")</f>
        <v>androgen receptor</v>
      </c>
      <c r="J591" t="s">
        <v>1261</v>
      </c>
      <c r="K591">
        <v>368.62</v>
      </c>
      <c r="L591" t="s">
        <v>25</v>
      </c>
      <c r="M591">
        <v>157</v>
      </c>
      <c r="N591">
        <v>62.55</v>
      </c>
      <c r="O591">
        <v>71.680000000000007</v>
      </c>
      <c r="P591" t="s">
        <v>20</v>
      </c>
      <c r="Q591" t="s">
        <v>1262</v>
      </c>
      <c r="R591" t="s">
        <v>20</v>
      </c>
      <c r="S591" t="str">
        <f>HYPERLINK("https://cfpub.epa.gov/ecotox/explore.cfm?ncbi=241271","Explore in ECOTOX")</f>
        <v>Explore in ECOTOX</v>
      </c>
    </row>
    <row r="592" spans="1:19" x14ac:dyDescent="0.25">
      <c r="A592">
        <v>6</v>
      </c>
      <c r="B592" t="str">
        <f>HYPERLINK("http://www.ncbi.nlm.nih.gov/protein/XP_035382924.1","XP_035382924.1")</f>
        <v>XP_035382924.1</v>
      </c>
      <c r="C592">
        <v>45368</v>
      </c>
      <c r="D592" t="str">
        <f>HYPERLINK("http://www.ncbi.nlm.nih.gov/Taxonomy/Browser/wwwtax.cgi?mode=Info&amp;id=8005&amp;lvl=3&amp;lin=f&amp;keep=1&amp;srchmode=1&amp;unlock","8005")</f>
        <v>8005</v>
      </c>
      <c r="E592" t="s">
        <v>384</v>
      </c>
      <c r="F592" t="s">
        <v>384</v>
      </c>
      <c r="G592" t="str">
        <f>HYPERLINK("http://www.ncbi.nlm.nih.gov/Taxonomy/Browser/wwwtax.cgi?mode=Info&amp;id=8005&amp;lvl=3&amp;lin=f&amp;keep=1&amp;srchmode=1&amp;unlock","Electrophorus electricus")</f>
        <v>Electrophorus electricus</v>
      </c>
      <c r="H592" t="s">
        <v>606</v>
      </c>
      <c r="I592" t="str">
        <f>HYPERLINK("http://www.ncbi.nlm.nih.gov/protein/XP_035382924.1","androgen receptor isoform X1")</f>
        <v>androgen receptor isoform X1</v>
      </c>
      <c r="J592" t="s">
        <v>1261</v>
      </c>
      <c r="K592">
        <v>368.62</v>
      </c>
      <c r="L592" t="s">
        <v>25</v>
      </c>
      <c r="M592">
        <v>157</v>
      </c>
      <c r="N592">
        <v>62.55</v>
      </c>
      <c r="O592">
        <v>71.680000000000007</v>
      </c>
      <c r="P592" t="s">
        <v>20</v>
      </c>
      <c r="Q592" t="s">
        <v>1262</v>
      </c>
      <c r="R592" t="s">
        <v>20</v>
      </c>
      <c r="S592" t="str">
        <f>HYPERLINK("https://cfpub.epa.gov/ecotox/explore.cfm?ncbi=8005","Explore in ECOTOX")</f>
        <v>Explore in ECOTOX</v>
      </c>
    </row>
    <row r="593" spans="1:19" x14ac:dyDescent="0.25">
      <c r="A593">
        <v>6</v>
      </c>
      <c r="B593" t="str">
        <f>HYPERLINK("http://www.ncbi.nlm.nih.gov/protein/XP_016358255.1","XP_016358255.1")</f>
        <v>XP_016358255.1</v>
      </c>
      <c r="C593">
        <v>68489</v>
      </c>
      <c r="D593" t="str">
        <f>HYPERLINK("http://www.ncbi.nlm.nih.gov/Taxonomy/Browser/wwwtax.cgi?mode=Info&amp;id=1608454&amp;lvl=3&amp;lin=f&amp;keep=1&amp;srchmode=1&amp;unlock","1608454")</f>
        <v>1608454</v>
      </c>
      <c r="E593" t="s">
        <v>384</v>
      </c>
      <c r="F593" t="s">
        <v>384</v>
      </c>
      <c r="G593" t="str">
        <f>HYPERLINK("http://www.ncbi.nlm.nih.gov/Taxonomy/Browser/wwwtax.cgi?mode=Info&amp;id=1608454&amp;lvl=3&amp;lin=f&amp;keep=1&amp;srchmode=1&amp;unlock","Sinocyclocheilus anshuiensis")</f>
        <v>Sinocyclocheilus anshuiensis</v>
      </c>
      <c r="H593" t="s">
        <v>529</v>
      </c>
      <c r="I593" t="str">
        <f>HYPERLINK("http://www.ncbi.nlm.nih.gov/protein/XP_016358255.1","PREDICTED: androgen receptor-like")</f>
        <v>PREDICTED: androgen receptor-like</v>
      </c>
      <c r="J593" t="s">
        <v>1261</v>
      </c>
      <c r="K593">
        <v>368.24</v>
      </c>
      <c r="L593" t="s">
        <v>25</v>
      </c>
      <c r="M593">
        <v>157</v>
      </c>
      <c r="N593">
        <v>62.55</v>
      </c>
      <c r="O593">
        <v>71.61</v>
      </c>
      <c r="P593" t="s">
        <v>20</v>
      </c>
      <c r="Q593" t="s">
        <v>1262</v>
      </c>
      <c r="R593" t="s">
        <v>20</v>
      </c>
      <c r="S593" t="str">
        <f>HYPERLINK("https://cfpub.epa.gov/ecotox/explore.cfm?ncbi=1608454","Explore in ECOTOX")</f>
        <v>Explore in ECOTOX</v>
      </c>
    </row>
    <row r="594" spans="1:19" x14ac:dyDescent="0.25">
      <c r="A594">
        <v>6</v>
      </c>
      <c r="B594" t="str">
        <f>HYPERLINK("http://www.ncbi.nlm.nih.gov/protein/NP_001290296.1","NP_001290296.1")</f>
        <v>NP_001290296.1</v>
      </c>
      <c r="C594">
        <v>94451</v>
      </c>
      <c r="D594" t="str">
        <f>HYPERLINK("http://www.ncbi.nlm.nih.gov/Taxonomy/Browser/wwwtax.cgi?mode=Info&amp;id=215358&amp;lvl=3&amp;lin=f&amp;keep=1&amp;srchmode=1&amp;unlock","215358")</f>
        <v>215358</v>
      </c>
      <c r="E594" t="s">
        <v>384</v>
      </c>
      <c r="F594" t="s">
        <v>384</v>
      </c>
      <c r="G594" t="str">
        <f>HYPERLINK("http://www.ncbi.nlm.nih.gov/Taxonomy/Browser/wwwtax.cgi?mode=Info&amp;id=215358&amp;lvl=3&amp;lin=f&amp;keep=1&amp;srchmode=1&amp;unlock","Larimichthys crocea")</f>
        <v>Larimichthys crocea</v>
      </c>
      <c r="H594" t="s">
        <v>557</v>
      </c>
      <c r="I594" t="str">
        <f>HYPERLINK("http://www.ncbi.nlm.nih.gov/protein/NP_001290296.1","androgen receptor")</f>
        <v>androgen receptor</v>
      </c>
      <c r="J594" t="s">
        <v>1261</v>
      </c>
      <c r="K594">
        <v>367.85</v>
      </c>
      <c r="L594" t="s">
        <v>25</v>
      </c>
      <c r="M594">
        <v>157</v>
      </c>
      <c r="N594">
        <v>62.55</v>
      </c>
      <c r="O594">
        <v>71.53</v>
      </c>
      <c r="P594" t="s">
        <v>20</v>
      </c>
      <c r="Q594" t="s">
        <v>1262</v>
      </c>
      <c r="R594" t="s">
        <v>20</v>
      </c>
      <c r="S594" t="str">
        <f>HYPERLINK("https://cfpub.epa.gov/ecotox/explore.cfm?ncbi=215358","Explore in ECOTOX")</f>
        <v>Explore in ECOTOX</v>
      </c>
    </row>
    <row r="595" spans="1:19" x14ac:dyDescent="0.25">
      <c r="A595">
        <v>6</v>
      </c>
      <c r="B595" t="str">
        <f>HYPERLINK("http://www.ncbi.nlm.nih.gov/protein/ALK16305.1","ALK16305.1")</f>
        <v>ALK16305.1</v>
      </c>
      <c r="C595">
        <v>25404</v>
      </c>
      <c r="D595" t="str">
        <f>HYPERLINK("http://www.ncbi.nlm.nih.gov/Taxonomy/Browser/wwwtax.cgi?mode=Info&amp;id=150288&amp;lvl=3&amp;lin=f&amp;keep=1&amp;srchmode=1&amp;unlock","150288")</f>
        <v>150288</v>
      </c>
      <c r="E595" t="s">
        <v>384</v>
      </c>
      <c r="F595" t="s">
        <v>384</v>
      </c>
      <c r="G595" t="str">
        <f>HYPERLINK("http://www.ncbi.nlm.nih.gov/Taxonomy/Browser/wwwtax.cgi?mode=Info&amp;id=150288&amp;lvl=3&amp;lin=f&amp;keep=1&amp;srchmode=1&amp;unlock","Boleophthalmus pectinirostris")</f>
        <v>Boleophthalmus pectinirostris</v>
      </c>
      <c r="H595" t="s">
        <v>521</v>
      </c>
      <c r="I595" t="str">
        <f>HYPERLINK("http://www.ncbi.nlm.nih.gov/protein/ALK16305.1","androgen receptor")</f>
        <v>androgen receptor</v>
      </c>
      <c r="J595" t="s">
        <v>1261</v>
      </c>
      <c r="K595">
        <v>367.47</v>
      </c>
      <c r="L595" t="s">
        <v>25</v>
      </c>
      <c r="M595">
        <v>157</v>
      </c>
      <c r="N595">
        <v>62.55</v>
      </c>
      <c r="O595">
        <v>71.459999999999994</v>
      </c>
      <c r="P595" t="s">
        <v>20</v>
      </c>
      <c r="Q595" t="s">
        <v>1262</v>
      </c>
      <c r="R595" t="s">
        <v>20</v>
      </c>
      <c r="S595" t="str">
        <f>HYPERLINK("https://cfpub.epa.gov/ecotox/explore.cfm?ncbi=150288","Explore in ECOTOX")</f>
        <v>Explore in ECOTOX</v>
      </c>
    </row>
    <row r="596" spans="1:19" x14ac:dyDescent="0.25">
      <c r="A596">
        <v>6</v>
      </c>
      <c r="B596" t="str">
        <f>HYPERLINK("http://www.ncbi.nlm.nih.gov/protein/CAG02975.1","CAG02975.1")</f>
        <v>CAG02975.1</v>
      </c>
      <c r="C596">
        <v>28634</v>
      </c>
      <c r="D596" t="str">
        <f>HYPERLINK("http://www.ncbi.nlm.nih.gov/Taxonomy/Browser/wwwtax.cgi?mode=Info&amp;id=99883&amp;lvl=3&amp;lin=f&amp;keep=1&amp;srchmode=1&amp;unlock","99883")</f>
        <v>99883</v>
      </c>
      <c r="E596" t="s">
        <v>384</v>
      </c>
      <c r="F596" t="s">
        <v>384</v>
      </c>
      <c r="G596" t="str">
        <f>HYPERLINK("http://www.ncbi.nlm.nih.gov/Taxonomy/Browser/wwwtax.cgi?mode=Info&amp;id=99883&amp;lvl=3&amp;lin=f&amp;keep=1&amp;srchmode=1&amp;unlock","Tetraodon nigroviridis")</f>
        <v>Tetraodon nigroviridis</v>
      </c>
      <c r="H596" t="s">
        <v>1020</v>
      </c>
      <c r="I596" t="str">
        <f>HYPERLINK("http://www.ncbi.nlm.nih.gov/protein/CAG02975.1","unnamed protein product, partial")</f>
        <v>unnamed protein product, partial</v>
      </c>
      <c r="J596" t="s">
        <v>1261</v>
      </c>
      <c r="K596">
        <v>367.47</v>
      </c>
      <c r="L596" t="s">
        <v>25</v>
      </c>
      <c r="M596">
        <v>157</v>
      </c>
      <c r="N596">
        <v>62.55</v>
      </c>
      <c r="O596">
        <v>71.459999999999994</v>
      </c>
      <c r="P596" t="s">
        <v>20</v>
      </c>
      <c r="Q596" t="s">
        <v>1262</v>
      </c>
      <c r="R596" t="s">
        <v>20</v>
      </c>
      <c r="S596" t="str">
        <f>HYPERLINK("https://cfpub.epa.gov/ecotox/explore.cfm?ncbi=99883","Explore in ECOTOX")</f>
        <v>Explore in ECOTOX</v>
      </c>
    </row>
    <row r="597" spans="1:19" x14ac:dyDescent="0.25">
      <c r="A597">
        <v>6</v>
      </c>
      <c r="B597" t="str">
        <f>HYPERLINK("http://www.ncbi.nlm.nih.gov/protein/XP_036378850.1","XP_036378850.1")</f>
        <v>XP_036378850.1</v>
      </c>
      <c r="C597">
        <v>40209</v>
      </c>
      <c r="D597" t="str">
        <f>HYPERLINK("http://www.ncbi.nlm.nih.gov/Taxonomy/Browser/wwwtax.cgi?mode=Info&amp;id=118141&amp;lvl=3&amp;lin=f&amp;keep=1&amp;srchmode=1&amp;unlock","118141")</f>
        <v>118141</v>
      </c>
      <c r="E597" t="s">
        <v>384</v>
      </c>
      <c r="F597" t="s">
        <v>384</v>
      </c>
      <c r="G597" t="str">
        <f>HYPERLINK("http://www.ncbi.nlm.nih.gov/Taxonomy/Browser/wwwtax.cgi?mode=Info&amp;id=118141&amp;lvl=3&amp;lin=f&amp;keep=1&amp;srchmode=1&amp;unlock","Megalops cyprinoides")</f>
        <v>Megalops cyprinoides</v>
      </c>
      <c r="H597" t="s">
        <v>564</v>
      </c>
      <c r="I597" t="str">
        <f>HYPERLINK("http://www.ncbi.nlm.nih.gov/protein/XP_036378850.1","androgen receptor")</f>
        <v>androgen receptor</v>
      </c>
      <c r="J597" t="s">
        <v>1261</v>
      </c>
      <c r="K597">
        <v>367.08</v>
      </c>
      <c r="L597" t="s">
        <v>25</v>
      </c>
      <c r="M597">
        <v>157</v>
      </c>
      <c r="N597">
        <v>62.55</v>
      </c>
      <c r="O597">
        <v>71.39</v>
      </c>
      <c r="P597" t="s">
        <v>20</v>
      </c>
      <c r="Q597" t="s">
        <v>1262</v>
      </c>
      <c r="R597" t="s">
        <v>20</v>
      </c>
      <c r="S597" t="str">
        <f>HYPERLINK("https://cfpub.epa.gov/ecotox/explore.cfm?ncbi=118141","Explore in ECOTOX")</f>
        <v>Explore in ECOTOX</v>
      </c>
    </row>
    <row r="598" spans="1:19" x14ac:dyDescent="0.25">
      <c r="A598">
        <v>6</v>
      </c>
      <c r="B598" t="str">
        <f>HYPERLINK("http://www.ncbi.nlm.nih.gov/protein/QIA46600.1","QIA46600.1")</f>
        <v>QIA46600.1</v>
      </c>
      <c r="C598">
        <v>90</v>
      </c>
      <c r="D598" t="str">
        <f>HYPERLINK("http://www.ncbi.nlm.nih.gov/Taxonomy/Browser/wwwtax.cgi?mode=Info&amp;id=104658&amp;lvl=3&amp;lin=f&amp;keep=1&amp;srchmode=1&amp;unlock","104658")</f>
        <v>104658</v>
      </c>
      <c r="E598" t="s">
        <v>384</v>
      </c>
      <c r="F598" t="s">
        <v>384</v>
      </c>
      <c r="G598" t="str">
        <f>HYPERLINK("http://www.ncbi.nlm.nih.gov/Taxonomy/Browser/wwwtax.cgi?mode=Info&amp;id=104658&amp;lvl=3&amp;lin=f&amp;keep=1&amp;srchmode=1&amp;unlock","Oryzias curvinotus")</f>
        <v>Oryzias curvinotus</v>
      </c>
      <c r="H598" t="s">
        <v>1011</v>
      </c>
      <c r="I598" t="str">
        <f>HYPERLINK("http://www.ncbi.nlm.nih.gov/protein/QIA46600.1","androgen receptor beta")</f>
        <v>androgen receptor beta</v>
      </c>
      <c r="J598" t="s">
        <v>1261</v>
      </c>
      <c r="K598">
        <v>367.08</v>
      </c>
      <c r="L598" t="s">
        <v>25</v>
      </c>
      <c r="M598">
        <v>157</v>
      </c>
      <c r="N598">
        <v>62.55</v>
      </c>
      <c r="O598">
        <v>71.39</v>
      </c>
      <c r="P598" t="s">
        <v>20</v>
      </c>
      <c r="Q598" t="s">
        <v>1262</v>
      </c>
      <c r="R598" t="s">
        <v>20</v>
      </c>
      <c r="S598" t="str">
        <f>HYPERLINK("https://cfpub.epa.gov/ecotox/explore.cfm?ncbi=104658","Explore in ECOTOX")</f>
        <v>Explore in ECOTOX</v>
      </c>
    </row>
    <row r="599" spans="1:19" x14ac:dyDescent="0.25">
      <c r="A599">
        <v>6</v>
      </c>
      <c r="B599" t="str">
        <f>HYPERLINK("http://www.ncbi.nlm.nih.gov/protein/XP_024118528.1","XP_024118528.1")</f>
        <v>XP_024118528.1</v>
      </c>
      <c r="C599">
        <v>69259</v>
      </c>
      <c r="D599" t="str">
        <f>HYPERLINK("http://www.ncbi.nlm.nih.gov/Taxonomy/Browser/wwwtax.cgi?mode=Info&amp;id=30732&amp;lvl=3&amp;lin=f&amp;keep=1&amp;srchmode=1&amp;unlock","30732")</f>
        <v>30732</v>
      </c>
      <c r="E599" t="s">
        <v>384</v>
      </c>
      <c r="F599" t="s">
        <v>384</v>
      </c>
      <c r="G599" t="str">
        <f>HYPERLINK("http://www.ncbi.nlm.nih.gov/Taxonomy/Browser/wwwtax.cgi?mode=Info&amp;id=30732&amp;lvl=3&amp;lin=f&amp;keep=1&amp;srchmode=1&amp;unlock","Oryzias melastigma")</f>
        <v>Oryzias melastigma</v>
      </c>
      <c r="H599" t="s">
        <v>645</v>
      </c>
      <c r="I599" t="str">
        <f>HYPERLINK("http://www.ncbi.nlm.nih.gov/protein/XP_024118528.1","androgen receptor isoform X2")</f>
        <v>androgen receptor isoform X2</v>
      </c>
      <c r="J599" t="s">
        <v>1261</v>
      </c>
      <c r="K599">
        <v>367.08</v>
      </c>
      <c r="L599" t="s">
        <v>25</v>
      </c>
      <c r="M599">
        <v>157</v>
      </c>
      <c r="N599">
        <v>62.55</v>
      </c>
      <c r="O599">
        <v>71.39</v>
      </c>
      <c r="P599" t="s">
        <v>20</v>
      </c>
      <c r="Q599" t="s">
        <v>1262</v>
      </c>
      <c r="R599" t="s">
        <v>20</v>
      </c>
      <c r="S599" t="str">
        <f>HYPERLINK("https://cfpub.epa.gov/ecotox/explore.cfm?ncbi=30732","Explore in ECOTOX")</f>
        <v>Explore in ECOTOX</v>
      </c>
    </row>
    <row r="600" spans="1:19" x14ac:dyDescent="0.25">
      <c r="A600">
        <v>6</v>
      </c>
      <c r="B600" t="str">
        <f>HYPERLINK("http://www.ncbi.nlm.nih.gov/protein/RVE63645.1","RVE63645.1")</f>
        <v>RVE63645.1</v>
      </c>
      <c r="C600">
        <v>21540</v>
      </c>
      <c r="D600" t="str">
        <f>HYPERLINK("http://www.ncbi.nlm.nih.gov/Taxonomy/Browser/wwwtax.cgi?mode=Info&amp;id=123683&amp;lvl=3&amp;lin=f&amp;keep=1&amp;srchmode=1&amp;unlock","123683")</f>
        <v>123683</v>
      </c>
      <c r="E600" t="s">
        <v>384</v>
      </c>
      <c r="F600" t="s">
        <v>384</v>
      </c>
      <c r="G600" t="str">
        <f>HYPERLINK("http://www.ncbi.nlm.nih.gov/Taxonomy/Browser/wwwtax.cgi?mode=Info&amp;id=123683&amp;lvl=3&amp;lin=f&amp;keep=1&amp;srchmode=1&amp;unlock","Oryzias javanicus")</f>
        <v>Oryzias javanicus</v>
      </c>
      <c r="H600" t="s">
        <v>643</v>
      </c>
      <c r="I600" t="str">
        <f>HYPERLINK("http://www.ncbi.nlm.nih.gov/protein/RVE63645.1","hypothetical protein OJAV_G00138350")</f>
        <v>hypothetical protein OJAV_G00138350</v>
      </c>
      <c r="J600" t="s">
        <v>1261</v>
      </c>
      <c r="K600">
        <v>367.08</v>
      </c>
      <c r="L600" t="s">
        <v>25</v>
      </c>
      <c r="M600">
        <v>157</v>
      </c>
      <c r="N600">
        <v>62.55</v>
      </c>
      <c r="O600">
        <v>71.39</v>
      </c>
      <c r="P600" t="s">
        <v>20</v>
      </c>
      <c r="Q600" t="s">
        <v>1262</v>
      </c>
      <c r="R600" t="s">
        <v>20</v>
      </c>
      <c r="S600" t="str">
        <f>HYPERLINK("https://cfpub.epa.gov/ecotox/explore.cfm?ncbi=123683","Explore in ECOTOX")</f>
        <v>Explore in ECOTOX</v>
      </c>
    </row>
    <row r="601" spans="1:19" x14ac:dyDescent="0.25">
      <c r="A601">
        <v>6</v>
      </c>
      <c r="B601" t="str">
        <f>HYPERLINK("http://www.ncbi.nlm.nih.gov/protein/AAZ14095.3","AAZ14095.3")</f>
        <v>AAZ14095.3</v>
      </c>
      <c r="C601">
        <v>80</v>
      </c>
      <c r="D601" t="str">
        <f>HYPERLINK("http://www.ncbi.nlm.nih.gov/Taxonomy/Browser/wwwtax.cgi?mode=Info&amp;id=45384&amp;lvl=3&amp;lin=f&amp;keep=1&amp;srchmode=1&amp;unlock","45384")</f>
        <v>45384</v>
      </c>
      <c r="E601" t="s">
        <v>384</v>
      </c>
      <c r="F601" t="s">
        <v>384</v>
      </c>
      <c r="G601" t="str">
        <f>HYPERLINK("http://www.ncbi.nlm.nih.gov/Taxonomy/Browser/wwwtax.cgi?mode=Info&amp;id=45384&amp;lvl=3&amp;lin=f&amp;keep=1&amp;srchmode=1&amp;unlock","Porichthys notatus")</f>
        <v>Porichthys notatus</v>
      </c>
      <c r="H601" t="s">
        <v>1016</v>
      </c>
      <c r="I601" t="str">
        <f>HYPERLINK("http://www.ncbi.nlm.nih.gov/protein/AAZ14095.3","androgen receptor beta, partial")</f>
        <v>androgen receptor beta, partial</v>
      </c>
      <c r="J601" t="s">
        <v>1261</v>
      </c>
      <c r="K601">
        <v>366.7</v>
      </c>
      <c r="L601" t="s">
        <v>25</v>
      </c>
      <c r="M601">
        <v>157</v>
      </c>
      <c r="N601">
        <v>62.55</v>
      </c>
      <c r="O601">
        <v>71.31</v>
      </c>
      <c r="P601" t="s">
        <v>20</v>
      </c>
      <c r="Q601" t="s">
        <v>1262</v>
      </c>
      <c r="R601" t="s">
        <v>20</v>
      </c>
      <c r="S601" t="str">
        <f>HYPERLINK("https://cfpub.epa.gov/ecotox/explore.cfm?ncbi=45384","Explore in ECOTOX")</f>
        <v>Explore in ECOTOX</v>
      </c>
    </row>
    <row r="602" spans="1:19" x14ac:dyDescent="0.25">
      <c r="A602">
        <v>6</v>
      </c>
      <c r="B602" t="str">
        <f>HYPERLINK("http://www.ncbi.nlm.nih.gov/protein/AAT76433.1","AAT76433.1")</f>
        <v>AAT76433.1</v>
      </c>
      <c r="C602">
        <v>2729</v>
      </c>
      <c r="D602" t="str">
        <f>HYPERLINK("http://www.ncbi.nlm.nih.gov/Taxonomy/Browser/wwwtax.cgi?mode=Info&amp;id=13489&amp;lvl=3&amp;lin=f&amp;keep=1&amp;srchmode=1&amp;unlock","13489")</f>
        <v>13489</v>
      </c>
      <c r="E602" t="s">
        <v>384</v>
      </c>
      <c r="F602" t="s">
        <v>384</v>
      </c>
      <c r="G602" t="str">
        <f>HYPERLINK("http://www.ncbi.nlm.nih.gov/Taxonomy/Browser/wwwtax.cgi?mode=Info&amp;id=13489&amp;lvl=3&amp;lin=f&amp;keep=1&amp;srchmode=1&amp;unlock","Dicentrarchus labrax")</f>
        <v>Dicentrarchus labrax</v>
      </c>
      <c r="H602" t="s">
        <v>840</v>
      </c>
      <c r="I602" t="str">
        <f>HYPERLINK("http://www.ncbi.nlm.nih.gov/protein/AAT76433.1","androgen receptor")</f>
        <v>androgen receptor</v>
      </c>
      <c r="J602" t="s">
        <v>1261</v>
      </c>
      <c r="K602">
        <v>366.31</v>
      </c>
      <c r="L602" t="s">
        <v>25</v>
      </c>
      <c r="M602">
        <v>157</v>
      </c>
      <c r="N602">
        <v>62.55</v>
      </c>
      <c r="O602">
        <v>71.239999999999995</v>
      </c>
      <c r="P602" t="s">
        <v>20</v>
      </c>
      <c r="Q602" t="s">
        <v>1262</v>
      </c>
      <c r="R602" t="s">
        <v>20</v>
      </c>
      <c r="S602" t="str">
        <f>HYPERLINK("https://cfpub.epa.gov/ecotox/explore.cfm?ncbi=13489","Explore in ECOTOX")</f>
        <v>Explore in ECOTOX</v>
      </c>
    </row>
    <row r="603" spans="1:19" x14ac:dyDescent="0.25">
      <c r="A603">
        <v>6</v>
      </c>
      <c r="B603" t="str">
        <f>HYPERLINK("http://www.ncbi.nlm.nih.gov/protein/XP_016142988.1","XP_016142988.1")</f>
        <v>XP_016142988.1</v>
      </c>
      <c r="C603">
        <v>67440</v>
      </c>
      <c r="D603" t="str">
        <f>HYPERLINK("http://www.ncbi.nlm.nih.gov/Taxonomy/Browser/wwwtax.cgi?mode=Info&amp;id=75366&amp;lvl=3&amp;lin=f&amp;keep=1&amp;srchmode=1&amp;unlock","75366")</f>
        <v>75366</v>
      </c>
      <c r="E603" t="s">
        <v>384</v>
      </c>
      <c r="F603" t="s">
        <v>384</v>
      </c>
      <c r="G603" t="str">
        <f>HYPERLINK("http://www.ncbi.nlm.nih.gov/Taxonomy/Browser/wwwtax.cgi?mode=Info&amp;id=75366&amp;lvl=3&amp;lin=f&amp;keep=1&amp;srchmode=1&amp;unlock","Sinocyclocheilus grahami")</f>
        <v>Sinocyclocheilus grahami</v>
      </c>
      <c r="H603" t="s">
        <v>529</v>
      </c>
      <c r="I603" t="str">
        <f>HYPERLINK("http://www.ncbi.nlm.nih.gov/protein/XP_016142988.1","PREDICTED: androgen receptor-like")</f>
        <v>PREDICTED: androgen receptor-like</v>
      </c>
      <c r="J603" t="s">
        <v>1261</v>
      </c>
      <c r="K603">
        <v>366.31</v>
      </c>
      <c r="L603" t="s">
        <v>25</v>
      </c>
      <c r="M603">
        <v>157</v>
      </c>
      <c r="N603">
        <v>62.55</v>
      </c>
      <c r="O603">
        <v>71.239999999999995</v>
      </c>
      <c r="P603" t="s">
        <v>20</v>
      </c>
      <c r="Q603" t="s">
        <v>1262</v>
      </c>
      <c r="R603" t="s">
        <v>20</v>
      </c>
      <c r="S603" t="str">
        <f>HYPERLINK("https://cfpub.epa.gov/ecotox/explore.cfm?ncbi=75366","Explore in ECOTOX")</f>
        <v>Explore in ECOTOX</v>
      </c>
    </row>
    <row r="604" spans="1:19" x14ac:dyDescent="0.25">
      <c r="A604">
        <v>6</v>
      </c>
      <c r="B604" t="str">
        <f>HYPERLINK("http://www.ncbi.nlm.nih.gov/protein/XP_034034639.1","XP_034034639.1")</f>
        <v>XP_034034639.1</v>
      </c>
      <c r="C604">
        <v>36364</v>
      </c>
      <c r="D604" t="str">
        <f>HYPERLINK("http://www.ncbi.nlm.nih.gov/Taxonomy/Browser/wwwtax.cgi?mode=Info&amp;id=390379&amp;lvl=3&amp;lin=f&amp;keep=1&amp;srchmode=1&amp;unlock","390379")</f>
        <v>390379</v>
      </c>
      <c r="E604" t="s">
        <v>384</v>
      </c>
      <c r="F604" t="s">
        <v>384</v>
      </c>
      <c r="G604" t="str">
        <f>HYPERLINK("http://www.ncbi.nlm.nih.gov/Taxonomy/Browser/wwwtax.cgi?mode=Info&amp;id=390379&amp;lvl=3&amp;lin=f&amp;keep=1&amp;srchmode=1&amp;unlock","Thalassophryne amazonica")</f>
        <v>Thalassophryne amazonica</v>
      </c>
      <c r="H604" t="s">
        <v>609</v>
      </c>
      <c r="I604" t="str">
        <f>HYPERLINK("http://www.ncbi.nlm.nih.gov/protein/XP_034034639.1","androgen receptor-like isoform X1")</f>
        <v>androgen receptor-like isoform X1</v>
      </c>
      <c r="J604" t="s">
        <v>1261</v>
      </c>
      <c r="K604">
        <v>366.31</v>
      </c>
      <c r="L604" t="s">
        <v>25</v>
      </c>
      <c r="M604">
        <v>157</v>
      </c>
      <c r="N604">
        <v>62.55</v>
      </c>
      <c r="O604">
        <v>71.239999999999995</v>
      </c>
      <c r="P604" t="s">
        <v>20</v>
      </c>
      <c r="Q604" t="s">
        <v>1262</v>
      </c>
      <c r="R604" t="s">
        <v>20</v>
      </c>
      <c r="S604" t="str">
        <f>HYPERLINK("https://cfpub.epa.gov/ecotox/explore.cfm?ncbi=390379","Explore in ECOTOX")</f>
        <v>Explore in ECOTOX</v>
      </c>
    </row>
    <row r="605" spans="1:19" x14ac:dyDescent="0.25">
      <c r="A605">
        <v>6</v>
      </c>
      <c r="B605" t="str">
        <f>HYPERLINK("http://www.ncbi.nlm.nih.gov/protein/XP_033834092.1","XP_033834092.1")</f>
        <v>XP_033834092.1</v>
      </c>
      <c r="C605">
        <v>27762</v>
      </c>
      <c r="D605" t="str">
        <f>HYPERLINK("http://www.ncbi.nlm.nih.gov/Taxonomy/Browser/wwwtax.cgi?mode=Info&amp;id=409849&amp;lvl=3&amp;lin=f&amp;keep=1&amp;srchmode=1&amp;unlock","409849")</f>
        <v>409849</v>
      </c>
      <c r="E605" t="s">
        <v>384</v>
      </c>
      <c r="F605" t="s">
        <v>384</v>
      </c>
      <c r="G605" t="str">
        <f>HYPERLINK("http://www.ncbi.nlm.nih.gov/Taxonomy/Browser/wwwtax.cgi?mode=Info&amp;id=409849&amp;lvl=3&amp;lin=f&amp;keep=1&amp;srchmode=1&amp;unlock","Periophthalmus magnuspinnatus")</f>
        <v>Periophthalmus magnuspinnatus</v>
      </c>
      <c r="H605" t="s">
        <v>594</v>
      </c>
      <c r="I605" t="str">
        <f>HYPERLINK("http://www.ncbi.nlm.nih.gov/protein/XP_033834092.1","androgen receptor isoform X1")</f>
        <v>androgen receptor isoform X1</v>
      </c>
      <c r="J605" t="s">
        <v>1261</v>
      </c>
      <c r="K605">
        <v>366.31</v>
      </c>
      <c r="L605" t="s">
        <v>25</v>
      </c>
      <c r="M605">
        <v>157</v>
      </c>
      <c r="N605">
        <v>62.55</v>
      </c>
      <c r="O605">
        <v>71.239999999999995</v>
      </c>
      <c r="P605" t="s">
        <v>20</v>
      </c>
      <c r="Q605" t="s">
        <v>1262</v>
      </c>
      <c r="R605" t="s">
        <v>20</v>
      </c>
      <c r="S605" t="str">
        <f>HYPERLINK("https://cfpub.epa.gov/ecotox/explore.cfm?ncbi=409849","Explore in ECOTOX")</f>
        <v>Explore in ECOTOX</v>
      </c>
    </row>
    <row r="606" spans="1:19" x14ac:dyDescent="0.25">
      <c r="A606">
        <v>6</v>
      </c>
      <c r="B606" t="str">
        <f>HYPERLINK("http://www.ncbi.nlm.nih.gov/protein/XP_038564523.1","XP_038564523.1")</f>
        <v>XP_038564523.1</v>
      </c>
      <c r="C606">
        <v>48256</v>
      </c>
      <c r="D606" t="str">
        <f>HYPERLINK("http://www.ncbi.nlm.nih.gov/Taxonomy/Browser/wwwtax.cgi?mode=Info&amp;id=27706&amp;lvl=3&amp;lin=f&amp;keep=1&amp;srchmode=1&amp;unlock","27706")</f>
        <v>27706</v>
      </c>
      <c r="E606" t="s">
        <v>384</v>
      </c>
      <c r="F606" t="s">
        <v>384</v>
      </c>
      <c r="G606" t="str">
        <f>HYPERLINK("http://www.ncbi.nlm.nih.gov/Taxonomy/Browser/wwwtax.cgi?mode=Info&amp;id=27706&amp;lvl=3&amp;lin=f&amp;keep=1&amp;srchmode=1&amp;unlock","Micropterus salmoides")</f>
        <v>Micropterus salmoides</v>
      </c>
      <c r="H606" t="s">
        <v>541</v>
      </c>
      <c r="I606" t="str">
        <f>HYPERLINK("http://www.ncbi.nlm.nih.gov/protein/XP_038564523.1","androgen receptor-like isoform X5")</f>
        <v>androgen receptor-like isoform X5</v>
      </c>
      <c r="J606" t="s">
        <v>1261</v>
      </c>
      <c r="K606">
        <v>366.31</v>
      </c>
      <c r="L606" t="s">
        <v>25</v>
      </c>
      <c r="M606">
        <v>157</v>
      </c>
      <c r="N606">
        <v>62.55</v>
      </c>
      <c r="O606">
        <v>71.239999999999995</v>
      </c>
      <c r="P606" t="s">
        <v>20</v>
      </c>
      <c r="Q606" t="s">
        <v>1262</v>
      </c>
      <c r="R606" t="s">
        <v>20</v>
      </c>
      <c r="S606" t="str">
        <f>HYPERLINK("https://cfpub.epa.gov/ecotox/explore.cfm?ncbi=27706","Explore in ECOTOX")</f>
        <v>Explore in ECOTOX</v>
      </c>
    </row>
    <row r="607" spans="1:19" x14ac:dyDescent="0.25">
      <c r="A607">
        <v>6</v>
      </c>
      <c r="B607" t="str">
        <f>HYPERLINK("http://www.ncbi.nlm.nih.gov/protein/ADI24924.1","ADI24924.1")</f>
        <v>ADI24924.1</v>
      </c>
      <c r="C607">
        <v>54</v>
      </c>
      <c r="D607" t="str">
        <f>HYPERLINK("http://www.ncbi.nlm.nih.gov/Taxonomy/Browser/wwwtax.cgi?mode=Info&amp;id=98377&amp;lvl=3&amp;lin=f&amp;keep=1&amp;srchmode=1&amp;unlock","98377")</f>
        <v>98377</v>
      </c>
      <c r="E607" t="s">
        <v>384</v>
      </c>
      <c r="F607" t="s">
        <v>384</v>
      </c>
      <c r="G607" t="str">
        <f>HYPERLINK("http://www.ncbi.nlm.nih.gov/Taxonomy/Browser/wwwtax.cgi?mode=Info&amp;id=98377&amp;lvl=3&amp;lin=f&amp;keep=1&amp;srchmode=1&amp;unlock","Pseudolabrus sieboldi")</f>
        <v>Pseudolabrus sieboldi</v>
      </c>
      <c r="H607" t="s">
        <v>1009</v>
      </c>
      <c r="I607" t="str">
        <f>HYPERLINK("http://www.ncbi.nlm.nih.gov/protein/ADI24924.1","androgen receptor")</f>
        <v>androgen receptor</v>
      </c>
      <c r="J607" t="s">
        <v>1261</v>
      </c>
      <c r="K607">
        <v>365.93</v>
      </c>
      <c r="L607" t="s">
        <v>25</v>
      </c>
      <c r="M607">
        <v>157</v>
      </c>
      <c r="N607">
        <v>62.55</v>
      </c>
      <c r="O607">
        <v>71.16</v>
      </c>
      <c r="P607" t="s">
        <v>20</v>
      </c>
      <c r="Q607" t="s">
        <v>1262</v>
      </c>
      <c r="R607" t="s">
        <v>20</v>
      </c>
      <c r="S607" t="str">
        <f>HYPERLINK("https://cfpub.epa.gov/ecotox/explore.cfm?ncbi=98377","Explore in ECOTOX")</f>
        <v>Explore in ECOTOX</v>
      </c>
    </row>
    <row r="608" spans="1:19" x14ac:dyDescent="0.25">
      <c r="A608">
        <v>6</v>
      </c>
      <c r="B608" t="str">
        <f>HYPERLINK("http://www.ncbi.nlm.nih.gov/protein/XP_029132506.1","XP_029132506.1")</f>
        <v>XP_029132506.1</v>
      </c>
      <c r="C608">
        <v>36766</v>
      </c>
      <c r="D608" t="str">
        <f>HYPERLINK("http://www.ncbi.nlm.nih.gov/Taxonomy/Browser/wwwtax.cgi?mode=Info&amp;id=56723&amp;lvl=3&amp;lin=f&amp;keep=1&amp;srchmode=1&amp;unlock","56723")</f>
        <v>56723</v>
      </c>
      <c r="E608" t="s">
        <v>384</v>
      </c>
      <c r="F608" t="s">
        <v>384</v>
      </c>
      <c r="G608" t="str">
        <f>HYPERLINK("http://www.ncbi.nlm.nih.gov/Taxonomy/Browser/wwwtax.cgi?mode=Info&amp;id=56723&amp;lvl=3&amp;lin=f&amp;keep=1&amp;srchmode=1&amp;unlock","Labrus bergylta")</f>
        <v>Labrus bergylta</v>
      </c>
      <c r="H608" t="s">
        <v>623</v>
      </c>
      <c r="I608" t="str">
        <f>HYPERLINK("http://www.ncbi.nlm.nih.gov/protein/XP_029132506.1","androgen receptor-like")</f>
        <v>androgen receptor-like</v>
      </c>
      <c r="J608" t="s">
        <v>1261</v>
      </c>
      <c r="K608">
        <v>365.93</v>
      </c>
      <c r="L608" t="s">
        <v>25</v>
      </c>
      <c r="M608">
        <v>157</v>
      </c>
      <c r="N608">
        <v>62.55</v>
      </c>
      <c r="O608">
        <v>71.16</v>
      </c>
      <c r="P608" t="s">
        <v>20</v>
      </c>
      <c r="Q608" t="s">
        <v>1262</v>
      </c>
      <c r="R608" t="s">
        <v>20</v>
      </c>
      <c r="S608" t="str">
        <f>HYPERLINK("https://cfpub.epa.gov/ecotox/explore.cfm?ncbi=56723","Explore in ECOTOX")</f>
        <v>Explore in ECOTOX</v>
      </c>
    </row>
    <row r="609" spans="1:19" x14ac:dyDescent="0.25">
      <c r="A609">
        <v>6</v>
      </c>
      <c r="B609" t="str">
        <f>HYPERLINK("http://www.ncbi.nlm.nih.gov/protein/AEO13404.1","AEO13404.1")</f>
        <v>AEO13404.1</v>
      </c>
      <c r="C609">
        <v>54133</v>
      </c>
      <c r="D609" t="str">
        <f>HYPERLINK("http://www.ncbi.nlm.nih.gov/Taxonomy/Browser/wwwtax.cgi?mode=Info&amp;id=8175&amp;lvl=3&amp;lin=f&amp;keep=1&amp;srchmode=1&amp;unlock","8175")</f>
        <v>8175</v>
      </c>
      <c r="E609" t="s">
        <v>384</v>
      </c>
      <c r="F609" t="s">
        <v>384</v>
      </c>
      <c r="G609" t="str">
        <f>HYPERLINK("http://www.ncbi.nlm.nih.gov/Taxonomy/Browser/wwwtax.cgi?mode=Info&amp;id=8175&amp;lvl=3&amp;lin=f&amp;keep=1&amp;srchmode=1&amp;unlock","Sparus aurata")</f>
        <v>Sparus aurata</v>
      </c>
      <c r="H609" t="s">
        <v>567</v>
      </c>
      <c r="I609" t="str">
        <f>HYPERLINK("http://www.ncbi.nlm.nih.gov/protein/AEO13404.1","androgen receptor")</f>
        <v>androgen receptor</v>
      </c>
      <c r="J609" t="s">
        <v>1261</v>
      </c>
      <c r="K609">
        <v>365.54</v>
      </c>
      <c r="L609" t="s">
        <v>25</v>
      </c>
      <c r="M609">
        <v>157</v>
      </c>
      <c r="N609">
        <v>62.55</v>
      </c>
      <c r="O609">
        <v>71.09</v>
      </c>
      <c r="P609" t="s">
        <v>20</v>
      </c>
      <c r="Q609" t="s">
        <v>1262</v>
      </c>
      <c r="R609" t="s">
        <v>20</v>
      </c>
      <c r="S609" t="str">
        <f>HYPERLINK("https://cfpub.epa.gov/ecotox/explore.cfm?ncbi=8175","Explore in ECOTOX")</f>
        <v>Explore in ECOTOX</v>
      </c>
    </row>
    <row r="610" spans="1:19" x14ac:dyDescent="0.25">
      <c r="A610">
        <v>6</v>
      </c>
      <c r="B610" t="str">
        <f>HYPERLINK("http://www.ncbi.nlm.nih.gov/protein/XP_037323699.1","XP_037323699.1")</f>
        <v>XP_037323699.1</v>
      </c>
      <c r="C610">
        <v>43840</v>
      </c>
      <c r="D610" t="str">
        <f>HYPERLINK("http://www.ncbi.nlm.nih.gov/Taxonomy/Browser/wwwtax.cgi?mode=Info&amp;id=134920&amp;lvl=3&amp;lin=f&amp;keep=1&amp;srchmode=1&amp;unlock","134920")</f>
        <v>134920</v>
      </c>
      <c r="E610" t="s">
        <v>384</v>
      </c>
      <c r="F610" t="s">
        <v>384</v>
      </c>
      <c r="G610" t="str">
        <f>HYPERLINK("http://www.ncbi.nlm.nih.gov/Taxonomy/Browser/wwwtax.cgi?mode=Info&amp;id=134920&amp;lvl=3&amp;lin=f&amp;keep=1&amp;srchmode=1&amp;unlock","Pungitius pungitius")</f>
        <v>Pungitius pungitius</v>
      </c>
      <c r="H610" t="s">
        <v>617</v>
      </c>
      <c r="I610" t="str">
        <f>HYPERLINK("http://www.ncbi.nlm.nih.gov/protein/XP_037323699.1","androgen receptor-like")</f>
        <v>androgen receptor-like</v>
      </c>
      <c r="J610" t="s">
        <v>1261</v>
      </c>
      <c r="K610">
        <v>365.54</v>
      </c>
      <c r="L610" t="s">
        <v>25</v>
      </c>
      <c r="M610">
        <v>157</v>
      </c>
      <c r="N610">
        <v>62.55</v>
      </c>
      <c r="O610">
        <v>71.09</v>
      </c>
      <c r="P610" t="s">
        <v>20</v>
      </c>
      <c r="Q610" t="s">
        <v>1262</v>
      </c>
      <c r="R610" t="s">
        <v>20</v>
      </c>
      <c r="S610" t="str">
        <f>HYPERLINK("https://cfpub.epa.gov/ecotox/explore.cfm?ncbi=134920","Explore in ECOTOX")</f>
        <v>Explore in ECOTOX</v>
      </c>
    </row>
    <row r="611" spans="1:19" x14ac:dyDescent="0.25">
      <c r="A611">
        <v>6</v>
      </c>
      <c r="B611" t="str">
        <f>HYPERLINK("http://www.ncbi.nlm.nih.gov/protein/QAV54758.1","QAV54758.1")</f>
        <v>QAV54758.1</v>
      </c>
      <c r="C611">
        <v>272</v>
      </c>
      <c r="D611" t="str">
        <f>HYPERLINK("http://www.ncbi.nlm.nih.gov/Taxonomy/Browser/wwwtax.cgi?mode=Info&amp;id=86224&amp;lvl=3&amp;lin=f&amp;keep=1&amp;srchmode=1&amp;unlock","86224")</f>
        <v>86224</v>
      </c>
      <c r="E611" t="s">
        <v>384</v>
      </c>
      <c r="F611" t="s">
        <v>384</v>
      </c>
      <c r="G611" t="str">
        <f>HYPERLINK("http://www.ncbi.nlm.nih.gov/Taxonomy/Browser/wwwtax.cgi?mode=Info&amp;id=86224&amp;lvl=3&amp;lin=f&amp;keep=1&amp;srchmode=1&amp;unlock","Bostrychus sinensis")</f>
        <v>Bostrychus sinensis</v>
      </c>
      <c r="H611" t="s">
        <v>1013</v>
      </c>
      <c r="I611" t="str">
        <f>HYPERLINK("http://www.ncbi.nlm.nih.gov/protein/QAV54758.1","androgen receptor beta")</f>
        <v>androgen receptor beta</v>
      </c>
      <c r="J611" t="s">
        <v>1261</v>
      </c>
      <c r="K611">
        <v>365.54</v>
      </c>
      <c r="L611" t="s">
        <v>25</v>
      </c>
      <c r="M611">
        <v>157</v>
      </c>
      <c r="N611">
        <v>62.55</v>
      </c>
      <c r="O611">
        <v>71.09</v>
      </c>
      <c r="P611" t="s">
        <v>20</v>
      </c>
      <c r="Q611" t="s">
        <v>1262</v>
      </c>
      <c r="R611" t="s">
        <v>20</v>
      </c>
      <c r="S611" t="str">
        <f>HYPERLINK("https://cfpub.epa.gov/ecotox/explore.cfm?ncbi=86224","Explore in ECOTOX")</f>
        <v>Explore in ECOTOX</v>
      </c>
    </row>
    <row r="612" spans="1:19" x14ac:dyDescent="0.25">
      <c r="A612">
        <v>6</v>
      </c>
      <c r="B612" t="str">
        <f>HYPERLINK("http://www.ncbi.nlm.nih.gov/protein/ALU58281.1","ALU58281.1")</f>
        <v>ALU58281.1</v>
      </c>
      <c r="C612">
        <v>47885</v>
      </c>
      <c r="D612" t="str">
        <f>HYPERLINK("http://www.ncbi.nlm.nih.gov/Taxonomy/Browser/wwwtax.cgi?mode=Info&amp;id=1234273&amp;lvl=3&amp;lin=f&amp;keep=1&amp;srchmode=1&amp;unlock","1234273")</f>
        <v>1234273</v>
      </c>
      <c r="E612" t="s">
        <v>384</v>
      </c>
      <c r="F612" t="s">
        <v>384</v>
      </c>
      <c r="G612" t="str">
        <f>HYPERLINK("http://www.ncbi.nlm.nih.gov/Taxonomy/Browser/wwwtax.cgi?mode=Info&amp;id=1234273&amp;lvl=3&amp;lin=f&amp;keep=1&amp;srchmode=1&amp;unlock","Tachysurus fulvidraco")</f>
        <v>Tachysurus fulvidraco</v>
      </c>
      <c r="H612" t="s">
        <v>616</v>
      </c>
      <c r="I612" t="str">
        <f>HYPERLINK("http://www.ncbi.nlm.nih.gov/protein/ALU58281.1","androgen receptor, partial")</f>
        <v>androgen receptor, partial</v>
      </c>
      <c r="J612" t="s">
        <v>1261</v>
      </c>
      <c r="K612">
        <v>365.54</v>
      </c>
      <c r="L612" t="s">
        <v>25</v>
      </c>
      <c r="M612">
        <v>157</v>
      </c>
      <c r="N612">
        <v>62.55</v>
      </c>
      <c r="O612">
        <v>71.09</v>
      </c>
      <c r="P612" t="s">
        <v>20</v>
      </c>
      <c r="Q612" t="s">
        <v>1262</v>
      </c>
      <c r="R612" t="s">
        <v>20</v>
      </c>
      <c r="S612" t="str">
        <f>HYPERLINK("https://cfpub.epa.gov/ecotox/explore.cfm?ncbi=1234273","Explore in ECOTOX")</f>
        <v>Explore in ECOTOX</v>
      </c>
    </row>
    <row r="613" spans="1:19" x14ac:dyDescent="0.25">
      <c r="A613">
        <v>6</v>
      </c>
      <c r="B613" t="str">
        <f>HYPERLINK("http://www.ncbi.nlm.nih.gov/protein/RXN28713.1","RXN28713.1")</f>
        <v>RXN28713.1</v>
      </c>
      <c r="C613">
        <v>37718</v>
      </c>
      <c r="D613" t="str">
        <f>HYPERLINK("http://www.ncbi.nlm.nih.gov/Taxonomy/Browser/wwwtax.cgi?mode=Info&amp;id=84645&amp;lvl=3&amp;lin=f&amp;keep=1&amp;srchmode=1&amp;unlock","84645")</f>
        <v>84645</v>
      </c>
      <c r="E613" t="s">
        <v>384</v>
      </c>
      <c r="F613" t="s">
        <v>384</v>
      </c>
      <c r="G613" t="str">
        <f>HYPERLINK("http://www.ncbi.nlm.nih.gov/Taxonomy/Browser/wwwtax.cgi?mode=Info&amp;id=84645&amp;lvl=3&amp;lin=f&amp;keep=1&amp;srchmode=1&amp;unlock","Labeo rohita")</f>
        <v>Labeo rohita</v>
      </c>
      <c r="H613" t="s">
        <v>516</v>
      </c>
      <c r="I613" t="str">
        <f>HYPERLINK("http://www.ncbi.nlm.nih.gov/protein/RXN28713.1","androgen receptor")</f>
        <v>androgen receptor</v>
      </c>
      <c r="J613" t="s">
        <v>1261</v>
      </c>
      <c r="K613">
        <v>365.15</v>
      </c>
      <c r="L613" t="s">
        <v>25</v>
      </c>
      <c r="M613">
        <v>157</v>
      </c>
      <c r="N613">
        <v>62.55</v>
      </c>
      <c r="O613">
        <v>71.010000000000005</v>
      </c>
      <c r="P613" t="s">
        <v>20</v>
      </c>
      <c r="Q613" t="s">
        <v>1262</v>
      </c>
      <c r="R613" t="s">
        <v>20</v>
      </c>
      <c r="S613" t="str">
        <f>HYPERLINK("https://cfpub.epa.gov/ecotox/explore.cfm?ncbi=84645","Explore in ECOTOX")</f>
        <v>Explore in ECOTOX</v>
      </c>
    </row>
    <row r="614" spans="1:19" x14ac:dyDescent="0.25">
      <c r="A614">
        <v>6</v>
      </c>
      <c r="B614" t="str">
        <f>HYPERLINK("http://www.ncbi.nlm.nih.gov/protein/XP_020454405.1","XP_020454405.1")</f>
        <v>XP_020454405.1</v>
      </c>
      <c r="C614">
        <v>40892</v>
      </c>
      <c r="D614" t="str">
        <f>HYPERLINK("http://www.ncbi.nlm.nih.gov/Taxonomy/Browser/wwwtax.cgi?mode=Info&amp;id=43700&amp;lvl=3&amp;lin=f&amp;keep=1&amp;srchmode=1&amp;unlock","43700")</f>
        <v>43700</v>
      </c>
      <c r="E614" t="s">
        <v>384</v>
      </c>
      <c r="F614" t="s">
        <v>384</v>
      </c>
      <c r="G614" t="str">
        <f>HYPERLINK("http://www.ncbi.nlm.nih.gov/Taxonomy/Browser/wwwtax.cgi?mode=Info&amp;id=43700&amp;lvl=3&amp;lin=f&amp;keep=1&amp;srchmode=1&amp;unlock","Monopterus albus")</f>
        <v>Monopterus albus</v>
      </c>
      <c r="H614" t="s">
        <v>547</v>
      </c>
      <c r="I614" t="str">
        <f>HYPERLINK("http://www.ncbi.nlm.nih.gov/protein/XP_020454405.1","androgen receptor")</f>
        <v>androgen receptor</v>
      </c>
      <c r="J614" t="s">
        <v>1261</v>
      </c>
      <c r="K614">
        <v>364.77</v>
      </c>
      <c r="L614" t="s">
        <v>25</v>
      </c>
      <c r="M614">
        <v>157</v>
      </c>
      <c r="N614">
        <v>62.55</v>
      </c>
      <c r="O614">
        <v>70.94</v>
      </c>
      <c r="P614" t="s">
        <v>20</v>
      </c>
      <c r="Q614" t="s">
        <v>1262</v>
      </c>
      <c r="R614" t="s">
        <v>20</v>
      </c>
      <c r="S614" t="str">
        <f>HYPERLINK("https://cfpub.epa.gov/ecotox/explore.cfm?ncbi=43700","Explore in ECOTOX")</f>
        <v>Explore in ECOTOX</v>
      </c>
    </row>
    <row r="615" spans="1:19" x14ac:dyDescent="0.25">
      <c r="A615">
        <v>6</v>
      </c>
      <c r="B615" t="str">
        <f>HYPERLINK("http://www.ncbi.nlm.nih.gov/protein/XP_035522133.1","XP_035522133.1")</f>
        <v>XP_035522133.1</v>
      </c>
      <c r="C615">
        <v>31138</v>
      </c>
      <c r="D615" t="str">
        <f>HYPERLINK("http://www.ncbi.nlm.nih.gov/Taxonomy/Browser/wwwtax.cgi?mode=Info&amp;id=34816&amp;lvl=3&amp;lin=f&amp;keep=1&amp;srchmode=1&amp;unlock","34816")</f>
        <v>34816</v>
      </c>
      <c r="E615" t="s">
        <v>384</v>
      </c>
      <c r="F615" t="s">
        <v>384</v>
      </c>
      <c r="G615" t="str">
        <f>HYPERLINK("http://www.ncbi.nlm.nih.gov/Taxonomy/Browser/wwwtax.cgi?mode=Info&amp;id=34816&amp;lvl=3&amp;lin=f&amp;keep=1&amp;srchmode=1&amp;unlock","Morone saxatilis")</f>
        <v>Morone saxatilis</v>
      </c>
      <c r="H615" t="s">
        <v>555</v>
      </c>
      <c r="I615" t="str">
        <f>HYPERLINK("http://www.ncbi.nlm.nih.gov/protein/XP_035522133.1","androgen receptor-like")</f>
        <v>androgen receptor-like</v>
      </c>
      <c r="J615" t="s">
        <v>1261</v>
      </c>
      <c r="K615">
        <v>364.38</v>
      </c>
      <c r="L615" t="s">
        <v>25</v>
      </c>
      <c r="M615">
        <v>157</v>
      </c>
      <c r="N615">
        <v>62.55</v>
      </c>
      <c r="O615">
        <v>70.86</v>
      </c>
      <c r="P615" t="s">
        <v>20</v>
      </c>
      <c r="Q615" t="s">
        <v>1262</v>
      </c>
      <c r="R615" t="s">
        <v>20</v>
      </c>
      <c r="S615" t="str">
        <f>HYPERLINK("https://cfpub.epa.gov/ecotox/explore.cfm?ncbi=34816","Explore in ECOTOX")</f>
        <v>Explore in ECOTOX</v>
      </c>
    </row>
    <row r="616" spans="1:19" x14ac:dyDescent="0.25">
      <c r="A616">
        <v>6</v>
      </c>
      <c r="B616" t="str">
        <f>HYPERLINK("http://www.ncbi.nlm.nih.gov/protein/XP_037605001.1","XP_037605001.1")</f>
        <v>XP_037605001.1</v>
      </c>
      <c r="C616">
        <v>50721</v>
      </c>
      <c r="D616" t="str">
        <f>HYPERLINK("http://www.ncbi.nlm.nih.gov/Taxonomy/Browser/wwwtax.cgi?mode=Info&amp;id=72105&amp;lvl=3&amp;lin=f&amp;keep=1&amp;srchmode=1&amp;unlock","72105")</f>
        <v>72105</v>
      </c>
      <c r="E616" t="s">
        <v>384</v>
      </c>
      <c r="F616" t="s">
        <v>384</v>
      </c>
      <c r="G616" t="str">
        <f>HYPERLINK("http://www.ncbi.nlm.nih.gov/Taxonomy/Browser/wwwtax.cgi?mode=Info&amp;id=72105&amp;lvl=3&amp;lin=f&amp;keep=1&amp;srchmode=1&amp;unlock","Sebastes umbrosus")</f>
        <v>Sebastes umbrosus</v>
      </c>
      <c r="H616" t="s">
        <v>611</v>
      </c>
      <c r="I616" t="str">
        <f>HYPERLINK("http://www.ncbi.nlm.nih.gov/protein/XP_037605001.1","androgen receptor-like isoform X2")</f>
        <v>androgen receptor-like isoform X2</v>
      </c>
      <c r="J616" t="s">
        <v>1261</v>
      </c>
      <c r="K616">
        <v>364.38</v>
      </c>
      <c r="L616" t="s">
        <v>25</v>
      </c>
      <c r="M616">
        <v>157</v>
      </c>
      <c r="N616">
        <v>62.55</v>
      </c>
      <c r="O616">
        <v>70.86</v>
      </c>
      <c r="P616" t="s">
        <v>20</v>
      </c>
      <c r="Q616" t="s">
        <v>1262</v>
      </c>
      <c r="R616" t="s">
        <v>20</v>
      </c>
      <c r="S616" t="str">
        <f>HYPERLINK("https://cfpub.epa.gov/ecotox/explore.cfm?ncbi=72105","Explore in ECOTOX")</f>
        <v>Explore in ECOTOX</v>
      </c>
    </row>
    <row r="617" spans="1:19" x14ac:dyDescent="0.25">
      <c r="A617">
        <v>6</v>
      </c>
      <c r="B617" t="str">
        <f>HYPERLINK("http://www.ncbi.nlm.nih.gov/protein/XP_015816533.1","XP_015816533.1")</f>
        <v>XP_015816533.1</v>
      </c>
      <c r="C617">
        <v>70065</v>
      </c>
      <c r="D617" t="str">
        <f>HYPERLINK("http://www.ncbi.nlm.nih.gov/Taxonomy/Browser/wwwtax.cgi?mode=Info&amp;id=105023&amp;lvl=3&amp;lin=f&amp;keep=1&amp;srchmode=1&amp;unlock","105023")</f>
        <v>105023</v>
      </c>
      <c r="E617" t="s">
        <v>384</v>
      </c>
      <c r="F617" t="s">
        <v>384</v>
      </c>
      <c r="G617" t="str">
        <f>HYPERLINK("http://www.ncbi.nlm.nih.gov/Taxonomy/Browser/wwwtax.cgi?mode=Info&amp;id=105023&amp;lvl=3&amp;lin=f&amp;keep=1&amp;srchmode=1&amp;unlock","Nothobranchius furzeri")</f>
        <v>Nothobranchius furzeri</v>
      </c>
      <c r="H617" t="s">
        <v>556</v>
      </c>
      <c r="I617" t="str">
        <f>HYPERLINK("http://www.ncbi.nlm.nih.gov/protein/XP_015816533.1","PREDICTED: androgen receptor")</f>
        <v>PREDICTED: androgen receptor</v>
      </c>
      <c r="J617" t="s">
        <v>1261</v>
      </c>
      <c r="K617">
        <v>364.38</v>
      </c>
      <c r="L617" t="s">
        <v>25</v>
      </c>
      <c r="M617">
        <v>157</v>
      </c>
      <c r="N617">
        <v>62.55</v>
      </c>
      <c r="O617">
        <v>70.86</v>
      </c>
      <c r="P617" t="s">
        <v>20</v>
      </c>
      <c r="Q617" t="s">
        <v>1262</v>
      </c>
      <c r="R617" t="s">
        <v>20</v>
      </c>
      <c r="S617" t="str">
        <f>HYPERLINK("https://cfpub.epa.gov/ecotox/explore.cfm?ncbi=105023","Explore in ECOTOX")</f>
        <v>Explore in ECOTOX</v>
      </c>
    </row>
    <row r="618" spans="1:19" x14ac:dyDescent="0.25">
      <c r="A618">
        <v>6</v>
      </c>
      <c r="B618" t="str">
        <f>HYPERLINK("http://www.ncbi.nlm.nih.gov/protein/XP_011609787.2","XP_011609787.2")</f>
        <v>XP_011609787.2</v>
      </c>
      <c r="C618">
        <v>49062</v>
      </c>
      <c r="D618" t="str">
        <f>HYPERLINK("http://www.ncbi.nlm.nih.gov/Taxonomy/Browser/wwwtax.cgi?mode=Info&amp;id=31033&amp;lvl=3&amp;lin=f&amp;keep=1&amp;srchmode=1&amp;unlock","31033")</f>
        <v>31033</v>
      </c>
      <c r="E618" t="s">
        <v>384</v>
      </c>
      <c r="F618" t="s">
        <v>384</v>
      </c>
      <c r="G618" t="str">
        <f>HYPERLINK("http://www.ncbi.nlm.nih.gov/Taxonomy/Browser/wwwtax.cgi?mode=Info&amp;id=31033&amp;lvl=3&amp;lin=f&amp;keep=1&amp;srchmode=1&amp;unlock","Takifugu rubripes")</f>
        <v>Takifugu rubripes</v>
      </c>
      <c r="H618" t="s">
        <v>630</v>
      </c>
      <c r="I618" t="str">
        <f>HYPERLINK("http://www.ncbi.nlm.nih.gov/protein/XP_011609787.2","androgen receptor-like isoform X2")</f>
        <v>androgen receptor-like isoform X2</v>
      </c>
      <c r="J618" t="s">
        <v>1261</v>
      </c>
      <c r="K618">
        <v>364.38</v>
      </c>
      <c r="L618" t="s">
        <v>25</v>
      </c>
      <c r="M618">
        <v>157</v>
      </c>
      <c r="N618">
        <v>62.55</v>
      </c>
      <c r="O618">
        <v>70.86</v>
      </c>
      <c r="P618" t="s">
        <v>20</v>
      </c>
      <c r="Q618" t="s">
        <v>1262</v>
      </c>
      <c r="R618" t="s">
        <v>20</v>
      </c>
      <c r="S618" t="str">
        <f>HYPERLINK("https://cfpub.epa.gov/ecotox/explore.cfm?ncbi=31033","Explore in ECOTOX")</f>
        <v>Explore in ECOTOX</v>
      </c>
    </row>
    <row r="619" spans="1:19" x14ac:dyDescent="0.25">
      <c r="A619">
        <v>6</v>
      </c>
      <c r="B619" t="str">
        <f>HYPERLINK("http://www.ncbi.nlm.nih.gov/protein/TWW74919.1","TWW74919.1")</f>
        <v>TWW74919.1</v>
      </c>
      <c r="C619">
        <v>29428</v>
      </c>
      <c r="D619" t="str">
        <f>HYPERLINK("http://www.ncbi.nlm.nih.gov/Taxonomy/Browser/wwwtax.cgi?mode=Info&amp;id=433684&amp;lvl=3&amp;lin=f&amp;keep=1&amp;srchmode=1&amp;unlock","433684")</f>
        <v>433684</v>
      </c>
      <c r="E619" t="s">
        <v>384</v>
      </c>
      <c r="F619" t="s">
        <v>384</v>
      </c>
      <c r="G619" t="str">
        <f>HYPERLINK("http://www.ncbi.nlm.nih.gov/Taxonomy/Browser/wwwtax.cgi?mode=Info&amp;id=433684&amp;lvl=3&amp;lin=f&amp;keep=1&amp;srchmode=1&amp;unlock","Takifugu flavidus")</f>
        <v>Takifugu flavidus</v>
      </c>
      <c r="H619" t="s">
        <v>629</v>
      </c>
      <c r="I619" t="str">
        <f>HYPERLINK("http://www.ncbi.nlm.nih.gov/protein/TWW74919.1","Androgen receptor")</f>
        <v>Androgen receptor</v>
      </c>
      <c r="J619" t="s">
        <v>1261</v>
      </c>
      <c r="K619">
        <v>364.38</v>
      </c>
      <c r="L619" t="s">
        <v>25</v>
      </c>
      <c r="M619">
        <v>157</v>
      </c>
      <c r="N619">
        <v>62.55</v>
      </c>
      <c r="O619">
        <v>70.86</v>
      </c>
      <c r="P619" t="s">
        <v>20</v>
      </c>
      <c r="Q619" t="s">
        <v>1262</v>
      </c>
      <c r="R619" t="s">
        <v>20</v>
      </c>
      <c r="S619" t="str">
        <f>HYPERLINK("https://cfpub.epa.gov/ecotox/explore.cfm?ncbi=433684","Explore in ECOTOX")</f>
        <v>Explore in ECOTOX</v>
      </c>
    </row>
    <row r="620" spans="1:19" x14ac:dyDescent="0.25">
      <c r="A620">
        <v>6</v>
      </c>
      <c r="B620" t="str">
        <f>HYPERLINK("http://www.ncbi.nlm.nih.gov/protein/XP_024866192.1","XP_024866192.1")</f>
        <v>XP_024866192.1</v>
      </c>
      <c r="C620">
        <v>43416</v>
      </c>
      <c r="D620" t="str">
        <f>HYPERLINK("http://www.ncbi.nlm.nih.gov/Taxonomy/Browser/wwwtax.cgi?mode=Info&amp;id=37003&amp;lvl=3&amp;lin=f&amp;keep=1&amp;srchmode=1&amp;unlock","37003")</f>
        <v>37003</v>
      </c>
      <c r="E620" t="s">
        <v>384</v>
      </c>
      <c r="F620" t="s">
        <v>384</v>
      </c>
      <c r="G620" t="str">
        <f>HYPERLINK("http://www.ncbi.nlm.nih.gov/Taxonomy/Browser/wwwtax.cgi?mode=Info&amp;id=37003&amp;lvl=3&amp;lin=f&amp;keep=1&amp;srchmode=1&amp;unlock","Kryptolebias marmoratus")</f>
        <v>Kryptolebias marmoratus</v>
      </c>
      <c r="H620" t="s">
        <v>583</v>
      </c>
      <c r="I620" t="str">
        <f>HYPERLINK("http://www.ncbi.nlm.nih.gov/protein/XP_024866192.1","androgen receptor isoform X1")</f>
        <v>androgen receptor isoform X1</v>
      </c>
      <c r="J620" t="s">
        <v>1261</v>
      </c>
      <c r="K620">
        <v>364</v>
      </c>
      <c r="L620" t="s">
        <v>25</v>
      </c>
      <c r="M620">
        <v>157</v>
      </c>
      <c r="N620">
        <v>62.55</v>
      </c>
      <c r="O620">
        <v>70.790000000000006</v>
      </c>
      <c r="P620" t="s">
        <v>20</v>
      </c>
      <c r="Q620" t="s">
        <v>1262</v>
      </c>
      <c r="R620" t="s">
        <v>20</v>
      </c>
      <c r="S620" t="str">
        <f>HYPERLINK("https://cfpub.epa.gov/ecotox/explore.cfm?ncbi=37003","Explore in ECOTOX")</f>
        <v>Explore in ECOTOX</v>
      </c>
    </row>
    <row r="621" spans="1:19" x14ac:dyDescent="0.25">
      <c r="A621">
        <v>6</v>
      </c>
      <c r="B621" t="str">
        <f>HYPERLINK("http://www.ncbi.nlm.nih.gov/protein/AAG48340.1","AAG48340.1")</f>
        <v>AAG48340.1</v>
      </c>
      <c r="C621">
        <v>81</v>
      </c>
      <c r="D621" t="str">
        <f>HYPERLINK("http://www.ncbi.nlm.nih.gov/Taxonomy/Browser/wwwtax.cgi?mode=Info&amp;id=147232&amp;lvl=3&amp;lin=f&amp;keep=1&amp;srchmode=1&amp;unlock","147232")</f>
        <v>147232</v>
      </c>
      <c r="E621" t="s">
        <v>384</v>
      </c>
      <c r="F621" t="s">
        <v>384</v>
      </c>
      <c r="G621" t="str">
        <f>HYPERLINK("http://www.ncbi.nlm.nih.gov/Taxonomy/Browser/wwwtax.cgi?mode=Info&amp;id=147232&amp;lvl=3&amp;lin=f&amp;keep=1&amp;srchmode=1&amp;unlock","Halichoeres trimaculatus")</f>
        <v>Halichoeres trimaculatus</v>
      </c>
      <c r="H621" t="s">
        <v>1017</v>
      </c>
      <c r="I621" t="str">
        <f>HYPERLINK("http://www.ncbi.nlm.nih.gov/protein/AAG48340.1","androgen receptor, partial")</f>
        <v>androgen receptor, partial</v>
      </c>
      <c r="J621" t="s">
        <v>1261</v>
      </c>
      <c r="K621">
        <v>364</v>
      </c>
      <c r="L621" t="s">
        <v>25</v>
      </c>
      <c r="M621">
        <v>157</v>
      </c>
      <c r="N621">
        <v>62.55</v>
      </c>
      <c r="O621">
        <v>70.790000000000006</v>
      </c>
      <c r="P621" t="s">
        <v>20</v>
      </c>
      <c r="Q621" t="s">
        <v>1262</v>
      </c>
      <c r="R621" t="s">
        <v>20</v>
      </c>
      <c r="S621" t="str">
        <f>HYPERLINK("https://cfpub.epa.gov/ecotox/explore.cfm?ncbi=147232","Explore in ECOTOX")</f>
        <v>Explore in ECOTOX</v>
      </c>
    </row>
    <row r="622" spans="1:19" x14ac:dyDescent="0.25">
      <c r="A622">
        <v>6</v>
      </c>
      <c r="B622" t="str">
        <f>HYPERLINK("http://www.ncbi.nlm.nih.gov/protein/XP_030601688.1","XP_030601688.1")</f>
        <v>XP_030601688.1</v>
      </c>
      <c r="C622">
        <v>41125</v>
      </c>
      <c r="D622" t="str">
        <f>HYPERLINK("http://www.ncbi.nlm.nih.gov/Taxonomy/Browser/wwwtax.cgi?mode=Info&amp;id=63155&amp;lvl=3&amp;lin=f&amp;keep=1&amp;srchmode=1&amp;unlock","63155")</f>
        <v>63155</v>
      </c>
      <c r="E622" t="s">
        <v>384</v>
      </c>
      <c r="F622" t="s">
        <v>384</v>
      </c>
      <c r="G622" t="str">
        <f>HYPERLINK("http://www.ncbi.nlm.nih.gov/Taxonomy/Browser/wwwtax.cgi?mode=Info&amp;id=63155&amp;lvl=3&amp;lin=f&amp;keep=1&amp;srchmode=1&amp;unlock","Archocentrus centrarchus")</f>
        <v>Archocentrus centrarchus</v>
      </c>
      <c r="H622" t="s">
        <v>622</v>
      </c>
      <c r="I622" t="str">
        <f>HYPERLINK("http://www.ncbi.nlm.nih.gov/protein/XP_030601688.1","androgen receptor-like")</f>
        <v>androgen receptor-like</v>
      </c>
      <c r="J622" t="s">
        <v>1261</v>
      </c>
      <c r="K622">
        <v>363.61</v>
      </c>
      <c r="L622" t="s">
        <v>25</v>
      </c>
      <c r="M622">
        <v>157</v>
      </c>
      <c r="N622">
        <v>62.55</v>
      </c>
      <c r="O622">
        <v>70.709999999999994</v>
      </c>
      <c r="P622" t="s">
        <v>20</v>
      </c>
      <c r="Q622" t="s">
        <v>1262</v>
      </c>
      <c r="R622" t="s">
        <v>20</v>
      </c>
      <c r="S622" t="str">
        <f>HYPERLINK("https://cfpub.epa.gov/ecotox/explore.cfm?ncbi=63155","Explore in ECOTOX")</f>
        <v>Explore in ECOTOX</v>
      </c>
    </row>
    <row r="623" spans="1:19" x14ac:dyDescent="0.25">
      <c r="A623">
        <v>6</v>
      </c>
      <c r="B623" t="str">
        <f>HYPERLINK("http://www.ncbi.nlm.nih.gov/protein/AKJ74871.1","AKJ74871.1")</f>
        <v>AKJ74871.1</v>
      </c>
      <c r="C623">
        <v>47232</v>
      </c>
      <c r="D623" t="str">
        <f>HYPERLINK("http://www.ncbi.nlm.nih.gov/Taxonomy/Browser/wwwtax.cgi?mode=Info&amp;id=48699&amp;lvl=3&amp;lin=f&amp;keep=1&amp;srchmode=1&amp;unlock","48699")</f>
        <v>48699</v>
      </c>
      <c r="E623" t="s">
        <v>384</v>
      </c>
      <c r="F623" t="s">
        <v>384</v>
      </c>
      <c r="G623" t="str">
        <f>HYPERLINK("http://www.ncbi.nlm.nih.gov/Taxonomy/Browser/wwwtax.cgi?mode=Info&amp;id=48699&amp;lvl=3&amp;lin=f&amp;keep=1&amp;srchmode=1&amp;unlock","Poecilia latipinna")</f>
        <v>Poecilia latipinna</v>
      </c>
      <c r="H623" t="s">
        <v>600</v>
      </c>
      <c r="I623" t="str">
        <f>HYPERLINK("http://www.ncbi.nlm.nih.gov/protein/AKJ74871.1","androgen receptor beta")</f>
        <v>androgen receptor beta</v>
      </c>
      <c r="J623" t="s">
        <v>1261</v>
      </c>
      <c r="K623">
        <v>363.61</v>
      </c>
      <c r="L623" t="s">
        <v>25</v>
      </c>
      <c r="M623">
        <v>157</v>
      </c>
      <c r="N623">
        <v>62.55</v>
      </c>
      <c r="O623">
        <v>70.709999999999994</v>
      </c>
      <c r="P623" t="s">
        <v>20</v>
      </c>
      <c r="Q623" t="s">
        <v>1262</v>
      </c>
      <c r="R623" t="s">
        <v>20</v>
      </c>
      <c r="S623" t="str">
        <f>HYPERLINK("https://cfpub.epa.gov/ecotox/explore.cfm?ncbi=48699","Explore in ECOTOX")</f>
        <v>Explore in ECOTOX</v>
      </c>
    </row>
    <row r="624" spans="1:19" x14ac:dyDescent="0.25">
      <c r="A624">
        <v>6</v>
      </c>
      <c r="B624" t="str">
        <f>HYPERLINK("http://www.ncbi.nlm.nih.gov/protein/ANN14185.1","ANN14185.1")</f>
        <v>ANN14185.1</v>
      </c>
      <c r="C624">
        <v>49656</v>
      </c>
      <c r="D624" t="str">
        <f>HYPERLINK("http://www.ncbi.nlm.nih.gov/Taxonomy/Browser/wwwtax.cgi?mode=Info&amp;id=48698&amp;lvl=3&amp;lin=f&amp;keep=1&amp;srchmode=1&amp;unlock","48698")</f>
        <v>48698</v>
      </c>
      <c r="E624" t="s">
        <v>384</v>
      </c>
      <c r="F624" t="s">
        <v>384</v>
      </c>
      <c r="G624" t="str">
        <f>HYPERLINK("http://www.ncbi.nlm.nih.gov/Taxonomy/Browser/wwwtax.cgi?mode=Info&amp;id=48698&amp;lvl=3&amp;lin=f&amp;keep=1&amp;srchmode=1&amp;unlock","Poecilia formosa")</f>
        <v>Poecilia formosa</v>
      </c>
      <c r="H624" t="s">
        <v>613</v>
      </c>
      <c r="I624" t="str">
        <f>HYPERLINK("http://www.ncbi.nlm.nih.gov/protein/ANN14185.1","androgen receptor beta")</f>
        <v>androgen receptor beta</v>
      </c>
      <c r="J624" t="s">
        <v>1261</v>
      </c>
      <c r="K624">
        <v>363.61</v>
      </c>
      <c r="L624" t="s">
        <v>25</v>
      </c>
      <c r="M624">
        <v>157</v>
      </c>
      <c r="N624">
        <v>62.55</v>
      </c>
      <c r="O624">
        <v>70.709999999999994</v>
      </c>
      <c r="P624" t="s">
        <v>20</v>
      </c>
      <c r="Q624" t="s">
        <v>1262</v>
      </c>
      <c r="R624" t="s">
        <v>20</v>
      </c>
      <c r="S624" t="str">
        <f>HYPERLINK("https://cfpub.epa.gov/ecotox/explore.cfm?ncbi=48698","Explore in ECOTOX")</f>
        <v>Explore in ECOTOX</v>
      </c>
    </row>
    <row r="625" spans="1:19" x14ac:dyDescent="0.25">
      <c r="A625">
        <v>6</v>
      </c>
      <c r="B625" t="str">
        <f>HYPERLINK("http://www.ncbi.nlm.nih.gov/protein/XP_014822347.1","XP_014822347.1")</f>
        <v>XP_014822347.1</v>
      </c>
      <c r="C625">
        <v>47807</v>
      </c>
      <c r="D625" t="str">
        <f>HYPERLINK("http://www.ncbi.nlm.nih.gov/Taxonomy/Browser/wwwtax.cgi?mode=Info&amp;id=48701&amp;lvl=3&amp;lin=f&amp;keep=1&amp;srchmode=1&amp;unlock","48701")</f>
        <v>48701</v>
      </c>
      <c r="E625" t="s">
        <v>384</v>
      </c>
      <c r="F625" t="s">
        <v>384</v>
      </c>
      <c r="G625" t="str">
        <f>HYPERLINK("http://www.ncbi.nlm.nih.gov/Taxonomy/Browser/wwwtax.cgi?mode=Info&amp;id=48701&amp;lvl=3&amp;lin=f&amp;keep=1&amp;srchmode=1&amp;unlock","Poecilia mexicana")</f>
        <v>Poecilia mexicana</v>
      </c>
      <c r="H625" t="s">
        <v>615</v>
      </c>
      <c r="I625" t="str">
        <f>HYPERLINK("http://www.ncbi.nlm.nih.gov/protein/XP_014822347.1","PREDICTED: androgen receptor-like")</f>
        <v>PREDICTED: androgen receptor-like</v>
      </c>
      <c r="J625" t="s">
        <v>1261</v>
      </c>
      <c r="K625">
        <v>363.61</v>
      </c>
      <c r="L625" t="s">
        <v>25</v>
      </c>
      <c r="M625">
        <v>157</v>
      </c>
      <c r="N625">
        <v>62.55</v>
      </c>
      <c r="O625">
        <v>70.709999999999994</v>
      </c>
      <c r="P625" t="s">
        <v>20</v>
      </c>
      <c r="Q625" t="s">
        <v>1262</v>
      </c>
      <c r="R625" t="s">
        <v>20</v>
      </c>
      <c r="S625" t="str">
        <f>HYPERLINK("https://cfpub.epa.gov/ecotox/explore.cfm?ncbi=48701","Explore in ECOTOX")</f>
        <v>Explore in ECOTOX</v>
      </c>
    </row>
    <row r="626" spans="1:19" x14ac:dyDescent="0.25">
      <c r="A626">
        <v>6</v>
      </c>
      <c r="B626" t="str">
        <f>HYPERLINK("http://www.ncbi.nlm.nih.gov/protein/XP_005806705.1","XP_005806705.1")</f>
        <v>XP_005806705.1</v>
      </c>
      <c r="C626">
        <v>43734</v>
      </c>
      <c r="D626" t="str">
        <f>HYPERLINK("http://www.ncbi.nlm.nih.gov/Taxonomy/Browser/wwwtax.cgi?mode=Info&amp;id=8083&amp;lvl=3&amp;lin=f&amp;keep=1&amp;srchmode=1&amp;unlock","8083")</f>
        <v>8083</v>
      </c>
      <c r="E626" t="s">
        <v>384</v>
      </c>
      <c r="F626" t="s">
        <v>384</v>
      </c>
      <c r="G626" t="str">
        <f>HYPERLINK("http://www.ncbi.nlm.nih.gov/Taxonomy/Browser/wwwtax.cgi?mode=Info&amp;id=8083&amp;lvl=3&amp;lin=f&amp;keep=1&amp;srchmode=1&amp;unlock","Xiphophorus maculatus")</f>
        <v>Xiphophorus maculatus</v>
      </c>
      <c r="H626" t="s">
        <v>624</v>
      </c>
      <c r="I626" t="str">
        <f>HYPERLINK("http://www.ncbi.nlm.nih.gov/protein/XP_005806705.1","androgen receptor")</f>
        <v>androgen receptor</v>
      </c>
      <c r="J626" t="s">
        <v>1261</v>
      </c>
      <c r="K626">
        <v>363.61</v>
      </c>
      <c r="L626" t="s">
        <v>25</v>
      </c>
      <c r="M626">
        <v>157</v>
      </c>
      <c r="N626">
        <v>62.55</v>
      </c>
      <c r="O626">
        <v>70.709999999999994</v>
      </c>
      <c r="P626" t="s">
        <v>20</v>
      </c>
      <c r="Q626" t="s">
        <v>1262</v>
      </c>
      <c r="R626" t="s">
        <v>20</v>
      </c>
      <c r="S626" t="str">
        <f>HYPERLINK("https://cfpub.epa.gov/ecotox/explore.cfm?ncbi=8083","Explore in ECOTOX")</f>
        <v>Explore in ECOTOX</v>
      </c>
    </row>
    <row r="627" spans="1:19" x14ac:dyDescent="0.25">
      <c r="A627">
        <v>6</v>
      </c>
      <c r="B627" t="str">
        <f>HYPERLINK("http://www.ncbi.nlm.nih.gov/protein/BAD52084.1","BAD52084.1")</f>
        <v>BAD52084.1</v>
      </c>
      <c r="C627">
        <v>19610</v>
      </c>
      <c r="D627" t="str">
        <f>HYPERLINK("http://www.ncbi.nlm.nih.gov/Taxonomy/Browser/wwwtax.cgi?mode=Info&amp;id=33528&amp;lvl=3&amp;lin=f&amp;keep=1&amp;srchmode=1&amp;unlock","33528")</f>
        <v>33528</v>
      </c>
      <c r="E627" t="s">
        <v>384</v>
      </c>
      <c r="F627" t="s">
        <v>384</v>
      </c>
      <c r="G627" t="str">
        <f>HYPERLINK("http://www.ncbi.nlm.nih.gov/Taxonomy/Browser/wwwtax.cgi?mode=Info&amp;id=33528&amp;lvl=3&amp;lin=f&amp;keep=1&amp;srchmode=1&amp;unlock","Gambusia affinis")</f>
        <v>Gambusia affinis</v>
      </c>
      <c r="H627" t="s">
        <v>569</v>
      </c>
      <c r="I627" t="str">
        <f>HYPERLINK("http://www.ncbi.nlm.nih.gov/protein/BAD52084.1","androgen receptor")</f>
        <v>androgen receptor</v>
      </c>
      <c r="J627" t="s">
        <v>1261</v>
      </c>
      <c r="K627">
        <v>363.61</v>
      </c>
      <c r="L627" t="s">
        <v>25</v>
      </c>
      <c r="M627">
        <v>157</v>
      </c>
      <c r="N627">
        <v>62.55</v>
      </c>
      <c r="O627">
        <v>70.709999999999994</v>
      </c>
      <c r="P627" t="s">
        <v>20</v>
      </c>
      <c r="Q627" t="s">
        <v>1262</v>
      </c>
      <c r="R627" t="s">
        <v>20</v>
      </c>
      <c r="S627" t="str">
        <f>HYPERLINK("https://cfpub.epa.gov/ecotox/explore.cfm?ncbi=33528","Explore in ECOTOX")</f>
        <v>Explore in ECOTOX</v>
      </c>
    </row>
    <row r="628" spans="1:19" x14ac:dyDescent="0.25">
      <c r="A628">
        <v>6</v>
      </c>
      <c r="B628" t="str">
        <f>HYPERLINK("http://www.ncbi.nlm.nih.gov/protein/XP_027887592.1","XP_027887592.1")</f>
        <v>XP_027887592.1</v>
      </c>
      <c r="C628">
        <v>47115</v>
      </c>
      <c r="D628" t="str">
        <f>HYPERLINK("http://www.ncbi.nlm.nih.gov/Taxonomy/Browser/wwwtax.cgi?mode=Info&amp;id=32473&amp;lvl=3&amp;lin=f&amp;keep=1&amp;srchmode=1&amp;unlock","32473")</f>
        <v>32473</v>
      </c>
      <c r="E628" t="s">
        <v>384</v>
      </c>
      <c r="F628" t="s">
        <v>384</v>
      </c>
      <c r="G628" t="str">
        <f>HYPERLINK("http://www.ncbi.nlm.nih.gov/Taxonomy/Browser/wwwtax.cgi?mode=Info&amp;id=32473&amp;lvl=3&amp;lin=f&amp;keep=1&amp;srchmode=1&amp;unlock","Xiphophorus couchianus")</f>
        <v>Xiphophorus couchianus</v>
      </c>
      <c r="H628" t="s">
        <v>621</v>
      </c>
      <c r="I628" t="str">
        <f>HYPERLINK("http://www.ncbi.nlm.nih.gov/protein/XP_027887592.1","androgen receptor-like")</f>
        <v>androgen receptor-like</v>
      </c>
      <c r="J628" t="s">
        <v>1261</v>
      </c>
      <c r="K628">
        <v>363.61</v>
      </c>
      <c r="L628" t="s">
        <v>25</v>
      </c>
      <c r="M628">
        <v>157</v>
      </c>
      <c r="N628">
        <v>62.55</v>
      </c>
      <c r="O628">
        <v>70.709999999999994</v>
      </c>
      <c r="P628" t="s">
        <v>20</v>
      </c>
      <c r="Q628" t="s">
        <v>1262</v>
      </c>
      <c r="R628" t="s">
        <v>20</v>
      </c>
      <c r="S628" t="str">
        <f>HYPERLINK("https://cfpub.epa.gov/ecotox/explore.cfm?ncbi=32473","Explore in ECOTOX")</f>
        <v>Explore in ECOTOX</v>
      </c>
    </row>
    <row r="629" spans="1:19" x14ac:dyDescent="0.25">
      <c r="A629">
        <v>6</v>
      </c>
      <c r="B629" t="str">
        <f>HYPERLINK("http://www.ncbi.nlm.nih.gov/protein/XP_032432731.1","XP_032432731.1")</f>
        <v>XP_032432731.1</v>
      </c>
      <c r="C629">
        <v>46452</v>
      </c>
      <c r="D629" t="str">
        <f>HYPERLINK("http://www.ncbi.nlm.nih.gov/Taxonomy/Browser/wwwtax.cgi?mode=Info&amp;id=8084&amp;lvl=3&amp;lin=f&amp;keep=1&amp;srchmode=1&amp;unlock","8084")</f>
        <v>8084</v>
      </c>
      <c r="E629" t="s">
        <v>384</v>
      </c>
      <c r="F629" t="s">
        <v>384</v>
      </c>
      <c r="G629" t="str">
        <f>HYPERLINK("http://www.ncbi.nlm.nih.gov/Taxonomy/Browser/wwwtax.cgi?mode=Info&amp;id=8084&amp;lvl=3&amp;lin=f&amp;keep=1&amp;srchmode=1&amp;unlock","Xiphophorus hellerii")</f>
        <v>Xiphophorus hellerii</v>
      </c>
      <c r="H629" t="s">
        <v>620</v>
      </c>
      <c r="I629" t="str">
        <f>HYPERLINK("http://www.ncbi.nlm.nih.gov/protein/XP_032432731.1","androgen receptor-like")</f>
        <v>androgen receptor-like</v>
      </c>
      <c r="J629" t="s">
        <v>1261</v>
      </c>
      <c r="K629">
        <v>363.61</v>
      </c>
      <c r="L629" t="s">
        <v>25</v>
      </c>
      <c r="M629">
        <v>157</v>
      </c>
      <c r="N629">
        <v>62.55</v>
      </c>
      <c r="O629">
        <v>70.709999999999994</v>
      </c>
      <c r="P629" t="s">
        <v>20</v>
      </c>
      <c r="Q629" t="s">
        <v>1262</v>
      </c>
      <c r="R629" t="s">
        <v>20</v>
      </c>
      <c r="S629" t="str">
        <f>HYPERLINK("https://cfpub.epa.gov/ecotox/explore.cfm?ncbi=8084","Explore in ECOTOX")</f>
        <v>Explore in ECOTOX</v>
      </c>
    </row>
    <row r="630" spans="1:19" x14ac:dyDescent="0.25">
      <c r="A630">
        <v>6</v>
      </c>
      <c r="B630" t="str">
        <f>HYPERLINK("http://www.ncbi.nlm.nih.gov/protein/XP_008425737.1","XP_008425737.1")</f>
        <v>XP_008425737.1</v>
      </c>
      <c r="C630">
        <v>45406</v>
      </c>
      <c r="D630" t="str">
        <f>HYPERLINK("http://www.ncbi.nlm.nih.gov/Taxonomy/Browser/wwwtax.cgi?mode=Info&amp;id=8081&amp;lvl=3&amp;lin=f&amp;keep=1&amp;srchmode=1&amp;unlock","8081")</f>
        <v>8081</v>
      </c>
      <c r="E630" t="s">
        <v>384</v>
      </c>
      <c r="F630" t="s">
        <v>384</v>
      </c>
      <c r="G630" t="str">
        <f>HYPERLINK("http://www.ncbi.nlm.nih.gov/Taxonomy/Browser/wwwtax.cgi?mode=Info&amp;id=8081&amp;lvl=3&amp;lin=f&amp;keep=1&amp;srchmode=1&amp;unlock","Poecilia reticulata")</f>
        <v>Poecilia reticulata</v>
      </c>
      <c r="H630" t="s">
        <v>631</v>
      </c>
      <c r="I630" t="str">
        <f>HYPERLINK("http://www.ncbi.nlm.nih.gov/protein/XP_008425737.1","PREDICTED: androgen receptor-like isoform X1")</f>
        <v>PREDICTED: androgen receptor-like isoform X1</v>
      </c>
      <c r="J630" t="s">
        <v>1261</v>
      </c>
      <c r="K630">
        <v>363.61</v>
      </c>
      <c r="L630" t="s">
        <v>25</v>
      </c>
      <c r="M630">
        <v>157</v>
      </c>
      <c r="N630">
        <v>62.55</v>
      </c>
      <c r="O630">
        <v>70.709999999999994</v>
      </c>
      <c r="P630" t="s">
        <v>20</v>
      </c>
      <c r="Q630" t="s">
        <v>1262</v>
      </c>
      <c r="R630" t="s">
        <v>20</v>
      </c>
      <c r="S630" t="str">
        <f>HYPERLINK("https://cfpub.epa.gov/ecotox/explore.cfm?ncbi=8081","Explore in ECOTOX")</f>
        <v>Explore in ECOTOX</v>
      </c>
    </row>
    <row r="631" spans="1:19" x14ac:dyDescent="0.25">
      <c r="A631">
        <v>6</v>
      </c>
      <c r="B631" t="str">
        <f>HYPERLINK("http://www.ncbi.nlm.nih.gov/protein/ADD52201.1","ADD52201.1")</f>
        <v>ADD52201.1</v>
      </c>
      <c r="C631">
        <v>334</v>
      </c>
      <c r="D631" t="str">
        <f>HYPERLINK("http://www.ncbi.nlm.nih.gov/Taxonomy/Browser/wwwtax.cgi?mode=Info&amp;id=48668&amp;lvl=3&amp;lin=f&amp;keep=1&amp;srchmode=1&amp;unlock","48668")</f>
        <v>48668</v>
      </c>
      <c r="E631" t="s">
        <v>384</v>
      </c>
      <c r="F631" t="s">
        <v>384</v>
      </c>
      <c r="G631" t="str">
        <f>HYPERLINK("http://www.ncbi.nlm.nih.gov/Taxonomy/Browser/wwwtax.cgi?mode=Info&amp;id=48668&amp;lvl=3&amp;lin=f&amp;keep=1&amp;srchmode=1&amp;unlock","Rutilus rutilus")</f>
        <v>Rutilus rutilus</v>
      </c>
      <c r="H631" t="s">
        <v>1019</v>
      </c>
      <c r="I631" t="str">
        <f>HYPERLINK("http://www.ncbi.nlm.nih.gov/protein/ADD52201.1","androgen receptor, partial")</f>
        <v>androgen receptor, partial</v>
      </c>
      <c r="J631" t="s">
        <v>1261</v>
      </c>
      <c r="K631">
        <v>363.61</v>
      </c>
      <c r="L631" t="s">
        <v>25</v>
      </c>
      <c r="M631">
        <v>157</v>
      </c>
      <c r="N631">
        <v>62.55</v>
      </c>
      <c r="O631">
        <v>70.709999999999994</v>
      </c>
      <c r="P631" t="s">
        <v>20</v>
      </c>
      <c r="Q631" t="s">
        <v>1262</v>
      </c>
      <c r="R631" t="s">
        <v>20</v>
      </c>
      <c r="S631" t="str">
        <f>HYPERLINK("https://cfpub.epa.gov/ecotox/explore.cfm?ncbi=48668","Explore in ECOTOX")</f>
        <v>Explore in ECOTOX</v>
      </c>
    </row>
    <row r="632" spans="1:19" x14ac:dyDescent="0.25">
      <c r="A632">
        <v>6</v>
      </c>
      <c r="B632" t="str">
        <f>HYPERLINK("http://www.ncbi.nlm.nih.gov/protein/AAO83572.1","AAO83572.1")</f>
        <v>AAO83572.1</v>
      </c>
      <c r="C632">
        <v>2306</v>
      </c>
      <c r="D632" t="str">
        <f>HYPERLINK("http://www.ncbi.nlm.nih.gov/Taxonomy/Browser/wwwtax.cgi?mode=Info&amp;id=69293&amp;lvl=3&amp;lin=f&amp;keep=1&amp;srchmode=1&amp;unlock","69293")</f>
        <v>69293</v>
      </c>
      <c r="E632" t="s">
        <v>384</v>
      </c>
      <c r="F632" t="s">
        <v>384</v>
      </c>
      <c r="G632" t="str">
        <f>HYPERLINK("http://www.ncbi.nlm.nih.gov/Taxonomy/Browser/wwwtax.cgi?mode=Info&amp;id=69293&amp;lvl=3&amp;lin=f&amp;keep=1&amp;srchmode=1&amp;unlock","Gasterosteus aculeatus")</f>
        <v>Gasterosteus aculeatus</v>
      </c>
      <c r="H632" t="s">
        <v>605</v>
      </c>
      <c r="I632" t="str">
        <f>HYPERLINK("http://www.ncbi.nlm.nih.gov/protein/AAO83572.1","androgen receptor beta 2, partial")</f>
        <v>androgen receptor beta 2, partial</v>
      </c>
      <c r="J632" t="s">
        <v>1261</v>
      </c>
      <c r="K632">
        <v>363.23</v>
      </c>
      <c r="L632" t="s">
        <v>25</v>
      </c>
      <c r="M632">
        <v>157</v>
      </c>
      <c r="N632">
        <v>62.55</v>
      </c>
      <c r="O632">
        <v>70.64</v>
      </c>
      <c r="P632" t="s">
        <v>20</v>
      </c>
      <c r="Q632" t="s">
        <v>1262</v>
      </c>
      <c r="R632" t="s">
        <v>20</v>
      </c>
      <c r="S632" t="str">
        <f>HYPERLINK("https://cfpub.epa.gov/ecotox/explore.cfm?ncbi=69293","Explore in ECOTOX")</f>
        <v>Explore in ECOTOX</v>
      </c>
    </row>
    <row r="633" spans="1:19" x14ac:dyDescent="0.25">
      <c r="A633">
        <v>6</v>
      </c>
      <c r="B633" t="str">
        <f>HYPERLINK("http://www.ncbi.nlm.nih.gov/protein/XP_034407052.1","XP_034407052.1")</f>
        <v>XP_034407052.1</v>
      </c>
      <c r="C633">
        <v>38712</v>
      </c>
      <c r="D633" t="str">
        <f>HYPERLINK("http://www.ncbi.nlm.nih.gov/Taxonomy/Browser/wwwtax.cgi?mode=Info&amp;id=8103&amp;lvl=3&amp;lin=f&amp;keep=1&amp;srchmode=1&amp;unlock","8103")</f>
        <v>8103</v>
      </c>
      <c r="E633" t="s">
        <v>384</v>
      </c>
      <c r="F633" t="s">
        <v>384</v>
      </c>
      <c r="G633" t="str">
        <f>HYPERLINK("http://www.ncbi.nlm.nih.gov/Taxonomy/Browser/wwwtax.cgi?mode=Info&amp;id=8103&amp;lvl=3&amp;lin=f&amp;keep=1&amp;srchmode=1&amp;unlock","Cyclopterus lumpus")</f>
        <v>Cyclopterus lumpus</v>
      </c>
      <c r="H633" t="s">
        <v>481</v>
      </c>
      <c r="I633" t="str">
        <f>HYPERLINK("http://www.ncbi.nlm.nih.gov/protein/XP_034407052.1","androgen receptor-like isoform X1")</f>
        <v>androgen receptor-like isoform X1</v>
      </c>
      <c r="J633" t="s">
        <v>1261</v>
      </c>
      <c r="K633">
        <v>363.23</v>
      </c>
      <c r="L633" t="s">
        <v>25</v>
      </c>
      <c r="M633">
        <v>157</v>
      </c>
      <c r="N633">
        <v>62.55</v>
      </c>
      <c r="O633">
        <v>70.64</v>
      </c>
      <c r="P633" t="s">
        <v>20</v>
      </c>
      <c r="Q633" t="s">
        <v>1262</v>
      </c>
      <c r="R633" t="s">
        <v>20</v>
      </c>
      <c r="S633" t="str">
        <f>HYPERLINK("https://cfpub.epa.gov/ecotox/explore.cfm?ncbi=8103","Explore in ECOTOX")</f>
        <v>Explore in ECOTOX</v>
      </c>
    </row>
    <row r="634" spans="1:19" x14ac:dyDescent="0.25">
      <c r="A634">
        <v>6</v>
      </c>
      <c r="B634" t="str">
        <f>HYPERLINK("http://www.ncbi.nlm.nih.gov/protein/ADQ43815.1","ADQ43815.1")</f>
        <v>ADQ43815.1</v>
      </c>
      <c r="C634">
        <v>1801</v>
      </c>
      <c r="D634" t="str">
        <f>HYPERLINK("http://www.ncbi.nlm.nih.gov/Taxonomy/Browser/wwwtax.cgi?mode=Info&amp;id=94232&amp;lvl=3&amp;lin=f&amp;keep=1&amp;srchmode=1&amp;unlock","94232")</f>
        <v>94232</v>
      </c>
      <c r="E634" t="s">
        <v>384</v>
      </c>
      <c r="F634" t="s">
        <v>384</v>
      </c>
      <c r="G634" t="str">
        <f>HYPERLINK("http://www.ncbi.nlm.nih.gov/Taxonomy/Browser/wwwtax.cgi?mode=Info&amp;id=94232&amp;lvl=3&amp;lin=f&amp;keep=1&amp;srchmode=1&amp;unlock","Epinephelus coioides")</f>
        <v>Epinephelus coioides</v>
      </c>
      <c r="H634" t="s">
        <v>558</v>
      </c>
      <c r="I634" t="str">
        <f>HYPERLINK("http://www.ncbi.nlm.nih.gov/protein/ADQ43815.1","androgen receptor")</f>
        <v>androgen receptor</v>
      </c>
      <c r="J634" t="s">
        <v>1261</v>
      </c>
      <c r="K634">
        <v>363.23</v>
      </c>
      <c r="L634" t="s">
        <v>25</v>
      </c>
      <c r="M634">
        <v>157</v>
      </c>
      <c r="N634">
        <v>62.55</v>
      </c>
      <c r="O634">
        <v>70.64</v>
      </c>
      <c r="P634" t="s">
        <v>20</v>
      </c>
      <c r="Q634" t="s">
        <v>1262</v>
      </c>
      <c r="R634" t="s">
        <v>20</v>
      </c>
      <c r="S634" t="str">
        <f>HYPERLINK("https://cfpub.epa.gov/ecotox/explore.cfm?ncbi=94232","Explore in ECOTOX")</f>
        <v>Explore in ECOTOX</v>
      </c>
    </row>
    <row r="635" spans="1:19" x14ac:dyDescent="0.25">
      <c r="A635">
        <v>6</v>
      </c>
      <c r="B635" t="str">
        <f>HYPERLINK("http://www.ncbi.nlm.nih.gov/protein/KAF3705889.1","KAF3705889.1")</f>
        <v>KAF3705889.1</v>
      </c>
      <c r="C635">
        <v>22736</v>
      </c>
      <c r="D635" t="str">
        <f>HYPERLINK("http://www.ncbi.nlm.nih.gov/Taxonomy/Browser/wwwtax.cgi?mode=Info&amp;id=215402&amp;lvl=3&amp;lin=f&amp;keep=1&amp;srchmode=1&amp;unlock","215402")</f>
        <v>215402</v>
      </c>
      <c r="E635" t="s">
        <v>384</v>
      </c>
      <c r="F635" t="s">
        <v>384</v>
      </c>
      <c r="G635" t="str">
        <f>HYPERLINK("http://www.ncbi.nlm.nih.gov/Taxonomy/Browser/wwwtax.cgi?mode=Info&amp;id=215402&amp;lvl=3&amp;lin=f&amp;keep=1&amp;srchmode=1&amp;unlock","Channa argus")</f>
        <v>Channa argus</v>
      </c>
      <c r="H635" t="s">
        <v>683</v>
      </c>
      <c r="I635" t="str">
        <f>HYPERLINK("http://www.ncbi.nlm.nih.gov/protein/KAF3705889.1","Androgen receptor Dihydrotestosterone receptor Nuclear receptor subfamily 3 group C member 4")</f>
        <v>Androgen receptor Dihydrotestosterone receptor Nuclear receptor subfamily 3 group C member 4</v>
      </c>
      <c r="J635" t="s">
        <v>1261</v>
      </c>
      <c r="K635">
        <v>362.84</v>
      </c>
      <c r="L635" t="s">
        <v>25</v>
      </c>
      <c r="M635">
        <v>157</v>
      </c>
      <c r="N635">
        <v>62.55</v>
      </c>
      <c r="O635">
        <v>70.56</v>
      </c>
      <c r="P635" t="s">
        <v>20</v>
      </c>
      <c r="Q635" t="s">
        <v>1262</v>
      </c>
      <c r="R635" t="s">
        <v>20</v>
      </c>
      <c r="S635" t="str">
        <f>HYPERLINK("https://cfpub.epa.gov/ecotox/explore.cfm?ncbi=215402","Explore in ECOTOX")</f>
        <v>Explore in ECOTOX</v>
      </c>
    </row>
    <row r="636" spans="1:19" x14ac:dyDescent="0.25">
      <c r="A636">
        <v>6</v>
      </c>
      <c r="B636" t="str">
        <f>HYPERLINK("http://www.ncbi.nlm.nih.gov/protein/XP_004557452.2","XP_004557452.2")</f>
        <v>XP_004557452.2</v>
      </c>
      <c r="C636">
        <v>46437</v>
      </c>
      <c r="D636" t="str">
        <f>HYPERLINK("http://www.ncbi.nlm.nih.gov/Taxonomy/Browser/wwwtax.cgi?mode=Info&amp;id=106582&amp;lvl=3&amp;lin=f&amp;keep=1&amp;srchmode=1&amp;unlock","106582")</f>
        <v>106582</v>
      </c>
      <c r="E636" t="s">
        <v>384</v>
      </c>
      <c r="F636" t="s">
        <v>384</v>
      </c>
      <c r="G636" t="str">
        <f>HYPERLINK("http://www.ncbi.nlm.nih.gov/Taxonomy/Browser/wwwtax.cgi?mode=Info&amp;id=106582&amp;lvl=3&amp;lin=f&amp;keep=1&amp;srchmode=1&amp;unlock","Maylandia zebra")</f>
        <v>Maylandia zebra</v>
      </c>
      <c r="H636" t="s">
        <v>641</v>
      </c>
      <c r="I636" t="str">
        <f>HYPERLINK("http://www.ncbi.nlm.nih.gov/protein/XP_004557452.2","androgen receptor")</f>
        <v>androgen receptor</v>
      </c>
      <c r="J636" t="s">
        <v>1261</v>
      </c>
      <c r="K636">
        <v>362.46</v>
      </c>
      <c r="L636" t="s">
        <v>25</v>
      </c>
      <c r="M636">
        <v>157</v>
      </c>
      <c r="N636">
        <v>62.55</v>
      </c>
      <c r="O636">
        <v>70.489999999999995</v>
      </c>
      <c r="P636" t="s">
        <v>20</v>
      </c>
      <c r="Q636" t="s">
        <v>1262</v>
      </c>
      <c r="R636" t="s">
        <v>20</v>
      </c>
      <c r="S636" t="str">
        <f>HYPERLINK("https://cfpub.epa.gov/ecotox/explore.cfm?ncbi=106582","Explore in ECOTOX")</f>
        <v>Explore in ECOTOX</v>
      </c>
    </row>
    <row r="637" spans="1:19" x14ac:dyDescent="0.25">
      <c r="A637">
        <v>6</v>
      </c>
      <c r="B637" t="str">
        <f>HYPERLINK("http://www.ncbi.nlm.nih.gov/protein/XP_031712793.1","XP_031712793.1")</f>
        <v>XP_031712793.1</v>
      </c>
      <c r="C637">
        <v>41911</v>
      </c>
      <c r="D637" t="str">
        <f>HYPERLINK("http://www.ncbi.nlm.nih.gov/Taxonomy/Browser/wwwtax.cgi?mode=Info&amp;id=433405&amp;lvl=3&amp;lin=f&amp;keep=1&amp;srchmode=1&amp;unlock","433405")</f>
        <v>433405</v>
      </c>
      <c r="E637" t="s">
        <v>384</v>
      </c>
      <c r="F637" t="s">
        <v>384</v>
      </c>
      <c r="G637" t="str">
        <f>HYPERLINK("http://www.ncbi.nlm.nih.gov/Taxonomy/Browser/wwwtax.cgi?mode=Info&amp;id=433405&amp;lvl=3&amp;lin=f&amp;keep=1&amp;srchmode=1&amp;unlock","Anarrhichthys ocellatus")</f>
        <v>Anarrhichthys ocellatus</v>
      </c>
      <c r="H637" t="s">
        <v>536</v>
      </c>
      <c r="I637" t="str">
        <f>HYPERLINK("http://www.ncbi.nlm.nih.gov/protein/XP_031712793.1","androgen receptor-like")</f>
        <v>androgen receptor-like</v>
      </c>
      <c r="J637" t="s">
        <v>1261</v>
      </c>
      <c r="K637">
        <v>362.46</v>
      </c>
      <c r="L637" t="s">
        <v>25</v>
      </c>
      <c r="M637">
        <v>157</v>
      </c>
      <c r="N637">
        <v>62.55</v>
      </c>
      <c r="O637">
        <v>70.489999999999995</v>
      </c>
      <c r="P637" t="s">
        <v>20</v>
      </c>
      <c r="Q637" t="s">
        <v>1262</v>
      </c>
      <c r="R637" t="s">
        <v>20</v>
      </c>
      <c r="S637" t="str">
        <f>HYPERLINK("https://cfpub.epa.gov/ecotox/explore.cfm?ncbi=433405","Explore in ECOTOX")</f>
        <v>Explore in ECOTOX</v>
      </c>
    </row>
    <row r="638" spans="1:19" x14ac:dyDescent="0.25">
      <c r="A638">
        <v>6</v>
      </c>
      <c r="B638" t="str">
        <f>HYPERLINK("http://www.ncbi.nlm.nih.gov/protein/XP_033465903.1","XP_033465903.1")</f>
        <v>XP_033465903.1</v>
      </c>
      <c r="C638">
        <v>43073</v>
      </c>
      <c r="D638" t="str">
        <f>HYPERLINK("http://www.ncbi.nlm.nih.gov/Taxonomy/Browser/wwwtax.cgi?mode=Info&amp;id=310571&amp;lvl=3&amp;lin=f&amp;keep=1&amp;srchmode=1&amp;unlock","310571")</f>
        <v>310571</v>
      </c>
      <c r="E638" t="s">
        <v>384</v>
      </c>
      <c r="F638" t="s">
        <v>384</v>
      </c>
      <c r="G638" t="str">
        <f>HYPERLINK("http://www.ncbi.nlm.nih.gov/Taxonomy/Browser/wwwtax.cgi?mode=Info&amp;id=310571&amp;lvl=3&amp;lin=f&amp;keep=1&amp;srchmode=1&amp;unlock","Epinephelus lanceolatus")</f>
        <v>Epinephelus lanceolatus</v>
      </c>
      <c r="H638" t="s">
        <v>515</v>
      </c>
      <c r="I638" t="str">
        <f>HYPERLINK("http://www.ncbi.nlm.nih.gov/protein/XP_033465903.1","androgen receptor-like")</f>
        <v>androgen receptor-like</v>
      </c>
      <c r="J638" t="s">
        <v>1261</v>
      </c>
      <c r="K638">
        <v>362.46</v>
      </c>
      <c r="L638" t="s">
        <v>25</v>
      </c>
      <c r="M638">
        <v>157</v>
      </c>
      <c r="N638">
        <v>62.55</v>
      </c>
      <c r="O638">
        <v>70.489999999999995</v>
      </c>
      <c r="P638" t="s">
        <v>20</v>
      </c>
      <c r="Q638" t="s">
        <v>1262</v>
      </c>
      <c r="R638" t="s">
        <v>20</v>
      </c>
      <c r="S638" t="str">
        <f>HYPERLINK("https://cfpub.epa.gov/ecotox/explore.cfm?ncbi=310571","Explore in ECOTOX")</f>
        <v>Explore in ECOTOX</v>
      </c>
    </row>
    <row r="639" spans="1:19" x14ac:dyDescent="0.25">
      <c r="A639">
        <v>6</v>
      </c>
      <c r="B639" t="str">
        <f>HYPERLINK("http://www.ncbi.nlm.nih.gov/protein/XP_006799593.1","XP_006799593.1")</f>
        <v>XP_006799593.1</v>
      </c>
      <c r="C639">
        <v>36437</v>
      </c>
      <c r="D639" t="str">
        <f>HYPERLINK("http://www.ncbi.nlm.nih.gov/Taxonomy/Browser/wwwtax.cgi?mode=Info&amp;id=32507&amp;lvl=3&amp;lin=f&amp;keep=1&amp;srchmode=1&amp;unlock","32507")</f>
        <v>32507</v>
      </c>
      <c r="E639" t="s">
        <v>384</v>
      </c>
      <c r="F639" t="s">
        <v>384</v>
      </c>
      <c r="G639" t="str">
        <f>HYPERLINK("http://www.ncbi.nlm.nih.gov/Taxonomy/Browser/wwwtax.cgi?mode=Info&amp;id=32507&amp;lvl=3&amp;lin=f&amp;keep=1&amp;srchmode=1&amp;unlock","Neolamprologus brichardi")</f>
        <v>Neolamprologus brichardi</v>
      </c>
      <c r="H639" t="s">
        <v>635</v>
      </c>
      <c r="I639" t="str">
        <f>HYPERLINK("http://www.ncbi.nlm.nih.gov/protein/XP_006799593.1","androgen receptor-like")</f>
        <v>androgen receptor-like</v>
      </c>
      <c r="J639" t="s">
        <v>1261</v>
      </c>
      <c r="K639">
        <v>362.46</v>
      </c>
      <c r="L639" t="s">
        <v>25</v>
      </c>
      <c r="M639">
        <v>157</v>
      </c>
      <c r="N639">
        <v>62.55</v>
      </c>
      <c r="O639">
        <v>70.489999999999995</v>
      </c>
      <c r="P639" t="s">
        <v>20</v>
      </c>
      <c r="Q639" t="s">
        <v>1262</v>
      </c>
      <c r="R639" t="s">
        <v>20</v>
      </c>
      <c r="S639" t="str">
        <f>HYPERLINK("https://cfpub.epa.gov/ecotox/explore.cfm?ncbi=32507","Explore in ECOTOX")</f>
        <v>Explore in ECOTOX</v>
      </c>
    </row>
    <row r="640" spans="1:19" x14ac:dyDescent="0.25">
      <c r="A640">
        <v>6</v>
      </c>
      <c r="B640" t="str">
        <f>HYPERLINK("http://www.ncbi.nlm.nih.gov/protein/AIQ77651.1","AIQ77651.1")</f>
        <v>AIQ77651.1</v>
      </c>
      <c r="C640">
        <v>89392</v>
      </c>
      <c r="D640" t="str">
        <f>HYPERLINK("http://www.ncbi.nlm.nih.gov/Taxonomy/Browser/wwwtax.cgi?mode=Info&amp;id=7906&amp;lvl=3&amp;lin=f&amp;keep=1&amp;srchmode=1&amp;unlock","7906")</f>
        <v>7906</v>
      </c>
      <c r="E640" t="s">
        <v>384</v>
      </c>
      <c r="F640" t="s">
        <v>384</v>
      </c>
      <c r="G640" t="str">
        <f>HYPERLINK("http://www.ncbi.nlm.nih.gov/Taxonomy/Browser/wwwtax.cgi?mode=Info&amp;id=7906&amp;lvl=3&amp;lin=f&amp;keep=1&amp;srchmode=1&amp;unlock","Acipenser ruthenus")</f>
        <v>Acipenser ruthenus</v>
      </c>
      <c r="H640" t="s">
        <v>512</v>
      </c>
      <c r="I640" t="str">
        <f>HYPERLINK("http://www.ncbi.nlm.nih.gov/protein/AIQ77651.1","androgen receptor")</f>
        <v>androgen receptor</v>
      </c>
      <c r="J640" t="s">
        <v>1261</v>
      </c>
      <c r="K640">
        <v>362.07</v>
      </c>
      <c r="L640" t="s">
        <v>25</v>
      </c>
      <c r="M640">
        <v>157</v>
      </c>
      <c r="N640">
        <v>62.55</v>
      </c>
      <c r="O640">
        <v>70.41</v>
      </c>
      <c r="P640" t="s">
        <v>20</v>
      </c>
      <c r="Q640" t="s">
        <v>1262</v>
      </c>
      <c r="R640" t="s">
        <v>20</v>
      </c>
      <c r="S640" t="str">
        <f>HYPERLINK("https://cfpub.epa.gov/ecotox/explore.cfm?ncbi=7906","Explore in ECOTOX")</f>
        <v>Explore in ECOTOX</v>
      </c>
    </row>
    <row r="641" spans="1:19" x14ac:dyDescent="0.25">
      <c r="A641">
        <v>6</v>
      </c>
      <c r="B641" t="str">
        <f>HYPERLINK("http://www.ncbi.nlm.nih.gov/protein/XP_026039080.1","XP_026039080.1")</f>
        <v>XP_026039080.1</v>
      </c>
      <c r="C641">
        <v>52755</v>
      </c>
      <c r="D641" t="str">
        <f>HYPERLINK("http://www.ncbi.nlm.nih.gov/Taxonomy/Browser/wwwtax.cgi?mode=Info&amp;id=8154&amp;lvl=3&amp;lin=f&amp;keep=1&amp;srchmode=1&amp;unlock","8154")</f>
        <v>8154</v>
      </c>
      <c r="E641" t="s">
        <v>384</v>
      </c>
      <c r="F641" t="s">
        <v>384</v>
      </c>
      <c r="G641" t="str">
        <f>HYPERLINK("http://www.ncbi.nlm.nih.gov/Taxonomy/Browser/wwwtax.cgi?mode=Info&amp;id=8154&amp;lvl=3&amp;lin=f&amp;keep=1&amp;srchmode=1&amp;unlock","Astatotilapia calliptera")</f>
        <v>Astatotilapia calliptera</v>
      </c>
      <c r="H641" t="s">
        <v>640</v>
      </c>
      <c r="I641" t="str">
        <f>HYPERLINK("http://www.ncbi.nlm.nih.gov/protein/XP_026039080.1","androgen receptor-like")</f>
        <v>androgen receptor-like</v>
      </c>
      <c r="J641" t="s">
        <v>1261</v>
      </c>
      <c r="K641">
        <v>362.07</v>
      </c>
      <c r="L641" t="s">
        <v>25</v>
      </c>
      <c r="M641">
        <v>157</v>
      </c>
      <c r="N641">
        <v>62.55</v>
      </c>
      <c r="O641">
        <v>70.41</v>
      </c>
      <c r="P641" t="s">
        <v>20</v>
      </c>
      <c r="Q641" t="s">
        <v>1262</v>
      </c>
      <c r="R641" t="s">
        <v>20</v>
      </c>
      <c r="S641" t="str">
        <f>HYPERLINK("https://cfpub.epa.gov/ecotox/explore.cfm?ncbi=8154","Explore in ECOTOX")</f>
        <v>Explore in ECOTOX</v>
      </c>
    </row>
    <row r="642" spans="1:19" x14ac:dyDescent="0.25">
      <c r="A642">
        <v>6</v>
      </c>
      <c r="B642" t="str">
        <f>HYPERLINK("http://www.ncbi.nlm.nih.gov/protein/XP_005737903.1","XP_005737903.1")</f>
        <v>XP_005737903.1</v>
      </c>
      <c r="C642">
        <v>38743</v>
      </c>
      <c r="D642" t="str">
        <f>HYPERLINK("http://www.ncbi.nlm.nih.gov/Taxonomy/Browser/wwwtax.cgi?mode=Info&amp;id=303518&amp;lvl=3&amp;lin=f&amp;keep=1&amp;srchmode=1&amp;unlock","303518")</f>
        <v>303518</v>
      </c>
      <c r="E642" t="s">
        <v>384</v>
      </c>
      <c r="F642" t="s">
        <v>384</v>
      </c>
      <c r="G642" t="str">
        <f>HYPERLINK("http://www.ncbi.nlm.nih.gov/Taxonomy/Browser/wwwtax.cgi?mode=Info&amp;id=303518&amp;lvl=3&amp;lin=f&amp;keep=1&amp;srchmode=1&amp;unlock","Pundamilia nyererei")</f>
        <v>Pundamilia nyererei</v>
      </c>
      <c r="H642" t="s">
        <v>637</v>
      </c>
      <c r="I642" t="str">
        <f>HYPERLINK("http://www.ncbi.nlm.nih.gov/protein/XP_005737903.1","PREDICTED: androgen receptor")</f>
        <v>PREDICTED: androgen receptor</v>
      </c>
      <c r="J642" t="s">
        <v>1261</v>
      </c>
      <c r="K642">
        <v>362.07</v>
      </c>
      <c r="L642" t="s">
        <v>25</v>
      </c>
      <c r="M642">
        <v>157</v>
      </c>
      <c r="N642">
        <v>62.55</v>
      </c>
      <c r="O642">
        <v>70.41</v>
      </c>
      <c r="P642" t="s">
        <v>20</v>
      </c>
      <c r="Q642" t="s">
        <v>1262</v>
      </c>
      <c r="R642" t="s">
        <v>20</v>
      </c>
      <c r="S642" t="str">
        <f>HYPERLINK("https://cfpub.epa.gov/ecotox/explore.cfm?ncbi=303518","Explore in ECOTOX")</f>
        <v>Explore in ECOTOX</v>
      </c>
    </row>
    <row r="643" spans="1:19" x14ac:dyDescent="0.25">
      <c r="A643">
        <v>6</v>
      </c>
      <c r="B643" t="str">
        <f>HYPERLINK("http://www.ncbi.nlm.nih.gov/protein/BAI49424.1","BAI49424.1")</f>
        <v>BAI49424.1</v>
      </c>
      <c r="C643">
        <v>6</v>
      </c>
      <c r="D643" t="str">
        <f>HYPERLINK("http://www.ncbi.nlm.nih.gov/Taxonomy/Browser/wwwtax.cgi?mode=Info&amp;id=328639&amp;lvl=3&amp;lin=f&amp;keep=1&amp;srchmode=1&amp;unlock","328639")</f>
        <v>328639</v>
      </c>
      <c r="E643" t="s">
        <v>384</v>
      </c>
      <c r="F643" t="s">
        <v>384</v>
      </c>
      <c r="G643" t="str">
        <f>HYPERLINK("http://www.ncbi.nlm.nih.gov/Taxonomy/Browser/wwwtax.cgi?mode=Info&amp;id=328639&amp;lvl=3&amp;lin=f&amp;keep=1&amp;srchmode=1&amp;unlock","Acipenser ruthenus x Huso huso")</f>
        <v>Acipenser ruthenus x Huso huso</v>
      </c>
      <c r="H643" t="s">
        <v>1012</v>
      </c>
      <c r="I643" t="str">
        <f>HYPERLINK("http://www.ncbi.nlm.nih.gov/protein/BAI49424.1","androgen receptor")</f>
        <v>androgen receptor</v>
      </c>
      <c r="J643" t="s">
        <v>1261</v>
      </c>
      <c r="K643">
        <v>362.07</v>
      </c>
      <c r="L643" t="s">
        <v>25</v>
      </c>
      <c r="M643">
        <v>157</v>
      </c>
      <c r="N643">
        <v>62.55</v>
      </c>
      <c r="O643">
        <v>70.41</v>
      </c>
      <c r="P643" t="s">
        <v>20</v>
      </c>
      <c r="Q643" t="s">
        <v>1262</v>
      </c>
      <c r="R643" t="s">
        <v>20</v>
      </c>
      <c r="S643" t="str">
        <f>HYPERLINK("https://cfpub.epa.gov/ecotox/explore.cfm?ncbi=328639","Explore in ECOTOX")</f>
        <v>Explore in ECOTOX</v>
      </c>
    </row>
    <row r="644" spans="1:19" x14ac:dyDescent="0.25">
      <c r="A644">
        <v>6</v>
      </c>
      <c r="B644" t="str">
        <f>HYPERLINK("http://www.ncbi.nlm.nih.gov/protein/NP_001273260.1","NP_001273260.1")</f>
        <v>NP_001273260.1</v>
      </c>
      <c r="C644">
        <v>45053</v>
      </c>
      <c r="D644" t="str">
        <f>HYPERLINK("http://www.ncbi.nlm.nih.gov/Taxonomy/Browser/wwwtax.cgi?mode=Info&amp;id=8153&amp;lvl=3&amp;lin=f&amp;keep=1&amp;srchmode=1&amp;unlock","8153")</f>
        <v>8153</v>
      </c>
      <c r="E644" t="s">
        <v>384</v>
      </c>
      <c r="F644" t="s">
        <v>384</v>
      </c>
      <c r="G644" t="str">
        <f>HYPERLINK("http://www.ncbi.nlm.nih.gov/Taxonomy/Browser/wwwtax.cgi?mode=Info&amp;id=8153&amp;lvl=3&amp;lin=f&amp;keep=1&amp;srchmode=1&amp;unlock","Haplochromis burtoni")</f>
        <v>Haplochromis burtoni</v>
      </c>
      <c r="H644" t="s">
        <v>639</v>
      </c>
      <c r="I644" t="str">
        <f>HYPERLINK("http://www.ncbi.nlm.nih.gov/protein/NP_001273260.1","androgen receptor-like")</f>
        <v>androgen receptor-like</v>
      </c>
      <c r="J644" t="s">
        <v>1261</v>
      </c>
      <c r="K644">
        <v>362.07</v>
      </c>
      <c r="L644" t="s">
        <v>25</v>
      </c>
      <c r="M644">
        <v>157</v>
      </c>
      <c r="N644">
        <v>62.55</v>
      </c>
      <c r="O644">
        <v>70.41</v>
      </c>
      <c r="P644" t="s">
        <v>20</v>
      </c>
      <c r="Q644" t="s">
        <v>1262</v>
      </c>
      <c r="R644" t="s">
        <v>20</v>
      </c>
      <c r="S644" t="str">
        <f>HYPERLINK("https://cfpub.epa.gov/ecotox/explore.cfm?ncbi=8153","Explore in ECOTOX")</f>
        <v>Explore in ECOTOX</v>
      </c>
    </row>
    <row r="645" spans="1:19" x14ac:dyDescent="0.25">
      <c r="A645">
        <v>6</v>
      </c>
      <c r="B645" t="str">
        <f>HYPERLINK("http://www.ncbi.nlm.nih.gov/protein/ABY59993.1","ABY59993.1")</f>
        <v>ABY59993.1</v>
      </c>
      <c r="C645">
        <v>361</v>
      </c>
      <c r="D645" t="str">
        <f>HYPERLINK("http://www.ncbi.nlm.nih.gov/Taxonomy/Browser/wwwtax.cgi?mode=Info&amp;id=8404&amp;lvl=3&amp;lin=f&amp;keep=1&amp;srchmode=1&amp;unlock","8404")</f>
        <v>8404</v>
      </c>
      <c r="E645" t="s">
        <v>134</v>
      </c>
      <c r="F645" t="s">
        <v>134</v>
      </c>
      <c r="G645" t="str">
        <f>HYPERLINK("http://www.ncbi.nlm.nih.gov/Taxonomy/Browser/wwwtax.cgi?mode=Info&amp;id=8404&amp;lvl=3&amp;lin=f&amp;keep=1&amp;srchmode=1&amp;unlock","Lithobates pipiens")</f>
        <v>Lithobates pipiens</v>
      </c>
      <c r="H645" t="s">
        <v>1022</v>
      </c>
      <c r="I645" t="str">
        <f>HYPERLINK("http://www.ncbi.nlm.nih.gov/protein/ABY59993.1","androgen receptor, partial")</f>
        <v>androgen receptor, partial</v>
      </c>
      <c r="J645" t="s">
        <v>1261</v>
      </c>
      <c r="K645">
        <v>362.07</v>
      </c>
      <c r="L645" t="s">
        <v>25</v>
      </c>
      <c r="M645">
        <v>157</v>
      </c>
      <c r="N645">
        <v>62.55</v>
      </c>
      <c r="O645">
        <v>70.41</v>
      </c>
      <c r="P645" t="s">
        <v>20</v>
      </c>
      <c r="Q645" t="s">
        <v>1262</v>
      </c>
      <c r="R645" t="s">
        <v>20</v>
      </c>
      <c r="S645" t="str">
        <f>HYPERLINK("https://cfpub.epa.gov/ecotox/explore.cfm?ncbi=8404","Explore in ECOTOX")</f>
        <v>Explore in ECOTOX</v>
      </c>
    </row>
    <row r="646" spans="1:19" x14ac:dyDescent="0.25">
      <c r="A646">
        <v>6</v>
      </c>
      <c r="B646" t="str">
        <f>HYPERLINK("http://www.ncbi.nlm.nih.gov/protein/ALN70155.1","ALN70155.1")</f>
        <v>ALN70155.1</v>
      </c>
      <c r="C646">
        <v>281</v>
      </c>
      <c r="D646" t="str">
        <f>HYPERLINK("http://www.ncbi.nlm.nih.gov/Taxonomy/Browser/wwwtax.cgi?mode=Info&amp;id=7892&amp;lvl=3&amp;lin=f&amp;keep=1&amp;srchmode=1&amp;unlock","7892")</f>
        <v>7892</v>
      </c>
      <c r="E646" t="s">
        <v>687</v>
      </c>
      <c r="F646" t="s">
        <v>687</v>
      </c>
      <c r="G646" t="str">
        <f>HYPERLINK("http://www.ncbi.nlm.nih.gov/Taxonomy/Browser/wwwtax.cgi?mode=Info&amp;id=7892&amp;lvl=3&amp;lin=f&amp;keep=1&amp;srchmode=1&amp;unlock","Neoceratodus forsteri")</f>
        <v>Neoceratodus forsteri</v>
      </c>
      <c r="H646" t="s">
        <v>1023</v>
      </c>
      <c r="I646" t="str">
        <f>HYPERLINK("http://www.ncbi.nlm.nih.gov/protein/ALN70155.1","androgen receptor, partial")</f>
        <v>androgen receptor, partial</v>
      </c>
      <c r="J646" t="s">
        <v>1261</v>
      </c>
      <c r="K646">
        <v>362.07</v>
      </c>
      <c r="L646" t="s">
        <v>25</v>
      </c>
      <c r="M646">
        <v>157</v>
      </c>
      <c r="N646">
        <v>62.55</v>
      </c>
      <c r="O646">
        <v>70.41</v>
      </c>
      <c r="P646" t="s">
        <v>20</v>
      </c>
      <c r="Q646" t="s">
        <v>1262</v>
      </c>
      <c r="R646" t="s">
        <v>20</v>
      </c>
      <c r="S646" t="str">
        <f>HYPERLINK("https://cfpub.epa.gov/ecotox/explore.cfm?ncbi=7892","Explore in ECOTOX")</f>
        <v>Explore in ECOTOX</v>
      </c>
    </row>
    <row r="647" spans="1:19" x14ac:dyDescent="0.25">
      <c r="A647">
        <v>6</v>
      </c>
      <c r="B647" t="str">
        <f>HYPERLINK("http://www.ncbi.nlm.nih.gov/protein/KAG5284682.1","KAG5284682.1")</f>
        <v>KAG5284682.1</v>
      </c>
      <c r="C647">
        <v>26424</v>
      </c>
      <c r="D647" t="str">
        <f>HYPERLINK("http://www.ncbi.nlm.nih.gov/Taxonomy/Browser/wwwtax.cgi?mode=Info&amp;id=278164&amp;lvl=3&amp;lin=f&amp;keep=1&amp;srchmode=1&amp;unlock","278164")</f>
        <v>278164</v>
      </c>
      <c r="E647" t="s">
        <v>384</v>
      </c>
      <c r="F647" t="s">
        <v>384</v>
      </c>
      <c r="G647" t="str">
        <f>HYPERLINK("http://www.ncbi.nlm.nih.gov/Taxonomy/Browser/wwwtax.cgi?mode=Info&amp;id=278164&amp;lvl=3&amp;lin=f&amp;keep=1&amp;srchmode=1&amp;unlock","Alosa alosa")</f>
        <v>Alosa alosa</v>
      </c>
      <c r="H647" t="s">
        <v>498</v>
      </c>
      <c r="I647" t="str">
        <f>HYPERLINK("http://www.ncbi.nlm.nih.gov/protein/KAG5284682.1","hypothetical protein AALO_G00029320")</f>
        <v>hypothetical protein AALO_G00029320</v>
      </c>
      <c r="J647" t="s">
        <v>1261</v>
      </c>
      <c r="K647">
        <v>361.69</v>
      </c>
      <c r="L647" t="s">
        <v>25</v>
      </c>
      <c r="M647">
        <v>157</v>
      </c>
      <c r="N647">
        <v>62.55</v>
      </c>
      <c r="O647">
        <v>70.34</v>
      </c>
      <c r="P647" t="s">
        <v>20</v>
      </c>
      <c r="Q647" t="s">
        <v>1262</v>
      </c>
      <c r="R647" t="s">
        <v>20</v>
      </c>
      <c r="S647" t="str">
        <f>HYPERLINK("https://cfpub.epa.gov/ecotox/explore.cfm?ncbi=278164","Explore in ECOTOX")</f>
        <v>Explore in ECOTOX</v>
      </c>
    </row>
    <row r="648" spans="1:19" x14ac:dyDescent="0.25">
      <c r="A648">
        <v>6</v>
      </c>
      <c r="B648" t="str">
        <f>HYPERLINK("http://www.ncbi.nlm.nih.gov/protein/XP_039870565.1","XP_039870565.1")</f>
        <v>XP_039870565.1</v>
      </c>
      <c r="C648">
        <v>53697</v>
      </c>
      <c r="D648" t="str">
        <f>HYPERLINK("http://www.ncbi.nlm.nih.gov/Taxonomy/Browser/wwwtax.cgi?mode=Info&amp;id=43689&amp;lvl=3&amp;lin=f&amp;keep=1&amp;srchmode=1&amp;unlock","43689")</f>
        <v>43689</v>
      </c>
      <c r="E648" t="s">
        <v>384</v>
      </c>
      <c r="F648" t="s">
        <v>384</v>
      </c>
      <c r="G648" t="str">
        <f>HYPERLINK("http://www.ncbi.nlm.nih.gov/Taxonomy/Browser/wwwtax.cgi?mode=Info&amp;id=43689&amp;lvl=3&amp;lin=f&amp;keep=1&amp;srchmode=1&amp;unlock","Simochromis diagramma")</f>
        <v>Simochromis diagramma</v>
      </c>
      <c r="H648" t="s">
        <v>637</v>
      </c>
      <c r="I648" t="str">
        <f>HYPERLINK("http://www.ncbi.nlm.nih.gov/protein/XP_039870565.1","androgen receptor-like")</f>
        <v>androgen receptor-like</v>
      </c>
      <c r="J648" t="s">
        <v>1261</v>
      </c>
      <c r="K648">
        <v>361.69</v>
      </c>
      <c r="L648" t="s">
        <v>25</v>
      </c>
      <c r="M648">
        <v>157</v>
      </c>
      <c r="N648">
        <v>62.55</v>
      </c>
      <c r="O648">
        <v>70.34</v>
      </c>
      <c r="P648" t="s">
        <v>20</v>
      </c>
      <c r="Q648" t="s">
        <v>1262</v>
      </c>
      <c r="R648" t="s">
        <v>20</v>
      </c>
      <c r="S648" t="str">
        <f>HYPERLINK("https://cfpub.epa.gov/ecotox/explore.cfm?ncbi=43689","Explore in ECOTOX")</f>
        <v>Explore in ECOTOX</v>
      </c>
    </row>
    <row r="649" spans="1:19" x14ac:dyDescent="0.25">
      <c r="A649">
        <v>6</v>
      </c>
      <c r="B649" t="str">
        <f>HYPERLINK("http://www.ncbi.nlm.nih.gov/protein/XP_031610595.1","XP_031610595.1")</f>
        <v>XP_031610595.1</v>
      </c>
      <c r="C649">
        <v>49810</v>
      </c>
      <c r="D649" t="str">
        <f>HYPERLINK("http://www.ncbi.nlm.nih.gov/Taxonomy/Browser/wwwtax.cgi?mode=Info&amp;id=47969&amp;lvl=3&amp;lin=f&amp;keep=1&amp;srchmode=1&amp;unlock","47969")</f>
        <v>47969</v>
      </c>
      <c r="E649" t="s">
        <v>384</v>
      </c>
      <c r="F649" t="s">
        <v>384</v>
      </c>
      <c r="G649" t="str">
        <f>HYPERLINK("http://www.ncbi.nlm.nih.gov/Taxonomy/Browser/wwwtax.cgi?mode=Info&amp;id=47969&amp;lvl=3&amp;lin=f&amp;keep=1&amp;srchmode=1&amp;unlock","Oreochromis aureus")</f>
        <v>Oreochromis aureus</v>
      </c>
      <c r="H649" t="s">
        <v>626</v>
      </c>
      <c r="I649" t="str">
        <f>HYPERLINK("http://www.ncbi.nlm.nih.gov/protein/XP_031610595.1","androgen receptor")</f>
        <v>androgen receptor</v>
      </c>
      <c r="J649" t="s">
        <v>1261</v>
      </c>
      <c r="K649">
        <v>360.92</v>
      </c>
      <c r="L649" t="s">
        <v>25</v>
      </c>
      <c r="M649">
        <v>157</v>
      </c>
      <c r="N649">
        <v>62.55</v>
      </c>
      <c r="O649">
        <v>70.19</v>
      </c>
      <c r="P649" t="s">
        <v>20</v>
      </c>
      <c r="Q649" t="s">
        <v>1262</v>
      </c>
      <c r="R649" t="s">
        <v>20</v>
      </c>
      <c r="S649" t="str">
        <f>HYPERLINK("https://cfpub.epa.gov/ecotox/explore.cfm?ncbi=47969","Explore in ECOTOX")</f>
        <v>Explore in ECOTOX</v>
      </c>
    </row>
    <row r="650" spans="1:19" x14ac:dyDescent="0.25">
      <c r="A650">
        <v>6</v>
      </c>
      <c r="B650" t="str">
        <f>HYPERLINK("http://www.ncbi.nlm.nih.gov/protein/XP_012720156.2","XP_012720156.2")</f>
        <v>XP_012720156.2</v>
      </c>
      <c r="C650">
        <v>50120</v>
      </c>
      <c r="D650" t="str">
        <f>HYPERLINK("http://www.ncbi.nlm.nih.gov/Taxonomy/Browser/wwwtax.cgi?mode=Info&amp;id=8078&amp;lvl=3&amp;lin=f&amp;keep=1&amp;srchmode=1&amp;unlock","8078")</f>
        <v>8078</v>
      </c>
      <c r="E650" t="s">
        <v>384</v>
      </c>
      <c r="F650" t="s">
        <v>384</v>
      </c>
      <c r="G650" t="str">
        <f>HYPERLINK("http://www.ncbi.nlm.nih.gov/Taxonomy/Browser/wwwtax.cgi?mode=Info&amp;id=8078&amp;lvl=3&amp;lin=f&amp;keep=1&amp;srchmode=1&amp;unlock","Fundulus heteroclitus")</f>
        <v>Fundulus heteroclitus</v>
      </c>
      <c r="H650" t="s">
        <v>571</v>
      </c>
      <c r="I650" t="str">
        <f>HYPERLINK("http://www.ncbi.nlm.nih.gov/protein/XP_012720156.2","androgen receptor")</f>
        <v>androgen receptor</v>
      </c>
      <c r="J650" t="s">
        <v>1261</v>
      </c>
      <c r="K650">
        <v>360.92</v>
      </c>
      <c r="L650" t="s">
        <v>25</v>
      </c>
      <c r="M650">
        <v>157</v>
      </c>
      <c r="N650">
        <v>62.55</v>
      </c>
      <c r="O650">
        <v>70.19</v>
      </c>
      <c r="P650" t="s">
        <v>20</v>
      </c>
      <c r="Q650" t="s">
        <v>1262</v>
      </c>
      <c r="R650" t="s">
        <v>20</v>
      </c>
      <c r="S650" t="str">
        <f>HYPERLINK("https://cfpub.epa.gov/ecotox/explore.cfm?ncbi=8078","Explore in ECOTOX")</f>
        <v>Explore in ECOTOX</v>
      </c>
    </row>
    <row r="651" spans="1:19" x14ac:dyDescent="0.25">
      <c r="A651">
        <v>6</v>
      </c>
      <c r="B651" t="str">
        <f>HYPERLINK("http://www.ncbi.nlm.nih.gov/protein/XP_007892483.1","XP_007892483.1")</f>
        <v>XP_007892483.1</v>
      </c>
      <c r="C651">
        <v>32968</v>
      </c>
      <c r="D651" t="str">
        <f>HYPERLINK("http://www.ncbi.nlm.nih.gov/Taxonomy/Browser/wwwtax.cgi?mode=Info&amp;id=7868&amp;lvl=3&amp;lin=f&amp;keep=1&amp;srchmode=1&amp;unlock","7868")</f>
        <v>7868</v>
      </c>
      <c r="E651" t="s">
        <v>550</v>
      </c>
      <c r="F651" t="s">
        <v>550</v>
      </c>
      <c r="G651" t="str">
        <f>HYPERLINK("http://www.ncbi.nlm.nih.gov/Taxonomy/Browser/wwwtax.cgi?mode=Info&amp;id=7868&amp;lvl=3&amp;lin=f&amp;keep=1&amp;srchmode=1&amp;unlock","Callorhinchus milii")</f>
        <v>Callorhinchus milii</v>
      </c>
      <c r="H651" t="s">
        <v>608</v>
      </c>
      <c r="I651" t="str">
        <f>HYPERLINK("http://www.ncbi.nlm.nih.gov/protein/XP_007892483.1","PREDICTED: androgen receptor isoform X2")</f>
        <v>PREDICTED: androgen receptor isoform X2</v>
      </c>
      <c r="J651" t="s">
        <v>1261</v>
      </c>
      <c r="K651">
        <v>360.92</v>
      </c>
      <c r="L651" t="s">
        <v>25</v>
      </c>
      <c r="M651">
        <v>157</v>
      </c>
      <c r="N651">
        <v>62.55</v>
      </c>
      <c r="O651">
        <v>70.19</v>
      </c>
      <c r="P651" t="s">
        <v>20</v>
      </c>
      <c r="Q651" t="s">
        <v>1262</v>
      </c>
      <c r="R651" t="s">
        <v>20</v>
      </c>
      <c r="S651" t="str">
        <f>HYPERLINK("https://cfpub.epa.gov/ecotox/explore.cfm?ncbi=7868","Explore in ECOTOX")</f>
        <v>Explore in ECOTOX</v>
      </c>
    </row>
    <row r="652" spans="1:19" x14ac:dyDescent="0.25">
      <c r="A652">
        <v>6</v>
      </c>
      <c r="B652" t="str">
        <f>HYPERLINK("http://www.ncbi.nlm.nih.gov/protein/XP_038144388.1","XP_038144388.1")</f>
        <v>XP_038144388.1</v>
      </c>
      <c r="C652">
        <v>42390</v>
      </c>
      <c r="D652" t="str">
        <f>HYPERLINK("http://www.ncbi.nlm.nih.gov/Taxonomy/Browser/wwwtax.cgi?mode=Info&amp;id=77115&amp;lvl=3&amp;lin=f&amp;keep=1&amp;srchmode=1&amp;unlock","77115")</f>
        <v>77115</v>
      </c>
      <c r="E652" t="s">
        <v>384</v>
      </c>
      <c r="F652" t="s">
        <v>384</v>
      </c>
      <c r="G652" t="str">
        <f>HYPERLINK("http://www.ncbi.nlm.nih.gov/Taxonomy/Browser/wwwtax.cgi?mode=Info&amp;id=77115&amp;lvl=3&amp;lin=f&amp;keep=1&amp;srchmode=1&amp;unlock","Cyprinodon tularosa")</f>
        <v>Cyprinodon tularosa</v>
      </c>
      <c r="H652" t="s">
        <v>597</v>
      </c>
      <c r="I652" t="str">
        <f>HYPERLINK("http://www.ncbi.nlm.nih.gov/protein/XP_038144388.1","androgen receptor-like")</f>
        <v>androgen receptor-like</v>
      </c>
      <c r="J652" t="s">
        <v>1261</v>
      </c>
      <c r="K652">
        <v>360.53</v>
      </c>
      <c r="L652" t="s">
        <v>25</v>
      </c>
      <c r="M652">
        <v>157</v>
      </c>
      <c r="N652">
        <v>62.55</v>
      </c>
      <c r="O652">
        <v>70.11</v>
      </c>
      <c r="P652" t="s">
        <v>20</v>
      </c>
      <c r="Q652" t="s">
        <v>1262</v>
      </c>
      <c r="R652" t="s">
        <v>20</v>
      </c>
      <c r="S652" t="str">
        <f>HYPERLINK("https://cfpub.epa.gov/ecotox/explore.cfm?ncbi=77115","Explore in ECOTOX")</f>
        <v>Explore in ECOTOX</v>
      </c>
    </row>
    <row r="653" spans="1:19" x14ac:dyDescent="0.25">
      <c r="A653">
        <v>6</v>
      </c>
      <c r="B653" t="str">
        <f>HYPERLINK("http://www.ncbi.nlm.nih.gov/protein/XP_015239533.1","XP_015239533.1")</f>
        <v>XP_015239533.1</v>
      </c>
      <c r="C653">
        <v>36661</v>
      </c>
      <c r="D653" t="str">
        <f>HYPERLINK("http://www.ncbi.nlm.nih.gov/Taxonomy/Browser/wwwtax.cgi?mode=Info&amp;id=28743&amp;lvl=3&amp;lin=f&amp;keep=1&amp;srchmode=1&amp;unlock","28743")</f>
        <v>28743</v>
      </c>
      <c r="E653" t="s">
        <v>384</v>
      </c>
      <c r="F653" t="s">
        <v>384</v>
      </c>
      <c r="G653" t="str">
        <f>HYPERLINK("http://www.ncbi.nlm.nih.gov/Taxonomy/Browser/wwwtax.cgi?mode=Info&amp;id=28743&amp;lvl=3&amp;lin=f&amp;keep=1&amp;srchmode=1&amp;unlock","Cyprinodon variegatus")</f>
        <v>Cyprinodon variegatus</v>
      </c>
      <c r="H653" t="s">
        <v>596</v>
      </c>
      <c r="I653" t="str">
        <f>HYPERLINK("http://www.ncbi.nlm.nih.gov/protein/XP_015239533.1","PREDICTED: androgen receptor-like")</f>
        <v>PREDICTED: androgen receptor-like</v>
      </c>
      <c r="J653" t="s">
        <v>1261</v>
      </c>
      <c r="K653">
        <v>360.53</v>
      </c>
      <c r="L653" t="s">
        <v>25</v>
      </c>
      <c r="M653">
        <v>157</v>
      </c>
      <c r="N653">
        <v>62.55</v>
      </c>
      <c r="O653">
        <v>70.11</v>
      </c>
      <c r="P653" t="s">
        <v>20</v>
      </c>
      <c r="Q653" t="s">
        <v>1262</v>
      </c>
      <c r="R653" t="s">
        <v>20</v>
      </c>
      <c r="S653" t="str">
        <f>HYPERLINK("https://cfpub.epa.gov/ecotox/explore.cfm?ncbi=28743","Explore in ECOTOX")</f>
        <v>Explore in ECOTOX</v>
      </c>
    </row>
    <row r="654" spans="1:19" x14ac:dyDescent="0.25">
      <c r="A654">
        <v>6</v>
      </c>
      <c r="B654" t="str">
        <f>HYPERLINK("http://www.ncbi.nlm.nih.gov/protein/XP_032389182.1","XP_032389182.1")</f>
        <v>XP_032389182.1</v>
      </c>
      <c r="C654">
        <v>64531</v>
      </c>
      <c r="D654" t="str">
        <f>HYPERLINK("http://www.ncbi.nlm.nih.gov/Taxonomy/Browser/wwwtax.cgi?mode=Info&amp;id=54343&amp;lvl=3&amp;lin=f&amp;keep=1&amp;srchmode=1&amp;unlock","54343")</f>
        <v>54343</v>
      </c>
      <c r="E654" t="s">
        <v>384</v>
      </c>
      <c r="F654" t="s">
        <v>384</v>
      </c>
      <c r="G654" t="str">
        <f>HYPERLINK("http://www.ncbi.nlm.nih.gov/Taxonomy/Browser/wwwtax.cgi?mode=Info&amp;id=54343&amp;lvl=3&amp;lin=f&amp;keep=1&amp;srchmode=1&amp;unlock","Etheostoma spectabile")</f>
        <v>Etheostoma spectabile</v>
      </c>
      <c r="H654" t="s">
        <v>568</v>
      </c>
      <c r="I654" t="str">
        <f>HYPERLINK("http://www.ncbi.nlm.nih.gov/protein/XP_032389182.1","androgen receptor-like isoform X2")</f>
        <v>androgen receptor-like isoform X2</v>
      </c>
      <c r="J654" t="s">
        <v>1261</v>
      </c>
      <c r="K654">
        <v>360.15</v>
      </c>
      <c r="L654" t="s">
        <v>25</v>
      </c>
      <c r="M654">
        <v>157</v>
      </c>
      <c r="N654">
        <v>62.55</v>
      </c>
      <c r="O654">
        <v>70.040000000000006</v>
      </c>
      <c r="P654" t="s">
        <v>20</v>
      </c>
      <c r="Q654" t="s">
        <v>1262</v>
      </c>
      <c r="R654" t="s">
        <v>20</v>
      </c>
      <c r="S654" t="str">
        <f>HYPERLINK("https://cfpub.epa.gov/ecotox/explore.cfm?ncbi=54343","Explore in ECOTOX")</f>
        <v>Explore in ECOTOX</v>
      </c>
    </row>
    <row r="655" spans="1:19" x14ac:dyDescent="0.25">
      <c r="A655">
        <v>6</v>
      </c>
      <c r="B655" t="str">
        <f>HYPERLINK("http://www.ncbi.nlm.nih.gov/protein/XP_033969271.1","XP_033969271.1")</f>
        <v>XP_033969271.1</v>
      </c>
      <c r="C655">
        <v>41297</v>
      </c>
      <c r="D655" t="str">
        <f>HYPERLINK("http://www.ncbi.nlm.nih.gov/Taxonomy/Browser/wwwtax.cgi?mode=Info&amp;id=40690&amp;lvl=3&amp;lin=f&amp;keep=1&amp;srchmode=1&amp;unlock","40690")</f>
        <v>40690</v>
      </c>
      <c r="E655" t="s">
        <v>384</v>
      </c>
      <c r="F655" t="s">
        <v>384</v>
      </c>
      <c r="G655" t="str">
        <f>HYPERLINK("http://www.ncbi.nlm.nih.gov/Taxonomy/Browser/wwwtax.cgi?mode=Info&amp;id=40690&amp;lvl=3&amp;lin=f&amp;keep=1&amp;srchmode=1&amp;unlock","Trematomus bernacchii")</f>
        <v>Trematomus bernacchii</v>
      </c>
      <c r="H655" t="s">
        <v>603</v>
      </c>
      <c r="I655" t="str">
        <f>HYPERLINK("http://www.ncbi.nlm.nih.gov/protein/XP_033969271.1","androgen receptor isoform X2")</f>
        <v>androgen receptor isoform X2</v>
      </c>
      <c r="J655" t="s">
        <v>1261</v>
      </c>
      <c r="K655">
        <v>360.15</v>
      </c>
      <c r="L655" t="s">
        <v>25</v>
      </c>
      <c r="M655">
        <v>157</v>
      </c>
      <c r="N655">
        <v>62.55</v>
      </c>
      <c r="O655">
        <v>70.040000000000006</v>
      </c>
      <c r="P655" t="s">
        <v>20</v>
      </c>
      <c r="Q655" t="s">
        <v>1262</v>
      </c>
      <c r="R655" t="s">
        <v>20</v>
      </c>
      <c r="S655" t="str">
        <f>HYPERLINK("https://cfpub.epa.gov/ecotox/explore.cfm?ncbi=40690","Explore in ECOTOX")</f>
        <v>Explore in ECOTOX</v>
      </c>
    </row>
    <row r="656" spans="1:19" x14ac:dyDescent="0.25">
      <c r="A656">
        <v>6</v>
      </c>
      <c r="B656" t="str">
        <f>HYPERLINK("http://www.ncbi.nlm.nih.gov/protein/XP_029303737.1","XP_029303737.1")</f>
        <v>XP_029303737.1</v>
      </c>
      <c r="C656">
        <v>37869</v>
      </c>
      <c r="D656" t="str">
        <f>HYPERLINK("http://www.ncbi.nlm.nih.gov/Taxonomy/Browser/wwwtax.cgi?mode=Info&amp;id=56716&amp;lvl=3&amp;lin=f&amp;keep=1&amp;srchmode=1&amp;unlock","56716")</f>
        <v>56716</v>
      </c>
      <c r="E656" t="s">
        <v>384</v>
      </c>
      <c r="F656" t="s">
        <v>384</v>
      </c>
      <c r="G656" t="str">
        <f>HYPERLINK("http://www.ncbi.nlm.nih.gov/Taxonomy/Browser/wwwtax.cgi?mode=Info&amp;id=56716&amp;lvl=3&amp;lin=f&amp;keep=1&amp;srchmode=1&amp;unlock","Cottoperca gobio")</f>
        <v>Cottoperca gobio</v>
      </c>
      <c r="H656" t="s">
        <v>575</v>
      </c>
      <c r="I656" t="str">
        <f>HYPERLINK("http://www.ncbi.nlm.nih.gov/protein/XP_029303737.1","androgen receptor isoform X2")</f>
        <v>androgen receptor isoform X2</v>
      </c>
      <c r="J656" t="s">
        <v>1261</v>
      </c>
      <c r="K656">
        <v>360.15</v>
      </c>
      <c r="L656" t="s">
        <v>25</v>
      </c>
      <c r="M656">
        <v>157</v>
      </c>
      <c r="N656">
        <v>62.55</v>
      </c>
      <c r="O656">
        <v>70.040000000000006</v>
      </c>
      <c r="P656" t="s">
        <v>20</v>
      </c>
      <c r="Q656" t="s">
        <v>1262</v>
      </c>
      <c r="R656" t="s">
        <v>20</v>
      </c>
      <c r="S656" t="str">
        <f>HYPERLINK("https://cfpub.epa.gov/ecotox/explore.cfm?ncbi=56716","Explore in ECOTOX")</f>
        <v>Explore in ECOTOX</v>
      </c>
    </row>
    <row r="657" spans="1:19" x14ac:dyDescent="0.25">
      <c r="A657">
        <v>6</v>
      </c>
      <c r="B657" t="str">
        <f>HYPERLINK("http://www.ncbi.nlm.nih.gov/protein/XP_031175918.1","XP_031175918.1")</f>
        <v>XP_031175918.1</v>
      </c>
      <c r="C657">
        <v>56683</v>
      </c>
      <c r="D657" t="str">
        <f>HYPERLINK("http://www.ncbi.nlm.nih.gov/Taxonomy/Browser/wwwtax.cgi?mode=Info&amp;id=283035&amp;lvl=3&amp;lin=f&amp;keep=1&amp;srchmode=1&amp;unlock","283035")</f>
        <v>283035</v>
      </c>
      <c r="E657" t="s">
        <v>384</v>
      </c>
      <c r="F657" t="s">
        <v>384</v>
      </c>
      <c r="G657" t="str">
        <f>HYPERLINK("http://www.ncbi.nlm.nih.gov/Taxonomy/Browser/wwwtax.cgi?mode=Info&amp;id=283035&amp;lvl=3&amp;lin=f&amp;keep=1&amp;srchmode=1&amp;unlock","Sander lucioperca")</f>
        <v>Sander lucioperca</v>
      </c>
      <c r="H657" t="s">
        <v>539</v>
      </c>
      <c r="I657" t="str">
        <f>HYPERLINK("http://www.ncbi.nlm.nih.gov/protein/XP_031175918.1","androgen receptor-like isoform X2")</f>
        <v>androgen receptor-like isoform X2</v>
      </c>
      <c r="J657" t="s">
        <v>1261</v>
      </c>
      <c r="K657">
        <v>358.99</v>
      </c>
      <c r="L657" t="s">
        <v>25</v>
      </c>
      <c r="M657">
        <v>157</v>
      </c>
      <c r="N657">
        <v>62.55</v>
      </c>
      <c r="O657">
        <v>69.81</v>
      </c>
      <c r="P657" t="s">
        <v>20</v>
      </c>
      <c r="Q657" t="s">
        <v>1262</v>
      </c>
      <c r="R657" t="s">
        <v>20</v>
      </c>
      <c r="S657" t="str">
        <f>HYPERLINK("https://cfpub.epa.gov/ecotox/explore.cfm?ncbi=283035","Explore in ECOTOX")</f>
        <v>Explore in ECOTOX</v>
      </c>
    </row>
    <row r="658" spans="1:19" x14ac:dyDescent="0.25">
      <c r="A658">
        <v>6</v>
      </c>
      <c r="B658" t="str">
        <f>HYPERLINK("http://www.ncbi.nlm.nih.gov/protein/XP_028451343.1","XP_028451343.1")</f>
        <v>XP_028451343.1</v>
      </c>
      <c r="C658">
        <v>65039</v>
      </c>
      <c r="D658" t="str">
        <f>HYPERLINK("http://www.ncbi.nlm.nih.gov/Taxonomy/Browser/wwwtax.cgi?mode=Info&amp;id=8167&amp;lvl=3&amp;lin=f&amp;keep=1&amp;srchmode=1&amp;unlock","8167")</f>
        <v>8167</v>
      </c>
      <c r="E658" t="s">
        <v>384</v>
      </c>
      <c r="F658" t="s">
        <v>384</v>
      </c>
      <c r="G658" t="str">
        <f>HYPERLINK("http://www.ncbi.nlm.nih.gov/Taxonomy/Browser/wwwtax.cgi?mode=Info&amp;id=8167&amp;lvl=3&amp;lin=f&amp;keep=1&amp;srchmode=1&amp;unlock","Perca flavescens")</f>
        <v>Perca flavescens</v>
      </c>
      <c r="H658" t="s">
        <v>545</v>
      </c>
      <c r="I658" t="str">
        <f>HYPERLINK("http://www.ncbi.nlm.nih.gov/protein/XP_028451343.1","androgen receptor-like isoform X2")</f>
        <v>androgen receptor-like isoform X2</v>
      </c>
      <c r="J658" t="s">
        <v>1261</v>
      </c>
      <c r="K658">
        <v>358.99</v>
      </c>
      <c r="L658" t="s">
        <v>25</v>
      </c>
      <c r="M658">
        <v>157</v>
      </c>
      <c r="N658">
        <v>62.55</v>
      </c>
      <c r="O658">
        <v>69.81</v>
      </c>
      <c r="P658" t="s">
        <v>20</v>
      </c>
      <c r="Q658" t="s">
        <v>1262</v>
      </c>
      <c r="R658" t="s">
        <v>20</v>
      </c>
      <c r="S658" t="str">
        <f>HYPERLINK("https://cfpub.epa.gov/ecotox/explore.cfm?ncbi=8167","Explore in ECOTOX")</f>
        <v>Explore in ECOTOX</v>
      </c>
    </row>
    <row r="659" spans="1:19" x14ac:dyDescent="0.25">
      <c r="A659">
        <v>6</v>
      </c>
      <c r="B659" t="str">
        <f>HYPERLINK("http://www.ncbi.nlm.nih.gov/protein/XP_039633383.1","XP_039633383.1")</f>
        <v>XP_039633383.1</v>
      </c>
      <c r="C659">
        <v>74410</v>
      </c>
      <c r="D659" t="str">
        <f>HYPERLINK("http://www.ncbi.nlm.nih.gov/Taxonomy/Browser/wwwtax.cgi?mode=Info&amp;id=8168&amp;lvl=3&amp;lin=f&amp;keep=1&amp;srchmode=1&amp;unlock","8168")</f>
        <v>8168</v>
      </c>
      <c r="E659" t="s">
        <v>384</v>
      </c>
      <c r="F659" t="s">
        <v>384</v>
      </c>
      <c r="G659" t="str">
        <f>HYPERLINK("http://www.ncbi.nlm.nih.gov/Taxonomy/Browser/wwwtax.cgi?mode=Info&amp;id=8168&amp;lvl=3&amp;lin=f&amp;keep=1&amp;srchmode=1&amp;unlock","Perca fluviatilis")</f>
        <v>Perca fluviatilis</v>
      </c>
      <c r="H659" t="s">
        <v>582</v>
      </c>
      <c r="I659" t="str">
        <f>HYPERLINK("http://www.ncbi.nlm.nih.gov/protein/XP_039633383.1","androgen receptor-like isoform X2")</f>
        <v>androgen receptor-like isoform X2</v>
      </c>
      <c r="J659" t="s">
        <v>1261</v>
      </c>
      <c r="K659">
        <v>358.99</v>
      </c>
      <c r="L659" t="s">
        <v>25</v>
      </c>
      <c r="M659">
        <v>157</v>
      </c>
      <c r="N659">
        <v>62.55</v>
      </c>
      <c r="O659">
        <v>69.81</v>
      </c>
      <c r="P659" t="s">
        <v>20</v>
      </c>
      <c r="Q659" t="s">
        <v>1262</v>
      </c>
      <c r="R659" t="s">
        <v>20</v>
      </c>
      <c r="S659" t="str">
        <f>HYPERLINK("https://cfpub.epa.gov/ecotox/explore.cfm?ncbi=8168","Explore in ECOTOX")</f>
        <v>Explore in ECOTOX</v>
      </c>
    </row>
    <row r="660" spans="1:19" x14ac:dyDescent="0.25">
      <c r="A660">
        <v>6</v>
      </c>
      <c r="B660" t="str">
        <f>HYPERLINK("http://www.ncbi.nlm.nih.gov/protein/AIZ00467.1","AIZ00467.1")</f>
        <v>AIZ00467.1</v>
      </c>
      <c r="C660">
        <v>24</v>
      </c>
      <c r="D660" t="str">
        <f>HYPERLINK("http://www.ncbi.nlm.nih.gov/Taxonomy/Browser/wwwtax.cgi?mode=Info&amp;id=120844&amp;lvl=3&amp;lin=f&amp;keep=1&amp;srchmode=1&amp;unlock","120844")</f>
        <v>120844</v>
      </c>
      <c r="E660" t="s">
        <v>384</v>
      </c>
      <c r="F660" t="s">
        <v>384</v>
      </c>
      <c r="G660" t="str">
        <f>HYPERLINK("http://www.ncbi.nlm.nih.gov/Taxonomy/Browser/wwwtax.cgi?mode=Info&amp;id=120844&amp;lvl=3&amp;lin=f&amp;keep=1&amp;srchmode=1&amp;unlock","Melanotaenia fluviatilis")</f>
        <v>Melanotaenia fluviatilis</v>
      </c>
      <c r="H660" t="s">
        <v>1015</v>
      </c>
      <c r="I660" t="str">
        <f>HYPERLINK("http://www.ncbi.nlm.nih.gov/protein/AIZ00467.1","androgen receptor beta")</f>
        <v>androgen receptor beta</v>
      </c>
      <c r="J660" t="s">
        <v>1261</v>
      </c>
      <c r="K660">
        <v>358.99</v>
      </c>
      <c r="L660" t="s">
        <v>25</v>
      </c>
      <c r="M660">
        <v>157</v>
      </c>
      <c r="N660">
        <v>62.55</v>
      </c>
      <c r="O660">
        <v>69.81</v>
      </c>
      <c r="P660" t="s">
        <v>20</v>
      </c>
      <c r="Q660" t="s">
        <v>1262</v>
      </c>
      <c r="R660" t="s">
        <v>20</v>
      </c>
      <c r="S660" t="str">
        <f>HYPERLINK("https://cfpub.epa.gov/ecotox/explore.cfm?ncbi=120844","Explore in ECOTOX")</f>
        <v>Explore in ECOTOX</v>
      </c>
    </row>
    <row r="661" spans="1:19" x14ac:dyDescent="0.25">
      <c r="A661">
        <v>6</v>
      </c>
      <c r="B661" t="str">
        <f>HYPERLINK("http://www.ncbi.nlm.nih.gov/protein/XP_029956536.1","XP_029956536.1")</f>
        <v>XP_029956536.1</v>
      </c>
      <c r="C661">
        <v>39284</v>
      </c>
      <c r="D661" t="str">
        <f>HYPERLINK("http://www.ncbi.nlm.nih.gov/Taxonomy/Browser/wwwtax.cgi?mode=Info&amp;id=181472&amp;lvl=3&amp;lin=f&amp;keep=1&amp;srchmode=1&amp;unlock","181472")</f>
        <v>181472</v>
      </c>
      <c r="E661" t="s">
        <v>384</v>
      </c>
      <c r="F661" t="s">
        <v>384</v>
      </c>
      <c r="G661" t="str">
        <f>HYPERLINK("http://www.ncbi.nlm.nih.gov/Taxonomy/Browser/wwwtax.cgi?mode=Info&amp;id=181472&amp;lvl=3&amp;lin=f&amp;keep=1&amp;srchmode=1&amp;unlock","Salarias fasciatus")</f>
        <v>Salarias fasciatus</v>
      </c>
      <c r="H661" t="s">
        <v>534</v>
      </c>
      <c r="I661" t="str">
        <f>HYPERLINK("http://www.ncbi.nlm.nih.gov/protein/XP_029956536.1","androgen receptor-like")</f>
        <v>androgen receptor-like</v>
      </c>
      <c r="J661" t="s">
        <v>1261</v>
      </c>
      <c r="K661">
        <v>358.99</v>
      </c>
      <c r="L661" t="s">
        <v>25</v>
      </c>
      <c r="M661">
        <v>157</v>
      </c>
      <c r="N661">
        <v>62.55</v>
      </c>
      <c r="O661">
        <v>69.81</v>
      </c>
      <c r="P661" t="s">
        <v>20</v>
      </c>
      <c r="Q661" t="s">
        <v>1262</v>
      </c>
      <c r="R661" t="s">
        <v>20</v>
      </c>
      <c r="S661" t="str">
        <f>HYPERLINK("https://cfpub.epa.gov/ecotox/explore.cfm?ncbi=181472","Explore in ECOTOX")</f>
        <v>Explore in ECOTOX</v>
      </c>
    </row>
    <row r="662" spans="1:19" x14ac:dyDescent="0.25">
      <c r="A662">
        <v>6</v>
      </c>
      <c r="B662" t="str">
        <f>HYPERLINK("http://www.ncbi.nlm.nih.gov/protein/XP_034082531.1","XP_034082531.1")</f>
        <v>XP_034082531.1</v>
      </c>
      <c r="C662">
        <v>45860</v>
      </c>
      <c r="D662" t="str">
        <f>HYPERLINK("http://www.ncbi.nlm.nih.gov/Taxonomy/Browser/wwwtax.cgi?mode=Info&amp;id=8218&amp;lvl=3&amp;lin=f&amp;keep=1&amp;srchmode=1&amp;unlock","8218")</f>
        <v>8218</v>
      </c>
      <c r="E662" t="s">
        <v>384</v>
      </c>
      <c r="F662" t="s">
        <v>384</v>
      </c>
      <c r="G662" t="str">
        <f>HYPERLINK("http://www.ncbi.nlm.nih.gov/Taxonomy/Browser/wwwtax.cgi?mode=Info&amp;id=8218&amp;lvl=3&amp;lin=f&amp;keep=1&amp;srchmode=1&amp;unlock","Gymnodraco acuticeps")</f>
        <v>Gymnodraco acuticeps</v>
      </c>
      <c r="H662" t="s">
        <v>577</v>
      </c>
      <c r="I662" t="str">
        <f>HYPERLINK("http://www.ncbi.nlm.nih.gov/protein/XP_034082531.1","LOW QUALITY PROTEIN: androgen receptor-like")</f>
        <v>LOW QUALITY PROTEIN: androgen receptor-like</v>
      </c>
      <c r="J662" t="s">
        <v>1261</v>
      </c>
      <c r="K662">
        <v>358.99</v>
      </c>
      <c r="L662" t="s">
        <v>25</v>
      </c>
      <c r="M662">
        <v>157</v>
      </c>
      <c r="N662">
        <v>62.55</v>
      </c>
      <c r="O662">
        <v>69.81</v>
      </c>
      <c r="P662" t="s">
        <v>20</v>
      </c>
      <c r="Q662" t="s">
        <v>1262</v>
      </c>
      <c r="R662" t="s">
        <v>20</v>
      </c>
      <c r="S662" t="str">
        <f>HYPERLINK("https://cfpub.epa.gov/ecotox/explore.cfm?ncbi=8218","Explore in ECOTOX")</f>
        <v>Explore in ECOTOX</v>
      </c>
    </row>
    <row r="663" spans="1:19" x14ac:dyDescent="0.25">
      <c r="A663">
        <v>6</v>
      </c>
      <c r="B663" t="str">
        <f>HYPERLINK("http://www.ncbi.nlm.nih.gov/protein/XP_013862230.1","XP_013862230.1")</f>
        <v>XP_013862230.1</v>
      </c>
      <c r="C663">
        <v>35359</v>
      </c>
      <c r="D663" t="str">
        <f>HYPERLINK("http://www.ncbi.nlm.nih.gov/Taxonomy/Browser/wwwtax.cgi?mode=Info&amp;id=52670&amp;lvl=3&amp;lin=f&amp;keep=1&amp;srchmode=1&amp;unlock","52670")</f>
        <v>52670</v>
      </c>
      <c r="E663" t="s">
        <v>384</v>
      </c>
      <c r="F663" t="s">
        <v>384</v>
      </c>
      <c r="G663" t="str">
        <f>HYPERLINK("http://www.ncbi.nlm.nih.gov/Taxonomy/Browser/wwwtax.cgi?mode=Info&amp;id=52670&amp;lvl=3&amp;lin=f&amp;keep=1&amp;srchmode=1&amp;unlock","Austrofundulus limnaeus")</f>
        <v>Austrofundulus limnaeus</v>
      </c>
      <c r="H663" t="s">
        <v>520</v>
      </c>
      <c r="I663" t="str">
        <f>HYPERLINK("http://www.ncbi.nlm.nih.gov/protein/XP_013862230.1","PREDICTED: androgen receptor")</f>
        <v>PREDICTED: androgen receptor</v>
      </c>
      <c r="J663" t="s">
        <v>1261</v>
      </c>
      <c r="K663">
        <v>358.99</v>
      </c>
      <c r="L663" t="s">
        <v>25</v>
      </c>
      <c r="M663">
        <v>157</v>
      </c>
      <c r="N663">
        <v>62.55</v>
      </c>
      <c r="O663">
        <v>69.81</v>
      </c>
      <c r="P663" t="s">
        <v>20</v>
      </c>
      <c r="Q663" t="s">
        <v>1262</v>
      </c>
      <c r="R663" t="s">
        <v>20</v>
      </c>
      <c r="S663" t="str">
        <f>HYPERLINK("https://cfpub.epa.gov/ecotox/explore.cfm?ncbi=52670","Explore in ECOTOX")</f>
        <v>Explore in ECOTOX</v>
      </c>
    </row>
    <row r="664" spans="1:19" x14ac:dyDescent="0.25">
      <c r="A664">
        <v>6</v>
      </c>
      <c r="B664" t="str">
        <f>HYPERLINK("http://www.ncbi.nlm.nih.gov/protein/XP_025766635.1","XP_025766635.1")</f>
        <v>XP_025766635.1</v>
      </c>
      <c r="C664">
        <v>63394</v>
      </c>
      <c r="D664" t="str">
        <f>HYPERLINK("http://www.ncbi.nlm.nih.gov/Taxonomy/Browser/wwwtax.cgi?mode=Info&amp;id=8128&amp;lvl=3&amp;lin=f&amp;keep=1&amp;srchmode=1&amp;unlock","8128")</f>
        <v>8128</v>
      </c>
      <c r="E664" t="s">
        <v>384</v>
      </c>
      <c r="F664" t="s">
        <v>384</v>
      </c>
      <c r="G664" t="str">
        <f>HYPERLINK("http://www.ncbi.nlm.nih.gov/Taxonomy/Browser/wwwtax.cgi?mode=Info&amp;id=8128&amp;lvl=3&amp;lin=f&amp;keep=1&amp;srchmode=1&amp;unlock","Oreochromis niloticus")</f>
        <v>Oreochromis niloticus</v>
      </c>
      <c r="H664" t="s">
        <v>628</v>
      </c>
      <c r="I664" t="str">
        <f>HYPERLINK("http://www.ncbi.nlm.nih.gov/protein/XP_025766635.1","androgen receptor-like")</f>
        <v>androgen receptor-like</v>
      </c>
      <c r="J664" t="s">
        <v>1261</v>
      </c>
      <c r="K664">
        <v>358.22</v>
      </c>
      <c r="L664" t="s">
        <v>25</v>
      </c>
      <c r="M664">
        <v>157</v>
      </c>
      <c r="N664">
        <v>62.55</v>
      </c>
      <c r="O664">
        <v>69.66</v>
      </c>
      <c r="P664" t="s">
        <v>20</v>
      </c>
      <c r="Q664" t="s">
        <v>1262</v>
      </c>
      <c r="R664" t="s">
        <v>20</v>
      </c>
      <c r="S664" t="str">
        <f>HYPERLINK("https://cfpub.epa.gov/ecotox/explore.cfm?ncbi=8128","Explore in ECOTOX")</f>
        <v>Explore in ECOTOX</v>
      </c>
    </row>
    <row r="665" spans="1:19" x14ac:dyDescent="0.25">
      <c r="A665">
        <v>6</v>
      </c>
      <c r="B665" t="str">
        <f>HYPERLINK("http://www.ncbi.nlm.nih.gov/protein/XP_034745283.1","XP_034745283.1")</f>
        <v>XP_034745283.1</v>
      </c>
      <c r="C665">
        <v>45233</v>
      </c>
      <c r="D665" t="str">
        <f>HYPERLINK("http://www.ncbi.nlm.nih.gov/Taxonomy/Browser/wwwtax.cgi?mode=Info&amp;id=417921&amp;lvl=3&amp;lin=f&amp;keep=1&amp;srchmode=1&amp;unlock","417921")</f>
        <v>417921</v>
      </c>
      <c r="E665" t="s">
        <v>384</v>
      </c>
      <c r="F665" t="s">
        <v>384</v>
      </c>
      <c r="G665" t="str">
        <f>HYPERLINK("http://www.ncbi.nlm.nih.gov/Taxonomy/Browser/wwwtax.cgi?mode=Info&amp;id=417921&amp;lvl=3&amp;lin=f&amp;keep=1&amp;srchmode=1&amp;unlock","Etheostoma cragini")</f>
        <v>Etheostoma cragini</v>
      </c>
      <c r="H665" t="s">
        <v>544</v>
      </c>
      <c r="I665" t="str">
        <f>HYPERLINK("http://www.ncbi.nlm.nih.gov/protein/XP_034745283.1","androgen receptor-like isoform X2")</f>
        <v>androgen receptor-like isoform X2</v>
      </c>
      <c r="J665" t="s">
        <v>1261</v>
      </c>
      <c r="K665">
        <v>358.22</v>
      </c>
      <c r="L665" t="s">
        <v>25</v>
      </c>
      <c r="M665">
        <v>157</v>
      </c>
      <c r="N665">
        <v>62.55</v>
      </c>
      <c r="O665">
        <v>69.66</v>
      </c>
      <c r="P665" t="s">
        <v>20</v>
      </c>
      <c r="Q665" t="s">
        <v>1262</v>
      </c>
      <c r="R665" t="s">
        <v>20</v>
      </c>
      <c r="S665" t="str">
        <f>HYPERLINK("https://cfpub.epa.gov/ecotox/explore.cfm?ncbi=417921","Explore in ECOTOX")</f>
        <v>Explore in ECOTOX</v>
      </c>
    </row>
    <row r="666" spans="1:19" x14ac:dyDescent="0.25">
      <c r="A666">
        <v>6</v>
      </c>
      <c r="B666" t="str">
        <f>HYPERLINK("http://www.ncbi.nlm.nih.gov/protein/XP_033954632.1","XP_033954632.1")</f>
        <v>XP_033954632.1</v>
      </c>
      <c r="C666">
        <v>38002</v>
      </c>
      <c r="D666" t="str">
        <f>HYPERLINK("http://www.ncbi.nlm.nih.gov/Taxonomy/Browser/wwwtax.cgi?mode=Info&amp;id=52239&amp;lvl=3&amp;lin=f&amp;keep=1&amp;srchmode=1&amp;unlock","52239")</f>
        <v>52239</v>
      </c>
      <c r="E666" t="s">
        <v>384</v>
      </c>
      <c r="F666" t="s">
        <v>384</v>
      </c>
      <c r="G666" t="str">
        <f>HYPERLINK("http://www.ncbi.nlm.nih.gov/Taxonomy/Browser/wwwtax.cgi?mode=Info&amp;id=52239&amp;lvl=3&amp;lin=f&amp;keep=1&amp;srchmode=1&amp;unlock","Pseudochaenichthys georgianus")</f>
        <v>Pseudochaenichthys georgianus</v>
      </c>
      <c r="H666" t="s">
        <v>576</v>
      </c>
      <c r="I666" t="str">
        <f>HYPERLINK("http://www.ncbi.nlm.nih.gov/protein/XP_033954632.1","androgen receptor")</f>
        <v>androgen receptor</v>
      </c>
      <c r="J666" t="s">
        <v>1261</v>
      </c>
      <c r="K666">
        <v>357.84</v>
      </c>
      <c r="L666" t="s">
        <v>25</v>
      </c>
      <c r="M666">
        <v>157</v>
      </c>
      <c r="N666">
        <v>62.55</v>
      </c>
      <c r="O666">
        <v>69.59</v>
      </c>
      <c r="P666" t="s">
        <v>20</v>
      </c>
      <c r="Q666" t="s">
        <v>1262</v>
      </c>
      <c r="R666" t="s">
        <v>20</v>
      </c>
      <c r="S666" t="str">
        <f>HYPERLINK("https://cfpub.epa.gov/ecotox/explore.cfm?ncbi=52239","Explore in ECOTOX")</f>
        <v>Explore in ECOTOX</v>
      </c>
    </row>
    <row r="667" spans="1:19" x14ac:dyDescent="0.25">
      <c r="A667">
        <v>6</v>
      </c>
      <c r="B667" t="str">
        <f>HYPERLINK("http://www.ncbi.nlm.nih.gov/protein/XP_028321907.1","XP_028321907.1")</f>
        <v>XP_028321907.1</v>
      </c>
      <c r="C667">
        <v>43564</v>
      </c>
      <c r="D667" t="str">
        <f>HYPERLINK("http://www.ncbi.nlm.nih.gov/Taxonomy/Browser/wwwtax.cgi?mode=Info&amp;id=441366&amp;lvl=3&amp;lin=f&amp;keep=1&amp;srchmode=1&amp;unlock","441366")</f>
        <v>441366</v>
      </c>
      <c r="E667" t="s">
        <v>384</v>
      </c>
      <c r="F667" t="s">
        <v>384</v>
      </c>
      <c r="G667" t="str">
        <f>HYPERLINK("http://www.ncbi.nlm.nih.gov/Taxonomy/Browser/wwwtax.cgi?mode=Info&amp;id=441366&amp;lvl=3&amp;lin=f&amp;keep=1&amp;srchmode=1&amp;unlock","Gouania willdenowi")</f>
        <v>Gouania willdenowi</v>
      </c>
      <c r="H667" t="s">
        <v>586</v>
      </c>
      <c r="I667" t="str">
        <f>HYPERLINK("http://www.ncbi.nlm.nih.gov/protein/XP_028321907.1","androgen receptor-like isoform X1")</f>
        <v>androgen receptor-like isoform X1</v>
      </c>
      <c r="J667" t="s">
        <v>1261</v>
      </c>
      <c r="K667">
        <v>357.45</v>
      </c>
      <c r="L667" t="s">
        <v>25</v>
      </c>
      <c r="M667">
        <v>157</v>
      </c>
      <c r="N667">
        <v>62.55</v>
      </c>
      <c r="O667">
        <v>69.510000000000005</v>
      </c>
      <c r="P667" t="s">
        <v>20</v>
      </c>
      <c r="Q667" t="s">
        <v>1262</v>
      </c>
      <c r="R667" t="s">
        <v>20</v>
      </c>
      <c r="S667" t="str">
        <f>HYPERLINK("https://cfpub.epa.gov/ecotox/explore.cfm?ncbi=441366","Explore in ECOTOX")</f>
        <v>Explore in ECOTOX</v>
      </c>
    </row>
    <row r="668" spans="1:19" x14ac:dyDescent="0.25">
      <c r="A668">
        <v>6</v>
      </c>
      <c r="B668" t="str">
        <f>HYPERLINK("http://www.ncbi.nlm.nih.gov/protein/XP_029375954.1","XP_029375954.1")</f>
        <v>XP_029375954.1</v>
      </c>
      <c r="C668">
        <v>38279</v>
      </c>
      <c r="D668" t="str">
        <f>HYPERLINK("http://www.ncbi.nlm.nih.gov/Taxonomy/Browser/wwwtax.cgi?mode=Info&amp;id=173247&amp;lvl=3&amp;lin=f&amp;keep=1&amp;srchmode=1&amp;unlock","173247")</f>
        <v>173247</v>
      </c>
      <c r="E668" t="s">
        <v>384</v>
      </c>
      <c r="F668" t="s">
        <v>384</v>
      </c>
      <c r="G668" t="str">
        <f>HYPERLINK("http://www.ncbi.nlm.nih.gov/Taxonomy/Browser/wwwtax.cgi?mode=Info&amp;id=173247&amp;lvl=3&amp;lin=f&amp;keep=1&amp;srchmode=1&amp;unlock","Echeneis naucrates")</f>
        <v>Echeneis naucrates</v>
      </c>
      <c r="H668" t="s">
        <v>588</v>
      </c>
      <c r="I668" t="str">
        <f>HYPERLINK("http://www.ncbi.nlm.nih.gov/protein/XP_029375954.1","androgen receptor")</f>
        <v>androgen receptor</v>
      </c>
      <c r="J668" t="s">
        <v>1261</v>
      </c>
      <c r="K668">
        <v>357.07</v>
      </c>
      <c r="L668" t="s">
        <v>25</v>
      </c>
      <c r="M668">
        <v>157</v>
      </c>
      <c r="N668">
        <v>62.55</v>
      </c>
      <c r="O668">
        <v>69.44</v>
      </c>
      <c r="P668" t="s">
        <v>20</v>
      </c>
      <c r="Q668" t="s">
        <v>1262</v>
      </c>
      <c r="R668" t="s">
        <v>20</v>
      </c>
      <c r="S668" t="str">
        <f>HYPERLINK("https://cfpub.epa.gov/ecotox/explore.cfm?ncbi=173247","Explore in ECOTOX")</f>
        <v>Explore in ECOTOX</v>
      </c>
    </row>
    <row r="669" spans="1:19" x14ac:dyDescent="0.25">
      <c r="A669">
        <v>6</v>
      </c>
      <c r="B669" t="str">
        <f>HYPERLINK("http://www.ncbi.nlm.nih.gov/protein/XP_008331219.2","XP_008331219.2")</f>
        <v>XP_008331219.2</v>
      </c>
      <c r="C669">
        <v>39998</v>
      </c>
      <c r="D669" t="str">
        <f>HYPERLINK("http://www.ncbi.nlm.nih.gov/Taxonomy/Browser/wwwtax.cgi?mode=Info&amp;id=244447&amp;lvl=3&amp;lin=f&amp;keep=1&amp;srchmode=1&amp;unlock","244447")</f>
        <v>244447</v>
      </c>
      <c r="E669" t="s">
        <v>384</v>
      </c>
      <c r="F669" t="s">
        <v>384</v>
      </c>
      <c r="G669" t="str">
        <f>HYPERLINK("http://www.ncbi.nlm.nih.gov/Taxonomy/Browser/wwwtax.cgi?mode=Info&amp;id=244447&amp;lvl=3&amp;lin=f&amp;keep=1&amp;srchmode=1&amp;unlock","Cynoglossus semilaevis")</f>
        <v>Cynoglossus semilaevis</v>
      </c>
      <c r="H669" t="s">
        <v>580</v>
      </c>
      <c r="I669" t="str">
        <f>HYPERLINK("http://www.ncbi.nlm.nih.gov/protein/XP_008331219.2","androgen receptor")</f>
        <v>androgen receptor</v>
      </c>
      <c r="J669" t="s">
        <v>1261</v>
      </c>
      <c r="K669">
        <v>356.68</v>
      </c>
      <c r="L669" t="s">
        <v>25</v>
      </c>
      <c r="M669">
        <v>157</v>
      </c>
      <c r="N669">
        <v>62.55</v>
      </c>
      <c r="O669">
        <v>69.36</v>
      </c>
      <c r="P669" t="s">
        <v>20</v>
      </c>
      <c r="Q669" t="s">
        <v>1262</v>
      </c>
      <c r="R669" t="s">
        <v>20</v>
      </c>
      <c r="S669" t="str">
        <f>HYPERLINK("https://cfpub.epa.gov/ecotox/explore.cfm?ncbi=244447","Explore in ECOTOX")</f>
        <v>Explore in ECOTOX</v>
      </c>
    </row>
    <row r="670" spans="1:19" x14ac:dyDescent="0.25">
      <c r="A670">
        <v>6</v>
      </c>
      <c r="B670" t="str">
        <f>HYPERLINK("http://www.ncbi.nlm.nih.gov/protein/XP_034156502.1","XP_034156502.1")</f>
        <v>XP_034156502.1</v>
      </c>
      <c r="C670">
        <v>66732</v>
      </c>
      <c r="D670" t="str">
        <f>HYPERLINK("http://www.ncbi.nlm.nih.gov/Taxonomy/Browser/wwwtax.cgi?mode=Info&amp;id=310915&amp;lvl=3&amp;lin=f&amp;keep=1&amp;srchmode=1&amp;unlock","310915")</f>
        <v>310915</v>
      </c>
      <c r="E670" t="s">
        <v>384</v>
      </c>
      <c r="F670" t="s">
        <v>384</v>
      </c>
      <c r="G670" t="str">
        <f>HYPERLINK("http://www.ncbi.nlm.nih.gov/Taxonomy/Browser/wwwtax.cgi?mode=Info&amp;id=310915&amp;lvl=3&amp;lin=f&amp;keep=1&amp;srchmode=1&amp;unlock","Pangasianodon hypophthalmus")</f>
        <v>Pangasianodon hypophthalmus</v>
      </c>
      <c r="H670" t="s">
        <v>562</v>
      </c>
      <c r="I670" t="str">
        <f>HYPERLINK("http://www.ncbi.nlm.nih.gov/protein/XP_034156502.1","LOW QUALITY PROTEIN: androgen receptor")</f>
        <v>LOW QUALITY PROTEIN: androgen receptor</v>
      </c>
      <c r="J670" t="s">
        <v>1261</v>
      </c>
      <c r="K670">
        <v>356.3</v>
      </c>
      <c r="L670" t="s">
        <v>25</v>
      </c>
      <c r="M670">
        <v>157</v>
      </c>
      <c r="N670">
        <v>62.55</v>
      </c>
      <c r="O670">
        <v>69.290000000000006</v>
      </c>
      <c r="P670" t="s">
        <v>20</v>
      </c>
      <c r="Q670" t="s">
        <v>1262</v>
      </c>
      <c r="R670" t="s">
        <v>20</v>
      </c>
      <c r="S670" t="str">
        <f>HYPERLINK("https://cfpub.epa.gov/ecotox/explore.cfm?ncbi=310915","Explore in ECOTOX")</f>
        <v>Explore in ECOTOX</v>
      </c>
    </row>
    <row r="671" spans="1:19" x14ac:dyDescent="0.25">
      <c r="A671">
        <v>6</v>
      </c>
      <c r="B671" t="str">
        <f>HYPERLINK("http://www.ncbi.nlm.nih.gov/protein/AGN52747.1","AGN52747.1")</f>
        <v>AGN52747.1</v>
      </c>
      <c r="C671">
        <v>250</v>
      </c>
      <c r="D671" t="str">
        <f>HYPERLINK("http://www.ncbi.nlm.nih.gov/Taxonomy/Browser/wwwtax.cgi?mode=Info&amp;id=111304&amp;lvl=3&amp;lin=f&amp;keep=1&amp;srchmode=1&amp;unlock","111304")</f>
        <v>111304</v>
      </c>
      <c r="E671" t="s">
        <v>384</v>
      </c>
      <c r="F671" t="s">
        <v>384</v>
      </c>
      <c r="G671" t="str">
        <f>HYPERLINK("http://www.ncbi.nlm.nih.gov/Taxonomy/Browser/wwwtax.cgi?mode=Info&amp;id=111304&amp;lvl=3&amp;lin=f&amp;keep=1&amp;srchmode=1&amp;unlock","Acipenser schrenckii")</f>
        <v>Acipenser schrenckii</v>
      </c>
      <c r="H671" t="s">
        <v>1004</v>
      </c>
      <c r="I671" t="str">
        <f>HYPERLINK("http://www.ncbi.nlm.nih.gov/protein/AGN52747.1","androgen receptor")</f>
        <v>androgen receptor</v>
      </c>
      <c r="J671" t="s">
        <v>1261</v>
      </c>
      <c r="K671">
        <v>355.52</v>
      </c>
      <c r="L671" t="s">
        <v>25</v>
      </c>
      <c r="M671">
        <v>157</v>
      </c>
      <c r="N671">
        <v>62.55</v>
      </c>
      <c r="O671">
        <v>69.14</v>
      </c>
      <c r="P671" t="s">
        <v>20</v>
      </c>
      <c r="Q671" t="s">
        <v>1262</v>
      </c>
      <c r="R671" t="s">
        <v>20</v>
      </c>
      <c r="S671" t="str">
        <f>HYPERLINK("https://cfpub.epa.gov/ecotox/explore.cfm?ncbi=111304","Explore in ECOTOX")</f>
        <v>Explore in ECOTOX</v>
      </c>
    </row>
    <row r="672" spans="1:19" x14ac:dyDescent="0.25">
      <c r="A672">
        <v>6</v>
      </c>
      <c r="B672" t="str">
        <f>HYPERLINK("http://www.ncbi.nlm.nih.gov/protein/BAI58986.1","BAI58986.1")</f>
        <v>BAI58986.1</v>
      </c>
      <c r="C672">
        <v>119</v>
      </c>
      <c r="D672" t="str">
        <f>HYPERLINK("http://www.ncbi.nlm.nih.gov/Taxonomy/Browser/wwwtax.cgi?mode=Info&amp;id=109271&amp;lvl=3&amp;lin=f&amp;keep=1&amp;srchmode=1&amp;unlock","109271")</f>
        <v>109271</v>
      </c>
      <c r="E672" t="s">
        <v>384</v>
      </c>
      <c r="F672" t="s">
        <v>384</v>
      </c>
      <c r="G672" t="str">
        <f>HYPERLINK("http://www.ncbi.nlm.nih.gov/Taxonomy/Browser/wwwtax.cgi?mode=Info&amp;id=109271&amp;lvl=3&amp;lin=f&amp;keep=1&amp;srchmode=1&amp;unlock","Osteoglossum bicirrhosum")</f>
        <v>Osteoglossum bicirrhosum</v>
      </c>
      <c r="H672" t="s">
        <v>1024</v>
      </c>
      <c r="I672" t="str">
        <f>HYPERLINK("http://www.ncbi.nlm.nih.gov/protein/BAI58986.1","androgen receptor beta, partial")</f>
        <v>androgen receptor beta, partial</v>
      </c>
      <c r="J672" t="s">
        <v>1261</v>
      </c>
      <c r="K672">
        <v>350.52</v>
      </c>
      <c r="L672" t="s">
        <v>25</v>
      </c>
      <c r="M672">
        <v>157</v>
      </c>
      <c r="N672">
        <v>62.55</v>
      </c>
      <c r="O672">
        <v>68.16</v>
      </c>
      <c r="P672" t="s">
        <v>20</v>
      </c>
      <c r="Q672" t="s">
        <v>1262</v>
      </c>
      <c r="R672" t="s">
        <v>20</v>
      </c>
      <c r="S672" t="str">
        <f>HYPERLINK("https://cfpub.epa.gov/ecotox/explore.cfm?ncbi=109271","Explore in ECOTOX")</f>
        <v>Explore in ECOTOX</v>
      </c>
    </row>
    <row r="673" spans="1:19" x14ac:dyDescent="0.25">
      <c r="A673">
        <v>6</v>
      </c>
      <c r="B673" t="str">
        <f>HYPERLINK("http://www.ncbi.nlm.nih.gov/protein/MBN3284675.1","MBN3284675.1")</f>
        <v>MBN3284675.1</v>
      </c>
      <c r="C673">
        <v>18732</v>
      </c>
      <c r="D673" t="str">
        <f>HYPERLINK("http://www.ncbi.nlm.nih.gov/Taxonomy/Browser/wwwtax.cgi?mode=Info&amp;id=7913&amp;lvl=3&amp;lin=f&amp;keep=1&amp;srchmode=1&amp;unlock","7913")</f>
        <v>7913</v>
      </c>
      <c r="E673" t="s">
        <v>384</v>
      </c>
      <c r="F673" t="s">
        <v>384</v>
      </c>
      <c r="G673" t="str">
        <f>HYPERLINK("http://www.ncbi.nlm.nih.gov/Taxonomy/Browser/wwwtax.cgi?mode=Info&amp;id=7913&amp;lvl=3&amp;lin=f&amp;keep=1&amp;srchmode=1&amp;unlock","Polyodon spathula")</f>
        <v>Polyodon spathula</v>
      </c>
      <c r="H673" t="s">
        <v>694</v>
      </c>
      <c r="I673" t="str">
        <f>HYPERLINK("http://www.ncbi.nlm.nih.gov/protein/MBN3284675.1","ANDR protein")</f>
        <v>ANDR protein</v>
      </c>
      <c r="J673" t="s">
        <v>1261</v>
      </c>
      <c r="K673">
        <v>350.52</v>
      </c>
      <c r="L673" t="s">
        <v>25</v>
      </c>
      <c r="M673">
        <v>157</v>
      </c>
      <c r="N673">
        <v>62.55</v>
      </c>
      <c r="O673">
        <v>68.16</v>
      </c>
      <c r="P673" t="s">
        <v>20</v>
      </c>
      <c r="Q673" t="s">
        <v>1262</v>
      </c>
      <c r="R673" t="s">
        <v>20</v>
      </c>
      <c r="S673" t="str">
        <f>HYPERLINK("https://cfpub.epa.gov/ecotox/explore.cfm?ncbi=7913","Explore in ECOTOX")</f>
        <v>Explore in ECOTOX</v>
      </c>
    </row>
    <row r="674" spans="1:19" x14ac:dyDescent="0.25">
      <c r="A674">
        <v>6</v>
      </c>
      <c r="B674" t="str">
        <f>HYPERLINK("http://www.ncbi.nlm.nih.gov/protein/AWY62802.1","AWY62802.1")</f>
        <v>AWY62802.1</v>
      </c>
      <c r="C674">
        <v>246</v>
      </c>
      <c r="D674" t="str">
        <f>HYPERLINK("http://www.ncbi.nlm.nih.gov/Taxonomy/Browser/wwwtax.cgi?mode=Info&amp;id=61970&amp;lvl=3&amp;lin=f&amp;keep=1&amp;srchmode=1&amp;unlock","61970")</f>
        <v>61970</v>
      </c>
      <c r="E674" t="s">
        <v>384</v>
      </c>
      <c r="F674" t="s">
        <v>384</v>
      </c>
      <c r="G674" t="str">
        <f>HYPERLINK("http://www.ncbi.nlm.nih.gov/Taxonomy/Browser/wwwtax.cgi?mode=Info&amp;id=61970&amp;lvl=3&amp;lin=f&amp;keep=1&amp;srchmode=1&amp;unlock","Acipenser sinensis")</f>
        <v>Acipenser sinensis</v>
      </c>
      <c r="H674" t="s">
        <v>1065</v>
      </c>
      <c r="I674" t="str">
        <f>HYPERLINK("http://www.ncbi.nlm.nih.gov/protein/AWY62802.1","androgen receptor, partial")</f>
        <v>androgen receptor, partial</v>
      </c>
      <c r="J674" t="s">
        <v>1261</v>
      </c>
      <c r="K674">
        <v>337.42</v>
      </c>
      <c r="L674" t="s">
        <v>25</v>
      </c>
      <c r="M674">
        <v>157</v>
      </c>
      <c r="N674">
        <v>62.55</v>
      </c>
      <c r="O674">
        <v>65.62</v>
      </c>
      <c r="P674" t="s">
        <v>20</v>
      </c>
      <c r="Q674" t="s">
        <v>1262</v>
      </c>
      <c r="R674" t="s">
        <v>20</v>
      </c>
      <c r="S674" t="str">
        <f>HYPERLINK("https://cfpub.epa.gov/ecotox/explore.cfm?ncbi=61970","Explore in ECOTOX")</f>
        <v>Explore in ECOTOX</v>
      </c>
    </row>
    <row r="675" spans="1:19" x14ac:dyDescent="0.25">
      <c r="A675">
        <v>6</v>
      </c>
      <c r="B675" t="str">
        <f>HYPERLINK("http://www.ncbi.nlm.nih.gov/protein/AWT24623.1","AWT24623.1")</f>
        <v>AWT24623.1</v>
      </c>
      <c r="C675">
        <v>351</v>
      </c>
      <c r="D675" t="str">
        <f>HYPERLINK("http://www.ncbi.nlm.nih.gov/Taxonomy/Browser/wwwtax.cgi?mode=Info&amp;id=7888&amp;lvl=3&amp;lin=f&amp;keep=1&amp;srchmode=1&amp;unlock","7888")</f>
        <v>7888</v>
      </c>
      <c r="E675" t="s">
        <v>687</v>
      </c>
      <c r="F675" t="s">
        <v>687</v>
      </c>
      <c r="G675" t="str">
        <f>HYPERLINK("http://www.ncbi.nlm.nih.gov/Taxonomy/Browser/wwwtax.cgi?mode=Info&amp;id=7888&amp;lvl=3&amp;lin=f&amp;keep=1&amp;srchmode=1&amp;unlock","Protopterus annectens")</f>
        <v>Protopterus annectens</v>
      </c>
      <c r="H675" t="s">
        <v>1010</v>
      </c>
      <c r="I675" t="str">
        <f>HYPERLINK("http://www.ncbi.nlm.nih.gov/protein/AWT24623.1","AR")</f>
        <v>AR</v>
      </c>
      <c r="J675" t="s">
        <v>1261</v>
      </c>
      <c r="K675">
        <v>336.26</v>
      </c>
      <c r="L675" t="s">
        <v>25</v>
      </c>
      <c r="M675">
        <v>157</v>
      </c>
      <c r="N675">
        <v>62.55</v>
      </c>
      <c r="O675">
        <v>65.39</v>
      </c>
      <c r="P675" t="s">
        <v>20</v>
      </c>
      <c r="Q675" t="s">
        <v>1262</v>
      </c>
      <c r="R675" t="s">
        <v>20</v>
      </c>
      <c r="S675" t="str">
        <f>HYPERLINK("https://cfpub.epa.gov/ecotox/explore.cfm?ncbi=7888","Explore in ECOTOX")</f>
        <v>Explore in ECOTOX</v>
      </c>
    </row>
    <row r="676" spans="1:19" x14ac:dyDescent="0.25">
      <c r="A676">
        <v>6</v>
      </c>
      <c r="B676" t="str">
        <f>HYPERLINK("http://www.ncbi.nlm.nih.gov/protein/BBG06101.1","BBG06101.1")</f>
        <v>BBG06101.1</v>
      </c>
      <c r="C676">
        <v>183</v>
      </c>
      <c r="D676" t="str">
        <f>HYPERLINK("http://www.ncbi.nlm.nih.gov/Taxonomy/Browser/wwwtax.cgi?mode=Info&amp;id=109274&amp;lvl=3&amp;lin=f&amp;keep=1&amp;srchmode=1&amp;unlock","109274")</f>
        <v>109274</v>
      </c>
      <c r="E676" t="s">
        <v>384</v>
      </c>
      <c r="F676" t="s">
        <v>384</v>
      </c>
      <c r="G676" t="str">
        <f>HYPERLINK("http://www.ncbi.nlm.nih.gov/Taxonomy/Browser/wwwtax.cgi?mode=Info&amp;id=109274&amp;lvl=3&amp;lin=f&amp;keep=1&amp;srchmode=1&amp;unlock","Hippocampus abdominalis")</f>
        <v>Hippocampus abdominalis</v>
      </c>
      <c r="H676" t="s">
        <v>1021</v>
      </c>
      <c r="I676" t="str">
        <f>HYPERLINK("http://www.ncbi.nlm.nih.gov/protein/BBG06101.1","androgen receptor beta")</f>
        <v>androgen receptor beta</v>
      </c>
      <c r="J676" t="s">
        <v>1261</v>
      </c>
      <c r="K676">
        <v>335.11</v>
      </c>
      <c r="L676" t="s">
        <v>25</v>
      </c>
      <c r="M676">
        <v>157</v>
      </c>
      <c r="N676">
        <v>62.55</v>
      </c>
      <c r="O676">
        <v>65.17</v>
      </c>
      <c r="P676" t="s">
        <v>20</v>
      </c>
      <c r="Q676" t="s">
        <v>1262</v>
      </c>
      <c r="R676" t="s">
        <v>20</v>
      </c>
      <c r="S676" t="str">
        <f>HYPERLINK("https://cfpub.epa.gov/ecotox/explore.cfm?ncbi=109274","Explore in ECOTOX")</f>
        <v>Explore in ECOTOX</v>
      </c>
    </row>
    <row r="677" spans="1:19" x14ac:dyDescent="0.25">
      <c r="A677">
        <v>6</v>
      </c>
      <c r="B677" t="str">
        <f>HYPERLINK("http://www.ncbi.nlm.nih.gov/protein/XP_019719865.1","XP_019719865.1")</f>
        <v>XP_019719865.1</v>
      </c>
      <c r="C677">
        <v>42023</v>
      </c>
      <c r="D677" t="str">
        <f>HYPERLINK("http://www.ncbi.nlm.nih.gov/Taxonomy/Browser/wwwtax.cgi?mode=Info&amp;id=109280&amp;lvl=3&amp;lin=f&amp;keep=1&amp;srchmode=1&amp;unlock","109280")</f>
        <v>109280</v>
      </c>
      <c r="E677" t="s">
        <v>384</v>
      </c>
      <c r="F677" t="s">
        <v>384</v>
      </c>
      <c r="G677" t="str">
        <f>HYPERLINK("http://www.ncbi.nlm.nih.gov/Taxonomy/Browser/wwwtax.cgi?mode=Info&amp;id=109280&amp;lvl=3&amp;lin=f&amp;keep=1&amp;srchmode=1&amp;unlock","Hippocampus comes")</f>
        <v>Hippocampus comes</v>
      </c>
      <c r="H677" t="s">
        <v>499</v>
      </c>
      <c r="I677" t="str">
        <f>HYPERLINK("http://www.ncbi.nlm.nih.gov/protein/XP_019719865.1","PREDICTED: androgen receptor-like")</f>
        <v>PREDICTED: androgen receptor-like</v>
      </c>
      <c r="J677" t="s">
        <v>1261</v>
      </c>
      <c r="K677">
        <v>335.11</v>
      </c>
      <c r="L677" t="s">
        <v>25</v>
      </c>
      <c r="M677">
        <v>157</v>
      </c>
      <c r="N677">
        <v>62.55</v>
      </c>
      <c r="O677">
        <v>65.17</v>
      </c>
      <c r="P677" t="s">
        <v>20</v>
      </c>
      <c r="Q677" t="s">
        <v>1262</v>
      </c>
      <c r="R677" t="s">
        <v>20</v>
      </c>
      <c r="S677" t="str">
        <f>HYPERLINK("https://cfpub.epa.gov/ecotox/explore.cfm?ncbi=109280","Explore in ECOTOX")</f>
        <v>Explore in ECOTOX</v>
      </c>
    </row>
    <row r="678" spans="1:19" x14ac:dyDescent="0.25">
      <c r="A678">
        <v>6</v>
      </c>
      <c r="B678" t="str">
        <f>HYPERLINK("http://www.ncbi.nlm.nih.gov/protein/ANJ46840.1","ANJ46840.1")</f>
        <v>ANJ46840.1</v>
      </c>
      <c r="C678">
        <v>317</v>
      </c>
      <c r="D678" t="str">
        <f>HYPERLINK("http://www.ncbi.nlm.nih.gov/Taxonomy/Browser/wwwtax.cgi?mode=Info&amp;id=141264&amp;lvl=3&amp;lin=f&amp;keep=1&amp;srchmode=1&amp;unlock","141264")</f>
        <v>141264</v>
      </c>
      <c r="E678" t="s">
        <v>384</v>
      </c>
      <c r="F678" t="s">
        <v>384</v>
      </c>
      <c r="G678" t="str">
        <f>HYPERLINK("http://www.ncbi.nlm.nih.gov/Taxonomy/Browser/wwwtax.cgi?mode=Info&amp;id=141264&amp;lvl=3&amp;lin=f&amp;keep=1&amp;srchmode=1&amp;unlock","Rachycentron canadum")</f>
        <v>Rachycentron canadum</v>
      </c>
      <c r="H678" t="s">
        <v>950</v>
      </c>
      <c r="I678" t="str">
        <f>HYPERLINK("http://www.ncbi.nlm.nih.gov/protein/ANJ46840.1","androgen receptor, partial")</f>
        <v>androgen receptor, partial</v>
      </c>
      <c r="J678" t="s">
        <v>1261</v>
      </c>
      <c r="K678">
        <v>330.1</v>
      </c>
      <c r="L678" t="s">
        <v>25</v>
      </c>
      <c r="M678">
        <v>157</v>
      </c>
      <c r="N678">
        <v>62.55</v>
      </c>
      <c r="O678">
        <v>64.19</v>
      </c>
      <c r="P678" t="s">
        <v>20</v>
      </c>
      <c r="Q678" t="s">
        <v>1262</v>
      </c>
      <c r="R678" t="s">
        <v>20</v>
      </c>
      <c r="S678" t="str">
        <f>HYPERLINK("https://cfpub.epa.gov/ecotox/explore.cfm?ncbi=141264","Explore in ECOTOX")</f>
        <v>Explore in ECOTOX</v>
      </c>
    </row>
    <row r="679" spans="1:19" x14ac:dyDescent="0.25">
      <c r="A679">
        <v>6</v>
      </c>
      <c r="B679" t="str">
        <f>HYPERLINK("http://www.ncbi.nlm.nih.gov/protein/KFO53781.1","KFO53781.1")</f>
        <v>KFO53781.1</v>
      </c>
      <c r="C679">
        <v>43088</v>
      </c>
      <c r="D679" t="str">
        <f>HYPERLINK("http://www.ncbi.nlm.nih.gov/Taxonomy/Browser/wwwtax.cgi?mode=Info&amp;id=85066&amp;lvl=3&amp;lin=f&amp;keep=1&amp;srchmode=1&amp;unlock","85066")</f>
        <v>85066</v>
      </c>
      <c r="E679" t="s">
        <v>167</v>
      </c>
      <c r="F679" t="s">
        <v>167</v>
      </c>
      <c r="G679" t="str">
        <f>HYPERLINK("http://www.ncbi.nlm.nih.gov/Taxonomy/Browser/wwwtax.cgi?mode=Info&amp;id=85066&amp;lvl=3&amp;lin=f&amp;keep=1&amp;srchmode=1&amp;unlock","Corvus brachyrhynchos")</f>
        <v>Corvus brachyrhynchos</v>
      </c>
      <c r="H679" t="s">
        <v>294</v>
      </c>
      <c r="I679" t="str">
        <f>HYPERLINK("http://www.ncbi.nlm.nih.gov/protein/KFO53781.1","Androgen receptor, partial")</f>
        <v>Androgen receptor, partial</v>
      </c>
      <c r="J679" t="s">
        <v>1261</v>
      </c>
      <c r="K679">
        <v>329.72</v>
      </c>
      <c r="L679" t="s">
        <v>25</v>
      </c>
      <c r="M679">
        <v>157</v>
      </c>
      <c r="N679">
        <v>62.55</v>
      </c>
      <c r="O679">
        <v>64.12</v>
      </c>
      <c r="P679" t="s">
        <v>20</v>
      </c>
      <c r="Q679" t="s">
        <v>1262</v>
      </c>
      <c r="R679" t="s">
        <v>20</v>
      </c>
      <c r="S679" t="str">
        <f>HYPERLINK("https://cfpub.epa.gov/ecotox/explore.cfm?ncbi=85066","Explore in ECOTOX")</f>
        <v>Explore in ECOTOX</v>
      </c>
    </row>
    <row r="680" spans="1:19" x14ac:dyDescent="0.25">
      <c r="A680">
        <v>6</v>
      </c>
      <c r="B680" t="str">
        <f>HYPERLINK("http://www.ncbi.nlm.nih.gov/protein/CAB1324957.1","CAB1324957.1")</f>
        <v>CAB1324957.1</v>
      </c>
      <c r="C680">
        <v>41735</v>
      </c>
      <c r="D680" t="str">
        <f>HYPERLINK("http://www.ncbi.nlm.nih.gov/Taxonomy/Browser/wwwtax.cgi?mode=Info&amp;id=861768&amp;lvl=3&amp;lin=f&amp;keep=1&amp;srchmode=1&amp;unlock","861768")</f>
        <v>861768</v>
      </c>
      <c r="E680" t="s">
        <v>384</v>
      </c>
      <c r="F680" t="s">
        <v>384</v>
      </c>
      <c r="G680" t="str">
        <f>HYPERLINK("http://www.ncbi.nlm.nih.gov/Taxonomy/Browser/wwwtax.cgi?mode=Info&amp;id=861768&amp;lvl=3&amp;lin=f&amp;keep=1&amp;srchmode=1&amp;unlock","Coregonus sp. 'balchen'")</f>
        <v>Coregonus sp. 'balchen'</v>
      </c>
      <c r="H680" t="s">
        <v>494</v>
      </c>
      <c r="I680" t="str">
        <f>HYPERLINK("http://www.ncbi.nlm.nih.gov/protein/CAB1324957.1","unnamed protein product")</f>
        <v>unnamed protein product</v>
      </c>
      <c r="J680" t="s">
        <v>1261</v>
      </c>
      <c r="K680">
        <v>328.56</v>
      </c>
      <c r="L680" t="s">
        <v>25</v>
      </c>
      <c r="M680">
        <v>157</v>
      </c>
      <c r="N680">
        <v>62.55</v>
      </c>
      <c r="O680">
        <v>63.89</v>
      </c>
      <c r="P680" t="s">
        <v>20</v>
      </c>
      <c r="Q680" t="s">
        <v>1262</v>
      </c>
      <c r="R680" t="s">
        <v>20</v>
      </c>
      <c r="S680" t="str">
        <f>HYPERLINK("https://cfpub.epa.gov/ecotox/explore.cfm?ncbi=861768","Explore in ECOTOX")</f>
        <v>Explore in ECOTOX</v>
      </c>
    </row>
    <row r="681" spans="1:19" x14ac:dyDescent="0.25">
      <c r="A681">
        <v>6</v>
      </c>
      <c r="B681" t="str">
        <f>HYPERLINK("http://www.ncbi.nlm.nih.gov/protein/XP_037531326.1","XP_037531326.1")</f>
        <v>XP_037531326.1</v>
      </c>
      <c r="C681">
        <v>24152</v>
      </c>
      <c r="D681" t="str">
        <f>HYPERLINK("http://www.ncbi.nlm.nih.gov/Taxonomy/Browser/wwwtax.cgi?mode=Info&amp;id=451745&amp;lvl=3&amp;lin=f&amp;keep=1&amp;srchmode=1&amp;unlock","451745")</f>
        <v>451745</v>
      </c>
      <c r="E681" t="s">
        <v>384</v>
      </c>
      <c r="F681" t="s">
        <v>384</v>
      </c>
      <c r="G681" t="str">
        <f>HYPERLINK("http://www.ncbi.nlm.nih.gov/Taxonomy/Browser/wwwtax.cgi?mode=Info&amp;id=451745&amp;lvl=3&amp;lin=f&amp;keep=1&amp;srchmode=1&amp;unlock","Nematolebias whitei")</f>
        <v>Nematolebias whitei</v>
      </c>
      <c r="H681" t="s">
        <v>565</v>
      </c>
      <c r="I681" t="str">
        <f>HYPERLINK("http://www.ncbi.nlm.nih.gov/protein/XP_037531326.1","androgen receptor-like")</f>
        <v>androgen receptor-like</v>
      </c>
      <c r="J681" t="s">
        <v>1261</v>
      </c>
      <c r="K681">
        <v>327.79</v>
      </c>
      <c r="L681" t="s">
        <v>25</v>
      </c>
      <c r="M681">
        <v>157</v>
      </c>
      <c r="N681">
        <v>62.55</v>
      </c>
      <c r="O681">
        <v>63.74</v>
      </c>
      <c r="P681" t="s">
        <v>20</v>
      </c>
      <c r="Q681" t="s">
        <v>1262</v>
      </c>
      <c r="R681" t="s">
        <v>20</v>
      </c>
      <c r="S681" t="str">
        <f>HYPERLINK("https://cfpub.epa.gov/ecotox/explore.cfm?ncbi=451745","Explore in ECOTOX")</f>
        <v>Explore in ECOTOX</v>
      </c>
    </row>
    <row r="682" spans="1:19" x14ac:dyDescent="0.25">
      <c r="A682">
        <v>6</v>
      </c>
      <c r="B682" t="str">
        <f>HYPERLINK("http://www.ncbi.nlm.nih.gov/protein/AAY41828.1","AAY41828.1")</f>
        <v>AAY41828.1</v>
      </c>
      <c r="C682">
        <v>17</v>
      </c>
      <c r="D682" t="str">
        <f>HYPERLINK("http://www.ncbi.nlm.nih.gov/Taxonomy/Browser/wwwtax.cgi?mode=Info&amp;id=328808&amp;lvl=3&amp;lin=f&amp;keep=1&amp;srchmode=1&amp;unlock","328808")</f>
        <v>328808</v>
      </c>
      <c r="E682" t="s">
        <v>167</v>
      </c>
      <c r="F682" t="s">
        <v>167</v>
      </c>
      <c r="G682" t="str">
        <f>HYPERLINK("http://www.ncbi.nlm.nih.gov/Taxonomy/Browser/wwwtax.cgi?mode=Info&amp;id=328808&amp;lvl=3&amp;lin=f&amp;keep=1&amp;srchmode=1&amp;unlock","Streptopelia risoria")</f>
        <v>Streptopelia risoria</v>
      </c>
      <c r="H682" t="s">
        <v>1025</v>
      </c>
      <c r="I682" t="str">
        <f>HYPERLINK("http://www.ncbi.nlm.nih.gov/protein/AAY41828.1","androgen receptor, partial")</f>
        <v>androgen receptor, partial</v>
      </c>
      <c r="J682" t="s">
        <v>1261</v>
      </c>
      <c r="K682">
        <v>325.08999999999997</v>
      </c>
      <c r="L682" t="s">
        <v>25</v>
      </c>
      <c r="M682">
        <v>157</v>
      </c>
      <c r="N682">
        <v>62.55</v>
      </c>
      <c r="O682">
        <v>63.22</v>
      </c>
      <c r="P682" t="s">
        <v>20</v>
      </c>
      <c r="Q682" t="s">
        <v>1262</v>
      </c>
      <c r="R682" t="s">
        <v>20</v>
      </c>
      <c r="S682" t="str">
        <f>HYPERLINK("https://cfpub.epa.gov/ecotox/explore.cfm?ncbi=328808","Explore in ECOTOX")</f>
        <v>Explore in ECOTOX</v>
      </c>
    </row>
    <row r="683" spans="1:19" x14ac:dyDescent="0.25">
      <c r="A683">
        <v>6</v>
      </c>
      <c r="B683" t="str">
        <f>HYPERLINK("http://www.ncbi.nlm.nih.gov/protein/AIN41695.1","AIN41695.1")</f>
        <v>AIN41695.1</v>
      </c>
      <c r="C683">
        <v>433</v>
      </c>
      <c r="D683" t="str">
        <f>HYPERLINK("http://www.ncbi.nlm.nih.gov/Taxonomy/Browser/wwwtax.cgi?mode=Info&amp;id=28829&amp;lvl=3&amp;lin=f&amp;keep=1&amp;srchmode=1&amp;unlock","28829")</f>
        <v>28829</v>
      </c>
      <c r="E683" t="s">
        <v>384</v>
      </c>
      <c r="F683" t="s">
        <v>384</v>
      </c>
      <c r="G683" t="str">
        <f>HYPERLINK("http://www.ncbi.nlm.nih.gov/Taxonomy/Browser/wwwtax.cgi?mode=Info&amp;id=28829&amp;lvl=3&amp;lin=f&amp;keep=1&amp;srchmode=1&amp;unlock","Solea senegalensis")</f>
        <v>Solea senegalensis</v>
      </c>
      <c r="H683" t="s">
        <v>527</v>
      </c>
      <c r="I683" t="str">
        <f>HYPERLINK("http://www.ncbi.nlm.nih.gov/protein/AIN41695.1","androgen receptor alpha, partial")</f>
        <v>androgen receptor alpha, partial</v>
      </c>
      <c r="J683" t="s">
        <v>1261</v>
      </c>
      <c r="K683">
        <v>324.70999999999998</v>
      </c>
      <c r="L683" t="s">
        <v>25</v>
      </c>
      <c r="M683">
        <v>157</v>
      </c>
      <c r="N683">
        <v>62.55</v>
      </c>
      <c r="O683">
        <v>63.15</v>
      </c>
      <c r="P683" t="s">
        <v>20</v>
      </c>
      <c r="Q683" t="s">
        <v>1262</v>
      </c>
      <c r="R683" t="s">
        <v>20</v>
      </c>
      <c r="S683" t="str">
        <f>HYPERLINK("https://cfpub.epa.gov/ecotox/explore.cfm?ncbi=28829","Explore in ECOTOX")</f>
        <v>Explore in ECOTOX</v>
      </c>
    </row>
    <row r="684" spans="1:19" x14ac:dyDescent="0.25">
      <c r="A684">
        <v>6</v>
      </c>
      <c r="B684" t="str">
        <f>HYPERLINK("http://www.ncbi.nlm.nih.gov/protein/XP_037124887.1","XP_037124887.1")</f>
        <v>XP_037124887.1</v>
      </c>
      <c r="C684">
        <v>41996</v>
      </c>
      <c r="D684" t="str">
        <f>HYPERLINK("http://www.ncbi.nlm.nih.gov/Taxonomy/Browser/wwwtax.cgi?mode=Info&amp;id=161584&amp;lvl=3&amp;lin=f&amp;keep=1&amp;srchmode=1&amp;unlock","161584")</f>
        <v>161584</v>
      </c>
      <c r="E684" t="s">
        <v>384</v>
      </c>
      <c r="F684" t="s">
        <v>384</v>
      </c>
      <c r="G684" t="str">
        <f>HYPERLINK("http://www.ncbi.nlm.nih.gov/Taxonomy/Browser/wwwtax.cgi?mode=Info&amp;id=161584&amp;lvl=3&amp;lin=f&amp;keep=1&amp;srchmode=1&amp;unlock","Syngnathus acus")</f>
        <v>Syngnathus acus</v>
      </c>
      <c r="H684" t="s">
        <v>530</v>
      </c>
      <c r="I684" t="str">
        <f>HYPERLINK("http://www.ncbi.nlm.nih.gov/protein/XP_037124887.1","androgen receptor-like")</f>
        <v>androgen receptor-like</v>
      </c>
      <c r="J684" t="s">
        <v>1261</v>
      </c>
      <c r="K684">
        <v>322.39999999999998</v>
      </c>
      <c r="L684" t="s">
        <v>25</v>
      </c>
      <c r="M684">
        <v>157</v>
      </c>
      <c r="N684">
        <v>62.55</v>
      </c>
      <c r="O684">
        <v>62.7</v>
      </c>
      <c r="P684" t="s">
        <v>20</v>
      </c>
      <c r="Q684" t="s">
        <v>1262</v>
      </c>
      <c r="R684" t="s">
        <v>20</v>
      </c>
      <c r="S684" t="str">
        <f>HYPERLINK("https://cfpub.epa.gov/ecotox/explore.cfm?ncbi=161584","Explore in ECOTOX")</f>
        <v>Explore in ECOTOX</v>
      </c>
    </row>
    <row r="685" spans="1:19" x14ac:dyDescent="0.25">
      <c r="A685">
        <v>6</v>
      </c>
      <c r="B685" t="str">
        <f>HYPERLINK("http://www.ncbi.nlm.nih.gov/protein/ALL99217.1","ALL99217.1")</f>
        <v>ALL99217.1</v>
      </c>
      <c r="C685">
        <v>423</v>
      </c>
      <c r="D685" t="str">
        <f>HYPERLINK("http://www.ncbi.nlm.nih.gov/Taxonomy/Browser/wwwtax.cgi?mode=Info&amp;id=9863&amp;lvl=3&amp;lin=f&amp;keep=1&amp;srchmode=1&amp;unlock","9863")</f>
        <v>9863</v>
      </c>
      <c r="E685" t="s">
        <v>18</v>
      </c>
      <c r="F685" t="s">
        <v>18</v>
      </c>
      <c r="G685" t="str">
        <f>HYPERLINK("http://www.ncbi.nlm.nih.gov/Taxonomy/Browser/wwwtax.cgi?mode=Info&amp;id=9863&amp;lvl=3&amp;lin=f&amp;keep=1&amp;srchmode=1&amp;unlock","Cervus nippon")</f>
        <v>Cervus nippon</v>
      </c>
      <c r="H685" t="s">
        <v>973</v>
      </c>
      <c r="I685" t="str">
        <f>HYPERLINK("http://www.ncbi.nlm.nih.gov/protein/ALL99217.1","androgen receptor, partial")</f>
        <v>androgen receptor, partial</v>
      </c>
      <c r="J685" t="s">
        <v>1261</v>
      </c>
      <c r="K685">
        <v>321.63</v>
      </c>
      <c r="L685" t="s">
        <v>20</v>
      </c>
      <c r="M685">
        <v>157</v>
      </c>
      <c r="N685">
        <v>62.55</v>
      </c>
      <c r="O685">
        <v>62.55</v>
      </c>
      <c r="P685" t="s">
        <v>20</v>
      </c>
      <c r="Q685" t="s">
        <v>1262</v>
      </c>
      <c r="R685" t="s">
        <v>20</v>
      </c>
      <c r="S685" t="str">
        <f>HYPERLINK("https://cfpub.epa.gov/ecotox/explore.cfm?ncbi=9863","Explore in ECOTOX")</f>
        <v>Explore in ECOTOX</v>
      </c>
    </row>
    <row r="686" spans="1:19" x14ac:dyDescent="0.25">
      <c r="A686">
        <v>6</v>
      </c>
      <c r="B686" t="str">
        <f>HYPERLINK("http://www.ncbi.nlm.nih.gov/protein/KAF3838057.1","KAF3838057.1")</f>
        <v>KAF3838057.1</v>
      </c>
      <c r="C686">
        <v>29423</v>
      </c>
      <c r="D686" t="str">
        <f>HYPERLINK("http://www.ncbi.nlm.nih.gov/Taxonomy/Browser/wwwtax.cgi?mode=Info&amp;id=36200&amp;lvl=3&amp;lin=f&amp;keep=1&amp;srchmode=1&amp;unlock","36200")</f>
        <v>36200</v>
      </c>
      <c r="E686" t="s">
        <v>384</v>
      </c>
      <c r="F686" t="s">
        <v>384</v>
      </c>
      <c r="G686" t="str">
        <f>HYPERLINK("http://www.ncbi.nlm.nih.gov/Taxonomy/Browser/wwwtax.cgi?mode=Info&amp;id=36200&amp;lvl=3&amp;lin=f&amp;keep=1&amp;srchmode=1&amp;unlock","Dissostichus mawsoni")</f>
        <v>Dissostichus mawsoni</v>
      </c>
      <c r="H686" t="s">
        <v>587</v>
      </c>
      <c r="I686" t="str">
        <f>HYPERLINK("http://www.ncbi.nlm.nih.gov/protein/KAF3838057.1","hypothetical protein F7725_009825")</f>
        <v>hypothetical protein F7725_009825</v>
      </c>
      <c r="J686" t="s">
        <v>1261</v>
      </c>
      <c r="K686">
        <v>321.63</v>
      </c>
      <c r="L686" t="s">
        <v>25</v>
      </c>
      <c r="M686">
        <v>157</v>
      </c>
      <c r="N686">
        <v>62.55</v>
      </c>
      <c r="O686">
        <v>62.55</v>
      </c>
      <c r="P686" t="s">
        <v>20</v>
      </c>
      <c r="Q686" t="s">
        <v>1262</v>
      </c>
      <c r="R686" t="s">
        <v>20</v>
      </c>
      <c r="S686" t="str">
        <f>HYPERLINK("https://cfpub.epa.gov/ecotox/explore.cfm?ncbi=36200","Explore in ECOTOX")</f>
        <v>Explore in ECOTOX</v>
      </c>
    </row>
    <row r="687" spans="1:19" x14ac:dyDescent="0.25">
      <c r="A687">
        <v>6</v>
      </c>
      <c r="B687" t="str">
        <f>HYPERLINK("http://www.ncbi.nlm.nih.gov/protein/TNM98841.1","TNM98841.1")</f>
        <v>TNM98841.1</v>
      </c>
      <c r="C687">
        <v>20163</v>
      </c>
      <c r="D687" t="str">
        <f>HYPERLINK("http://www.ncbi.nlm.nih.gov/Taxonomy/Browser/wwwtax.cgi?mode=Info&amp;id=433685&amp;lvl=3&amp;lin=f&amp;keep=1&amp;srchmode=1&amp;unlock","433685")</f>
        <v>433685</v>
      </c>
      <c r="E687" t="s">
        <v>384</v>
      </c>
      <c r="F687" t="s">
        <v>384</v>
      </c>
      <c r="G687" t="str">
        <f>HYPERLINK("http://www.ncbi.nlm.nih.gov/Taxonomy/Browser/wwwtax.cgi?mode=Info&amp;id=433685&amp;lvl=3&amp;lin=f&amp;keep=1&amp;srchmode=1&amp;unlock","Takifugu bimaculatus")</f>
        <v>Takifugu bimaculatus</v>
      </c>
      <c r="H687" t="s">
        <v>675</v>
      </c>
      <c r="I687" t="str">
        <f>HYPERLINK("http://www.ncbi.nlm.nih.gov/protein/TNM98841.1","hypothetical protein fugu_013405")</f>
        <v>hypothetical protein fugu_013405</v>
      </c>
      <c r="J687" t="s">
        <v>1261</v>
      </c>
      <c r="K687">
        <v>318.16000000000003</v>
      </c>
      <c r="L687" t="s">
        <v>25</v>
      </c>
      <c r="M687">
        <v>157</v>
      </c>
      <c r="N687">
        <v>62.55</v>
      </c>
      <c r="O687">
        <v>61.87</v>
      </c>
      <c r="P687" t="s">
        <v>20</v>
      </c>
      <c r="Q687" t="s">
        <v>1262</v>
      </c>
      <c r="R687" t="s">
        <v>20</v>
      </c>
      <c r="S687" t="str">
        <f>HYPERLINK("https://cfpub.epa.gov/ecotox/explore.cfm?ncbi=433685","Explore in ECOTOX")</f>
        <v>Explore in ECOTOX</v>
      </c>
    </row>
    <row r="688" spans="1:19" x14ac:dyDescent="0.25">
      <c r="A688">
        <v>6</v>
      </c>
      <c r="B688" t="str">
        <f>HYPERLINK("http://www.ncbi.nlm.nih.gov/protein/TNN47793.1","TNN47793.1")</f>
        <v>TNN47793.1</v>
      </c>
      <c r="C688">
        <v>68294</v>
      </c>
      <c r="D688" t="str">
        <f>HYPERLINK("http://www.ncbi.nlm.nih.gov/Taxonomy/Browser/wwwtax.cgi?mode=Info&amp;id=230148&amp;lvl=3&amp;lin=f&amp;keep=1&amp;srchmode=1&amp;unlock","230148")</f>
        <v>230148</v>
      </c>
      <c r="E688" t="s">
        <v>384</v>
      </c>
      <c r="F688" t="s">
        <v>384</v>
      </c>
      <c r="G688" t="str">
        <f>HYPERLINK("http://www.ncbi.nlm.nih.gov/Taxonomy/Browser/wwwtax.cgi?mode=Info&amp;id=230148&amp;lvl=3&amp;lin=f&amp;keep=1&amp;srchmode=1&amp;unlock","Liparis tanakae")</f>
        <v>Liparis tanakae</v>
      </c>
      <c r="H688" t="s">
        <v>542</v>
      </c>
      <c r="I688" t="str">
        <f>HYPERLINK("http://www.ncbi.nlm.nih.gov/protein/TNN47793.1","Androgen receptor")</f>
        <v>Androgen receptor</v>
      </c>
      <c r="J688" t="s">
        <v>1261</v>
      </c>
      <c r="K688">
        <v>310.07</v>
      </c>
      <c r="L688" t="s">
        <v>25</v>
      </c>
      <c r="M688">
        <v>157</v>
      </c>
      <c r="N688">
        <v>62.55</v>
      </c>
      <c r="O688">
        <v>60.3</v>
      </c>
      <c r="P688" t="s">
        <v>20</v>
      </c>
      <c r="Q688" t="s">
        <v>1262</v>
      </c>
      <c r="R688" t="s">
        <v>20</v>
      </c>
      <c r="S688" t="str">
        <f>HYPERLINK("https://cfpub.epa.gov/ecotox/explore.cfm?ncbi=230148","Explore in ECOTOX")</f>
        <v>Explore in ECOTOX</v>
      </c>
    </row>
    <row r="689" spans="1:19" x14ac:dyDescent="0.25">
      <c r="A689">
        <v>6</v>
      </c>
      <c r="B689" t="str">
        <f>HYPERLINK("http://www.ncbi.nlm.nih.gov/protein/ATO92585.1","ATO92585.1")</f>
        <v>ATO92585.1</v>
      </c>
      <c r="C689">
        <v>94</v>
      </c>
      <c r="D689" t="str">
        <f>HYPERLINK("http://www.ncbi.nlm.nih.gov/Taxonomy/Browser/wwwtax.cgi?mode=Info&amp;id=260202&amp;lvl=3&amp;lin=f&amp;keep=1&amp;srchmode=1&amp;unlock","260202")</f>
        <v>260202</v>
      </c>
      <c r="E689" t="s">
        <v>236</v>
      </c>
      <c r="F689" t="s">
        <v>236</v>
      </c>
      <c r="G689" t="str">
        <f>HYPERLINK("http://www.ncbi.nlm.nih.gov/Taxonomy/Browser/wwwtax.cgi?mode=Info&amp;id=260202&amp;lvl=3&amp;lin=f&amp;keep=1&amp;srchmode=1&amp;unlock","Hemidactylus flaviviridis")</f>
        <v>Hemidactylus flaviviridis</v>
      </c>
      <c r="H689" t="s">
        <v>650</v>
      </c>
      <c r="I689" t="str">
        <f>HYPERLINK("http://www.ncbi.nlm.nih.gov/protein/ATO92585.1","progesterone receptor, partial")</f>
        <v>progesterone receptor, partial</v>
      </c>
      <c r="J689" t="s">
        <v>1261</v>
      </c>
      <c r="K689">
        <v>308.52999999999997</v>
      </c>
      <c r="L689" t="s">
        <v>25</v>
      </c>
      <c r="M689">
        <v>157</v>
      </c>
      <c r="N689">
        <v>62.55</v>
      </c>
      <c r="O689">
        <v>60</v>
      </c>
      <c r="P689" t="s">
        <v>20</v>
      </c>
      <c r="Q689" t="s">
        <v>1262</v>
      </c>
      <c r="R689" t="s">
        <v>20</v>
      </c>
      <c r="S689" t="str">
        <f>HYPERLINK("https://cfpub.epa.gov/ecotox/explore.cfm?ncbi=260202","Explore in ECOTOX")</f>
        <v>Explore in ECOTOX</v>
      </c>
    </row>
    <row r="690" spans="1:19" x14ac:dyDescent="0.25">
      <c r="A690">
        <v>6</v>
      </c>
      <c r="B690" t="str">
        <f>HYPERLINK("http://www.ncbi.nlm.nih.gov/protein/ABF20060.1","ABF20060.1")</f>
        <v>ABF20060.1</v>
      </c>
      <c r="C690">
        <v>55</v>
      </c>
      <c r="D690" t="str">
        <f>HYPERLINK("http://www.ncbi.nlm.nih.gov/Taxonomy/Browser/wwwtax.cgi?mode=Info&amp;id=382247&amp;lvl=3&amp;lin=f&amp;keep=1&amp;srchmode=1&amp;unlock","382247")</f>
        <v>382247</v>
      </c>
      <c r="E690" t="s">
        <v>167</v>
      </c>
      <c r="F690" t="s">
        <v>167</v>
      </c>
      <c r="G690" t="str">
        <f>HYPERLINK("http://www.ncbi.nlm.nih.gov/Taxonomy/Browser/wwwtax.cgi?mode=Info&amp;id=382247&amp;lvl=3&amp;lin=f&amp;keep=1&amp;srchmode=1&amp;unlock","Centropus grillii")</f>
        <v>Centropus grillii</v>
      </c>
      <c r="H690" t="s">
        <v>303</v>
      </c>
      <c r="I690" t="str">
        <f>HYPERLINK("http://www.ncbi.nlm.nih.gov/protein/ABF20060.1","androgen receptor, partial")</f>
        <v>androgen receptor, partial</v>
      </c>
      <c r="J690" t="s">
        <v>1261</v>
      </c>
      <c r="K690">
        <v>308.14</v>
      </c>
      <c r="L690" t="s">
        <v>25</v>
      </c>
      <c r="M690">
        <v>157</v>
      </c>
      <c r="N690">
        <v>62.55</v>
      </c>
      <c r="O690">
        <v>59.92</v>
      </c>
      <c r="P690" t="s">
        <v>20</v>
      </c>
      <c r="Q690" t="s">
        <v>1262</v>
      </c>
      <c r="R690" t="s">
        <v>20</v>
      </c>
      <c r="S690" t="str">
        <f>HYPERLINK("https://cfpub.epa.gov/ecotox/explore.cfm?ncbi=382247","Explore in ECOTOX")</f>
        <v>Explore in ECOTOX</v>
      </c>
    </row>
    <row r="691" spans="1:19" x14ac:dyDescent="0.25">
      <c r="A691">
        <v>6</v>
      </c>
      <c r="B691" t="str">
        <f>HYPERLINK("http://www.ncbi.nlm.nih.gov/protein/A7X8C2.1","A7X8C2.1")</f>
        <v>A7X8C2.1</v>
      </c>
      <c r="C691">
        <v>562</v>
      </c>
      <c r="D691" t="str">
        <f>HYPERLINK("http://www.ncbi.nlm.nih.gov/Taxonomy/Browser/wwwtax.cgi?mode=Info&amp;id=9580&amp;lvl=3&amp;lin=f&amp;keep=1&amp;srchmode=1&amp;unlock","9580")</f>
        <v>9580</v>
      </c>
      <c r="E691" t="s">
        <v>18</v>
      </c>
      <c r="F691" t="s">
        <v>18</v>
      </c>
      <c r="G691" t="str">
        <f>HYPERLINK("http://www.ncbi.nlm.nih.gov/Taxonomy/Browser/wwwtax.cgi?mode=Info&amp;id=9580&amp;lvl=3&amp;lin=f&amp;keep=1&amp;srchmode=1&amp;unlock","Hylobates lar")</f>
        <v>Hylobates lar</v>
      </c>
      <c r="H691" t="s">
        <v>1026</v>
      </c>
      <c r="I691" t="str">
        <f>HYPERLINK("http://www.ncbi.nlm.nih.gov/protein/A7X8C2.1","RecName: Full=Progesterone receptor; Short=PR; AltName: Full=Nuclear receptor subfamily 3 group C member 3")</f>
        <v>RecName: Full=Progesterone receptor; Short=PR; AltName: Full=Nuclear receptor subfamily 3 group C member 3</v>
      </c>
      <c r="J691" t="s">
        <v>1261</v>
      </c>
      <c r="K691">
        <v>307.76</v>
      </c>
      <c r="L691" t="s">
        <v>25</v>
      </c>
      <c r="M691">
        <v>157</v>
      </c>
      <c r="N691">
        <v>62.55</v>
      </c>
      <c r="O691">
        <v>59.85</v>
      </c>
      <c r="P691" t="s">
        <v>20</v>
      </c>
      <c r="Q691" t="s">
        <v>1262</v>
      </c>
      <c r="R691" t="s">
        <v>20</v>
      </c>
      <c r="S691" t="str">
        <f>HYPERLINK("https://cfpub.epa.gov/ecotox/explore.cfm?ncbi=9580","Explore in ECOTOX")</f>
        <v>Explore in ECOTOX</v>
      </c>
    </row>
    <row r="692" spans="1:19" x14ac:dyDescent="0.25">
      <c r="A692">
        <v>6</v>
      </c>
      <c r="B692" t="str">
        <f>HYPERLINK("http://www.ncbi.nlm.nih.gov/protein/ABB72142.1","ABB72142.1")</f>
        <v>ABB72142.1</v>
      </c>
      <c r="C692">
        <v>1708</v>
      </c>
      <c r="D692" t="str">
        <f>HYPERLINK("http://www.ncbi.nlm.nih.gov/Taxonomy/Browser/wwwtax.cgi?mode=Info&amp;id=9593&amp;lvl=3&amp;lin=f&amp;keep=1&amp;srchmode=1&amp;unlock","9593")</f>
        <v>9593</v>
      </c>
      <c r="E692" t="s">
        <v>18</v>
      </c>
      <c r="F692" t="s">
        <v>18</v>
      </c>
      <c r="G692" t="str">
        <f>HYPERLINK("http://www.ncbi.nlm.nih.gov/Taxonomy/Browser/wwwtax.cgi?mode=Info&amp;id=9593&amp;lvl=3&amp;lin=f&amp;keep=1&amp;srchmode=1&amp;unlock","Gorilla gorilla")</f>
        <v>Gorilla gorilla</v>
      </c>
      <c r="H692" t="s">
        <v>1029</v>
      </c>
      <c r="I692" t="str">
        <f>HYPERLINK("http://www.ncbi.nlm.nih.gov/protein/ABB72142.1","progesterone receptor")</f>
        <v>progesterone receptor</v>
      </c>
      <c r="J692" t="s">
        <v>1261</v>
      </c>
      <c r="K692">
        <v>307.76</v>
      </c>
      <c r="L692" t="s">
        <v>25</v>
      </c>
      <c r="M692">
        <v>157</v>
      </c>
      <c r="N692">
        <v>62.55</v>
      </c>
      <c r="O692">
        <v>59.85</v>
      </c>
      <c r="P692" t="s">
        <v>20</v>
      </c>
      <c r="Q692" t="s">
        <v>1262</v>
      </c>
      <c r="R692" t="s">
        <v>20</v>
      </c>
      <c r="S692" t="str">
        <f>HYPERLINK("https://cfpub.epa.gov/ecotox/explore.cfm?ncbi=9593","Explore in ECOTOX")</f>
        <v>Explore in ECOTOX</v>
      </c>
    </row>
    <row r="693" spans="1:19" x14ac:dyDescent="0.25">
      <c r="A693">
        <v>6</v>
      </c>
      <c r="B693" t="str">
        <f>HYPERLINK("http://www.ncbi.nlm.nih.gov/protein/A7X8B9.1","A7X8B9.1")</f>
        <v>A7X8B9.1</v>
      </c>
      <c r="C693">
        <v>1609</v>
      </c>
      <c r="D693" t="str">
        <f>HYPERLINK("http://www.ncbi.nlm.nih.gov/Taxonomy/Browser/wwwtax.cgi?mode=Info&amp;id=9600&amp;lvl=3&amp;lin=f&amp;keep=1&amp;srchmode=1&amp;unlock","9600")</f>
        <v>9600</v>
      </c>
      <c r="E693" t="s">
        <v>18</v>
      </c>
      <c r="F693" t="s">
        <v>18</v>
      </c>
      <c r="G693" t="str">
        <f>HYPERLINK("http://www.ncbi.nlm.nih.gov/Taxonomy/Browser/wwwtax.cgi?mode=Info&amp;id=9600&amp;lvl=3&amp;lin=f&amp;keep=1&amp;srchmode=1&amp;unlock","Pongo pygmaeus")</f>
        <v>Pongo pygmaeus</v>
      </c>
      <c r="H693" t="s">
        <v>1028</v>
      </c>
      <c r="I693" t="str">
        <f>HYPERLINK("http://www.ncbi.nlm.nih.gov/protein/A7X8B9.1","RecName: Full=Progesterone receptor; Short=PR; AltName: Full=Nuclear receptor subfamily 3 group C member 3")</f>
        <v>RecName: Full=Progesterone receptor; Short=PR; AltName: Full=Nuclear receptor subfamily 3 group C member 3</v>
      </c>
      <c r="J693" t="s">
        <v>1261</v>
      </c>
      <c r="K693">
        <v>307.76</v>
      </c>
      <c r="L693" t="s">
        <v>25</v>
      </c>
      <c r="M693">
        <v>157</v>
      </c>
      <c r="N693">
        <v>62.55</v>
      </c>
      <c r="O693">
        <v>59.85</v>
      </c>
      <c r="P693" t="s">
        <v>20</v>
      </c>
      <c r="Q693" t="s">
        <v>1262</v>
      </c>
      <c r="R693" t="s">
        <v>20</v>
      </c>
      <c r="S693" t="str">
        <f>HYPERLINK("https://cfpub.epa.gov/ecotox/explore.cfm?ncbi=9600","Explore in ECOTOX")</f>
        <v>Explore in ECOTOX</v>
      </c>
    </row>
    <row r="694" spans="1:19" x14ac:dyDescent="0.25">
      <c r="A694">
        <v>6</v>
      </c>
      <c r="B694" t="str">
        <f>HYPERLINK("http://www.ncbi.nlm.nih.gov/protein/A7X8C9.1","A7X8C9.1")</f>
        <v>A7X8C9.1</v>
      </c>
      <c r="C694">
        <v>928</v>
      </c>
      <c r="D694" t="str">
        <f>HYPERLINK("http://www.ncbi.nlm.nih.gov/Taxonomy/Browser/wwwtax.cgi?mode=Info&amp;id=9534&amp;lvl=3&amp;lin=f&amp;keep=1&amp;srchmode=1&amp;unlock","9534")</f>
        <v>9534</v>
      </c>
      <c r="E694" t="s">
        <v>18</v>
      </c>
      <c r="F694" t="s">
        <v>18</v>
      </c>
      <c r="G694" t="str">
        <f>HYPERLINK("http://www.ncbi.nlm.nih.gov/Taxonomy/Browser/wwwtax.cgi?mode=Info&amp;id=9534&amp;lvl=3&amp;lin=f&amp;keep=1&amp;srchmode=1&amp;unlock","Chlorocebus aethiops")</f>
        <v>Chlorocebus aethiops</v>
      </c>
      <c r="H694" t="s">
        <v>1030</v>
      </c>
      <c r="I694" t="str">
        <f>HYPERLINK("http://www.ncbi.nlm.nih.gov/protein/A7X8C9.1","RecName: Full=Progesterone receptor; Short=PR; AltName: Full=Nuclear receptor subfamily 3 group C member 3")</f>
        <v>RecName: Full=Progesterone receptor; Short=PR; AltName: Full=Nuclear receptor subfamily 3 group C member 3</v>
      </c>
      <c r="J694" t="s">
        <v>1261</v>
      </c>
      <c r="K694">
        <v>307.76</v>
      </c>
      <c r="L694" t="s">
        <v>25</v>
      </c>
      <c r="M694">
        <v>157</v>
      </c>
      <c r="N694">
        <v>62.55</v>
      </c>
      <c r="O694">
        <v>59.85</v>
      </c>
      <c r="P694" t="s">
        <v>20</v>
      </c>
      <c r="Q694" t="s">
        <v>1262</v>
      </c>
      <c r="R694" t="s">
        <v>20</v>
      </c>
      <c r="S694" t="str">
        <f>HYPERLINK("https://cfpub.epa.gov/ecotox/explore.cfm?ncbi=9534","Explore in ECOTOX")</f>
        <v>Explore in ECOTOX</v>
      </c>
    </row>
    <row r="695" spans="1:19" x14ac:dyDescent="0.25">
      <c r="A695">
        <v>6</v>
      </c>
      <c r="B695" t="str">
        <f>HYPERLINK("http://www.ncbi.nlm.nih.gov/protein/AJA37727.1","AJA37727.1")</f>
        <v>AJA37727.1</v>
      </c>
      <c r="C695">
        <v>10</v>
      </c>
      <c r="D695" t="str">
        <f>HYPERLINK("http://www.ncbi.nlm.nih.gov/Taxonomy/Browser/wwwtax.cgi?mode=Info&amp;id=292133&amp;lvl=3&amp;lin=f&amp;keep=1&amp;srchmode=1&amp;unlock","292133")</f>
        <v>292133</v>
      </c>
      <c r="E695" t="s">
        <v>167</v>
      </c>
      <c r="F695" t="s">
        <v>167</v>
      </c>
      <c r="G695" t="str">
        <f>HYPERLINK("http://www.ncbi.nlm.nih.gov/Taxonomy/Browser/wwwtax.cgi?mode=Info&amp;id=292133&amp;lvl=3&amp;lin=f&amp;keep=1&amp;srchmode=1&amp;unlock","Turnix suscitator")</f>
        <v>Turnix suscitator</v>
      </c>
      <c r="H695" t="s">
        <v>1059</v>
      </c>
      <c r="I695" t="str">
        <f>HYPERLINK("http://www.ncbi.nlm.nih.gov/protein/AJA37727.1","androgen receptor, partial")</f>
        <v>androgen receptor, partial</v>
      </c>
      <c r="J695" t="s">
        <v>1261</v>
      </c>
      <c r="K695">
        <v>307.76</v>
      </c>
      <c r="L695" t="s">
        <v>25</v>
      </c>
      <c r="M695">
        <v>157</v>
      </c>
      <c r="N695">
        <v>62.55</v>
      </c>
      <c r="O695">
        <v>59.85</v>
      </c>
      <c r="P695" t="s">
        <v>20</v>
      </c>
      <c r="Q695" t="s">
        <v>1262</v>
      </c>
      <c r="R695" t="s">
        <v>20</v>
      </c>
      <c r="S695" t="str">
        <f>HYPERLINK("https://cfpub.epa.gov/ecotox/explore.cfm?ncbi=292133","Explore in ECOTOX")</f>
        <v>Explore in ECOTOX</v>
      </c>
    </row>
    <row r="696" spans="1:19" x14ac:dyDescent="0.25">
      <c r="A696">
        <v>6</v>
      </c>
      <c r="B696" t="str">
        <f>HYPERLINK("http://www.ncbi.nlm.nih.gov/protein/XP_032811371.1","XP_032811371.1")</f>
        <v>XP_032811371.1</v>
      </c>
      <c r="C696">
        <v>40521</v>
      </c>
      <c r="D696" t="str">
        <f>HYPERLINK("http://www.ncbi.nlm.nih.gov/Taxonomy/Browser/wwwtax.cgi?mode=Info&amp;id=7757&amp;lvl=3&amp;lin=f&amp;keep=1&amp;srchmode=1&amp;unlock","7757")</f>
        <v>7757</v>
      </c>
      <c r="E696" t="s">
        <v>680</v>
      </c>
      <c r="F696" t="s">
        <v>680</v>
      </c>
      <c r="G696" t="str">
        <f>HYPERLINK("http://www.ncbi.nlm.nih.gov/Taxonomy/Browser/wwwtax.cgi?mode=Info&amp;id=7757&amp;lvl=3&amp;lin=f&amp;keep=1&amp;srchmode=1&amp;unlock","Petromyzon marinus")</f>
        <v>Petromyzon marinus</v>
      </c>
      <c r="H696" t="s">
        <v>681</v>
      </c>
      <c r="I696" t="str">
        <f>HYPERLINK("http://www.ncbi.nlm.nih.gov/protein/XP_032811371.1","mineralocorticoid receptor isoform X2")</f>
        <v>mineralocorticoid receptor isoform X2</v>
      </c>
      <c r="J696" t="s">
        <v>1261</v>
      </c>
      <c r="K696">
        <v>307.38</v>
      </c>
      <c r="L696" t="s">
        <v>25</v>
      </c>
      <c r="M696">
        <v>157</v>
      </c>
      <c r="N696">
        <v>62.55</v>
      </c>
      <c r="O696">
        <v>59.77</v>
      </c>
      <c r="P696" t="s">
        <v>25</v>
      </c>
      <c r="Q696" t="s">
        <v>1262</v>
      </c>
      <c r="R696" t="s">
        <v>20</v>
      </c>
      <c r="S696" t="str">
        <f>HYPERLINK("https://cfpub.epa.gov/ecotox/explore.cfm?ncbi=7757","Explore in ECOTOX")</f>
        <v>Explore in ECOTOX</v>
      </c>
    </row>
    <row r="697" spans="1:19" x14ac:dyDescent="0.25">
      <c r="A697">
        <v>6</v>
      </c>
      <c r="B697" t="str">
        <f>HYPERLINK("http://www.ncbi.nlm.nih.gov/protein/GCF49430.1","GCF49430.1")</f>
        <v>GCF49430.1</v>
      </c>
      <c r="C697">
        <v>26813</v>
      </c>
      <c r="D697" t="str">
        <f>HYPERLINK("http://www.ncbi.nlm.nih.gov/Taxonomy/Browser/wwwtax.cgi?mode=Info&amp;id=143630&amp;lvl=3&amp;lin=f&amp;keep=1&amp;srchmode=1&amp;unlock","143630")</f>
        <v>143630</v>
      </c>
      <c r="E697" t="s">
        <v>236</v>
      </c>
      <c r="F697" t="s">
        <v>236</v>
      </c>
      <c r="G697" t="str">
        <f>HYPERLINK("http://www.ncbi.nlm.nih.gov/Taxonomy/Browser/wwwtax.cgi?mode=Info&amp;id=143630&amp;lvl=3&amp;lin=f&amp;keep=1&amp;srchmode=1&amp;unlock","Paroedura picta")</f>
        <v>Paroedura picta</v>
      </c>
      <c r="H697" t="s">
        <v>650</v>
      </c>
      <c r="I697" t="str">
        <f>HYPERLINK("http://www.ncbi.nlm.nih.gov/protein/GCF49430.1","hypothetical protein parPi_0010087")</f>
        <v>hypothetical protein parPi_0010087</v>
      </c>
      <c r="J697" t="s">
        <v>1261</v>
      </c>
      <c r="K697">
        <v>306.99</v>
      </c>
      <c r="L697" t="s">
        <v>25</v>
      </c>
      <c r="M697">
        <v>157</v>
      </c>
      <c r="N697">
        <v>62.55</v>
      </c>
      <c r="O697">
        <v>59.7</v>
      </c>
      <c r="P697" t="s">
        <v>20</v>
      </c>
      <c r="Q697" t="s">
        <v>1262</v>
      </c>
      <c r="R697" t="s">
        <v>20</v>
      </c>
      <c r="S697" t="str">
        <f>HYPERLINK("https://cfpub.epa.gov/ecotox/explore.cfm?ncbi=143630","Explore in ECOTOX")</f>
        <v>Explore in ECOTOX</v>
      </c>
    </row>
    <row r="698" spans="1:19" x14ac:dyDescent="0.25">
      <c r="A698">
        <v>6</v>
      </c>
      <c r="B698" t="str">
        <f>HYPERLINK("http://www.ncbi.nlm.nih.gov/protein/A7X8C4.1","A7X8C4.1")</f>
        <v>A7X8C4.1</v>
      </c>
      <c r="C698">
        <v>126</v>
      </c>
      <c r="D698" t="str">
        <f>HYPERLINK("http://www.ncbi.nlm.nih.gov/Taxonomy/Browser/wwwtax.cgi?mode=Info&amp;id=9546&amp;lvl=3&amp;lin=f&amp;keep=1&amp;srchmode=1&amp;unlock","9546")</f>
        <v>9546</v>
      </c>
      <c r="E698" t="s">
        <v>18</v>
      </c>
      <c r="F698" t="s">
        <v>18</v>
      </c>
      <c r="G698" t="str">
        <f>HYPERLINK("http://www.ncbi.nlm.nih.gov/Taxonomy/Browser/wwwtax.cgi?mode=Info&amp;id=9546&amp;lvl=3&amp;lin=f&amp;keep=1&amp;srchmode=1&amp;unlock","Macaca sylvanus")</f>
        <v>Macaca sylvanus</v>
      </c>
      <c r="H698" t="s">
        <v>1027</v>
      </c>
      <c r="I698" t="str">
        <f>HYPERLINK("http://www.ncbi.nlm.nih.gov/protein/A7X8C4.1","RecName: Full=Progesterone receptor; Short=PR; AltName: Full=Nuclear receptor subfamily 3 group C member 3")</f>
        <v>RecName: Full=Progesterone receptor; Short=PR; AltName: Full=Nuclear receptor subfamily 3 group C member 3</v>
      </c>
      <c r="J698" t="s">
        <v>1261</v>
      </c>
      <c r="K698">
        <v>306.61</v>
      </c>
      <c r="L698" t="s">
        <v>25</v>
      </c>
      <c r="M698">
        <v>157</v>
      </c>
      <c r="N698">
        <v>62.55</v>
      </c>
      <c r="O698">
        <v>59.62</v>
      </c>
      <c r="P698" t="s">
        <v>20</v>
      </c>
      <c r="Q698" t="s">
        <v>1262</v>
      </c>
      <c r="R698" t="s">
        <v>20</v>
      </c>
      <c r="S698" t="str">
        <f>HYPERLINK("https://cfpub.epa.gov/ecotox/explore.cfm?ncbi=9546","Explore in ECOTOX")</f>
        <v>Explore in ECOTOX</v>
      </c>
    </row>
    <row r="699" spans="1:19" x14ac:dyDescent="0.25">
      <c r="A699">
        <v>6</v>
      </c>
      <c r="B699" t="str">
        <f>HYPERLINK("http://www.ncbi.nlm.nih.gov/protein/XP_010846533.1","XP_010846533.1")</f>
        <v>XP_010846533.1</v>
      </c>
      <c r="C699">
        <v>35574</v>
      </c>
      <c r="D699" t="str">
        <f>HYPERLINK("http://www.ncbi.nlm.nih.gov/Taxonomy/Browser/wwwtax.cgi?mode=Info&amp;id=43346&amp;lvl=3&amp;lin=f&amp;keep=1&amp;srchmode=1&amp;unlock","43346")</f>
        <v>43346</v>
      </c>
      <c r="E699" t="s">
        <v>18</v>
      </c>
      <c r="F699" t="s">
        <v>18</v>
      </c>
      <c r="G699" t="str">
        <f>HYPERLINK("http://www.ncbi.nlm.nih.gov/Taxonomy/Browser/wwwtax.cgi?mode=Info&amp;id=43346&amp;lvl=3&amp;lin=f&amp;keep=1&amp;srchmode=1&amp;unlock","Bison bison bison")</f>
        <v>Bison bison bison</v>
      </c>
      <c r="H699" t="s">
        <v>118</v>
      </c>
      <c r="I699" t="str">
        <f>HYPERLINK("http://www.ncbi.nlm.nih.gov/protein/XP_010846533.1","PREDICTED: progesterone receptor")</f>
        <v>PREDICTED: progesterone receptor</v>
      </c>
      <c r="J699" t="s">
        <v>1261</v>
      </c>
      <c r="K699">
        <v>305.83</v>
      </c>
      <c r="L699" t="s">
        <v>25</v>
      </c>
      <c r="M699">
        <v>157</v>
      </c>
      <c r="N699">
        <v>62.55</v>
      </c>
      <c r="O699">
        <v>59.47</v>
      </c>
      <c r="P699" t="s">
        <v>20</v>
      </c>
      <c r="Q699" t="s">
        <v>1262</v>
      </c>
      <c r="R699" t="s">
        <v>20</v>
      </c>
      <c r="S699" t="str">
        <f>HYPERLINK("https://cfpub.epa.gov/ecotox/explore.cfm?ncbi=43346","Explore in ECOTOX")</f>
        <v>Explore in ECOTOX</v>
      </c>
    </row>
    <row r="700" spans="1:19" x14ac:dyDescent="0.25">
      <c r="A700">
        <v>6</v>
      </c>
      <c r="B700" t="str">
        <f>HYPERLINK("http://www.ncbi.nlm.nih.gov/protein/XP_020022192.1","XP_020022192.1")</f>
        <v>XP_020022192.1</v>
      </c>
      <c r="C700">
        <v>37573</v>
      </c>
      <c r="D700" t="str">
        <f>HYPERLINK("http://www.ncbi.nlm.nih.gov/Taxonomy/Browser/wwwtax.cgi?mode=Info&amp;id=51338&amp;lvl=3&amp;lin=f&amp;keep=1&amp;srchmode=1&amp;unlock","51338")</f>
        <v>51338</v>
      </c>
      <c r="E700" t="s">
        <v>18</v>
      </c>
      <c r="F700" t="s">
        <v>18</v>
      </c>
      <c r="G700" t="str">
        <f>HYPERLINK("http://www.ncbi.nlm.nih.gov/Taxonomy/Browser/wwwtax.cgi?mode=Info&amp;id=51338&amp;lvl=3&amp;lin=f&amp;keep=1&amp;srchmode=1&amp;unlock","Castor canadensis")</f>
        <v>Castor canadensis</v>
      </c>
      <c r="H700" t="s">
        <v>416</v>
      </c>
      <c r="I700" t="str">
        <f>HYPERLINK("http://www.ncbi.nlm.nih.gov/protein/XP_020022192.1","progesterone receptor isoform X1")</f>
        <v>progesterone receptor isoform X1</v>
      </c>
      <c r="J700" t="s">
        <v>1261</v>
      </c>
      <c r="K700">
        <v>305.83</v>
      </c>
      <c r="L700" t="s">
        <v>25</v>
      </c>
      <c r="M700">
        <v>157</v>
      </c>
      <c r="N700">
        <v>62.55</v>
      </c>
      <c r="O700">
        <v>59.47</v>
      </c>
      <c r="P700" t="s">
        <v>20</v>
      </c>
      <c r="Q700" t="s">
        <v>1262</v>
      </c>
      <c r="R700" t="s">
        <v>20</v>
      </c>
      <c r="S700" t="str">
        <f>HYPERLINK("https://cfpub.epa.gov/ecotox/explore.cfm?ncbi=51338","Explore in ECOTOX")</f>
        <v>Explore in ECOTOX</v>
      </c>
    </row>
    <row r="701" spans="1:19" x14ac:dyDescent="0.25">
      <c r="A701">
        <v>6</v>
      </c>
      <c r="B701" t="str">
        <f>HYPERLINK("http://www.ncbi.nlm.nih.gov/protein/A7X8D2.1","A7X8D2.1")</f>
        <v>A7X8D2.1</v>
      </c>
      <c r="C701">
        <v>356</v>
      </c>
      <c r="D701" t="str">
        <f>HYPERLINK("http://www.ncbi.nlm.nih.gov/Taxonomy/Browser/wwwtax.cgi?mode=Info&amp;id=33548&amp;lvl=3&amp;lin=f&amp;keep=1&amp;srchmode=1&amp;unlock","33548")</f>
        <v>33548</v>
      </c>
      <c r="E701" t="s">
        <v>18</v>
      </c>
      <c r="F701" t="s">
        <v>18</v>
      </c>
      <c r="G701" t="str">
        <f>HYPERLINK("http://www.ncbi.nlm.nih.gov/Taxonomy/Browser/wwwtax.cgi?mode=Info&amp;id=33548&amp;lvl=3&amp;lin=f&amp;keep=1&amp;srchmode=1&amp;unlock","Colobus guereza")</f>
        <v>Colobus guereza</v>
      </c>
      <c r="H701" t="s">
        <v>1032</v>
      </c>
      <c r="I701" t="str">
        <f>HYPERLINK("http://www.ncbi.nlm.nih.gov/protein/A7X8D2.1","RecName: Full=Progesterone receptor; Short=PR; AltName: Full=Nuclear receptor subfamily 3 group C member 3")</f>
        <v>RecName: Full=Progesterone receptor; Short=PR; AltName: Full=Nuclear receptor subfamily 3 group C member 3</v>
      </c>
      <c r="J701" t="s">
        <v>1261</v>
      </c>
      <c r="K701">
        <v>305.45</v>
      </c>
      <c r="L701" t="s">
        <v>25</v>
      </c>
      <c r="M701">
        <v>157</v>
      </c>
      <c r="N701">
        <v>62.55</v>
      </c>
      <c r="O701">
        <v>59.4</v>
      </c>
      <c r="P701" t="s">
        <v>20</v>
      </c>
      <c r="Q701" t="s">
        <v>1262</v>
      </c>
      <c r="R701" t="s">
        <v>20</v>
      </c>
      <c r="S701" t="str">
        <f>HYPERLINK("https://cfpub.epa.gov/ecotox/explore.cfm?ncbi=33548","Explore in ECOTOX")</f>
        <v>Explore in ECOTOX</v>
      </c>
    </row>
    <row r="702" spans="1:19" x14ac:dyDescent="0.25">
      <c r="A702">
        <v>6</v>
      </c>
      <c r="B702" t="str">
        <f>HYPERLINK("http://www.ncbi.nlm.nih.gov/protein/Q8AYI2.1","Q8AYI2.1")</f>
        <v>Q8AYI2.1</v>
      </c>
      <c r="C702">
        <v>299</v>
      </c>
      <c r="D702" t="str">
        <f>HYPERLINK("http://www.ncbi.nlm.nih.gov/Taxonomy/Browser/wwwtax.cgi?mode=Info&amp;id=71582&amp;lvl=3&amp;lin=f&amp;keep=1&amp;srchmode=1&amp;unlock","71582")</f>
        <v>71582</v>
      </c>
      <c r="E702" t="s">
        <v>134</v>
      </c>
      <c r="F702" t="s">
        <v>134</v>
      </c>
      <c r="G702" t="str">
        <f>HYPERLINK("http://www.ncbi.nlm.nih.gov/Taxonomy/Browser/wwwtax.cgi?mode=Info&amp;id=71582&amp;lvl=3&amp;lin=f&amp;keep=1&amp;srchmode=1&amp;unlock","Rana dybowskii")</f>
        <v>Rana dybowskii</v>
      </c>
      <c r="H702" t="s">
        <v>1035</v>
      </c>
      <c r="I702" t="str">
        <f>HYPERLINK("http://www.ncbi.nlm.nih.gov/protein/Q8AYI2.1","RecName: Full=Progesterone receptor; Short=PR; AltName: Full=Nuclear receptor subfamily 3 group C member 3; AltName: Full=dyPR")</f>
        <v>RecName: Full=Progesterone receptor; Short=PR; AltName: Full=Nuclear receptor subfamily 3 group C member 3; AltName: Full=dyPR</v>
      </c>
      <c r="J702" t="s">
        <v>1261</v>
      </c>
      <c r="K702">
        <v>305.06</v>
      </c>
      <c r="L702" t="s">
        <v>25</v>
      </c>
      <c r="M702">
        <v>157</v>
      </c>
      <c r="N702">
        <v>62.55</v>
      </c>
      <c r="O702">
        <v>59.32</v>
      </c>
      <c r="P702" t="s">
        <v>20</v>
      </c>
      <c r="Q702" t="s">
        <v>1262</v>
      </c>
      <c r="R702" t="s">
        <v>20</v>
      </c>
      <c r="S702" t="str">
        <f>HYPERLINK("https://cfpub.epa.gov/ecotox/explore.cfm?ncbi=71582","Explore in ECOTOX")</f>
        <v>Explore in ECOTOX</v>
      </c>
    </row>
    <row r="703" spans="1:19" x14ac:dyDescent="0.25">
      <c r="A703">
        <v>6</v>
      </c>
      <c r="B703" t="str">
        <f>HYPERLINK("http://www.ncbi.nlm.nih.gov/protein/KAF7689023.1","KAF7689023.1")</f>
        <v>KAF7689023.1</v>
      </c>
      <c r="C703">
        <v>22862</v>
      </c>
      <c r="D703" t="str">
        <f>HYPERLINK("http://www.ncbi.nlm.nih.gov/Taxonomy/Browser/wwwtax.cgi?mode=Info&amp;id=175797&amp;lvl=3&amp;lin=f&amp;keep=1&amp;srchmode=1&amp;unlock","175797")</f>
        <v>175797</v>
      </c>
      <c r="E703" t="s">
        <v>384</v>
      </c>
      <c r="F703" t="s">
        <v>384</v>
      </c>
      <c r="G703" t="str">
        <f>HYPERLINK("http://www.ncbi.nlm.nih.gov/Taxonomy/Browser/wwwtax.cgi?mode=Info&amp;id=175797&amp;lvl=3&amp;lin=f&amp;keep=1&amp;srchmode=1&amp;unlock","Silurus meridionalis")</f>
        <v>Silurus meridionalis</v>
      </c>
      <c r="H703" t="s">
        <v>602</v>
      </c>
      <c r="I703" t="str">
        <f>HYPERLINK("http://www.ncbi.nlm.nih.gov/protein/KAF7689023.1","hypothetical protein HF521_013830")</f>
        <v>hypothetical protein HF521_013830</v>
      </c>
      <c r="J703" t="s">
        <v>1261</v>
      </c>
      <c r="K703">
        <v>304.68</v>
      </c>
      <c r="L703" t="s">
        <v>25</v>
      </c>
      <c r="M703">
        <v>157</v>
      </c>
      <c r="N703">
        <v>62.55</v>
      </c>
      <c r="O703">
        <v>59.25</v>
      </c>
      <c r="P703" t="s">
        <v>20</v>
      </c>
      <c r="Q703" t="s">
        <v>1262</v>
      </c>
      <c r="R703" t="s">
        <v>20</v>
      </c>
      <c r="S703" t="str">
        <f>HYPERLINK("https://cfpub.epa.gov/ecotox/explore.cfm?ncbi=175797","Explore in ECOTOX")</f>
        <v>Explore in ECOTOX</v>
      </c>
    </row>
    <row r="704" spans="1:19" x14ac:dyDescent="0.25">
      <c r="A704">
        <v>6</v>
      </c>
      <c r="B704" t="str">
        <f>HYPERLINK("http://www.ncbi.nlm.nih.gov/protein/XP_039326870.1","XP_039326870.1")</f>
        <v>XP_039326870.1</v>
      </c>
      <c r="C704">
        <v>45635</v>
      </c>
      <c r="D704" t="str">
        <f>HYPERLINK("http://www.ncbi.nlm.nih.gov/Taxonomy/Browser/wwwtax.cgi?mode=Info&amp;id=39432&amp;lvl=3&amp;lin=f&amp;keep=1&amp;srchmode=1&amp;unlock","39432")</f>
        <v>39432</v>
      </c>
      <c r="E704" t="s">
        <v>18</v>
      </c>
      <c r="F704" t="s">
        <v>18</v>
      </c>
      <c r="G704" t="str">
        <f>HYPERLINK("http://www.ncbi.nlm.nih.gov/Taxonomy/Browser/wwwtax.cgi?mode=Info&amp;id=39432&amp;lvl=3&amp;lin=f&amp;keep=1&amp;srchmode=1&amp;unlock","Saimiri boliviensis boliviensis")</f>
        <v>Saimiri boliviensis boliviensis</v>
      </c>
      <c r="H704" t="s">
        <v>73</v>
      </c>
      <c r="I704" t="str">
        <f>HYPERLINK("http://www.ncbi.nlm.nih.gov/protein/XP_039326870.1","progesterone receptor isoform X1")</f>
        <v>progesterone receptor isoform X1</v>
      </c>
      <c r="J704" t="s">
        <v>1261</v>
      </c>
      <c r="K704">
        <v>303.91000000000003</v>
      </c>
      <c r="L704" t="s">
        <v>25</v>
      </c>
      <c r="M704">
        <v>157</v>
      </c>
      <c r="N704">
        <v>62.55</v>
      </c>
      <c r="O704">
        <v>59.1</v>
      </c>
      <c r="P704" t="s">
        <v>20</v>
      </c>
      <c r="Q704" t="s">
        <v>1262</v>
      </c>
      <c r="R704" t="s">
        <v>20</v>
      </c>
      <c r="S704" t="str">
        <f>HYPERLINK("https://cfpub.epa.gov/ecotox/explore.cfm?ncbi=39432","Explore in ECOTOX")</f>
        <v>Explore in ECOTOX</v>
      </c>
    </row>
    <row r="705" spans="1:19" x14ac:dyDescent="0.25">
      <c r="A705">
        <v>6</v>
      </c>
      <c r="B705" t="str">
        <f>HYPERLINK("http://www.ncbi.nlm.nih.gov/protein/A7XW20.1","A7XW20.1")</f>
        <v>A7XW20.1</v>
      </c>
      <c r="C705">
        <v>18</v>
      </c>
      <c r="D705" t="str">
        <f>HYPERLINK("http://www.ncbi.nlm.nih.gov/Taxonomy/Browser/wwwtax.cgi?mode=Info&amp;id=30598&amp;lvl=3&amp;lin=f&amp;keep=1&amp;srchmode=1&amp;unlock","30598")</f>
        <v>30598</v>
      </c>
      <c r="E705" t="s">
        <v>18</v>
      </c>
      <c r="F705" t="s">
        <v>18</v>
      </c>
      <c r="G705" t="str">
        <f>HYPERLINK("http://www.ncbi.nlm.nih.gov/Taxonomy/Browser/wwwtax.cgi?mode=Info&amp;id=30598&amp;lvl=3&amp;lin=f&amp;keep=1&amp;srchmode=1&amp;unlock","Pithecia irrorata")</f>
        <v>Pithecia irrorata</v>
      </c>
      <c r="H705" t="s">
        <v>1036</v>
      </c>
      <c r="I705" t="str">
        <f>HYPERLINK("http://www.ncbi.nlm.nih.gov/protein/A7XW20.1","RecName: Full=Progesterone receptor; Short=PR; AltName: Full=Nuclear receptor subfamily 3 group C member 3")</f>
        <v>RecName: Full=Progesterone receptor; Short=PR; AltName: Full=Nuclear receptor subfamily 3 group C member 3</v>
      </c>
      <c r="J705" t="s">
        <v>1261</v>
      </c>
      <c r="K705">
        <v>303.14</v>
      </c>
      <c r="L705" t="s">
        <v>25</v>
      </c>
      <c r="M705">
        <v>157</v>
      </c>
      <c r="N705">
        <v>62.55</v>
      </c>
      <c r="O705">
        <v>58.95</v>
      </c>
      <c r="P705" t="s">
        <v>20</v>
      </c>
      <c r="Q705" t="s">
        <v>1262</v>
      </c>
      <c r="R705" t="s">
        <v>20</v>
      </c>
      <c r="S705" t="str">
        <f>HYPERLINK("https://cfpub.epa.gov/ecotox/explore.cfm?ncbi=30598","Explore in ECOTOX")</f>
        <v>Explore in ECOTOX</v>
      </c>
    </row>
    <row r="706" spans="1:19" x14ac:dyDescent="0.25">
      <c r="A706">
        <v>6</v>
      </c>
      <c r="B706" t="str">
        <f>HYPERLINK("http://www.ncbi.nlm.nih.gov/protein/KAF4027025.1","KAF4027025.1")</f>
        <v>KAF4027025.1</v>
      </c>
      <c r="C706">
        <v>19273</v>
      </c>
      <c r="D706" t="str">
        <f>HYPERLINK("http://www.ncbi.nlm.nih.gov/Taxonomy/Browser/wwwtax.cgi?mode=Info&amp;id=84702&amp;lvl=3&amp;lin=f&amp;keep=1&amp;srchmode=1&amp;unlock","84702")</f>
        <v>84702</v>
      </c>
      <c r="E706" t="s">
        <v>18</v>
      </c>
      <c r="F706" t="s">
        <v>18</v>
      </c>
      <c r="G706" t="str">
        <f>HYPERLINK("http://www.ncbi.nlm.nih.gov/Taxonomy/Browser/wwwtax.cgi?mode=Info&amp;id=84702&amp;lvl=3&amp;lin=f&amp;keep=1&amp;srchmode=1&amp;unlock","Cervus hanglu yarkandensis")</f>
        <v>Cervus hanglu yarkandensis</v>
      </c>
      <c r="H706" t="s">
        <v>104</v>
      </c>
      <c r="I706" t="str">
        <f>HYPERLINK("http://www.ncbi.nlm.nih.gov/protein/KAF4027025.1","hypothetical protein G4228_018843")</f>
        <v>hypothetical protein G4228_018843</v>
      </c>
      <c r="J706" t="s">
        <v>1261</v>
      </c>
      <c r="K706">
        <v>302.75</v>
      </c>
      <c r="L706" t="s">
        <v>25</v>
      </c>
      <c r="M706">
        <v>157</v>
      </c>
      <c r="N706">
        <v>62.55</v>
      </c>
      <c r="O706">
        <v>58.88</v>
      </c>
      <c r="P706" t="s">
        <v>20</v>
      </c>
      <c r="Q706" t="s">
        <v>1262</v>
      </c>
      <c r="R706" t="s">
        <v>20</v>
      </c>
      <c r="S706" t="str">
        <f>HYPERLINK("https://cfpub.epa.gov/ecotox/explore.cfm?ncbi=84702","Explore in ECOTOX")</f>
        <v>Explore in ECOTOX</v>
      </c>
    </row>
    <row r="707" spans="1:19" x14ac:dyDescent="0.25">
      <c r="A707">
        <v>6</v>
      </c>
      <c r="B707" t="str">
        <f>HYPERLINK("http://www.ncbi.nlm.nih.gov/protein/NXQ54262.1","NXQ54262.1")</f>
        <v>NXQ54262.1</v>
      </c>
      <c r="C707">
        <v>13596</v>
      </c>
      <c r="D707" t="str">
        <f>HYPERLINK("http://www.ncbi.nlm.nih.gov/Taxonomy/Browser/wwwtax.cgi?mode=Info&amp;id=156561&amp;lvl=3&amp;lin=f&amp;keep=1&amp;srchmode=1&amp;unlock","156561")</f>
        <v>156561</v>
      </c>
      <c r="E707" t="s">
        <v>167</v>
      </c>
      <c r="F707" t="s">
        <v>167</v>
      </c>
      <c r="G707" t="str">
        <f>HYPERLINK("http://www.ncbi.nlm.nih.gov/Taxonomy/Browser/wwwtax.cgi?mode=Info&amp;id=156561&amp;lvl=3&amp;lin=f&amp;keep=1&amp;srchmode=1&amp;unlock","Anthoscopus minutus")</f>
        <v>Anthoscopus minutus</v>
      </c>
      <c r="H707" t="s">
        <v>325</v>
      </c>
      <c r="I707" t="str">
        <f>HYPERLINK("http://www.ncbi.nlm.nih.gov/protein/NXQ54262.1","PRGR protein")</f>
        <v>PRGR protein</v>
      </c>
      <c r="J707" t="s">
        <v>1261</v>
      </c>
      <c r="K707">
        <v>302.75</v>
      </c>
      <c r="L707" t="s">
        <v>25</v>
      </c>
      <c r="M707">
        <v>157</v>
      </c>
      <c r="N707">
        <v>62.55</v>
      </c>
      <c r="O707">
        <v>58.88</v>
      </c>
      <c r="P707" t="s">
        <v>20</v>
      </c>
      <c r="Q707" t="s">
        <v>1262</v>
      </c>
      <c r="R707" t="s">
        <v>20</v>
      </c>
      <c r="S707" t="str">
        <f>HYPERLINK("https://cfpub.epa.gov/ecotox/explore.cfm?ncbi=156561","Explore in ECOTOX")</f>
        <v>Explore in ECOTOX</v>
      </c>
    </row>
    <row r="708" spans="1:19" x14ac:dyDescent="0.25">
      <c r="A708">
        <v>6</v>
      </c>
      <c r="B708" t="str">
        <f>HYPERLINK("http://www.ncbi.nlm.nih.gov/protein/NWS91489.1","NWS91489.1")</f>
        <v>NWS91489.1</v>
      </c>
      <c r="C708">
        <v>14243</v>
      </c>
      <c r="D708" t="str">
        <f>HYPERLINK("http://www.ncbi.nlm.nih.gov/Taxonomy/Browser/wwwtax.cgi?mode=Info&amp;id=99882&amp;lvl=3&amp;lin=f&amp;keep=1&amp;srchmode=1&amp;unlock","99882")</f>
        <v>99882</v>
      </c>
      <c r="E708" t="s">
        <v>167</v>
      </c>
      <c r="F708" t="s">
        <v>167</v>
      </c>
      <c r="G708" t="str">
        <f>HYPERLINK("http://www.ncbi.nlm.nih.gov/Taxonomy/Browser/wwwtax.cgi?mode=Info&amp;id=99882&amp;lvl=3&amp;lin=f&amp;keep=1&amp;srchmode=1&amp;unlock","Toxostoma redivivum")</f>
        <v>Toxostoma redivivum</v>
      </c>
      <c r="H708" t="s">
        <v>206</v>
      </c>
      <c r="I708" t="str">
        <f>HYPERLINK("http://www.ncbi.nlm.nih.gov/protein/NWS91489.1","PRGR protein")</f>
        <v>PRGR protein</v>
      </c>
      <c r="J708" t="s">
        <v>1261</v>
      </c>
      <c r="K708">
        <v>302.75</v>
      </c>
      <c r="L708" t="s">
        <v>25</v>
      </c>
      <c r="M708">
        <v>157</v>
      </c>
      <c r="N708">
        <v>62.55</v>
      </c>
      <c r="O708">
        <v>58.88</v>
      </c>
      <c r="P708" t="s">
        <v>20</v>
      </c>
      <c r="Q708" t="s">
        <v>1262</v>
      </c>
      <c r="R708" t="s">
        <v>20</v>
      </c>
      <c r="S708" t="str">
        <f>HYPERLINK("https://cfpub.epa.gov/ecotox/explore.cfm?ncbi=99882","Explore in ECOTOX")</f>
        <v>Explore in ECOTOX</v>
      </c>
    </row>
    <row r="709" spans="1:19" x14ac:dyDescent="0.25">
      <c r="A709">
        <v>6</v>
      </c>
      <c r="B709" t="str">
        <f>HYPERLINK("http://www.ncbi.nlm.nih.gov/protein/A7X8D4.1","A7X8D4.1")</f>
        <v>A7X8D4.1</v>
      </c>
      <c r="C709">
        <v>87</v>
      </c>
      <c r="D709" t="str">
        <f>HYPERLINK("http://www.ncbi.nlm.nih.gov/Taxonomy/Browser/wwwtax.cgi?mode=Info&amp;id=54181&amp;lvl=3&amp;lin=f&amp;keep=1&amp;srchmode=1&amp;unlock","54181")</f>
        <v>54181</v>
      </c>
      <c r="E709" t="s">
        <v>18</v>
      </c>
      <c r="F709" t="s">
        <v>18</v>
      </c>
      <c r="G709" t="str">
        <f>HYPERLINK("http://www.ncbi.nlm.nih.gov/Taxonomy/Browser/wwwtax.cgi?mode=Info&amp;id=54181&amp;lvl=3&amp;lin=f&amp;keep=1&amp;srchmode=1&amp;unlock","Trachypithecus obscurus")</f>
        <v>Trachypithecus obscurus</v>
      </c>
      <c r="H709" t="s">
        <v>1033</v>
      </c>
      <c r="I709" t="str">
        <f>HYPERLINK("http://www.ncbi.nlm.nih.gov/protein/A7X8D4.1","RecName: Full=Progesterone receptor; Short=PR; AltName: Full=Nuclear receptor subfamily 3 group C member 3")</f>
        <v>RecName: Full=Progesterone receptor; Short=PR; AltName: Full=Nuclear receptor subfamily 3 group C member 3</v>
      </c>
      <c r="J709" t="s">
        <v>1261</v>
      </c>
      <c r="K709">
        <v>302.75</v>
      </c>
      <c r="L709" t="s">
        <v>25</v>
      </c>
      <c r="M709">
        <v>157</v>
      </c>
      <c r="N709">
        <v>62.55</v>
      </c>
      <c r="O709">
        <v>58.88</v>
      </c>
      <c r="P709" t="s">
        <v>20</v>
      </c>
      <c r="Q709" t="s">
        <v>1262</v>
      </c>
      <c r="R709" t="s">
        <v>20</v>
      </c>
      <c r="S709" t="str">
        <f>HYPERLINK("https://cfpub.epa.gov/ecotox/explore.cfm?ncbi=54181","Explore in ECOTOX")</f>
        <v>Explore in ECOTOX</v>
      </c>
    </row>
    <row r="710" spans="1:19" x14ac:dyDescent="0.25">
      <c r="A710">
        <v>6</v>
      </c>
      <c r="B710" t="str">
        <f>HYPERLINK("http://www.ncbi.nlm.nih.gov/protein/NXT97098.1","NXT97098.1")</f>
        <v>NXT97098.1</v>
      </c>
      <c r="C710">
        <v>11123</v>
      </c>
      <c r="D710" t="str">
        <f>HYPERLINK("http://www.ncbi.nlm.nih.gov/Taxonomy/Browser/wwwtax.cgi?mode=Info&amp;id=245048&amp;lvl=3&amp;lin=f&amp;keep=1&amp;srchmode=1&amp;unlock","245048")</f>
        <v>245048</v>
      </c>
      <c r="E710" t="s">
        <v>167</v>
      </c>
      <c r="F710" t="s">
        <v>167</v>
      </c>
      <c r="G710" t="str">
        <f>HYPERLINK("http://www.ncbi.nlm.nih.gov/Taxonomy/Browser/wwwtax.cgi?mode=Info&amp;id=245048&amp;lvl=3&amp;lin=f&amp;keep=1&amp;srchmode=1&amp;unlock","Buphagus erythrorhynchus")</f>
        <v>Buphagus erythrorhynchus</v>
      </c>
      <c r="H710" t="s">
        <v>427</v>
      </c>
      <c r="I710" t="str">
        <f>HYPERLINK("http://www.ncbi.nlm.nih.gov/protein/NXT97098.1","PRGR protein")</f>
        <v>PRGR protein</v>
      </c>
      <c r="J710" t="s">
        <v>1261</v>
      </c>
      <c r="K710">
        <v>302.75</v>
      </c>
      <c r="L710" t="s">
        <v>25</v>
      </c>
      <c r="M710">
        <v>157</v>
      </c>
      <c r="N710">
        <v>62.55</v>
      </c>
      <c r="O710">
        <v>58.88</v>
      </c>
      <c r="P710" t="s">
        <v>20</v>
      </c>
      <c r="Q710" t="s">
        <v>1262</v>
      </c>
      <c r="R710" t="s">
        <v>20</v>
      </c>
      <c r="S710" t="str">
        <f>HYPERLINK("https://cfpub.epa.gov/ecotox/explore.cfm?ncbi=245048","Explore in ECOTOX")</f>
        <v>Explore in ECOTOX</v>
      </c>
    </row>
    <row r="711" spans="1:19" x14ac:dyDescent="0.25">
      <c r="A711">
        <v>6</v>
      </c>
      <c r="B711" t="str">
        <f>HYPERLINK("http://www.ncbi.nlm.nih.gov/protein/NXK85179.1","NXK85179.1")</f>
        <v>NXK85179.1</v>
      </c>
      <c r="C711">
        <v>14236</v>
      </c>
      <c r="D711" t="str">
        <f>HYPERLINK("http://www.ncbi.nlm.nih.gov/Taxonomy/Browser/wwwtax.cgi?mode=Info&amp;id=175529&amp;lvl=3&amp;lin=f&amp;keep=1&amp;srchmode=1&amp;unlock","175529")</f>
        <v>175529</v>
      </c>
      <c r="E711" t="s">
        <v>167</v>
      </c>
      <c r="F711" t="s">
        <v>167</v>
      </c>
      <c r="G711" t="str">
        <f>HYPERLINK("http://www.ncbi.nlm.nih.gov/Taxonomy/Browser/wwwtax.cgi?mode=Info&amp;id=175529&amp;lvl=3&amp;lin=f&amp;keep=1&amp;srchmode=1&amp;unlock","Amazona guildingii")</f>
        <v>Amazona guildingii</v>
      </c>
      <c r="H711" t="s">
        <v>424</v>
      </c>
      <c r="I711" t="str">
        <f>HYPERLINK("http://www.ncbi.nlm.nih.gov/protein/NXK85179.1","PRGR protein")</f>
        <v>PRGR protein</v>
      </c>
      <c r="J711" t="s">
        <v>1261</v>
      </c>
      <c r="K711">
        <v>301.60000000000002</v>
      </c>
      <c r="L711" t="s">
        <v>25</v>
      </c>
      <c r="M711">
        <v>157</v>
      </c>
      <c r="N711">
        <v>62.55</v>
      </c>
      <c r="O711">
        <v>58.65</v>
      </c>
      <c r="P711" t="s">
        <v>20</v>
      </c>
      <c r="Q711" t="s">
        <v>1262</v>
      </c>
      <c r="R711" t="s">
        <v>20</v>
      </c>
      <c r="S711" t="str">
        <f>HYPERLINK("https://cfpub.epa.gov/ecotox/explore.cfm?ncbi=175529","Explore in ECOTOX")</f>
        <v>Explore in ECOTOX</v>
      </c>
    </row>
    <row r="712" spans="1:19" x14ac:dyDescent="0.25">
      <c r="A712">
        <v>6</v>
      </c>
      <c r="B712" t="str">
        <f>HYPERLINK("http://www.ncbi.nlm.nih.gov/protein/NXI44782.1","NXI44782.1")</f>
        <v>NXI44782.1</v>
      </c>
      <c r="C712">
        <v>14683</v>
      </c>
      <c r="D712" t="str">
        <f>HYPERLINK("http://www.ncbi.nlm.nih.gov/Taxonomy/Browser/wwwtax.cgi?mode=Info&amp;id=1109041&amp;lvl=3&amp;lin=f&amp;keep=1&amp;srchmode=1&amp;unlock","1109041")</f>
        <v>1109041</v>
      </c>
      <c r="E712" t="s">
        <v>167</v>
      </c>
      <c r="F712" t="s">
        <v>167</v>
      </c>
      <c r="G712" t="str">
        <f>HYPERLINK("http://www.ncbi.nlm.nih.gov/Taxonomy/Browser/wwwtax.cgi?mode=Info&amp;id=1109041&amp;lvl=3&amp;lin=f&amp;keep=1&amp;srchmode=1&amp;unlock","Galbula dea")</f>
        <v>Galbula dea</v>
      </c>
      <c r="H712" t="s">
        <v>231</v>
      </c>
      <c r="I712" t="str">
        <f>HYPERLINK("http://www.ncbi.nlm.nih.gov/protein/NXI44782.1","PRGR protein")</f>
        <v>PRGR protein</v>
      </c>
      <c r="J712" t="s">
        <v>1261</v>
      </c>
      <c r="K712">
        <v>301.60000000000002</v>
      </c>
      <c r="L712" t="s">
        <v>25</v>
      </c>
      <c r="M712">
        <v>157</v>
      </c>
      <c r="N712">
        <v>62.55</v>
      </c>
      <c r="O712">
        <v>58.65</v>
      </c>
      <c r="P712" t="s">
        <v>20</v>
      </c>
      <c r="Q712" t="s">
        <v>1262</v>
      </c>
      <c r="R712" t="s">
        <v>20</v>
      </c>
      <c r="S712" t="str">
        <f>HYPERLINK("https://cfpub.epa.gov/ecotox/explore.cfm?ncbi=1109041","Explore in ECOTOX")</f>
        <v>Explore in ECOTOX</v>
      </c>
    </row>
    <row r="713" spans="1:19" x14ac:dyDescent="0.25">
      <c r="A713">
        <v>6</v>
      </c>
      <c r="B713" t="str">
        <f>HYPERLINK("http://www.ncbi.nlm.nih.gov/protein/NXX43381.1","NXX43381.1")</f>
        <v>NXX43381.1</v>
      </c>
      <c r="C713">
        <v>14338</v>
      </c>
      <c r="D713" t="str">
        <f>HYPERLINK("http://www.ncbi.nlm.nih.gov/Taxonomy/Browser/wwwtax.cgi?mode=Info&amp;id=240729&amp;lvl=3&amp;lin=f&amp;keep=1&amp;srchmode=1&amp;unlock","240729")</f>
        <v>240729</v>
      </c>
      <c r="E713" t="s">
        <v>167</v>
      </c>
      <c r="F713" t="s">
        <v>167</v>
      </c>
      <c r="G713" t="str">
        <f>HYPERLINK("http://www.ncbi.nlm.nih.gov/Taxonomy/Browser/wwwtax.cgi?mode=Info&amp;id=240729&amp;lvl=3&amp;lin=f&amp;keep=1&amp;srchmode=1&amp;unlock","Tricholaema leucomelas")</f>
        <v>Tricholaema leucomelas</v>
      </c>
      <c r="H713" t="s">
        <v>193</v>
      </c>
      <c r="I713" t="str">
        <f>HYPERLINK("http://www.ncbi.nlm.nih.gov/protein/NXX43381.1","PRGR protein")</f>
        <v>PRGR protein</v>
      </c>
      <c r="J713" t="s">
        <v>1261</v>
      </c>
      <c r="K713">
        <v>301.60000000000002</v>
      </c>
      <c r="L713" t="s">
        <v>25</v>
      </c>
      <c r="M713">
        <v>157</v>
      </c>
      <c r="N713">
        <v>62.55</v>
      </c>
      <c r="O713">
        <v>58.65</v>
      </c>
      <c r="P713" t="s">
        <v>20</v>
      </c>
      <c r="Q713" t="s">
        <v>1262</v>
      </c>
      <c r="R713" t="s">
        <v>20</v>
      </c>
      <c r="S713" t="str">
        <f>HYPERLINK("https://cfpub.epa.gov/ecotox/explore.cfm?ncbi=240729","Explore in ECOTOX")</f>
        <v>Explore in ECOTOX</v>
      </c>
    </row>
    <row r="714" spans="1:19" x14ac:dyDescent="0.25">
      <c r="A714">
        <v>6</v>
      </c>
      <c r="B714" t="str">
        <f>HYPERLINK("http://www.ncbi.nlm.nih.gov/protein/NWS38579.1","NWS38579.1")</f>
        <v>NWS38579.1</v>
      </c>
      <c r="C714">
        <v>14029</v>
      </c>
      <c r="D714" t="str">
        <f>HYPERLINK("http://www.ncbi.nlm.nih.gov/Taxonomy/Browser/wwwtax.cgi?mode=Info&amp;id=141839&amp;lvl=3&amp;lin=f&amp;keep=1&amp;srchmode=1&amp;unlock","141839")</f>
        <v>141839</v>
      </c>
      <c r="E714" t="s">
        <v>167</v>
      </c>
      <c r="F714" t="s">
        <v>167</v>
      </c>
      <c r="G714" t="str">
        <f>HYPERLINK("http://www.ncbi.nlm.nih.gov/Taxonomy/Browser/wwwtax.cgi?mode=Info&amp;id=141839&amp;lvl=3&amp;lin=f&amp;keep=1&amp;srchmode=1&amp;unlock","Probosciger aterrimus")</f>
        <v>Probosciger aterrimus</v>
      </c>
      <c r="H714" t="s">
        <v>497</v>
      </c>
      <c r="I714" t="str">
        <f>HYPERLINK("http://www.ncbi.nlm.nih.gov/protein/NWS38579.1","PRGR protein")</f>
        <v>PRGR protein</v>
      </c>
      <c r="J714" t="s">
        <v>1261</v>
      </c>
      <c r="K714">
        <v>301.60000000000002</v>
      </c>
      <c r="L714" t="s">
        <v>25</v>
      </c>
      <c r="M714">
        <v>157</v>
      </c>
      <c r="N714">
        <v>62.55</v>
      </c>
      <c r="O714">
        <v>58.65</v>
      </c>
      <c r="P714" t="s">
        <v>20</v>
      </c>
      <c r="Q714" t="s">
        <v>1262</v>
      </c>
      <c r="R714" t="s">
        <v>20</v>
      </c>
      <c r="S714" t="str">
        <f>HYPERLINK("https://cfpub.epa.gov/ecotox/explore.cfm?ncbi=141839","Explore in ECOTOX")</f>
        <v>Explore in ECOTOX</v>
      </c>
    </row>
    <row r="715" spans="1:19" x14ac:dyDescent="0.25">
      <c r="A715">
        <v>6</v>
      </c>
      <c r="B715" t="str">
        <f>HYPERLINK("http://www.ncbi.nlm.nih.gov/protein/NXF87690.1","NXF87690.1")</f>
        <v>NXF87690.1</v>
      </c>
      <c r="C715">
        <v>14177</v>
      </c>
      <c r="D715" t="str">
        <f>HYPERLINK("http://www.ncbi.nlm.nih.gov/Taxonomy/Browser/wwwtax.cgi?mode=Info&amp;id=91767&amp;lvl=3&amp;lin=f&amp;keep=1&amp;srchmode=1&amp;unlock","91767")</f>
        <v>91767</v>
      </c>
      <c r="E715" t="s">
        <v>167</v>
      </c>
      <c r="F715" t="s">
        <v>167</v>
      </c>
      <c r="G715" t="str">
        <f>HYPERLINK("http://www.ncbi.nlm.nih.gov/Taxonomy/Browser/wwwtax.cgi?mode=Info&amp;id=91767&amp;lvl=3&amp;lin=f&amp;keep=1&amp;srchmode=1&amp;unlock","Eubucco bourcierii")</f>
        <v>Eubucco bourcierii</v>
      </c>
      <c r="H715" t="s">
        <v>1034</v>
      </c>
      <c r="I715" t="str">
        <f>HYPERLINK("http://www.ncbi.nlm.nih.gov/protein/NXF87690.1","PRGR protein")</f>
        <v>PRGR protein</v>
      </c>
      <c r="J715" t="s">
        <v>1261</v>
      </c>
      <c r="K715">
        <v>301.60000000000002</v>
      </c>
      <c r="L715" t="s">
        <v>25</v>
      </c>
      <c r="M715">
        <v>157</v>
      </c>
      <c r="N715">
        <v>62.55</v>
      </c>
      <c r="O715">
        <v>58.65</v>
      </c>
      <c r="P715" t="s">
        <v>20</v>
      </c>
      <c r="Q715" t="s">
        <v>1262</v>
      </c>
      <c r="R715" t="s">
        <v>20</v>
      </c>
      <c r="S715" t="str">
        <f>HYPERLINK("https://cfpub.epa.gov/ecotox/explore.cfm?ncbi=91767","Explore in ECOTOX")</f>
        <v>Explore in ECOTOX</v>
      </c>
    </row>
    <row r="716" spans="1:19" x14ac:dyDescent="0.25">
      <c r="A716">
        <v>6</v>
      </c>
      <c r="B716" t="str">
        <f>HYPERLINK("http://www.ncbi.nlm.nih.gov/protein/XP_010151496.1","XP_010151496.1")</f>
        <v>XP_010151496.1</v>
      </c>
      <c r="C716">
        <v>27322</v>
      </c>
      <c r="D716" t="str">
        <f>HYPERLINK("http://www.ncbi.nlm.nih.gov/Taxonomy/Browser/wwwtax.cgi?mode=Info&amp;id=54383&amp;lvl=3&amp;lin=f&amp;keep=1&amp;srchmode=1&amp;unlock","54383")</f>
        <v>54383</v>
      </c>
      <c r="E716" t="s">
        <v>167</v>
      </c>
      <c r="F716" t="s">
        <v>167</v>
      </c>
      <c r="G716" t="str">
        <f>HYPERLINK("http://www.ncbi.nlm.nih.gov/Taxonomy/Browser/wwwtax.cgi?mode=Info&amp;id=54383&amp;lvl=3&amp;lin=f&amp;keep=1&amp;srchmode=1&amp;unlock","Eurypyga helias")</f>
        <v>Eurypyga helias</v>
      </c>
      <c r="H716" t="s">
        <v>198</v>
      </c>
      <c r="I716" t="str">
        <f>HYPERLINK("http://www.ncbi.nlm.nih.gov/protein/XP_010151496.1","PREDICTED: progesterone receptor, partial")</f>
        <v>PREDICTED: progesterone receptor, partial</v>
      </c>
      <c r="J716" t="s">
        <v>1261</v>
      </c>
      <c r="K716">
        <v>301.60000000000002</v>
      </c>
      <c r="L716" t="s">
        <v>25</v>
      </c>
      <c r="M716">
        <v>157</v>
      </c>
      <c r="N716">
        <v>62.55</v>
      </c>
      <c r="O716">
        <v>58.65</v>
      </c>
      <c r="P716" t="s">
        <v>20</v>
      </c>
      <c r="Q716" t="s">
        <v>1262</v>
      </c>
      <c r="R716" t="s">
        <v>20</v>
      </c>
      <c r="S716" t="str">
        <f>HYPERLINK("https://cfpub.epa.gov/ecotox/explore.cfm?ncbi=54383","Explore in ECOTOX")</f>
        <v>Explore in ECOTOX</v>
      </c>
    </row>
    <row r="717" spans="1:19" x14ac:dyDescent="0.25">
      <c r="A717">
        <v>6</v>
      </c>
      <c r="B717" t="str">
        <f>HYPERLINK("http://www.ncbi.nlm.nih.gov/protein/NWW59125.1","NWW59125.1")</f>
        <v>NWW59125.1</v>
      </c>
      <c r="C717">
        <v>14068</v>
      </c>
      <c r="D717" t="str">
        <f>HYPERLINK("http://www.ncbi.nlm.nih.gov/Taxonomy/Browser/wwwtax.cgi?mode=Info&amp;id=461245&amp;lvl=3&amp;lin=f&amp;keep=1&amp;srchmode=1&amp;unlock","461245")</f>
        <v>461245</v>
      </c>
      <c r="E717" t="s">
        <v>167</v>
      </c>
      <c r="F717" t="s">
        <v>167</v>
      </c>
      <c r="G717" t="str">
        <f>HYPERLINK("http://www.ncbi.nlm.nih.gov/Taxonomy/Browser/wwwtax.cgi?mode=Info&amp;id=461245&amp;lvl=3&amp;lin=f&amp;keep=1&amp;srchmode=1&amp;unlock","Ifrita kowaldi")</f>
        <v>Ifrita kowaldi</v>
      </c>
      <c r="H717" t="s">
        <v>375</v>
      </c>
      <c r="I717" t="str">
        <f>HYPERLINK("http://www.ncbi.nlm.nih.gov/protein/NWW59125.1","PRGR protein")</f>
        <v>PRGR protein</v>
      </c>
      <c r="J717" t="s">
        <v>1261</v>
      </c>
      <c r="K717">
        <v>301.60000000000002</v>
      </c>
      <c r="L717" t="s">
        <v>25</v>
      </c>
      <c r="M717">
        <v>157</v>
      </c>
      <c r="N717">
        <v>62.55</v>
      </c>
      <c r="O717">
        <v>58.65</v>
      </c>
      <c r="P717" t="s">
        <v>20</v>
      </c>
      <c r="Q717" t="s">
        <v>1262</v>
      </c>
      <c r="R717" t="s">
        <v>20</v>
      </c>
      <c r="S717" t="str">
        <f>HYPERLINK("https://cfpub.epa.gov/ecotox/explore.cfm?ncbi=461245","Explore in ECOTOX")</f>
        <v>Explore in ECOTOX</v>
      </c>
    </row>
    <row r="718" spans="1:19" x14ac:dyDescent="0.25">
      <c r="A718">
        <v>6</v>
      </c>
      <c r="B718" t="str">
        <f>HYPERLINK("http://www.ncbi.nlm.nih.gov/protein/XP_008936915.1","XP_008936915.1")</f>
        <v>XP_008936915.1</v>
      </c>
      <c r="C718">
        <v>26772</v>
      </c>
      <c r="D718" t="str">
        <f>HYPERLINK("http://www.ncbi.nlm.nih.gov/Taxonomy/Browser/wwwtax.cgi?mode=Info&amp;id=57421&amp;lvl=3&amp;lin=f&amp;keep=1&amp;srchmode=1&amp;unlock","57421")</f>
        <v>57421</v>
      </c>
      <c r="E718" t="s">
        <v>167</v>
      </c>
      <c r="F718" t="s">
        <v>167</v>
      </c>
      <c r="G718" t="str">
        <f>HYPERLINK("http://www.ncbi.nlm.nih.gov/Taxonomy/Browser/wwwtax.cgi?mode=Info&amp;id=57421&amp;lvl=3&amp;lin=f&amp;keep=1&amp;srchmode=1&amp;unlock","Merops nubicus")</f>
        <v>Merops nubicus</v>
      </c>
      <c r="H718" t="s">
        <v>245</v>
      </c>
      <c r="I718" t="str">
        <f>HYPERLINK("http://www.ncbi.nlm.nih.gov/protein/XP_008936915.1","PREDICTED: progesterone receptor, partial")</f>
        <v>PREDICTED: progesterone receptor, partial</v>
      </c>
      <c r="J718" t="s">
        <v>1261</v>
      </c>
      <c r="K718">
        <v>301.60000000000002</v>
      </c>
      <c r="L718" t="s">
        <v>25</v>
      </c>
      <c r="M718">
        <v>157</v>
      </c>
      <c r="N718">
        <v>62.55</v>
      </c>
      <c r="O718">
        <v>58.65</v>
      </c>
      <c r="P718" t="s">
        <v>20</v>
      </c>
      <c r="Q718" t="s">
        <v>1262</v>
      </c>
      <c r="R718" t="s">
        <v>20</v>
      </c>
      <c r="S718" t="str">
        <f>HYPERLINK("https://cfpub.epa.gov/ecotox/explore.cfm?ncbi=57421","Explore in ECOTOX")</f>
        <v>Explore in ECOTOX</v>
      </c>
    </row>
    <row r="719" spans="1:19" x14ac:dyDescent="0.25">
      <c r="A719">
        <v>6</v>
      </c>
      <c r="B719" t="str">
        <f>HYPERLINK("http://www.ncbi.nlm.nih.gov/protein/NXR67941.1","NXR67941.1")</f>
        <v>NXR67941.1</v>
      </c>
      <c r="C719">
        <v>13653</v>
      </c>
      <c r="D719" t="str">
        <f>HYPERLINK("http://www.ncbi.nlm.nih.gov/Taxonomy/Browser/wwwtax.cgi?mode=Info&amp;id=2585818&amp;lvl=3&amp;lin=f&amp;keep=1&amp;srchmode=1&amp;unlock","2585818")</f>
        <v>2585818</v>
      </c>
      <c r="E719" t="s">
        <v>167</v>
      </c>
      <c r="F719" t="s">
        <v>167</v>
      </c>
      <c r="G719" t="str">
        <f>HYPERLINK("http://www.ncbi.nlm.nih.gov/Taxonomy/Browser/wwwtax.cgi?mode=Info&amp;id=2585818&amp;lvl=3&amp;lin=f&amp;keep=1&amp;srchmode=1&amp;unlock","Rhadina sibilatrix")</f>
        <v>Rhadina sibilatrix</v>
      </c>
      <c r="H719" t="s">
        <v>206</v>
      </c>
      <c r="I719" t="str">
        <f>HYPERLINK("http://www.ncbi.nlm.nih.gov/protein/NXR67941.1","PRGR protein")</f>
        <v>PRGR protein</v>
      </c>
      <c r="J719" t="s">
        <v>1261</v>
      </c>
      <c r="K719">
        <v>301.60000000000002</v>
      </c>
      <c r="L719" t="s">
        <v>25</v>
      </c>
      <c r="M719">
        <v>157</v>
      </c>
      <c r="N719">
        <v>62.55</v>
      </c>
      <c r="O719">
        <v>58.65</v>
      </c>
      <c r="P719" t="s">
        <v>20</v>
      </c>
      <c r="Q719" t="s">
        <v>1262</v>
      </c>
      <c r="R719" t="s">
        <v>20</v>
      </c>
      <c r="S719" t="str">
        <f>HYPERLINK("https://cfpub.epa.gov/ecotox/explore.cfm?ncbi=2585818","Explore in ECOTOX")</f>
        <v>Explore in ECOTOX</v>
      </c>
    </row>
    <row r="720" spans="1:19" x14ac:dyDescent="0.25">
      <c r="A720">
        <v>6</v>
      </c>
      <c r="B720" t="str">
        <f>HYPERLINK("http://www.ncbi.nlm.nih.gov/protein/NXG50348.1","NXG50348.1")</f>
        <v>NXG50348.1</v>
      </c>
      <c r="C720">
        <v>13561</v>
      </c>
      <c r="D720" t="str">
        <f>HYPERLINK("http://www.ncbi.nlm.nih.gov/Taxonomy/Browser/wwwtax.cgi?mode=Info&amp;id=2585815&amp;lvl=3&amp;lin=f&amp;keep=1&amp;srchmode=1&amp;unlock","2585815")</f>
        <v>2585815</v>
      </c>
      <c r="E720" t="s">
        <v>167</v>
      </c>
      <c r="F720" t="s">
        <v>167</v>
      </c>
      <c r="G720" t="str">
        <f>HYPERLINK("http://www.ncbi.nlm.nih.gov/Taxonomy/Browser/wwwtax.cgi?mode=Info&amp;id=2585815&amp;lvl=3&amp;lin=f&amp;keep=1&amp;srchmode=1&amp;unlock","Psilopogon haemacephalus")</f>
        <v>Psilopogon haemacephalus</v>
      </c>
      <c r="H720" t="s">
        <v>262</v>
      </c>
      <c r="I720" t="str">
        <f>HYPERLINK("http://www.ncbi.nlm.nih.gov/protein/NXG50348.1","PRGR protein")</f>
        <v>PRGR protein</v>
      </c>
      <c r="J720" t="s">
        <v>1261</v>
      </c>
      <c r="K720">
        <v>301.60000000000002</v>
      </c>
      <c r="L720" t="s">
        <v>25</v>
      </c>
      <c r="M720">
        <v>157</v>
      </c>
      <c r="N720">
        <v>62.55</v>
      </c>
      <c r="O720">
        <v>58.65</v>
      </c>
      <c r="P720" t="s">
        <v>20</v>
      </c>
      <c r="Q720" t="s">
        <v>1262</v>
      </c>
      <c r="R720" t="s">
        <v>20</v>
      </c>
      <c r="S720" t="str">
        <f>HYPERLINK("https://cfpub.epa.gov/ecotox/explore.cfm?ncbi=2585815","Explore in ECOTOX")</f>
        <v>Explore in ECOTOX</v>
      </c>
    </row>
    <row r="721" spans="1:19" x14ac:dyDescent="0.25">
      <c r="A721">
        <v>6</v>
      </c>
      <c r="B721" t="str">
        <f>HYPERLINK("http://www.ncbi.nlm.nih.gov/protein/NXN09577.1","NXN09577.1")</f>
        <v>NXN09577.1</v>
      </c>
      <c r="C721">
        <v>14026</v>
      </c>
      <c r="D721" t="str">
        <f>HYPERLINK("http://www.ncbi.nlm.nih.gov/Taxonomy/Browser/wwwtax.cgi?mode=Info&amp;id=545262&amp;lvl=3&amp;lin=f&amp;keep=1&amp;srchmode=1&amp;unlock","545262")</f>
        <v>545262</v>
      </c>
      <c r="E721" t="s">
        <v>167</v>
      </c>
      <c r="F721" t="s">
        <v>167</v>
      </c>
      <c r="G721" t="str">
        <f>HYPERLINK("http://www.ncbi.nlm.nih.gov/Taxonomy/Browser/wwwtax.cgi?mode=Info&amp;id=545262&amp;lvl=3&amp;lin=f&amp;keep=1&amp;srchmode=1&amp;unlock","Indicator maculatus")</f>
        <v>Indicator maculatus</v>
      </c>
      <c r="H721" t="s">
        <v>674</v>
      </c>
      <c r="I721" t="str">
        <f>HYPERLINK("http://www.ncbi.nlm.nih.gov/protein/NXN09577.1","PRGR protein")</f>
        <v>PRGR protein</v>
      </c>
      <c r="J721" t="s">
        <v>1261</v>
      </c>
      <c r="K721">
        <v>301.60000000000002</v>
      </c>
      <c r="L721" t="s">
        <v>25</v>
      </c>
      <c r="M721">
        <v>157</v>
      </c>
      <c r="N721">
        <v>62.55</v>
      </c>
      <c r="O721">
        <v>58.65</v>
      </c>
      <c r="P721" t="s">
        <v>20</v>
      </c>
      <c r="Q721" t="s">
        <v>1262</v>
      </c>
      <c r="R721" t="s">
        <v>20</v>
      </c>
      <c r="S721" t="str">
        <f>HYPERLINK("https://cfpub.epa.gov/ecotox/explore.cfm?ncbi=545262","Explore in ECOTOX")</f>
        <v>Explore in ECOTOX</v>
      </c>
    </row>
    <row r="722" spans="1:19" x14ac:dyDescent="0.25">
      <c r="A722">
        <v>6</v>
      </c>
      <c r="B722" t="str">
        <f>HYPERLINK("http://www.ncbi.nlm.nih.gov/protein/NWZ98881.1","NWZ98881.1")</f>
        <v>NWZ98881.1</v>
      </c>
      <c r="C722">
        <v>14106</v>
      </c>
      <c r="D722" t="str">
        <f>HYPERLINK("http://www.ncbi.nlm.nih.gov/Taxonomy/Browser/wwwtax.cgi?mode=Info&amp;id=381881&amp;lvl=3&amp;lin=f&amp;keep=1&amp;srchmode=1&amp;unlock","381881")</f>
        <v>381881</v>
      </c>
      <c r="E722" t="s">
        <v>167</v>
      </c>
      <c r="F722" t="s">
        <v>167</v>
      </c>
      <c r="G722" t="str">
        <f>HYPERLINK("http://www.ncbi.nlm.nih.gov/Taxonomy/Browser/wwwtax.cgi?mode=Info&amp;id=381881&amp;lvl=3&amp;lin=f&amp;keep=1&amp;srchmode=1&amp;unlock","Nesospiza acunhae")</f>
        <v>Nesospiza acunhae</v>
      </c>
      <c r="H722" t="s">
        <v>414</v>
      </c>
      <c r="I722" t="str">
        <f>HYPERLINK("http://www.ncbi.nlm.nih.gov/protein/NWZ98881.1","PRGR protein")</f>
        <v>PRGR protein</v>
      </c>
      <c r="J722" t="s">
        <v>1261</v>
      </c>
      <c r="K722">
        <v>301.60000000000002</v>
      </c>
      <c r="L722" t="s">
        <v>25</v>
      </c>
      <c r="M722">
        <v>157</v>
      </c>
      <c r="N722">
        <v>62.55</v>
      </c>
      <c r="O722">
        <v>58.65</v>
      </c>
      <c r="P722" t="s">
        <v>20</v>
      </c>
      <c r="Q722" t="s">
        <v>1262</v>
      </c>
      <c r="R722" t="s">
        <v>20</v>
      </c>
      <c r="S722" t="str">
        <f>HYPERLINK("https://cfpub.epa.gov/ecotox/explore.cfm?ncbi=381881","Explore in ECOTOX")</f>
        <v>Explore in ECOTOX</v>
      </c>
    </row>
    <row r="723" spans="1:19" x14ac:dyDescent="0.25">
      <c r="A723">
        <v>6</v>
      </c>
      <c r="B723" t="str">
        <f>HYPERLINK("http://www.ncbi.nlm.nih.gov/protein/NXC94022.1","NXC94022.1")</f>
        <v>NXC94022.1</v>
      </c>
      <c r="C723">
        <v>13258</v>
      </c>
      <c r="D723" t="str">
        <f>HYPERLINK("http://www.ncbi.nlm.nih.gov/Taxonomy/Browser/wwwtax.cgi?mode=Info&amp;id=73333&amp;lvl=3&amp;lin=f&amp;keep=1&amp;srchmode=1&amp;unlock","73333")</f>
        <v>73333</v>
      </c>
      <c r="E723" t="s">
        <v>167</v>
      </c>
      <c r="F723" t="s">
        <v>167</v>
      </c>
      <c r="G723" t="str">
        <f>HYPERLINK("http://www.ncbi.nlm.nih.gov/Taxonomy/Browser/wwwtax.cgi?mode=Info&amp;id=73333&amp;lvl=3&amp;lin=f&amp;keep=1&amp;srchmode=1&amp;unlock","Certhia familiaris")</f>
        <v>Certhia familiaris</v>
      </c>
      <c r="H723" t="s">
        <v>460</v>
      </c>
      <c r="I723" t="str">
        <f>HYPERLINK("http://www.ncbi.nlm.nih.gov/protein/NXC94022.1","PRGR protein")</f>
        <v>PRGR protein</v>
      </c>
      <c r="J723" t="s">
        <v>1261</v>
      </c>
      <c r="K723">
        <v>301.60000000000002</v>
      </c>
      <c r="L723" t="s">
        <v>25</v>
      </c>
      <c r="M723">
        <v>157</v>
      </c>
      <c r="N723">
        <v>62.55</v>
      </c>
      <c r="O723">
        <v>58.65</v>
      </c>
      <c r="P723" t="s">
        <v>20</v>
      </c>
      <c r="Q723" t="s">
        <v>1262</v>
      </c>
      <c r="R723" t="s">
        <v>20</v>
      </c>
      <c r="S723" t="str">
        <f>HYPERLINK("https://cfpub.epa.gov/ecotox/explore.cfm?ncbi=73333","Explore in ECOTOX")</f>
        <v>Explore in ECOTOX</v>
      </c>
    </row>
    <row r="724" spans="1:19" x14ac:dyDescent="0.25">
      <c r="A724">
        <v>6</v>
      </c>
      <c r="B724" t="str">
        <f>HYPERLINK("http://www.ncbi.nlm.nih.gov/protein/NXI23268.1","NXI23268.1")</f>
        <v>NXI23268.1</v>
      </c>
      <c r="C724">
        <v>13252</v>
      </c>
      <c r="D724" t="str">
        <f>HYPERLINK("http://www.ncbi.nlm.nih.gov/Taxonomy/Browser/wwwtax.cgi?mode=Info&amp;id=2585820&amp;lvl=3&amp;lin=f&amp;keep=1&amp;srchmode=1&amp;unlock","2585820")</f>
        <v>2585820</v>
      </c>
      <c r="E724" t="s">
        <v>167</v>
      </c>
      <c r="F724" t="s">
        <v>167</v>
      </c>
      <c r="G724" t="str">
        <f>HYPERLINK("http://www.ncbi.nlm.nih.gov/Taxonomy/Browser/wwwtax.cgi?mode=Info&amp;id=2585820&amp;lvl=3&amp;lin=f&amp;keep=1&amp;srchmode=1&amp;unlock","Sterrhoptilus dennistouni")</f>
        <v>Sterrhoptilus dennistouni</v>
      </c>
      <c r="H724" t="s">
        <v>449</v>
      </c>
      <c r="I724" t="str">
        <f>HYPERLINK("http://www.ncbi.nlm.nih.gov/protein/NXI23268.1","PRGR protein")</f>
        <v>PRGR protein</v>
      </c>
      <c r="J724" t="s">
        <v>1261</v>
      </c>
      <c r="K724">
        <v>301.60000000000002</v>
      </c>
      <c r="L724" t="s">
        <v>25</v>
      </c>
      <c r="M724">
        <v>157</v>
      </c>
      <c r="N724">
        <v>62.55</v>
      </c>
      <c r="O724">
        <v>58.65</v>
      </c>
      <c r="P724" t="s">
        <v>20</v>
      </c>
      <c r="Q724" t="s">
        <v>1262</v>
      </c>
      <c r="R724" t="s">
        <v>20</v>
      </c>
      <c r="S724" t="str">
        <f>HYPERLINK("https://cfpub.epa.gov/ecotox/explore.cfm?ncbi=2585820","Explore in ECOTOX")</f>
        <v>Explore in ECOTOX</v>
      </c>
    </row>
    <row r="725" spans="1:19" x14ac:dyDescent="0.25">
      <c r="A725">
        <v>6</v>
      </c>
      <c r="B725" t="str">
        <f>HYPERLINK("http://www.ncbi.nlm.nih.gov/protein/NWI20332.1","NWI20332.1")</f>
        <v>NWI20332.1</v>
      </c>
      <c r="C725">
        <v>14222</v>
      </c>
      <c r="D725" t="str">
        <f>HYPERLINK("http://www.ncbi.nlm.nih.gov/Taxonomy/Browser/wwwtax.cgi?mode=Info&amp;id=458187&amp;lvl=3&amp;lin=f&amp;keep=1&amp;srchmode=1&amp;unlock","458187")</f>
        <v>458187</v>
      </c>
      <c r="E725" t="s">
        <v>167</v>
      </c>
      <c r="F725" t="s">
        <v>167</v>
      </c>
      <c r="G725" t="str">
        <f>HYPERLINK("http://www.ncbi.nlm.nih.gov/Taxonomy/Browser/wwwtax.cgi?mode=Info&amp;id=458187&amp;lvl=3&amp;lin=f&amp;keep=1&amp;srchmode=1&amp;unlock","Crypturellus soui")</f>
        <v>Crypturellus soui</v>
      </c>
      <c r="H725" t="s">
        <v>196</v>
      </c>
      <c r="I725" t="str">
        <f>HYPERLINK("http://www.ncbi.nlm.nih.gov/protein/NWI20332.1","PRGR protein")</f>
        <v>PRGR protein</v>
      </c>
      <c r="J725" t="s">
        <v>1261</v>
      </c>
      <c r="K725">
        <v>301.60000000000002</v>
      </c>
      <c r="L725" t="s">
        <v>25</v>
      </c>
      <c r="M725">
        <v>157</v>
      </c>
      <c r="N725">
        <v>62.55</v>
      </c>
      <c r="O725">
        <v>58.65</v>
      </c>
      <c r="P725" t="s">
        <v>20</v>
      </c>
      <c r="Q725" t="s">
        <v>1262</v>
      </c>
      <c r="R725" t="s">
        <v>20</v>
      </c>
      <c r="S725" t="str">
        <f>HYPERLINK("https://cfpub.epa.gov/ecotox/explore.cfm?ncbi=458187","Explore in ECOTOX")</f>
        <v>Explore in ECOTOX</v>
      </c>
    </row>
    <row r="726" spans="1:19" x14ac:dyDescent="0.25">
      <c r="A726">
        <v>6</v>
      </c>
      <c r="B726" t="str">
        <f>HYPERLINK("http://www.ncbi.nlm.nih.gov/protein/KFV13273.1","KFV13273.1")</f>
        <v>KFV13273.1</v>
      </c>
      <c r="C726">
        <v>28574</v>
      </c>
      <c r="D726" t="str">
        <f>HYPERLINK("http://www.ncbi.nlm.nih.gov/Taxonomy/Browser/wwwtax.cgi?mode=Info&amp;id=121530&amp;lvl=3&amp;lin=f&amp;keep=1&amp;srchmode=1&amp;unlock","121530")</f>
        <v>121530</v>
      </c>
      <c r="E726" t="s">
        <v>167</v>
      </c>
      <c r="F726" t="s">
        <v>167</v>
      </c>
      <c r="G726" t="str">
        <f>HYPERLINK("http://www.ncbi.nlm.nih.gov/Taxonomy/Browser/wwwtax.cgi?mode=Info&amp;id=121530&amp;lvl=3&amp;lin=f&amp;keep=1&amp;srchmode=1&amp;unlock","Tauraco erythrolophus")</f>
        <v>Tauraco erythrolophus</v>
      </c>
      <c r="H726" t="s">
        <v>315</v>
      </c>
      <c r="I726" t="str">
        <f>HYPERLINK("http://www.ncbi.nlm.nih.gov/protein/KFV13273.1","Progesterone receptor, partial")</f>
        <v>Progesterone receptor, partial</v>
      </c>
      <c r="J726" t="s">
        <v>1261</v>
      </c>
      <c r="K726">
        <v>301.60000000000002</v>
      </c>
      <c r="L726" t="s">
        <v>25</v>
      </c>
      <c r="M726">
        <v>157</v>
      </c>
      <c r="N726">
        <v>62.55</v>
      </c>
      <c r="O726">
        <v>58.65</v>
      </c>
      <c r="P726" t="s">
        <v>20</v>
      </c>
      <c r="Q726" t="s">
        <v>1262</v>
      </c>
      <c r="R726" t="s">
        <v>20</v>
      </c>
      <c r="S726" t="str">
        <f>HYPERLINK("https://cfpub.epa.gov/ecotox/explore.cfm?ncbi=121530","Explore in ECOTOX")</f>
        <v>Explore in ECOTOX</v>
      </c>
    </row>
    <row r="727" spans="1:19" x14ac:dyDescent="0.25">
      <c r="A727">
        <v>6</v>
      </c>
      <c r="B727" t="str">
        <f>HYPERLINK("http://www.ncbi.nlm.nih.gov/protein/NXB69914.1","NXB69914.1")</f>
        <v>NXB69914.1</v>
      </c>
      <c r="C727">
        <v>13760</v>
      </c>
      <c r="D727" t="str">
        <f>HYPERLINK("http://www.ncbi.nlm.nih.gov/Taxonomy/Browser/wwwtax.cgi?mode=Info&amp;id=237420&amp;lvl=3&amp;lin=f&amp;keep=1&amp;srchmode=1&amp;unlock","237420")</f>
        <v>237420</v>
      </c>
      <c r="E727" t="s">
        <v>167</v>
      </c>
      <c r="F727" t="s">
        <v>167</v>
      </c>
      <c r="G727" t="str">
        <f>HYPERLINK("http://www.ncbi.nlm.nih.gov/Taxonomy/Browser/wwwtax.cgi?mode=Info&amp;id=237420&amp;lvl=3&amp;lin=f&amp;keep=1&amp;srchmode=1&amp;unlock","Donacobius atricapilla")</f>
        <v>Donacobius atricapilla</v>
      </c>
      <c r="H727" t="s">
        <v>206</v>
      </c>
      <c r="I727" t="str">
        <f>HYPERLINK("http://www.ncbi.nlm.nih.gov/protein/NXB69914.1","PRGR protein")</f>
        <v>PRGR protein</v>
      </c>
      <c r="J727" t="s">
        <v>1261</v>
      </c>
      <c r="K727">
        <v>301.60000000000002</v>
      </c>
      <c r="L727" t="s">
        <v>25</v>
      </c>
      <c r="M727">
        <v>157</v>
      </c>
      <c r="N727">
        <v>62.55</v>
      </c>
      <c r="O727">
        <v>58.65</v>
      </c>
      <c r="P727" t="s">
        <v>20</v>
      </c>
      <c r="Q727" t="s">
        <v>1262</v>
      </c>
      <c r="R727" t="s">
        <v>20</v>
      </c>
      <c r="S727" t="str">
        <f>HYPERLINK("https://cfpub.epa.gov/ecotox/explore.cfm?ncbi=237420","Explore in ECOTOX")</f>
        <v>Explore in ECOTOX</v>
      </c>
    </row>
    <row r="728" spans="1:19" x14ac:dyDescent="0.25">
      <c r="A728">
        <v>6</v>
      </c>
      <c r="B728" t="str">
        <f>HYPERLINK("http://www.ncbi.nlm.nih.gov/protein/NWZ43965.1","NWZ43965.1")</f>
        <v>NWZ43965.1</v>
      </c>
      <c r="C728">
        <v>12884</v>
      </c>
      <c r="D728" t="str">
        <f>HYPERLINK("http://www.ncbi.nlm.nih.gov/Taxonomy/Browser/wwwtax.cgi?mode=Info&amp;id=182895&amp;lvl=3&amp;lin=f&amp;keep=1&amp;srchmode=1&amp;unlock","182895")</f>
        <v>182895</v>
      </c>
      <c r="E728" t="s">
        <v>167</v>
      </c>
      <c r="F728" t="s">
        <v>167</v>
      </c>
      <c r="G728" t="str">
        <f>HYPERLINK("http://www.ncbi.nlm.nih.gov/Taxonomy/Browser/wwwtax.cgi?mode=Info&amp;id=182895&amp;lvl=3&amp;lin=f&amp;keep=1&amp;srchmode=1&amp;unlock","Brachypodius atriceps")</f>
        <v>Brachypodius atriceps</v>
      </c>
      <c r="H728" t="s">
        <v>470</v>
      </c>
      <c r="I728" t="str">
        <f>HYPERLINK("http://www.ncbi.nlm.nih.gov/protein/NWZ43965.1","PRGR protein")</f>
        <v>PRGR protein</v>
      </c>
      <c r="J728" t="s">
        <v>1261</v>
      </c>
      <c r="K728">
        <v>301.60000000000002</v>
      </c>
      <c r="L728" t="s">
        <v>25</v>
      </c>
      <c r="M728">
        <v>157</v>
      </c>
      <c r="N728">
        <v>62.55</v>
      </c>
      <c r="O728">
        <v>58.65</v>
      </c>
      <c r="P728" t="s">
        <v>20</v>
      </c>
      <c r="Q728" t="s">
        <v>1262</v>
      </c>
      <c r="R728" t="s">
        <v>20</v>
      </c>
      <c r="S728" t="str">
        <f>HYPERLINK("https://cfpub.epa.gov/ecotox/explore.cfm?ncbi=182895","Explore in ECOTOX")</f>
        <v>Explore in ECOTOX</v>
      </c>
    </row>
    <row r="729" spans="1:19" x14ac:dyDescent="0.25">
      <c r="A729">
        <v>6</v>
      </c>
      <c r="B729" t="str">
        <f>HYPERLINK("http://www.ncbi.nlm.nih.gov/protein/NXY44881.1","NXY44881.1")</f>
        <v>NXY44881.1</v>
      </c>
      <c r="C729">
        <v>12235</v>
      </c>
      <c r="D729" t="str">
        <f>HYPERLINK("http://www.ncbi.nlm.nih.gov/Taxonomy/Browser/wwwtax.cgi?mode=Info&amp;id=1961834&amp;lvl=3&amp;lin=f&amp;keep=1&amp;srchmode=1&amp;unlock","1961834")</f>
        <v>1961834</v>
      </c>
      <c r="E729" t="s">
        <v>167</v>
      </c>
      <c r="F729" t="s">
        <v>167</v>
      </c>
      <c r="G729" t="str">
        <f>HYPERLINK("http://www.ncbi.nlm.nih.gov/Taxonomy/Browser/wwwtax.cgi?mode=Info&amp;id=1961834&amp;lvl=3&amp;lin=f&amp;keep=1&amp;srchmode=1&amp;unlock","Ceuthmochares aereus")</f>
        <v>Ceuthmochares aereus</v>
      </c>
      <c r="H729" t="s">
        <v>184</v>
      </c>
      <c r="I729" t="str">
        <f>HYPERLINK("http://www.ncbi.nlm.nih.gov/protein/NXY44881.1","PRGR protein")</f>
        <v>PRGR protein</v>
      </c>
      <c r="J729" t="s">
        <v>1261</v>
      </c>
      <c r="K729">
        <v>301.60000000000002</v>
      </c>
      <c r="L729" t="s">
        <v>25</v>
      </c>
      <c r="M729">
        <v>157</v>
      </c>
      <c r="N729">
        <v>62.55</v>
      </c>
      <c r="O729">
        <v>58.65</v>
      </c>
      <c r="P729" t="s">
        <v>20</v>
      </c>
      <c r="Q729" t="s">
        <v>1262</v>
      </c>
      <c r="R729" t="s">
        <v>20</v>
      </c>
      <c r="S729" t="str">
        <f>HYPERLINK("https://cfpub.epa.gov/ecotox/explore.cfm?ncbi=1961834","Explore in ECOTOX")</f>
        <v>Explore in ECOTOX</v>
      </c>
    </row>
    <row r="730" spans="1:19" x14ac:dyDescent="0.25">
      <c r="A730">
        <v>6</v>
      </c>
      <c r="B730" t="str">
        <f>HYPERLINK("http://www.ncbi.nlm.nih.gov/protein/NXK41785.1","NXK41785.1")</f>
        <v>NXK41785.1</v>
      </c>
      <c r="C730">
        <v>14174</v>
      </c>
      <c r="D730" t="str">
        <f>HYPERLINK("http://www.ncbi.nlm.nih.gov/Taxonomy/Browser/wwwtax.cgi?mode=Info&amp;id=114369&amp;lvl=3&amp;lin=f&amp;keep=1&amp;srchmode=1&amp;unlock","114369")</f>
        <v>114369</v>
      </c>
      <c r="E730" t="s">
        <v>167</v>
      </c>
      <c r="F730" t="s">
        <v>167</v>
      </c>
      <c r="G730" t="str">
        <f>HYPERLINK("http://www.ncbi.nlm.nih.gov/Taxonomy/Browser/wwwtax.cgi?mode=Info&amp;id=114369&amp;lvl=3&amp;lin=f&amp;keep=1&amp;srchmode=1&amp;unlock","Piprites chloris")</f>
        <v>Piprites chloris</v>
      </c>
      <c r="H730" t="s">
        <v>389</v>
      </c>
      <c r="I730" t="str">
        <f>HYPERLINK("http://www.ncbi.nlm.nih.gov/protein/NXK41785.1","PRGR protein")</f>
        <v>PRGR protein</v>
      </c>
      <c r="J730" t="s">
        <v>1261</v>
      </c>
      <c r="K730">
        <v>301.60000000000002</v>
      </c>
      <c r="L730" t="s">
        <v>25</v>
      </c>
      <c r="M730">
        <v>157</v>
      </c>
      <c r="N730">
        <v>62.55</v>
      </c>
      <c r="O730">
        <v>58.65</v>
      </c>
      <c r="P730" t="s">
        <v>20</v>
      </c>
      <c r="Q730" t="s">
        <v>1262</v>
      </c>
      <c r="R730" t="s">
        <v>20</v>
      </c>
      <c r="S730" t="str">
        <f>HYPERLINK("https://cfpub.epa.gov/ecotox/explore.cfm?ncbi=114369","Explore in ECOTOX")</f>
        <v>Explore in ECOTOX</v>
      </c>
    </row>
    <row r="731" spans="1:19" x14ac:dyDescent="0.25">
      <c r="A731">
        <v>6</v>
      </c>
      <c r="B731" t="str">
        <f>HYPERLINK("http://www.ncbi.nlm.nih.gov/protein/NXB01963.1","NXB01963.1")</f>
        <v>NXB01963.1</v>
      </c>
      <c r="C731">
        <v>14160</v>
      </c>
      <c r="D731" t="str">
        <f>HYPERLINK("http://www.ncbi.nlm.nih.gov/Taxonomy/Browser/wwwtax.cgi?mode=Info&amp;id=254448&amp;lvl=3&amp;lin=f&amp;keep=1&amp;srchmode=1&amp;unlock","254448")</f>
        <v>254448</v>
      </c>
      <c r="E731" t="s">
        <v>167</v>
      </c>
      <c r="F731" t="s">
        <v>167</v>
      </c>
      <c r="G731" t="str">
        <f>HYPERLINK("http://www.ncbi.nlm.nih.gov/Taxonomy/Browser/wwwtax.cgi?mode=Info&amp;id=254448&amp;lvl=3&amp;lin=f&amp;keep=1&amp;srchmode=1&amp;unlock","Cnemophilus loriae")</f>
        <v>Cnemophilus loriae</v>
      </c>
      <c r="H731" t="s">
        <v>410</v>
      </c>
      <c r="I731" t="str">
        <f>HYPERLINK("http://www.ncbi.nlm.nih.gov/protein/NXB01963.1","PRGR protein")</f>
        <v>PRGR protein</v>
      </c>
      <c r="J731" t="s">
        <v>1261</v>
      </c>
      <c r="K731">
        <v>301.60000000000002</v>
      </c>
      <c r="L731" t="s">
        <v>25</v>
      </c>
      <c r="M731">
        <v>157</v>
      </c>
      <c r="N731">
        <v>62.55</v>
      </c>
      <c r="O731">
        <v>58.65</v>
      </c>
      <c r="P731" t="s">
        <v>20</v>
      </c>
      <c r="Q731" t="s">
        <v>1262</v>
      </c>
      <c r="R731" t="s">
        <v>20</v>
      </c>
      <c r="S731" t="str">
        <f>HYPERLINK("https://cfpub.epa.gov/ecotox/explore.cfm?ncbi=254448","Explore in ECOTOX")</f>
        <v>Explore in ECOTOX</v>
      </c>
    </row>
    <row r="732" spans="1:19" x14ac:dyDescent="0.25">
      <c r="A732">
        <v>6</v>
      </c>
      <c r="B732" t="str">
        <f>HYPERLINK("http://www.ncbi.nlm.nih.gov/protein/NXE64016.1","NXE64016.1")</f>
        <v>NXE64016.1</v>
      </c>
      <c r="C732">
        <v>13710</v>
      </c>
      <c r="D732" t="str">
        <f>HYPERLINK("http://www.ncbi.nlm.nih.gov/Taxonomy/Browser/wwwtax.cgi?mode=Info&amp;id=198940&amp;lvl=3&amp;lin=f&amp;keep=1&amp;srchmode=1&amp;unlock","198940")</f>
        <v>198940</v>
      </c>
      <c r="E732" t="s">
        <v>167</v>
      </c>
      <c r="F732" t="s">
        <v>167</v>
      </c>
      <c r="G732" t="str">
        <f>HYPERLINK("http://www.ncbi.nlm.nih.gov/Taxonomy/Browser/wwwtax.cgi?mode=Info&amp;id=198940&amp;lvl=3&amp;lin=f&amp;keep=1&amp;srchmode=1&amp;unlock","Calcarius ornatus")</f>
        <v>Calcarius ornatus</v>
      </c>
      <c r="H732" t="s">
        <v>206</v>
      </c>
      <c r="I732" t="str">
        <f>HYPERLINK("http://www.ncbi.nlm.nih.gov/protein/NXE64016.1","PRGR protein")</f>
        <v>PRGR protein</v>
      </c>
      <c r="J732" t="s">
        <v>1261</v>
      </c>
      <c r="K732">
        <v>301.60000000000002</v>
      </c>
      <c r="L732" t="s">
        <v>25</v>
      </c>
      <c r="M732">
        <v>157</v>
      </c>
      <c r="N732">
        <v>62.55</v>
      </c>
      <c r="O732">
        <v>58.65</v>
      </c>
      <c r="P732" t="s">
        <v>20</v>
      </c>
      <c r="Q732" t="s">
        <v>1262</v>
      </c>
      <c r="R732" t="s">
        <v>20</v>
      </c>
      <c r="S732" t="str">
        <f>HYPERLINK("https://cfpub.epa.gov/ecotox/explore.cfm?ncbi=198940","Explore in ECOTOX")</f>
        <v>Explore in ECOTOX</v>
      </c>
    </row>
    <row r="733" spans="1:19" x14ac:dyDescent="0.25">
      <c r="A733">
        <v>6</v>
      </c>
      <c r="B733" t="str">
        <f>HYPERLINK("http://www.ncbi.nlm.nih.gov/protein/NXP33717.1","NXP33717.1")</f>
        <v>NXP33717.1</v>
      </c>
      <c r="C733">
        <v>13696</v>
      </c>
      <c r="D733" t="str">
        <f>HYPERLINK("http://www.ncbi.nlm.nih.gov/Taxonomy/Browser/wwwtax.cgi?mode=Info&amp;id=36275&amp;lvl=3&amp;lin=f&amp;keep=1&amp;srchmode=1&amp;unlock","36275")</f>
        <v>36275</v>
      </c>
      <c r="E733" t="s">
        <v>167</v>
      </c>
      <c r="F733" t="s">
        <v>167</v>
      </c>
      <c r="G733" t="str">
        <f>HYPERLINK("http://www.ncbi.nlm.nih.gov/Taxonomy/Browser/wwwtax.cgi?mode=Info&amp;id=36275&amp;lvl=3&amp;lin=f&amp;keep=1&amp;srchmode=1&amp;unlock","Leiothrix lutea")</f>
        <v>Leiothrix lutea</v>
      </c>
      <c r="H733" t="s">
        <v>664</v>
      </c>
      <c r="I733" t="str">
        <f>HYPERLINK("http://www.ncbi.nlm.nih.gov/protein/NXP33717.1","PRGR protein")</f>
        <v>PRGR protein</v>
      </c>
      <c r="J733" t="s">
        <v>1261</v>
      </c>
      <c r="K733">
        <v>301.60000000000002</v>
      </c>
      <c r="L733" t="s">
        <v>25</v>
      </c>
      <c r="M733">
        <v>157</v>
      </c>
      <c r="N733">
        <v>62.55</v>
      </c>
      <c r="O733">
        <v>58.65</v>
      </c>
      <c r="P733" t="s">
        <v>20</v>
      </c>
      <c r="Q733" t="s">
        <v>1262</v>
      </c>
      <c r="R733" t="s">
        <v>20</v>
      </c>
      <c r="S733" t="str">
        <f>HYPERLINK("https://cfpub.epa.gov/ecotox/explore.cfm?ncbi=36275","Explore in ECOTOX")</f>
        <v>Explore in ECOTOX</v>
      </c>
    </row>
    <row r="734" spans="1:19" x14ac:dyDescent="0.25">
      <c r="A734">
        <v>6</v>
      </c>
      <c r="B734" t="str">
        <f>HYPERLINK("http://www.ncbi.nlm.nih.gov/protein/NXA95636.1","NXA95636.1")</f>
        <v>NXA95636.1</v>
      </c>
      <c r="C734">
        <v>13996</v>
      </c>
      <c r="D734" t="str">
        <f>HYPERLINK("http://www.ncbi.nlm.nih.gov/Taxonomy/Browser/wwwtax.cgi?mode=Info&amp;id=254552&amp;lvl=3&amp;lin=f&amp;keep=1&amp;srchmode=1&amp;unlock","254552")</f>
        <v>254552</v>
      </c>
      <c r="E734" t="s">
        <v>167</v>
      </c>
      <c r="F734" t="s">
        <v>167</v>
      </c>
      <c r="G734" t="str">
        <f>HYPERLINK("http://www.ncbi.nlm.nih.gov/Taxonomy/Browser/wwwtax.cgi?mode=Info&amp;id=254552&amp;lvl=3&amp;lin=f&amp;keep=1&amp;srchmode=1&amp;unlock","Melanocharis versteri")</f>
        <v>Melanocharis versteri</v>
      </c>
      <c r="H734" t="s">
        <v>368</v>
      </c>
      <c r="I734" t="str">
        <f>HYPERLINK("http://www.ncbi.nlm.nih.gov/protein/NXA95636.1","PRGR protein")</f>
        <v>PRGR protein</v>
      </c>
      <c r="J734" t="s">
        <v>1261</v>
      </c>
      <c r="K734">
        <v>301.60000000000002</v>
      </c>
      <c r="L734" t="s">
        <v>25</v>
      </c>
      <c r="M734">
        <v>157</v>
      </c>
      <c r="N734">
        <v>62.55</v>
      </c>
      <c r="O734">
        <v>58.65</v>
      </c>
      <c r="P734" t="s">
        <v>20</v>
      </c>
      <c r="Q734" t="s">
        <v>1262</v>
      </c>
      <c r="R734" t="s">
        <v>20</v>
      </c>
      <c r="S734" t="str">
        <f>HYPERLINK("https://cfpub.epa.gov/ecotox/explore.cfm?ncbi=254552","Explore in ECOTOX")</f>
        <v>Explore in ECOTOX</v>
      </c>
    </row>
    <row r="735" spans="1:19" x14ac:dyDescent="0.25">
      <c r="A735">
        <v>6</v>
      </c>
      <c r="B735" t="str">
        <f>HYPERLINK("http://www.ncbi.nlm.nih.gov/protein/NWU27473.1","NWU27473.1")</f>
        <v>NWU27473.1</v>
      </c>
      <c r="C735">
        <v>14053</v>
      </c>
      <c r="D735" t="str">
        <f>HYPERLINK("http://www.ncbi.nlm.nih.gov/Taxonomy/Browser/wwwtax.cgi?mode=Info&amp;id=1160851&amp;lvl=3&amp;lin=f&amp;keep=1&amp;srchmode=1&amp;unlock","1160851")</f>
        <v>1160851</v>
      </c>
      <c r="E735" t="s">
        <v>167</v>
      </c>
      <c r="F735" t="s">
        <v>167</v>
      </c>
      <c r="G735" t="str">
        <f>HYPERLINK("http://www.ncbi.nlm.nih.gov/Taxonomy/Browser/wwwtax.cgi?mode=Info&amp;id=1160851&amp;lvl=3&amp;lin=f&amp;keep=1&amp;srchmode=1&amp;unlock","Platysteira castanea")</f>
        <v>Platysteira castanea</v>
      </c>
      <c r="H735" t="s">
        <v>206</v>
      </c>
      <c r="I735" t="str">
        <f>HYPERLINK("http://www.ncbi.nlm.nih.gov/protein/NWU27473.1","PRGR protein")</f>
        <v>PRGR protein</v>
      </c>
      <c r="J735" t="s">
        <v>1261</v>
      </c>
      <c r="K735">
        <v>301.60000000000002</v>
      </c>
      <c r="L735" t="s">
        <v>25</v>
      </c>
      <c r="M735">
        <v>157</v>
      </c>
      <c r="N735">
        <v>62.55</v>
      </c>
      <c r="O735">
        <v>58.65</v>
      </c>
      <c r="P735" t="s">
        <v>20</v>
      </c>
      <c r="Q735" t="s">
        <v>1262</v>
      </c>
      <c r="R735" t="s">
        <v>20</v>
      </c>
      <c r="S735" t="str">
        <f>HYPERLINK("https://cfpub.epa.gov/ecotox/explore.cfm?ncbi=1160851","Explore in ECOTOX")</f>
        <v>Explore in ECOTOX</v>
      </c>
    </row>
    <row r="736" spans="1:19" x14ac:dyDescent="0.25">
      <c r="A736">
        <v>6</v>
      </c>
      <c r="B736" t="str">
        <f>HYPERLINK("http://www.ncbi.nlm.nih.gov/protein/NXO13233.1","NXO13233.1")</f>
        <v>NXO13233.1</v>
      </c>
      <c r="C736">
        <v>13996</v>
      </c>
      <c r="D736" t="str">
        <f>HYPERLINK("http://www.ncbi.nlm.nih.gov/Taxonomy/Browser/wwwtax.cgi?mode=Info&amp;id=181099&amp;lvl=3&amp;lin=f&amp;keep=1&amp;srchmode=1&amp;unlock","181099")</f>
        <v>181099</v>
      </c>
      <c r="E736" t="s">
        <v>167</v>
      </c>
      <c r="F736" t="s">
        <v>167</v>
      </c>
      <c r="G736" t="str">
        <f>HYPERLINK("http://www.ncbi.nlm.nih.gov/Taxonomy/Browser/wwwtax.cgi?mode=Info&amp;id=181099&amp;lvl=3&amp;lin=f&amp;keep=1&amp;srchmode=1&amp;unlock","Oriolus oriolus")</f>
        <v>Oriolus oriolus</v>
      </c>
      <c r="H736" t="s">
        <v>363</v>
      </c>
      <c r="I736" t="str">
        <f>HYPERLINK("http://www.ncbi.nlm.nih.gov/protein/NXO13233.1","PRGR protein")</f>
        <v>PRGR protein</v>
      </c>
      <c r="J736" t="s">
        <v>1261</v>
      </c>
      <c r="K736">
        <v>301.60000000000002</v>
      </c>
      <c r="L736" t="s">
        <v>25</v>
      </c>
      <c r="M736">
        <v>157</v>
      </c>
      <c r="N736">
        <v>62.55</v>
      </c>
      <c r="O736">
        <v>58.65</v>
      </c>
      <c r="P736" t="s">
        <v>20</v>
      </c>
      <c r="Q736" t="s">
        <v>1262</v>
      </c>
      <c r="R736" t="s">
        <v>20</v>
      </c>
      <c r="S736" t="str">
        <f>HYPERLINK("https://cfpub.epa.gov/ecotox/explore.cfm?ncbi=181099","Explore in ECOTOX")</f>
        <v>Explore in ECOTOX</v>
      </c>
    </row>
    <row r="737" spans="1:19" x14ac:dyDescent="0.25">
      <c r="A737">
        <v>6</v>
      </c>
      <c r="B737" t="str">
        <f>HYPERLINK("http://www.ncbi.nlm.nih.gov/protein/NWW04487.1","NWW04487.1")</f>
        <v>NWW04487.1</v>
      </c>
      <c r="C737">
        <v>14030</v>
      </c>
      <c r="D737" t="str">
        <f>HYPERLINK("http://www.ncbi.nlm.nih.gov/Taxonomy/Browser/wwwtax.cgi?mode=Info&amp;id=979223&amp;lvl=3&amp;lin=f&amp;keep=1&amp;srchmode=1&amp;unlock","979223")</f>
        <v>979223</v>
      </c>
      <c r="E737" t="s">
        <v>167</v>
      </c>
      <c r="F737" t="s">
        <v>167</v>
      </c>
      <c r="G737" t="str">
        <f>HYPERLINK("http://www.ncbi.nlm.nih.gov/Taxonomy/Browser/wwwtax.cgi?mode=Info&amp;id=979223&amp;lvl=3&amp;lin=f&amp;keep=1&amp;srchmode=1&amp;unlock","Oreocharis arfaki")</f>
        <v>Oreocharis arfaki</v>
      </c>
      <c r="H737" t="s">
        <v>365</v>
      </c>
      <c r="I737" t="str">
        <f>HYPERLINK("http://www.ncbi.nlm.nih.gov/protein/NWW04487.1","PRGR protein")</f>
        <v>PRGR protein</v>
      </c>
      <c r="J737" t="s">
        <v>1261</v>
      </c>
      <c r="K737">
        <v>301.60000000000002</v>
      </c>
      <c r="L737" t="s">
        <v>25</v>
      </c>
      <c r="M737">
        <v>157</v>
      </c>
      <c r="N737">
        <v>62.55</v>
      </c>
      <c r="O737">
        <v>58.65</v>
      </c>
      <c r="P737" t="s">
        <v>20</v>
      </c>
      <c r="Q737" t="s">
        <v>1262</v>
      </c>
      <c r="R737" t="s">
        <v>20</v>
      </c>
      <c r="S737" t="str">
        <f>HYPERLINK("https://cfpub.epa.gov/ecotox/explore.cfm?ncbi=979223","Explore in ECOTOX")</f>
        <v>Explore in ECOTOX</v>
      </c>
    </row>
    <row r="738" spans="1:19" x14ac:dyDescent="0.25">
      <c r="A738">
        <v>6</v>
      </c>
      <c r="B738" t="str">
        <f>HYPERLINK("http://www.ncbi.nlm.nih.gov/protein/NXQ29462.1","NXQ29462.1")</f>
        <v>NXQ29462.1</v>
      </c>
      <c r="C738">
        <v>14376</v>
      </c>
      <c r="D738" t="str">
        <f>HYPERLINK("http://www.ncbi.nlm.nih.gov/Taxonomy/Browser/wwwtax.cgi?mode=Info&amp;id=670337&amp;lvl=3&amp;lin=f&amp;keep=1&amp;srchmode=1&amp;unlock","670337")</f>
        <v>670337</v>
      </c>
      <c r="E738" t="s">
        <v>167</v>
      </c>
      <c r="F738" t="s">
        <v>167</v>
      </c>
      <c r="G738" t="str">
        <f>HYPERLINK("http://www.ncbi.nlm.nih.gov/Taxonomy/Browser/wwwtax.cgi?mode=Info&amp;id=670337&amp;lvl=3&amp;lin=f&amp;keep=1&amp;srchmode=1&amp;unlock","Alaudala cheleensis")</f>
        <v>Alaudala cheleensis</v>
      </c>
      <c r="H738" t="s">
        <v>383</v>
      </c>
      <c r="I738" t="str">
        <f>HYPERLINK("http://www.ncbi.nlm.nih.gov/protein/NXQ29462.1","PRGR protein")</f>
        <v>PRGR protein</v>
      </c>
      <c r="J738" t="s">
        <v>1261</v>
      </c>
      <c r="K738">
        <v>301.60000000000002</v>
      </c>
      <c r="L738" t="s">
        <v>25</v>
      </c>
      <c r="M738">
        <v>157</v>
      </c>
      <c r="N738">
        <v>62.55</v>
      </c>
      <c r="O738">
        <v>58.65</v>
      </c>
      <c r="P738" t="s">
        <v>20</v>
      </c>
      <c r="Q738" t="s">
        <v>1262</v>
      </c>
      <c r="R738" t="s">
        <v>20</v>
      </c>
      <c r="S738" t="str">
        <f>HYPERLINK("https://cfpub.epa.gov/ecotox/explore.cfm?ncbi=670337","Explore in ECOTOX")</f>
        <v>Explore in ECOTOX</v>
      </c>
    </row>
    <row r="739" spans="1:19" x14ac:dyDescent="0.25">
      <c r="A739">
        <v>6</v>
      </c>
      <c r="B739" t="str">
        <f>HYPERLINK("http://www.ncbi.nlm.nih.gov/protein/NXU17841.1","NXU17841.1")</f>
        <v>NXU17841.1</v>
      </c>
      <c r="C739">
        <v>13722</v>
      </c>
      <c r="D739" t="str">
        <f>HYPERLINK("http://www.ncbi.nlm.nih.gov/Taxonomy/Browser/wwwtax.cgi?mode=Info&amp;id=254575&amp;lvl=3&amp;lin=f&amp;keep=1&amp;srchmode=1&amp;unlock","254575")</f>
        <v>254575</v>
      </c>
      <c r="E739" t="s">
        <v>167</v>
      </c>
      <c r="F739" t="s">
        <v>167</v>
      </c>
      <c r="G739" t="str">
        <f>HYPERLINK("http://www.ncbi.nlm.nih.gov/Taxonomy/Browser/wwwtax.cgi?mode=Info&amp;id=254575&amp;lvl=3&amp;lin=f&amp;keep=1&amp;srchmode=1&amp;unlock","Pardalotus punctatus")</f>
        <v>Pardalotus punctatus</v>
      </c>
      <c r="H739" t="s">
        <v>331</v>
      </c>
      <c r="I739" t="str">
        <f>HYPERLINK("http://www.ncbi.nlm.nih.gov/protein/NXU17841.1","PRGR protein")</f>
        <v>PRGR protein</v>
      </c>
      <c r="J739" t="s">
        <v>1261</v>
      </c>
      <c r="K739">
        <v>301.60000000000002</v>
      </c>
      <c r="L739" t="s">
        <v>25</v>
      </c>
      <c r="M739">
        <v>157</v>
      </c>
      <c r="N739">
        <v>62.55</v>
      </c>
      <c r="O739">
        <v>58.65</v>
      </c>
      <c r="P739" t="s">
        <v>20</v>
      </c>
      <c r="Q739" t="s">
        <v>1262</v>
      </c>
      <c r="R739" t="s">
        <v>20</v>
      </c>
      <c r="S739" t="str">
        <f>HYPERLINK("https://cfpub.epa.gov/ecotox/explore.cfm?ncbi=254575","Explore in ECOTOX")</f>
        <v>Explore in ECOTOX</v>
      </c>
    </row>
    <row r="740" spans="1:19" x14ac:dyDescent="0.25">
      <c r="A740">
        <v>6</v>
      </c>
      <c r="B740" t="str">
        <f>HYPERLINK("http://www.ncbi.nlm.nih.gov/protein/NXC52326.1","NXC52326.1")</f>
        <v>NXC52326.1</v>
      </c>
      <c r="C740">
        <v>13927</v>
      </c>
      <c r="D740" t="str">
        <f>HYPERLINK("http://www.ncbi.nlm.nih.gov/Taxonomy/Browser/wwwtax.cgi?mode=Info&amp;id=461220&amp;lvl=3&amp;lin=f&amp;keep=1&amp;srchmode=1&amp;unlock","461220")</f>
        <v>461220</v>
      </c>
      <c r="E740" t="s">
        <v>167</v>
      </c>
      <c r="F740" t="s">
        <v>167</v>
      </c>
      <c r="G740" t="str">
        <f>HYPERLINK("http://www.ncbi.nlm.nih.gov/Taxonomy/Browser/wwwtax.cgi?mode=Info&amp;id=461220&amp;lvl=3&amp;lin=f&amp;keep=1&amp;srchmode=1&amp;unlock","Aleadryas rufinucha")</f>
        <v>Aleadryas rufinucha</v>
      </c>
      <c r="H740" t="s">
        <v>332</v>
      </c>
      <c r="I740" t="str">
        <f>HYPERLINK("http://www.ncbi.nlm.nih.gov/protein/NXC52326.1","PRGR protein")</f>
        <v>PRGR protein</v>
      </c>
      <c r="J740" t="s">
        <v>1261</v>
      </c>
      <c r="K740">
        <v>301.60000000000002</v>
      </c>
      <c r="L740" t="s">
        <v>25</v>
      </c>
      <c r="M740">
        <v>157</v>
      </c>
      <c r="N740">
        <v>62.55</v>
      </c>
      <c r="O740">
        <v>58.65</v>
      </c>
      <c r="P740" t="s">
        <v>20</v>
      </c>
      <c r="Q740" t="s">
        <v>1262</v>
      </c>
      <c r="R740" t="s">
        <v>20</v>
      </c>
      <c r="S740" t="str">
        <f>HYPERLINK("https://cfpub.epa.gov/ecotox/explore.cfm?ncbi=461220","Explore in ECOTOX")</f>
        <v>Explore in ECOTOX</v>
      </c>
    </row>
    <row r="741" spans="1:19" x14ac:dyDescent="0.25">
      <c r="A741">
        <v>6</v>
      </c>
      <c r="B741" t="str">
        <f>HYPERLINK("http://www.ncbi.nlm.nih.gov/protein/NXN91261.1","NXN91261.1")</f>
        <v>NXN91261.1</v>
      </c>
      <c r="C741">
        <v>14850</v>
      </c>
      <c r="D741" t="str">
        <f>HYPERLINK("http://www.ncbi.nlm.nih.gov/Taxonomy/Browser/wwwtax.cgi?mode=Info&amp;id=113115&amp;lvl=3&amp;lin=f&amp;keep=1&amp;srchmode=1&amp;unlock","113115")</f>
        <v>113115</v>
      </c>
      <c r="E741" t="s">
        <v>167</v>
      </c>
      <c r="F741" t="s">
        <v>167</v>
      </c>
      <c r="G741" t="str">
        <f>HYPERLINK("http://www.ncbi.nlm.nih.gov/Taxonomy/Browser/wwwtax.cgi?mode=Info&amp;id=113115&amp;lvl=3&amp;lin=f&amp;keep=1&amp;srchmode=1&amp;unlock","Rhinopomastus cyanomelas")</f>
        <v>Rhinopomastus cyanomelas</v>
      </c>
      <c r="H741" t="s">
        <v>243</v>
      </c>
      <c r="I741" t="str">
        <f>HYPERLINK("http://www.ncbi.nlm.nih.gov/protein/NXN91261.1","PRGR protein")</f>
        <v>PRGR protein</v>
      </c>
      <c r="J741" t="s">
        <v>1261</v>
      </c>
      <c r="K741">
        <v>301.60000000000002</v>
      </c>
      <c r="L741" t="s">
        <v>25</v>
      </c>
      <c r="M741">
        <v>157</v>
      </c>
      <c r="N741">
        <v>62.55</v>
      </c>
      <c r="O741">
        <v>58.65</v>
      </c>
      <c r="P741" t="s">
        <v>20</v>
      </c>
      <c r="Q741" t="s">
        <v>1262</v>
      </c>
      <c r="R741" t="s">
        <v>20</v>
      </c>
      <c r="S741" t="str">
        <f>HYPERLINK("https://cfpub.epa.gov/ecotox/explore.cfm?ncbi=113115","Explore in ECOTOX")</f>
        <v>Explore in ECOTOX</v>
      </c>
    </row>
    <row r="742" spans="1:19" x14ac:dyDescent="0.25">
      <c r="A742">
        <v>6</v>
      </c>
      <c r="B742" t="str">
        <f>HYPERLINK("http://www.ncbi.nlm.nih.gov/protein/NXV77955.1","NXV77955.1")</f>
        <v>NXV77955.1</v>
      </c>
      <c r="C742">
        <v>13752</v>
      </c>
      <c r="D742" t="str">
        <f>HYPERLINK("http://www.ncbi.nlm.nih.gov/Taxonomy/Browser/wwwtax.cgi?mode=Info&amp;id=2478892&amp;lvl=3&amp;lin=f&amp;keep=1&amp;srchmode=1&amp;unlock","2478892")</f>
        <v>2478892</v>
      </c>
      <c r="E742" t="s">
        <v>167</v>
      </c>
      <c r="F742" t="s">
        <v>167</v>
      </c>
      <c r="G742" t="str">
        <f>HYPERLINK("http://www.ncbi.nlm.nih.gov/Taxonomy/Browser/wwwtax.cgi?mode=Info&amp;id=2478892&amp;lvl=3&amp;lin=f&amp;keep=1&amp;srchmode=1&amp;unlock","Atlantisia rogersi")</f>
        <v>Atlantisia rogersi</v>
      </c>
      <c r="H742" t="s">
        <v>216</v>
      </c>
      <c r="I742" t="str">
        <f>HYPERLINK("http://www.ncbi.nlm.nih.gov/protein/NXV77955.1","PRGR protein")</f>
        <v>PRGR protein</v>
      </c>
      <c r="J742" t="s">
        <v>1261</v>
      </c>
      <c r="K742">
        <v>301.60000000000002</v>
      </c>
      <c r="L742" t="s">
        <v>25</v>
      </c>
      <c r="M742">
        <v>157</v>
      </c>
      <c r="N742">
        <v>62.55</v>
      </c>
      <c r="O742">
        <v>58.65</v>
      </c>
      <c r="P742" t="s">
        <v>20</v>
      </c>
      <c r="Q742" t="s">
        <v>1262</v>
      </c>
      <c r="R742" t="s">
        <v>20</v>
      </c>
      <c r="S742" t="str">
        <f>HYPERLINK("https://cfpub.epa.gov/ecotox/explore.cfm?ncbi=2478892","Explore in ECOTOX")</f>
        <v>Explore in ECOTOX</v>
      </c>
    </row>
    <row r="743" spans="1:19" x14ac:dyDescent="0.25">
      <c r="A743">
        <v>6</v>
      </c>
      <c r="B743" t="str">
        <f>HYPERLINK("http://www.ncbi.nlm.nih.gov/protein/KAF1395716.1","KAF1395716.1")</f>
        <v>KAF1395716.1</v>
      </c>
      <c r="C743">
        <v>15390</v>
      </c>
      <c r="D743" t="str">
        <f>HYPERLINK("http://www.ncbi.nlm.nih.gov/Taxonomy/Browser/wwwtax.cgi?mode=Info&amp;id=9240&amp;lvl=3&amp;lin=f&amp;keep=1&amp;srchmode=1&amp;unlock","9240")</f>
        <v>9240</v>
      </c>
      <c r="E743" t="s">
        <v>167</v>
      </c>
      <c r="F743" t="s">
        <v>167</v>
      </c>
      <c r="G743" t="str">
        <f>HYPERLINK("http://www.ncbi.nlm.nih.gov/Taxonomy/Browser/wwwtax.cgi?mode=Info&amp;id=9240&amp;lvl=3&amp;lin=f&amp;keep=1&amp;srchmode=1&amp;unlock","Spheniscus humboldti")</f>
        <v>Spheniscus humboldti</v>
      </c>
      <c r="H743" t="s">
        <v>248</v>
      </c>
      <c r="I743" t="str">
        <f>HYPERLINK("http://www.ncbi.nlm.nih.gov/protein/KAF1395716.1","Progesterone receptor, partial")</f>
        <v>Progesterone receptor, partial</v>
      </c>
      <c r="J743" t="s">
        <v>1261</v>
      </c>
      <c r="K743">
        <v>301.60000000000002</v>
      </c>
      <c r="L743" t="s">
        <v>25</v>
      </c>
      <c r="M743">
        <v>157</v>
      </c>
      <c r="N743">
        <v>62.55</v>
      </c>
      <c r="O743">
        <v>58.65</v>
      </c>
      <c r="P743" t="s">
        <v>20</v>
      </c>
      <c r="Q743" t="s">
        <v>1262</v>
      </c>
      <c r="R743" t="s">
        <v>20</v>
      </c>
      <c r="S743" t="str">
        <f>HYPERLINK("https://cfpub.epa.gov/ecotox/explore.cfm?ncbi=9240","Explore in ECOTOX")</f>
        <v>Explore in ECOTOX</v>
      </c>
    </row>
    <row r="744" spans="1:19" x14ac:dyDescent="0.25">
      <c r="A744">
        <v>6</v>
      </c>
      <c r="B744" t="str">
        <f>HYPERLINK("http://www.ncbi.nlm.nih.gov/protein/NXH14741.1","NXH14741.1")</f>
        <v>NXH14741.1</v>
      </c>
      <c r="C744">
        <v>14440</v>
      </c>
      <c r="D744" t="str">
        <f>HYPERLINK("http://www.ncbi.nlm.nih.gov/Taxonomy/Browser/wwwtax.cgi?mode=Info&amp;id=135168&amp;lvl=3&amp;lin=f&amp;keep=1&amp;srchmode=1&amp;unlock","135168")</f>
        <v>135168</v>
      </c>
      <c r="E744" t="s">
        <v>167</v>
      </c>
      <c r="F744" t="s">
        <v>167</v>
      </c>
      <c r="G744" t="str">
        <f>HYPERLINK("http://www.ncbi.nlm.nih.gov/Taxonomy/Browser/wwwtax.cgi?mode=Info&amp;id=135168&amp;lvl=3&amp;lin=f&amp;keep=1&amp;srchmode=1&amp;unlock","Bucco capensis")</f>
        <v>Bucco capensis</v>
      </c>
      <c r="H744" t="s">
        <v>192</v>
      </c>
      <c r="I744" t="str">
        <f>HYPERLINK("http://www.ncbi.nlm.nih.gov/protein/NXH14741.1","PRGR protein")</f>
        <v>PRGR protein</v>
      </c>
      <c r="J744" t="s">
        <v>1261</v>
      </c>
      <c r="K744">
        <v>301.60000000000002</v>
      </c>
      <c r="L744" t="s">
        <v>25</v>
      </c>
      <c r="M744">
        <v>157</v>
      </c>
      <c r="N744">
        <v>62.55</v>
      </c>
      <c r="O744">
        <v>58.65</v>
      </c>
      <c r="P744" t="s">
        <v>20</v>
      </c>
      <c r="Q744" t="s">
        <v>1262</v>
      </c>
      <c r="R744" t="s">
        <v>20</v>
      </c>
      <c r="S744" t="str">
        <f>HYPERLINK("https://cfpub.epa.gov/ecotox/explore.cfm?ncbi=135168","Explore in ECOTOX")</f>
        <v>Explore in ECOTOX</v>
      </c>
    </row>
    <row r="745" spans="1:19" x14ac:dyDescent="0.25">
      <c r="A745">
        <v>6</v>
      </c>
      <c r="B745" t="str">
        <f>HYPERLINK("http://www.ncbi.nlm.nih.gov/protein/NXW08936.1","NXW08936.1")</f>
        <v>NXW08936.1</v>
      </c>
      <c r="C745">
        <v>13534</v>
      </c>
      <c r="D745" t="str">
        <f>HYPERLINK("http://www.ncbi.nlm.nih.gov/Taxonomy/Browser/wwwtax.cgi?mode=Info&amp;id=79628&amp;lvl=3&amp;lin=f&amp;keep=1&amp;srchmode=1&amp;unlock","79628")</f>
        <v>79628</v>
      </c>
      <c r="E745" t="s">
        <v>167</v>
      </c>
      <c r="F745" t="s">
        <v>167</v>
      </c>
      <c r="G745" t="str">
        <f>HYPERLINK("http://www.ncbi.nlm.nih.gov/Taxonomy/Browser/wwwtax.cgi?mode=Info&amp;id=79628&amp;lvl=3&amp;lin=f&amp;keep=1&amp;srchmode=1&amp;unlock","Fregetta grallaria")</f>
        <v>Fregetta grallaria</v>
      </c>
      <c r="H745" t="s">
        <v>189</v>
      </c>
      <c r="I745" t="str">
        <f>HYPERLINK("http://www.ncbi.nlm.nih.gov/protein/NXW08936.1","PRGR protein")</f>
        <v>PRGR protein</v>
      </c>
      <c r="J745" t="s">
        <v>1261</v>
      </c>
      <c r="K745">
        <v>301.60000000000002</v>
      </c>
      <c r="L745" t="s">
        <v>25</v>
      </c>
      <c r="M745">
        <v>157</v>
      </c>
      <c r="N745">
        <v>62.55</v>
      </c>
      <c r="O745">
        <v>58.65</v>
      </c>
      <c r="P745" t="s">
        <v>20</v>
      </c>
      <c r="Q745" t="s">
        <v>1262</v>
      </c>
      <c r="R745" t="s">
        <v>20</v>
      </c>
      <c r="S745" t="str">
        <f>HYPERLINK("https://cfpub.epa.gov/ecotox/explore.cfm?ncbi=79628","Explore in ECOTOX")</f>
        <v>Explore in ECOTOX</v>
      </c>
    </row>
    <row r="746" spans="1:19" x14ac:dyDescent="0.25">
      <c r="A746">
        <v>6</v>
      </c>
      <c r="B746" t="str">
        <f>HYPERLINK("http://www.ncbi.nlm.nih.gov/protein/KAF1567971.1","KAF1567971.1")</f>
        <v>KAF1567971.1</v>
      </c>
      <c r="C746">
        <v>15573</v>
      </c>
      <c r="D746" t="str">
        <f>HYPERLINK("http://www.ncbi.nlm.nih.gov/Taxonomy/Browser/wwwtax.cgi?mode=Info&amp;id=345251&amp;lvl=3&amp;lin=f&amp;keep=1&amp;srchmode=1&amp;unlock","345251")</f>
        <v>345251</v>
      </c>
      <c r="E746" t="s">
        <v>167</v>
      </c>
      <c r="F746" t="s">
        <v>167</v>
      </c>
      <c r="G746" t="str">
        <f>HYPERLINK("http://www.ncbi.nlm.nih.gov/Taxonomy/Browser/wwwtax.cgi?mode=Info&amp;id=345251&amp;lvl=3&amp;lin=f&amp;keep=1&amp;srchmode=1&amp;unlock","Eudyptes robustus")</f>
        <v>Eudyptes robustus</v>
      </c>
      <c r="H746" t="s">
        <v>252</v>
      </c>
      <c r="I746" t="str">
        <f>HYPERLINK("http://www.ncbi.nlm.nih.gov/protein/KAF1567971.1","Progesterone receptor, partial")</f>
        <v>Progesterone receptor, partial</v>
      </c>
      <c r="J746" t="s">
        <v>1261</v>
      </c>
      <c r="K746">
        <v>301.60000000000002</v>
      </c>
      <c r="L746" t="s">
        <v>25</v>
      </c>
      <c r="M746">
        <v>157</v>
      </c>
      <c r="N746">
        <v>62.55</v>
      </c>
      <c r="O746">
        <v>58.65</v>
      </c>
      <c r="P746" t="s">
        <v>20</v>
      </c>
      <c r="Q746" t="s">
        <v>1262</v>
      </c>
      <c r="R746" t="s">
        <v>20</v>
      </c>
      <c r="S746" t="str">
        <f>HYPERLINK("https://cfpub.epa.gov/ecotox/explore.cfm?ncbi=345251","Explore in ECOTOX")</f>
        <v>Explore in ECOTOX</v>
      </c>
    </row>
    <row r="747" spans="1:19" x14ac:dyDescent="0.25">
      <c r="A747">
        <v>6</v>
      </c>
      <c r="B747" t="str">
        <f>HYPERLINK("http://www.ncbi.nlm.nih.gov/protein/KAF1569999.1","KAF1569999.1")</f>
        <v>KAF1569999.1</v>
      </c>
      <c r="C747">
        <v>15786</v>
      </c>
      <c r="D747" t="str">
        <f>HYPERLINK("http://www.ncbi.nlm.nih.gov/Taxonomy/Browser/wwwtax.cgi?mode=Info&amp;id=57240&amp;lvl=3&amp;lin=f&amp;keep=1&amp;srchmode=1&amp;unlock","57240")</f>
        <v>57240</v>
      </c>
      <c r="E747" t="s">
        <v>167</v>
      </c>
      <c r="F747" t="s">
        <v>167</v>
      </c>
      <c r="G747" t="str">
        <f>HYPERLINK("http://www.ncbi.nlm.nih.gov/Taxonomy/Browser/wwwtax.cgi?mode=Info&amp;id=57240&amp;lvl=3&amp;lin=f&amp;keep=1&amp;srchmode=1&amp;unlock","Eudyptes schlegeli")</f>
        <v>Eudyptes schlegeli</v>
      </c>
      <c r="H747" t="s">
        <v>256</v>
      </c>
      <c r="I747" t="str">
        <f>HYPERLINK("http://www.ncbi.nlm.nih.gov/protein/KAF1569999.1","Progesterone receptor, partial")</f>
        <v>Progesterone receptor, partial</v>
      </c>
      <c r="J747" t="s">
        <v>1261</v>
      </c>
      <c r="K747">
        <v>301.60000000000002</v>
      </c>
      <c r="L747" t="s">
        <v>25</v>
      </c>
      <c r="M747">
        <v>157</v>
      </c>
      <c r="N747">
        <v>62.55</v>
      </c>
      <c r="O747">
        <v>58.65</v>
      </c>
      <c r="P747" t="s">
        <v>20</v>
      </c>
      <c r="Q747" t="s">
        <v>1262</v>
      </c>
      <c r="R747" t="s">
        <v>20</v>
      </c>
      <c r="S747" t="str">
        <f>HYPERLINK("https://cfpub.epa.gov/ecotox/explore.cfm?ncbi=57240","Explore in ECOTOX")</f>
        <v>Explore in ECOTOX</v>
      </c>
    </row>
    <row r="748" spans="1:19" x14ac:dyDescent="0.25">
      <c r="A748">
        <v>6</v>
      </c>
      <c r="B748" t="str">
        <f>HYPERLINK("http://www.ncbi.nlm.nih.gov/protein/NWS00189.1","NWS00189.1")</f>
        <v>NWS00189.1</v>
      </c>
      <c r="C748">
        <v>13661</v>
      </c>
      <c r="D748" t="str">
        <f>HYPERLINK("http://www.ncbi.nlm.nih.gov/Taxonomy/Browser/wwwtax.cgi?mode=Info&amp;id=45807&amp;lvl=3&amp;lin=f&amp;keep=1&amp;srchmode=1&amp;unlock","45807")</f>
        <v>45807</v>
      </c>
      <c r="E748" t="s">
        <v>167</v>
      </c>
      <c r="F748" t="s">
        <v>167</v>
      </c>
      <c r="G748" t="str">
        <f>HYPERLINK("http://www.ncbi.nlm.nih.gov/Taxonomy/Browser/wwwtax.cgi?mode=Info&amp;id=45807&amp;lvl=3&amp;lin=f&amp;keep=1&amp;srchmode=1&amp;unlock","Motacilla alba")</f>
        <v>Motacilla alba</v>
      </c>
      <c r="H748" t="s">
        <v>450</v>
      </c>
      <c r="I748" t="str">
        <f>HYPERLINK("http://www.ncbi.nlm.nih.gov/protein/NWS00189.1","PRGR protein")</f>
        <v>PRGR protein</v>
      </c>
      <c r="J748" t="s">
        <v>1261</v>
      </c>
      <c r="K748">
        <v>301.60000000000002</v>
      </c>
      <c r="L748" t="s">
        <v>25</v>
      </c>
      <c r="M748">
        <v>157</v>
      </c>
      <c r="N748">
        <v>62.55</v>
      </c>
      <c r="O748">
        <v>58.65</v>
      </c>
      <c r="P748" t="s">
        <v>20</v>
      </c>
      <c r="Q748" t="s">
        <v>1262</v>
      </c>
      <c r="R748" t="s">
        <v>20</v>
      </c>
      <c r="S748" t="str">
        <f>HYPERLINK("https://cfpub.epa.gov/ecotox/explore.cfm?ncbi=45807","Explore in ECOTOX")</f>
        <v>Explore in ECOTOX</v>
      </c>
    </row>
    <row r="749" spans="1:19" x14ac:dyDescent="0.25">
      <c r="A749">
        <v>6</v>
      </c>
      <c r="B749" t="str">
        <f>HYPERLINK("http://www.ncbi.nlm.nih.gov/protein/NWJ09755.1","NWJ09755.1")</f>
        <v>NWJ09755.1</v>
      </c>
      <c r="C749">
        <v>14086</v>
      </c>
      <c r="D749" t="str">
        <f>HYPERLINK("http://www.ncbi.nlm.nih.gov/Taxonomy/Browser/wwwtax.cgi?mode=Info&amp;id=48396&amp;lvl=3&amp;lin=f&amp;keep=1&amp;srchmode=1&amp;unlock","48396")</f>
        <v>48396</v>
      </c>
      <c r="E749" t="s">
        <v>167</v>
      </c>
      <c r="F749" t="s">
        <v>167</v>
      </c>
      <c r="G749" t="str">
        <f>HYPERLINK("http://www.ncbi.nlm.nih.gov/Taxonomy/Browser/wwwtax.cgi?mode=Info&amp;id=48396&amp;lvl=3&amp;lin=f&amp;keep=1&amp;srchmode=1&amp;unlock","Crypturellus undulatus")</f>
        <v>Crypturellus undulatus</v>
      </c>
      <c r="H749" t="s">
        <v>196</v>
      </c>
      <c r="I749" t="str">
        <f>HYPERLINK("http://www.ncbi.nlm.nih.gov/protein/NWJ09755.1","PRGR protein")</f>
        <v>PRGR protein</v>
      </c>
      <c r="J749" t="s">
        <v>1261</v>
      </c>
      <c r="K749">
        <v>301.60000000000002</v>
      </c>
      <c r="L749" t="s">
        <v>25</v>
      </c>
      <c r="M749">
        <v>157</v>
      </c>
      <c r="N749">
        <v>62.55</v>
      </c>
      <c r="O749">
        <v>58.65</v>
      </c>
      <c r="P749" t="s">
        <v>20</v>
      </c>
      <c r="Q749" t="s">
        <v>1262</v>
      </c>
      <c r="R749" t="s">
        <v>20</v>
      </c>
      <c r="S749" t="str">
        <f>HYPERLINK("https://cfpub.epa.gov/ecotox/explore.cfm?ncbi=48396","Explore in ECOTOX")</f>
        <v>Explore in ECOTOX</v>
      </c>
    </row>
    <row r="750" spans="1:19" x14ac:dyDescent="0.25">
      <c r="A750">
        <v>6</v>
      </c>
      <c r="B750" t="str">
        <f>HYPERLINK("http://www.ncbi.nlm.nih.gov/protein/OPJ68627.1","OPJ68627.1")</f>
        <v>OPJ68627.1</v>
      </c>
      <c r="C750">
        <v>24828</v>
      </c>
      <c r="D750" t="str">
        <f>HYPERLINK("http://www.ncbi.nlm.nih.gov/Taxonomy/Browser/wwwtax.cgi?mode=Info&amp;id=372326&amp;lvl=3&amp;lin=f&amp;keep=1&amp;srchmode=1&amp;unlock","372326")</f>
        <v>372326</v>
      </c>
      <c r="E750" t="s">
        <v>167</v>
      </c>
      <c r="F750" t="s">
        <v>167</v>
      </c>
      <c r="G750" t="str">
        <f>HYPERLINK("http://www.ncbi.nlm.nih.gov/Taxonomy/Browser/wwwtax.cgi?mode=Info&amp;id=372326&amp;lvl=3&amp;lin=f&amp;keep=1&amp;srchmode=1&amp;unlock","Patagioenas fasciata monilis")</f>
        <v>Patagioenas fasciata monilis</v>
      </c>
      <c r="H750" t="s">
        <v>348</v>
      </c>
      <c r="I750" t="str">
        <f>HYPERLINK("http://www.ncbi.nlm.nih.gov/protein/OPJ68627.1","progesterone receptor")</f>
        <v>progesterone receptor</v>
      </c>
      <c r="J750" t="s">
        <v>1261</v>
      </c>
      <c r="K750">
        <v>301.60000000000002</v>
      </c>
      <c r="L750" t="s">
        <v>25</v>
      </c>
      <c r="M750">
        <v>157</v>
      </c>
      <c r="N750">
        <v>62.55</v>
      </c>
      <c r="O750">
        <v>58.65</v>
      </c>
      <c r="P750" t="s">
        <v>20</v>
      </c>
      <c r="Q750" t="s">
        <v>1262</v>
      </c>
      <c r="R750" t="s">
        <v>20</v>
      </c>
      <c r="S750" t="str">
        <f>HYPERLINK("https://cfpub.epa.gov/ecotox/explore.cfm?ncbi=372326","Explore in ECOTOX")</f>
        <v>Explore in ECOTOX</v>
      </c>
    </row>
    <row r="751" spans="1:19" x14ac:dyDescent="0.25">
      <c r="A751">
        <v>6</v>
      </c>
      <c r="B751" t="str">
        <f>HYPERLINK("http://www.ncbi.nlm.nih.gov/protein/NXP44166.1","NXP44166.1")</f>
        <v>NXP44166.1</v>
      </c>
      <c r="C751">
        <v>13596</v>
      </c>
      <c r="D751" t="str">
        <f>HYPERLINK("http://www.ncbi.nlm.nih.gov/Taxonomy/Browser/wwwtax.cgi?mode=Info&amp;id=54369&amp;lvl=3&amp;lin=f&amp;keep=1&amp;srchmode=1&amp;unlock","54369")</f>
        <v>54369</v>
      </c>
      <c r="E751" t="s">
        <v>167</v>
      </c>
      <c r="F751" t="s">
        <v>167</v>
      </c>
      <c r="G751" t="str">
        <f>HYPERLINK("http://www.ncbi.nlm.nih.gov/Taxonomy/Browser/wwwtax.cgi?mode=Info&amp;id=54369&amp;lvl=3&amp;lin=f&amp;keep=1&amp;srchmode=1&amp;unlock","Heliornis fulica")</f>
        <v>Heliornis fulica</v>
      </c>
      <c r="H751" t="s">
        <v>221</v>
      </c>
      <c r="I751" t="str">
        <f>HYPERLINK("http://www.ncbi.nlm.nih.gov/protein/NXP44166.1","PRGR protein")</f>
        <v>PRGR protein</v>
      </c>
      <c r="J751" t="s">
        <v>1261</v>
      </c>
      <c r="K751">
        <v>301.60000000000002</v>
      </c>
      <c r="L751" t="s">
        <v>25</v>
      </c>
      <c r="M751">
        <v>157</v>
      </c>
      <c r="N751">
        <v>62.55</v>
      </c>
      <c r="O751">
        <v>58.65</v>
      </c>
      <c r="P751" t="s">
        <v>20</v>
      </c>
      <c r="Q751" t="s">
        <v>1262</v>
      </c>
      <c r="R751" t="s">
        <v>20</v>
      </c>
      <c r="S751" t="str">
        <f>HYPERLINK("https://cfpub.epa.gov/ecotox/explore.cfm?ncbi=54369","Explore in ECOTOX")</f>
        <v>Explore in ECOTOX</v>
      </c>
    </row>
    <row r="752" spans="1:19" x14ac:dyDescent="0.25">
      <c r="A752">
        <v>6</v>
      </c>
      <c r="B752" t="str">
        <f>HYPERLINK("http://www.ncbi.nlm.nih.gov/protein/NWH80575.1","NWH80575.1")</f>
        <v>NWH80575.1</v>
      </c>
      <c r="C752">
        <v>14099</v>
      </c>
      <c r="D752" t="str">
        <f>HYPERLINK("http://www.ncbi.nlm.nih.gov/Taxonomy/Browser/wwwtax.cgi?mode=Info&amp;id=33601&amp;lvl=3&amp;lin=f&amp;keep=1&amp;srchmode=1&amp;unlock","33601")</f>
        <v>33601</v>
      </c>
      <c r="E752" t="s">
        <v>167</v>
      </c>
      <c r="F752" t="s">
        <v>167</v>
      </c>
      <c r="G752" t="str">
        <f>HYPERLINK("http://www.ncbi.nlm.nih.gov/Taxonomy/Browser/wwwtax.cgi?mode=Info&amp;id=33601&amp;lvl=3&amp;lin=f&amp;keep=1&amp;srchmode=1&amp;unlock","Piaya cayana")</f>
        <v>Piaya cayana</v>
      </c>
      <c r="H752" t="s">
        <v>295</v>
      </c>
      <c r="I752" t="str">
        <f>HYPERLINK("http://www.ncbi.nlm.nih.gov/protein/NWH80575.1","PRGR protein")</f>
        <v>PRGR protein</v>
      </c>
      <c r="J752" t="s">
        <v>1261</v>
      </c>
      <c r="K752">
        <v>301.60000000000002</v>
      </c>
      <c r="L752" t="s">
        <v>25</v>
      </c>
      <c r="M752">
        <v>157</v>
      </c>
      <c r="N752">
        <v>62.55</v>
      </c>
      <c r="O752">
        <v>58.65</v>
      </c>
      <c r="P752" t="s">
        <v>20</v>
      </c>
      <c r="Q752" t="s">
        <v>1262</v>
      </c>
      <c r="R752" t="s">
        <v>20</v>
      </c>
      <c r="S752" t="str">
        <f>HYPERLINK("https://cfpub.epa.gov/ecotox/explore.cfm?ncbi=33601","Explore in ECOTOX")</f>
        <v>Explore in ECOTOX</v>
      </c>
    </row>
    <row r="753" spans="1:19" x14ac:dyDescent="0.25">
      <c r="A753">
        <v>6</v>
      </c>
      <c r="B753" t="str">
        <f>HYPERLINK("http://www.ncbi.nlm.nih.gov/protein/NXM54660.1","NXM54660.1")</f>
        <v>NXM54660.1</v>
      </c>
      <c r="C753">
        <v>13437</v>
      </c>
      <c r="D753" t="str">
        <f>HYPERLINK("http://www.ncbi.nlm.nih.gov/Taxonomy/Browser/wwwtax.cgi?mode=Info&amp;id=201329&amp;lvl=3&amp;lin=f&amp;keep=1&amp;srchmode=1&amp;unlock","201329")</f>
        <v>201329</v>
      </c>
      <c r="E753" t="s">
        <v>167</v>
      </c>
      <c r="F753" t="s">
        <v>167</v>
      </c>
      <c r="G753" t="str">
        <f>HYPERLINK("http://www.ncbi.nlm.nih.gov/Taxonomy/Browser/wwwtax.cgi?mode=Info&amp;id=201329&amp;lvl=3&amp;lin=f&amp;keep=1&amp;srchmode=1&amp;unlock","Illadopsis cleaveri")</f>
        <v>Illadopsis cleaveri</v>
      </c>
      <c r="H753" t="s">
        <v>672</v>
      </c>
      <c r="I753" t="str">
        <f>HYPERLINK("http://www.ncbi.nlm.nih.gov/protein/NXM54660.1","PRGR protein")</f>
        <v>PRGR protein</v>
      </c>
      <c r="J753" t="s">
        <v>1261</v>
      </c>
      <c r="K753">
        <v>301.20999999999998</v>
      </c>
      <c r="L753" t="s">
        <v>25</v>
      </c>
      <c r="M753">
        <v>157</v>
      </c>
      <c r="N753">
        <v>62.55</v>
      </c>
      <c r="O753">
        <v>58.58</v>
      </c>
      <c r="P753" t="s">
        <v>20</v>
      </c>
      <c r="Q753" t="s">
        <v>1262</v>
      </c>
      <c r="R753" t="s">
        <v>20</v>
      </c>
      <c r="S753" t="str">
        <f>HYPERLINK("https://cfpub.epa.gov/ecotox/explore.cfm?ncbi=201329","Explore in ECOTOX")</f>
        <v>Explore in ECOTOX</v>
      </c>
    </row>
    <row r="754" spans="1:19" x14ac:dyDescent="0.25">
      <c r="A754">
        <v>6</v>
      </c>
      <c r="B754" t="str">
        <f>HYPERLINK("http://www.ncbi.nlm.nih.gov/protein/NXP07232.1","NXP07232.1")</f>
        <v>NXP07232.1</v>
      </c>
      <c r="C754">
        <v>14091</v>
      </c>
      <c r="D754" t="str">
        <f>HYPERLINK("http://www.ncbi.nlm.nih.gov/Taxonomy/Browser/wwwtax.cgi?mode=Info&amp;id=161742&amp;lvl=3&amp;lin=f&amp;keep=1&amp;srchmode=1&amp;unlock","161742")</f>
        <v>161742</v>
      </c>
      <c r="E754" t="s">
        <v>167</v>
      </c>
      <c r="F754" t="s">
        <v>167</v>
      </c>
      <c r="G754" t="str">
        <f>HYPERLINK("http://www.ncbi.nlm.nih.gov/Taxonomy/Browser/wwwtax.cgi?mode=Info&amp;id=161742&amp;lvl=3&amp;lin=f&amp;keep=1&amp;srchmode=1&amp;unlock","Thinocorus orbignyianus")</f>
        <v>Thinocorus orbignyianus</v>
      </c>
      <c r="H754" t="s">
        <v>217</v>
      </c>
      <c r="I754" t="str">
        <f>HYPERLINK("http://www.ncbi.nlm.nih.gov/protein/NXP07232.1","PRGR protein")</f>
        <v>PRGR protein</v>
      </c>
      <c r="J754" t="s">
        <v>1261</v>
      </c>
      <c r="K754">
        <v>301.20999999999998</v>
      </c>
      <c r="L754" t="s">
        <v>25</v>
      </c>
      <c r="M754">
        <v>157</v>
      </c>
      <c r="N754">
        <v>62.55</v>
      </c>
      <c r="O754">
        <v>58.58</v>
      </c>
      <c r="P754" t="s">
        <v>20</v>
      </c>
      <c r="Q754" t="s">
        <v>1262</v>
      </c>
      <c r="R754" t="s">
        <v>20</v>
      </c>
      <c r="S754" t="str">
        <f>HYPERLINK("https://cfpub.epa.gov/ecotox/explore.cfm?ncbi=161742","Explore in ECOTOX")</f>
        <v>Explore in ECOTOX</v>
      </c>
    </row>
    <row r="755" spans="1:19" x14ac:dyDescent="0.25">
      <c r="A755">
        <v>6</v>
      </c>
      <c r="B755" t="str">
        <f>HYPERLINK("http://www.ncbi.nlm.nih.gov/protein/NXT48222.1","NXT48222.1")</f>
        <v>NXT48222.1</v>
      </c>
      <c r="C755">
        <v>14341</v>
      </c>
      <c r="D755" t="str">
        <f>HYPERLINK("http://www.ncbi.nlm.nih.gov/Taxonomy/Browser/wwwtax.cgi?mode=Info&amp;id=227228&amp;lvl=3&amp;lin=f&amp;keep=1&amp;srchmode=1&amp;unlock","227228")</f>
        <v>227228</v>
      </c>
      <c r="E755" t="s">
        <v>167</v>
      </c>
      <c r="F755" t="s">
        <v>167</v>
      </c>
      <c r="G755" t="str">
        <f>HYPERLINK("http://www.ncbi.nlm.nih.gov/Taxonomy/Browser/wwwtax.cgi?mode=Info&amp;id=227228&amp;lvl=3&amp;lin=f&amp;keep=1&amp;srchmode=1&amp;unlock","Pluvianellus socialis")</f>
        <v>Pluvianellus socialis</v>
      </c>
      <c r="H755" t="s">
        <v>205</v>
      </c>
      <c r="I755" t="str">
        <f>HYPERLINK("http://www.ncbi.nlm.nih.gov/protein/NXT48222.1","PRGR protein")</f>
        <v>PRGR protein</v>
      </c>
      <c r="J755" t="s">
        <v>1261</v>
      </c>
      <c r="K755">
        <v>300.44</v>
      </c>
      <c r="L755" t="s">
        <v>25</v>
      </c>
      <c r="M755">
        <v>157</v>
      </c>
      <c r="N755">
        <v>62.55</v>
      </c>
      <c r="O755">
        <v>58.43</v>
      </c>
      <c r="P755" t="s">
        <v>20</v>
      </c>
      <c r="Q755" t="s">
        <v>1262</v>
      </c>
      <c r="R755" t="s">
        <v>20</v>
      </c>
      <c r="S755" t="str">
        <f>HYPERLINK("https://cfpub.epa.gov/ecotox/explore.cfm?ncbi=227228","Explore in ECOTOX")</f>
        <v>Explore in ECOTOX</v>
      </c>
    </row>
    <row r="756" spans="1:19" x14ac:dyDescent="0.25">
      <c r="A756">
        <v>6</v>
      </c>
      <c r="B756" t="str">
        <f>HYPERLINK("http://www.ncbi.nlm.nih.gov/protein/NXN50359.1","NXN50359.1")</f>
        <v>NXN50359.1</v>
      </c>
      <c r="C756">
        <v>14353</v>
      </c>
      <c r="D756" t="str">
        <f>HYPERLINK("http://www.ncbi.nlm.nih.gov/Taxonomy/Browser/wwwtax.cgi?mode=Info&amp;id=227184&amp;lvl=3&amp;lin=f&amp;keep=1&amp;srchmode=1&amp;unlock","227184")</f>
        <v>227184</v>
      </c>
      <c r="E756" t="s">
        <v>167</v>
      </c>
      <c r="F756" t="s">
        <v>167</v>
      </c>
      <c r="G756" t="str">
        <f>HYPERLINK("http://www.ncbi.nlm.nih.gov/Taxonomy/Browser/wwwtax.cgi?mode=Info&amp;id=227184&amp;lvl=3&amp;lin=f&amp;keep=1&amp;srchmode=1&amp;unlock","Rynchops niger")</f>
        <v>Rynchops niger</v>
      </c>
      <c r="H756" t="s">
        <v>212</v>
      </c>
      <c r="I756" t="str">
        <f>HYPERLINK("http://www.ncbi.nlm.nih.gov/protein/NXN50359.1","PRGR protein")</f>
        <v>PRGR protein</v>
      </c>
      <c r="J756" t="s">
        <v>1261</v>
      </c>
      <c r="K756">
        <v>300.44</v>
      </c>
      <c r="L756" t="s">
        <v>25</v>
      </c>
      <c r="M756">
        <v>157</v>
      </c>
      <c r="N756">
        <v>62.55</v>
      </c>
      <c r="O756">
        <v>58.43</v>
      </c>
      <c r="P756" t="s">
        <v>20</v>
      </c>
      <c r="Q756" t="s">
        <v>1262</v>
      </c>
      <c r="R756" t="s">
        <v>20</v>
      </c>
      <c r="S756" t="str">
        <f>HYPERLINK("https://cfpub.epa.gov/ecotox/explore.cfm?ncbi=227184","Explore in ECOTOX")</f>
        <v>Explore in ECOTOX</v>
      </c>
    </row>
    <row r="757" spans="1:19" x14ac:dyDescent="0.25">
      <c r="A757">
        <v>6</v>
      </c>
      <c r="B757" t="str">
        <f>HYPERLINK("http://www.ncbi.nlm.nih.gov/protein/NXN24131.1","NXN24131.1")</f>
        <v>NXN24131.1</v>
      </c>
      <c r="C757">
        <v>14331</v>
      </c>
      <c r="D757" t="str">
        <f>HYPERLINK("http://www.ncbi.nlm.nih.gov/Taxonomy/Browser/wwwtax.cgi?mode=Info&amp;id=227226&amp;lvl=3&amp;lin=f&amp;keep=1&amp;srchmode=1&amp;unlock","227226")</f>
        <v>227226</v>
      </c>
      <c r="E757" t="s">
        <v>167</v>
      </c>
      <c r="F757" t="s">
        <v>167</v>
      </c>
      <c r="G757" t="str">
        <f>HYPERLINK("http://www.ncbi.nlm.nih.gov/Taxonomy/Browser/wwwtax.cgi?mode=Info&amp;id=227226&amp;lvl=3&amp;lin=f&amp;keep=1&amp;srchmode=1&amp;unlock","Nycticryphes semicollaris")</f>
        <v>Nycticryphes semicollaris</v>
      </c>
      <c r="H757" t="s">
        <v>185</v>
      </c>
      <c r="I757" t="str">
        <f>HYPERLINK("http://www.ncbi.nlm.nih.gov/protein/NXN24131.1","PRGR protein")</f>
        <v>PRGR protein</v>
      </c>
      <c r="J757" t="s">
        <v>1261</v>
      </c>
      <c r="K757">
        <v>300.44</v>
      </c>
      <c r="L757" t="s">
        <v>25</v>
      </c>
      <c r="M757">
        <v>157</v>
      </c>
      <c r="N757">
        <v>62.55</v>
      </c>
      <c r="O757">
        <v>58.43</v>
      </c>
      <c r="P757" t="s">
        <v>20</v>
      </c>
      <c r="Q757" t="s">
        <v>1262</v>
      </c>
      <c r="R757" t="s">
        <v>20</v>
      </c>
      <c r="S757" t="str">
        <f>HYPERLINK("https://cfpub.epa.gov/ecotox/explore.cfm?ncbi=227226","Explore in ECOTOX")</f>
        <v>Explore in ECOTOX</v>
      </c>
    </row>
    <row r="758" spans="1:19" x14ac:dyDescent="0.25">
      <c r="A758">
        <v>6</v>
      </c>
      <c r="B758" t="str">
        <f>HYPERLINK("http://www.ncbi.nlm.nih.gov/protein/NXU57199.1","NXU57199.1")</f>
        <v>NXU57199.1</v>
      </c>
      <c r="C758">
        <v>13166</v>
      </c>
      <c r="D758" t="str">
        <f>HYPERLINK("http://www.ncbi.nlm.nih.gov/Taxonomy/Browser/wwwtax.cgi?mode=Info&amp;id=2529409&amp;lvl=3&amp;lin=f&amp;keep=1&amp;srchmode=1&amp;unlock","2529409")</f>
        <v>2529409</v>
      </c>
      <c r="E758" t="s">
        <v>167</v>
      </c>
      <c r="F758" t="s">
        <v>167</v>
      </c>
      <c r="G758" t="str">
        <f>HYPERLINK("http://www.ncbi.nlm.nih.gov/Taxonomy/Browser/wwwtax.cgi?mode=Info&amp;id=2529409&amp;lvl=3&amp;lin=f&amp;keep=1&amp;srchmode=1&amp;unlock","Turnix velox")</f>
        <v>Turnix velox</v>
      </c>
      <c r="H758" t="s">
        <v>1037</v>
      </c>
      <c r="I758" t="str">
        <f>HYPERLINK("http://www.ncbi.nlm.nih.gov/protein/NXU57199.1","PRGR protein")</f>
        <v>PRGR protein</v>
      </c>
      <c r="J758" t="s">
        <v>1261</v>
      </c>
      <c r="K758">
        <v>300.44</v>
      </c>
      <c r="L758" t="s">
        <v>25</v>
      </c>
      <c r="M758">
        <v>157</v>
      </c>
      <c r="N758">
        <v>62.55</v>
      </c>
      <c r="O758">
        <v>58.43</v>
      </c>
      <c r="P758" t="s">
        <v>20</v>
      </c>
      <c r="Q758" t="s">
        <v>1262</v>
      </c>
      <c r="R758" t="s">
        <v>20</v>
      </c>
      <c r="S758" t="str">
        <f>HYPERLINK("https://cfpub.epa.gov/ecotox/explore.cfm?ncbi=2529409","Explore in ECOTOX")</f>
        <v>Explore in ECOTOX</v>
      </c>
    </row>
    <row r="759" spans="1:19" x14ac:dyDescent="0.25">
      <c r="A759">
        <v>6</v>
      </c>
      <c r="B759" t="str">
        <f>HYPERLINK("http://www.ncbi.nlm.nih.gov/protein/PKU45950.1","PKU45950.1")</f>
        <v>PKU45950.1</v>
      </c>
      <c r="C759">
        <v>23022</v>
      </c>
      <c r="D759" t="str">
        <f>HYPERLINK("http://www.ncbi.nlm.nih.gov/Taxonomy/Browser/wwwtax.cgi?mode=Info&amp;id=1758121&amp;lvl=3&amp;lin=f&amp;keep=1&amp;srchmode=1&amp;unlock","1758121")</f>
        <v>1758121</v>
      </c>
      <c r="E759" t="s">
        <v>167</v>
      </c>
      <c r="F759" t="s">
        <v>167</v>
      </c>
      <c r="G759" t="str">
        <f>HYPERLINK("http://www.ncbi.nlm.nih.gov/Taxonomy/Browser/wwwtax.cgi?mode=Info&amp;id=1758121&amp;lvl=3&amp;lin=f&amp;keep=1&amp;srchmode=1&amp;unlock","Limosa lapponica baueri")</f>
        <v>Limosa lapponica baueri</v>
      </c>
      <c r="H759" t="s">
        <v>178</v>
      </c>
      <c r="I759" t="str">
        <f>HYPERLINK("http://www.ncbi.nlm.nih.gov/protein/PKU45950.1","progesterone receptor")</f>
        <v>progesterone receptor</v>
      </c>
      <c r="J759" t="s">
        <v>1261</v>
      </c>
      <c r="K759">
        <v>300.44</v>
      </c>
      <c r="L759" t="s">
        <v>25</v>
      </c>
      <c r="M759">
        <v>157</v>
      </c>
      <c r="N759">
        <v>62.55</v>
      </c>
      <c r="O759">
        <v>58.43</v>
      </c>
      <c r="P759" t="s">
        <v>20</v>
      </c>
      <c r="Q759" t="s">
        <v>1262</v>
      </c>
      <c r="R759" t="s">
        <v>20</v>
      </c>
      <c r="S759" t="str">
        <f>HYPERLINK("https://cfpub.epa.gov/ecotox/explore.cfm?ncbi=1758121","Explore in ECOTOX")</f>
        <v>Explore in ECOTOX</v>
      </c>
    </row>
    <row r="760" spans="1:19" x14ac:dyDescent="0.25">
      <c r="A760">
        <v>6</v>
      </c>
      <c r="B760" t="str">
        <f>HYPERLINK("http://www.ncbi.nlm.nih.gov/protein/NXE80257.1","NXE80257.1")</f>
        <v>NXE80257.1</v>
      </c>
      <c r="C760">
        <v>14098</v>
      </c>
      <c r="D760" t="str">
        <f>HYPERLINK("http://www.ncbi.nlm.nih.gov/Taxonomy/Browser/wwwtax.cgi?mode=Info&amp;id=110676&amp;lvl=3&amp;lin=f&amp;keep=1&amp;srchmode=1&amp;unlock","110676")</f>
        <v>110676</v>
      </c>
      <c r="E760" t="s">
        <v>167</v>
      </c>
      <c r="F760" t="s">
        <v>167</v>
      </c>
      <c r="G760" t="str">
        <f>HYPERLINK("http://www.ncbi.nlm.nih.gov/Taxonomy/Browser/wwwtax.cgi?mode=Info&amp;id=110676&amp;lvl=3&amp;lin=f&amp;keep=1&amp;srchmode=1&amp;unlock","Cochlearius cochlearius")</f>
        <v>Cochlearius cochlearius</v>
      </c>
      <c r="H760" t="s">
        <v>199</v>
      </c>
      <c r="I760" t="str">
        <f>HYPERLINK("http://www.ncbi.nlm.nih.gov/protein/NXE80257.1","PRGR protein")</f>
        <v>PRGR protein</v>
      </c>
      <c r="J760" t="s">
        <v>1261</v>
      </c>
      <c r="K760">
        <v>299.67</v>
      </c>
      <c r="L760" t="s">
        <v>25</v>
      </c>
      <c r="M760">
        <v>157</v>
      </c>
      <c r="N760">
        <v>62.55</v>
      </c>
      <c r="O760">
        <v>58.28</v>
      </c>
      <c r="P760" t="s">
        <v>20</v>
      </c>
      <c r="Q760" t="s">
        <v>1262</v>
      </c>
      <c r="R760" t="s">
        <v>20</v>
      </c>
      <c r="S760" t="str">
        <f>HYPERLINK("https://cfpub.epa.gov/ecotox/explore.cfm?ncbi=110676","Explore in ECOTOX")</f>
        <v>Explore in ECOTOX</v>
      </c>
    </row>
    <row r="761" spans="1:19" x14ac:dyDescent="0.25">
      <c r="A761">
        <v>6</v>
      </c>
      <c r="B761" t="str">
        <f>HYPERLINK("http://www.ncbi.nlm.nih.gov/protein/ABD46743.1","ABD46743.1")</f>
        <v>ABD46743.1</v>
      </c>
      <c r="C761">
        <v>169</v>
      </c>
      <c r="D761" t="str">
        <f>HYPERLINK("http://www.ncbi.nlm.nih.gov/Taxonomy/Browser/wwwtax.cgi?mode=Info&amp;id=7769&amp;lvl=3&amp;lin=f&amp;keep=1&amp;srchmode=1&amp;unlock","7769")</f>
        <v>7769</v>
      </c>
      <c r="E761" t="s">
        <v>696</v>
      </c>
      <c r="F761" t="s">
        <v>696</v>
      </c>
      <c r="G761" t="str">
        <f>HYPERLINK("http://www.ncbi.nlm.nih.gov/Taxonomy/Browser/wwwtax.cgi?mode=Info&amp;id=7769&amp;lvl=3&amp;lin=f&amp;keep=1&amp;srchmode=1&amp;unlock","Myxine glutinosa")</f>
        <v>Myxine glutinosa</v>
      </c>
      <c r="H761" t="s">
        <v>697</v>
      </c>
      <c r="I761" t="str">
        <f>HYPERLINK("http://www.ncbi.nlm.nih.gov/protein/ABD46743.1","steroid receptor 2")</f>
        <v>steroid receptor 2</v>
      </c>
      <c r="J761" t="s">
        <v>1261</v>
      </c>
      <c r="K761">
        <v>298.89999999999998</v>
      </c>
      <c r="L761" t="s">
        <v>25</v>
      </c>
      <c r="M761">
        <v>157</v>
      </c>
      <c r="N761">
        <v>62.55</v>
      </c>
      <c r="O761">
        <v>58.13</v>
      </c>
      <c r="P761" t="s">
        <v>25</v>
      </c>
      <c r="Q761" t="s">
        <v>1262</v>
      </c>
      <c r="R761" t="s">
        <v>20</v>
      </c>
      <c r="S761" t="str">
        <f>HYPERLINK("https://cfpub.epa.gov/ecotox/explore.cfm?ncbi=7769","Explore in ECOTOX")</f>
        <v>Explore in ECOTOX</v>
      </c>
    </row>
    <row r="762" spans="1:19" x14ac:dyDescent="0.25">
      <c r="A762">
        <v>6</v>
      </c>
      <c r="B762" t="str">
        <f>HYPERLINK("http://www.ncbi.nlm.nih.gov/protein/A7XW25.1","A7XW25.1")</f>
        <v>A7XW25.1</v>
      </c>
      <c r="C762">
        <v>64</v>
      </c>
      <c r="D762" t="str">
        <f>HYPERLINK("http://www.ncbi.nlm.nih.gov/Taxonomy/Browser/wwwtax.cgi?mode=Info&amp;id=9510&amp;lvl=3&amp;lin=f&amp;keep=1&amp;srchmode=1&amp;unlock","9510")</f>
        <v>9510</v>
      </c>
      <c r="E762" t="s">
        <v>18</v>
      </c>
      <c r="F762" t="s">
        <v>18</v>
      </c>
      <c r="G762" t="str">
        <f>HYPERLINK("http://www.ncbi.nlm.nih.gov/Taxonomy/Browser/wwwtax.cgi?mode=Info&amp;id=9510&amp;lvl=3&amp;lin=f&amp;keep=1&amp;srchmode=1&amp;unlock","Ateles paniscus")</f>
        <v>Ateles paniscus</v>
      </c>
      <c r="H762" t="s">
        <v>1039</v>
      </c>
      <c r="I762" t="str">
        <f>HYPERLINK("http://www.ncbi.nlm.nih.gov/protein/A7XW25.1","RecName: Full=Progesterone receptor; Short=PR; AltName: Full=Nuclear receptor subfamily 3 group C member 3")</f>
        <v>RecName: Full=Progesterone receptor; Short=PR; AltName: Full=Nuclear receptor subfamily 3 group C member 3</v>
      </c>
      <c r="J762" t="s">
        <v>1261</v>
      </c>
      <c r="K762">
        <v>298.89999999999998</v>
      </c>
      <c r="L762" t="s">
        <v>25</v>
      </c>
      <c r="M762">
        <v>157</v>
      </c>
      <c r="N762">
        <v>62.55</v>
      </c>
      <c r="O762">
        <v>58.13</v>
      </c>
      <c r="P762" t="s">
        <v>20</v>
      </c>
      <c r="Q762" t="s">
        <v>1262</v>
      </c>
      <c r="R762" t="s">
        <v>20</v>
      </c>
      <c r="S762" t="str">
        <f>HYPERLINK("https://cfpub.epa.gov/ecotox/explore.cfm?ncbi=9510","Explore in ECOTOX")</f>
        <v>Explore in ECOTOX</v>
      </c>
    </row>
    <row r="763" spans="1:19" x14ac:dyDescent="0.25">
      <c r="A763">
        <v>6</v>
      </c>
      <c r="B763" t="str">
        <f>HYPERLINK("http://www.ncbi.nlm.nih.gov/protein/AQM55159.1","AQM55159.1")</f>
        <v>AQM55159.1</v>
      </c>
      <c r="C763">
        <v>181</v>
      </c>
      <c r="D763" t="str">
        <f>HYPERLINK("http://www.ncbi.nlm.nih.gov/Taxonomy/Browser/wwwtax.cgi?mode=Info&amp;id=118841&amp;lvl=3&amp;lin=f&amp;keep=1&amp;srchmode=1&amp;unlock","118841")</f>
        <v>118841</v>
      </c>
      <c r="E763" t="s">
        <v>236</v>
      </c>
      <c r="F763" t="s">
        <v>236</v>
      </c>
      <c r="G763" t="str">
        <f>HYPERLINK("http://www.ncbi.nlm.nih.gov/Taxonomy/Browser/wwwtax.cgi?mode=Info&amp;id=118841&amp;lvl=3&amp;lin=f&amp;keep=1&amp;srchmode=1&amp;unlock","Eremias argus")</f>
        <v>Eremias argus</v>
      </c>
      <c r="H763" t="s">
        <v>1070</v>
      </c>
      <c r="I763" t="str">
        <f>HYPERLINK("http://www.ncbi.nlm.nih.gov/protein/AQM55159.1","androgen receptor, partial")</f>
        <v>androgen receptor, partial</v>
      </c>
      <c r="J763" t="s">
        <v>1261</v>
      </c>
      <c r="K763">
        <v>298.52</v>
      </c>
      <c r="L763" t="s">
        <v>25</v>
      </c>
      <c r="M763">
        <v>157</v>
      </c>
      <c r="N763">
        <v>62.55</v>
      </c>
      <c r="O763">
        <v>58.05</v>
      </c>
      <c r="P763" t="s">
        <v>20</v>
      </c>
      <c r="Q763" t="s">
        <v>1262</v>
      </c>
      <c r="R763" t="s">
        <v>20</v>
      </c>
      <c r="S763" t="str">
        <f>HYPERLINK("https://cfpub.epa.gov/ecotox/explore.cfm?ncbi=118841","Explore in ECOTOX")</f>
        <v>Explore in ECOTOX</v>
      </c>
    </row>
    <row r="764" spans="1:19" x14ac:dyDescent="0.25">
      <c r="A764">
        <v>6</v>
      </c>
      <c r="B764" t="str">
        <f>HYPERLINK("http://www.ncbi.nlm.nih.gov/protein/ACJ45777.2","ACJ45777.2")</f>
        <v>ACJ45777.2</v>
      </c>
      <c r="C764">
        <v>66</v>
      </c>
      <c r="D764" t="str">
        <f>HYPERLINK("http://www.ncbi.nlm.nih.gov/Taxonomy/Browser/wwwtax.cgi?mode=Info&amp;id=68352&amp;lvl=3&amp;lin=f&amp;keep=1&amp;srchmode=1&amp;unlock","68352")</f>
        <v>68352</v>
      </c>
      <c r="E764" t="s">
        <v>236</v>
      </c>
      <c r="F764" t="s">
        <v>236</v>
      </c>
      <c r="G764" t="str">
        <f>HYPERLINK("http://www.ncbi.nlm.nih.gov/Taxonomy/Browser/wwwtax.cgi?mode=Info&amp;id=68352&amp;lvl=3&amp;lin=f&amp;keep=1&amp;srchmode=1&amp;unlock","Aspidoscelis inornatus")</f>
        <v>Aspidoscelis inornatus</v>
      </c>
      <c r="H764" t="s">
        <v>1040</v>
      </c>
      <c r="I764" t="str">
        <f>HYPERLINK("http://www.ncbi.nlm.nih.gov/protein/ACJ45777.2","progesterone receptor")</f>
        <v>progesterone receptor</v>
      </c>
      <c r="J764" t="s">
        <v>1261</v>
      </c>
      <c r="K764">
        <v>290.04000000000002</v>
      </c>
      <c r="L764" t="s">
        <v>25</v>
      </c>
      <c r="M764">
        <v>157</v>
      </c>
      <c r="N764">
        <v>62.55</v>
      </c>
      <c r="O764">
        <v>56.4</v>
      </c>
      <c r="P764" t="s">
        <v>20</v>
      </c>
      <c r="Q764" t="s">
        <v>1262</v>
      </c>
      <c r="R764" t="s">
        <v>20</v>
      </c>
      <c r="S764" t="str">
        <f>HYPERLINK("https://cfpub.epa.gov/ecotox/explore.cfm?ncbi=68352","Explore in ECOTOX")</f>
        <v>Explore in ECOTOX</v>
      </c>
    </row>
    <row r="765" spans="1:19" x14ac:dyDescent="0.25">
      <c r="A765">
        <v>6</v>
      </c>
      <c r="B765" t="str">
        <f>HYPERLINK("http://www.ncbi.nlm.nih.gov/protein/NWH90695.1","NWH90695.1")</f>
        <v>NWH90695.1</v>
      </c>
      <c r="C765">
        <v>13453</v>
      </c>
      <c r="D765" t="str">
        <f>HYPERLINK("http://www.ncbi.nlm.nih.gov/Taxonomy/Browser/wwwtax.cgi?mode=Info&amp;id=73327&amp;lvl=3&amp;lin=f&amp;keep=1&amp;srchmode=1&amp;unlock","73327")</f>
        <v>73327</v>
      </c>
      <c r="E765" t="s">
        <v>167</v>
      </c>
      <c r="F765" t="s">
        <v>167</v>
      </c>
      <c r="G765" t="str">
        <f>HYPERLINK("http://www.ncbi.nlm.nih.gov/Taxonomy/Browser/wwwtax.cgi?mode=Info&amp;id=73327&amp;lvl=3&amp;lin=f&amp;keep=1&amp;srchmode=1&amp;unlock","Aegithalos caudatus")</f>
        <v>Aegithalos caudatus</v>
      </c>
      <c r="H765" t="s">
        <v>476</v>
      </c>
      <c r="I765" t="str">
        <f>HYPERLINK("http://www.ncbi.nlm.nih.gov/protein/NWH90695.1","PRGR protein")</f>
        <v>PRGR protein</v>
      </c>
      <c r="J765" t="s">
        <v>1261</v>
      </c>
      <c r="K765">
        <v>289.27</v>
      </c>
      <c r="L765" t="s">
        <v>25</v>
      </c>
      <c r="M765">
        <v>157</v>
      </c>
      <c r="N765">
        <v>62.55</v>
      </c>
      <c r="O765">
        <v>56.25</v>
      </c>
      <c r="P765" t="s">
        <v>20</v>
      </c>
      <c r="Q765" t="s">
        <v>1262</v>
      </c>
      <c r="R765" t="s">
        <v>20</v>
      </c>
      <c r="S765" t="str">
        <f>HYPERLINK("https://cfpub.epa.gov/ecotox/explore.cfm?ncbi=73327","Explore in ECOTOX")</f>
        <v>Explore in ECOTOX</v>
      </c>
    </row>
    <row r="766" spans="1:19" x14ac:dyDescent="0.25">
      <c r="A766">
        <v>6</v>
      </c>
      <c r="B766" t="str">
        <f>HYPERLINK("http://www.ncbi.nlm.nih.gov/protein/AAB81722.1","AAB81722.1")</f>
        <v>AAB81722.1</v>
      </c>
      <c r="C766">
        <v>280</v>
      </c>
      <c r="D766" t="str">
        <f>HYPERLINK("http://www.ncbi.nlm.nih.gov/Taxonomy/Browser/wwwtax.cgi?mode=Info&amp;id=68455&amp;lvl=3&amp;lin=f&amp;keep=1&amp;srchmode=1&amp;unlock","68455")</f>
        <v>68455</v>
      </c>
      <c r="E766" t="s">
        <v>371</v>
      </c>
      <c r="F766" t="s">
        <v>371</v>
      </c>
      <c r="G766" t="str">
        <f>HYPERLINK("http://www.ncbi.nlm.nih.gov/Taxonomy/Browser/wwwtax.cgi?mode=Info&amp;id=68455&amp;lvl=3&amp;lin=f&amp;keep=1&amp;srchmode=1&amp;unlock","Crocodylus siamensis")</f>
        <v>Crocodylus siamensis</v>
      </c>
      <c r="H766" t="s">
        <v>1044</v>
      </c>
      <c r="I766" t="str">
        <f>HYPERLINK("http://www.ncbi.nlm.nih.gov/protein/AAB81722.1","progesterone receptor protein homolog, partial")</f>
        <v>progesterone receptor protein homolog, partial</v>
      </c>
      <c r="J766" t="s">
        <v>1261</v>
      </c>
      <c r="K766">
        <v>288.5</v>
      </c>
      <c r="L766" t="s">
        <v>25</v>
      </c>
      <c r="M766">
        <v>157</v>
      </c>
      <c r="N766">
        <v>62.55</v>
      </c>
      <c r="O766">
        <v>56.1</v>
      </c>
      <c r="P766" t="s">
        <v>20</v>
      </c>
      <c r="Q766" t="s">
        <v>1262</v>
      </c>
      <c r="R766" t="s">
        <v>20</v>
      </c>
      <c r="S766" t="str">
        <f>HYPERLINK("https://cfpub.epa.gov/ecotox/explore.cfm?ncbi=68455","Explore in ECOTOX")</f>
        <v>Explore in ECOTOX</v>
      </c>
    </row>
    <row r="767" spans="1:19" x14ac:dyDescent="0.25">
      <c r="A767">
        <v>6</v>
      </c>
      <c r="B767" t="str">
        <f>HYPERLINK("http://www.ncbi.nlm.nih.gov/protein/AOC37993.1","AOC37993.1")</f>
        <v>AOC37993.1</v>
      </c>
      <c r="C767">
        <v>32</v>
      </c>
      <c r="D767" t="str">
        <f>HYPERLINK("http://www.ncbi.nlm.nih.gov/Taxonomy/Browser/wwwtax.cgi?mode=Info&amp;id=176043&amp;lvl=3&amp;lin=f&amp;keep=1&amp;srchmode=1&amp;unlock","176043")</f>
        <v>176043</v>
      </c>
      <c r="E767" t="s">
        <v>167</v>
      </c>
      <c r="F767" t="s">
        <v>167</v>
      </c>
      <c r="G767" t="str">
        <f>HYPERLINK("http://www.ncbi.nlm.nih.gov/Taxonomy/Browser/wwwtax.cgi?mode=Info&amp;id=176043&amp;lvl=3&amp;lin=f&amp;keep=1&amp;srchmode=1&amp;unlock","Nestor meridionalis")</f>
        <v>Nestor meridionalis</v>
      </c>
      <c r="H767" t="s">
        <v>1263</v>
      </c>
      <c r="I767" t="str">
        <f>HYPERLINK("http://www.ncbi.nlm.nih.gov/protein/AOC37993.1","androgen receptor, partial")</f>
        <v>androgen receptor, partial</v>
      </c>
      <c r="J767" t="s">
        <v>1261</v>
      </c>
      <c r="K767">
        <v>288.5</v>
      </c>
      <c r="L767" t="s">
        <v>25</v>
      </c>
      <c r="M767">
        <v>157</v>
      </c>
      <c r="N767">
        <v>62.55</v>
      </c>
      <c r="O767">
        <v>56.1</v>
      </c>
      <c r="P767" t="s">
        <v>20</v>
      </c>
      <c r="Q767" t="s">
        <v>1262</v>
      </c>
      <c r="R767" t="s">
        <v>20</v>
      </c>
      <c r="S767" t="str">
        <f>HYPERLINK("https://cfpub.epa.gov/ecotox/explore.cfm?ncbi=176043","Explore in ECOTOX")</f>
        <v>Explore in ECOTOX</v>
      </c>
    </row>
    <row r="768" spans="1:19" x14ac:dyDescent="0.25">
      <c r="A768">
        <v>6</v>
      </c>
      <c r="B768" t="str">
        <f>HYPERLINK("http://www.ncbi.nlm.nih.gov/protein/AOC37995.1","AOC37995.1")</f>
        <v>AOC37995.1</v>
      </c>
      <c r="C768">
        <v>90</v>
      </c>
      <c r="D768" t="str">
        <f>HYPERLINK("http://www.ncbi.nlm.nih.gov/Taxonomy/Browser/wwwtax.cgi?mode=Info&amp;id=13180&amp;lvl=3&amp;lin=f&amp;keep=1&amp;srchmode=1&amp;unlock","13180")</f>
        <v>13180</v>
      </c>
      <c r="E768" t="s">
        <v>167</v>
      </c>
      <c r="F768" t="s">
        <v>167</v>
      </c>
      <c r="G768" t="str">
        <f>HYPERLINK("http://www.ncbi.nlm.nih.gov/Taxonomy/Browser/wwwtax.cgi?mode=Info&amp;id=13180&amp;lvl=3&amp;lin=f&amp;keep=1&amp;srchmode=1&amp;unlock","Nymphicus hollandicus")</f>
        <v>Nymphicus hollandicus</v>
      </c>
      <c r="H768" t="s">
        <v>1264</v>
      </c>
      <c r="I768" t="str">
        <f>HYPERLINK("http://www.ncbi.nlm.nih.gov/protein/AOC37995.1","androgen receptor, partial")</f>
        <v>androgen receptor, partial</v>
      </c>
      <c r="J768" t="s">
        <v>1261</v>
      </c>
      <c r="K768">
        <v>286.95999999999998</v>
      </c>
      <c r="L768" t="s">
        <v>25</v>
      </c>
      <c r="M768">
        <v>157</v>
      </c>
      <c r="N768">
        <v>62.55</v>
      </c>
      <c r="O768">
        <v>55.8</v>
      </c>
      <c r="P768" t="s">
        <v>20</v>
      </c>
      <c r="Q768" t="s">
        <v>1262</v>
      </c>
      <c r="R768" t="s">
        <v>20</v>
      </c>
      <c r="S768" t="str">
        <f>HYPERLINK("https://cfpub.epa.gov/ecotox/explore.cfm?ncbi=13180","Explore in ECOTOX")</f>
        <v>Explore in ECOTOX</v>
      </c>
    </row>
    <row r="769" spans="1:19" x14ac:dyDescent="0.25">
      <c r="A769">
        <v>6</v>
      </c>
      <c r="B769" t="str">
        <f>HYPERLINK("http://www.ncbi.nlm.nih.gov/protein/ASA40269.1","ASA40269.1")</f>
        <v>ASA40269.1</v>
      </c>
      <c r="C769">
        <v>251</v>
      </c>
      <c r="D769" t="str">
        <f>HYPERLINK("http://www.ncbi.nlm.nih.gov/Taxonomy/Browser/wwwtax.cgi?mode=Info&amp;id=304456&amp;lvl=3&amp;lin=f&amp;keep=1&amp;srchmode=1&amp;unlock","304456")</f>
        <v>304456</v>
      </c>
      <c r="E769" t="s">
        <v>384</v>
      </c>
      <c r="F769" t="s">
        <v>384</v>
      </c>
      <c r="G769" t="str">
        <f>HYPERLINK("http://www.ncbi.nlm.nih.gov/Taxonomy/Browser/wwwtax.cgi?mode=Info&amp;id=304456&amp;lvl=3&amp;lin=f&amp;keep=1&amp;srchmode=1&amp;unlock","Channa punctata")</f>
        <v>Channa punctata</v>
      </c>
      <c r="H769" t="s">
        <v>1031</v>
      </c>
      <c r="I769" t="str">
        <f>HYPERLINK("http://www.ncbi.nlm.nih.gov/protein/ASA40269.1","androgen receptor beta, partial")</f>
        <v>androgen receptor beta, partial</v>
      </c>
      <c r="J769" t="s">
        <v>1261</v>
      </c>
      <c r="K769">
        <v>286.19</v>
      </c>
      <c r="L769" t="s">
        <v>25</v>
      </c>
      <c r="M769">
        <v>157</v>
      </c>
      <c r="N769">
        <v>62.55</v>
      </c>
      <c r="O769">
        <v>55.65</v>
      </c>
      <c r="P769" t="s">
        <v>20</v>
      </c>
      <c r="Q769" t="s">
        <v>1262</v>
      </c>
      <c r="R769" t="s">
        <v>20</v>
      </c>
      <c r="S769" t="str">
        <f>HYPERLINK("https://cfpub.epa.gov/ecotox/explore.cfm?ncbi=304456","Explore in ECOTOX")</f>
        <v>Explore in ECOTOX</v>
      </c>
    </row>
    <row r="770" spans="1:19" x14ac:dyDescent="0.25">
      <c r="A770">
        <v>6</v>
      </c>
      <c r="B770" t="str">
        <f>HYPERLINK("http://www.ncbi.nlm.nih.gov/protein/AAB35740.2","AAB35740.2")</f>
        <v>AAB35740.2</v>
      </c>
      <c r="C770">
        <v>17</v>
      </c>
      <c r="D770" t="str">
        <f>HYPERLINK("http://www.ncbi.nlm.nih.gov/Taxonomy/Browser/wwwtax.cgi?mode=Info&amp;id=37197&amp;lvl=3&amp;lin=f&amp;keep=1&amp;srchmode=1&amp;unlock","37197")</f>
        <v>37197</v>
      </c>
      <c r="E770" t="s">
        <v>236</v>
      </c>
      <c r="F770" t="s">
        <v>236</v>
      </c>
      <c r="G770" t="str">
        <f>HYPERLINK("http://www.ncbi.nlm.nih.gov/Taxonomy/Browser/wwwtax.cgi?mode=Info&amp;id=37197&amp;lvl=3&amp;lin=f&amp;keep=1&amp;srchmode=1&amp;unlock","Aspidoscelis uniparens")</f>
        <v>Aspidoscelis uniparens</v>
      </c>
      <c r="H770" t="s">
        <v>1063</v>
      </c>
      <c r="I770" t="str">
        <f>HYPERLINK("http://www.ncbi.nlm.nih.gov/protein/AAB35740.2","progesterone receptor, partial")</f>
        <v>progesterone receptor, partial</v>
      </c>
      <c r="J770" t="s">
        <v>1261</v>
      </c>
      <c r="K770">
        <v>284.64999999999998</v>
      </c>
      <c r="L770" t="s">
        <v>25</v>
      </c>
      <c r="M770">
        <v>157</v>
      </c>
      <c r="N770">
        <v>62.55</v>
      </c>
      <c r="O770">
        <v>55.35</v>
      </c>
      <c r="P770" t="s">
        <v>20</v>
      </c>
      <c r="Q770" t="s">
        <v>1262</v>
      </c>
      <c r="R770" t="s">
        <v>20</v>
      </c>
      <c r="S770" t="str">
        <f>HYPERLINK("https://cfpub.epa.gov/ecotox/explore.cfm?ncbi=37197","Explore in ECOTOX")</f>
        <v>Explore in ECOTOX</v>
      </c>
    </row>
    <row r="771" spans="1:19" x14ac:dyDescent="0.25">
      <c r="A771">
        <v>6</v>
      </c>
      <c r="B771" t="str">
        <f>HYPERLINK("http://www.ncbi.nlm.nih.gov/protein/ABC49718.1","ABC49718.1")</f>
        <v>ABC49718.1</v>
      </c>
      <c r="C771">
        <v>204</v>
      </c>
      <c r="D771" t="str">
        <f>HYPERLINK("http://www.ncbi.nlm.nih.gov/Taxonomy/Browser/wwwtax.cgi?mode=Info&amp;id=76066&amp;lvl=3&amp;lin=f&amp;keep=1&amp;srchmode=1&amp;unlock","76066")</f>
        <v>76066</v>
      </c>
      <c r="E771" t="s">
        <v>134</v>
      </c>
      <c r="F771" t="s">
        <v>134</v>
      </c>
      <c r="G771" t="str">
        <f>HYPERLINK("http://www.ncbi.nlm.nih.gov/Taxonomy/Browser/wwwtax.cgi?mode=Info&amp;id=76066&amp;lvl=3&amp;lin=f&amp;keep=1&amp;srchmode=1&amp;unlock","Engystomops pustulosus")</f>
        <v>Engystomops pustulosus</v>
      </c>
      <c r="H771" t="s">
        <v>1265</v>
      </c>
      <c r="I771" t="str">
        <f>HYPERLINK("http://www.ncbi.nlm.nih.gov/protein/ABC49718.1","androgen receptor, partial")</f>
        <v>androgen receptor, partial</v>
      </c>
      <c r="J771" t="s">
        <v>1261</v>
      </c>
      <c r="K771">
        <v>281.95</v>
      </c>
      <c r="L771" t="s">
        <v>25</v>
      </c>
      <c r="M771">
        <v>157</v>
      </c>
      <c r="N771">
        <v>62.55</v>
      </c>
      <c r="O771">
        <v>54.83</v>
      </c>
      <c r="P771" t="s">
        <v>20</v>
      </c>
      <c r="Q771" t="s">
        <v>1262</v>
      </c>
      <c r="R771" t="s">
        <v>20</v>
      </c>
      <c r="S771" t="str">
        <f>HYPERLINK("https://cfpub.epa.gov/ecotox/explore.cfm?ncbi=76066","Explore in ECOTOX")</f>
        <v>Explore in ECOTOX</v>
      </c>
    </row>
    <row r="772" spans="1:19" x14ac:dyDescent="0.25">
      <c r="A772">
        <v>6</v>
      </c>
      <c r="B772" t="str">
        <f>HYPERLINK("http://www.ncbi.nlm.nih.gov/protein/BAV17691.1","BAV17691.1")</f>
        <v>BAV17691.1</v>
      </c>
      <c r="C772">
        <v>94</v>
      </c>
      <c r="D772" t="str">
        <f>HYPERLINK("http://www.ncbi.nlm.nih.gov/Taxonomy/Browser/wwwtax.cgi?mode=Info&amp;id=512342&amp;lvl=3&amp;lin=f&amp;keep=1&amp;srchmode=1&amp;unlock","512342")</f>
        <v>512342</v>
      </c>
      <c r="E772" t="s">
        <v>384</v>
      </c>
      <c r="F772" t="s">
        <v>384</v>
      </c>
      <c r="G772" t="str">
        <f>HYPERLINK("http://www.ncbi.nlm.nih.gov/Taxonomy/Browser/wwwtax.cgi?mode=Info&amp;id=512342&amp;lvl=3&amp;lin=f&amp;keep=1&amp;srchmode=1&amp;unlock","Atractosteus tropicus")</f>
        <v>Atractosteus tropicus</v>
      </c>
      <c r="H772" t="s">
        <v>1041</v>
      </c>
      <c r="I772" t="str">
        <f>HYPERLINK("http://www.ncbi.nlm.nih.gov/protein/BAV17691.1","mineralocorticoid receptor")</f>
        <v>mineralocorticoid receptor</v>
      </c>
      <c r="J772" t="s">
        <v>1261</v>
      </c>
      <c r="K772">
        <v>281.57</v>
      </c>
      <c r="L772" t="s">
        <v>25</v>
      </c>
      <c r="M772">
        <v>157</v>
      </c>
      <c r="N772">
        <v>62.55</v>
      </c>
      <c r="O772">
        <v>54.76</v>
      </c>
      <c r="P772" t="s">
        <v>20</v>
      </c>
      <c r="Q772" t="s">
        <v>1262</v>
      </c>
      <c r="R772" t="s">
        <v>20</v>
      </c>
      <c r="S772" t="str">
        <f>HYPERLINK("https://cfpub.epa.gov/ecotox/explore.cfm?ncbi=512342","Explore in ECOTOX")</f>
        <v>Explore in ECOTOX</v>
      </c>
    </row>
    <row r="773" spans="1:19" x14ac:dyDescent="0.25">
      <c r="A773">
        <v>6</v>
      </c>
      <c r="B773" t="str">
        <f>HYPERLINK("http://www.ncbi.nlm.nih.gov/protein/KTG39971.1","KTG39971.1")</f>
        <v>KTG39971.1</v>
      </c>
      <c r="C773">
        <v>116977</v>
      </c>
      <c r="D773" t="str">
        <f>HYPERLINK("http://www.ncbi.nlm.nih.gov/Taxonomy/Browser/wwwtax.cgi?mode=Info&amp;id=7962&amp;lvl=3&amp;lin=f&amp;keep=1&amp;srchmode=1&amp;unlock","7962")</f>
        <v>7962</v>
      </c>
      <c r="E773" t="s">
        <v>384</v>
      </c>
      <c r="F773" t="s">
        <v>384</v>
      </c>
      <c r="G773" t="str">
        <f>HYPERLINK("http://www.ncbi.nlm.nih.gov/Taxonomy/Browser/wwwtax.cgi?mode=Info&amp;id=7962&amp;lvl=3&amp;lin=f&amp;keep=1&amp;srchmode=1&amp;unlock","Cyprinus carpio")</f>
        <v>Cyprinus carpio</v>
      </c>
      <c r="H773" t="s">
        <v>625</v>
      </c>
      <c r="I773" t="str">
        <f>HYPERLINK("http://www.ncbi.nlm.nih.gov/protein/KTG39971.1","hypothetical protein cypCar_00004750")</f>
        <v>hypothetical protein cypCar_00004750</v>
      </c>
      <c r="J773" t="s">
        <v>1261</v>
      </c>
      <c r="K773">
        <v>280.41000000000003</v>
      </c>
      <c r="L773" t="s">
        <v>25</v>
      </c>
      <c r="M773">
        <v>157</v>
      </c>
      <c r="N773">
        <v>62.55</v>
      </c>
      <c r="O773">
        <v>54.53</v>
      </c>
      <c r="P773" t="s">
        <v>20</v>
      </c>
      <c r="Q773" t="s">
        <v>1262</v>
      </c>
      <c r="R773" t="s">
        <v>20</v>
      </c>
      <c r="S773" t="str">
        <f>HYPERLINK("https://cfpub.epa.gov/ecotox/explore.cfm?ncbi=7962","Explore in ECOTOX")</f>
        <v>Explore in ECOTOX</v>
      </c>
    </row>
    <row r="774" spans="1:19" x14ac:dyDescent="0.25">
      <c r="A774">
        <v>6</v>
      </c>
      <c r="B774" t="str">
        <f>HYPERLINK("http://www.ncbi.nlm.nih.gov/protein/ROJ25342.1","ROJ25342.1")</f>
        <v>ROJ25342.1</v>
      </c>
      <c r="C774">
        <v>23912</v>
      </c>
      <c r="D774" t="str">
        <f>HYPERLINK("http://www.ncbi.nlm.nih.gov/Taxonomy/Browser/wwwtax.cgi?mode=Info&amp;id=495550&amp;lvl=3&amp;lin=f&amp;keep=1&amp;srchmode=1&amp;unlock","495550")</f>
        <v>495550</v>
      </c>
      <c r="E774" t="s">
        <v>384</v>
      </c>
      <c r="F774" t="s">
        <v>384</v>
      </c>
      <c r="G774" t="str">
        <f>HYPERLINK("http://www.ncbi.nlm.nih.gov/Taxonomy/Browser/wwwtax.cgi?mode=Info&amp;id=495550&amp;lvl=3&amp;lin=f&amp;keep=1&amp;srchmode=1&amp;unlock","Anabarilius grahami")</f>
        <v>Anabarilius grahami</v>
      </c>
      <c r="H774" t="s">
        <v>529</v>
      </c>
      <c r="I774" t="str">
        <f>HYPERLINK("http://www.ncbi.nlm.nih.gov/protein/ROJ25342.1","Progesterone receptor")</f>
        <v>Progesterone receptor</v>
      </c>
      <c r="J774" t="s">
        <v>1261</v>
      </c>
      <c r="K774">
        <v>279.64</v>
      </c>
      <c r="L774" t="s">
        <v>25</v>
      </c>
      <c r="M774">
        <v>157</v>
      </c>
      <c r="N774">
        <v>62.55</v>
      </c>
      <c r="O774">
        <v>54.38</v>
      </c>
      <c r="P774" t="s">
        <v>20</v>
      </c>
      <c r="Q774" t="s">
        <v>1262</v>
      </c>
      <c r="R774" t="s">
        <v>20</v>
      </c>
      <c r="S774" t="str">
        <f>HYPERLINK("https://cfpub.epa.gov/ecotox/explore.cfm?ncbi=495550","Explore in ECOTOX")</f>
        <v>Explore in ECOTOX</v>
      </c>
    </row>
    <row r="775" spans="1:19" x14ac:dyDescent="0.25">
      <c r="A775">
        <v>6</v>
      </c>
      <c r="B775" t="str">
        <f>HYPERLINK("http://www.ncbi.nlm.nih.gov/protein/XP_020370084.1","XP_020370084.1")</f>
        <v>XP_020370084.1</v>
      </c>
      <c r="C775">
        <v>27965</v>
      </c>
      <c r="D775" t="str">
        <f>HYPERLINK("http://www.ncbi.nlm.nih.gov/Taxonomy/Browser/wwwtax.cgi?mode=Info&amp;id=259920&amp;lvl=3&amp;lin=f&amp;keep=1&amp;srchmode=1&amp;unlock","259920")</f>
        <v>259920</v>
      </c>
      <c r="E775" t="s">
        <v>550</v>
      </c>
      <c r="F775" t="s">
        <v>550</v>
      </c>
      <c r="G775" t="str">
        <f>HYPERLINK("http://www.ncbi.nlm.nih.gov/Taxonomy/Browser/wwwtax.cgi?mode=Info&amp;id=259920&amp;lvl=3&amp;lin=f&amp;keep=1&amp;srchmode=1&amp;unlock","Rhincodon typus")</f>
        <v>Rhincodon typus</v>
      </c>
      <c r="H775" t="s">
        <v>601</v>
      </c>
      <c r="I775" t="str">
        <f>HYPERLINK("http://www.ncbi.nlm.nih.gov/protein/XP_020370084.1","glucocorticoid receptor")</f>
        <v>glucocorticoid receptor</v>
      </c>
      <c r="J775" t="s">
        <v>1261</v>
      </c>
      <c r="K775">
        <v>278.10000000000002</v>
      </c>
      <c r="L775" t="s">
        <v>25</v>
      </c>
      <c r="M775">
        <v>157</v>
      </c>
      <c r="N775">
        <v>62.55</v>
      </c>
      <c r="O775">
        <v>54.08</v>
      </c>
      <c r="P775" t="s">
        <v>20</v>
      </c>
      <c r="Q775" t="s">
        <v>1262</v>
      </c>
      <c r="R775" t="s">
        <v>20</v>
      </c>
      <c r="S775" t="str">
        <f>HYPERLINK("https://cfpub.epa.gov/ecotox/explore.cfm?ncbi=259920","Explore in ECOTOX")</f>
        <v>Explore in ECOTOX</v>
      </c>
    </row>
    <row r="776" spans="1:19" x14ac:dyDescent="0.25">
      <c r="A776">
        <v>6</v>
      </c>
      <c r="B776" t="str">
        <f>HYPERLINK("http://www.ncbi.nlm.nih.gov/protein/AXS75746.1","AXS75746.1")</f>
        <v>AXS75746.1</v>
      </c>
      <c r="C776">
        <v>343</v>
      </c>
      <c r="D776" t="str">
        <f>HYPERLINK("http://www.ncbi.nlm.nih.gov/Taxonomy/Browser/wwwtax.cgi?mode=Info&amp;id=162147&amp;lvl=3&amp;lin=f&amp;keep=1&amp;srchmode=1&amp;unlock","162147")</f>
        <v>162147</v>
      </c>
      <c r="E776" t="s">
        <v>384</v>
      </c>
      <c r="F776" t="s">
        <v>384</v>
      </c>
      <c r="G776" t="str">
        <f>HYPERLINK("http://www.ncbi.nlm.nih.gov/Taxonomy/Browser/wwwtax.cgi?mode=Info&amp;id=162147&amp;lvl=3&amp;lin=f&amp;keep=1&amp;srchmode=1&amp;unlock","Rhamdia quelen")</f>
        <v>Rhamdia quelen</v>
      </c>
      <c r="H776" t="s">
        <v>1042</v>
      </c>
      <c r="I776" t="str">
        <f>HYPERLINK("http://www.ncbi.nlm.nih.gov/protein/AXS75746.1","mineralocorticoid receptor")</f>
        <v>mineralocorticoid receptor</v>
      </c>
      <c r="J776" t="s">
        <v>1261</v>
      </c>
      <c r="K776">
        <v>277.70999999999998</v>
      </c>
      <c r="L776" t="s">
        <v>25</v>
      </c>
      <c r="M776">
        <v>157</v>
      </c>
      <c r="N776">
        <v>62.55</v>
      </c>
      <c r="O776">
        <v>54.01</v>
      </c>
      <c r="P776" t="s">
        <v>20</v>
      </c>
      <c r="Q776" t="s">
        <v>1262</v>
      </c>
      <c r="R776" t="s">
        <v>20</v>
      </c>
      <c r="S776" t="str">
        <f>HYPERLINK("https://cfpub.epa.gov/ecotox/explore.cfm?ncbi=162147","Explore in ECOTOX")</f>
        <v>Explore in ECOTOX</v>
      </c>
    </row>
    <row r="777" spans="1:19" x14ac:dyDescent="0.25">
      <c r="A777">
        <v>6</v>
      </c>
      <c r="B777" t="str">
        <f>HYPERLINK("http://www.ncbi.nlm.nih.gov/protein/AWX94614.1","AWX94614.1")</f>
        <v>AWX94614.1</v>
      </c>
      <c r="C777">
        <v>263</v>
      </c>
      <c r="D777" t="str">
        <f>HYPERLINK("http://www.ncbi.nlm.nih.gov/Taxonomy/Browser/wwwtax.cgi?mode=Info&amp;id=194366&amp;lvl=3&amp;lin=f&amp;keep=1&amp;srchmode=1&amp;unlock","194366")</f>
        <v>194366</v>
      </c>
      <c r="E777" t="s">
        <v>384</v>
      </c>
      <c r="F777" t="s">
        <v>384</v>
      </c>
      <c r="G777" t="str">
        <f>HYPERLINK("http://www.ncbi.nlm.nih.gov/Taxonomy/Browser/wwwtax.cgi?mode=Info&amp;id=194366&amp;lvl=3&amp;lin=f&amp;keep=1&amp;srchmode=1&amp;unlock","Culter alburnus")</f>
        <v>Culter alburnus</v>
      </c>
      <c r="H777" t="s">
        <v>882</v>
      </c>
      <c r="I777" t="str">
        <f>HYPERLINK("http://www.ncbi.nlm.nih.gov/protein/AWX94614.1","progesterone receptor")</f>
        <v>progesterone receptor</v>
      </c>
      <c r="J777" t="s">
        <v>1261</v>
      </c>
      <c r="K777">
        <v>275.39999999999998</v>
      </c>
      <c r="L777" t="s">
        <v>25</v>
      </c>
      <c r="M777">
        <v>157</v>
      </c>
      <c r="N777">
        <v>62.55</v>
      </c>
      <c r="O777">
        <v>53.56</v>
      </c>
      <c r="P777" t="s">
        <v>20</v>
      </c>
      <c r="Q777" t="s">
        <v>1262</v>
      </c>
      <c r="R777" t="s">
        <v>20</v>
      </c>
      <c r="S777" t="str">
        <f>HYPERLINK("https://cfpub.epa.gov/ecotox/explore.cfm?ncbi=194366","Explore in ECOTOX")</f>
        <v>Explore in ECOTOX</v>
      </c>
    </row>
    <row r="778" spans="1:19" x14ac:dyDescent="0.25">
      <c r="A778">
        <v>6</v>
      </c>
      <c r="B778" t="str">
        <f>HYPERLINK("http://www.ncbi.nlm.nih.gov/protein/AEF12278.1","AEF12278.1")</f>
        <v>AEF12278.1</v>
      </c>
      <c r="C778">
        <v>34</v>
      </c>
      <c r="D778" t="str">
        <f>HYPERLINK("http://www.ncbi.nlm.nih.gov/Taxonomy/Browser/wwwtax.cgi?mode=Info&amp;id=79690&amp;lvl=3&amp;lin=f&amp;keep=1&amp;srchmode=1&amp;unlock","79690")</f>
        <v>79690</v>
      </c>
      <c r="E778" t="s">
        <v>550</v>
      </c>
      <c r="F778" t="s">
        <v>550</v>
      </c>
      <c r="G778" t="str">
        <f>HYPERLINK("http://www.ncbi.nlm.nih.gov/Taxonomy/Browser/wwwtax.cgi?mode=Info&amp;id=79690&amp;lvl=3&amp;lin=f&amp;keep=1&amp;srchmode=1&amp;unlock","Hypanus sabinus")</f>
        <v>Hypanus sabinus</v>
      </c>
      <c r="H778" t="s">
        <v>1073</v>
      </c>
      <c r="I778" t="str">
        <f>HYPERLINK("http://www.ncbi.nlm.nih.gov/protein/AEF12278.1","glucocorticoid receptor, partial")</f>
        <v>glucocorticoid receptor, partial</v>
      </c>
      <c r="J778" t="s">
        <v>1261</v>
      </c>
      <c r="K778">
        <v>275.02</v>
      </c>
      <c r="L778" t="s">
        <v>25</v>
      </c>
      <c r="M778">
        <v>157</v>
      </c>
      <c r="N778">
        <v>62.55</v>
      </c>
      <c r="O778">
        <v>53.48</v>
      </c>
      <c r="P778" t="s">
        <v>20</v>
      </c>
      <c r="Q778" t="s">
        <v>1262</v>
      </c>
      <c r="R778" t="s">
        <v>20</v>
      </c>
      <c r="S778" t="str">
        <f>HYPERLINK("https://cfpub.epa.gov/ecotox/explore.cfm?ncbi=79690","Explore in ECOTOX")</f>
        <v>Explore in ECOTOX</v>
      </c>
    </row>
    <row r="779" spans="1:19" x14ac:dyDescent="0.25">
      <c r="A779">
        <v>6</v>
      </c>
      <c r="B779" t="str">
        <f>HYPERLINK("http://www.ncbi.nlm.nih.gov/protein/XP_040031607.1","XP_040031607.1")</f>
        <v>XP_040031607.1</v>
      </c>
      <c r="C779">
        <v>45331</v>
      </c>
      <c r="D779" t="str">
        <f>HYPERLINK("http://www.ncbi.nlm.nih.gov/Taxonomy/Browser/wwwtax.cgi?mode=Info&amp;id=481459&amp;lvl=3&amp;lin=f&amp;keep=1&amp;srchmode=1&amp;unlock","481459")</f>
        <v>481459</v>
      </c>
      <c r="E779" t="s">
        <v>384</v>
      </c>
      <c r="F779" t="s">
        <v>384</v>
      </c>
      <c r="G779" t="str">
        <f>HYPERLINK("http://www.ncbi.nlm.nih.gov/Taxonomy/Browser/wwwtax.cgi?mode=Info&amp;id=481459&amp;lvl=3&amp;lin=f&amp;keep=1&amp;srchmode=1&amp;unlock","Gasterosteus aculeatus aculeatus")</f>
        <v>Gasterosteus aculeatus aculeatus</v>
      </c>
      <c r="H779" t="s">
        <v>605</v>
      </c>
      <c r="I779" t="str">
        <f>HYPERLINK("http://www.ncbi.nlm.nih.gov/protein/XP_040031607.1","progesterone receptor")</f>
        <v>progesterone receptor</v>
      </c>
      <c r="J779" t="s">
        <v>1261</v>
      </c>
      <c r="K779">
        <v>274.63</v>
      </c>
      <c r="L779" t="s">
        <v>25</v>
      </c>
      <c r="M779">
        <v>157</v>
      </c>
      <c r="N779">
        <v>62.55</v>
      </c>
      <c r="O779">
        <v>53.41</v>
      </c>
      <c r="P779" t="s">
        <v>20</v>
      </c>
      <c r="Q779" t="s">
        <v>1262</v>
      </c>
      <c r="R779" t="s">
        <v>20</v>
      </c>
      <c r="S779" t="str">
        <f>HYPERLINK("https://cfpub.epa.gov/ecotox/explore.cfm?ncbi=481459","Explore in ECOTOX")</f>
        <v>Explore in ECOTOX</v>
      </c>
    </row>
    <row r="780" spans="1:19" x14ac:dyDescent="0.25">
      <c r="A780">
        <v>6</v>
      </c>
      <c r="B780" t="str">
        <f>HYPERLINK("http://www.ncbi.nlm.nih.gov/protein/AEF12275.1","AEF12275.1")</f>
        <v>AEF12275.1</v>
      </c>
      <c r="C780">
        <v>25</v>
      </c>
      <c r="D780" t="str">
        <f>HYPERLINK("http://www.ncbi.nlm.nih.gov/Taxonomy/Browser/wwwtax.cgi?mode=Info&amp;id=303945&amp;lvl=3&amp;lin=f&amp;keep=1&amp;srchmode=1&amp;unlock","303945")</f>
        <v>303945</v>
      </c>
      <c r="E780" t="s">
        <v>550</v>
      </c>
      <c r="F780" t="s">
        <v>550</v>
      </c>
      <c r="G780" t="str">
        <f>HYPERLINK("http://www.ncbi.nlm.nih.gov/Taxonomy/Browser/wwwtax.cgi?mode=Info&amp;id=303945&amp;lvl=3&amp;lin=f&amp;keep=1&amp;srchmode=1&amp;unlock","Rhizoprionodon terraenovae")</f>
        <v>Rhizoprionodon terraenovae</v>
      </c>
      <c r="H780" t="s">
        <v>1074</v>
      </c>
      <c r="I780" t="str">
        <f>HYPERLINK("http://www.ncbi.nlm.nih.gov/protein/AEF12275.1","glucocorticoid receptor, partial")</f>
        <v>glucocorticoid receptor, partial</v>
      </c>
      <c r="J780" t="s">
        <v>1261</v>
      </c>
      <c r="K780">
        <v>270.77999999999997</v>
      </c>
      <c r="L780" t="s">
        <v>25</v>
      </c>
      <c r="M780">
        <v>157</v>
      </c>
      <c r="N780">
        <v>62.55</v>
      </c>
      <c r="O780">
        <v>52.66</v>
      </c>
      <c r="P780" t="s">
        <v>20</v>
      </c>
      <c r="Q780" t="s">
        <v>1262</v>
      </c>
      <c r="R780" t="s">
        <v>20</v>
      </c>
      <c r="S780" t="str">
        <f>HYPERLINK("https://cfpub.epa.gov/ecotox/explore.cfm?ncbi=303945","Explore in ECOTOX")</f>
        <v>Explore in ECOTOX</v>
      </c>
    </row>
    <row r="781" spans="1:19" x14ac:dyDescent="0.25">
      <c r="A781">
        <v>6</v>
      </c>
      <c r="B781" t="str">
        <f>HYPERLINK("http://www.ncbi.nlm.nih.gov/protein/AFK14016.1","AFK14016.1")</f>
        <v>AFK14016.1</v>
      </c>
      <c r="C781">
        <v>183</v>
      </c>
      <c r="D781" t="str">
        <f>HYPERLINK("http://www.ncbi.nlm.nih.gov/Taxonomy/Browser/wwwtax.cgi?mode=Info&amp;id=8276&amp;lvl=3&amp;lin=f&amp;keep=1&amp;srchmode=1&amp;unlock","8276")</f>
        <v>8276</v>
      </c>
      <c r="E781" t="s">
        <v>384</v>
      </c>
      <c r="F781" t="s">
        <v>384</v>
      </c>
      <c r="G781" t="str">
        <f>HYPERLINK("http://www.ncbi.nlm.nih.gov/Taxonomy/Browser/wwwtax.cgi?mode=Info&amp;id=8276&amp;lvl=3&amp;lin=f&amp;keep=1&amp;srchmode=1&amp;unlock","Pantodon buchholzi")</f>
        <v>Pantodon buchholzi</v>
      </c>
      <c r="H781" t="s">
        <v>1046</v>
      </c>
      <c r="I781" t="str">
        <f>HYPERLINK("http://www.ncbi.nlm.nih.gov/protein/AFK14016.1","glucocorticoid receptor 2b")</f>
        <v>glucocorticoid receptor 2b</v>
      </c>
      <c r="J781" t="s">
        <v>1261</v>
      </c>
      <c r="K781">
        <v>268.08</v>
      </c>
      <c r="L781" t="s">
        <v>25</v>
      </c>
      <c r="M781">
        <v>157</v>
      </c>
      <c r="N781">
        <v>62.55</v>
      </c>
      <c r="O781">
        <v>52.13</v>
      </c>
      <c r="P781" t="s">
        <v>20</v>
      </c>
      <c r="Q781" t="s">
        <v>1262</v>
      </c>
      <c r="R781" t="s">
        <v>20</v>
      </c>
      <c r="S781" t="str">
        <f>HYPERLINK("https://cfpub.epa.gov/ecotox/explore.cfm?ncbi=8276","Explore in ECOTOX")</f>
        <v>Explore in ECOTOX</v>
      </c>
    </row>
    <row r="782" spans="1:19" x14ac:dyDescent="0.25">
      <c r="A782">
        <v>6</v>
      </c>
      <c r="B782" t="str">
        <f>HYPERLINK("http://www.ncbi.nlm.nih.gov/protein/TRY93834.1","TRY93834.1")</f>
        <v>TRY93834.1</v>
      </c>
      <c r="C782">
        <v>35331</v>
      </c>
      <c r="D782" t="str">
        <f>HYPERLINK("http://www.ncbi.nlm.nih.gov/Taxonomy/Browser/wwwtax.cgi?mode=Info&amp;id=623744&amp;lvl=3&amp;lin=f&amp;keep=1&amp;srchmode=1&amp;unlock","623744")</f>
        <v>623744</v>
      </c>
      <c r="E782" t="s">
        <v>384</v>
      </c>
      <c r="F782" t="s">
        <v>384</v>
      </c>
      <c r="G782" t="str">
        <f>HYPERLINK("http://www.ncbi.nlm.nih.gov/Taxonomy/Browser/wwwtax.cgi?mode=Info&amp;id=623744&amp;lvl=3&amp;lin=f&amp;keep=1&amp;srchmode=1&amp;unlock","Danionella translucida")</f>
        <v>Danionella translucida</v>
      </c>
      <c r="H782" t="s">
        <v>529</v>
      </c>
      <c r="I782" t="str">
        <f>HYPERLINK("http://www.ncbi.nlm.nih.gov/protein/TRY93834.1","hypothetical protein DNTS_023757")</f>
        <v>hypothetical protein DNTS_023757</v>
      </c>
      <c r="J782" t="s">
        <v>1261</v>
      </c>
      <c r="K782">
        <v>267.7</v>
      </c>
      <c r="L782" t="s">
        <v>25</v>
      </c>
      <c r="M782">
        <v>157</v>
      </c>
      <c r="N782">
        <v>62.55</v>
      </c>
      <c r="O782">
        <v>52.06</v>
      </c>
      <c r="P782" t="s">
        <v>20</v>
      </c>
      <c r="Q782" t="s">
        <v>1262</v>
      </c>
      <c r="R782" t="s">
        <v>20</v>
      </c>
      <c r="S782" t="str">
        <f>HYPERLINK("https://cfpub.epa.gov/ecotox/explore.cfm?ncbi=623744","Explore in ECOTOX")</f>
        <v>Explore in ECOTOX</v>
      </c>
    </row>
    <row r="783" spans="1:19" x14ac:dyDescent="0.25">
      <c r="A783">
        <v>6</v>
      </c>
      <c r="B783" t="str">
        <f>HYPERLINK("http://www.ncbi.nlm.nih.gov/protein/XP_010789352.1","XP_010789352.1")</f>
        <v>XP_010789352.1</v>
      </c>
      <c r="C783">
        <v>32359</v>
      </c>
      <c r="D783" t="str">
        <f>HYPERLINK("http://www.ncbi.nlm.nih.gov/Taxonomy/Browser/wwwtax.cgi?mode=Info&amp;id=8208&amp;lvl=3&amp;lin=f&amp;keep=1&amp;srchmode=1&amp;unlock","8208")</f>
        <v>8208</v>
      </c>
      <c r="E783" t="s">
        <v>384</v>
      </c>
      <c r="F783" t="s">
        <v>384</v>
      </c>
      <c r="G783" t="str">
        <f>HYPERLINK("http://www.ncbi.nlm.nih.gov/Taxonomy/Browser/wwwtax.cgi?mode=Info&amp;id=8208&amp;lvl=3&amp;lin=f&amp;keep=1&amp;srchmode=1&amp;unlock","Notothenia coriiceps")</f>
        <v>Notothenia coriiceps</v>
      </c>
      <c r="H783" t="s">
        <v>598</v>
      </c>
      <c r="I783" t="str">
        <f>HYPERLINK("http://www.ncbi.nlm.nih.gov/protein/XP_010789352.1","PREDICTED: progesterone receptor isoform X2")</f>
        <v>PREDICTED: progesterone receptor isoform X2</v>
      </c>
      <c r="J783" t="s">
        <v>1261</v>
      </c>
      <c r="K783">
        <v>267.7</v>
      </c>
      <c r="L783" t="s">
        <v>25</v>
      </c>
      <c r="M783">
        <v>157</v>
      </c>
      <c r="N783">
        <v>62.55</v>
      </c>
      <c r="O783">
        <v>52.06</v>
      </c>
      <c r="P783" t="s">
        <v>20</v>
      </c>
      <c r="Q783" t="s">
        <v>1262</v>
      </c>
      <c r="R783" t="s">
        <v>20</v>
      </c>
      <c r="S783" t="str">
        <f>HYPERLINK("https://cfpub.epa.gov/ecotox/explore.cfm?ncbi=8208","Explore in ECOTOX")</f>
        <v>Explore in ECOTOX</v>
      </c>
    </row>
    <row r="784" spans="1:19" x14ac:dyDescent="0.25">
      <c r="A784">
        <v>6</v>
      </c>
      <c r="B784" t="str">
        <f>HYPERLINK("http://www.ncbi.nlm.nih.gov/protein/ABS11148.1","ABS11148.1")</f>
        <v>ABS11148.1</v>
      </c>
      <c r="C784">
        <v>95</v>
      </c>
      <c r="D784" t="str">
        <f>HYPERLINK("http://www.ncbi.nlm.nih.gov/Taxonomy/Browser/wwwtax.cgi?mode=Info&amp;id=184151&amp;lvl=3&amp;lin=f&amp;keep=1&amp;srchmode=1&amp;unlock","184151")</f>
        <v>184151</v>
      </c>
      <c r="E784" t="s">
        <v>384</v>
      </c>
      <c r="F784" t="s">
        <v>384</v>
      </c>
      <c r="G784" t="str">
        <f>HYPERLINK("http://www.ncbi.nlm.nih.gov/Taxonomy/Browser/wwwtax.cgi?mode=Info&amp;id=184151&amp;lvl=3&amp;lin=f&amp;keep=1&amp;srchmode=1&amp;unlock","Neolamprologus pulcher")</f>
        <v>Neolamprologus pulcher</v>
      </c>
      <c r="H784" t="s">
        <v>637</v>
      </c>
      <c r="I784" t="str">
        <f>HYPERLINK("http://www.ncbi.nlm.nih.gov/protein/ABS11148.1","mineralocorticoid receptor, partial")</f>
        <v>mineralocorticoid receptor, partial</v>
      </c>
      <c r="J784" t="s">
        <v>1261</v>
      </c>
      <c r="K784">
        <v>266.93</v>
      </c>
      <c r="L784" t="s">
        <v>25</v>
      </c>
      <c r="M784">
        <v>157</v>
      </c>
      <c r="N784">
        <v>62.55</v>
      </c>
      <c r="O784">
        <v>51.91</v>
      </c>
      <c r="P784" t="s">
        <v>20</v>
      </c>
      <c r="Q784" t="s">
        <v>1262</v>
      </c>
      <c r="R784" t="s">
        <v>20</v>
      </c>
      <c r="S784" t="str">
        <f>HYPERLINK("https://cfpub.epa.gov/ecotox/explore.cfm?ncbi=184151","Explore in ECOTOX")</f>
        <v>Explore in ECOTOX</v>
      </c>
    </row>
    <row r="785" spans="1:19" x14ac:dyDescent="0.25">
      <c r="A785">
        <v>6</v>
      </c>
      <c r="B785" t="str">
        <f>HYPERLINK("http://www.ncbi.nlm.nih.gov/protein/NXX31418.1","NXX31418.1")</f>
        <v>NXX31418.1</v>
      </c>
      <c r="C785">
        <v>13620</v>
      </c>
      <c r="D785" t="str">
        <f>HYPERLINK("http://www.ncbi.nlm.nih.gov/Taxonomy/Browser/wwwtax.cgi?mode=Info&amp;id=237433&amp;lvl=3&amp;lin=f&amp;keep=1&amp;srchmode=1&amp;unlock","237433")</f>
        <v>237433</v>
      </c>
      <c r="E785" t="s">
        <v>167</v>
      </c>
      <c r="F785" t="s">
        <v>167</v>
      </c>
      <c r="G785" t="str">
        <f>HYPERLINK("http://www.ncbi.nlm.nih.gov/Taxonomy/Browser/wwwtax.cgi?mode=Info&amp;id=237433&amp;lvl=3&amp;lin=f&amp;keep=1&amp;srchmode=1&amp;unlock","Nicator chloris")</f>
        <v>Nicator chloris</v>
      </c>
      <c r="H785" t="s">
        <v>352</v>
      </c>
      <c r="I785" t="str">
        <f>HYPERLINK("http://www.ncbi.nlm.nih.gov/protein/NXX31418.1","GCR protein")</f>
        <v>GCR protein</v>
      </c>
      <c r="J785" t="s">
        <v>1261</v>
      </c>
      <c r="K785">
        <v>266.16000000000003</v>
      </c>
      <c r="L785" t="s">
        <v>25</v>
      </c>
      <c r="M785">
        <v>157</v>
      </c>
      <c r="N785">
        <v>62.55</v>
      </c>
      <c r="O785">
        <v>51.76</v>
      </c>
      <c r="P785" t="s">
        <v>20</v>
      </c>
      <c r="Q785" t="s">
        <v>1262</v>
      </c>
      <c r="R785" t="s">
        <v>20</v>
      </c>
      <c r="S785" t="str">
        <f>HYPERLINK("https://cfpub.epa.gov/ecotox/explore.cfm?ncbi=237433","Explore in ECOTOX")</f>
        <v>Explore in ECOTOX</v>
      </c>
    </row>
    <row r="786" spans="1:19" x14ac:dyDescent="0.25">
      <c r="A786">
        <v>6</v>
      </c>
      <c r="B786" t="str">
        <f>HYPERLINK("http://www.ncbi.nlm.nih.gov/protein/QNJ34170.1","QNJ34170.1")</f>
        <v>QNJ34170.1</v>
      </c>
      <c r="C786">
        <v>192</v>
      </c>
      <c r="D786" t="str">
        <f>HYPERLINK("http://www.ncbi.nlm.nih.gov/Taxonomy/Browser/wwwtax.cgi?mode=Info&amp;id=80970&amp;lvl=3&amp;lin=f&amp;keep=1&amp;srchmode=1&amp;unlock","80970")</f>
        <v>80970</v>
      </c>
      <c r="E786" t="s">
        <v>384</v>
      </c>
      <c r="F786" t="s">
        <v>384</v>
      </c>
      <c r="G786" t="str">
        <f>HYPERLINK("http://www.ncbi.nlm.nih.gov/Taxonomy/Browser/wwwtax.cgi?mode=Info&amp;id=80970&amp;lvl=3&amp;lin=f&amp;keep=1&amp;srchmode=1&amp;unlock","Amphiprion clarkii")</f>
        <v>Amphiprion clarkii</v>
      </c>
      <c r="H786" t="s">
        <v>1048</v>
      </c>
      <c r="I786" t="str">
        <f>HYPERLINK("http://www.ncbi.nlm.nih.gov/protein/QNJ34170.1","glucocorticoid receptor 2")</f>
        <v>glucocorticoid receptor 2</v>
      </c>
      <c r="J786" t="s">
        <v>1261</v>
      </c>
      <c r="K786">
        <v>265.77</v>
      </c>
      <c r="L786" t="s">
        <v>25</v>
      </c>
      <c r="M786">
        <v>157</v>
      </c>
      <c r="N786">
        <v>62.55</v>
      </c>
      <c r="O786">
        <v>51.68</v>
      </c>
      <c r="P786" t="s">
        <v>20</v>
      </c>
      <c r="Q786" t="s">
        <v>1262</v>
      </c>
      <c r="R786" t="s">
        <v>20</v>
      </c>
      <c r="S786" t="str">
        <f>HYPERLINK("https://cfpub.epa.gov/ecotox/explore.cfm?ncbi=80970","Explore in ECOTOX")</f>
        <v>Explore in ECOTOX</v>
      </c>
    </row>
    <row r="787" spans="1:19" x14ac:dyDescent="0.25">
      <c r="A787">
        <v>6</v>
      </c>
      <c r="B787" t="str">
        <f>HYPERLINK("http://www.ncbi.nlm.nih.gov/protein/NXR46790.1","NXR46790.1")</f>
        <v>NXR46790.1</v>
      </c>
      <c r="C787">
        <v>13717</v>
      </c>
      <c r="D787" t="str">
        <f>HYPERLINK("http://www.ncbi.nlm.nih.gov/Taxonomy/Browser/wwwtax.cgi?mode=Info&amp;id=68497&amp;lvl=3&amp;lin=f&amp;keep=1&amp;srchmode=1&amp;unlock","68497")</f>
        <v>68497</v>
      </c>
      <c r="E787" t="s">
        <v>167</v>
      </c>
      <c r="F787" t="s">
        <v>167</v>
      </c>
      <c r="G787" t="str">
        <f>HYPERLINK("http://www.ncbi.nlm.nih.gov/Taxonomy/Browser/wwwtax.cgi?mode=Info&amp;id=68497&amp;lvl=3&amp;lin=f&amp;keep=1&amp;srchmode=1&amp;unlock","Hippolais icterina")</f>
        <v>Hippolais icterina</v>
      </c>
      <c r="H787" t="s">
        <v>440</v>
      </c>
      <c r="I787" t="str">
        <f>HYPERLINK("http://www.ncbi.nlm.nih.gov/protein/NXR46790.1","GCR protein")</f>
        <v>GCR protein</v>
      </c>
      <c r="J787" t="s">
        <v>1261</v>
      </c>
      <c r="K787">
        <v>265.39</v>
      </c>
      <c r="L787" t="s">
        <v>25</v>
      </c>
      <c r="M787">
        <v>157</v>
      </c>
      <c r="N787">
        <v>62.55</v>
      </c>
      <c r="O787">
        <v>51.61</v>
      </c>
      <c r="P787" t="s">
        <v>20</v>
      </c>
      <c r="Q787" t="s">
        <v>1262</v>
      </c>
      <c r="R787" t="s">
        <v>20</v>
      </c>
      <c r="S787" t="str">
        <f>HYPERLINK("https://cfpub.epa.gov/ecotox/explore.cfm?ncbi=68497","Explore in ECOTOX")</f>
        <v>Explore in ECOTOX</v>
      </c>
    </row>
    <row r="788" spans="1:19" x14ac:dyDescent="0.25">
      <c r="A788">
        <v>6</v>
      </c>
      <c r="B788" t="str">
        <f>HYPERLINK("http://www.ncbi.nlm.nih.gov/protein/NXQ12317.1","NXQ12317.1")</f>
        <v>NXQ12317.1</v>
      </c>
      <c r="C788">
        <v>13701</v>
      </c>
      <c r="D788" t="str">
        <f>HYPERLINK("http://www.ncbi.nlm.nih.gov/Taxonomy/Browser/wwwtax.cgi?mode=Info&amp;id=135441&amp;lvl=3&amp;lin=f&amp;keep=1&amp;srchmode=1&amp;unlock","135441")</f>
        <v>135441</v>
      </c>
      <c r="E788" t="s">
        <v>167</v>
      </c>
      <c r="F788" t="s">
        <v>167</v>
      </c>
      <c r="G788" t="str">
        <f>HYPERLINK("http://www.ncbi.nlm.nih.gov/Taxonomy/Browser/wwwtax.cgi?mode=Info&amp;id=135441&amp;lvl=3&amp;lin=f&amp;keep=1&amp;srchmode=1&amp;unlock","Peucedramus taeniatus")</f>
        <v>Peucedramus taeniatus</v>
      </c>
      <c r="H788" t="s">
        <v>496</v>
      </c>
      <c r="I788" t="str">
        <f>HYPERLINK("http://www.ncbi.nlm.nih.gov/protein/NXQ12317.1","GCR protein")</f>
        <v>GCR protein</v>
      </c>
      <c r="J788" t="s">
        <v>1261</v>
      </c>
      <c r="K788">
        <v>265.39</v>
      </c>
      <c r="L788" t="s">
        <v>25</v>
      </c>
      <c r="M788">
        <v>157</v>
      </c>
      <c r="N788">
        <v>62.55</v>
      </c>
      <c r="O788">
        <v>51.61</v>
      </c>
      <c r="P788" t="s">
        <v>20</v>
      </c>
      <c r="Q788" t="s">
        <v>1262</v>
      </c>
      <c r="R788" t="s">
        <v>20</v>
      </c>
      <c r="S788" t="str">
        <f>HYPERLINK("https://cfpub.epa.gov/ecotox/explore.cfm?ncbi=135441","Explore in ECOTOX")</f>
        <v>Explore in ECOTOX</v>
      </c>
    </row>
    <row r="789" spans="1:19" x14ac:dyDescent="0.25">
      <c r="A789">
        <v>6</v>
      </c>
      <c r="B789" t="str">
        <f>HYPERLINK("http://www.ncbi.nlm.nih.gov/protein/QMX78391.1","QMX78391.1")</f>
        <v>QMX78391.1</v>
      </c>
      <c r="C789">
        <v>367</v>
      </c>
      <c r="D789" t="str">
        <f>HYPERLINK("http://www.ncbi.nlm.nih.gov/Taxonomy/Browser/wwwtax.cgi?mode=Info&amp;id=75038&amp;lvl=3&amp;lin=f&amp;keep=1&amp;srchmode=1&amp;unlock","75038")</f>
        <v>75038</v>
      </c>
      <c r="E789" t="s">
        <v>384</v>
      </c>
      <c r="F789" t="s">
        <v>384</v>
      </c>
      <c r="G789" t="str">
        <f>HYPERLINK("http://www.ncbi.nlm.nih.gov/Taxonomy/Browser/wwwtax.cgi?mode=Info&amp;id=75038&amp;lvl=3&amp;lin=f&amp;keep=1&amp;srchmode=1&amp;unlock","Scatophagus argus")</f>
        <v>Scatophagus argus</v>
      </c>
      <c r="H789" t="s">
        <v>1043</v>
      </c>
      <c r="I789" t="str">
        <f>HYPERLINK("http://www.ncbi.nlm.nih.gov/protein/QMX78391.1","GR")</f>
        <v>GR</v>
      </c>
      <c r="J789" t="s">
        <v>1261</v>
      </c>
      <c r="K789">
        <v>265.39</v>
      </c>
      <c r="L789" t="s">
        <v>25</v>
      </c>
      <c r="M789">
        <v>157</v>
      </c>
      <c r="N789">
        <v>62.55</v>
      </c>
      <c r="O789">
        <v>51.61</v>
      </c>
      <c r="P789" t="s">
        <v>20</v>
      </c>
      <c r="Q789" t="s">
        <v>1262</v>
      </c>
      <c r="R789" t="s">
        <v>20</v>
      </c>
      <c r="S789" t="str">
        <f>HYPERLINK("https://cfpub.epa.gov/ecotox/explore.cfm?ncbi=75038","Explore in ECOTOX")</f>
        <v>Explore in ECOTOX</v>
      </c>
    </row>
    <row r="790" spans="1:19" x14ac:dyDescent="0.25">
      <c r="A790">
        <v>6</v>
      </c>
      <c r="B790" t="str">
        <f>HYPERLINK("http://www.ncbi.nlm.nih.gov/protein/NWQ47357.1","NWQ47357.1")</f>
        <v>NWQ47357.1</v>
      </c>
      <c r="C790">
        <v>14102</v>
      </c>
      <c r="D790" t="str">
        <f>HYPERLINK("http://www.ncbi.nlm.nih.gov/Taxonomy/Browser/wwwtax.cgi?mode=Info&amp;id=44397&amp;lvl=3&amp;lin=f&amp;keep=1&amp;srchmode=1&amp;unlock","44397")</f>
        <v>44397</v>
      </c>
      <c r="E790" t="s">
        <v>167</v>
      </c>
      <c r="F790" t="s">
        <v>167</v>
      </c>
      <c r="G790" t="str">
        <f>HYPERLINK("http://www.ncbi.nlm.nih.gov/Taxonomy/Browser/wwwtax.cgi?mode=Info&amp;id=44397&amp;lvl=3&amp;lin=f&amp;keep=1&amp;srchmode=1&amp;unlock","Melospiza melodia")</f>
        <v>Melospiza melodia</v>
      </c>
      <c r="H790" t="s">
        <v>380</v>
      </c>
      <c r="I790" t="str">
        <f>HYPERLINK("http://www.ncbi.nlm.nih.gov/protein/NWQ47357.1","GCR protein")</f>
        <v>GCR protein</v>
      </c>
      <c r="J790" t="s">
        <v>1261</v>
      </c>
      <c r="K790">
        <v>265.39</v>
      </c>
      <c r="L790" t="s">
        <v>25</v>
      </c>
      <c r="M790">
        <v>157</v>
      </c>
      <c r="N790">
        <v>62.55</v>
      </c>
      <c r="O790">
        <v>51.61</v>
      </c>
      <c r="P790" t="s">
        <v>20</v>
      </c>
      <c r="Q790" t="s">
        <v>1262</v>
      </c>
      <c r="R790" t="s">
        <v>20</v>
      </c>
      <c r="S790" t="str">
        <f>HYPERLINK("https://cfpub.epa.gov/ecotox/explore.cfm?ncbi=44397","Explore in ECOTOX")</f>
        <v>Explore in ECOTOX</v>
      </c>
    </row>
    <row r="791" spans="1:19" x14ac:dyDescent="0.25">
      <c r="A791">
        <v>6</v>
      </c>
      <c r="B791" t="str">
        <f>HYPERLINK("http://www.ncbi.nlm.nih.gov/protein/NXR79433.1","NXR79433.1")</f>
        <v>NXR79433.1</v>
      </c>
      <c r="C791">
        <v>13978</v>
      </c>
      <c r="D791" t="str">
        <f>HYPERLINK("http://www.ncbi.nlm.nih.gov/Taxonomy/Browser/wwwtax.cgi?mode=Info&amp;id=182897&amp;lvl=3&amp;lin=f&amp;keep=1&amp;srchmode=1&amp;unlock","182897")</f>
        <v>182897</v>
      </c>
      <c r="E791" t="s">
        <v>167</v>
      </c>
      <c r="F791" t="s">
        <v>167</v>
      </c>
      <c r="G791" t="str">
        <f>HYPERLINK("http://www.ncbi.nlm.nih.gov/Taxonomy/Browser/wwwtax.cgi?mode=Info&amp;id=182897&amp;lvl=3&amp;lin=f&amp;keep=1&amp;srchmode=1&amp;unlock","Pycnonotus jocosus")</f>
        <v>Pycnonotus jocosus</v>
      </c>
      <c r="H791" t="s">
        <v>464</v>
      </c>
      <c r="I791" t="str">
        <f>HYPERLINK("http://www.ncbi.nlm.nih.gov/protein/NXR79433.1","GCR protein")</f>
        <v>GCR protein</v>
      </c>
      <c r="J791" t="s">
        <v>1261</v>
      </c>
      <c r="K791">
        <v>265.39</v>
      </c>
      <c r="L791" t="s">
        <v>25</v>
      </c>
      <c r="M791">
        <v>157</v>
      </c>
      <c r="N791">
        <v>62.55</v>
      </c>
      <c r="O791">
        <v>51.61</v>
      </c>
      <c r="P791" t="s">
        <v>20</v>
      </c>
      <c r="Q791" t="s">
        <v>1262</v>
      </c>
      <c r="R791" t="s">
        <v>20</v>
      </c>
      <c r="S791" t="str">
        <f>HYPERLINK("https://cfpub.epa.gov/ecotox/explore.cfm?ncbi=182897","Explore in ECOTOX")</f>
        <v>Explore in ECOTOX</v>
      </c>
    </row>
    <row r="792" spans="1:19" x14ac:dyDescent="0.25">
      <c r="A792">
        <v>6</v>
      </c>
      <c r="B792" t="str">
        <f>HYPERLINK("http://www.ncbi.nlm.nih.gov/protein/NWU40586.1","NWU40586.1")</f>
        <v>NWU40586.1</v>
      </c>
      <c r="C792">
        <v>13565</v>
      </c>
      <c r="D792" t="str">
        <f>HYPERLINK("http://www.ncbi.nlm.nih.gov/Taxonomy/Browser/wwwtax.cgi?mode=Info&amp;id=208073&amp;lvl=3&amp;lin=f&amp;keep=1&amp;srchmode=1&amp;unlock","208073")</f>
        <v>208073</v>
      </c>
      <c r="E792" t="s">
        <v>167</v>
      </c>
      <c r="F792" t="s">
        <v>167</v>
      </c>
      <c r="G792" t="str">
        <f>HYPERLINK("http://www.ncbi.nlm.nih.gov/Taxonomy/Browser/wwwtax.cgi?mode=Info&amp;id=208073&amp;lvl=3&amp;lin=f&amp;keep=1&amp;srchmode=1&amp;unlock","Hylia prasina")</f>
        <v>Hylia prasina</v>
      </c>
      <c r="H792" t="s">
        <v>486</v>
      </c>
      <c r="I792" t="str">
        <f>HYPERLINK("http://www.ncbi.nlm.nih.gov/protein/NWU40586.1","GCR protein")</f>
        <v>GCR protein</v>
      </c>
      <c r="J792" t="s">
        <v>1261</v>
      </c>
      <c r="K792">
        <v>265.39</v>
      </c>
      <c r="L792" t="s">
        <v>25</v>
      </c>
      <c r="M792">
        <v>157</v>
      </c>
      <c r="N792">
        <v>62.55</v>
      </c>
      <c r="O792">
        <v>51.61</v>
      </c>
      <c r="P792" t="s">
        <v>20</v>
      </c>
      <c r="Q792" t="s">
        <v>1262</v>
      </c>
      <c r="R792" t="s">
        <v>20</v>
      </c>
      <c r="S792" t="str">
        <f>HYPERLINK("https://cfpub.epa.gov/ecotox/explore.cfm?ncbi=208073","Explore in ECOTOX")</f>
        <v>Explore in ECOTOX</v>
      </c>
    </row>
    <row r="793" spans="1:19" x14ac:dyDescent="0.25">
      <c r="A793">
        <v>6</v>
      </c>
      <c r="B793" t="str">
        <f>HYPERLINK("http://www.ncbi.nlm.nih.gov/protein/KFP48421.1","KFP48421.1")</f>
        <v>KFP48421.1</v>
      </c>
      <c r="C793">
        <v>11460</v>
      </c>
      <c r="D793" t="str">
        <f>HYPERLINK("http://www.ncbi.nlm.nih.gov/Taxonomy/Browser/wwwtax.cgi?mode=Info&amp;id=43455&amp;lvl=3&amp;lin=f&amp;keep=1&amp;srchmode=1&amp;unlock","43455")</f>
        <v>43455</v>
      </c>
      <c r="E793" t="s">
        <v>167</v>
      </c>
      <c r="F793" t="s">
        <v>167</v>
      </c>
      <c r="G793" t="str">
        <f>HYPERLINK("http://www.ncbi.nlm.nih.gov/Taxonomy/Browser/wwwtax.cgi?mode=Info&amp;id=43455&amp;lvl=3&amp;lin=f&amp;keep=1&amp;srchmode=1&amp;unlock","Cathartes aura")</f>
        <v>Cathartes aura</v>
      </c>
      <c r="H793" t="s">
        <v>207</v>
      </c>
      <c r="I793" t="str">
        <f>HYPERLINK("http://www.ncbi.nlm.nih.gov/protein/KFP48421.1","Glucocorticoid receptor")</f>
        <v>Glucocorticoid receptor</v>
      </c>
      <c r="J793" t="s">
        <v>1261</v>
      </c>
      <c r="K793">
        <v>265</v>
      </c>
      <c r="L793" t="s">
        <v>25</v>
      </c>
      <c r="M793">
        <v>157</v>
      </c>
      <c r="N793">
        <v>62.55</v>
      </c>
      <c r="O793">
        <v>51.53</v>
      </c>
      <c r="P793" t="s">
        <v>20</v>
      </c>
      <c r="Q793" t="s">
        <v>1262</v>
      </c>
      <c r="R793" t="s">
        <v>20</v>
      </c>
      <c r="S793" t="str">
        <f>HYPERLINK("https://cfpub.epa.gov/ecotox/explore.cfm?ncbi=43455","Explore in ECOTOX")</f>
        <v>Explore in ECOTOX</v>
      </c>
    </row>
    <row r="794" spans="1:19" x14ac:dyDescent="0.25">
      <c r="A794">
        <v>6</v>
      </c>
      <c r="B794" t="str">
        <f>HYPERLINK("http://www.ncbi.nlm.nih.gov/protein/AAK01303.1","AAK01303.1")</f>
        <v>AAK01303.1</v>
      </c>
      <c r="C794">
        <v>447</v>
      </c>
      <c r="D794" t="str">
        <f>HYPERLINK("http://www.ncbi.nlm.nih.gov/Taxonomy/Browser/wwwtax.cgi?mode=Info&amp;id=9521&amp;lvl=3&amp;lin=f&amp;keep=1&amp;srchmode=1&amp;unlock","9521")</f>
        <v>9521</v>
      </c>
      <c r="E794" t="s">
        <v>18</v>
      </c>
      <c r="F794" t="s">
        <v>18</v>
      </c>
      <c r="G794" t="str">
        <f>HYPERLINK("http://www.ncbi.nlm.nih.gov/Taxonomy/Browser/wwwtax.cgi?mode=Info&amp;id=9521&amp;lvl=3&amp;lin=f&amp;keep=1&amp;srchmode=1&amp;unlock","Saimiri sciureus")</f>
        <v>Saimiri sciureus</v>
      </c>
      <c r="H794" t="s">
        <v>1045</v>
      </c>
      <c r="I794" t="str">
        <f>HYPERLINK("http://www.ncbi.nlm.nih.gov/protein/AAK01303.1","glucocorticoid receptor")</f>
        <v>glucocorticoid receptor</v>
      </c>
      <c r="J794" t="s">
        <v>1261</v>
      </c>
      <c r="K794">
        <v>264.62</v>
      </c>
      <c r="L794" t="s">
        <v>25</v>
      </c>
      <c r="M794">
        <v>157</v>
      </c>
      <c r="N794">
        <v>62.55</v>
      </c>
      <c r="O794">
        <v>51.46</v>
      </c>
      <c r="P794" t="s">
        <v>20</v>
      </c>
      <c r="Q794" t="s">
        <v>1262</v>
      </c>
      <c r="R794" t="s">
        <v>20</v>
      </c>
      <c r="S794" t="str">
        <f>HYPERLINK("https://cfpub.epa.gov/ecotox/explore.cfm?ncbi=9521","Explore in ECOTOX")</f>
        <v>Explore in ECOTOX</v>
      </c>
    </row>
    <row r="795" spans="1:19" x14ac:dyDescent="0.25">
      <c r="A795">
        <v>6</v>
      </c>
      <c r="B795" t="str">
        <f>HYPERLINK("http://www.ncbi.nlm.nih.gov/protein/ADZ24980.1","ADZ24980.1")</f>
        <v>ADZ24980.1</v>
      </c>
      <c r="C795">
        <v>144</v>
      </c>
      <c r="D795" t="str">
        <f>HYPERLINK("http://www.ncbi.nlm.nih.gov/Taxonomy/Browser/wwwtax.cgi?mode=Info&amp;id=291360&amp;lvl=3&amp;lin=f&amp;keep=1&amp;srchmode=1&amp;unlock","291360")</f>
        <v>291360</v>
      </c>
      <c r="E795" t="s">
        <v>384</v>
      </c>
      <c r="F795" t="s">
        <v>384</v>
      </c>
      <c r="G795" t="str">
        <f>HYPERLINK("http://www.ncbi.nlm.nih.gov/Taxonomy/Browser/wwwtax.cgi?mode=Info&amp;id=291360&amp;lvl=3&amp;lin=f&amp;keep=1&amp;srchmode=1&amp;unlock","Oryzias dancena")</f>
        <v>Oryzias dancena</v>
      </c>
      <c r="H795" t="s">
        <v>1050</v>
      </c>
      <c r="I795" t="str">
        <f>HYPERLINK("http://www.ncbi.nlm.nih.gov/protein/ADZ24980.1","glucocorticoid receptor 2")</f>
        <v>glucocorticoid receptor 2</v>
      </c>
      <c r="J795" t="s">
        <v>1261</v>
      </c>
      <c r="K795">
        <v>264.62</v>
      </c>
      <c r="L795" t="s">
        <v>25</v>
      </c>
      <c r="M795">
        <v>157</v>
      </c>
      <c r="N795">
        <v>62.55</v>
      </c>
      <c r="O795">
        <v>51.46</v>
      </c>
      <c r="P795" t="s">
        <v>20</v>
      </c>
      <c r="Q795" t="s">
        <v>1262</v>
      </c>
      <c r="R795" t="s">
        <v>20</v>
      </c>
      <c r="S795" t="str">
        <f>HYPERLINK("https://cfpub.epa.gov/ecotox/explore.cfm?ncbi=291360","Explore in ECOTOX")</f>
        <v>Explore in ECOTOX</v>
      </c>
    </row>
    <row r="796" spans="1:19" x14ac:dyDescent="0.25">
      <c r="A796">
        <v>6</v>
      </c>
      <c r="B796" t="str">
        <f>HYPERLINK("http://www.ncbi.nlm.nih.gov/protein/KAF5913336.1","KAF5913336.1")</f>
        <v>KAF5913336.1</v>
      </c>
      <c r="C796">
        <v>19611</v>
      </c>
      <c r="D796" t="str">
        <f>HYPERLINK("http://www.ncbi.nlm.nih.gov/Taxonomy/Browser/wwwtax.cgi?mode=Info&amp;id=77932&amp;lvl=3&amp;lin=f&amp;keep=1&amp;srchmode=1&amp;unlock","77932")</f>
        <v>77932</v>
      </c>
      <c r="E796" t="s">
        <v>18</v>
      </c>
      <c r="F796" t="s">
        <v>18</v>
      </c>
      <c r="G796" t="str">
        <f>HYPERLINK("http://www.ncbi.nlm.nih.gov/Taxonomy/Browser/wwwtax.cgi?mode=Info&amp;id=77932&amp;lvl=3&amp;lin=f&amp;keep=1&amp;srchmode=1&amp;unlock","Diceros bicornis minor")</f>
        <v>Diceros bicornis minor</v>
      </c>
      <c r="H796" t="s">
        <v>517</v>
      </c>
      <c r="I796" t="str">
        <f>HYPERLINK("http://www.ncbi.nlm.nih.gov/protein/KAF5913336.1","hypothetical protein HPG69_016952")</f>
        <v>hypothetical protein HPG69_016952</v>
      </c>
      <c r="J796" t="s">
        <v>1261</v>
      </c>
      <c r="K796">
        <v>263.85000000000002</v>
      </c>
      <c r="L796" t="s">
        <v>25</v>
      </c>
      <c r="M796">
        <v>157</v>
      </c>
      <c r="N796">
        <v>62.55</v>
      </c>
      <c r="O796">
        <v>51.31</v>
      </c>
      <c r="P796" t="s">
        <v>20</v>
      </c>
      <c r="Q796" t="s">
        <v>1262</v>
      </c>
      <c r="R796" t="s">
        <v>20</v>
      </c>
      <c r="S796" t="str">
        <f>HYPERLINK("https://cfpub.epa.gov/ecotox/explore.cfm?ncbi=77932","Explore in ECOTOX")</f>
        <v>Explore in ECOTOX</v>
      </c>
    </row>
    <row r="797" spans="1:19" x14ac:dyDescent="0.25">
      <c r="A797">
        <v>6</v>
      </c>
      <c r="B797" t="str">
        <f>HYPERLINK("http://www.ncbi.nlm.nih.gov/protein/P79269.1","P79269.1")</f>
        <v>P79269.1</v>
      </c>
      <c r="C797">
        <v>435</v>
      </c>
      <c r="D797" t="str">
        <f>HYPERLINK("http://www.ncbi.nlm.nih.gov/Taxonomy/Browser/wwwtax.cgi?mode=Info&amp;id=9490&amp;lvl=3&amp;lin=f&amp;keep=1&amp;srchmode=1&amp;unlock","9490")</f>
        <v>9490</v>
      </c>
      <c r="E797" t="s">
        <v>18</v>
      </c>
      <c r="F797" t="s">
        <v>18</v>
      </c>
      <c r="G797" t="str">
        <f>HYPERLINK("http://www.ncbi.nlm.nih.gov/Taxonomy/Browser/wwwtax.cgi?mode=Info&amp;id=9490&amp;lvl=3&amp;lin=f&amp;keep=1&amp;srchmode=1&amp;unlock","Saguinus oedipus")</f>
        <v>Saguinus oedipus</v>
      </c>
      <c r="H797" t="s">
        <v>1047</v>
      </c>
      <c r="I797" t="str">
        <f>HYPERLINK("http://www.ncbi.nlm.nih.gov/protein/P79269.1","RecName: Full=Glucocorticoid receptor; Short=GR; AltName: Full=Nuclear receptor subfamily 3 group C member 1")</f>
        <v>RecName: Full=Glucocorticoid receptor; Short=GR; AltName: Full=Nuclear receptor subfamily 3 group C member 1</v>
      </c>
      <c r="J797" t="s">
        <v>1261</v>
      </c>
      <c r="K797">
        <v>263.45999999999998</v>
      </c>
      <c r="L797" t="s">
        <v>25</v>
      </c>
      <c r="M797">
        <v>157</v>
      </c>
      <c r="N797">
        <v>62.55</v>
      </c>
      <c r="O797">
        <v>51.23</v>
      </c>
      <c r="P797" t="s">
        <v>20</v>
      </c>
      <c r="Q797" t="s">
        <v>1262</v>
      </c>
      <c r="R797" t="s">
        <v>20</v>
      </c>
      <c r="S797" t="str">
        <f>HYPERLINK("https://cfpub.epa.gov/ecotox/explore.cfm?ncbi=9490","Explore in ECOTOX")</f>
        <v>Explore in ECOTOX</v>
      </c>
    </row>
    <row r="798" spans="1:19" x14ac:dyDescent="0.25">
      <c r="A798">
        <v>6</v>
      </c>
      <c r="B798" t="str">
        <f>HYPERLINK("http://www.ncbi.nlm.nih.gov/protein/QBS13820.1","QBS13820.1")</f>
        <v>QBS13820.1</v>
      </c>
      <c r="C798">
        <v>356</v>
      </c>
      <c r="D798" t="str">
        <f>HYPERLINK("http://www.ncbi.nlm.nih.gov/Taxonomy/Browser/wwwtax.cgi?mode=Info&amp;id=61084&amp;lvl=3&amp;lin=f&amp;keep=1&amp;srchmode=1&amp;unlock","61084")</f>
        <v>61084</v>
      </c>
      <c r="E798" t="s">
        <v>384</v>
      </c>
      <c r="F798" t="s">
        <v>384</v>
      </c>
      <c r="G798" t="str">
        <f>HYPERLINK("http://www.ncbi.nlm.nih.gov/Taxonomy/Browser/wwwtax.cgi?mode=Info&amp;id=61084&amp;lvl=3&amp;lin=f&amp;keep=1&amp;srchmode=1&amp;unlock","Plecoglossus altivelis")</f>
        <v>Plecoglossus altivelis</v>
      </c>
      <c r="H798" t="s">
        <v>1056</v>
      </c>
      <c r="I798" t="str">
        <f>HYPERLINK("http://www.ncbi.nlm.nih.gov/protein/QBS13820.1","glucocorticoid receptor")</f>
        <v>glucocorticoid receptor</v>
      </c>
      <c r="J798" t="s">
        <v>1261</v>
      </c>
      <c r="K798">
        <v>263.45999999999998</v>
      </c>
      <c r="L798" t="s">
        <v>25</v>
      </c>
      <c r="M798">
        <v>157</v>
      </c>
      <c r="N798">
        <v>62.55</v>
      </c>
      <c r="O798">
        <v>51.23</v>
      </c>
      <c r="P798" t="s">
        <v>20</v>
      </c>
      <c r="Q798" t="s">
        <v>1262</v>
      </c>
      <c r="R798" t="s">
        <v>20</v>
      </c>
      <c r="S798" t="str">
        <f>HYPERLINK("https://cfpub.epa.gov/ecotox/explore.cfm?ncbi=61084","Explore in ECOTOX")</f>
        <v>Explore in ECOTOX</v>
      </c>
    </row>
    <row r="799" spans="1:19" x14ac:dyDescent="0.25">
      <c r="A799">
        <v>6</v>
      </c>
      <c r="B799" t="str">
        <f>HYPERLINK("http://www.ncbi.nlm.nih.gov/protein/ADI48099.1","ADI48099.1")</f>
        <v>ADI48099.1</v>
      </c>
      <c r="C799">
        <v>209</v>
      </c>
      <c r="D799" t="str">
        <f>HYPERLINK("http://www.ncbi.nlm.nih.gov/Taxonomy/Browser/wwwtax.cgi?mode=Info&amp;id=76340&amp;lvl=3&amp;lin=f&amp;keep=1&amp;srchmode=1&amp;unlock","76340")</f>
        <v>76340</v>
      </c>
      <c r="E799" t="s">
        <v>384</v>
      </c>
      <c r="F799" t="s">
        <v>384</v>
      </c>
      <c r="G799" t="str">
        <f>HYPERLINK("http://www.ncbi.nlm.nih.gov/Taxonomy/Browser/wwwtax.cgi?mode=Info&amp;id=76340&amp;lvl=3&amp;lin=f&amp;keep=1&amp;srchmode=1&amp;unlock","Sciaenops ocellatus")</f>
        <v>Sciaenops ocellatus</v>
      </c>
      <c r="H799" t="s">
        <v>1061</v>
      </c>
      <c r="I799" t="str">
        <f>HYPERLINK("http://www.ncbi.nlm.nih.gov/protein/ADI48099.1","glucocorticoid hormone receptor a long isoform")</f>
        <v>glucocorticoid hormone receptor a long isoform</v>
      </c>
      <c r="J799" t="s">
        <v>1261</v>
      </c>
      <c r="K799">
        <v>263.45999999999998</v>
      </c>
      <c r="L799" t="s">
        <v>25</v>
      </c>
      <c r="M799">
        <v>157</v>
      </c>
      <c r="N799">
        <v>62.55</v>
      </c>
      <c r="O799">
        <v>51.23</v>
      </c>
      <c r="P799" t="s">
        <v>20</v>
      </c>
      <c r="Q799" t="s">
        <v>1262</v>
      </c>
      <c r="R799" t="s">
        <v>20</v>
      </c>
      <c r="S799" t="str">
        <f>HYPERLINK("https://cfpub.epa.gov/ecotox/explore.cfm?ncbi=76340","Explore in ECOTOX")</f>
        <v>Explore in ECOTOX</v>
      </c>
    </row>
    <row r="800" spans="1:19" x14ac:dyDescent="0.25">
      <c r="A800">
        <v>6</v>
      </c>
      <c r="B800" t="str">
        <f>HYPERLINK("http://www.ncbi.nlm.nih.gov/protein/BAN57324.1","BAN57324.1")</f>
        <v>BAN57324.1</v>
      </c>
      <c r="C800">
        <v>540</v>
      </c>
      <c r="D800" t="str">
        <f>HYPERLINK("http://www.ncbi.nlm.nih.gov/Taxonomy/Browser/wwwtax.cgi?mode=Info&amp;id=8127&amp;lvl=3&amp;lin=f&amp;keep=1&amp;srchmode=1&amp;unlock","8127")</f>
        <v>8127</v>
      </c>
      <c r="E800" t="s">
        <v>384</v>
      </c>
      <c r="F800" t="s">
        <v>384</v>
      </c>
      <c r="G800" t="str">
        <f>HYPERLINK("http://www.ncbi.nlm.nih.gov/Taxonomy/Browser/wwwtax.cgi?mode=Info&amp;id=8127&amp;lvl=3&amp;lin=f&amp;keep=1&amp;srchmode=1&amp;unlock","Oreochromis mossambicus")</f>
        <v>Oreochromis mossambicus</v>
      </c>
      <c r="H800" t="s">
        <v>1051</v>
      </c>
      <c r="I800" t="str">
        <f>HYPERLINK("http://www.ncbi.nlm.nih.gov/protein/BAN57324.1","glucocorticoid receptor isoform 1")</f>
        <v>glucocorticoid receptor isoform 1</v>
      </c>
      <c r="J800" t="s">
        <v>1261</v>
      </c>
      <c r="K800">
        <v>263.08</v>
      </c>
      <c r="L800" t="s">
        <v>25</v>
      </c>
      <c r="M800">
        <v>157</v>
      </c>
      <c r="N800">
        <v>62.55</v>
      </c>
      <c r="O800">
        <v>51.16</v>
      </c>
      <c r="P800" t="s">
        <v>20</v>
      </c>
      <c r="Q800" t="s">
        <v>1262</v>
      </c>
      <c r="R800" t="s">
        <v>20</v>
      </c>
      <c r="S800" t="str">
        <f>HYPERLINK("https://cfpub.epa.gov/ecotox/explore.cfm?ncbi=8127","Explore in ECOTOX")</f>
        <v>Explore in ECOTOX</v>
      </c>
    </row>
    <row r="801" spans="1:19" x14ac:dyDescent="0.25">
      <c r="A801">
        <v>6</v>
      </c>
      <c r="B801" t="str">
        <f>HYPERLINK("http://www.ncbi.nlm.nih.gov/protein/ADE06402.1","ADE06402.1")</f>
        <v>ADE06402.1</v>
      </c>
      <c r="C801">
        <v>50</v>
      </c>
      <c r="D801" t="str">
        <f>HYPERLINK("http://www.ncbi.nlm.nih.gov/Taxonomy/Browser/wwwtax.cgi?mode=Info&amp;id=34787&amp;lvl=3&amp;lin=f&amp;keep=1&amp;srchmode=1&amp;unlock","34787")</f>
        <v>34787</v>
      </c>
      <c r="E801" t="s">
        <v>384</v>
      </c>
      <c r="F801" t="s">
        <v>384</v>
      </c>
      <c r="G801" t="str">
        <f>HYPERLINK("http://www.ncbi.nlm.nih.gov/Taxonomy/Browser/wwwtax.cgi?mode=Info&amp;id=34787&amp;lvl=3&amp;lin=f&amp;keep=1&amp;srchmode=1&amp;unlock","Tautogolabrus adspersus")</f>
        <v>Tautogolabrus adspersus</v>
      </c>
      <c r="H801" t="s">
        <v>1052</v>
      </c>
      <c r="I801" t="str">
        <f>HYPERLINK("http://www.ncbi.nlm.nih.gov/protein/ADE06402.1","glucocorticoid receptor")</f>
        <v>glucocorticoid receptor</v>
      </c>
      <c r="J801" t="s">
        <v>1261</v>
      </c>
      <c r="K801">
        <v>261.92</v>
      </c>
      <c r="L801" t="s">
        <v>25</v>
      </c>
      <c r="M801">
        <v>157</v>
      </c>
      <c r="N801">
        <v>62.55</v>
      </c>
      <c r="O801">
        <v>50.94</v>
      </c>
      <c r="P801" t="s">
        <v>20</v>
      </c>
      <c r="Q801" t="s">
        <v>1262</v>
      </c>
      <c r="R801" t="s">
        <v>20</v>
      </c>
      <c r="S801" t="str">
        <f>HYPERLINK("https://cfpub.epa.gov/ecotox/explore.cfm?ncbi=34787","Explore in ECOTOX")</f>
        <v>Explore in ECOTOX</v>
      </c>
    </row>
    <row r="802" spans="1:19" x14ac:dyDescent="0.25">
      <c r="A802">
        <v>6</v>
      </c>
      <c r="B802" t="str">
        <f>HYPERLINK("http://www.ncbi.nlm.nih.gov/protein/Q95267.1","Q95267.1")</f>
        <v>Q95267.1</v>
      </c>
      <c r="C802">
        <v>374</v>
      </c>
      <c r="D802" t="str">
        <f>HYPERLINK("http://www.ncbi.nlm.nih.gov/Taxonomy/Browser/wwwtax.cgi?mode=Info&amp;id=37347&amp;lvl=3&amp;lin=f&amp;keep=1&amp;srchmode=1&amp;unlock","37347")</f>
        <v>37347</v>
      </c>
      <c r="E802" t="s">
        <v>18</v>
      </c>
      <c r="F802" t="s">
        <v>18</v>
      </c>
      <c r="G802" t="str">
        <f>HYPERLINK("http://www.ncbi.nlm.nih.gov/Taxonomy/Browser/wwwtax.cgi?mode=Info&amp;id=37347&amp;lvl=3&amp;lin=f&amp;keep=1&amp;srchmode=1&amp;unlock","Tupaia belangeri")</f>
        <v>Tupaia belangeri</v>
      </c>
      <c r="H802" t="s">
        <v>1049</v>
      </c>
      <c r="I802" t="str">
        <f>HYPERLINK("http://www.ncbi.nlm.nih.gov/protein/Q95267.1","RecName: Full=Glucocorticoid receptor; Short=GR; AltName: Full=Nuclear receptor subfamily 3 group C member 1")</f>
        <v>RecName: Full=Glucocorticoid receptor; Short=GR; AltName: Full=Nuclear receptor subfamily 3 group C member 1</v>
      </c>
      <c r="J802" t="s">
        <v>1261</v>
      </c>
      <c r="K802">
        <v>261.14999999999998</v>
      </c>
      <c r="L802" t="s">
        <v>25</v>
      </c>
      <c r="M802">
        <v>157</v>
      </c>
      <c r="N802">
        <v>62.55</v>
      </c>
      <c r="O802">
        <v>50.79</v>
      </c>
      <c r="P802" t="s">
        <v>20</v>
      </c>
      <c r="Q802" t="s">
        <v>1262</v>
      </c>
      <c r="R802" t="s">
        <v>20</v>
      </c>
      <c r="S802" t="str">
        <f>HYPERLINK("https://cfpub.epa.gov/ecotox/explore.cfm?ncbi=37347","Explore in ECOTOX")</f>
        <v>Explore in ECOTOX</v>
      </c>
    </row>
    <row r="803" spans="1:19" x14ac:dyDescent="0.25">
      <c r="A803">
        <v>6</v>
      </c>
      <c r="B803" t="str">
        <f>HYPERLINK("http://www.ncbi.nlm.nih.gov/protein/AJO68025.1","AJO68025.1")</f>
        <v>AJO68025.1</v>
      </c>
      <c r="C803">
        <v>232</v>
      </c>
      <c r="D803" t="str">
        <f>HYPERLINK("http://www.ncbi.nlm.nih.gov/Taxonomy/Browser/wwwtax.cgi?mode=Info&amp;id=365059&amp;lvl=3&amp;lin=f&amp;keep=1&amp;srchmode=1&amp;unlock","365059")</f>
        <v>365059</v>
      </c>
      <c r="E803" t="s">
        <v>384</v>
      </c>
      <c r="F803" t="s">
        <v>384</v>
      </c>
      <c r="G803" t="str">
        <f>HYPERLINK("http://www.ncbi.nlm.nih.gov/Taxonomy/Browser/wwwtax.cgi?mode=Info&amp;id=365059&amp;lvl=3&amp;lin=f&amp;keep=1&amp;srchmode=1&amp;unlock","Coilia nasus")</f>
        <v>Coilia nasus</v>
      </c>
      <c r="H803" t="s">
        <v>1055</v>
      </c>
      <c r="I803" t="str">
        <f>HYPERLINK("http://www.ncbi.nlm.nih.gov/protein/AJO68025.1","glucocorticoid receptor")</f>
        <v>glucocorticoid receptor</v>
      </c>
      <c r="J803" t="s">
        <v>1261</v>
      </c>
      <c r="K803">
        <v>261.14999999999998</v>
      </c>
      <c r="L803" t="s">
        <v>25</v>
      </c>
      <c r="M803">
        <v>157</v>
      </c>
      <c r="N803">
        <v>62.55</v>
      </c>
      <c r="O803">
        <v>50.79</v>
      </c>
      <c r="P803" t="s">
        <v>20</v>
      </c>
      <c r="Q803" t="s">
        <v>1262</v>
      </c>
      <c r="R803" t="s">
        <v>20</v>
      </c>
      <c r="S803" t="str">
        <f>HYPERLINK("https://cfpub.epa.gov/ecotox/explore.cfm?ncbi=365059","Explore in ECOTOX")</f>
        <v>Explore in ECOTOX</v>
      </c>
    </row>
    <row r="804" spans="1:19" x14ac:dyDescent="0.25">
      <c r="A804">
        <v>6</v>
      </c>
      <c r="B804" t="str">
        <f>HYPERLINK("http://www.ncbi.nlm.nih.gov/protein/ADX07108.1","ADX07108.1")</f>
        <v>ADX07108.1</v>
      </c>
      <c r="C804">
        <v>164</v>
      </c>
      <c r="D804" t="str">
        <f>HYPERLINK("http://www.ncbi.nlm.nih.gov/Taxonomy/Browser/wwwtax.cgi?mode=Info&amp;id=219752&amp;lvl=3&amp;lin=f&amp;keep=1&amp;srchmode=1&amp;unlock","219752")</f>
        <v>219752</v>
      </c>
      <c r="E804" t="s">
        <v>384</v>
      </c>
      <c r="F804" t="s">
        <v>384</v>
      </c>
      <c r="G804" t="str">
        <f>HYPERLINK("http://www.ncbi.nlm.nih.gov/Taxonomy/Browser/wwwtax.cgi?mode=Info&amp;id=219752&amp;lvl=3&amp;lin=f&amp;keep=1&amp;srchmode=1&amp;unlock","Odontesthes bonariensis")</f>
        <v>Odontesthes bonariensis</v>
      </c>
      <c r="H804" t="s">
        <v>1054</v>
      </c>
      <c r="I804" t="str">
        <f>HYPERLINK("http://www.ncbi.nlm.nih.gov/protein/ADX07108.1","glucocorticoid receptor 1, partial")</f>
        <v>glucocorticoid receptor 1, partial</v>
      </c>
      <c r="J804" t="s">
        <v>1261</v>
      </c>
      <c r="K804">
        <v>260.77</v>
      </c>
      <c r="L804" t="s">
        <v>25</v>
      </c>
      <c r="M804">
        <v>157</v>
      </c>
      <c r="N804">
        <v>62.55</v>
      </c>
      <c r="O804">
        <v>50.71</v>
      </c>
      <c r="P804" t="s">
        <v>20</v>
      </c>
      <c r="Q804" t="s">
        <v>1262</v>
      </c>
      <c r="R804" t="s">
        <v>20</v>
      </c>
      <c r="S804" t="str">
        <f>HYPERLINK("https://cfpub.epa.gov/ecotox/explore.cfm?ncbi=219752","Explore in ECOTOX")</f>
        <v>Explore in ECOTOX</v>
      </c>
    </row>
    <row r="805" spans="1:19" x14ac:dyDescent="0.25">
      <c r="A805">
        <v>6</v>
      </c>
      <c r="B805" t="str">
        <f>HYPERLINK("http://www.ncbi.nlm.nih.gov/protein/CEP28034.1","CEP28034.1")</f>
        <v>CEP28034.1</v>
      </c>
      <c r="C805">
        <v>52</v>
      </c>
      <c r="D805" t="str">
        <f>HYPERLINK("http://www.ncbi.nlm.nih.gov/Taxonomy/Browser/wwwtax.cgi?mode=Info&amp;id=674131&amp;lvl=3&amp;lin=f&amp;keep=1&amp;srchmode=1&amp;unlock","674131")</f>
        <v>674131</v>
      </c>
      <c r="E805" t="s">
        <v>384</v>
      </c>
      <c r="F805" t="s">
        <v>384</v>
      </c>
      <c r="G805" t="str">
        <f>HYPERLINK("http://www.ncbi.nlm.nih.gov/Taxonomy/Browser/wwwtax.cgi?mode=Info&amp;id=674131&amp;lvl=3&amp;lin=f&amp;keep=1&amp;srchmode=1&amp;unlock","Coregonus maraena")</f>
        <v>Coregonus maraena</v>
      </c>
      <c r="H805" t="s">
        <v>1057</v>
      </c>
      <c r="I805" t="str">
        <f>HYPERLINK("http://www.ncbi.nlm.nih.gov/protein/CEP28034.1","nuclear receptor subfamily 3, group C, member 1 (glucocorticoid receptor)")</f>
        <v>nuclear receptor subfamily 3, group C, member 1 (glucocorticoid receptor)</v>
      </c>
      <c r="J805" t="s">
        <v>1261</v>
      </c>
      <c r="K805">
        <v>260.77</v>
      </c>
      <c r="L805" t="s">
        <v>25</v>
      </c>
      <c r="M805">
        <v>157</v>
      </c>
      <c r="N805">
        <v>62.55</v>
      </c>
      <c r="O805">
        <v>50.71</v>
      </c>
      <c r="P805" t="s">
        <v>20</v>
      </c>
      <c r="Q805" t="s">
        <v>1262</v>
      </c>
      <c r="R805" t="s">
        <v>20</v>
      </c>
      <c r="S805" t="str">
        <f>HYPERLINK("https://cfpub.epa.gov/ecotox/explore.cfm?ncbi=674131","Explore in ECOTOX")</f>
        <v>Explore in ECOTOX</v>
      </c>
    </row>
    <row r="806" spans="1:19" x14ac:dyDescent="0.25">
      <c r="A806">
        <v>6</v>
      </c>
      <c r="B806" t="str">
        <f>HYPERLINK("http://www.ncbi.nlm.nih.gov/protein/AEX56589.1","AEX56589.1")</f>
        <v>AEX56589.1</v>
      </c>
      <c r="C806">
        <v>318</v>
      </c>
      <c r="D806" t="str">
        <f>HYPERLINK("http://www.ncbi.nlm.nih.gov/Taxonomy/Browser/wwwtax.cgi?mode=Info&amp;id=8260&amp;lvl=3&amp;lin=f&amp;keep=1&amp;srchmode=1&amp;unlock","8260")</f>
        <v>8260</v>
      </c>
      <c r="E806" t="s">
        <v>384</v>
      </c>
      <c r="F806" t="s">
        <v>384</v>
      </c>
      <c r="G806" t="str">
        <f>HYPERLINK("http://www.ncbi.nlm.nih.gov/Taxonomy/Browser/wwwtax.cgi?mode=Info&amp;id=8260&amp;lvl=3&amp;lin=f&amp;keep=1&amp;srchmode=1&amp;unlock","Platichthys flesus")</f>
        <v>Platichthys flesus</v>
      </c>
      <c r="H806" t="s">
        <v>671</v>
      </c>
      <c r="I806" t="str">
        <f>HYPERLINK("http://www.ncbi.nlm.nih.gov/protein/AEX56589.1","glucocorticoid receptor 2, partial")</f>
        <v>glucocorticoid receptor 2, partial</v>
      </c>
      <c r="J806" t="s">
        <v>1261</v>
      </c>
      <c r="K806">
        <v>260.38</v>
      </c>
      <c r="L806" t="s">
        <v>25</v>
      </c>
      <c r="M806">
        <v>157</v>
      </c>
      <c r="N806">
        <v>62.55</v>
      </c>
      <c r="O806">
        <v>50.64</v>
      </c>
      <c r="P806" t="s">
        <v>20</v>
      </c>
      <c r="Q806" t="s">
        <v>1262</v>
      </c>
      <c r="R806" t="s">
        <v>20</v>
      </c>
      <c r="S806" t="str">
        <f>HYPERLINK("https://cfpub.epa.gov/ecotox/explore.cfm?ncbi=8260","Explore in ECOTOX")</f>
        <v>Explore in ECOTOX</v>
      </c>
    </row>
    <row r="807" spans="1:19" x14ac:dyDescent="0.25">
      <c r="A807">
        <v>6</v>
      </c>
      <c r="B807" t="str">
        <f>HYPERLINK("http://www.ncbi.nlm.nih.gov/protein/KFZ57396.1","KFZ57396.1")</f>
        <v>KFZ57396.1</v>
      </c>
      <c r="C807">
        <v>11735</v>
      </c>
      <c r="D807" t="str">
        <f>HYPERLINK("http://www.ncbi.nlm.nih.gov/Taxonomy/Browser/wwwtax.cgi?mode=Info&amp;id=345573&amp;lvl=3&amp;lin=f&amp;keep=1&amp;srchmode=1&amp;unlock","345573")</f>
        <v>345573</v>
      </c>
      <c r="E807" t="s">
        <v>167</v>
      </c>
      <c r="F807" t="s">
        <v>167</v>
      </c>
      <c r="G807" t="str">
        <f>HYPERLINK("http://www.ncbi.nlm.nih.gov/Taxonomy/Browser/wwwtax.cgi?mode=Info&amp;id=345573&amp;lvl=3&amp;lin=f&amp;keep=1&amp;srchmode=1&amp;unlock","Podiceps cristatus")</f>
        <v>Podiceps cristatus</v>
      </c>
      <c r="H807" t="s">
        <v>274</v>
      </c>
      <c r="I807" t="str">
        <f>HYPERLINK("http://www.ncbi.nlm.nih.gov/protein/KFZ57396.1","Mineralocorticoid receptor, partial")</f>
        <v>Mineralocorticoid receptor, partial</v>
      </c>
      <c r="J807" t="s">
        <v>1261</v>
      </c>
      <c r="K807">
        <v>259.61</v>
      </c>
      <c r="L807" t="s">
        <v>25</v>
      </c>
      <c r="M807">
        <v>157</v>
      </c>
      <c r="N807">
        <v>62.55</v>
      </c>
      <c r="O807">
        <v>50.49</v>
      </c>
      <c r="P807" t="s">
        <v>20</v>
      </c>
      <c r="Q807" t="s">
        <v>1262</v>
      </c>
      <c r="R807" t="s">
        <v>20</v>
      </c>
      <c r="S807" t="str">
        <f>HYPERLINK("https://cfpub.epa.gov/ecotox/explore.cfm?ncbi=345573","Explore in ECOTOX")</f>
        <v>Explore in ECOTOX</v>
      </c>
    </row>
    <row r="808" spans="1:19" x14ac:dyDescent="0.25">
      <c r="A808">
        <v>6</v>
      </c>
      <c r="B808" t="str">
        <f>HYPERLINK("http://www.ncbi.nlm.nih.gov/protein/NXX21433.1","NXX21433.1")</f>
        <v>NXX21433.1</v>
      </c>
      <c r="C808">
        <v>14085</v>
      </c>
      <c r="D808" t="str">
        <f>HYPERLINK("http://www.ncbi.nlm.nih.gov/Taxonomy/Browser/wwwtax.cgi?mode=Info&amp;id=8905&amp;lvl=3&amp;lin=f&amp;keep=1&amp;srchmode=1&amp;unlock","8905")</f>
        <v>8905</v>
      </c>
      <c r="E808" t="s">
        <v>167</v>
      </c>
      <c r="F808" t="s">
        <v>167</v>
      </c>
      <c r="G808" t="str">
        <f>HYPERLINK("http://www.ncbi.nlm.nih.gov/Taxonomy/Browser/wwwtax.cgi?mode=Info&amp;id=8905&amp;lvl=3&amp;lin=f&amp;keep=1&amp;srchmode=1&amp;unlock","Podargus strigoides")</f>
        <v>Podargus strigoides</v>
      </c>
      <c r="H808" t="s">
        <v>308</v>
      </c>
      <c r="I808" t="str">
        <f>HYPERLINK("http://www.ncbi.nlm.nih.gov/protein/NXX21433.1","MCR protein")</f>
        <v>MCR protein</v>
      </c>
      <c r="J808" t="s">
        <v>1261</v>
      </c>
      <c r="K808">
        <v>259.61</v>
      </c>
      <c r="L808" t="s">
        <v>25</v>
      </c>
      <c r="M808">
        <v>157</v>
      </c>
      <c r="N808">
        <v>62.55</v>
      </c>
      <c r="O808">
        <v>50.49</v>
      </c>
      <c r="P808" t="s">
        <v>20</v>
      </c>
      <c r="Q808" t="s">
        <v>1262</v>
      </c>
      <c r="R808" t="s">
        <v>20</v>
      </c>
      <c r="S808" t="str">
        <f>HYPERLINK("https://cfpub.epa.gov/ecotox/explore.cfm?ncbi=8905","Explore in ECOTOX")</f>
        <v>Explore in ECOTOX</v>
      </c>
    </row>
    <row r="809" spans="1:19" x14ac:dyDescent="0.25">
      <c r="A809">
        <v>6</v>
      </c>
      <c r="B809" t="str">
        <f>HYPERLINK("http://www.ncbi.nlm.nih.gov/protein/NXG67289.1","NXG67289.1")</f>
        <v>NXG67289.1</v>
      </c>
      <c r="C809">
        <v>13817</v>
      </c>
      <c r="D809" t="str">
        <f>HYPERLINK("http://www.ncbi.nlm.nih.gov/Taxonomy/Browser/wwwtax.cgi?mode=Info&amp;id=243314&amp;lvl=3&amp;lin=f&amp;keep=1&amp;srchmode=1&amp;unlock","243314")</f>
        <v>243314</v>
      </c>
      <c r="E809" t="s">
        <v>167</v>
      </c>
      <c r="F809" t="s">
        <v>167</v>
      </c>
      <c r="G809" t="str">
        <f>HYPERLINK("http://www.ncbi.nlm.nih.gov/Taxonomy/Browser/wwwtax.cgi?mode=Info&amp;id=243314&amp;lvl=3&amp;lin=f&amp;keep=1&amp;srchmode=1&amp;unlock","Hemiprocne comata")</f>
        <v>Hemiprocne comata</v>
      </c>
      <c r="H809" t="s">
        <v>296</v>
      </c>
      <c r="I809" t="str">
        <f>HYPERLINK("http://www.ncbi.nlm.nih.gov/protein/NXG67289.1","MCR protein")</f>
        <v>MCR protein</v>
      </c>
      <c r="J809" t="s">
        <v>1261</v>
      </c>
      <c r="K809">
        <v>259.61</v>
      </c>
      <c r="L809" t="s">
        <v>25</v>
      </c>
      <c r="M809">
        <v>157</v>
      </c>
      <c r="N809">
        <v>62.55</v>
      </c>
      <c r="O809">
        <v>50.49</v>
      </c>
      <c r="P809" t="s">
        <v>20</v>
      </c>
      <c r="Q809" t="s">
        <v>1262</v>
      </c>
      <c r="R809" t="s">
        <v>20</v>
      </c>
      <c r="S809" t="str">
        <f>HYPERLINK("https://cfpub.epa.gov/ecotox/explore.cfm?ncbi=243314","Explore in ECOTOX")</f>
        <v>Explore in ECOTOX</v>
      </c>
    </row>
    <row r="810" spans="1:19" x14ac:dyDescent="0.25">
      <c r="A810">
        <v>6</v>
      </c>
      <c r="B810" t="str">
        <f>HYPERLINK("http://www.ncbi.nlm.nih.gov/protein/NXR13449.1","NXR13449.1")</f>
        <v>NXR13449.1</v>
      </c>
      <c r="C810">
        <v>10828</v>
      </c>
      <c r="D810" t="str">
        <f>HYPERLINK("http://www.ncbi.nlm.nih.gov/Taxonomy/Browser/wwwtax.cgi?mode=Info&amp;id=91796&amp;lvl=3&amp;lin=f&amp;keep=1&amp;srchmode=1&amp;unlock","91796")</f>
        <v>91796</v>
      </c>
      <c r="E810" t="s">
        <v>167</v>
      </c>
      <c r="F810" t="s">
        <v>167</v>
      </c>
      <c r="G810" t="str">
        <f>HYPERLINK("http://www.ncbi.nlm.nih.gov/Taxonomy/Browser/wwwtax.cgi?mode=Info&amp;id=91796&amp;lvl=3&amp;lin=f&amp;keep=1&amp;srchmode=1&amp;unlock","Semnornis frantzii")</f>
        <v>Semnornis frantzii</v>
      </c>
      <c r="H810" t="s">
        <v>262</v>
      </c>
      <c r="I810" t="str">
        <f>HYPERLINK("http://www.ncbi.nlm.nih.gov/protein/NXR13449.1","MCR protein")</f>
        <v>MCR protein</v>
      </c>
      <c r="J810" t="s">
        <v>1261</v>
      </c>
      <c r="K810">
        <v>259.61</v>
      </c>
      <c r="L810" t="s">
        <v>25</v>
      </c>
      <c r="M810">
        <v>157</v>
      </c>
      <c r="N810">
        <v>62.55</v>
      </c>
      <c r="O810">
        <v>50.49</v>
      </c>
      <c r="P810" t="s">
        <v>20</v>
      </c>
      <c r="Q810" t="s">
        <v>1262</v>
      </c>
      <c r="R810" t="s">
        <v>20</v>
      </c>
      <c r="S810" t="str">
        <f>HYPERLINK("https://cfpub.epa.gov/ecotox/explore.cfm?ncbi=91796","Explore in ECOTOX")</f>
        <v>Explore in ECOTOX</v>
      </c>
    </row>
    <row r="811" spans="1:19" x14ac:dyDescent="0.25">
      <c r="A811">
        <v>6</v>
      </c>
      <c r="B811" t="str">
        <f>HYPERLINK("http://www.ncbi.nlm.nih.gov/protein/NXR37265.1","NXR37265.1")</f>
        <v>NXR37265.1</v>
      </c>
      <c r="C811">
        <v>13732</v>
      </c>
      <c r="D811" t="str">
        <f>HYPERLINK("http://www.ncbi.nlm.nih.gov/Taxonomy/Browser/wwwtax.cgi?mode=Info&amp;id=2485327&amp;lvl=3&amp;lin=f&amp;keep=1&amp;srchmode=1&amp;unlock","2485327")</f>
        <v>2485327</v>
      </c>
      <c r="E811" t="s">
        <v>167</v>
      </c>
      <c r="F811" t="s">
        <v>167</v>
      </c>
      <c r="G811" t="str">
        <f>HYPERLINK("http://www.ncbi.nlm.nih.gov/Taxonomy/Browser/wwwtax.cgi?mode=Info&amp;id=2485327&amp;lvl=3&amp;lin=f&amp;keep=1&amp;srchmode=1&amp;unlock","Zosterops hypoxanthus")</f>
        <v>Zosterops hypoxanthus</v>
      </c>
      <c r="H811" t="s">
        <v>449</v>
      </c>
      <c r="I811" t="str">
        <f>HYPERLINK("http://www.ncbi.nlm.nih.gov/protein/NXR37265.1","MCR protein")</f>
        <v>MCR protein</v>
      </c>
      <c r="J811" t="s">
        <v>1261</v>
      </c>
      <c r="K811">
        <v>259.61</v>
      </c>
      <c r="L811" t="s">
        <v>25</v>
      </c>
      <c r="M811">
        <v>157</v>
      </c>
      <c r="N811">
        <v>62.55</v>
      </c>
      <c r="O811">
        <v>50.49</v>
      </c>
      <c r="P811" t="s">
        <v>20</v>
      </c>
      <c r="Q811" t="s">
        <v>1262</v>
      </c>
      <c r="R811" t="s">
        <v>20</v>
      </c>
      <c r="S811" t="str">
        <f>HYPERLINK("https://cfpub.epa.gov/ecotox/explore.cfm?ncbi=2485327","Explore in ECOTOX")</f>
        <v>Explore in ECOTOX</v>
      </c>
    </row>
    <row r="812" spans="1:19" x14ac:dyDescent="0.25">
      <c r="A812">
        <v>6</v>
      </c>
      <c r="B812" t="str">
        <f>HYPERLINK("http://www.ncbi.nlm.nih.gov/protein/BAJ61740.1","BAJ61740.1")</f>
        <v>BAJ61740.1</v>
      </c>
      <c r="C812">
        <v>577</v>
      </c>
      <c r="D812" t="str">
        <f>HYPERLINK("http://www.ncbi.nlm.nih.gov/Taxonomy/Browser/wwwtax.cgi?mode=Info&amp;id=8330&amp;lvl=3&amp;lin=f&amp;keep=1&amp;srchmode=1&amp;unlock","8330")</f>
        <v>8330</v>
      </c>
      <c r="E812" t="s">
        <v>134</v>
      </c>
      <c r="F812" t="s">
        <v>134</v>
      </c>
      <c r="G812" t="str">
        <f>HYPERLINK("http://www.ncbi.nlm.nih.gov/Taxonomy/Browser/wwwtax.cgi?mode=Info&amp;id=8330&amp;lvl=3&amp;lin=f&amp;keep=1&amp;srchmode=1&amp;unlock","Cynops pyrrhogaster")</f>
        <v>Cynops pyrrhogaster</v>
      </c>
      <c r="H812" t="s">
        <v>1053</v>
      </c>
      <c r="I812" t="str">
        <f>HYPERLINK("http://www.ncbi.nlm.nih.gov/protein/BAJ61740.1","glucocorticoid receptor")</f>
        <v>glucocorticoid receptor</v>
      </c>
      <c r="J812" t="s">
        <v>1261</v>
      </c>
      <c r="K812">
        <v>259.23</v>
      </c>
      <c r="L812" t="s">
        <v>25</v>
      </c>
      <c r="M812">
        <v>157</v>
      </c>
      <c r="N812">
        <v>62.55</v>
      </c>
      <c r="O812">
        <v>50.41</v>
      </c>
      <c r="P812" t="s">
        <v>20</v>
      </c>
      <c r="Q812" t="s">
        <v>1262</v>
      </c>
      <c r="R812" t="s">
        <v>20</v>
      </c>
      <c r="S812" t="str">
        <f>HYPERLINK("https://cfpub.epa.gov/ecotox/explore.cfm?ncbi=8330","Explore in ECOTOX")</f>
        <v>Explore in ECOTOX</v>
      </c>
    </row>
    <row r="813" spans="1:19" x14ac:dyDescent="0.25">
      <c r="A813">
        <v>6</v>
      </c>
      <c r="B813" t="str">
        <f>HYPERLINK("http://www.ncbi.nlm.nih.gov/protein/KQK83628.1","KQK83628.1")</f>
        <v>KQK83628.1</v>
      </c>
      <c r="C813">
        <v>16224</v>
      </c>
      <c r="D813" t="str">
        <f>HYPERLINK("http://www.ncbi.nlm.nih.gov/Taxonomy/Browser/wwwtax.cgi?mode=Info&amp;id=12930&amp;lvl=3&amp;lin=f&amp;keep=1&amp;srchmode=1&amp;unlock","12930")</f>
        <v>12930</v>
      </c>
      <c r="E813" t="s">
        <v>167</v>
      </c>
      <c r="F813" t="s">
        <v>167</v>
      </c>
      <c r="G813" t="str">
        <f>HYPERLINK("http://www.ncbi.nlm.nih.gov/Taxonomy/Browser/wwwtax.cgi?mode=Info&amp;id=12930&amp;lvl=3&amp;lin=f&amp;keep=1&amp;srchmode=1&amp;unlock","Amazona aestiva")</f>
        <v>Amazona aestiva</v>
      </c>
      <c r="H813" t="s">
        <v>445</v>
      </c>
      <c r="I813" t="str">
        <f>HYPERLINK("http://www.ncbi.nlm.nih.gov/protein/KQK83628.1","mineralocorticoid receptor isoform X1")</f>
        <v>mineralocorticoid receptor isoform X1</v>
      </c>
      <c r="J813" t="s">
        <v>1261</v>
      </c>
      <c r="K813">
        <v>258.45</v>
      </c>
      <c r="L813" t="s">
        <v>25</v>
      </c>
      <c r="M813">
        <v>157</v>
      </c>
      <c r="N813">
        <v>62.55</v>
      </c>
      <c r="O813">
        <v>50.26</v>
      </c>
      <c r="P813" t="s">
        <v>20</v>
      </c>
      <c r="Q813" t="s">
        <v>1262</v>
      </c>
      <c r="R813" t="s">
        <v>20</v>
      </c>
      <c r="S813" t="str">
        <f>HYPERLINK("https://cfpub.epa.gov/ecotox/explore.cfm?ncbi=12930","Explore in ECOTOX")</f>
        <v>Explore in ECOTOX</v>
      </c>
    </row>
    <row r="814" spans="1:19" x14ac:dyDescent="0.25">
      <c r="A814">
        <v>6</v>
      </c>
      <c r="B814" t="str">
        <f>HYPERLINK("http://www.ncbi.nlm.nih.gov/protein/ADC42119.1","ADC42119.1")</f>
        <v>ADC42119.1</v>
      </c>
      <c r="C814">
        <v>79</v>
      </c>
      <c r="D814" t="str">
        <f>HYPERLINK("http://www.ncbi.nlm.nih.gov/Taxonomy/Browser/wwwtax.cgi?mode=Info&amp;id=172907&amp;lvl=3&amp;lin=f&amp;keep=1&amp;srchmode=1&amp;unlock","172907")</f>
        <v>172907</v>
      </c>
      <c r="E814" t="s">
        <v>384</v>
      </c>
      <c r="F814" t="s">
        <v>384</v>
      </c>
      <c r="G814" t="str">
        <f>HYPERLINK("http://www.ncbi.nlm.nih.gov/Taxonomy/Browser/wwwtax.cgi?mode=Info&amp;id=172907&amp;lvl=3&amp;lin=f&amp;keep=1&amp;srchmode=1&amp;unlock","Cirrhinus molitorella")</f>
        <v>Cirrhinus molitorella</v>
      </c>
      <c r="H814" t="s">
        <v>1064</v>
      </c>
      <c r="I814" t="str">
        <f>HYPERLINK("http://www.ncbi.nlm.nih.gov/protein/ADC42119.1","androgen receptor protein, partial")</f>
        <v>androgen receptor protein, partial</v>
      </c>
      <c r="J814" t="s">
        <v>1261</v>
      </c>
      <c r="K814">
        <v>254.99</v>
      </c>
      <c r="L814" t="s">
        <v>25</v>
      </c>
      <c r="M814">
        <v>157</v>
      </c>
      <c r="N814">
        <v>62.55</v>
      </c>
      <c r="O814">
        <v>49.59</v>
      </c>
      <c r="P814" t="s">
        <v>20</v>
      </c>
      <c r="Q814" t="s">
        <v>1262</v>
      </c>
      <c r="R814" t="s">
        <v>20</v>
      </c>
      <c r="S814" t="str">
        <f>HYPERLINK("https://cfpub.epa.gov/ecotox/explore.cfm?ncbi=172907","Explore in ECOTOX")</f>
        <v>Explore in ECOTOX</v>
      </c>
    </row>
    <row r="815" spans="1:19" x14ac:dyDescent="0.25">
      <c r="A815">
        <v>6</v>
      </c>
      <c r="B815" t="str">
        <f>HYPERLINK("http://www.ncbi.nlm.nih.gov/protein/KAF5904896.1","KAF5904896.1")</f>
        <v>KAF5904896.1</v>
      </c>
      <c r="C815">
        <v>23845</v>
      </c>
      <c r="D815" t="str">
        <f>HYPERLINK("http://www.ncbi.nlm.nih.gov/Taxonomy/Browser/wwwtax.cgi?mode=Info&amp;id=1594786&amp;lvl=3&amp;lin=f&amp;keep=1&amp;srchmode=1&amp;unlock","1594786")</f>
        <v>1594786</v>
      </c>
      <c r="E815" t="s">
        <v>384</v>
      </c>
      <c r="F815" t="s">
        <v>384</v>
      </c>
      <c r="G815" t="str">
        <f>HYPERLINK("http://www.ncbi.nlm.nih.gov/Taxonomy/Browser/wwwtax.cgi?mode=Info&amp;id=1594786&amp;lvl=3&amp;lin=f&amp;keep=1&amp;srchmode=1&amp;unlock","Clarias magur")</f>
        <v>Clarias magur</v>
      </c>
      <c r="H815" t="s">
        <v>1062</v>
      </c>
      <c r="I815" t="str">
        <f>HYPERLINK("http://www.ncbi.nlm.nih.gov/protein/KAF5904896.1","glucocorticoid receptor-like")</f>
        <v>glucocorticoid receptor-like</v>
      </c>
      <c r="J815" t="s">
        <v>1261</v>
      </c>
      <c r="K815">
        <v>252.29</v>
      </c>
      <c r="L815" t="s">
        <v>25</v>
      </c>
      <c r="M815">
        <v>157</v>
      </c>
      <c r="N815">
        <v>62.55</v>
      </c>
      <c r="O815">
        <v>49.06</v>
      </c>
      <c r="P815" t="s">
        <v>20</v>
      </c>
      <c r="Q815" t="s">
        <v>1262</v>
      </c>
      <c r="R815" t="s">
        <v>20</v>
      </c>
      <c r="S815" t="str">
        <f>HYPERLINK("https://cfpub.epa.gov/ecotox/explore.cfm?ncbi=1594786","Explore in ECOTOX")</f>
        <v>Explore in ECOTOX</v>
      </c>
    </row>
    <row r="816" spans="1:19" x14ac:dyDescent="0.25">
      <c r="A816">
        <v>6</v>
      </c>
      <c r="B816" t="str">
        <f>HYPERLINK("http://www.ncbi.nlm.nih.gov/protein/TTD47737.1","TTD47737.1")</f>
        <v>TTD47737.1</v>
      </c>
      <c r="C816">
        <v>17327</v>
      </c>
      <c r="D816" t="str">
        <f>HYPERLINK("http://www.ncbi.nlm.nih.gov/Taxonomy/Browser/wwwtax.cgi?mode=Info&amp;id=175774&amp;lvl=3&amp;lin=f&amp;keep=1&amp;srchmode=1&amp;unlock","175774")</f>
        <v>175774</v>
      </c>
      <c r="E816" t="s">
        <v>384</v>
      </c>
      <c r="F816" t="s">
        <v>384</v>
      </c>
      <c r="G816" t="str">
        <f>HYPERLINK("http://www.ncbi.nlm.nih.gov/Taxonomy/Browser/wwwtax.cgi?mode=Info&amp;id=175774&amp;lvl=3&amp;lin=f&amp;keep=1&amp;srchmode=1&amp;unlock","Bagarius yarrelli")</f>
        <v>Bagarius yarrelli</v>
      </c>
      <c r="H816" t="s">
        <v>670</v>
      </c>
      <c r="I816" t="str">
        <f>HYPERLINK("http://www.ncbi.nlm.nih.gov/protein/TTD47737.1","Mineralocorticoid receptor")</f>
        <v>Mineralocorticoid receptor</v>
      </c>
      <c r="J816" t="s">
        <v>1261</v>
      </c>
      <c r="K816">
        <v>249.59</v>
      </c>
      <c r="L816" t="s">
        <v>25</v>
      </c>
      <c r="M816">
        <v>157</v>
      </c>
      <c r="N816">
        <v>62.55</v>
      </c>
      <c r="O816">
        <v>48.54</v>
      </c>
      <c r="P816" t="s">
        <v>20</v>
      </c>
      <c r="Q816" t="s">
        <v>1262</v>
      </c>
      <c r="R816" t="s">
        <v>20</v>
      </c>
      <c r="S816" t="str">
        <f>HYPERLINK("https://cfpub.epa.gov/ecotox/explore.cfm?ncbi=175774","Explore in ECOTOX")</f>
        <v>Explore in ECOTOX</v>
      </c>
    </row>
    <row r="817" spans="1:19" x14ac:dyDescent="0.25">
      <c r="A817">
        <v>6</v>
      </c>
      <c r="B817" t="str">
        <f>HYPERLINK("http://www.ncbi.nlm.nih.gov/protein/NXN35759.1","NXN35759.1")</f>
        <v>NXN35759.1</v>
      </c>
      <c r="C817">
        <v>13695</v>
      </c>
      <c r="D817" t="str">
        <f>HYPERLINK("http://www.ncbi.nlm.nih.gov/Taxonomy/Browser/wwwtax.cgi?mode=Info&amp;id=240209&amp;lvl=3&amp;lin=f&amp;keep=1&amp;srchmode=1&amp;unlock","240209")</f>
        <v>240209</v>
      </c>
      <c r="E817" t="s">
        <v>167</v>
      </c>
      <c r="F817" t="s">
        <v>167</v>
      </c>
      <c r="G817" t="str">
        <f>HYPERLINK("http://www.ncbi.nlm.nih.gov/Taxonomy/Browser/wwwtax.cgi?mode=Info&amp;id=240209&amp;lvl=3&amp;lin=f&amp;keep=1&amp;srchmode=1&amp;unlock","Rhinoptilus africanus")</f>
        <v>Rhinoptilus africanus</v>
      </c>
      <c r="H817" t="s">
        <v>278</v>
      </c>
      <c r="I817" t="str">
        <f>HYPERLINK("http://www.ncbi.nlm.nih.gov/protein/NXN35759.1","PRGR protein")</f>
        <v>PRGR protein</v>
      </c>
      <c r="J817" t="s">
        <v>1261</v>
      </c>
      <c r="K817">
        <v>245.36</v>
      </c>
      <c r="L817" t="s">
        <v>25</v>
      </c>
      <c r="M817">
        <v>157</v>
      </c>
      <c r="N817">
        <v>62.55</v>
      </c>
      <c r="O817">
        <v>47.71</v>
      </c>
      <c r="P817" t="s">
        <v>20</v>
      </c>
      <c r="Q817" t="s">
        <v>1262</v>
      </c>
      <c r="R817" t="s">
        <v>20</v>
      </c>
      <c r="S817" t="str">
        <f>HYPERLINK("https://cfpub.epa.gov/ecotox/explore.cfm?ncbi=240209","Explore in ECOTOX")</f>
        <v>Explore in ECOTOX</v>
      </c>
    </row>
    <row r="818" spans="1:19" x14ac:dyDescent="0.25">
      <c r="A818">
        <v>6</v>
      </c>
      <c r="B818" t="str">
        <f>HYPERLINK("http://www.ncbi.nlm.nih.gov/protein/ANK36042.1","ANK36042.1")</f>
        <v>ANK36042.1</v>
      </c>
      <c r="C818">
        <v>9</v>
      </c>
      <c r="D818" t="str">
        <f>HYPERLINK("http://www.ncbi.nlm.nih.gov/Taxonomy/Browser/wwwtax.cgi?mode=Info&amp;id=386267&amp;lvl=3&amp;lin=f&amp;keep=1&amp;srchmode=1&amp;unlock","386267")</f>
        <v>386267</v>
      </c>
      <c r="E818" t="s">
        <v>134</v>
      </c>
      <c r="F818" t="s">
        <v>134</v>
      </c>
      <c r="G818" t="str">
        <f>HYPERLINK("http://www.ncbi.nlm.nih.gov/Taxonomy/Browser/wwwtax.cgi?mode=Info&amp;id=386267&amp;lvl=3&amp;lin=f&amp;keep=1&amp;srchmode=1&amp;unlock","Staurois parvus")</f>
        <v>Staurois parvus</v>
      </c>
      <c r="H818" t="s">
        <v>1035</v>
      </c>
      <c r="I818" t="str">
        <f>HYPERLINK("http://www.ncbi.nlm.nih.gov/protein/ANK36042.1","androgen receptor, partial")</f>
        <v>androgen receptor, partial</v>
      </c>
      <c r="J818" t="s">
        <v>1261</v>
      </c>
      <c r="K818">
        <v>240.35</v>
      </c>
      <c r="L818" t="s">
        <v>25</v>
      </c>
      <c r="M818">
        <v>157</v>
      </c>
      <c r="N818">
        <v>62.55</v>
      </c>
      <c r="O818">
        <v>46.74</v>
      </c>
      <c r="P818" t="s">
        <v>20</v>
      </c>
      <c r="Q818" t="s">
        <v>1262</v>
      </c>
      <c r="R818" t="s">
        <v>20</v>
      </c>
      <c r="S818" t="str">
        <f>HYPERLINK("https://cfpub.epa.gov/ecotox/explore.cfm?ncbi=386267","Explore in ECOTOX")</f>
        <v>Explore in ECOTOX</v>
      </c>
    </row>
    <row r="819" spans="1:19" x14ac:dyDescent="0.25">
      <c r="A819">
        <v>6</v>
      </c>
      <c r="B819" t="str">
        <f>HYPERLINK("http://www.ncbi.nlm.nih.gov/protein/CAJ29885.1","CAJ29885.1")</f>
        <v>CAJ29885.1</v>
      </c>
      <c r="C819">
        <v>112</v>
      </c>
      <c r="D819" t="str">
        <f>HYPERLINK("http://www.ncbi.nlm.nih.gov/Taxonomy/Browser/wwwtax.cgi?mode=Info&amp;id=9302&amp;lvl=3&amp;lin=f&amp;keep=1&amp;srchmode=1&amp;unlock","9302")</f>
        <v>9302</v>
      </c>
      <c r="E819" t="s">
        <v>18</v>
      </c>
      <c r="F819" t="s">
        <v>18</v>
      </c>
      <c r="G819" t="str">
        <f>HYPERLINK("http://www.ncbi.nlm.nih.gov/Taxonomy/Browser/wwwtax.cgi?mode=Info&amp;id=9302&amp;lvl=3&amp;lin=f&amp;keep=1&amp;srchmode=1&amp;unlock","Sminthopsis macroura")</f>
        <v>Sminthopsis macroura</v>
      </c>
      <c r="H819" t="s">
        <v>1075</v>
      </c>
      <c r="I819" t="str">
        <f>HYPERLINK("http://www.ncbi.nlm.nih.gov/protein/CAJ29885.1","putative glucocorticoid receptor, partial")</f>
        <v>putative glucocorticoid receptor, partial</v>
      </c>
      <c r="J819" t="s">
        <v>1261</v>
      </c>
      <c r="K819">
        <v>238.81</v>
      </c>
      <c r="L819" t="s">
        <v>25</v>
      </c>
      <c r="M819">
        <v>157</v>
      </c>
      <c r="N819">
        <v>62.55</v>
      </c>
      <c r="O819">
        <v>46.44</v>
      </c>
      <c r="P819" t="s">
        <v>20</v>
      </c>
      <c r="Q819" t="s">
        <v>1262</v>
      </c>
      <c r="R819" t="s">
        <v>20</v>
      </c>
      <c r="S819" t="str">
        <f>HYPERLINK("https://cfpub.epa.gov/ecotox/explore.cfm?ncbi=9302","Explore in ECOTOX")</f>
        <v>Explore in ECOTOX</v>
      </c>
    </row>
    <row r="820" spans="1:19" x14ac:dyDescent="0.25">
      <c r="A820">
        <v>6</v>
      </c>
      <c r="B820" t="str">
        <f>HYPERLINK("http://www.ncbi.nlm.nih.gov/protein/AIC73818.1","AIC73818.1")</f>
        <v>AIC73818.1</v>
      </c>
      <c r="C820">
        <v>100</v>
      </c>
      <c r="D820" t="str">
        <f>HYPERLINK("http://www.ncbi.nlm.nih.gov/Taxonomy/Browser/wwwtax.cgi?mode=Info&amp;id=98395&amp;lvl=3&amp;lin=f&amp;keep=1&amp;srchmode=1&amp;unlock","98395")</f>
        <v>98395</v>
      </c>
      <c r="E820" t="s">
        <v>384</v>
      </c>
      <c r="F820" t="s">
        <v>384</v>
      </c>
      <c r="G820" t="str">
        <f>HYPERLINK("http://www.ncbi.nlm.nih.gov/Taxonomy/Browser/wwwtax.cgi?mode=Info&amp;id=98395&amp;lvl=3&amp;lin=f&amp;keep=1&amp;srchmode=1&amp;unlock","Cobitis taenia")</f>
        <v>Cobitis taenia</v>
      </c>
      <c r="H820" t="s">
        <v>1266</v>
      </c>
      <c r="I820" t="str">
        <f>HYPERLINK("http://www.ncbi.nlm.nih.gov/protein/AIC73818.1","androgen receptor, partial")</f>
        <v>androgen receptor, partial</v>
      </c>
      <c r="J820" t="s">
        <v>1261</v>
      </c>
      <c r="K820">
        <v>216.85</v>
      </c>
      <c r="L820" t="s">
        <v>25</v>
      </c>
      <c r="M820">
        <v>157</v>
      </c>
      <c r="N820">
        <v>62.55</v>
      </c>
      <c r="O820">
        <v>42.17</v>
      </c>
      <c r="P820" t="s">
        <v>20</v>
      </c>
      <c r="Q820" t="s">
        <v>1262</v>
      </c>
      <c r="R820" t="s">
        <v>20</v>
      </c>
      <c r="S820" t="str">
        <f>HYPERLINK("https://cfpub.epa.gov/ecotox/explore.cfm?ncbi=98395","Explore in ECOTOX")</f>
        <v>Explore in ECOTOX</v>
      </c>
    </row>
    <row r="821" spans="1:19" x14ac:dyDescent="0.25">
      <c r="A821">
        <v>6</v>
      </c>
      <c r="B821" t="str">
        <f>HYPERLINK("http://www.ncbi.nlm.nih.gov/protein/AFV36364.1","AFV36364.1")</f>
        <v>AFV36364.1</v>
      </c>
      <c r="C821">
        <v>37</v>
      </c>
      <c r="D821" t="str">
        <f>HYPERLINK("http://www.ncbi.nlm.nih.gov/Taxonomy/Browser/wwwtax.cgi?mode=Info&amp;id=435163&amp;lvl=3&amp;lin=f&amp;keep=1&amp;srchmode=1&amp;unlock","435163")</f>
        <v>435163</v>
      </c>
      <c r="E821" t="s">
        <v>384</v>
      </c>
      <c r="F821" t="s">
        <v>384</v>
      </c>
      <c r="G821" t="str">
        <f>HYPERLINK("http://www.ncbi.nlm.nih.gov/Taxonomy/Browser/wwwtax.cgi?mode=Info&amp;id=435163&amp;lvl=3&amp;lin=f&amp;keep=1&amp;srchmode=1&amp;unlock","Thamnaconus septentrionalis")</f>
        <v>Thamnaconus septentrionalis</v>
      </c>
      <c r="H821" t="s">
        <v>1058</v>
      </c>
      <c r="I821" t="str">
        <f>HYPERLINK("http://www.ncbi.nlm.nih.gov/protein/AFV36364.1","androgen receptor, partial")</f>
        <v>androgen receptor, partial</v>
      </c>
      <c r="J821" t="s">
        <v>1261</v>
      </c>
      <c r="K821">
        <v>212.62</v>
      </c>
      <c r="L821" t="s">
        <v>25</v>
      </c>
      <c r="M821">
        <v>157</v>
      </c>
      <c r="N821">
        <v>62.55</v>
      </c>
      <c r="O821">
        <v>41.35</v>
      </c>
      <c r="P821" t="s">
        <v>20</v>
      </c>
      <c r="Q821" t="s">
        <v>1262</v>
      </c>
      <c r="R821" t="s">
        <v>20</v>
      </c>
      <c r="S821" t="str">
        <f>HYPERLINK("https://cfpub.epa.gov/ecotox/explore.cfm?ncbi=435163","Explore in ECOTOX")</f>
        <v>Explore in ECOTOX</v>
      </c>
    </row>
    <row r="822" spans="1:19" x14ac:dyDescent="0.25">
      <c r="A822">
        <v>6</v>
      </c>
      <c r="B822" t="str">
        <f>HYPERLINK("http://www.ncbi.nlm.nih.gov/protein/XP_010202267.1","XP_010202267.1")</f>
        <v>XP_010202267.1</v>
      </c>
      <c r="C822">
        <v>26934</v>
      </c>
      <c r="D822" t="str">
        <f>HYPERLINK("http://www.ncbi.nlm.nih.gov/Taxonomy/Browser/wwwtax.cgi?mode=Info&amp;id=57412&amp;lvl=3&amp;lin=f&amp;keep=1&amp;srchmode=1&amp;unlock","57412")</f>
        <v>57412</v>
      </c>
      <c r="E822" t="s">
        <v>167</v>
      </c>
      <c r="F822" t="s">
        <v>167</v>
      </c>
      <c r="G822" t="str">
        <f>HYPERLINK("http://www.ncbi.nlm.nih.gov/Taxonomy/Browser/wwwtax.cgi?mode=Info&amp;id=57412&amp;lvl=3&amp;lin=f&amp;keep=1&amp;srchmode=1&amp;unlock","Colius striatus")</f>
        <v>Colius striatus</v>
      </c>
      <c r="H822" t="s">
        <v>1038</v>
      </c>
      <c r="I822" t="str">
        <f>HYPERLINK("http://www.ncbi.nlm.nih.gov/protein/XP_010202267.1","PREDICTED: androgen receptor, partial")</f>
        <v>PREDICTED: androgen receptor, partial</v>
      </c>
      <c r="J822" t="s">
        <v>1261</v>
      </c>
      <c r="K822">
        <v>203.76</v>
      </c>
      <c r="L822" t="s">
        <v>25</v>
      </c>
      <c r="M822">
        <v>157</v>
      </c>
      <c r="N822">
        <v>62.55</v>
      </c>
      <c r="O822">
        <v>39.619999999999997</v>
      </c>
      <c r="P822" t="s">
        <v>20</v>
      </c>
      <c r="Q822" t="s">
        <v>1262</v>
      </c>
      <c r="R822" t="s">
        <v>20</v>
      </c>
      <c r="S822" t="str">
        <f>HYPERLINK("https://cfpub.epa.gov/ecotox/explore.cfm?ncbi=57412","Explore in ECOTOX")</f>
        <v>Explore in ECOTOX</v>
      </c>
    </row>
    <row r="823" spans="1:19" x14ac:dyDescent="0.25">
      <c r="A823">
        <v>6</v>
      </c>
      <c r="B823" t="str">
        <f>HYPERLINK("http://www.ncbi.nlm.nih.gov/protein/AEA77170.1","AEA77170.1")</f>
        <v>AEA77170.1</v>
      </c>
      <c r="C823">
        <v>83</v>
      </c>
      <c r="D823" t="str">
        <f>HYPERLINK("http://www.ncbi.nlm.nih.gov/Taxonomy/Browser/wwwtax.cgi?mode=Info&amp;id=95145&amp;lvl=3&amp;lin=f&amp;keep=1&amp;srchmode=1&amp;unlock","95145")</f>
        <v>95145</v>
      </c>
      <c r="E823" t="s">
        <v>384</v>
      </c>
      <c r="F823" t="s">
        <v>384</v>
      </c>
      <c r="G823" t="str">
        <f>HYPERLINK("http://www.ncbi.nlm.nih.gov/Taxonomy/Browser/wwwtax.cgi?mode=Info&amp;id=95145&amp;lvl=3&amp;lin=f&amp;keep=1&amp;srchmode=1&amp;unlock","Opsanus beta")</f>
        <v>Opsanus beta</v>
      </c>
      <c r="H823" t="s">
        <v>1069</v>
      </c>
      <c r="I823" t="str">
        <f>HYPERLINK("http://www.ncbi.nlm.nih.gov/protein/AEA77170.1","beta glucocorticoid receptor, partial")</f>
        <v>beta glucocorticoid receptor, partial</v>
      </c>
      <c r="J823" t="s">
        <v>1261</v>
      </c>
      <c r="K823">
        <v>197.21</v>
      </c>
      <c r="L823" t="s">
        <v>25</v>
      </c>
      <c r="M823">
        <v>157</v>
      </c>
      <c r="N823">
        <v>62.55</v>
      </c>
      <c r="O823">
        <v>38.35</v>
      </c>
      <c r="P823" t="s">
        <v>20</v>
      </c>
      <c r="Q823" t="s">
        <v>1262</v>
      </c>
      <c r="R823" t="s">
        <v>20</v>
      </c>
      <c r="S823" t="str">
        <f>HYPERLINK("https://cfpub.epa.gov/ecotox/explore.cfm?ncbi=95145","Explore in ECOTOX")</f>
        <v>Explore in ECOTOX</v>
      </c>
    </row>
    <row r="824" spans="1:19" x14ac:dyDescent="0.25">
      <c r="A824">
        <v>6</v>
      </c>
      <c r="B824" t="str">
        <f>HYPERLINK("http://www.ncbi.nlm.nih.gov/protein/ACH78366.1","ACH78366.1")</f>
        <v>ACH78366.1</v>
      </c>
      <c r="C824">
        <v>226</v>
      </c>
      <c r="D824" t="str">
        <f>HYPERLINK("http://www.ncbi.nlm.nih.gov/Taxonomy/Browser/wwwtax.cgi?mode=Info&amp;id=41446&amp;lvl=3&amp;lin=f&amp;keep=1&amp;srchmode=1&amp;unlock","41446")</f>
        <v>41446</v>
      </c>
      <c r="E824" t="s">
        <v>384</v>
      </c>
      <c r="F824" t="s">
        <v>384</v>
      </c>
      <c r="G824" t="str">
        <f>HYPERLINK("http://www.ncbi.nlm.nih.gov/Taxonomy/Browser/wwwtax.cgi?mode=Info&amp;id=41446&amp;lvl=3&amp;lin=f&amp;keep=1&amp;srchmode=1&amp;unlock","Sebastiscus marmoratus")</f>
        <v>Sebastiscus marmoratus</v>
      </c>
      <c r="H824" t="s">
        <v>1267</v>
      </c>
      <c r="I824" t="str">
        <f>HYPERLINK("http://www.ncbi.nlm.nih.gov/protein/ACH78366.1","androgen receptor, partial")</f>
        <v>androgen receptor, partial</v>
      </c>
      <c r="J824" t="s">
        <v>1261</v>
      </c>
      <c r="K824">
        <v>197.21</v>
      </c>
      <c r="L824" t="s">
        <v>25</v>
      </c>
      <c r="M824">
        <v>157</v>
      </c>
      <c r="N824">
        <v>62.55</v>
      </c>
      <c r="O824">
        <v>38.35</v>
      </c>
      <c r="P824" t="s">
        <v>20</v>
      </c>
      <c r="Q824" t="s">
        <v>1262</v>
      </c>
      <c r="R824" t="s">
        <v>20</v>
      </c>
      <c r="S824" t="str">
        <f>HYPERLINK("https://cfpub.epa.gov/ecotox/explore.cfm?ncbi=41446","Explore in ECOTOX")</f>
        <v>Explore in ECOTOX</v>
      </c>
    </row>
    <row r="825" spans="1:19" x14ac:dyDescent="0.25">
      <c r="A825">
        <v>6</v>
      </c>
      <c r="B825" t="str">
        <f>HYPERLINK("http://www.ncbi.nlm.nih.gov/protein/NXX63889.1","NXX63889.1")</f>
        <v>NXX63889.1</v>
      </c>
      <c r="C825">
        <v>12329</v>
      </c>
      <c r="D825" t="str">
        <f>HYPERLINK("http://www.ncbi.nlm.nih.gov/Taxonomy/Browser/wwwtax.cgi?mode=Info&amp;id=33581&amp;lvl=3&amp;lin=f&amp;keep=1&amp;srchmode=1&amp;unlock","33581")</f>
        <v>33581</v>
      </c>
      <c r="E825" t="s">
        <v>167</v>
      </c>
      <c r="F825" t="s">
        <v>167</v>
      </c>
      <c r="G825" t="str">
        <f>HYPERLINK("http://www.ncbi.nlm.nih.gov/Taxonomy/Browser/wwwtax.cgi?mode=Info&amp;id=33581&amp;lvl=3&amp;lin=f&amp;keep=1&amp;srchmode=1&amp;unlock","Scopus umbretta")</f>
        <v>Scopus umbretta</v>
      </c>
      <c r="H825" t="s">
        <v>271</v>
      </c>
      <c r="I825" t="str">
        <f>HYPERLINK("http://www.ncbi.nlm.nih.gov/protein/NXX63889.1","ANDR protein")</f>
        <v>ANDR protein</v>
      </c>
      <c r="J825" t="s">
        <v>1261</v>
      </c>
      <c r="K825">
        <v>197.21</v>
      </c>
      <c r="L825" t="s">
        <v>25</v>
      </c>
      <c r="M825">
        <v>157</v>
      </c>
      <c r="N825">
        <v>62.55</v>
      </c>
      <c r="O825">
        <v>38.35</v>
      </c>
      <c r="P825" t="s">
        <v>20</v>
      </c>
      <c r="Q825" t="s">
        <v>1262</v>
      </c>
      <c r="R825" t="s">
        <v>20</v>
      </c>
      <c r="S825" t="str">
        <f>HYPERLINK("https://cfpub.epa.gov/ecotox/explore.cfm?ncbi=33581","Explore in ECOTOX")</f>
        <v>Explore in ECOTOX</v>
      </c>
    </row>
    <row r="826" spans="1:19" x14ac:dyDescent="0.25">
      <c r="A826">
        <v>6</v>
      </c>
      <c r="B826" t="str">
        <f>HYPERLINK("http://www.ncbi.nlm.nih.gov/protein/NWI71998.1","NWI71998.1")</f>
        <v>NWI71998.1</v>
      </c>
      <c r="C826">
        <v>10103</v>
      </c>
      <c r="D826" t="str">
        <f>HYPERLINK("http://www.ncbi.nlm.nih.gov/Taxonomy/Browser/wwwtax.cgi?mode=Info&amp;id=135184&amp;lvl=3&amp;lin=f&amp;keep=1&amp;srchmode=1&amp;unlock","135184")</f>
        <v>135184</v>
      </c>
      <c r="E826" t="s">
        <v>167</v>
      </c>
      <c r="F826" t="s">
        <v>167</v>
      </c>
      <c r="G826" t="str">
        <f>HYPERLINK("http://www.ncbi.nlm.nih.gov/Taxonomy/Browser/wwwtax.cgi?mode=Info&amp;id=135184&amp;lvl=3&amp;lin=f&amp;keep=1&amp;srchmode=1&amp;unlock","Todus mexicanus")</f>
        <v>Todus mexicanus</v>
      </c>
      <c r="H826" t="s">
        <v>305</v>
      </c>
      <c r="I826" t="str">
        <f>HYPERLINK("http://www.ncbi.nlm.nih.gov/protein/NWI71998.1","ANDR protein")</f>
        <v>ANDR protein</v>
      </c>
      <c r="J826" t="s">
        <v>1261</v>
      </c>
      <c r="K826">
        <v>197.21</v>
      </c>
      <c r="L826" t="s">
        <v>25</v>
      </c>
      <c r="M826">
        <v>157</v>
      </c>
      <c r="N826">
        <v>62.55</v>
      </c>
      <c r="O826">
        <v>38.35</v>
      </c>
      <c r="P826" t="s">
        <v>20</v>
      </c>
      <c r="Q826" t="s">
        <v>1262</v>
      </c>
      <c r="R826" t="s">
        <v>20</v>
      </c>
      <c r="S826" t="str">
        <f>HYPERLINK("https://cfpub.epa.gov/ecotox/explore.cfm?ncbi=135184","Explore in ECOTOX")</f>
        <v>Explore in ECOTOX</v>
      </c>
    </row>
    <row r="827" spans="1:19" x14ac:dyDescent="0.25">
      <c r="A827">
        <v>6</v>
      </c>
      <c r="B827" t="str">
        <f>HYPERLINK("http://www.ncbi.nlm.nih.gov/protein/NXY81009.1","NXY81009.1")</f>
        <v>NXY81009.1</v>
      </c>
      <c r="C827">
        <v>12038</v>
      </c>
      <c r="D827" t="str">
        <f>HYPERLINK("http://www.ncbi.nlm.nih.gov/Taxonomy/Browser/wwwtax.cgi?mode=Info&amp;id=390723&amp;lvl=3&amp;lin=f&amp;keep=1&amp;srchmode=1&amp;unlock","390723")</f>
        <v>390723</v>
      </c>
      <c r="E827" t="s">
        <v>167</v>
      </c>
      <c r="F827" t="s">
        <v>167</v>
      </c>
      <c r="G827" t="str">
        <f>HYPERLINK("http://www.ncbi.nlm.nih.gov/Taxonomy/Browser/wwwtax.cgi?mode=Info&amp;id=390723&amp;lvl=3&amp;lin=f&amp;keep=1&amp;srchmode=1&amp;unlock","Ceyx cyanopectus")</f>
        <v>Ceyx cyanopectus</v>
      </c>
      <c r="H827" t="s">
        <v>168</v>
      </c>
      <c r="I827" t="str">
        <f>HYPERLINK("http://www.ncbi.nlm.nih.gov/protein/NXY81009.1","ANDR protein")</f>
        <v>ANDR protein</v>
      </c>
      <c r="J827" t="s">
        <v>1261</v>
      </c>
      <c r="K827">
        <v>197.21</v>
      </c>
      <c r="L827" t="s">
        <v>25</v>
      </c>
      <c r="M827">
        <v>157</v>
      </c>
      <c r="N827">
        <v>62.55</v>
      </c>
      <c r="O827">
        <v>38.35</v>
      </c>
      <c r="P827" t="s">
        <v>20</v>
      </c>
      <c r="Q827" t="s">
        <v>1262</v>
      </c>
      <c r="R827" t="s">
        <v>20</v>
      </c>
      <c r="S827" t="str">
        <f>HYPERLINK("https://cfpub.epa.gov/ecotox/explore.cfm?ncbi=390723","Explore in ECOTOX")</f>
        <v>Explore in ECOTOX</v>
      </c>
    </row>
    <row r="828" spans="1:19" x14ac:dyDescent="0.25">
      <c r="A828">
        <v>6</v>
      </c>
      <c r="B828" t="str">
        <f>HYPERLINK("http://www.ncbi.nlm.nih.gov/protein/NXS14497.1","NXS14497.1")</f>
        <v>NXS14497.1</v>
      </c>
      <c r="C828">
        <v>8871</v>
      </c>
      <c r="D828" t="str">
        <f>HYPERLINK("http://www.ncbi.nlm.nih.gov/Taxonomy/Browser/wwwtax.cgi?mode=Info&amp;id=254563&amp;lvl=3&amp;lin=f&amp;keep=1&amp;srchmode=1&amp;unlock","254563")</f>
        <v>254563</v>
      </c>
      <c r="E828" t="s">
        <v>167</v>
      </c>
      <c r="F828" t="s">
        <v>167</v>
      </c>
      <c r="G828" t="str">
        <f>HYPERLINK("http://www.ncbi.nlm.nih.gov/Taxonomy/Browser/wwwtax.cgi?mode=Info&amp;id=254563&amp;lvl=3&amp;lin=f&amp;keep=1&amp;srchmode=1&amp;unlock","Neodrepanis coruscans")</f>
        <v>Neodrepanis coruscans</v>
      </c>
      <c r="H828" t="s">
        <v>526</v>
      </c>
      <c r="I828" t="str">
        <f>HYPERLINK("http://www.ncbi.nlm.nih.gov/protein/NXS14497.1","ANDR protein")</f>
        <v>ANDR protein</v>
      </c>
      <c r="J828" t="s">
        <v>1261</v>
      </c>
      <c r="K828">
        <v>197.21</v>
      </c>
      <c r="L828" t="s">
        <v>25</v>
      </c>
      <c r="M828">
        <v>157</v>
      </c>
      <c r="N828">
        <v>62.55</v>
      </c>
      <c r="O828">
        <v>38.35</v>
      </c>
      <c r="P828" t="s">
        <v>20</v>
      </c>
      <c r="Q828" t="s">
        <v>1262</v>
      </c>
      <c r="R828" t="s">
        <v>20</v>
      </c>
      <c r="S828" t="str">
        <f>HYPERLINK("https://cfpub.epa.gov/ecotox/explore.cfm?ncbi=254563","Explore in ECOTOX")</f>
        <v>Explore in ECOTOX</v>
      </c>
    </row>
    <row r="829" spans="1:19" x14ac:dyDescent="0.25">
      <c r="A829">
        <v>6</v>
      </c>
      <c r="B829" t="str">
        <f>HYPERLINK("http://www.ncbi.nlm.nih.gov/protein/NXS24820.1","NXS24820.1")</f>
        <v>NXS24820.1</v>
      </c>
      <c r="C829">
        <v>10611</v>
      </c>
      <c r="D829" t="str">
        <f>HYPERLINK("http://www.ncbi.nlm.nih.gov/Taxonomy/Browser/wwwtax.cgi?mode=Info&amp;id=98133&amp;lvl=3&amp;lin=f&amp;keep=1&amp;srchmode=1&amp;unlock","98133")</f>
        <v>98133</v>
      </c>
      <c r="E829" t="s">
        <v>167</v>
      </c>
      <c r="F829" t="s">
        <v>167</v>
      </c>
      <c r="G829" t="str">
        <f>HYPERLINK("http://www.ncbi.nlm.nih.gov/Taxonomy/Browser/wwwtax.cgi?mode=Info&amp;id=98133&amp;lvl=3&amp;lin=f&amp;keep=1&amp;srchmode=1&amp;unlock","Mystacornis crossleyi")</f>
        <v>Mystacornis crossleyi</v>
      </c>
      <c r="H829" t="s">
        <v>311</v>
      </c>
      <c r="I829" t="str">
        <f>HYPERLINK("http://www.ncbi.nlm.nih.gov/protein/NXS24820.1","ANDR protein")</f>
        <v>ANDR protein</v>
      </c>
      <c r="J829" t="s">
        <v>1261</v>
      </c>
      <c r="K829">
        <v>196.44</v>
      </c>
      <c r="L829" t="s">
        <v>25</v>
      </c>
      <c r="M829">
        <v>157</v>
      </c>
      <c r="N829">
        <v>62.55</v>
      </c>
      <c r="O829">
        <v>38.200000000000003</v>
      </c>
      <c r="P829" t="s">
        <v>20</v>
      </c>
      <c r="Q829" t="s">
        <v>1262</v>
      </c>
      <c r="R829" t="s">
        <v>20</v>
      </c>
      <c r="S829" t="str">
        <f>HYPERLINK("https://cfpub.epa.gov/ecotox/explore.cfm?ncbi=98133","Explore in ECOTOX")</f>
        <v>Explore in ECOTOX</v>
      </c>
    </row>
    <row r="830" spans="1:19" x14ac:dyDescent="0.25">
      <c r="A830">
        <v>6</v>
      </c>
      <c r="B830" t="str">
        <f>HYPERLINK("http://www.ncbi.nlm.nih.gov/protein/NXX72887.1","NXX72887.1")</f>
        <v>NXX72887.1</v>
      </c>
      <c r="C830">
        <v>9143</v>
      </c>
      <c r="D830" t="str">
        <f>HYPERLINK("http://www.ncbi.nlm.nih.gov/Taxonomy/Browser/wwwtax.cgi?mode=Info&amp;id=40210&amp;lvl=3&amp;lin=f&amp;keep=1&amp;srchmode=1&amp;unlock","40210")</f>
        <v>40210</v>
      </c>
      <c r="E830" t="s">
        <v>167</v>
      </c>
      <c r="F830" t="s">
        <v>167</v>
      </c>
      <c r="G830" t="str">
        <f>HYPERLINK("http://www.ncbi.nlm.nih.gov/Taxonomy/Browser/wwwtax.cgi?mode=Info&amp;id=40210&amp;lvl=3&amp;lin=f&amp;keep=1&amp;srchmode=1&amp;unlock","Spizella passerina")</f>
        <v>Spizella passerina</v>
      </c>
      <c r="H830" t="s">
        <v>1268</v>
      </c>
      <c r="I830" t="str">
        <f>HYPERLINK("http://www.ncbi.nlm.nih.gov/protein/NXX72887.1","ANDR protein")</f>
        <v>ANDR protein</v>
      </c>
      <c r="J830" t="s">
        <v>1261</v>
      </c>
      <c r="K830">
        <v>196.44</v>
      </c>
      <c r="L830" t="s">
        <v>25</v>
      </c>
      <c r="M830">
        <v>157</v>
      </c>
      <c r="N830">
        <v>62.55</v>
      </c>
      <c r="O830">
        <v>38.200000000000003</v>
      </c>
      <c r="P830" t="s">
        <v>20</v>
      </c>
      <c r="Q830" t="s">
        <v>1262</v>
      </c>
      <c r="R830" t="s">
        <v>20</v>
      </c>
      <c r="S830" t="str">
        <f>HYPERLINK("https://cfpub.epa.gov/ecotox/explore.cfm?ncbi=40210","Explore in ECOTOX")</f>
        <v>Explore in ECOTOX</v>
      </c>
    </row>
    <row r="831" spans="1:19" x14ac:dyDescent="0.25">
      <c r="A831">
        <v>6</v>
      </c>
      <c r="B831" t="str">
        <f>HYPERLINK("http://www.ncbi.nlm.nih.gov/protein/NXU69586.1","NXU69586.1")</f>
        <v>NXU69586.1</v>
      </c>
      <c r="C831">
        <v>9908</v>
      </c>
      <c r="D831" t="str">
        <f>HYPERLINK("http://www.ncbi.nlm.nih.gov/Taxonomy/Browser/wwwtax.cgi?mode=Info&amp;id=2585811&amp;lvl=3&amp;lin=f&amp;keep=1&amp;srchmode=1&amp;unlock","2585811")</f>
        <v>2585811</v>
      </c>
      <c r="E831" t="s">
        <v>167</v>
      </c>
      <c r="F831" t="s">
        <v>167</v>
      </c>
      <c r="G831" t="str">
        <f>HYPERLINK("http://www.ncbi.nlm.nih.gov/Taxonomy/Browser/wwwtax.cgi?mode=Info&amp;id=2585811&amp;lvl=3&amp;lin=f&amp;keep=1&amp;srchmode=1&amp;unlock","Horornis vulcanius")</f>
        <v>Horornis vulcanius</v>
      </c>
      <c r="H831" t="s">
        <v>206</v>
      </c>
      <c r="I831" t="str">
        <f>HYPERLINK("http://www.ncbi.nlm.nih.gov/protein/NXU69586.1","ANDR protein")</f>
        <v>ANDR protein</v>
      </c>
      <c r="J831" t="s">
        <v>1261</v>
      </c>
      <c r="K831">
        <v>196.44</v>
      </c>
      <c r="L831" t="s">
        <v>25</v>
      </c>
      <c r="M831">
        <v>157</v>
      </c>
      <c r="N831">
        <v>62.55</v>
      </c>
      <c r="O831">
        <v>38.200000000000003</v>
      </c>
      <c r="P831" t="s">
        <v>20</v>
      </c>
      <c r="Q831" t="s">
        <v>1262</v>
      </c>
      <c r="R831" t="s">
        <v>20</v>
      </c>
      <c r="S831" t="str">
        <f>HYPERLINK("https://cfpub.epa.gov/ecotox/explore.cfm?ncbi=2585811","Explore in ECOTOX")</f>
        <v>Explore in ECOTOX</v>
      </c>
    </row>
    <row r="832" spans="1:19" x14ac:dyDescent="0.25">
      <c r="A832">
        <v>6</v>
      </c>
      <c r="B832" t="str">
        <f>HYPERLINK("http://www.ncbi.nlm.nih.gov/protein/ADC79403.1","ADC79403.1")</f>
        <v>ADC79403.1</v>
      </c>
      <c r="C832">
        <v>619</v>
      </c>
      <c r="D832" t="str">
        <f>HYPERLINK("http://www.ncbi.nlm.nih.gov/Taxonomy/Browser/wwwtax.cgi?mode=Info&amp;id=48849&amp;lvl=3&amp;lin=f&amp;keep=1&amp;srchmode=1&amp;unlock","48849")</f>
        <v>48849</v>
      </c>
      <c r="E832" t="s">
        <v>167</v>
      </c>
      <c r="F832" t="s">
        <v>167</v>
      </c>
      <c r="G832" t="str">
        <f>HYPERLINK("http://www.ncbi.nlm.nih.gov/Taxonomy/Browser/wwwtax.cgi?mode=Info&amp;id=48849&amp;lvl=3&amp;lin=f&amp;keep=1&amp;srchmode=1&amp;unlock","Passer domesticus")</f>
        <v>Passer domesticus</v>
      </c>
      <c r="H832" t="s">
        <v>1076</v>
      </c>
      <c r="I832" t="str">
        <f>HYPERLINK("http://www.ncbi.nlm.nih.gov/protein/ADC79403.1","mineralocorticoid receptor, partial")</f>
        <v>mineralocorticoid receptor, partial</v>
      </c>
      <c r="J832" t="s">
        <v>1261</v>
      </c>
      <c r="K832">
        <v>196.05</v>
      </c>
      <c r="L832" t="s">
        <v>25</v>
      </c>
      <c r="M832">
        <v>157</v>
      </c>
      <c r="N832">
        <v>62.55</v>
      </c>
      <c r="O832">
        <v>38.130000000000003</v>
      </c>
      <c r="P832" t="s">
        <v>20</v>
      </c>
      <c r="Q832" t="s">
        <v>1262</v>
      </c>
      <c r="R832" t="s">
        <v>20</v>
      </c>
      <c r="S832" t="str">
        <f>HYPERLINK("https://cfpub.epa.gov/ecotox/explore.cfm?ncbi=48849","Explore in ECOTOX")</f>
        <v>Explore in ECOTOX</v>
      </c>
    </row>
    <row r="833" spans="1:19" x14ac:dyDescent="0.25">
      <c r="A833">
        <v>6</v>
      </c>
      <c r="B833" t="str">
        <f>HYPERLINK("http://www.ncbi.nlm.nih.gov/protein/MBV96764.1","MBV96764.1")</f>
        <v>MBV96764.1</v>
      </c>
      <c r="C833">
        <v>11098</v>
      </c>
      <c r="D833" t="str">
        <f>HYPERLINK("http://www.ncbi.nlm.nih.gov/Taxonomy/Browser/wwwtax.cgi?mode=Info&amp;id=9764&amp;lvl=3&amp;lin=f&amp;keep=1&amp;srchmode=1&amp;unlock","9764")</f>
        <v>9764</v>
      </c>
      <c r="E833" t="s">
        <v>18</v>
      </c>
      <c r="F833" t="s">
        <v>18</v>
      </c>
      <c r="G833" t="str">
        <f>HYPERLINK("http://www.ncbi.nlm.nih.gov/Taxonomy/Browser/wwwtax.cgi?mode=Info&amp;id=9764&amp;lvl=3&amp;lin=f&amp;keep=1&amp;srchmode=1&amp;unlock","Eschrichtius robustus")</f>
        <v>Eschrichtius robustus</v>
      </c>
      <c r="H833" t="s">
        <v>169</v>
      </c>
      <c r="I833" t="str">
        <f>HYPERLINK("http://www.ncbi.nlm.nih.gov/protein/MBV96764.1","Progesterone receptor")</f>
        <v>Progesterone receptor</v>
      </c>
      <c r="J833" t="s">
        <v>1261</v>
      </c>
      <c r="K833">
        <v>195.67</v>
      </c>
      <c r="L833" t="s">
        <v>25</v>
      </c>
      <c r="M833">
        <v>157</v>
      </c>
      <c r="N833">
        <v>62.55</v>
      </c>
      <c r="O833">
        <v>38.049999999999997</v>
      </c>
      <c r="P833" t="s">
        <v>20</v>
      </c>
      <c r="Q833" t="s">
        <v>1262</v>
      </c>
      <c r="R833" t="s">
        <v>20</v>
      </c>
      <c r="S833" t="str">
        <f>HYPERLINK("https://cfpub.epa.gov/ecotox/explore.cfm?ncbi=9764","Explore in ECOTOX")</f>
        <v>Explore in ECOTOX</v>
      </c>
    </row>
    <row r="834" spans="1:19" x14ac:dyDescent="0.25">
      <c r="A834">
        <v>6</v>
      </c>
      <c r="B834" t="str">
        <f>HYPERLINK("http://www.ncbi.nlm.nih.gov/protein/KFQ83587.1","KFQ83587.1")</f>
        <v>KFQ83587.1</v>
      </c>
      <c r="C834">
        <v>12119</v>
      </c>
      <c r="D834" t="str">
        <f>HYPERLINK("http://www.ncbi.nlm.nih.gov/Taxonomy/Browser/wwwtax.cgi?mode=Info&amp;id=9218&amp;lvl=3&amp;lin=f&amp;keep=1&amp;srchmode=1&amp;unlock","9218")</f>
        <v>9218</v>
      </c>
      <c r="E834" t="s">
        <v>167</v>
      </c>
      <c r="F834" t="s">
        <v>167</v>
      </c>
      <c r="G834" t="str">
        <f>HYPERLINK("http://www.ncbi.nlm.nih.gov/Taxonomy/Browser/wwwtax.cgi?mode=Info&amp;id=9218&amp;lvl=3&amp;lin=f&amp;keep=1&amp;srchmode=1&amp;unlock","Phoenicopterus ruber ruber")</f>
        <v>Phoenicopterus ruber ruber</v>
      </c>
      <c r="H834" t="s">
        <v>204</v>
      </c>
      <c r="I834" t="str">
        <f>HYPERLINK("http://www.ncbi.nlm.nih.gov/protein/KFQ83587.1","Androgen receptor, partial")</f>
        <v>Androgen receptor, partial</v>
      </c>
      <c r="J834" t="s">
        <v>1261</v>
      </c>
      <c r="K834">
        <v>193.74</v>
      </c>
      <c r="L834" t="s">
        <v>25</v>
      </c>
      <c r="M834">
        <v>157</v>
      </c>
      <c r="N834">
        <v>62.55</v>
      </c>
      <c r="O834">
        <v>37.68</v>
      </c>
      <c r="P834" t="s">
        <v>20</v>
      </c>
      <c r="Q834" t="s">
        <v>1262</v>
      </c>
      <c r="R834" t="s">
        <v>20</v>
      </c>
      <c r="S834" t="str">
        <f>HYPERLINK("https://cfpub.epa.gov/ecotox/explore.cfm?ncbi=9218","Explore in ECOTOX")</f>
        <v>Explore in ECOTOX</v>
      </c>
    </row>
    <row r="835" spans="1:19" x14ac:dyDescent="0.25">
      <c r="A835">
        <v>6</v>
      </c>
      <c r="B835" t="str">
        <f>HYPERLINK("http://www.ncbi.nlm.nih.gov/protein/NXR97164.1","NXR97164.1")</f>
        <v>NXR97164.1</v>
      </c>
      <c r="C835">
        <v>12418</v>
      </c>
      <c r="D835" t="str">
        <f>HYPERLINK("http://www.ncbi.nlm.nih.gov/Taxonomy/Browser/wwwtax.cgi?mode=Info&amp;id=589841&amp;lvl=3&amp;lin=f&amp;keep=1&amp;srchmode=1&amp;unlock","589841")</f>
        <v>589841</v>
      </c>
      <c r="E835" t="s">
        <v>167</v>
      </c>
      <c r="F835" t="s">
        <v>167</v>
      </c>
      <c r="G835" t="str">
        <f>HYPERLINK("http://www.ncbi.nlm.nih.gov/Taxonomy/Browser/wwwtax.cgi?mode=Info&amp;id=589841&amp;lvl=3&amp;lin=f&amp;keep=1&amp;srchmode=1&amp;unlock","Hypocryptadius cinnamomeus")</f>
        <v>Hypocryptadius cinnamomeus</v>
      </c>
      <c r="H835" t="s">
        <v>449</v>
      </c>
      <c r="I835" t="str">
        <f>HYPERLINK("http://www.ncbi.nlm.nih.gov/protein/NXR97164.1","ANDR protein")</f>
        <v>ANDR protein</v>
      </c>
      <c r="J835" t="s">
        <v>1261</v>
      </c>
      <c r="K835">
        <v>193.74</v>
      </c>
      <c r="L835" t="s">
        <v>25</v>
      </c>
      <c r="M835">
        <v>157</v>
      </c>
      <c r="N835">
        <v>62.55</v>
      </c>
      <c r="O835">
        <v>37.68</v>
      </c>
      <c r="P835" t="s">
        <v>20</v>
      </c>
      <c r="Q835" t="s">
        <v>1262</v>
      </c>
      <c r="R835" t="s">
        <v>20</v>
      </c>
      <c r="S835" t="str">
        <f>HYPERLINK("https://cfpub.epa.gov/ecotox/explore.cfm?ncbi=589841","Explore in ECOTOX")</f>
        <v>Explore in ECOTOX</v>
      </c>
    </row>
    <row r="836" spans="1:19" x14ac:dyDescent="0.25">
      <c r="A836">
        <v>6</v>
      </c>
      <c r="B836" t="str">
        <f>HYPERLINK("http://www.ncbi.nlm.nih.gov/protein/ACR43485.1","ACR43485.1")</f>
        <v>ACR43485.1</v>
      </c>
      <c r="C836">
        <v>157</v>
      </c>
      <c r="D836" t="str">
        <f>HYPERLINK("http://www.ncbi.nlm.nih.gov/Taxonomy/Browser/wwwtax.cgi?mode=Info&amp;id=309541&amp;lvl=3&amp;lin=f&amp;keep=1&amp;srchmode=1&amp;unlock","309541")</f>
        <v>309541</v>
      </c>
      <c r="E836" t="s">
        <v>384</v>
      </c>
      <c r="F836" t="s">
        <v>384</v>
      </c>
      <c r="G836" t="str">
        <f>HYPERLINK("http://www.ncbi.nlm.nih.gov/Taxonomy/Browser/wwwtax.cgi?mode=Info&amp;id=309541&amp;lvl=3&amp;lin=f&amp;keep=1&amp;srchmode=1&amp;unlock","Takifugu obscurus")</f>
        <v>Takifugu obscurus</v>
      </c>
      <c r="H836" t="s">
        <v>1068</v>
      </c>
      <c r="I836" t="str">
        <f>HYPERLINK("http://www.ncbi.nlm.nih.gov/protein/ACR43485.1","mineralocorticoid receptor, partial")</f>
        <v>mineralocorticoid receptor, partial</v>
      </c>
      <c r="J836" t="s">
        <v>1261</v>
      </c>
      <c r="K836">
        <v>193.36</v>
      </c>
      <c r="L836" t="s">
        <v>25</v>
      </c>
      <c r="M836">
        <v>157</v>
      </c>
      <c r="N836">
        <v>62.55</v>
      </c>
      <c r="O836">
        <v>37.6</v>
      </c>
      <c r="P836" t="s">
        <v>20</v>
      </c>
      <c r="Q836" t="s">
        <v>1262</v>
      </c>
      <c r="R836" t="s">
        <v>20</v>
      </c>
      <c r="S836" t="str">
        <f>HYPERLINK("https://cfpub.epa.gov/ecotox/explore.cfm?ncbi=309541","Explore in ECOTOX")</f>
        <v>Explore in ECOTOX</v>
      </c>
    </row>
    <row r="837" spans="1:19" x14ac:dyDescent="0.25">
      <c r="A837">
        <v>6</v>
      </c>
      <c r="B837" t="str">
        <f>HYPERLINK("http://www.ncbi.nlm.nih.gov/protein/AAB20244.1","AAB20244.1")</f>
        <v>AAB20244.1</v>
      </c>
      <c r="C837">
        <v>1095</v>
      </c>
      <c r="D837" t="str">
        <f>HYPERLINK("http://www.ncbi.nlm.nih.gov/Taxonomy/Browser/wwwtax.cgi?mode=Info&amp;id=10118&amp;lvl=3&amp;lin=f&amp;keep=1&amp;srchmode=1&amp;unlock","10118")</f>
        <v>10118</v>
      </c>
      <c r="E837" t="s">
        <v>18</v>
      </c>
      <c r="F837" t="s">
        <v>18</v>
      </c>
      <c r="G837" t="str">
        <f>HYPERLINK("http://www.ncbi.nlm.nih.gov/Taxonomy/Browser/wwwtax.cgi?mode=Info&amp;id=10118&amp;lvl=3&amp;lin=f&amp;keep=1&amp;srchmode=1&amp;unlock","Rattus sp.")</f>
        <v>Rattus sp.</v>
      </c>
      <c r="H837" t="s">
        <v>1269</v>
      </c>
      <c r="I837" t="str">
        <f>HYPERLINK("http://www.ncbi.nlm.nih.gov/protein/AAB20244.1","progesterone receptor steroid-binding domain, partial")</f>
        <v>progesterone receptor steroid-binding domain, partial</v>
      </c>
      <c r="J837" t="s">
        <v>1261</v>
      </c>
      <c r="K837">
        <v>192.2</v>
      </c>
      <c r="L837" t="s">
        <v>25</v>
      </c>
      <c r="M837">
        <v>157</v>
      </c>
      <c r="N837">
        <v>62.55</v>
      </c>
      <c r="O837">
        <v>37.380000000000003</v>
      </c>
      <c r="P837" t="s">
        <v>20</v>
      </c>
      <c r="Q837" t="s">
        <v>1262</v>
      </c>
      <c r="R837" t="s">
        <v>20</v>
      </c>
      <c r="S837" t="str">
        <f>HYPERLINK("https://cfpub.epa.gov/ecotox/explore.cfm?ncbi=10118","Explore in ECOTOX")</f>
        <v>Explore in ECOTOX</v>
      </c>
    </row>
    <row r="838" spans="1:19" x14ac:dyDescent="0.25">
      <c r="A838">
        <v>6</v>
      </c>
      <c r="B838" t="str">
        <f>HYPERLINK("http://www.ncbi.nlm.nih.gov/protein/ASU91839.1","ASU91839.1")</f>
        <v>ASU91839.1</v>
      </c>
      <c r="C838">
        <v>149</v>
      </c>
      <c r="D838" t="str">
        <f>HYPERLINK("http://www.ncbi.nlm.nih.gov/Taxonomy/Browser/wwwtax.cgi?mode=Info&amp;id=263867&amp;lvl=3&amp;lin=f&amp;keep=1&amp;srchmode=1&amp;unlock","263867")</f>
        <v>263867</v>
      </c>
      <c r="E838" t="s">
        <v>384</v>
      </c>
      <c r="F838" t="s">
        <v>384</v>
      </c>
      <c r="G838" t="str">
        <f>HYPERLINK("http://www.ncbi.nlm.nih.gov/Taxonomy/Browser/wwwtax.cgi?mode=Info&amp;id=263867&amp;lvl=3&amp;lin=f&amp;keep=1&amp;srchmode=1&amp;unlock","Tribolodon brandtii")</f>
        <v>Tribolodon brandtii</v>
      </c>
      <c r="H838" t="s">
        <v>1067</v>
      </c>
      <c r="I838" t="str">
        <f>HYPERLINK("http://www.ncbi.nlm.nih.gov/protein/ASU91839.1","androgen receptor, partial")</f>
        <v>androgen receptor, partial</v>
      </c>
      <c r="J838" t="s">
        <v>1261</v>
      </c>
      <c r="K838">
        <v>172.56</v>
      </c>
      <c r="L838" t="s">
        <v>25</v>
      </c>
      <c r="M838">
        <v>157</v>
      </c>
      <c r="N838">
        <v>62.55</v>
      </c>
      <c r="O838">
        <v>33.56</v>
      </c>
      <c r="P838" t="s">
        <v>20</v>
      </c>
      <c r="Q838" t="s">
        <v>1262</v>
      </c>
      <c r="R838" t="s">
        <v>20</v>
      </c>
      <c r="S838" t="str">
        <f>HYPERLINK("https://cfpub.epa.gov/ecotox/explore.cfm?ncbi=263867","Explore in ECOTOX")</f>
        <v>Explore in ECOTOX</v>
      </c>
    </row>
    <row r="839" spans="1:19" x14ac:dyDescent="0.25">
      <c r="A839">
        <v>6</v>
      </c>
      <c r="B839" t="str">
        <f>HYPERLINK("http://www.ncbi.nlm.nih.gov/protein/ACF75917.1","ACF75917.1")</f>
        <v>ACF75917.1</v>
      </c>
      <c r="C839">
        <v>40</v>
      </c>
      <c r="D839" t="str">
        <f>HYPERLINK("http://www.ncbi.nlm.nih.gov/Taxonomy/Browser/wwwtax.cgi?mode=Info&amp;id=33518&amp;lvl=3&amp;lin=f&amp;keep=1&amp;srchmode=1&amp;unlock","33518")</f>
        <v>33518</v>
      </c>
      <c r="E839" t="s">
        <v>384</v>
      </c>
      <c r="F839" t="s">
        <v>384</v>
      </c>
      <c r="G839" t="str">
        <f>HYPERLINK("http://www.ncbi.nlm.nih.gov/Taxonomy/Browser/wwwtax.cgi?mode=Info&amp;id=33518&amp;lvl=3&amp;lin=f&amp;keep=1&amp;srchmode=1&amp;unlock","Salmo marmoratus")</f>
        <v>Salmo marmoratus</v>
      </c>
      <c r="H839" t="s">
        <v>1071</v>
      </c>
      <c r="I839" t="str">
        <f>HYPERLINK("http://www.ncbi.nlm.nih.gov/protein/ACF75917.1","glucocorticoid receptor, partial")</f>
        <v>glucocorticoid receptor, partial</v>
      </c>
      <c r="J839" t="s">
        <v>1261</v>
      </c>
      <c r="K839">
        <v>171.4</v>
      </c>
      <c r="L839" t="s">
        <v>25</v>
      </c>
      <c r="M839">
        <v>157</v>
      </c>
      <c r="N839">
        <v>62.55</v>
      </c>
      <c r="O839">
        <v>33.33</v>
      </c>
      <c r="P839" t="s">
        <v>20</v>
      </c>
      <c r="Q839" t="s">
        <v>1262</v>
      </c>
      <c r="R839" t="s">
        <v>20</v>
      </c>
      <c r="S839" t="str">
        <f>HYPERLINK("https://cfpub.epa.gov/ecotox/explore.cfm?ncbi=33518","Explore in ECOTOX")</f>
        <v>Explore in ECOTOX</v>
      </c>
    </row>
    <row r="840" spans="1:19" x14ac:dyDescent="0.25">
      <c r="A840">
        <v>6</v>
      </c>
      <c r="B840" t="str">
        <f>HYPERLINK("http://www.ncbi.nlm.nih.gov/protein/AOC37996.1","AOC37996.1")</f>
        <v>AOC37996.1</v>
      </c>
      <c r="C840">
        <v>71</v>
      </c>
      <c r="D840" t="str">
        <f>HYPERLINK("http://www.ncbi.nlm.nih.gov/Taxonomy/Browser/wwwtax.cgi?mode=Info&amp;id=114435&amp;lvl=3&amp;lin=f&amp;keep=1&amp;srchmode=1&amp;unlock","114435")</f>
        <v>114435</v>
      </c>
      <c r="E840" t="s">
        <v>167</v>
      </c>
      <c r="F840" t="s">
        <v>167</v>
      </c>
      <c r="G840" t="str">
        <f>HYPERLINK("http://www.ncbi.nlm.nih.gov/Taxonomy/Browser/wwwtax.cgi?mode=Info&amp;id=114435&amp;lvl=3&amp;lin=f&amp;keep=1&amp;srchmode=1&amp;unlock","Cyanoramphus novaezelandiae")</f>
        <v>Cyanoramphus novaezelandiae</v>
      </c>
      <c r="H840" t="s">
        <v>424</v>
      </c>
      <c r="I840" t="str">
        <f>HYPERLINK("http://www.ncbi.nlm.nih.gov/protein/AOC37996.1","androgen receptor, partial")</f>
        <v>androgen receptor, partial</v>
      </c>
      <c r="J840" t="s">
        <v>1261</v>
      </c>
      <c r="K840">
        <v>171.4</v>
      </c>
      <c r="L840" t="s">
        <v>25</v>
      </c>
      <c r="M840">
        <v>157</v>
      </c>
      <c r="N840">
        <v>62.55</v>
      </c>
      <c r="O840">
        <v>33.33</v>
      </c>
      <c r="P840" t="s">
        <v>20</v>
      </c>
      <c r="Q840" t="s">
        <v>1262</v>
      </c>
      <c r="R840" t="s">
        <v>20</v>
      </c>
      <c r="S840" t="str">
        <f>HYPERLINK("https://cfpub.epa.gov/ecotox/explore.cfm?ncbi=114435","Explore in ECOTOX")</f>
        <v>Explore in ECOTOX</v>
      </c>
    </row>
    <row r="841" spans="1:19" x14ac:dyDescent="0.25">
      <c r="A841">
        <v>6</v>
      </c>
      <c r="B841" t="str">
        <f>HYPERLINK("http://www.ncbi.nlm.nih.gov/protein/ABH10951.1","ABH10951.1")</f>
        <v>ABH10951.1</v>
      </c>
      <c r="C841">
        <v>247</v>
      </c>
      <c r="D841" t="str">
        <f>HYPERLINK("http://www.ncbi.nlm.nih.gov/Taxonomy/Browser/wwwtax.cgi?mode=Info&amp;id=34903&amp;lvl=3&amp;lin=f&amp;keep=1&amp;srchmode=1&amp;unlock","34903")</f>
        <v>34903</v>
      </c>
      <c r="E841" t="s">
        <v>321</v>
      </c>
      <c r="F841" t="s">
        <v>321</v>
      </c>
      <c r="G841" t="str">
        <f>HYPERLINK("http://www.ncbi.nlm.nih.gov/Taxonomy/Browser/wwwtax.cgi?mode=Info&amp;id=34903&amp;lvl=3&amp;lin=f&amp;keep=1&amp;srchmode=1&amp;unlock","Trachemys scripta")</f>
        <v>Trachemys scripta</v>
      </c>
      <c r="H841" t="s">
        <v>343</v>
      </c>
      <c r="I841" t="str">
        <f>HYPERLINK("http://www.ncbi.nlm.nih.gov/protein/ABH10951.1","androgen receptor, partial")</f>
        <v>androgen receptor, partial</v>
      </c>
      <c r="J841" t="s">
        <v>1261</v>
      </c>
      <c r="K841">
        <v>167.16</v>
      </c>
      <c r="L841" t="s">
        <v>25</v>
      </c>
      <c r="M841">
        <v>157</v>
      </c>
      <c r="N841">
        <v>62.55</v>
      </c>
      <c r="O841">
        <v>32.51</v>
      </c>
      <c r="P841" t="s">
        <v>20</v>
      </c>
      <c r="Q841" t="s">
        <v>1262</v>
      </c>
      <c r="R841" t="s">
        <v>20</v>
      </c>
      <c r="S841" t="str">
        <f>HYPERLINK("https://cfpub.epa.gov/ecotox/explore.cfm?ncbi=34903","Explore in ECOTOX")</f>
        <v>Explore in ECOTOX</v>
      </c>
    </row>
    <row r="842" spans="1:19" x14ac:dyDescent="0.25">
      <c r="A842">
        <v>6</v>
      </c>
      <c r="B842" t="str">
        <f>HYPERLINK("http://www.ncbi.nlm.nih.gov/protein/ABR87006.1","ABR87006.1")</f>
        <v>ABR87006.1</v>
      </c>
      <c r="C842">
        <v>191</v>
      </c>
      <c r="D842" t="str">
        <f>HYPERLINK("http://www.ncbi.nlm.nih.gov/Taxonomy/Browser/wwwtax.cgi?mode=Info&amp;id=8020&amp;lvl=3&amp;lin=f&amp;keep=1&amp;srchmode=1&amp;unlock","8020")</f>
        <v>8020</v>
      </c>
      <c r="E842" t="s">
        <v>384</v>
      </c>
      <c r="F842" t="s">
        <v>384</v>
      </c>
      <c r="G842" t="str">
        <f>HYPERLINK("http://www.ncbi.nlm.nih.gov/Taxonomy/Browser/wwwtax.cgi?mode=Info&amp;id=8020&amp;lvl=3&amp;lin=f&amp;keep=1&amp;srchmode=1&amp;unlock","Oncorhynchus masou")</f>
        <v>Oncorhynchus masou</v>
      </c>
      <c r="H842" t="s">
        <v>1270</v>
      </c>
      <c r="I842" t="str">
        <f>HYPERLINK("http://www.ncbi.nlm.nih.gov/protein/ABR87006.1","mineralocorticoid receptor variant A, partial")</f>
        <v>mineralocorticoid receptor variant A, partial</v>
      </c>
      <c r="J842" t="s">
        <v>1261</v>
      </c>
      <c r="K842">
        <v>166.39</v>
      </c>
      <c r="L842" t="s">
        <v>25</v>
      </c>
      <c r="M842">
        <v>157</v>
      </c>
      <c r="N842">
        <v>62.55</v>
      </c>
      <c r="O842">
        <v>32.36</v>
      </c>
      <c r="P842" t="s">
        <v>20</v>
      </c>
      <c r="Q842" t="s">
        <v>1262</v>
      </c>
      <c r="R842" t="s">
        <v>20</v>
      </c>
      <c r="S842" t="str">
        <f>HYPERLINK("https://cfpub.epa.gov/ecotox/explore.cfm?ncbi=8020","Explore in ECOTOX")</f>
        <v>Explore in ECOTOX</v>
      </c>
    </row>
    <row r="843" spans="1:19" x14ac:dyDescent="0.25">
      <c r="A843">
        <v>6</v>
      </c>
      <c r="B843" t="str">
        <f>HYPERLINK("http://www.ncbi.nlm.nih.gov/protein/AEI16508.1","AEI16508.1")</f>
        <v>AEI16508.1</v>
      </c>
      <c r="C843">
        <v>248</v>
      </c>
      <c r="D843" t="str">
        <f>HYPERLINK("http://www.ncbi.nlm.nih.gov/Taxonomy/Browser/wwwtax.cgi?mode=Info&amp;id=48171&amp;lvl=3&amp;lin=f&amp;keep=1&amp;srchmode=1&amp;unlock","48171")</f>
        <v>48171</v>
      </c>
      <c r="E843" t="s">
        <v>384</v>
      </c>
      <c r="F843" t="s">
        <v>384</v>
      </c>
      <c r="G843" t="str">
        <f>HYPERLINK("http://www.ncbi.nlm.nih.gov/Taxonomy/Browser/wwwtax.cgi?mode=Info&amp;id=48171&amp;lvl=3&amp;lin=f&amp;keep=1&amp;srchmode=1&amp;unlock","Chelon labrosus")</f>
        <v>Chelon labrosus</v>
      </c>
      <c r="H843" t="s">
        <v>1271</v>
      </c>
      <c r="I843" t="str">
        <f>HYPERLINK("http://www.ncbi.nlm.nih.gov/protein/AEI16508.1","androgen receptor, partial")</f>
        <v>androgen receptor, partial</v>
      </c>
      <c r="J843" t="s">
        <v>1261</v>
      </c>
      <c r="K843">
        <v>165.62</v>
      </c>
      <c r="L843" t="s">
        <v>25</v>
      </c>
      <c r="M843">
        <v>157</v>
      </c>
      <c r="N843">
        <v>62.55</v>
      </c>
      <c r="O843">
        <v>32.21</v>
      </c>
      <c r="P843" t="s">
        <v>20</v>
      </c>
      <c r="Q843" t="s">
        <v>1262</v>
      </c>
      <c r="R843" t="s">
        <v>20</v>
      </c>
      <c r="S843" t="str">
        <f>HYPERLINK("https://cfpub.epa.gov/ecotox/explore.cfm?ncbi=48171","Explore in ECOTOX")</f>
        <v>Explore in ECOTOX</v>
      </c>
    </row>
    <row r="844" spans="1:19" x14ac:dyDescent="0.25">
      <c r="A844">
        <v>6</v>
      </c>
      <c r="B844" t="str">
        <f>HYPERLINK("http://www.ncbi.nlm.nih.gov/protein/P79373.1","P79373.1")</f>
        <v>P79373.1</v>
      </c>
      <c r="C844">
        <v>676</v>
      </c>
      <c r="D844" t="str">
        <f>HYPERLINK("http://www.ncbi.nlm.nih.gov/Taxonomy/Browser/wwwtax.cgi?mode=Info&amp;id=9315&amp;lvl=3&amp;lin=f&amp;keep=1&amp;srchmode=1&amp;unlock","9315")</f>
        <v>9315</v>
      </c>
      <c r="E844" t="s">
        <v>18</v>
      </c>
      <c r="F844" t="s">
        <v>18</v>
      </c>
      <c r="G844" t="str">
        <f>HYPERLINK("http://www.ncbi.nlm.nih.gov/Taxonomy/Browser/wwwtax.cgi?mode=Info&amp;id=9315&amp;lvl=3&amp;lin=f&amp;keep=1&amp;srchmode=1&amp;unlock","Notamacropus eugenii")</f>
        <v>Notamacropus eugenii</v>
      </c>
      <c r="H844" t="s">
        <v>1272</v>
      </c>
      <c r="I844" t="str">
        <f>HYPERLINK("http://www.ncbi.nlm.nih.gov/protein/P79373.1","RecName: Full=Progesterone receptor; Short=PR; AltName: Full=Nuclear receptor subfamily 3 group C member 3")</f>
        <v>RecName: Full=Progesterone receptor; Short=PR; AltName: Full=Nuclear receptor subfamily 3 group C member 3</v>
      </c>
      <c r="J844" t="s">
        <v>1261</v>
      </c>
      <c r="K844">
        <v>157.91999999999999</v>
      </c>
      <c r="L844" t="s">
        <v>25</v>
      </c>
      <c r="M844">
        <v>157</v>
      </c>
      <c r="N844">
        <v>62.55</v>
      </c>
      <c r="O844">
        <v>30.71</v>
      </c>
      <c r="P844" t="s">
        <v>20</v>
      </c>
      <c r="Q844" t="s">
        <v>1262</v>
      </c>
      <c r="R844" t="s">
        <v>20</v>
      </c>
      <c r="S844" t="str">
        <f>HYPERLINK("https://cfpub.epa.gov/ecotox/explore.cfm?ncbi=9315","Explore in ECOTOX")</f>
        <v>Explore in ECOTOX</v>
      </c>
    </row>
    <row r="845" spans="1:19" x14ac:dyDescent="0.25">
      <c r="A845">
        <v>6</v>
      </c>
      <c r="B845" t="str">
        <f>HYPERLINK("http://www.ncbi.nlm.nih.gov/protein/AAK69417.2","AAK69417.2")</f>
        <v>AAK69417.2</v>
      </c>
      <c r="C845">
        <v>244</v>
      </c>
      <c r="D845" t="str">
        <f>HYPERLINK("http://www.ncbi.nlm.nih.gov/Taxonomy/Browser/wwwtax.cgi?mode=Info&amp;id=48253&amp;lvl=3&amp;lin=f&amp;keep=1&amp;srchmode=1&amp;unlock","48253")</f>
        <v>48253</v>
      </c>
      <c r="E845" t="s">
        <v>236</v>
      </c>
      <c r="F845" t="s">
        <v>236</v>
      </c>
      <c r="G845" t="str">
        <f>HYPERLINK("http://www.ncbi.nlm.nih.gov/Taxonomy/Browser/wwwtax.cgi?mode=Info&amp;id=48253&amp;lvl=3&amp;lin=f&amp;keep=1&amp;srchmode=1&amp;unlock","Calotes versicolor")</f>
        <v>Calotes versicolor</v>
      </c>
      <c r="H845" t="s">
        <v>1273</v>
      </c>
      <c r="I845" t="str">
        <f>HYPERLINK("http://www.ncbi.nlm.nih.gov/protein/AAK69417.2","androgen receptor protein, partial")</f>
        <v>androgen receptor protein, partial</v>
      </c>
      <c r="J845" t="s">
        <v>1261</v>
      </c>
      <c r="K845">
        <v>149.83000000000001</v>
      </c>
      <c r="L845" t="s">
        <v>25</v>
      </c>
      <c r="M845">
        <v>157</v>
      </c>
      <c r="N845">
        <v>62.55</v>
      </c>
      <c r="O845">
        <v>29.14</v>
      </c>
      <c r="P845" t="s">
        <v>20</v>
      </c>
      <c r="Q845" t="s">
        <v>1262</v>
      </c>
      <c r="R845" t="s">
        <v>20</v>
      </c>
      <c r="S845" t="str">
        <f>HYPERLINK("https://cfpub.epa.gov/ecotox/explore.cfm?ncbi=48253","Explore in ECOTOX")</f>
        <v>Explore in ECOTOX</v>
      </c>
    </row>
    <row r="846" spans="1:19" x14ac:dyDescent="0.25">
      <c r="A846">
        <v>6</v>
      </c>
      <c r="B846" t="str">
        <f>HYPERLINK("http://www.ncbi.nlm.nih.gov/protein/AZU89677.1","AZU89677.1")</f>
        <v>AZU89677.1</v>
      </c>
      <c r="C846">
        <v>106</v>
      </c>
      <c r="D846" t="str">
        <f>HYPERLINK("http://www.ncbi.nlm.nih.gov/Taxonomy/Browser/wwwtax.cgi?mode=Info&amp;id=9707&amp;lvl=3&amp;lin=f&amp;keep=1&amp;srchmode=1&amp;unlock","9707")</f>
        <v>9707</v>
      </c>
      <c r="E846" t="s">
        <v>18</v>
      </c>
      <c r="F846" t="s">
        <v>18</v>
      </c>
      <c r="G846" t="str">
        <f>HYPERLINK("http://www.ncbi.nlm.nih.gov/Taxonomy/Browser/wwwtax.cgi?mode=Info&amp;id=9707&amp;lvl=3&amp;lin=f&amp;keep=1&amp;srchmode=1&amp;unlock","Odobenus rosmarus")</f>
        <v>Odobenus rosmarus</v>
      </c>
      <c r="H846" t="s">
        <v>1072</v>
      </c>
      <c r="I846" t="str">
        <f>HYPERLINK("http://www.ncbi.nlm.nih.gov/protein/AZU89677.1","nuclear receptor subfamily 3 group C member 1, partial")</f>
        <v>nuclear receptor subfamily 3 group C member 1, partial</v>
      </c>
      <c r="J846" t="s">
        <v>1261</v>
      </c>
      <c r="K846">
        <v>146.36000000000001</v>
      </c>
      <c r="L846" t="s">
        <v>25</v>
      </c>
      <c r="M846">
        <v>157</v>
      </c>
      <c r="N846">
        <v>62.55</v>
      </c>
      <c r="O846">
        <v>28.46</v>
      </c>
      <c r="P846" t="s">
        <v>20</v>
      </c>
      <c r="Q846" t="s">
        <v>1262</v>
      </c>
      <c r="R846" t="s">
        <v>20</v>
      </c>
      <c r="S846" t="str">
        <f>HYPERLINK("https://cfpub.epa.gov/ecotox/explore.cfm?ncbi=9707","Explore in ECOTOX")</f>
        <v>Explore in ECOTOX</v>
      </c>
    </row>
    <row r="847" spans="1:19" x14ac:dyDescent="0.25">
      <c r="A847">
        <v>6</v>
      </c>
      <c r="B847" t="str">
        <f>HYPERLINK("http://www.ncbi.nlm.nih.gov/protein/AEB16007.1","AEB16007.1")</f>
        <v>AEB16007.1</v>
      </c>
      <c r="C847">
        <v>101</v>
      </c>
      <c r="D847" t="str">
        <f>HYPERLINK("http://www.ncbi.nlm.nih.gov/Taxonomy/Browser/wwwtax.cgi?mode=Info&amp;id=58176&amp;lvl=3&amp;lin=f&amp;keep=1&amp;srchmode=1&amp;unlock","58176")</f>
        <v>58176</v>
      </c>
      <c r="E847" t="s">
        <v>134</v>
      </c>
      <c r="F847" t="s">
        <v>134</v>
      </c>
      <c r="G847" t="str">
        <f>HYPERLINK("http://www.ncbi.nlm.nih.gov/Taxonomy/Browser/wwwtax.cgi?mode=Info&amp;id=58176&amp;lvl=3&amp;lin=f&amp;keep=1&amp;srchmode=1&amp;unlock","Rana luteiventris")</f>
        <v>Rana luteiventris</v>
      </c>
      <c r="H847" t="s">
        <v>1274</v>
      </c>
      <c r="I847" t="str">
        <f>HYPERLINK("http://www.ncbi.nlm.nih.gov/protein/AEB16007.1","androgen receptor, partial")</f>
        <v>androgen receptor, partial</v>
      </c>
      <c r="J847" t="s">
        <v>1261</v>
      </c>
      <c r="K847">
        <v>146.36000000000001</v>
      </c>
      <c r="L847" t="s">
        <v>25</v>
      </c>
      <c r="M847">
        <v>157</v>
      </c>
      <c r="N847">
        <v>62.55</v>
      </c>
      <c r="O847">
        <v>28.46</v>
      </c>
      <c r="P847" t="s">
        <v>20</v>
      </c>
      <c r="Q847" t="s">
        <v>1262</v>
      </c>
      <c r="R847" t="s">
        <v>20</v>
      </c>
      <c r="S847" t="str">
        <f>HYPERLINK("https://cfpub.epa.gov/ecotox/explore.cfm?ncbi=58176","Explore in ECOTOX")</f>
        <v>Explore in ECOTOX</v>
      </c>
    </row>
    <row r="848" spans="1:19" x14ac:dyDescent="0.25">
      <c r="A848">
        <v>6</v>
      </c>
      <c r="B848" t="str">
        <f>HYPERLINK("http://www.ncbi.nlm.nih.gov/protein/AEO90276.1","AEO90276.1")</f>
        <v>AEO90276.1</v>
      </c>
      <c r="C848">
        <v>96</v>
      </c>
      <c r="D848" t="str">
        <f>HYPERLINK("http://www.ncbi.nlm.nih.gov/Taxonomy/Browser/wwwtax.cgi?mode=Info&amp;id=216193&amp;lvl=3&amp;lin=f&amp;keep=1&amp;srchmode=1&amp;unlock","216193")</f>
        <v>216193</v>
      </c>
      <c r="E848" t="s">
        <v>167</v>
      </c>
      <c r="F848" t="s">
        <v>167</v>
      </c>
      <c r="G848" t="str">
        <f>HYPERLINK("http://www.ncbi.nlm.nih.gov/Taxonomy/Browser/wwwtax.cgi?mode=Info&amp;id=216193&amp;lvl=3&amp;lin=f&amp;keep=1&amp;srchmode=1&amp;unlock","Sylvia communis")</f>
        <v>Sylvia communis</v>
      </c>
      <c r="H848" t="s">
        <v>1275</v>
      </c>
      <c r="I848" t="str">
        <f>HYPERLINK("http://www.ncbi.nlm.nih.gov/protein/AEO90276.1","androgen receptor, partial")</f>
        <v>androgen receptor, partial</v>
      </c>
      <c r="J848" t="s">
        <v>1261</v>
      </c>
      <c r="K848">
        <v>138.27000000000001</v>
      </c>
      <c r="L848" t="s">
        <v>25</v>
      </c>
      <c r="M848">
        <v>157</v>
      </c>
      <c r="N848">
        <v>62.55</v>
      </c>
      <c r="O848">
        <v>26.89</v>
      </c>
      <c r="P848" t="s">
        <v>20</v>
      </c>
      <c r="Q848" t="s">
        <v>1262</v>
      </c>
      <c r="R848" t="s">
        <v>20</v>
      </c>
      <c r="S848" t="str">
        <f>HYPERLINK("https://cfpub.epa.gov/ecotox/explore.cfm?ncbi=216193","Explore in ECOTOX")</f>
        <v>Explore in ECOTOX</v>
      </c>
    </row>
    <row r="849" spans="1:19" x14ac:dyDescent="0.25">
      <c r="A849">
        <v>6</v>
      </c>
      <c r="B849" t="str">
        <f>HYPERLINK("http://www.ncbi.nlm.nih.gov/protein/AEO90277.1","AEO90277.1")</f>
        <v>AEO90277.1</v>
      </c>
      <c r="C849">
        <v>143</v>
      </c>
      <c r="D849" t="str">
        <f>HYPERLINK("http://www.ncbi.nlm.nih.gov/Taxonomy/Browser/wwwtax.cgi?mode=Info&amp;id=88112&amp;lvl=3&amp;lin=f&amp;keep=1&amp;srchmode=1&amp;unlock","88112")</f>
        <v>88112</v>
      </c>
      <c r="E849" t="s">
        <v>167</v>
      </c>
      <c r="F849" t="s">
        <v>167</v>
      </c>
      <c r="G849" t="str">
        <f>HYPERLINK("http://www.ncbi.nlm.nih.gov/Taxonomy/Browser/wwwtax.cgi?mode=Info&amp;id=88112&amp;lvl=3&amp;lin=f&amp;keep=1&amp;srchmode=1&amp;unlock","Alauda arvensis")</f>
        <v>Alauda arvensis</v>
      </c>
      <c r="H849" t="s">
        <v>1276</v>
      </c>
      <c r="I849" t="str">
        <f>HYPERLINK("http://www.ncbi.nlm.nih.gov/protein/AEO90277.1","androgen receptor, partial")</f>
        <v>androgen receptor, partial</v>
      </c>
      <c r="J849" t="s">
        <v>1261</v>
      </c>
      <c r="K849">
        <v>136.72999999999999</v>
      </c>
      <c r="L849" t="s">
        <v>25</v>
      </c>
      <c r="M849">
        <v>157</v>
      </c>
      <c r="N849">
        <v>62.55</v>
      </c>
      <c r="O849">
        <v>26.59</v>
      </c>
      <c r="P849" t="s">
        <v>20</v>
      </c>
      <c r="Q849" t="s">
        <v>1262</v>
      </c>
      <c r="R849" t="s">
        <v>20</v>
      </c>
      <c r="S849" t="str">
        <f>HYPERLINK("https://cfpub.epa.gov/ecotox/explore.cfm?ncbi=88112","Explore in ECOTOX")</f>
        <v>Explore in ECOTOX</v>
      </c>
    </row>
    <row r="850" spans="1:19" x14ac:dyDescent="0.25">
      <c r="A850">
        <v>6</v>
      </c>
      <c r="B850" t="str">
        <f>HYPERLINK("http://www.ncbi.nlm.nih.gov/protein/AEO90278.1","AEO90278.1")</f>
        <v>AEO90278.1</v>
      </c>
      <c r="C850">
        <v>147</v>
      </c>
      <c r="D850" t="str">
        <f>HYPERLINK("http://www.ncbi.nlm.nih.gov/Taxonomy/Browser/wwwtax.cgi?mode=Info&amp;id=68468&amp;lvl=3&amp;lin=f&amp;keep=1&amp;srchmode=1&amp;unlock","68468")</f>
        <v>68468</v>
      </c>
      <c r="E850" t="s">
        <v>167</v>
      </c>
      <c r="F850" t="s">
        <v>167</v>
      </c>
      <c r="G850" t="str">
        <f>HYPERLINK("http://www.ncbi.nlm.nih.gov/Taxonomy/Browser/wwwtax.cgi?mode=Info&amp;id=68468&amp;lvl=3&amp;lin=f&amp;keep=1&amp;srchmode=1&amp;unlock","Regulus regulus")</f>
        <v>Regulus regulus</v>
      </c>
      <c r="H850" t="s">
        <v>395</v>
      </c>
      <c r="I850" t="str">
        <f>HYPERLINK("http://www.ncbi.nlm.nih.gov/protein/AEO90278.1","androgen receptor, partial")</f>
        <v>androgen receptor, partial</v>
      </c>
      <c r="J850" t="s">
        <v>1261</v>
      </c>
      <c r="K850">
        <v>134.41999999999999</v>
      </c>
      <c r="L850" t="s">
        <v>25</v>
      </c>
      <c r="M850">
        <v>157</v>
      </c>
      <c r="N850">
        <v>62.55</v>
      </c>
      <c r="O850">
        <v>26.14</v>
      </c>
      <c r="P850" t="s">
        <v>20</v>
      </c>
      <c r="Q850" t="s">
        <v>1262</v>
      </c>
      <c r="R850" t="s">
        <v>20</v>
      </c>
      <c r="S850" t="str">
        <f>HYPERLINK("https://cfpub.epa.gov/ecotox/explore.cfm?ncbi=68468","Explore in ECOTOX")</f>
        <v>Explore in ECOTOX</v>
      </c>
    </row>
    <row r="851" spans="1:19" x14ac:dyDescent="0.25">
      <c r="A851">
        <v>6</v>
      </c>
      <c r="B851" t="str">
        <f>HYPERLINK("http://www.ncbi.nlm.nih.gov/protein/AAX18245.1","AAX18245.1")</f>
        <v>AAX18245.1</v>
      </c>
      <c r="C851">
        <v>125</v>
      </c>
      <c r="D851" t="str">
        <f>HYPERLINK("http://www.ncbi.nlm.nih.gov/Taxonomy/Browser/wwwtax.cgi?mode=Info&amp;id=7904&amp;lvl=3&amp;lin=f&amp;keep=1&amp;srchmode=1&amp;unlock","7904")</f>
        <v>7904</v>
      </c>
      <c r="E851" t="s">
        <v>384</v>
      </c>
      <c r="F851" t="s">
        <v>384</v>
      </c>
      <c r="G851" t="str">
        <f>HYPERLINK("http://www.ncbi.nlm.nih.gov/Taxonomy/Browser/wwwtax.cgi?mode=Info&amp;id=7904&amp;lvl=3&amp;lin=f&amp;keep=1&amp;srchmode=1&amp;unlock","Acipenser transmontanus")</f>
        <v>Acipenser transmontanus</v>
      </c>
      <c r="H851" t="s">
        <v>1277</v>
      </c>
      <c r="I851" t="str">
        <f>HYPERLINK("http://www.ncbi.nlm.nih.gov/protein/AAX18245.1","mineralocorticoid receptor, partial")</f>
        <v>mineralocorticoid receptor, partial</v>
      </c>
      <c r="J851" t="s">
        <v>1261</v>
      </c>
      <c r="K851">
        <v>134.03</v>
      </c>
      <c r="L851" t="s">
        <v>25</v>
      </c>
      <c r="M851">
        <v>157</v>
      </c>
      <c r="N851">
        <v>62.55</v>
      </c>
      <c r="O851">
        <v>26.07</v>
      </c>
      <c r="P851" t="s">
        <v>20</v>
      </c>
      <c r="Q851" t="s">
        <v>1262</v>
      </c>
      <c r="R851" t="s">
        <v>20</v>
      </c>
      <c r="S851" t="str">
        <f>HYPERLINK("https://cfpub.epa.gov/ecotox/explore.cfm?ncbi=7904","Explore in ECOTOX")</f>
        <v>Explore in ECOTOX</v>
      </c>
    </row>
    <row r="852" spans="1:19" x14ac:dyDescent="0.25">
      <c r="A852">
        <v>6</v>
      </c>
      <c r="B852" t="str">
        <f>HYPERLINK("http://www.ncbi.nlm.nih.gov/protein/NXG92673.1","NXG92673.1")</f>
        <v>NXG92673.1</v>
      </c>
      <c r="C852">
        <v>13947</v>
      </c>
      <c r="D852" t="str">
        <f>HYPERLINK("http://www.ncbi.nlm.nih.gov/Taxonomy/Browser/wwwtax.cgi?mode=Info&amp;id=54059&amp;lvl=3&amp;lin=f&amp;keep=1&amp;srchmode=1&amp;unlock","54059")</f>
        <v>54059</v>
      </c>
      <c r="E852" t="s">
        <v>167</v>
      </c>
      <c r="F852" t="s">
        <v>167</v>
      </c>
      <c r="G852" t="str">
        <f>HYPERLINK("http://www.ncbi.nlm.nih.gov/Taxonomy/Browser/wwwtax.cgi?mode=Info&amp;id=54059&amp;lvl=3&amp;lin=f&amp;keep=1&amp;srchmode=1&amp;unlock","Stercorarius parasiticus")</f>
        <v>Stercorarius parasiticus</v>
      </c>
      <c r="H852" t="s">
        <v>185</v>
      </c>
      <c r="I852" t="str">
        <f>HYPERLINK("http://www.ncbi.nlm.nih.gov/protein/NXG92673.1","MCR protein")</f>
        <v>MCR protein</v>
      </c>
      <c r="J852" t="s">
        <v>1261</v>
      </c>
      <c r="K852">
        <v>131.72</v>
      </c>
      <c r="L852" t="s">
        <v>25</v>
      </c>
      <c r="M852">
        <v>157</v>
      </c>
      <c r="N852">
        <v>62.55</v>
      </c>
      <c r="O852">
        <v>25.62</v>
      </c>
      <c r="P852" t="s">
        <v>20</v>
      </c>
      <c r="Q852" t="s">
        <v>1262</v>
      </c>
      <c r="R852" t="s">
        <v>20</v>
      </c>
      <c r="S852" t="str">
        <f>HYPERLINK("https://cfpub.epa.gov/ecotox/explore.cfm?ncbi=54059","Explore in ECOTOX")</f>
        <v>Explore in ECOTOX</v>
      </c>
    </row>
    <row r="853" spans="1:19" x14ac:dyDescent="0.25">
      <c r="A853">
        <v>6</v>
      </c>
      <c r="B853" t="str">
        <f>HYPERLINK("http://www.ncbi.nlm.nih.gov/protein/NXS49218.1","NXS49218.1")</f>
        <v>NXS49218.1</v>
      </c>
      <c r="C853">
        <v>12289</v>
      </c>
      <c r="D853" t="str">
        <f>HYPERLINK("http://www.ncbi.nlm.nih.gov/Taxonomy/Browser/wwwtax.cgi?mode=Info&amp;id=33584&amp;lvl=3&amp;lin=f&amp;keep=1&amp;srchmode=1&amp;unlock","33584")</f>
        <v>33584</v>
      </c>
      <c r="E853" t="s">
        <v>167</v>
      </c>
      <c r="F853" t="s">
        <v>167</v>
      </c>
      <c r="G853" t="str">
        <f>HYPERLINK("http://www.ncbi.nlm.nih.gov/Taxonomy/Browser/wwwtax.cgi?mode=Info&amp;id=33584&amp;lvl=3&amp;lin=f&amp;keep=1&amp;srchmode=1&amp;unlock","Balaeniceps rex")</f>
        <v>Balaeniceps rex</v>
      </c>
      <c r="H853" t="s">
        <v>399</v>
      </c>
      <c r="I853" t="str">
        <f>HYPERLINK("http://www.ncbi.nlm.nih.gov/protein/NXS49218.1","MCR protein")</f>
        <v>MCR protein</v>
      </c>
      <c r="J853" t="s">
        <v>1261</v>
      </c>
      <c r="K853">
        <v>131.72</v>
      </c>
      <c r="L853" t="s">
        <v>25</v>
      </c>
      <c r="M853">
        <v>157</v>
      </c>
      <c r="N853">
        <v>62.55</v>
      </c>
      <c r="O853">
        <v>25.62</v>
      </c>
      <c r="P853" t="s">
        <v>20</v>
      </c>
      <c r="Q853" t="s">
        <v>1262</v>
      </c>
      <c r="R853" t="s">
        <v>20</v>
      </c>
      <c r="S853" t="str">
        <f>HYPERLINK("https://cfpub.epa.gov/ecotox/explore.cfm?ncbi=33584","Explore in ECOTOX")</f>
        <v>Explore in ECOTOX</v>
      </c>
    </row>
    <row r="854" spans="1:19" x14ac:dyDescent="0.25">
      <c r="A854">
        <v>6</v>
      </c>
      <c r="B854" t="str">
        <f>HYPERLINK("http://www.ncbi.nlm.nih.gov/protein/AFC77924.1","AFC77924.1")</f>
        <v>AFC77924.1</v>
      </c>
      <c r="C854">
        <v>722</v>
      </c>
      <c r="D854" t="str">
        <f>HYPERLINK("http://www.ncbi.nlm.nih.gov/Taxonomy/Browser/wwwtax.cgi?mode=Info&amp;id=65484&amp;lvl=3&amp;lin=f&amp;keep=1&amp;srchmode=1&amp;unlock","65484")</f>
        <v>65484</v>
      </c>
      <c r="E854" t="s">
        <v>236</v>
      </c>
      <c r="F854" t="s">
        <v>236</v>
      </c>
      <c r="G854" t="str">
        <f>HYPERLINK("http://www.ncbi.nlm.nih.gov/Taxonomy/Browser/wwwtax.cgi?mode=Info&amp;id=65484&amp;lvl=3&amp;lin=f&amp;keep=1&amp;srchmode=1&amp;unlock","Podarcis siculus")</f>
        <v>Podarcis siculus</v>
      </c>
      <c r="H854" t="s">
        <v>1278</v>
      </c>
      <c r="I854" t="str">
        <f>HYPERLINK("http://www.ncbi.nlm.nih.gov/protein/AFC77924.1","androgen receptor, partial")</f>
        <v>androgen receptor, partial</v>
      </c>
      <c r="J854" t="s">
        <v>1261</v>
      </c>
      <c r="K854">
        <v>127.49</v>
      </c>
      <c r="L854" t="s">
        <v>25</v>
      </c>
      <c r="M854">
        <v>157</v>
      </c>
      <c r="N854">
        <v>62.55</v>
      </c>
      <c r="O854">
        <v>24.79</v>
      </c>
      <c r="P854" t="s">
        <v>20</v>
      </c>
      <c r="Q854" t="s">
        <v>1262</v>
      </c>
      <c r="R854" t="s">
        <v>20</v>
      </c>
      <c r="S854" t="str">
        <f>HYPERLINK("https://cfpub.epa.gov/ecotox/explore.cfm?ncbi=65484","Explore in ECOTOX")</f>
        <v>Explore in ECOTOX</v>
      </c>
    </row>
    <row r="855" spans="1:19" x14ac:dyDescent="0.25">
      <c r="A855">
        <v>6</v>
      </c>
      <c r="B855" t="str">
        <f>HYPERLINK("http://www.ncbi.nlm.nih.gov/protein/ABF50780.1","ABF50780.1")</f>
        <v>ABF50780.1</v>
      </c>
      <c r="C855">
        <v>28</v>
      </c>
      <c r="D855" t="str">
        <f>HYPERLINK("http://www.ncbi.nlm.nih.gov/Taxonomy/Browser/wwwtax.cgi?mode=Info&amp;id=42494&amp;lvl=3&amp;lin=f&amp;keep=1&amp;srchmode=1&amp;unlock","42494")</f>
        <v>42494</v>
      </c>
      <c r="E855" t="s">
        <v>384</v>
      </c>
      <c r="F855" t="s">
        <v>384</v>
      </c>
      <c r="G855" t="str">
        <f>HYPERLINK("http://www.ncbi.nlm.nih.gov/Taxonomy/Browser/wwwtax.cgi?mode=Info&amp;id=42494&amp;lvl=3&amp;lin=f&amp;keep=1&amp;srchmode=1&amp;unlock","Gymnocorymbus ternetzi")</f>
        <v>Gymnocorymbus ternetzi</v>
      </c>
      <c r="H855" t="s">
        <v>1279</v>
      </c>
      <c r="I855" t="str">
        <f>HYPERLINK("http://www.ncbi.nlm.nih.gov/protein/ABF50780.1","androgen receptor alpha, partial")</f>
        <v>androgen receptor alpha, partial</v>
      </c>
      <c r="J855" t="s">
        <v>1261</v>
      </c>
      <c r="K855">
        <v>122.86</v>
      </c>
      <c r="L855" t="s">
        <v>25</v>
      </c>
      <c r="M855">
        <v>157</v>
      </c>
      <c r="N855">
        <v>62.55</v>
      </c>
      <c r="O855">
        <v>23.89</v>
      </c>
      <c r="P855" t="s">
        <v>20</v>
      </c>
      <c r="Q855" t="s">
        <v>1262</v>
      </c>
      <c r="R855" t="s">
        <v>20</v>
      </c>
      <c r="S855" t="str">
        <f>HYPERLINK("https://cfpub.epa.gov/ecotox/explore.cfm?ncbi=42494","Explore in ECOTOX")</f>
        <v>Explore in ECOTOX</v>
      </c>
    </row>
    <row r="856" spans="1:19" x14ac:dyDescent="0.25">
      <c r="A856">
        <v>6</v>
      </c>
      <c r="B856" t="str">
        <f>HYPERLINK("http://www.ncbi.nlm.nih.gov/protein/ABF50773.1","ABF50773.1")</f>
        <v>ABF50773.1</v>
      </c>
      <c r="C856">
        <v>64</v>
      </c>
      <c r="D856" t="str">
        <f>HYPERLINK("http://www.ncbi.nlm.nih.gov/Taxonomy/Browser/wwwtax.cgi?mode=Info&amp;id=91721&amp;lvl=3&amp;lin=f&amp;keep=1&amp;srchmode=1&amp;unlock","91721")</f>
        <v>91721</v>
      </c>
      <c r="E856" t="s">
        <v>384</v>
      </c>
      <c r="F856" t="s">
        <v>384</v>
      </c>
      <c r="G856" t="str">
        <f>HYPERLINK("http://www.ncbi.nlm.nih.gov/Taxonomy/Browser/wwwtax.cgi?mode=Info&amp;id=91721&amp;lvl=3&amp;lin=f&amp;keep=1&amp;srchmode=1&amp;unlock","Heterotis niloticus")</f>
        <v>Heterotis niloticus</v>
      </c>
      <c r="H856" t="s">
        <v>1280</v>
      </c>
      <c r="I856" t="str">
        <f>HYPERLINK("http://www.ncbi.nlm.nih.gov/protein/ABF50773.1","androgen receptor a, partial")</f>
        <v>androgen receptor a, partial</v>
      </c>
      <c r="J856" t="s">
        <v>1261</v>
      </c>
      <c r="K856">
        <v>120.17</v>
      </c>
      <c r="L856" t="s">
        <v>25</v>
      </c>
      <c r="M856">
        <v>157</v>
      </c>
      <c r="N856">
        <v>62.55</v>
      </c>
      <c r="O856">
        <v>23.37</v>
      </c>
      <c r="P856" t="s">
        <v>20</v>
      </c>
      <c r="Q856" t="s">
        <v>1262</v>
      </c>
      <c r="R856" t="s">
        <v>20</v>
      </c>
      <c r="S856" t="str">
        <f>HYPERLINK("https://cfpub.epa.gov/ecotox/explore.cfm?ncbi=91721","Explore in ECOTOX")</f>
        <v>Explore in ECOTOX</v>
      </c>
    </row>
    <row r="857" spans="1:19" x14ac:dyDescent="0.25">
      <c r="A857">
        <v>6</v>
      </c>
      <c r="B857" t="str">
        <f>HYPERLINK("http://www.ncbi.nlm.nih.gov/protein/ABF50766.1","ABF50766.1")</f>
        <v>ABF50766.1</v>
      </c>
      <c r="C857">
        <v>181</v>
      </c>
      <c r="D857" t="str">
        <f>HYPERLINK("http://www.ncbi.nlm.nih.gov/Taxonomy/Browser/wwwtax.cgi?mode=Info&amp;id=270329&amp;lvl=3&amp;lin=f&amp;keep=1&amp;srchmode=1&amp;unlock","270329")</f>
        <v>270329</v>
      </c>
      <c r="E857" t="s">
        <v>384</v>
      </c>
      <c r="F857" t="s">
        <v>384</v>
      </c>
      <c r="G857" t="str">
        <f>HYPERLINK("http://www.ncbi.nlm.nih.gov/Taxonomy/Browser/wwwtax.cgi?mode=Info&amp;id=270329&amp;lvl=3&amp;lin=f&amp;keep=1&amp;srchmode=1&amp;unlock","Lepomis gibbosus")</f>
        <v>Lepomis gibbosus</v>
      </c>
      <c r="H857" t="s">
        <v>1281</v>
      </c>
      <c r="I857" t="str">
        <f>HYPERLINK("http://www.ncbi.nlm.nih.gov/protein/ABF50766.1","androgen receptor a, partial")</f>
        <v>androgen receptor a, partial</v>
      </c>
      <c r="J857" t="s">
        <v>1261</v>
      </c>
      <c r="K857">
        <v>117.09</v>
      </c>
      <c r="L857" t="s">
        <v>25</v>
      </c>
      <c r="M857">
        <v>157</v>
      </c>
      <c r="N857">
        <v>62.55</v>
      </c>
      <c r="O857">
        <v>22.77</v>
      </c>
      <c r="P857" t="s">
        <v>20</v>
      </c>
      <c r="Q857" t="s">
        <v>1262</v>
      </c>
      <c r="R857" t="s">
        <v>20</v>
      </c>
      <c r="S857" t="str">
        <f>HYPERLINK("https://cfpub.epa.gov/ecotox/explore.cfm?ncbi=270329","Explore in ECOTOX")</f>
        <v>Explore in ECOTOX</v>
      </c>
    </row>
    <row r="858" spans="1:19" x14ac:dyDescent="0.25">
      <c r="A858">
        <v>6</v>
      </c>
      <c r="B858" t="str">
        <f>HYPERLINK("http://www.ncbi.nlm.nih.gov/protein/QFU95371.1","QFU95371.1")</f>
        <v>QFU95371.1</v>
      </c>
      <c r="C858">
        <v>110</v>
      </c>
      <c r="D858" t="str">
        <f>HYPERLINK("http://www.ncbi.nlm.nih.gov/Taxonomy/Browser/wwwtax.cgi?mode=Info&amp;id=357696&amp;lvl=3&amp;lin=f&amp;keep=1&amp;srchmode=1&amp;unlock","357696")</f>
        <v>357696</v>
      </c>
      <c r="E858" t="s">
        <v>167</v>
      </c>
      <c r="F858" t="s">
        <v>167</v>
      </c>
      <c r="G858" t="str">
        <f>HYPERLINK("http://www.ncbi.nlm.nih.gov/Taxonomy/Browser/wwwtax.cgi?mode=Info&amp;id=357696&amp;lvl=3&amp;lin=f&amp;keep=1&amp;srchmode=1&amp;unlock","Emberiza melanocephala")</f>
        <v>Emberiza melanocephala</v>
      </c>
      <c r="H858" t="s">
        <v>429</v>
      </c>
      <c r="I858" t="str">
        <f>HYPERLINK("http://www.ncbi.nlm.nih.gov/protein/QFU95371.1","NR3C1, partial")</f>
        <v>NR3C1, partial</v>
      </c>
      <c r="J858" t="s">
        <v>1261</v>
      </c>
      <c r="K858">
        <v>115.16</v>
      </c>
      <c r="L858" t="s">
        <v>25</v>
      </c>
      <c r="M858">
        <v>157</v>
      </c>
      <c r="N858">
        <v>62.55</v>
      </c>
      <c r="O858">
        <v>22.39</v>
      </c>
      <c r="P858" t="s">
        <v>20</v>
      </c>
      <c r="Q858" t="s">
        <v>1262</v>
      </c>
      <c r="R858" t="s">
        <v>20</v>
      </c>
      <c r="S858" t="str">
        <f>HYPERLINK("https://cfpub.epa.gov/ecotox/explore.cfm?ncbi=357696","Explore in ECOTOX")</f>
        <v>Explore in ECOTOX</v>
      </c>
    </row>
    <row r="859" spans="1:19" x14ac:dyDescent="0.25">
      <c r="A859">
        <v>6</v>
      </c>
      <c r="B859" t="str">
        <f>HYPERLINK("http://www.ncbi.nlm.nih.gov/protein/QDB06009.1","QDB06009.1")</f>
        <v>QDB06009.1</v>
      </c>
      <c r="C859">
        <v>104</v>
      </c>
      <c r="D859" t="str">
        <f>HYPERLINK("http://www.ncbi.nlm.nih.gov/Taxonomy/Browser/wwwtax.cgi?mode=Info&amp;id=42529&amp;lvl=3&amp;lin=f&amp;keep=1&amp;srchmode=1&amp;unlock","42529")</f>
        <v>42529</v>
      </c>
      <c r="E859" t="s">
        <v>384</v>
      </c>
      <c r="F859" t="s">
        <v>384</v>
      </c>
      <c r="G859" t="str">
        <f>HYPERLINK("http://www.ncbi.nlm.nih.gov/Taxonomy/Browser/wwwtax.cgi?mode=Info&amp;id=42529&amp;lvl=3&amp;lin=f&amp;keep=1&amp;srchmode=1&amp;unlock","Piaractus brachypomus")</f>
        <v>Piaractus brachypomus</v>
      </c>
      <c r="H859" t="s">
        <v>1282</v>
      </c>
      <c r="I859" t="str">
        <f>HYPERLINK("http://www.ncbi.nlm.nih.gov/protein/QDB06009.1","glucocorticoid receptor, partial")</f>
        <v>glucocorticoid receptor, partial</v>
      </c>
      <c r="J859" t="s">
        <v>1261</v>
      </c>
      <c r="K859">
        <v>115.16</v>
      </c>
      <c r="L859" t="s">
        <v>25</v>
      </c>
      <c r="M859">
        <v>157</v>
      </c>
      <c r="N859">
        <v>62.55</v>
      </c>
      <c r="O859">
        <v>22.39</v>
      </c>
      <c r="P859" t="s">
        <v>20</v>
      </c>
      <c r="Q859" t="s">
        <v>1262</v>
      </c>
      <c r="R859" t="s">
        <v>20</v>
      </c>
      <c r="S859" t="str">
        <f>HYPERLINK("https://cfpub.epa.gov/ecotox/explore.cfm?ncbi=42529","Explore in ECOTOX")</f>
        <v>Explore in ECOTOX</v>
      </c>
    </row>
    <row r="860" spans="1:19" x14ac:dyDescent="0.25">
      <c r="A860">
        <v>6</v>
      </c>
      <c r="B860" t="str">
        <f>HYPERLINK("http://www.ncbi.nlm.nih.gov/protein/ABF50784.1","ABF50784.1")</f>
        <v>ABF50784.1</v>
      </c>
      <c r="C860">
        <v>2163</v>
      </c>
      <c r="D860" t="str">
        <f>HYPERLINK("http://www.ncbi.nlm.nih.gov/Taxonomy/Browser/wwwtax.cgi?mode=Info&amp;id=7801&amp;lvl=3&amp;lin=f&amp;keep=1&amp;srchmode=1&amp;unlock","7801")</f>
        <v>7801</v>
      </c>
      <c r="E860" t="s">
        <v>550</v>
      </c>
      <c r="F860" t="s">
        <v>550</v>
      </c>
      <c r="G860" t="str">
        <f>HYPERLINK("http://www.ncbi.nlm.nih.gov/Taxonomy/Browser/wwwtax.cgi?mode=Info&amp;id=7801&amp;lvl=3&amp;lin=f&amp;keep=1&amp;srchmode=1&amp;unlock","Ginglymostoma cirratum")</f>
        <v>Ginglymostoma cirratum</v>
      </c>
      <c r="H860" t="s">
        <v>1283</v>
      </c>
      <c r="I860" t="str">
        <f>HYPERLINK("http://www.ncbi.nlm.nih.gov/protein/ABF50784.1","androgen receptor, partial")</f>
        <v>androgen receptor, partial</v>
      </c>
      <c r="J860" t="s">
        <v>1261</v>
      </c>
      <c r="K860">
        <v>114.39</v>
      </c>
      <c r="L860" t="s">
        <v>25</v>
      </c>
      <c r="M860">
        <v>157</v>
      </c>
      <c r="N860">
        <v>62.55</v>
      </c>
      <c r="O860">
        <v>22.25</v>
      </c>
      <c r="P860" t="s">
        <v>20</v>
      </c>
      <c r="Q860" t="s">
        <v>1262</v>
      </c>
      <c r="R860" t="s">
        <v>20</v>
      </c>
      <c r="S860" t="str">
        <f>HYPERLINK("https://cfpub.epa.gov/ecotox/explore.cfm?ncbi=7801","Explore in ECOTOX")</f>
        <v>Explore in ECOTOX</v>
      </c>
    </row>
    <row r="861" spans="1:19" x14ac:dyDescent="0.25">
      <c r="A861">
        <v>6</v>
      </c>
      <c r="B861" t="str">
        <f>HYPERLINK("http://www.ncbi.nlm.nih.gov/protein/ABM67319.1","ABM67319.1")</f>
        <v>ABM67319.1</v>
      </c>
      <c r="C861">
        <v>146</v>
      </c>
      <c r="D861" t="str">
        <f>HYPERLINK("http://www.ncbi.nlm.nih.gov/Taxonomy/Browser/wwwtax.cgi?mode=Info&amp;id=9587&amp;lvl=3&amp;lin=f&amp;keep=1&amp;srchmode=1&amp;unlock","9587")</f>
        <v>9587</v>
      </c>
      <c r="E861" t="s">
        <v>18</v>
      </c>
      <c r="F861" t="s">
        <v>18</v>
      </c>
      <c r="G861" t="str">
        <f>HYPERLINK("http://www.ncbi.nlm.nih.gov/Taxonomy/Browser/wwwtax.cgi?mode=Info&amp;id=9587&amp;lvl=3&amp;lin=f&amp;keep=1&amp;srchmode=1&amp;unlock","Hylobates klossii")</f>
        <v>Hylobates klossii</v>
      </c>
      <c r="H861" t="s">
        <v>1284</v>
      </c>
      <c r="I861" t="str">
        <f>HYPERLINK("http://www.ncbi.nlm.nih.gov/protein/ABM67319.1","PGR, partial")</f>
        <v>PGR, partial</v>
      </c>
      <c r="J861" t="s">
        <v>1261</v>
      </c>
      <c r="K861">
        <v>113.62</v>
      </c>
      <c r="L861" t="s">
        <v>25</v>
      </c>
      <c r="M861">
        <v>157</v>
      </c>
      <c r="N861">
        <v>62.55</v>
      </c>
      <c r="O861">
        <v>22.1</v>
      </c>
      <c r="P861" t="s">
        <v>20</v>
      </c>
      <c r="Q861" t="s">
        <v>1262</v>
      </c>
      <c r="R861" t="s">
        <v>20</v>
      </c>
      <c r="S861" t="str">
        <f>HYPERLINK("https://cfpub.epa.gov/ecotox/explore.cfm?ncbi=9587","Explore in ECOTOX")</f>
        <v>Explore in ECOTOX</v>
      </c>
    </row>
    <row r="862" spans="1:19" x14ac:dyDescent="0.25">
      <c r="A862">
        <v>6</v>
      </c>
      <c r="B862" t="str">
        <f>HYPERLINK("http://www.ncbi.nlm.nih.gov/protein/ABF50783.1","ABF50783.1")</f>
        <v>ABF50783.1</v>
      </c>
      <c r="C862">
        <v>1</v>
      </c>
      <c r="D862" t="str">
        <f>HYPERLINK("http://www.ncbi.nlm.nih.gov/Taxonomy/Browser/wwwtax.cgi?mode=Info&amp;id=370572&amp;lvl=3&amp;lin=f&amp;keep=1&amp;srchmode=1&amp;unlock","370572")</f>
        <v>370572</v>
      </c>
      <c r="E862" t="s">
        <v>687</v>
      </c>
      <c r="F862" t="s">
        <v>687</v>
      </c>
      <c r="G862" t="str">
        <f>HYPERLINK("http://www.ncbi.nlm.nih.gov/Taxonomy/Browser/wwwtax.cgi?mode=Info&amp;id=370572&amp;lvl=3&amp;lin=f&amp;keep=1&amp;srchmode=1&amp;unlock","Protopterus annectens annectens")</f>
        <v>Protopterus annectens annectens</v>
      </c>
      <c r="H862" t="s">
        <v>1010</v>
      </c>
      <c r="I862" t="str">
        <f>HYPERLINK("http://www.ncbi.nlm.nih.gov/protein/ABF50783.1","androgen receptor, partial")</f>
        <v>androgen receptor, partial</v>
      </c>
      <c r="J862" t="s">
        <v>1261</v>
      </c>
      <c r="K862">
        <v>113.23</v>
      </c>
      <c r="L862" t="s">
        <v>25</v>
      </c>
      <c r="M862">
        <v>157</v>
      </c>
      <c r="N862">
        <v>62.55</v>
      </c>
      <c r="O862">
        <v>22.02</v>
      </c>
      <c r="P862" t="s">
        <v>20</v>
      </c>
      <c r="Q862" t="s">
        <v>1262</v>
      </c>
      <c r="R862" t="s">
        <v>20</v>
      </c>
      <c r="S862" t="str">
        <f>HYPERLINK("https://cfpub.epa.gov/ecotox/explore.cfm?ncbi=370572","Explore in ECOTOX")</f>
        <v>Explore in ECOTOX</v>
      </c>
    </row>
    <row r="863" spans="1:19" x14ac:dyDescent="0.25">
      <c r="A863">
        <v>6</v>
      </c>
      <c r="B863" t="str">
        <f>HYPERLINK("http://www.ncbi.nlm.nih.gov/protein/ABF50786.1","ABF50786.1")</f>
        <v>ABF50786.1</v>
      </c>
      <c r="C863">
        <v>415</v>
      </c>
      <c r="D863" t="str">
        <f>HYPERLINK("http://www.ncbi.nlm.nih.gov/Taxonomy/Browser/wwwtax.cgi?mode=Info&amp;id=27689&amp;lvl=3&amp;lin=f&amp;keep=1&amp;srchmode=1&amp;unlock","27689")</f>
        <v>27689</v>
      </c>
      <c r="E863" t="s">
        <v>384</v>
      </c>
      <c r="F863" t="s">
        <v>384</v>
      </c>
      <c r="G863" t="str">
        <f>HYPERLINK("http://www.ncbi.nlm.nih.gov/Taxonomy/Browser/wwwtax.cgi?mode=Info&amp;id=27689&amp;lvl=3&amp;lin=f&amp;keep=1&amp;srchmode=1&amp;unlock","Acipenser baerii")</f>
        <v>Acipenser baerii</v>
      </c>
      <c r="H863" t="s">
        <v>1285</v>
      </c>
      <c r="I863" t="str">
        <f>HYPERLINK("http://www.ncbi.nlm.nih.gov/protein/ABF50786.1","androgen receptor, partial")</f>
        <v>androgen receptor, partial</v>
      </c>
      <c r="J863" t="s">
        <v>1261</v>
      </c>
      <c r="K863">
        <v>111.69</v>
      </c>
      <c r="L863" t="s">
        <v>25</v>
      </c>
      <c r="M863">
        <v>157</v>
      </c>
      <c r="N863">
        <v>62.55</v>
      </c>
      <c r="O863">
        <v>21.72</v>
      </c>
      <c r="P863" t="s">
        <v>20</v>
      </c>
      <c r="Q863" t="s">
        <v>1262</v>
      </c>
      <c r="R863" t="s">
        <v>20</v>
      </c>
      <c r="S863" t="str">
        <f>HYPERLINK("https://cfpub.epa.gov/ecotox/explore.cfm?ncbi=27689","Explore in ECOTOX")</f>
        <v>Explore in ECOTOX</v>
      </c>
    </row>
    <row r="864" spans="1:19" x14ac:dyDescent="0.25">
      <c r="A864">
        <v>6</v>
      </c>
      <c r="B864" t="str">
        <f>HYPERLINK("http://www.ncbi.nlm.nih.gov/protein/BAQ59132.1","BAQ59132.1")</f>
        <v>BAQ59132.1</v>
      </c>
      <c r="C864">
        <v>42</v>
      </c>
      <c r="D864" t="str">
        <f>HYPERLINK("http://www.ncbi.nlm.nih.gov/Taxonomy/Browser/wwwtax.cgi?mode=Info&amp;id=61127&amp;lvl=3&amp;lin=f&amp;keep=1&amp;srchmode=1&amp;unlock","61127")</f>
        <v>61127</v>
      </c>
      <c r="E864" t="s">
        <v>384</v>
      </c>
      <c r="F864" t="s">
        <v>384</v>
      </c>
      <c r="G864" t="str">
        <f>HYPERLINK("http://www.ncbi.nlm.nih.gov/Taxonomy/Browser/wwwtax.cgi?mode=Info&amp;id=61127&amp;lvl=3&amp;lin=f&amp;keep=1&amp;srchmode=1&amp;unlock","Anguilla dieffenbachii")</f>
        <v>Anguilla dieffenbachii</v>
      </c>
      <c r="H864" t="s">
        <v>1286</v>
      </c>
      <c r="I864" t="str">
        <f>HYPERLINK("http://www.ncbi.nlm.nih.gov/protein/BAQ59132.1","androgen receptor alpha, partial")</f>
        <v>androgen receptor alpha, partial</v>
      </c>
      <c r="J864" t="s">
        <v>1261</v>
      </c>
      <c r="K864">
        <v>109.38</v>
      </c>
      <c r="L864" t="s">
        <v>25</v>
      </c>
      <c r="M864">
        <v>157</v>
      </c>
      <c r="N864">
        <v>62.55</v>
      </c>
      <c r="O864">
        <v>21.27</v>
      </c>
      <c r="P864" t="s">
        <v>20</v>
      </c>
      <c r="Q864" t="s">
        <v>1262</v>
      </c>
      <c r="R864" t="s">
        <v>20</v>
      </c>
      <c r="S864" t="str">
        <f>HYPERLINK("https://cfpub.epa.gov/ecotox/explore.cfm?ncbi=61127","Explore in ECOTOX")</f>
        <v>Explore in ECOTOX</v>
      </c>
    </row>
    <row r="865" spans="1:19" x14ac:dyDescent="0.25">
      <c r="A865">
        <v>6</v>
      </c>
      <c r="B865" t="str">
        <f>HYPERLINK("http://www.ncbi.nlm.nih.gov/protein/ABF50779.1","ABF50779.1")</f>
        <v>ABF50779.1</v>
      </c>
      <c r="C865">
        <v>110</v>
      </c>
      <c r="D865" t="str">
        <f>HYPERLINK("http://www.ncbi.nlm.nih.gov/Taxonomy/Browser/wwwtax.cgi?mode=Info&amp;id=8097&amp;lvl=3&amp;lin=f&amp;keep=1&amp;srchmode=1&amp;unlock","8097")</f>
        <v>8097</v>
      </c>
      <c r="E865" t="s">
        <v>384</v>
      </c>
      <c r="F865" t="s">
        <v>384</v>
      </c>
      <c r="G865" t="str">
        <f>HYPERLINK("http://www.ncbi.nlm.nih.gov/Taxonomy/Browser/wwwtax.cgi?mode=Info&amp;id=8097&amp;lvl=3&amp;lin=f&amp;keep=1&amp;srchmode=1&amp;unlock","Myoxocephalus scorpius")</f>
        <v>Myoxocephalus scorpius</v>
      </c>
      <c r="H865" t="s">
        <v>1287</v>
      </c>
      <c r="I865" t="str">
        <f>HYPERLINK("http://www.ncbi.nlm.nih.gov/protein/ABF50779.1","androgen receptor b, partial")</f>
        <v>androgen receptor b, partial</v>
      </c>
      <c r="J865" t="s">
        <v>1261</v>
      </c>
      <c r="K865">
        <v>106.3</v>
      </c>
      <c r="L865" t="s">
        <v>25</v>
      </c>
      <c r="M865">
        <v>157</v>
      </c>
      <c r="N865">
        <v>62.55</v>
      </c>
      <c r="O865">
        <v>20.67</v>
      </c>
      <c r="P865" t="s">
        <v>20</v>
      </c>
      <c r="Q865" t="s">
        <v>1262</v>
      </c>
      <c r="R865" t="s">
        <v>20</v>
      </c>
      <c r="S865" t="str">
        <f>HYPERLINK("https://cfpub.epa.gov/ecotox/explore.cfm?ncbi=8097","Explore in ECOTOX")</f>
        <v>Explore in ECOTOX</v>
      </c>
    </row>
    <row r="866" spans="1:19" x14ac:dyDescent="0.25">
      <c r="A866">
        <v>6</v>
      </c>
      <c r="B866" t="str">
        <f>HYPERLINK("http://www.ncbi.nlm.nih.gov/protein/AAD04878.1","AAD04878.1")</f>
        <v>AAD04878.1</v>
      </c>
      <c r="C866">
        <v>45</v>
      </c>
      <c r="D866" t="str">
        <f>HYPERLINK("http://www.ncbi.nlm.nih.gov/Taxonomy/Browser/wwwtax.cgi?mode=Info&amp;id=9330&amp;lvl=3&amp;lin=f&amp;keep=1&amp;srchmode=1&amp;unlock","9330")</f>
        <v>9330</v>
      </c>
      <c r="E866" t="s">
        <v>18</v>
      </c>
      <c r="F866" t="s">
        <v>18</v>
      </c>
      <c r="G866" t="str">
        <f>HYPERLINK("http://www.ncbi.nlm.nih.gov/Taxonomy/Browser/wwwtax.cgi?mode=Info&amp;id=9330&amp;lvl=3&amp;lin=f&amp;keep=1&amp;srchmode=1&amp;unlock","Wallabia bicolor")</f>
        <v>Wallabia bicolor</v>
      </c>
      <c r="H866" t="s">
        <v>1288</v>
      </c>
      <c r="I866" t="str">
        <f>HYPERLINK("http://www.ncbi.nlm.nih.gov/protein/AAD04878.1","androgen receptor, partial")</f>
        <v>androgen receptor, partial</v>
      </c>
      <c r="J866" t="s">
        <v>1261</v>
      </c>
      <c r="K866">
        <v>105.92</v>
      </c>
      <c r="L866" t="s">
        <v>25</v>
      </c>
      <c r="M866">
        <v>157</v>
      </c>
      <c r="N866">
        <v>62.55</v>
      </c>
      <c r="O866">
        <v>20.6</v>
      </c>
      <c r="P866" t="s">
        <v>20</v>
      </c>
      <c r="Q866" t="s">
        <v>1262</v>
      </c>
      <c r="R866" t="s">
        <v>20</v>
      </c>
      <c r="S866" t="str">
        <f>HYPERLINK("https://cfpub.epa.gov/ecotox/explore.cfm?ncbi=9330","Explore in ECOTOX")</f>
        <v>Explore in ECOTOX</v>
      </c>
    </row>
    <row r="867" spans="1:19" x14ac:dyDescent="0.25">
      <c r="A867">
        <v>6</v>
      </c>
      <c r="B867" t="str">
        <f>HYPERLINK("http://www.ncbi.nlm.nih.gov/protein/QNG40063.1","QNG40063.1")</f>
        <v>QNG40063.1</v>
      </c>
      <c r="C867">
        <v>191</v>
      </c>
      <c r="D867" t="str">
        <f>HYPERLINK("http://www.ncbi.nlm.nih.gov/Taxonomy/Browser/wwwtax.cgi?mode=Info&amp;id=67558&amp;lvl=3&amp;lin=f&amp;keep=1&amp;srchmode=1&amp;unlock","67558")</f>
        <v>67558</v>
      </c>
      <c r="E867" t="s">
        <v>384</v>
      </c>
      <c r="F867" t="s">
        <v>384</v>
      </c>
      <c r="G867" t="str">
        <f>HYPERLINK("http://www.ncbi.nlm.nih.gov/Taxonomy/Browser/wwwtax.cgi?mode=Info&amp;id=67558&amp;lvl=3&amp;lin=f&amp;keep=1&amp;srchmode=1&amp;unlock","Semotilus atromaculatus")</f>
        <v>Semotilus atromaculatus</v>
      </c>
      <c r="H867" t="s">
        <v>1289</v>
      </c>
      <c r="I867" t="str">
        <f>HYPERLINK("http://www.ncbi.nlm.nih.gov/protein/QNG40063.1","androgen receptor, partial")</f>
        <v>androgen receptor, partial</v>
      </c>
      <c r="J867" t="s">
        <v>1261</v>
      </c>
      <c r="K867">
        <v>103.99</v>
      </c>
      <c r="L867" t="s">
        <v>25</v>
      </c>
      <c r="M867">
        <v>157</v>
      </c>
      <c r="N867">
        <v>62.55</v>
      </c>
      <c r="O867">
        <v>20.22</v>
      </c>
      <c r="P867" t="s">
        <v>20</v>
      </c>
      <c r="Q867" t="s">
        <v>1262</v>
      </c>
      <c r="R867" t="s">
        <v>20</v>
      </c>
      <c r="S867" t="str">
        <f>HYPERLINK("https://cfpub.epa.gov/ecotox/explore.cfm?ncbi=67558","Explore in ECOTOX")</f>
        <v>Explore in ECOTOX</v>
      </c>
    </row>
    <row r="868" spans="1:19" x14ac:dyDescent="0.25">
      <c r="A868">
        <v>6</v>
      </c>
      <c r="B868" t="str">
        <f>HYPERLINK("http://www.ncbi.nlm.nih.gov/protein/AAP04399.1","AAP04399.1")</f>
        <v>AAP04399.1</v>
      </c>
      <c r="C868">
        <v>55</v>
      </c>
      <c r="D868" t="str">
        <f>HYPERLINK("http://www.ncbi.nlm.nih.gov/Taxonomy/Browser/wwwtax.cgi?mode=Info&amp;id=61882&amp;lvl=3&amp;lin=f&amp;keep=1&amp;srchmode=1&amp;unlock","61882")</f>
        <v>61882</v>
      </c>
      <c r="E868" t="s">
        <v>18</v>
      </c>
      <c r="F868" t="s">
        <v>18</v>
      </c>
      <c r="G868" t="str">
        <f>HYPERLINK("http://www.ncbi.nlm.nih.gov/Taxonomy/Browser/wwwtax.cgi?mode=Info&amp;id=61882&amp;lvl=3&amp;lin=f&amp;keep=1&amp;srchmode=1&amp;unlock","Tympanoctomys barrerae")</f>
        <v>Tympanoctomys barrerae</v>
      </c>
      <c r="H868" t="s">
        <v>1290</v>
      </c>
      <c r="I868" t="str">
        <f>HYPERLINK("http://www.ncbi.nlm.nih.gov/protein/AAP04399.1","androgen receptor, partial")</f>
        <v>androgen receptor, partial</v>
      </c>
      <c r="J868" t="s">
        <v>1261</v>
      </c>
      <c r="K868">
        <v>98.21</v>
      </c>
      <c r="L868" t="s">
        <v>25</v>
      </c>
      <c r="M868">
        <v>157</v>
      </c>
      <c r="N868">
        <v>62.55</v>
      </c>
      <c r="O868">
        <v>19.100000000000001</v>
      </c>
      <c r="P868" t="s">
        <v>20</v>
      </c>
      <c r="Q868" t="s">
        <v>1262</v>
      </c>
      <c r="R868" t="s">
        <v>20</v>
      </c>
      <c r="S868" t="str">
        <f>HYPERLINK("https://cfpub.epa.gov/ecotox/explore.cfm?ncbi=61882","Explore in ECOTOX")</f>
        <v>Explore in ECOTOX</v>
      </c>
    </row>
    <row r="869" spans="1:19" x14ac:dyDescent="0.25">
      <c r="A869">
        <v>6</v>
      </c>
      <c r="B869" t="str">
        <f>HYPERLINK("http://www.ncbi.nlm.nih.gov/protein/BAF48769.1","BAF48769.1")</f>
        <v>BAF48769.1</v>
      </c>
      <c r="C869">
        <v>161</v>
      </c>
      <c r="D869" t="str">
        <f>HYPERLINK("http://www.ncbi.nlm.nih.gov/Taxonomy/Browser/wwwtax.cgi?mode=Info&amp;id=481883&amp;lvl=3&amp;lin=f&amp;keep=1&amp;srchmode=1&amp;unlock","481883")</f>
        <v>481883</v>
      </c>
      <c r="E869" t="s">
        <v>236</v>
      </c>
      <c r="F869" t="s">
        <v>236</v>
      </c>
      <c r="G869" t="str">
        <f>HYPERLINK("http://www.ncbi.nlm.nih.gov/Taxonomy/Browser/wwwtax.cgi?mode=Info&amp;id=481883&amp;lvl=3&amp;lin=f&amp;keep=1&amp;srchmode=1&amp;unlock","Eublepharis macularius")</f>
        <v>Eublepharis macularius</v>
      </c>
      <c r="H869" t="s">
        <v>1291</v>
      </c>
      <c r="I869" t="str">
        <f>HYPERLINK("http://www.ncbi.nlm.nih.gov/protein/BAF48769.1","progesterone receptor, partial")</f>
        <v>progesterone receptor, partial</v>
      </c>
      <c r="J869" t="s">
        <v>1261</v>
      </c>
      <c r="K869">
        <v>94.74</v>
      </c>
      <c r="L869" t="s">
        <v>25</v>
      </c>
      <c r="M869">
        <v>157</v>
      </c>
      <c r="N869">
        <v>62.55</v>
      </c>
      <c r="O869">
        <v>18.420000000000002</v>
      </c>
      <c r="P869" t="s">
        <v>20</v>
      </c>
      <c r="Q869" t="s">
        <v>1262</v>
      </c>
      <c r="R869" t="s">
        <v>20</v>
      </c>
      <c r="S869" t="str">
        <f>HYPERLINK("https://cfpub.epa.gov/ecotox/explore.cfm?ncbi=481883","Explore in ECOTOX")</f>
        <v>Explore in ECOTOX</v>
      </c>
    </row>
    <row r="870" spans="1:19" x14ac:dyDescent="0.25">
      <c r="A870">
        <v>6</v>
      </c>
      <c r="B870" t="str">
        <f>HYPERLINK("http://www.ncbi.nlm.nih.gov/protein/PSN48477.1","PSN48477.1")</f>
        <v>PSN48477.1</v>
      </c>
      <c r="C870">
        <v>30175</v>
      </c>
      <c r="D870" t="str">
        <f>HYPERLINK("http://www.ncbi.nlm.nih.gov/Taxonomy/Browser/wwwtax.cgi?mode=Info&amp;id=6973&amp;lvl=3&amp;lin=f&amp;keep=1&amp;srchmode=1&amp;unlock","6973")</f>
        <v>6973</v>
      </c>
      <c r="E870" t="s">
        <v>698</v>
      </c>
      <c r="F870" t="s">
        <v>698</v>
      </c>
      <c r="G870" t="str">
        <f>HYPERLINK("http://www.ncbi.nlm.nih.gov/Taxonomy/Browser/wwwtax.cgi?mode=Info&amp;id=6973&amp;lvl=3&amp;lin=f&amp;keep=1&amp;srchmode=1&amp;unlock","Blattella germanica")</f>
        <v>Blattella germanica</v>
      </c>
      <c r="H870" t="s">
        <v>1098</v>
      </c>
      <c r="I870" t="str">
        <f>HYPERLINK("http://www.ncbi.nlm.nih.gov/protein/PSN48477.1","Estrogen-related receptor gamma")</f>
        <v>Estrogen-related receptor gamma</v>
      </c>
      <c r="J870" t="s">
        <v>1261</v>
      </c>
      <c r="K870">
        <v>93.2</v>
      </c>
      <c r="L870" t="s">
        <v>25</v>
      </c>
      <c r="M870">
        <v>157</v>
      </c>
      <c r="N870">
        <v>62.55</v>
      </c>
      <c r="O870">
        <v>18.13</v>
      </c>
      <c r="P870" t="s">
        <v>25</v>
      </c>
      <c r="Q870" t="s">
        <v>1262</v>
      </c>
      <c r="R870" t="s">
        <v>20</v>
      </c>
      <c r="S870" t="str">
        <f>HYPERLINK("https://cfpub.epa.gov/ecotox/explore.cfm?ncbi=6973","Explore in ECOTOX")</f>
        <v>Explore in ECOTOX</v>
      </c>
    </row>
    <row r="871" spans="1:19" x14ac:dyDescent="0.25">
      <c r="A871">
        <v>6</v>
      </c>
      <c r="B871" t="str">
        <f>HYPERLINK("http://www.ncbi.nlm.nih.gov/protein/XP_023711770.1","XP_023711770.1")</f>
        <v>XP_023711770.1</v>
      </c>
      <c r="C871">
        <v>59778</v>
      </c>
      <c r="D871" t="str">
        <f>HYPERLINK("http://www.ncbi.nlm.nih.gov/Taxonomy/Browser/wwwtax.cgi?mode=Info&amp;id=105785&amp;lvl=3&amp;lin=f&amp;keep=1&amp;srchmode=1&amp;unlock","105785")</f>
        <v>105785</v>
      </c>
      <c r="E871" t="s">
        <v>698</v>
      </c>
      <c r="F871" t="s">
        <v>698</v>
      </c>
      <c r="G871" t="str">
        <f>HYPERLINK("http://www.ncbi.nlm.nih.gov/Taxonomy/Browser/wwwtax.cgi?mode=Info&amp;id=105785&amp;lvl=3&amp;lin=f&amp;keep=1&amp;srchmode=1&amp;unlock","Cryptotermes secundus")</f>
        <v>Cryptotermes secundus</v>
      </c>
      <c r="H871" t="s">
        <v>733</v>
      </c>
      <c r="I871" t="str">
        <f>HYPERLINK("http://www.ncbi.nlm.nih.gov/protein/XP_023711770.1","steroid hormone receptor ERR1 isoform X2")</f>
        <v>steroid hormone receptor ERR1 isoform X2</v>
      </c>
      <c r="J871" t="s">
        <v>1261</v>
      </c>
      <c r="K871">
        <v>89.74</v>
      </c>
      <c r="L871" t="s">
        <v>25</v>
      </c>
      <c r="M871">
        <v>157</v>
      </c>
      <c r="N871">
        <v>62.55</v>
      </c>
      <c r="O871">
        <v>17.45</v>
      </c>
      <c r="P871" t="s">
        <v>25</v>
      </c>
      <c r="Q871" t="s">
        <v>1262</v>
      </c>
      <c r="R871" t="s">
        <v>20</v>
      </c>
      <c r="S871" t="str">
        <f>HYPERLINK("https://cfpub.epa.gov/ecotox/explore.cfm?ncbi=105785","Explore in ECOTOX")</f>
        <v>Explore in ECOTOX</v>
      </c>
    </row>
    <row r="872" spans="1:19" x14ac:dyDescent="0.25">
      <c r="A872">
        <v>6</v>
      </c>
      <c r="B872" t="str">
        <f>HYPERLINK("http://www.ncbi.nlm.nih.gov/protein/XP_024887200.1","XP_024887200.1")</f>
        <v>XP_024887200.1</v>
      </c>
      <c r="C872">
        <v>27309</v>
      </c>
      <c r="D872" t="str">
        <f>HYPERLINK("http://www.ncbi.nlm.nih.gov/Taxonomy/Browser/wwwtax.cgi?mode=Info&amp;id=300111&amp;lvl=3&amp;lin=f&amp;keep=1&amp;srchmode=1&amp;unlock","300111")</f>
        <v>300111</v>
      </c>
      <c r="E872" t="s">
        <v>698</v>
      </c>
      <c r="F872" t="s">
        <v>698</v>
      </c>
      <c r="G872" t="str">
        <f>HYPERLINK("http://www.ncbi.nlm.nih.gov/Taxonomy/Browser/wwwtax.cgi?mode=Info&amp;id=300111&amp;lvl=3&amp;lin=f&amp;keep=1&amp;srchmode=1&amp;unlock","Temnothorax curvispinosus")</f>
        <v>Temnothorax curvispinosus</v>
      </c>
      <c r="H872" t="s">
        <v>755</v>
      </c>
      <c r="I872" t="str">
        <f>HYPERLINK("http://www.ncbi.nlm.nih.gov/protein/XP_024887200.1","steroid hormone receptor ERR2 isoform X6")</f>
        <v>steroid hormone receptor ERR2 isoform X6</v>
      </c>
      <c r="J872" t="s">
        <v>1261</v>
      </c>
      <c r="K872">
        <v>88.2</v>
      </c>
      <c r="L872" t="s">
        <v>25</v>
      </c>
      <c r="M872">
        <v>157</v>
      </c>
      <c r="N872">
        <v>62.55</v>
      </c>
      <c r="O872">
        <v>17.149999999999999</v>
      </c>
      <c r="P872" t="s">
        <v>25</v>
      </c>
      <c r="Q872" t="s">
        <v>1262</v>
      </c>
      <c r="R872" t="s">
        <v>20</v>
      </c>
      <c r="S872" t="str">
        <f>HYPERLINK("https://cfpub.epa.gov/ecotox/explore.cfm?ncbi=300111","Explore in ECOTOX")</f>
        <v>Explore in ECOTOX</v>
      </c>
    </row>
    <row r="873" spans="1:19" x14ac:dyDescent="0.25">
      <c r="A873">
        <v>6</v>
      </c>
      <c r="B873" t="str">
        <f>HYPERLINK("http://www.ncbi.nlm.nih.gov/protein/KOX78864.1","KOX78864.1")</f>
        <v>KOX78864.1</v>
      </c>
      <c r="C873">
        <v>14311</v>
      </c>
      <c r="D873" t="str">
        <f>HYPERLINK("http://www.ncbi.nlm.nih.gov/Taxonomy/Browser/wwwtax.cgi?mode=Info&amp;id=166423&amp;lvl=3&amp;lin=f&amp;keep=1&amp;srchmode=1&amp;unlock","166423")</f>
        <v>166423</v>
      </c>
      <c r="E873" t="s">
        <v>698</v>
      </c>
      <c r="F873" t="s">
        <v>698</v>
      </c>
      <c r="G873" t="str">
        <f>HYPERLINK("http://www.ncbi.nlm.nih.gov/Taxonomy/Browser/wwwtax.cgi?mode=Info&amp;id=166423&amp;lvl=3&amp;lin=f&amp;keep=1&amp;srchmode=1&amp;unlock","Melipona quadrifasciata")</f>
        <v>Melipona quadrifasciata</v>
      </c>
      <c r="H873" t="s">
        <v>835</v>
      </c>
      <c r="I873" t="str">
        <f>HYPERLINK("http://www.ncbi.nlm.nih.gov/protein/KOX78864.1","Steroid hormone receptor ERR2")</f>
        <v>Steroid hormone receptor ERR2</v>
      </c>
      <c r="J873" t="s">
        <v>1261</v>
      </c>
      <c r="K873">
        <v>88.2</v>
      </c>
      <c r="L873" t="s">
        <v>25</v>
      </c>
      <c r="M873">
        <v>157</v>
      </c>
      <c r="N873">
        <v>62.55</v>
      </c>
      <c r="O873">
        <v>17.149999999999999</v>
      </c>
      <c r="P873" t="s">
        <v>25</v>
      </c>
      <c r="Q873" t="s">
        <v>1262</v>
      </c>
      <c r="R873" t="s">
        <v>20</v>
      </c>
      <c r="S873" t="str">
        <f>HYPERLINK("https://cfpub.epa.gov/ecotox/explore.cfm?ncbi=166423","Explore in ECOTOX")</f>
        <v>Explore in ECOTOX</v>
      </c>
    </row>
    <row r="874" spans="1:19" x14ac:dyDescent="0.25">
      <c r="A874">
        <v>6</v>
      </c>
      <c r="B874" t="str">
        <f>HYPERLINK("http://www.ncbi.nlm.nih.gov/protein/TGZ54809.1","TGZ54809.1")</f>
        <v>TGZ54809.1</v>
      </c>
      <c r="C874">
        <v>13122</v>
      </c>
      <c r="D874" t="str">
        <f>HYPERLINK("http://www.ncbi.nlm.nih.gov/Taxonomy/Browser/wwwtax.cgi?mode=Info&amp;id=300112&amp;lvl=3&amp;lin=f&amp;keep=1&amp;srchmode=1&amp;unlock","300112")</f>
        <v>300112</v>
      </c>
      <c r="E874" t="s">
        <v>698</v>
      </c>
      <c r="F874" t="s">
        <v>698</v>
      </c>
      <c r="G874" t="str">
        <f>HYPERLINK("http://www.ncbi.nlm.nih.gov/Taxonomy/Browser/wwwtax.cgi?mode=Info&amp;id=300112&amp;lvl=3&amp;lin=f&amp;keep=1&amp;srchmode=1&amp;unlock","Temnothorax longispinosus")</f>
        <v>Temnothorax longispinosus</v>
      </c>
      <c r="H874" t="s">
        <v>755</v>
      </c>
      <c r="I874" t="str">
        <f>HYPERLINK("http://www.ncbi.nlm.nih.gov/protein/TGZ54809.1","Estrogen-related receptor")</f>
        <v>Estrogen-related receptor</v>
      </c>
      <c r="J874" t="s">
        <v>1261</v>
      </c>
      <c r="K874">
        <v>88.2</v>
      </c>
      <c r="L874" t="s">
        <v>25</v>
      </c>
      <c r="M874">
        <v>157</v>
      </c>
      <c r="N874">
        <v>62.55</v>
      </c>
      <c r="O874">
        <v>17.149999999999999</v>
      </c>
      <c r="P874" t="s">
        <v>25</v>
      </c>
      <c r="Q874" t="s">
        <v>1262</v>
      </c>
      <c r="R874" t="s">
        <v>20</v>
      </c>
      <c r="S874" t="str">
        <f>HYPERLINK("https://cfpub.epa.gov/ecotox/explore.cfm?ncbi=300112","Explore in ECOTOX")</f>
        <v>Explore in ECOTOX</v>
      </c>
    </row>
    <row r="875" spans="1:19" x14ac:dyDescent="0.25">
      <c r="A875">
        <v>6</v>
      </c>
      <c r="B875" t="str">
        <f>HYPERLINK("http://www.ncbi.nlm.nih.gov/protein/XP_018314008.1","XP_018314008.1")</f>
        <v>XP_018314008.1</v>
      </c>
      <c r="C875">
        <v>33332</v>
      </c>
      <c r="D875" t="str">
        <f>HYPERLINK("http://www.ncbi.nlm.nih.gov/Taxonomy/Browser/wwwtax.cgi?mode=Info&amp;id=64791&amp;lvl=3&amp;lin=f&amp;keep=1&amp;srchmode=1&amp;unlock","64791")</f>
        <v>64791</v>
      </c>
      <c r="E875" t="s">
        <v>698</v>
      </c>
      <c r="F875" t="s">
        <v>698</v>
      </c>
      <c r="G875" t="str">
        <f>HYPERLINK("http://www.ncbi.nlm.nih.gov/Taxonomy/Browser/wwwtax.cgi?mode=Info&amp;id=64791&amp;lvl=3&amp;lin=f&amp;keep=1&amp;srchmode=1&amp;unlock","Trachymyrmex zeteki")</f>
        <v>Trachymyrmex zeteki</v>
      </c>
      <c r="H875" t="s">
        <v>755</v>
      </c>
      <c r="I875" t="str">
        <f>HYPERLINK("http://www.ncbi.nlm.nih.gov/protein/XP_018314008.1","PREDICTED: steroid hormone receptor ERR1 isoform X4")</f>
        <v>PREDICTED: steroid hormone receptor ERR1 isoform X4</v>
      </c>
      <c r="J875" t="s">
        <v>1261</v>
      </c>
      <c r="K875">
        <v>87.81</v>
      </c>
      <c r="L875" t="s">
        <v>25</v>
      </c>
      <c r="M875">
        <v>157</v>
      </c>
      <c r="N875">
        <v>62.55</v>
      </c>
      <c r="O875">
        <v>17.079999999999998</v>
      </c>
      <c r="P875" t="s">
        <v>25</v>
      </c>
      <c r="Q875" t="s">
        <v>1262</v>
      </c>
      <c r="R875" t="s">
        <v>20</v>
      </c>
      <c r="S875" t="str">
        <f>HYPERLINK("https://cfpub.epa.gov/ecotox/explore.cfm?ncbi=64791","Explore in ECOTOX")</f>
        <v>Explore in ECOTOX</v>
      </c>
    </row>
    <row r="876" spans="1:19" x14ac:dyDescent="0.25">
      <c r="A876">
        <v>6</v>
      </c>
      <c r="B876" t="str">
        <f>HYPERLINK("http://www.ncbi.nlm.nih.gov/protein/XP_031846631.1","XP_031846631.1")</f>
        <v>XP_031846631.1</v>
      </c>
      <c r="C876">
        <v>25323</v>
      </c>
      <c r="D876" t="str">
        <f>HYPERLINK("http://www.ncbi.nlm.nih.gov/Taxonomy/Browser/wwwtax.cgi?mode=Info&amp;id=2448451&amp;lvl=3&amp;lin=f&amp;keep=1&amp;srchmode=1&amp;unlock","2448451")</f>
        <v>2448451</v>
      </c>
      <c r="E876" t="s">
        <v>698</v>
      </c>
      <c r="F876" t="s">
        <v>698</v>
      </c>
      <c r="G876" t="str">
        <f>HYPERLINK("http://www.ncbi.nlm.nih.gov/Taxonomy/Browser/wwwtax.cgi?mode=Info&amp;id=2448451&amp;lvl=3&amp;lin=f&amp;keep=1&amp;srchmode=1&amp;unlock","Nomia melanderi")</f>
        <v>Nomia melanderi</v>
      </c>
      <c r="H876" t="s">
        <v>810</v>
      </c>
      <c r="I876" t="str">
        <f>HYPERLINK("http://www.ncbi.nlm.nih.gov/protein/XP_031846631.1","steroid hormone receptor ERR1 isoform X2")</f>
        <v>steroid hormone receptor ERR1 isoform X2</v>
      </c>
      <c r="J876" t="s">
        <v>1261</v>
      </c>
      <c r="K876">
        <v>87.81</v>
      </c>
      <c r="L876" t="s">
        <v>25</v>
      </c>
      <c r="M876">
        <v>157</v>
      </c>
      <c r="N876">
        <v>62.55</v>
      </c>
      <c r="O876">
        <v>17.079999999999998</v>
      </c>
      <c r="P876" t="s">
        <v>25</v>
      </c>
      <c r="Q876" t="s">
        <v>1262</v>
      </c>
      <c r="R876" t="s">
        <v>20</v>
      </c>
      <c r="S876" t="str">
        <f>HYPERLINK("https://cfpub.epa.gov/ecotox/explore.cfm?ncbi=2448451","Explore in ECOTOX")</f>
        <v>Explore in ECOTOX</v>
      </c>
    </row>
    <row r="877" spans="1:19" x14ac:dyDescent="0.25">
      <c r="A877">
        <v>6</v>
      </c>
      <c r="B877" t="str">
        <f>HYPERLINK("http://www.ncbi.nlm.nih.gov/protein/XP_012164169.1","XP_012164169.1")</f>
        <v>XP_012164169.1</v>
      </c>
      <c r="C877">
        <v>22757</v>
      </c>
      <c r="D877" t="str">
        <f>HYPERLINK("http://www.ncbi.nlm.nih.gov/Taxonomy/Browser/wwwtax.cgi?mode=Info&amp;id=30195&amp;lvl=3&amp;lin=f&amp;keep=1&amp;srchmode=1&amp;unlock","30195")</f>
        <v>30195</v>
      </c>
      <c r="E877" t="s">
        <v>698</v>
      </c>
      <c r="F877" t="s">
        <v>698</v>
      </c>
      <c r="G877" t="str">
        <f>HYPERLINK("http://www.ncbi.nlm.nih.gov/Taxonomy/Browser/wwwtax.cgi?mode=Info&amp;id=30195&amp;lvl=3&amp;lin=f&amp;keep=1&amp;srchmode=1&amp;unlock","Bombus terrestris")</f>
        <v>Bombus terrestris</v>
      </c>
      <c r="H877" t="s">
        <v>770</v>
      </c>
      <c r="I877" t="str">
        <f>HYPERLINK("http://www.ncbi.nlm.nih.gov/protein/XP_012164169.1","steroid hormone receptor ERR1 isoform X3")</f>
        <v>steroid hormone receptor ERR1 isoform X3</v>
      </c>
      <c r="J877" t="s">
        <v>1261</v>
      </c>
      <c r="K877">
        <v>87.43</v>
      </c>
      <c r="L877" t="s">
        <v>25</v>
      </c>
      <c r="M877">
        <v>157</v>
      </c>
      <c r="N877">
        <v>62.55</v>
      </c>
      <c r="O877">
        <v>17</v>
      </c>
      <c r="P877" t="s">
        <v>25</v>
      </c>
      <c r="Q877" t="s">
        <v>1262</v>
      </c>
      <c r="R877" t="s">
        <v>20</v>
      </c>
      <c r="S877" t="str">
        <f>HYPERLINK("https://cfpub.epa.gov/ecotox/explore.cfm?ncbi=30195","Explore in ECOTOX")</f>
        <v>Explore in ECOTOX</v>
      </c>
    </row>
    <row r="878" spans="1:19" x14ac:dyDescent="0.25">
      <c r="A878">
        <v>6</v>
      </c>
      <c r="B878" t="str">
        <f>HYPERLINK("http://www.ncbi.nlm.nih.gov/protein/XP_012243858.1","XP_012243858.1")</f>
        <v>XP_012243858.1</v>
      </c>
      <c r="C878">
        <v>24525</v>
      </c>
      <c r="D878" t="str">
        <f>HYPERLINK("http://www.ncbi.nlm.nih.gov/Taxonomy/Browser/wwwtax.cgi?mode=Info&amp;id=132113&amp;lvl=3&amp;lin=f&amp;keep=1&amp;srchmode=1&amp;unlock","132113")</f>
        <v>132113</v>
      </c>
      <c r="E878" t="s">
        <v>698</v>
      </c>
      <c r="F878" t="s">
        <v>698</v>
      </c>
      <c r="G878" t="str">
        <f>HYPERLINK("http://www.ncbi.nlm.nih.gov/Taxonomy/Browser/wwwtax.cgi?mode=Info&amp;id=132113&amp;lvl=3&amp;lin=f&amp;keep=1&amp;srchmode=1&amp;unlock","Bombus impatiens")</f>
        <v>Bombus impatiens</v>
      </c>
      <c r="H878" t="s">
        <v>750</v>
      </c>
      <c r="I878" t="str">
        <f>HYPERLINK("http://www.ncbi.nlm.nih.gov/protein/XP_012243858.1","steroid hormone receptor ERR1 isoform X3")</f>
        <v>steroid hormone receptor ERR1 isoform X3</v>
      </c>
      <c r="J878" t="s">
        <v>1261</v>
      </c>
      <c r="K878">
        <v>87.43</v>
      </c>
      <c r="L878" t="s">
        <v>25</v>
      </c>
      <c r="M878">
        <v>157</v>
      </c>
      <c r="N878">
        <v>62.55</v>
      </c>
      <c r="O878">
        <v>17</v>
      </c>
      <c r="P878" t="s">
        <v>25</v>
      </c>
      <c r="Q878" t="s">
        <v>1262</v>
      </c>
      <c r="R878" t="s">
        <v>20</v>
      </c>
      <c r="S878" t="str">
        <f>HYPERLINK("https://cfpub.epa.gov/ecotox/explore.cfm?ncbi=132113","Explore in ECOTOX")</f>
        <v>Explore in ECOTOX</v>
      </c>
    </row>
    <row r="879" spans="1:19" x14ac:dyDescent="0.25">
      <c r="A879">
        <v>6</v>
      </c>
      <c r="B879" t="str">
        <f>HYPERLINK("http://www.ncbi.nlm.nih.gov/protein/XP_033205870.1","XP_033205870.1")</f>
        <v>XP_033205870.1</v>
      </c>
      <c r="C879">
        <v>24326</v>
      </c>
      <c r="D879" t="str">
        <f>HYPERLINK("http://www.ncbi.nlm.nih.gov/Taxonomy/Browser/wwwtax.cgi?mode=Info&amp;id=2705178&amp;lvl=3&amp;lin=f&amp;keep=1&amp;srchmode=1&amp;unlock","2705178")</f>
        <v>2705178</v>
      </c>
      <c r="E879" t="s">
        <v>698</v>
      </c>
      <c r="F879" t="s">
        <v>698</v>
      </c>
      <c r="G879" t="str">
        <f>HYPERLINK("http://www.ncbi.nlm.nih.gov/Taxonomy/Browser/wwwtax.cgi?mode=Info&amp;id=2705178&amp;lvl=3&amp;lin=f&amp;keep=1&amp;srchmode=1&amp;unlock","Bombus vancouverensis nearcticus")</f>
        <v>Bombus vancouverensis nearcticus</v>
      </c>
      <c r="H879" t="s">
        <v>776</v>
      </c>
      <c r="I879" t="str">
        <f>HYPERLINK("http://www.ncbi.nlm.nih.gov/protein/XP_033205870.1","steroid hormone receptor ERR1 isoform X3")</f>
        <v>steroid hormone receptor ERR1 isoform X3</v>
      </c>
      <c r="J879" t="s">
        <v>1261</v>
      </c>
      <c r="K879">
        <v>87.43</v>
      </c>
      <c r="L879" t="s">
        <v>25</v>
      </c>
      <c r="M879">
        <v>157</v>
      </c>
      <c r="N879">
        <v>62.55</v>
      </c>
      <c r="O879">
        <v>17</v>
      </c>
      <c r="P879" t="s">
        <v>25</v>
      </c>
      <c r="Q879" t="s">
        <v>1262</v>
      </c>
      <c r="R879" t="s">
        <v>20</v>
      </c>
      <c r="S879" t="str">
        <f>HYPERLINK("https://cfpub.epa.gov/ecotox/explore.cfm?ncbi=2705178","Explore in ECOTOX")</f>
        <v>Explore in ECOTOX</v>
      </c>
    </row>
    <row r="880" spans="1:19" x14ac:dyDescent="0.25">
      <c r="A880">
        <v>6</v>
      </c>
      <c r="B880" t="str">
        <f>HYPERLINK("http://www.ncbi.nlm.nih.gov/protein/XP_033299043.1","XP_033299043.1")</f>
        <v>XP_033299043.1</v>
      </c>
      <c r="C880">
        <v>24027</v>
      </c>
      <c r="D880" t="str">
        <f>HYPERLINK("http://www.ncbi.nlm.nih.gov/Taxonomy/Browser/wwwtax.cgi?mode=Info&amp;id=103933&amp;lvl=3&amp;lin=f&amp;keep=1&amp;srchmode=1&amp;unlock","103933")</f>
        <v>103933</v>
      </c>
      <c r="E880" t="s">
        <v>698</v>
      </c>
      <c r="F880" t="s">
        <v>698</v>
      </c>
      <c r="G880" t="str">
        <f>HYPERLINK("http://www.ncbi.nlm.nih.gov/Taxonomy/Browser/wwwtax.cgi?mode=Info&amp;id=103933&amp;lvl=3&amp;lin=f&amp;keep=1&amp;srchmode=1&amp;unlock","Bombus bifarius")</f>
        <v>Bombus bifarius</v>
      </c>
      <c r="H880" t="s">
        <v>776</v>
      </c>
      <c r="I880" t="str">
        <f>HYPERLINK("http://www.ncbi.nlm.nih.gov/protein/XP_033299043.1","steroid hormone receptor ERR1 isoform X3")</f>
        <v>steroid hormone receptor ERR1 isoform X3</v>
      </c>
      <c r="J880" t="s">
        <v>1261</v>
      </c>
      <c r="K880">
        <v>87.43</v>
      </c>
      <c r="L880" t="s">
        <v>25</v>
      </c>
      <c r="M880">
        <v>157</v>
      </c>
      <c r="N880">
        <v>62.55</v>
      </c>
      <c r="O880">
        <v>17</v>
      </c>
      <c r="P880" t="s">
        <v>25</v>
      </c>
      <c r="Q880" t="s">
        <v>1262</v>
      </c>
      <c r="R880" t="s">
        <v>20</v>
      </c>
      <c r="S880" t="str">
        <f>HYPERLINK("https://cfpub.epa.gov/ecotox/explore.cfm?ncbi=103933","Explore in ECOTOX")</f>
        <v>Explore in ECOTOX</v>
      </c>
    </row>
    <row r="881" spans="1:19" x14ac:dyDescent="0.25">
      <c r="A881">
        <v>6</v>
      </c>
      <c r="B881" t="str">
        <f>HYPERLINK("http://www.ncbi.nlm.nih.gov/protein/XP_033344978.1","XP_033344978.1")</f>
        <v>XP_033344978.1</v>
      </c>
      <c r="C881">
        <v>24081</v>
      </c>
      <c r="D881" t="str">
        <f>HYPERLINK("http://www.ncbi.nlm.nih.gov/Taxonomy/Browser/wwwtax.cgi?mode=Info&amp;id=207650&amp;lvl=3&amp;lin=f&amp;keep=1&amp;srchmode=1&amp;unlock","207650")</f>
        <v>207650</v>
      </c>
      <c r="E881" t="s">
        <v>698</v>
      </c>
      <c r="F881" t="s">
        <v>698</v>
      </c>
      <c r="G881" t="str">
        <f>HYPERLINK("http://www.ncbi.nlm.nih.gov/Taxonomy/Browser/wwwtax.cgi?mode=Info&amp;id=207650&amp;lvl=3&amp;lin=f&amp;keep=1&amp;srchmode=1&amp;unlock","Bombus vosnesenskii")</f>
        <v>Bombus vosnesenskii</v>
      </c>
      <c r="H881" t="s">
        <v>776</v>
      </c>
      <c r="I881" t="str">
        <f>HYPERLINK("http://www.ncbi.nlm.nih.gov/protein/XP_033344978.1","steroid hormone receptor ERR1 isoform X3")</f>
        <v>steroid hormone receptor ERR1 isoform X3</v>
      </c>
      <c r="J881" t="s">
        <v>1261</v>
      </c>
      <c r="K881">
        <v>87.43</v>
      </c>
      <c r="L881" t="s">
        <v>25</v>
      </c>
      <c r="M881">
        <v>157</v>
      </c>
      <c r="N881">
        <v>62.55</v>
      </c>
      <c r="O881">
        <v>17</v>
      </c>
      <c r="P881" t="s">
        <v>25</v>
      </c>
      <c r="Q881" t="s">
        <v>1262</v>
      </c>
      <c r="R881" t="s">
        <v>20</v>
      </c>
      <c r="S881" t="str">
        <f>HYPERLINK("https://cfpub.epa.gov/ecotox/explore.cfm?ncbi=207650","Explore in ECOTOX")</f>
        <v>Explore in ECOTOX</v>
      </c>
    </row>
    <row r="882" spans="1:19" x14ac:dyDescent="0.25">
      <c r="A882">
        <v>6</v>
      </c>
      <c r="B882" t="str">
        <f>HYPERLINK("http://www.ncbi.nlm.nih.gov/protein/XP_039315097.1","XP_039315097.1")</f>
        <v>XP_039315097.1</v>
      </c>
      <c r="C882">
        <v>31288</v>
      </c>
      <c r="D882" t="str">
        <f>HYPERLINK("http://www.ncbi.nlm.nih.gov/Taxonomy/Browser/wwwtax.cgi?mode=Info&amp;id=13686&amp;lvl=3&amp;lin=f&amp;keep=1&amp;srchmode=1&amp;unlock","13686")</f>
        <v>13686</v>
      </c>
      <c r="E882" t="s">
        <v>698</v>
      </c>
      <c r="F882" t="s">
        <v>698</v>
      </c>
      <c r="G882" t="str">
        <f>HYPERLINK("http://www.ncbi.nlm.nih.gov/Taxonomy/Browser/wwwtax.cgi?mode=Info&amp;id=13686&amp;lvl=3&amp;lin=f&amp;keep=1&amp;srchmode=1&amp;unlock","Solenopsis invicta")</f>
        <v>Solenopsis invicta</v>
      </c>
      <c r="H882" t="s">
        <v>1116</v>
      </c>
      <c r="I882" t="str">
        <f>HYPERLINK("http://www.ncbi.nlm.nih.gov/protein/XP_039315097.1","steroid hormone receptor ERR2 isoform X3")</f>
        <v>steroid hormone receptor ERR2 isoform X3</v>
      </c>
      <c r="J882" t="s">
        <v>1261</v>
      </c>
      <c r="K882">
        <v>87.43</v>
      </c>
      <c r="L882" t="s">
        <v>25</v>
      </c>
      <c r="M882">
        <v>157</v>
      </c>
      <c r="N882">
        <v>62.55</v>
      </c>
      <c r="O882">
        <v>17</v>
      </c>
      <c r="P882" t="s">
        <v>25</v>
      </c>
      <c r="Q882" t="s">
        <v>1262</v>
      </c>
      <c r="R882" t="s">
        <v>20</v>
      </c>
      <c r="S882" t="str">
        <f>HYPERLINK("https://cfpub.epa.gov/ecotox/explore.cfm?ncbi=13686","Explore in ECOTOX")</f>
        <v>Explore in ECOTOX</v>
      </c>
    </row>
    <row r="883" spans="1:19" x14ac:dyDescent="0.25">
      <c r="A883">
        <v>6</v>
      </c>
      <c r="B883" t="str">
        <f>HYPERLINK("http://www.ncbi.nlm.nih.gov/protein/XP_003696588.1","XP_003696588.1")</f>
        <v>XP_003696588.1</v>
      </c>
      <c r="C883">
        <v>18893</v>
      </c>
      <c r="D883" t="str">
        <f>HYPERLINK("http://www.ncbi.nlm.nih.gov/Taxonomy/Browser/wwwtax.cgi?mode=Info&amp;id=7463&amp;lvl=3&amp;lin=f&amp;keep=1&amp;srchmode=1&amp;unlock","7463")</f>
        <v>7463</v>
      </c>
      <c r="E883" t="s">
        <v>698</v>
      </c>
      <c r="F883" t="s">
        <v>698</v>
      </c>
      <c r="G883" t="str">
        <f>HYPERLINK("http://www.ncbi.nlm.nih.gov/Taxonomy/Browser/wwwtax.cgi?mode=Info&amp;id=7463&amp;lvl=3&amp;lin=f&amp;keep=1&amp;srchmode=1&amp;unlock","Apis florea")</f>
        <v>Apis florea</v>
      </c>
      <c r="H883" t="s">
        <v>1119</v>
      </c>
      <c r="I883" t="str">
        <f>HYPERLINK("http://www.ncbi.nlm.nih.gov/protein/XP_003696588.1","steroid hormone receptor ERR2 isoform X10")</f>
        <v>steroid hormone receptor ERR2 isoform X10</v>
      </c>
      <c r="J883" t="s">
        <v>1261</v>
      </c>
      <c r="K883">
        <v>87.43</v>
      </c>
      <c r="L883" t="s">
        <v>25</v>
      </c>
      <c r="M883">
        <v>157</v>
      </c>
      <c r="N883">
        <v>62.55</v>
      </c>
      <c r="O883">
        <v>17</v>
      </c>
      <c r="P883" t="s">
        <v>25</v>
      </c>
      <c r="Q883" t="s">
        <v>1262</v>
      </c>
      <c r="R883" t="s">
        <v>20</v>
      </c>
      <c r="S883" t="str">
        <f>HYPERLINK("https://cfpub.epa.gov/ecotox/explore.cfm?ncbi=7463","Explore in ECOTOX")</f>
        <v>Explore in ECOTOX</v>
      </c>
    </row>
    <row r="884" spans="1:19" x14ac:dyDescent="0.25">
      <c r="A884">
        <v>6</v>
      </c>
      <c r="B884" t="str">
        <f>HYPERLINK("http://www.ncbi.nlm.nih.gov/protein/XP_006608071.1","XP_006608071.1")</f>
        <v>XP_006608071.1</v>
      </c>
      <c r="C884">
        <v>20400</v>
      </c>
      <c r="D884" t="str">
        <f>HYPERLINK("http://www.ncbi.nlm.nih.gov/Taxonomy/Browser/wwwtax.cgi?mode=Info&amp;id=7462&amp;lvl=3&amp;lin=f&amp;keep=1&amp;srchmode=1&amp;unlock","7462")</f>
        <v>7462</v>
      </c>
      <c r="E884" t="s">
        <v>698</v>
      </c>
      <c r="F884" t="s">
        <v>698</v>
      </c>
      <c r="G884" t="str">
        <f>HYPERLINK("http://www.ncbi.nlm.nih.gov/Taxonomy/Browser/wwwtax.cgi?mode=Info&amp;id=7462&amp;lvl=3&amp;lin=f&amp;keep=1&amp;srchmode=1&amp;unlock","Apis dorsata")</f>
        <v>Apis dorsata</v>
      </c>
      <c r="H884" t="s">
        <v>1120</v>
      </c>
      <c r="I884" t="str">
        <f>HYPERLINK("http://www.ncbi.nlm.nih.gov/protein/XP_006608071.1","steroid hormone receptor ERR2 isoform X10")</f>
        <v>steroid hormone receptor ERR2 isoform X10</v>
      </c>
      <c r="J884" t="s">
        <v>1261</v>
      </c>
      <c r="K884">
        <v>87.43</v>
      </c>
      <c r="L884" t="s">
        <v>25</v>
      </c>
      <c r="M884">
        <v>157</v>
      </c>
      <c r="N884">
        <v>62.55</v>
      </c>
      <c r="O884">
        <v>17</v>
      </c>
      <c r="P884" t="s">
        <v>25</v>
      </c>
      <c r="Q884" t="s">
        <v>1262</v>
      </c>
      <c r="R884" t="s">
        <v>20</v>
      </c>
      <c r="S884" t="str">
        <f>HYPERLINK("https://cfpub.epa.gov/ecotox/explore.cfm?ncbi=7462","Explore in ECOTOX")</f>
        <v>Explore in ECOTOX</v>
      </c>
    </row>
    <row r="885" spans="1:19" x14ac:dyDescent="0.25">
      <c r="A885">
        <v>6</v>
      </c>
      <c r="B885" t="str">
        <f>HYPERLINK("http://www.ncbi.nlm.nih.gov/protein/NP_001155988.1","NP_001155988.1")</f>
        <v>NP_001155988.1</v>
      </c>
      <c r="C885">
        <v>27014</v>
      </c>
      <c r="D885" t="str">
        <f>HYPERLINK("http://www.ncbi.nlm.nih.gov/Taxonomy/Browser/wwwtax.cgi?mode=Info&amp;id=7460&amp;lvl=3&amp;lin=f&amp;keep=1&amp;srchmode=1&amp;unlock","7460")</f>
        <v>7460</v>
      </c>
      <c r="E885" t="s">
        <v>698</v>
      </c>
      <c r="F885" t="s">
        <v>698</v>
      </c>
      <c r="G885" t="str">
        <f>HYPERLINK("http://www.ncbi.nlm.nih.gov/Taxonomy/Browser/wwwtax.cgi?mode=Info&amp;id=7460&amp;lvl=3&amp;lin=f&amp;keep=1&amp;srchmode=1&amp;unlock","Apis mellifera")</f>
        <v>Apis mellifera</v>
      </c>
      <c r="H885" t="s">
        <v>1121</v>
      </c>
      <c r="I885" t="str">
        <f>HYPERLINK("http://www.ncbi.nlm.nih.gov/protein/NP_001155988.1","estrogen-related receptor")</f>
        <v>estrogen-related receptor</v>
      </c>
      <c r="J885" t="s">
        <v>1261</v>
      </c>
      <c r="K885">
        <v>87.43</v>
      </c>
      <c r="L885" t="s">
        <v>25</v>
      </c>
      <c r="M885">
        <v>157</v>
      </c>
      <c r="N885">
        <v>62.55</v>
      </c>
      <c r="O885">
        <v>17</v>
      </c>
      <c r="P885" t="s">
        <v>25</v>
      </c>
      <c r="Q885" t="s">
        <v>1262</v>
      </c>
      <c r="R885" t="s">
        <v>20</v>
      </c>
      <c r="S885" t="str">
        <f>HYPERLINK("https://cfpub.epa.gov/ecotox/explore.cfm?ncbi=7460","Explore in ECOTOX")</f>
        <v>Explore in ECOTOX</v>
      </c>
    </row>
    <row r="886" spans="1:19" x14ac:dyDescent="0.25">
      <c r="A886">
        <v>6</v>
      </c>
      <c r="B886" t="str">
        <f>HYPERLINK("http://www.ncbi.nlm.nih.gov/protein/XP_016912222.1","XP_016912222.1")</f>
        <v>XP_016912222.1</v>
      </c>
      <c r="C886">
        <v>22011</v>
      </c>
      <c r="D886" t="str">
        <f>HYPERLINK("http://www.ncbi.nlm.nih.gov/Taxonomy/Browser/wwwtax.cgi?mode=Info&amp;id=7461&amp;lvl=3&amp;lin=f&amp;keep=1&amp;srchmode=1&amp;unlock","7461")</f>
        <v>7461</v>
      </c>
      <c r="E886" t="s">
        <v>698</v>
      </c>
      <c r="F886" t="s">
        <v>698</v>
      </c>
      <c r="G886" t="str">
        <f>HYPERLINK("http://www.ncbi.nlm.nih.gov/Taxonomy/Browser/wwwtax.cgi?mode=Info&amp;id=7461&amp;lvl=3&amp;lin=f&amp;keep=1&amp;srchmode=1&amp;unlock","Apis cerana")</f>
        <v>Apis cerana</v>
      </c>
      <c r="H886" t="s">
        <v>736</v>
      </c>
      <c r="I886" t="str">
        <f>HYPERLINK("http://www.ncbi.nlm.nih.gov/protein/XP_016912222.1","steroid hormone receptor ERR2 isoform X6")</f>
        <v>steroid hormone receptor ERR2 isoform X6</v>
      </c>
      <c r="J886" t="s">
        <v>1261</v>
      </c>
      <c r="K886">
        <v>87.43</v>
      </c>
      <c r="L886" t="s">
        <v>25</v>
      </c>
      <c r="M886">
        <v>157</v>
      </c>
      <c r="N886">
        <v>62.55</v>
      </c>
      <c r="O886">
        <v>17</v>
      </c>
      <c r="P886" t="s">
        <v>25</v>
      </c>
      <c r="Q886" t="s">
        <v>1262</v>
      </c>
      <c r="R886" t="s">
        <v>20</v>
      </c>
      <c r="S886" t="str">
        <f>HYPERLINK("https://cfpub.epa.gov/ecotox/explore.cfm?ncbi=7461","Explore in ECOTOX")</f>
        <v>Explore in ECOTOX</v>
      </c>
    </row>
    <row r="887" spans="1:19" x14ac:dyDescent="0.25">
      <c r="A887">
        <v>6</v>
      </c>
      <c r="B887" t="str">
        <f>HYPERLINK("http://www.ncbi.nlm.nih.gov/protein/AKQ06251.1","AKQ06251.1")</f>
        <v>AKQ06251.1</v>
      </c>
      <c r="C887">
        <v>10310</v>
      </c>
      <c r="D887" t="str">
        <f>HYPERLINK("http://www.ncbi.nlm.nih.gov/Taxonomy/Browser/wwwtax.cgi?mode=Info&amp;id=94128&amp;lvl=3&amp;lin=f&amp;keep=1&amp;srchmode=1&amp;unlock","94128")</f>
        <v>94128</v>
      </c>
      <c r="E887" t="s">
        <v>698</v>
      </c>
      <c r="F887" t="s">
        <v>698</v>
      </c>
      <c r="G887" t="str">
        <f>HYPERLINK("http://www.ncbi.nlm.nih.gov/Taxonomy/Browser/wwwtax.cgi?mode=Info&amp;id=94128&amp;lvl=3&amp;lin=f&amp;keep=1&amp;srchmode=1&amp;unlock","Apis cerana cerana")</f>
        <v>Apis cerana cerana</v>
      </c>
      <c r="H887" t="s">
        <v>736</v>
      </c>
      <c r="I887" t="str">
        <f>HYPERLINK("http://www.ncbi.nlm.nih.gov/protein/AKQ06251.1","ERR")</f>
        <v>ERR</v>
      </c>
      <c r="J887" t="s">
        <v>1261</v>
      </c>
      <c r="K887">
        <v>87.43</v>
      </c>
      <c r="L887" t="s">
        <v>25</v>
      </c>
      <c r="M887">
        <v>157</v>
      </c>
      <c r="N887">
        <v>62.55</v>
      </c>
      <c r="O887">
        <v>17</v>
      </c>
      <c r="P887" t="s">
        <v>25</v>
      </c>
      <c r="Q887" t="s">
        <v>1262</v>
      </c>
      <c r="R887" t="s">
        <v>20</v>
      </c>
      <c r="S887" t="str">
        <f>HYPERLINK("https://cfpub.epa.gov/ecotox/explore.cfm?ncbi=94128","Explore in ECOTOX")</f>
        <v>Explore in ECOTOX</v>
      </c>
    </row>
    <row r="888" spans="1:19" x14ac:dyDescent="0.25">
      <c r="A888">
        <v>6</v>
      </c>
      <c r="B888" t="str">
        <f>HYPERLINK("http://www.ncbi.nlm.nih.gov/protein/KAF3428292.1","KAF3428292.1")</f>
        <v>KAF3428292.1</v>
      </c>
      <c r="C888">
        <v>11137</v>
      </c>
      <c r="D888" t="str">
        <f>HYPERLINK("http://www.ncbi.nlm.nih.gov/Taxonomy/Browser/wwwtax.cgi?mode=Info&amp;id=561572&amp;lvl=3&amp;lin=f&amp;keep=1&amp;srchmode=1&amp;unlock","561572")</f>
        <v>561572</v>
      </c>
      <c r="E888" t="s">
        <v>698</v>
      </c>
      <c r="F888" t="s">
        <v>698</v>
      </c>
      <c r="G888" t="str">
        <f>HYPERLINK("http://www.ncbi.nlm.nih.gov/Taxonomy/Browser/wwwtax.cgi?mode=Info&amp;id=561572&amp;lvl=3&amp;lin=f&amp;keep=1&amp;srchmode=1&amp;unlock","Frieseomelitta varia")</f>
        <v>Frieseomelitta varia</v>
      </c>
      <c r="H888" t="s">
        <v>835</v>
      </c>
      <c r="I888" t="str">
        <f>HYPERLINK("http://www.ncbi.nlm.nih.gov/protein/KAF3428292.1","hypothetical protein E2986_05317")</f>
        <v>hypothetical protein E2986_05317</v>
      </c>
      <c r="J888" t="s">
        <v>1261</v>
      </c>
      <c r="K888">
        <v>87.43</v>
      </c>
      <c r="L888" t="s">
        <v>25</v>
      </c>
      <c r="M888">
        <v>157</v>
      </c>
      <c r="N888">
        <v>62.55</v>
      </c>
      <c r="O888">
        <v>17</v>
      </c>
      <c r="P888" t="s">
        <v>25</v>
      </c>
      <c r="Q888" t="s">
        <v>1262</v>
      </c>
      <c r="R888" t="s">
        <v>20</v>
      </c>
      <c r="S888" t="str">
        <f>HYPERLINK("https://cfpub.epa.gov/ecotox/explore.cfm?ncbi=561572","Explore in ECOTOX")</f>
        <v>Explore in ECOTOX</v>
      </c>
    </row>
    <row r="889" spans="1:19" x14ac:dyDescent="0.25">
      <c r="A889">
        <v>6</v>
      </c>
      <c r="B889" t="str">
        <f>HYPERLINK("http://www.ncbi.nlm.nih.gov/protein/ABF50785.1","ABF50785.1")</f>
        <v>ABF50785.1</v>
      </c>
      <c r="C889">
        <v>381</v>
      </c>
      <c r="D889" t="str">
        <f>HYPERLINK("http://www.ncbi.nlm.nih.gov/Taxonomy/Browser/wwwtax.cgi?mode=Info&amp;id=7765&amp;lvl=3&amp;lin=f&amp;keep=1&amp;srchmode=1&amp;unlock","7765")</f>
        <v>7765</v>
      </c>
      <c r="E889" t="s">
        <v>696</v>
      </c>
      <c r="F889" t="s">
        <v>696</v>
      </c>
      <c r="G889" t="str">
        <f>HYPERLINK("http://www.ncbi.nlm.nih.gov/Taxonomy/Browser/wwwtax.cgi?mode=Info&amp;id=7765&amp;lvl=3&amp;lin=f&amp;keep=1&amp;srchmode=1&amp;unlock","Eptatretus stoutii")</f>
        <v>Eptatretus stoutii</v>
      </c>
      <c r="H889" t="s">
        <v>1292</v>
      </c>
      <c r="I889" t="str">
        <f>HYPERLINK("http://www.ncbi.nlm.nih.gov/protein/ABF50785.1","glucocorticoid receptor, partial")</f>
        <v>glucocorticoid receptor, partial</v>
      </c>
      <c r="J889" t="s">
        <v>1261</v>
      </c>
      <c r="K889">
        <v>87.43</v>
      </c>
      <c r="L889" t="s">
        <v>25</v>
      </c>
      <c r="M889">
        <v>157</v>
      </c>
      <c r="N889">
        <v>62.55</v>
      </c>
      <c r="O889">
        <v>17</v>
      </c>
      <c r="P889" t="s">
        <v>25</v>
      </c>
      <c r="Q889" t="s">
        <v>1262</v>
      </c>
      <c r="R889" t="s">
        <v>20</v>
      </c>
      <c r="S889" t="str">
        <f>HYPERLINK("https://cfpub.epa.gov/ecotox/explore.cfm?ncbi=7765","Explore in ECOTOX")</f>
        <v>Explore in ECOTOX</v>
      </c>
    </row>
    <row r="890" spans="1:19" x14ac:dyDescent="0.25">
      <c r="A890">
        <v>6</v>
      </c>
      <c r="B890" t="str">
        <f>HYPERLINK("http://www.ncbi.nlm.nih.gov/protein/XP_011696828.1","XP_011696828.1")</f>
        <v>XP_011696828.1</v>
      </c>
      <c r="C890">
        <v>24351</v>
      </c>
      <c r="D890" t="str">
        <f>HYPERLINK("http://www.ncbi.nlm.nih.gov/Taxonomy/Browser/wwwtax.cgi?mode=Info&amp;id=64793&amp;lvl=3&amp;lin=f&amp;keep=1&amp;srchmode=1&amp;unlock","64793")</f>
        <v>64793</v>
      </c>
      <c r="E890" t="s">
        <v>698</v>
      </c>
      <c r="F890" t="s">
        <v>698</v>
      </c>
      <c r="G890" t="str">
        <f>HYPERLINK("http://www.ncbi.nlm.nih.gov/Taxonomy/Browser/wwwtax.cgi?mode=Info&amp;id=64793&amp;lvl=3&amp;lin=f&amp;keep=1&amp;srchmode=1&amp;unlock","Wasmannia auropunctata")</f>
        <v>Wasmannia auropunctata</v>
      </c>
      <c r="H890" t="s">
        <v>843</v>
      </c>
      <c r="I890" t="str">
        <f>HYPERLINK("http://www.ncbi.nlm.nih.gov/protein/XP_011696828.1","PREDICTED: steroid hormone receptor ERR1 isoform X2")</f>
        <v>PREDICTED: steroid hormone receptor ERR1 isoform X2</v>
      </c>
      <c r="J890" t="s">
        <v>1261</v>
      </c>
      <c r="K890">
        <v>87.04</v>
      </c>
      <c r="L890" t="s">
        <v>25</v>
      </c>
      <c r="M890">
        <v>157</v>
      </c>
      <c r="N890">
        <v>62.55</v>
      </c>
      <c r="O890">
        <v>16.93</v>
      </c>
      <c r="P890" t="s">
        <v>25</v>
      </c>
      <c r="Q890" t="s">
        <v>1262</v>
      </c>
      <c r="R890" t="s">
        <v>20</v>
      </c>
      <c r="S890" t="str">
        <f>HYPERLINK("https://cfpub.epa.gov/ecotox/explore.cfm?ncbi=64793","Explore in ECOTOX")</f>
        <v>Explore in ECOTOX</v>
      </c>
    </row>
    <row r="891" spans="1:19" x14ac:dyDescent="0.25">
      <c r="A891">
        <v>6</v>
      </c>
      <c r="B891" t="str">
        <f>HYPERLINK("http://www.ncbi.nlm.nih.gov/protein/KYN01293.1","KYN01293.1")</f>
        <v>KYN01293.1</v>
      </c>
      <c r="C891">
        <v>31447</v>
      </c>
      <c r="D891" t="str">
        <f>HYPERLINK("http://www.ncbi.nlm.nih.gov/Taxonomy/Browser/wwwtax.cgi?mode=Info&amp;id=456900&amp;lvl=3&amp;lin=f&amp;keep=1&amp;srchmode=1&amp;unlock","456900")</f>
        <v>456900</v>
      </c>
      <c r="E891" t="s">
        <v>698</v>
      </c>
      <c r="F891" t="s">
        <v>698</v>
      </c>
      <c r="G891" t="str">
        <f>HYPERLINK("http://www.ncbi.nlm.nih.gov/Taxonomy/Browser/wwwtax.cgi?mode=Info&amp;id=456900&amp;lvl=3&amp;lin=f&amp;keep=1&amp;srchmode=1&amp;unlock","Cyphomyrmex costatus")</f>
        <v>Cyphomyrmex costatus</v>
      </c>
      <c r="H891" t="s">
        <v>755</v>
      </c>
      <c r="I891" t="str">
        <f>HYPERLINK("http://www.ncbi.nlm.nih.gov/protein/KYN01293.1","Steroid hormone receptor ERR2")</f>
        <v>Steroid hormone receptor ERR2</v>
      </c>
      <c r="J891" t="s">
        <v>1261</v>
      </c>
      <c r="K891">
        <v>87.04</v>
      </c>
      <c r="L891" t="s">
        <v>25</v>
      </c>
      <c r="M891">
        <v>157</v>
      </c>
      <c r="N891">
        <v>62.55</v>
      </c>
      <c r="O891">
        <v>16.93</v>
      </c>
      <c r="P891" t="s">
        <v>25</v>
      </c>
      <c r="Q891" t="s">
        <v>1262</v>
      </c>
      <c r="R891" t="s">
        <v>20</v>
      </c>
      <c r="S891" t="str">
        <f>HYPERLINK("https://cfpub.epa.gov/ecotox/explore.cfm?ncbi=456900","Explore in ECOTOX")</f>
        <v>Explore in ECOTOX</v>
      </c>
    </row>
    <row r="892" spans="1:19" x14ac:dyDescent="0.25">
      <c r="A892">
        <v>6</v>
      </c>
      <c r="B892" t="str">
        <f>HYPERLINK("http://www.ncbi.nlm.nih.gov/protein/XP_026671089.1","XP_026671089.1")</f>
        <v>XP_026671089.1</v>
      </c>
      <c r="C892">
        <v>23322</v>
      </c>
      <c r="D892" t="str">
        <f>HYPERLINK("http://www.ncbi.nlm.nih.gov/Taxonomy/Browser/wwwtax.cgi?mode=Info&amp;id=156304&amp;lvl=3&amp;lin=f&amp;keep=1&amp;srchmode=1&amp;unlock","156304")</f>
        <v>156304</v>
      </c>
      <c r="E892" t="s">
        <v>698</v>
      </c>
      <c r="F892" t="s">
        <v>698</v>
      </c>
      <c r="G892" t="str">
        <f>HYPERLINK("http://www.ncbi.nlm.nih.gov/Taxonomy/Browser/wwwtax.cgi?mode=Info&amp;id=156304&amp;lvl=3&amp;lin=f&amp;keep=1&amp;srchmode=1&amp;unlock","Ceratina calcarata")</f>
        <v>Ceratina calcarata</v>
      </c>
      <c r="H892" t="s">
        <v>767</v>
      </c>
      <c r="I892" t="str">
        <f>HYPERLINK("http://www.ncbi.nlm.nih.gov/protein/XP_026671089.1","steroid hormone receptor ERR1 isoform X3")</f>
        <v>steroid hormone receptor ERR1 isoform X3</v>
      </c>
      <c r="J892" t="s">
        <v>1261</v>
      </c>
      <c r="K892">
        <v>87.04</v>
      </c>
      <c r="L892" t="s">
        <v>25</v>
      </c>
      <c r="M892">
        <v>157</v>
      </c>
      <c r="N892">
        <v>62.55</v>
      </c>
      <c r="O892">
        <v>16.93</v>
      </c>
      <c r="P892" t="s">
        <v>25</v>
      </c>
      <c r="Q892" t="s">
        <v>1262</v>
      </c>
      <c r="R892" t="s">
        <v>20</v>
      </c>
      <c r="S892" t="str">
        <f>HYPERLINK("https://cfpub.epa.gov/ecotox/explore.cfm?ncbi=156304","Explore in ECOTOX")</f>
        <v>Explore in ECOTOX</v>
      </c>
    </row>
    <row r="893" spans="1:19" x14ac:dyDescent="0.25">
      <c r="A893">
        <v>6</v>
      </c>
      <c r="B893" t="str">
        <f>HYPERLINK("http://www.ncbi.nlm.nih.gov/protein/XP_033324395.1","XP_033324395.1")</f>
        <v>XP_033324395.1</v>
      </c>
      <c r="C893">
        <v>22393</v>
      </c>
      <c r="D893" t="str">
        <f>HYPERLINK("http://www.ncbi.nlm.nih.gov/Taxonomy/Browser/wwwtax.cgi?mode=Info&amp;id=115081&amp;lvl=3&amp;lin=f&amp;keep=1&amp;srchmode=1&amp;unlock","115081")</f>
        <v>115081</v>
      </c>
      <c r="E893" t="s">
        <v>698</v>
      </c>
      <c r="F893" t="s">
        <v>698</v>
      </c>
      <c r="G893" t="str">
        <f>HYPERLINK("http://www.ncbi.nlm.nih.gov/Taxonomy/Browser/wwwtax.cgi?mode=Info&amp;id=115081&amp;lvl=3&amp;lin=f&amp;keep=1&amp;srchmode=1&amp;unlock","Megalopta genalis")</f>
        <v>Megalopta genalis</v>
      </c>
      <c r="H893" t="s">
        <v>860</v>
      </c>
      <c r="I893" t="str">
        <f>HYPERLINK("http://www.ncbi.nlm.nih.gov/protein/XP_033324395.1","steroid hormone receptor ERR1 isoform X2")</f>
        <v>steroid hormone receptor ERR1 isoform X2</v>
      </c>
      <c r="J893" t="s">
        <v>1261</v>
      </c>
      <c r="K893">
        <v>87.04</v>
      </c>
      <c r="L893" t="s">
        <v>25</v>
      </c>
      <c r="M893">
        <v>157</v>
      </c>
      <c r="N893">
        <v>62.55</v>
      </c>
      <c r="O893">
        <v>16.93</v>
      </c>
      <c r="P893" t="s">
        <v>25</v>
      </c>
      <c r="Q893" t="s">
        <v>1262</v>
      </c>
      <c r="R893" t="s">
        <v>20</v>
      </c>
      <c r="S893" t="str">
        <f>HYPERLINK("https://cfpub.epa.gov/ecotox/explore.cfm?ncbi=115081","Explore in ECOTOX")</f>
        <v>Explore in ECOTOX</v>
      </c>
    </row>
    <row r="894" spans="1:19" x14ac:dyDescent="0.25">
      <c r="A894">
        <v>6</v>
      </c>
      <c r="B894" t="str">
        <f>HYPERLINK("http://www.ncbi.nlm.nih.gov/protein/XP_012149926.1","XP_012149926.1")</f>
        <v>XP_012149926.1</v>
      </c>
      <c r="C894">
        <v>26089</v>
      </c>
      <c r="D894" t="str">
        <f>HYPERLINK("http://www.ncbi.nlm.nih.gov/Taxonomy/Browser/wwwtax.cgi?mode=Info&amp;id=143995&amp;lvl=3&amp;lin=f&amp;keep=1&amp;srchmode=1&amp;unlock","143995")</f>
        <v>143995</v>
      </c>
      <c r="E894" t="s">
        <v>698</v>
      </c>
      <c r="F894" t="s">
        <v>698</v>
      </c>
      <c r="G894" t="str">
        <f>HYPERLINK("http://www.ncbi.nlm.nih.gov/Taxonomy/Browser/wwwtax.cgi?mode=Info&amp;id=143995&amp;lvl=3&amp;lin=f&amp;keep=1&amp;srchmode=1&amp;unlock","Megachile rotundata")</f>
        <v>Megachile rotundata</v>
      </c>
      <c r="H894" t="s">
        <v>771</v>
      </c>
      <c r="I894" t="str">
        <f>HYPERLINK("http://www.ncbi.nlm.nih.gov/protein/XP_012149926.1","PREDICTED: steroid hormone receptor ERR1 isoform X3")</f>
        <v>PREDICTED: steroid hormone receptor ERR1 isoform X3</v>
      </c>
      <c r="J894" t="s">
        <v>1261</v>
      </c>
      <c r="K894">
        <v>86.66</v>
      </c>
      <c r="L894" t="s">
        <v>25</v>
      </c>
      <c r="M894">
        <v>157</v>
      </c>
      <c r="N894">
        <v>62.55</v>
      </c>
      <c r="O894">
        <v>16.850000000000001</v>
      </c>
      <c r="P894" t="s">
        <v>25</v>
      </c>
      <c r="Q894" t="s">
        <v>1262</v>
      </c>
      <c r="R894" t="s">
        <v>20</v>
      </c>
      <c r="S894" t="str">
        <f>HYPERLINK("https://cfpub.epa.gov/ecotox/explore.cfm?ncbi=143995","Explore in ECOTOX")</f>
        <v>Explore in ECOTOX</v>
      </c>
    </row>
    <row r="895" spans="1:19" x14ac:dyDescent="0.25">
      <c r="A895">
        <v>6</v>
      </c>
      <c r="B895" t="str">
        <f>HYPERLINK("http://www.ncbi.nlm.nih.gov/protein/XP_034177353.1","XP_034177353.1")</f>
        <v>XP_034177353.1</v>
      </c>
      <c r="C895">
        <v>25969</v>
      </c>
      <c r="D895" t="str">
        <f>HYPERLINK("http://www.ncbi.nlm.nih.gov/Taxonomy/Browser/wwwtax.cgi?mode=Info&amp;id=473952&amp;lvl=3&amp;lin=f&amp;keep=1&amp;srchmode=1&amp;unlock","473952")</f>
        <v>473952</v>
      </c>
      <c r="E895" t="s">
        <v>698</v>
      </c>
      <c r="F895" t="s">
        <v>698</v>
      </c>
      <c r="G895" t="str">
        <f>HYPERLINK("http://www.ncbi.nlm.nih.gov/Taxonomy/Browser/wwwtax.cgi?mode=Info&amp;id=473952&amp;lvl=3&amp;lin=f&amp;keep=1&amp;srchmode=1&amp;unlock","Osmia lignaria")</f>
        <v>Osmia lignaria</v>
      </c>
      <c r="H895" t="s">
        <v>784</v>
      </c>
      <c r="I895" t="str">
        <f>HYPERLINK("http://www.ncbi.nlm.nih.gov/protein/XP_034177353.1","steroid hormone receptor ERR2 isoform X2")</f>
        <v>steroid hormone receptor ERR2 isoform X2</v>
      </c>
      <c r="J895" t="s">
        <v>1261</v>
      </c>
      <c r="K895">
        <v>86.66</v>
      </c>
      <c r="L895" t="s">
        <v>25</v>
      </c>
      <c r="M895">
        <v>157</v>
      </c>
      <c r="N895">
        <v>62.55</v>
      </c>
      <c r="O895">
        <v>16.850000000000001</v>
      </c>
      <c r="P895" t="s">
        <v>25</v>
      </c>
      <c r="Q895" t="s">
        <v>1262</v>
      </c>
      <c r="R895" t="s">
        <v>20</v>
      </c>
      <c r="S895" t="str">
        <f>HYPERLINK("https://cfpub.epa.gov/ecotox/explore.cfm?ncbi=473952","Explore in ECOTOX")</f>
        <v>Explore in ECOTOX</v>
      </c>
    </row>
    <row r="896" spans="1:19" x14ac:dyDescent="0.25">
      <c r="A896">
        <v>6</v>
      </c>
      <c r="B896" t="str">
        <f>HYPERLINK("http://www.ncbi.nlm.nih.gov/protein/XP_029045725.1","XP_029045725.1")</f>
        <v>XP_029045725.1</v>
      </c>
      <c r="C896">
        <v>24844</v>
      </c>
      <c r="D896" t="str">
        <f>HYPERLINK("http://www.ncbi.nlm.nih.gov/Taxonomy/Browser/wwwtax.cgi?mode=Info&amp;id=1437191&amp;lvl=3&amp;lin=f&amp;keep=1&amp;srchmode=1&amp;unlock","1437191")</f>
        <v>1437191</v>
      </c>
      <c r="E896" t="s">
        <v>698</v>
      </c>
      <c r="F896" t="s">
        <v>698</v>
      </c>
      <c r="G896" t="str">
        <f>HYPERLINK("http://www.ncbi.nlm.nih.gov/Taxonomy/Browser/wwwtax.cgi?mode=Info&amp;id=1437191&amp;lvl=3&amp;lin=f&amp;keep=1&amp;srchmode=1&amp;unlock","Osmia bicornis bicornis")</f>
        <v>Osmia bicornis bicornis</v>
      </c>
      <c r="H896" t="s">
        <v>808</v>
      </c>
      <c r="I896" t="str">
        <f>HYPERLINK("http://www.ncbi.nlm.nih.gov/protein/XP_029045725.1","steroid hormone receptor ERR2 isoform X7")</f>
        <v>steroid hormone receptor ERR2 isoform X7</v>
      </c>
      <c r="J896" t="s">
        <v>1261</v>
      </c>
      <c r="K896">
        <v>86.66</v>
      </c>
      <c r="L896" t="s">
        <v>25</v>
      </c>
      <c r="M896">
        <v>157</v>
      </c>
      <c r="N896">
        <v>62.55</v>
      </c>
      <c r="O896">
        <v>16.850000000000001</v>
      </c>
      <c r="P896" t="s">
        <v>25</v>
      </c>
      <c r="Q896" t="s">
        <v>1262</v>
      </c>
      <c r="R896" t="s">
        <v>20</v>
      </c>
      <c r="S896" t="str">
        <f>HYPERLINK("https://cfpub.epa.gov/ecotox/explore.cfm?ncbi=1437191","Explore in ECOTOX")</f>
        <v>Explore in ECOTOX</v>
      </c>
    </row>
    <row r="897" spans="1:19" x14ac:dyDescent="0.25">
      <c r="A897">
        <v>6</v>
      </c>
      <c r="B897" t="str">
        <f>HYPERLINK("http://www.ncbi.nlm.nih.gov/protein/XP_017761351.1","XP_017761351.1")</f>
        <v>XP_017761351.1</v>
      </c>
      <c r="C897">
        <v>26942</v>
      </c>
      <c r="D897" t="str">
        <f>HYPERLINK("http://www.ncbi.nlm.nih.gov/Taxonomy/Browser/wwwtax.cgi?mode=Info&amp;id=516756&amp;lvl=3&amp;lin=f&amp;keep=1&amp;srchmode=1&amp;unlock","516756")</f>
        <v>516756</v>
      </c>
      <c r="E897" t="s">
        <v>698</v>
      </c>
      <c r="F897" t="s">
        <v>698</v>
      </c>
      <c r="G897" t="str">
        <f>HYPERLINK("http://www.ncbi.nlm.nih.gov/Taxonomy/Browser/wwwtax.cgi?mode=Info&amp;id=516756&amp;lvl=3&amp;lin=f&amp;keep=1&amp;srchmode=1&amp;unlock","Eufriesea mexicana")</f>
        <v>Eufriesea mexicana</v>
      </c>
      <c r="H897" t="s">
        <v>831</v>
      </c>
      <c r="I897" t="str">
        <f>HYPERLINK("http://www.ncbi.nlm.nih.gov/protein/XP_017761351.1","PREDICTED: steroid hormone receptor ERR1")</f>
        <v>PREDICTED: steroid hormone receptor ERR1</v>
      </c>
      <c r="J897" t="s">
        <v>1261</v>
      </c>
      <c r="K897">
        <v>86.66</v>
      </c>
      <c r="L897" t="s">
        <v>25</v>
      </c>
      <c r="M897">
        <v>157</v>
      </c>
      <c r="N897">
        <v>62.55</v>
      </c>
      <c r="O897">
        <v>16.850000000000001</v>
      </c>
      <c r="P897" t="s">
        <v>25</v>
      </c>
      <c r="Q897" t="s">
        <v>1262</v>
      </c>
      <c r="R897" t="s">
        <v>20</v>
      </c>
      <c r="S897" t="str">
        <f>HYPERLINK("https://cfpub.epa.gov/ecotox/explore.cfm?ncbi=516756","Explore in ECOTOX")</f>
        <v>Explore in ECOTOX</v>
      </c>
    </row>
    <row r="898" spans="1:19" x14ac:dyDescent="0.25">
      <c r="A898">
        <v>6</v>
      </c>
      <c r="B898" t="str">
        <f>HYPERLINK("http://www.ncbi.nlm.nih.gov/protein/KAG5319133.1","KAG5319133.1")</f>
        <v>KAG5319133.1</v>
      </c>
      <c r="C898">
        <v>9123</v>
      </c>
      <c r="D898" t="str">
        <f>HYPERLINK("http://www.ncbi.nlm.nih.gov/Taxonomy/Browser/wwwtax.cgi?mode=Info&amp;id=230685&amp;lvl=3&amp;lin=f&amp;keep=1&amp;srchmode=1&amp;unlock","230685")</f>
        <v>230685</v>
      </c>
      <c r="E898" t="s">
        <v>698</v>
      </c>
      <c r="F898" t="s">
        <v>698</v>
      </c>
      <c r="G898" t="str">
        <f>HYPERLINK("http://www.ncbi.nlm.nih.gov/Taxonomy/Browser/wwwtax.cgi?mode=Info&amp;id=230685&amp;lvl=3&amp;lin=f&amp;keep=1&amp;srchmode=1&amp;unlock","Acromyrmex heyeri")</f>
        <v>Acromyrmex heyeri</v>
      </c>
      <c r="H898" t="s">
        <v>755</v>
      </c>
      <c r="I898" t="str">
        <f>HYPERLINK("http://www.ncbi.nlm.nih.gov/protein/KAG5319133.1","ERR3 protein, partial")</f>
        <v>ERR3 protein, partial</v>
      </c>
      <c r="J898" t="s">
        <v>1261</v>
      </c>
      <c r="K898">
        <v>86.66</v>
      </c>
      <c r="L898" t="s">
        <v>25</v>
      </c>
      <c r="M898">
        <v>157</v>
      </c>
      <c r="N898">
        <v>62.55</v>
      </c>
      <c r="O898">
        <v>16.850000000000001</v>
      </c>
      <c r="P898" t="s">
        <v>25</v>
      </c>
      <c r="Q898" t="s">
        <v>1262</v>
      </c>
      <c r="R898" t="s">
        <v>20</v>
      </c>
      <c r="S898" t="str">
        <f>HYPERLINK("https://cfpub.epa.gov/ecotox/explore.cfm?ncbi=230685","Explore in ECOTOX")</f>
        <v>Explore in ECOTOX</v>
      </c>
    </row>
    <row r="899" spans="1:19" x14ac:dyDescent="0.25">
      <c r="A899">
        <v>6</v>
      </c>
      <c r="B899" t="str">
        <f>HYPERLINK("http://www.ncbi.nlm.nih.gov/protein/XP_021941214.1","XP_021941214.1")</f>
        <v>XP_021941214.1</v>
      </c>
      <c r="C899">
        <v>44815</v>
      </c>
      <c r="D899" t="str">
        <f>HYPERLINK("http://www.ncbi.nlm.nih.gov/Taxonomy/Browser/wwwtax.cgi?mode=Info&amp;id=136037&amp;lvl=3&amp;lin=f&amp;keep=1&amp;srchmode=1&amp;unlock","136037")</f>
        <v>136037</v>
      </c>
      <c r="E899" t="s">
        <v>698</v>
      </c>
      <c r="F899" t="s">
        <v>698</v>
      </c>
      <c r="G899" t="str">
        <f>HYPERLINK("http://www.ncbi.nlm.nih.gov/Taxonomy/Browser/wwwtax.cgi?mode=Info&amp;id=136037&amp;lvl=3&amp;lin=f&amp;keep=1&amp;srchmode=1&amp;unlock","Zootermopsis nevadensis")</f>
        <v>Zootermopsis nevadensis</v>
      </c>
      <c r="H899" t="s">
        <v>718</v>
      </c>
      <c r="I899" t="str">
        <f>HYPERLINK("http://www.ncbi.nlm.nih.gov/protein/XP_021941214.1","steroid hormone receptor ERR1 isoform X2")</f>
        <v>steroid hormone receptor ERR1 isoform X2</v>
      </c>
      <c r="J899" t="s">
        <v>1261</v>
      </c>
      <c r="K899">
        <v>86.27</v>
      </c>
      <c r="L899" t="s">
        <v>25</v>
      </c>
      <c r="M899">
        <v>157</v>
      </c>
      <c r="N899">
        <v>62.55</v>
      </c>
      <c r="O899">
        <v>16.78</v>
      </c>
      <c r="P899" t="s">
        <v>25</v>
      </c>
      <c r="Q899" t="s">
        <v>1262</v>
      </c>
      <c r="R899" t="s">
        <v>20</v>
      </c>
      <c r="S899" t="str">
        <f>HYPERLINK("https://cfpub.epa.gov/ecotox/explore.cfm?ncbi=136037","Explore in ECOTOX")</f>
        <v>Explore in ECOTOX</v>
      </c>
    </row>
    <row r="900" spans="1:19" x14ac:dyDescent="0.25">
      <c r="A900">
        <v>6</v>
      </c>
      <c r="B900" t="str">
        <f>HYPERLINK("http://www.ncbi.nlm.nih.gov/protein/XP_035720671.1","XP_035720671.1")</f>
        <v>XP_035720671.1</v>
      </c>
      <c r="C900">
        <v>27298</v>
      </c>
      <c r="D900" t="str">
        <f>HYPERLINK("http://www.ncbi.nlm.nih.gov/Taxonomy/Browser/wwwtax.cgi?mode=Info&amp;id=7446&amp;lvl=3&amp;lin=f&amp;keep=1&amp;srchmode=1&amp;unlock","7446")</f>
        <v>7446</v>
      </c>
      <c r="E900" t="s">
        <v>698</v>
      </c>
      <c r="F900" t="s">
        <v>698</v>
      </c>
      <c r="G900" t="str">
        <f>HYPERLINK("http://www.ncbi.nlm.nih.gov/Taxonomy/Browser/wwwtax.cgi?mode=Info&amp;id=7446&amp;lvl=3&amp;lin=f&amp;keep=1&amp;srchmode=1&amp;unlock","Vespa mandarinia")</f>
        <v>Vespa mandarinia</v>
      </c>
      <c r="H900" t="s">
        <v>830</v>
      </c>
      <c r="I900" t="str">
        <f>HYPERLINK("http://www.ncbi.nlm.nih.gov/protein/XP_035720671.1","steroid hormone receptor ERR1-like isoform X2")</f>
        <v>steroid hormone receptor ERR1-like isoform X2</v>
      </c>
      <c r="J900" t="s">
        <v>1261</v>
      </c>
      <c r="K900">
        <v>86.27</v>
      </c>
      <c r="L900" t="s">
        <v>25</v>
      </c>
      <c r="M900">
        <v>157</v>
      </c>
      <c r="N900">
        <v>62.55</v>
      </c>
      <c r="O900">
        <v>16.78</v>
      </c>
      <c r="P900" t="s">
        <v>25</v>
      </c>
      <c r="Q900" t="s">
        <v>1262</v>
      </c>
      <c r="R900" t="s">
        <v>20</v>
      </c>
      <c r="S900" t="str">
        <f>HYPERLINK("https://cfpub.epa.gov/ecotox/explore.cfm?ncbi=7446","Explore in ECOTOX")</f>
        <v>Explore in ECOTOX</v>
      </c>
    </row>
    <row r="901" spans="1:19" x14ac:dyDescent="0.25">
      <c r="A901">
        <v>6</v>
      </c>
      <c r="B901" t="str">
        <f>HYPERLINK("http://www.ncbi.nlm.nih.gov/protein/BAG82648.1","BAG82648.1")</f>
        <v>BAG82648.1</v>
      </c>
      <c r="C901">
        <v>139</v>
      </c>
      <c r="D901" t="str">
        <f>HYPERLINK("http://www.ncbi.nlm.nih.gov/Taxonomy/Browser/wwwtax.cgi?mode=Info&amp;id=27779&amp;lvl=3&amp;lin=f&amp;keep=1&amp;srchmode=1&amp;unlock","27779")</f>
        <v>27779</v>
      </c>
      <c r="E901" t="s">
        <v>687</v>
      </c>
      <c r="F901" t="s">
        <v>687</v>
      </c>
      <c r="G901" t="str">
        <f>HYPERLINK("http://www.ncbi.nlm.nih.gov/Taxonomy/Browser/wwwtax.cgi?mode=Info&amp;id=27779&amp;lvl=3&amp;lin=f&amp;keep=1&amp;srchmode=1&amp;unlock","Protopterus dolloi")</f>
        <v>Protopterus dolloi</v>
      </c>
      <c r="H901" t="s">
        <v>1085</v>
      </c>
      <c r="I901" t="str">
        <f>HYPERLINK("http://www.ncbi.nlm.nih.gov/protein/BAG82648.1","estrogen receptor alpha")</f>
        <v>estrogen receptor alpha</v>
      </c>
      <c r="J901" t="s">
        <v>1261</v>
      </c>
      <c r="K901">
        <v>85.89</v>
      </c>
      <c r="L901" t="s">
        <v>25</v>
      </c>
      <c r="M901">
        <v>157</v>
      </c>
      <c r="N901">
        <v>62.55</v>
      </c>
      <c r="O901">
        <v>16.7</v>
      </c>
      <c r="P901" t="s">
        <v>20</v>
      </c>
      <c r="Q901" t="s">
        <v>1262</v>
      </c>
      <c r="R901" t="s">
        <v>20</v>
      </c>
      <c r="S901" t="str">
        <f>HYPERLINK("https://cfpub.epa.gov/ecotox/explore.cfm?ncbi=27779","Explore in ECOTOX")</f>
        <v>Explore in ECOTOX</v>
      </c>
    </row>
    <row r="902" spans="1:19" x14ac:dyDescent="0.25">
      <c r="A902">
        <v>6</v>
      </c>
      <c r="B902" t="str">
        <f>HYPERLINK("http://www.ncbi.nlm.nih.gov/protein/XP_011057172.1","XP_011057172.1")</f>
        <v>XP_011057172.1</v>
      </c>
      <c r="C902">
        <v>34216</v>
      </c>
      <c r="D902" t="str">
        <f>HYPERLINK("http://www.ncbi.nlm.nih.gov/Taxonomy/Browser/wwwtax.cgi?mode=Info&amp;id=103372&amp;lvl=3&amp;lin=f&amp;keep=1&amp;srchmode=1&amp;unlock","103372")</f>
        <v>103372</v>
      </c>
      <c r="E902" t="s">
        <v>698</v>
      </c>
      <c r="F902" t="s">
        <v>698</v>
      </c>
      <c r="G902" t="str">
        <f>HYPERLINK("http://www.ncbi.nlm.nih.gov/Taxonomy/Browser/wwwtax.cgi?mode=Info&amp;id=103372&amp;lvl=3&amp;lin=f&amp;keep=1&amp;srchmode=1&amp;unlock","Acromyrmex echinatior")</f>
        <v>Acromyrmex echinatior</v>
      </c>
      <c r="H902" t="s">
        <v>821</v>
      </c>
      <c r="I902" t="str">
        <f>HYPERLINK("http://www.ncbi.nlm.nih.gov/protein/XP_011057172.1","PREDICTED: steroid hormone receptor ERR1 isoform X5")</f>
        <v>PREDICTED: steroid hormone receptor ERR1 isoform X5</v>
      </c>
      <c r="J902" t="s">
        <v>1261</v>
      </c>
      <c r="K902">
        <v>85.5</v>
      </c>
      <c r="L902" t="s">
        <v>25</v>
      </c>
      <c r="M902">
        <v>157</v>
      </c>
      <c r="N902">
        <v>62.55</v>
      </c>
      <c r="O902">
        <v>16.63</v>
      </c>
      <c r="P902" t="s">
        <v>25</v>
      </c>
      <c r="Q902" t="s">
        <v>1262</v>
      </c>
      <c r="R902" t="s">
        <v>20</v>
      </c>
      <c r="S902" t="str">
        <f>HYPERLINK("https://cfpub.epa.gov/ecotox/explore.cfm?ncbi=103372","Explore in ECOTOX")</f>
        <v>Explore in ECOTOX</v>
      </c>
    </row>
    <row r="903" spans="1:19" x14ac:dyDescent="0.25">
      <c r="A903">
        <v>6</v>
      </c>
      <c r="B903" t="str">
        <f>HYPERLINK("http://www.ncbi.nlm.nih.gov/protein/XP_018056402.1","XP_018056402.1")</f>
        <v>XP_018056402.1</v>
      </c>
      <c r="C903">
        <v>31103</v>
      </c>
      <c r="D903" t="str">
        <f>HYPERLINK("http://www.ncbi.nlm.nih.gov/Taxonomy/Browser/wwwtax.cgi?mode=Info&amp;id=520822&amp;lvl=3&amp;lin=f&amp;keep=1&amp;srchmode=1&amp;unlock","520822")</f>
        <v>520822</v>
      </c>
      <c r="E903" t="s">
        <v>698</v>
      </c>
      <c r="F903" t="s">
        <v>698</v>
      </c>
      <c r="G903" t="str">
        <f>HYPERLINK("http://www.ncbi.nlm.nih.gov/Taxonomy/Browser/wwwtax.cgi?mode=Info&amp;id=520822&amp;lvl=3&amp;lin=f&amp;keep=1&amp;srchmode=1&amp;unlock","Atta colombica")</f>
        <v>Atta colombica</v>
      </c>
      <c r="H903" t="s">
        <v>848</v>
      </c>
      <c r="I903" t="str">
        <f>HYPERLINK("http://www.ncbi.nlm.nih.gov/protein/XP_018056402.1","PREDICTED: steroid hormone receptor ERR1 isoform X3")</f>
        <v>PREDICTED: steroid hormone receptor ERR1 isoform X3</v>
      </c>
      <c r="J903" t="s">
        <v>1261</v>
      </c>
      <c r="K903">
        <v>85.5</v>
      </c>
      <c r="L903" t="s">
        <v>25</v>
      </c>
      <c r="M903">
        <v>157</v>
      </c>
      <c r="N903">
        <v>62.55</v>
      </c>
      <c r="O903">
        <v>16.63</v>
      </c>
      <c r="P903" t="s">
        <v>25</v>
      </c>
      <c r="Q903" t="s">
        <v>1262</v>
      </c>
      <c r="R903" t="s">
        <v>20</v>
      </c>
      <c r="S903" t="str">
        <f>HYPERLINK("https://cfpub.epa.gov/ecotox/explore.cfm?ncbi=520822","Explore in ECOTOX")</f>
        <v>Explore in ECOTOX</v>
      </c>
    </row>
    <row r="904" spans="1:19" x14ac:dyDescent="0.25">
      <c r="A904">
        <v>6</v>
      </c>
      <c r="B904" t="str">
        <f>HYPERLINK("http://www.ncbi.nlm.nih.gov/protein/XP_018346890.1","XP_018346890.1")</f>
        <v>XP_018346890.1</v>
      </c>
      <c r="C904">
        <v>35616</v>
      </c>
      <c r="D904" t="str">
        <f>HYPERLINK("http://www.ncbi.nlm.nih.gov/Taxonomy/Browser/wwwtax.cgi?mode=Info&amp;id=34720&amp;lvl=3&amp;lin=f&amp;keep=1&amp;srchmode=1&amp;unlock","34720")</f>
        <v>34720</v>
      </c>
      <c r="E904" t="s">
        <v>698</v>
      </c>
      <c r="F904" t="s">
        <v>698</v>
      </c>
      <c r="G904" t="str">
        <f>HYPERLINK("http://www.ncbi.nlm.nih.gov/Taxonomy/Browser/wwwtax.cgi?mode=Info&amp;id=34720&amp;lvl=3&amp;lin=f&amp;keep=1&amp;srchmode=1&amp;unlock","Trachymyrmex septentrionalis")</f>
        <v>Trachymyrmex septentrionalis</v>
      </c>
      <c r="H904" t="s">
        <v>755</v>
      </c>
      <c r="I904" t="str">
        <f>HYPERLINK("http://www.ncbi.nlm.nih.gov/protein/XP_018346890.1","PREDICTED: steroid hormone receptor ERR1 isoform X2")</f>
        <v>PREDICTED: steroid hormone receptor ERR1 isoform X2</v>
      </c>
      <c r="J904" t="s">
        <v>1261</v>
      </c>
      <c r="K904">
        <v>85.5</v>
      </c>
      <c r="L904" t="s">
        <v>25</v>
      </c>
      <c r="M904">
        <v>157</v>
      </c>
      <c r="N904">
        <v>62.55</v>
      </c>
      <c r="O904">
        <v>16.63</v>
      </c>
      <c r="P904" t="s">
        <v>25</v>
      </c>
      <c r="Q904" t="s">
        <v>1262</v>
      </c>
      <c r="R904" t="s">
        <v>20</v>
      </c>
      <c r="S904" t="str">
        <f>HYPERLINK("https://cfpub.epa.gov/ecotox/explore.cfm?ncbi=34720","Explore in ECOTOX")</f>
        <v>Explore in ECOTOX</v>
      </c>
    </row>
    <row r="905" spans="1:19" x14ac:dyDescent="0.25">
      <c r="A905">
        <v>6</v>
      </c>
      <c r="B905" t="str">
        <f>HYPERLINK("http://www.ncbi.nlm.nih.gov/protein/XP_018358009.1","XP_018358009.1")</f>
        <v>XP_018358009.1</v>
      </c>
      <c r="C905">
        <v>40088</v>
      </c>
      <c r="D905" t="str">
        <f>HYPERLINK("http://www.ncbi.nlm.nih.gov/Taxonomy/Browser/wwwtax.cgi?mode=Info&amp;id=471704&amp;lvl=3&amp;lin=f&amp;keep=1&amp;srchmode=1&amp;unlock","471704")</f>
        <v>471704</v>
      </c>
      <c r="E905" t="s">
        <v>698</v>
      </c>
      <c r="F905" t="s">
        <v>698</v>
      </c>
      <c r="G905" t="str">
        <f>HYPERLINK("http://www.ncbi.nlm.nih.gov/Taxonomy/Browser/wwwtax.cgi?mode=Info&amp;id=471704&amp;lvl=3&amp;lin=f&amp;keep=1&amp;srchmode=1&amp;unlock","Trachymyrmex cornetzi")</f>
        <v>Trachymyrmex cornetzi</v>
      </c>
      <c r="H905" t="s">
        <v>755</v>
      </c>
      <c r="I905" t="str">
        <f>HYPERLINK("http://www.ncbi.nlm.nih.gov/protein/XP_018358009.1","PREDICTED: steroid hormone receptor ERR1 isoform X3")</f>
        <v>PREDICTED: steroid hormone receptor ERR1 isoform X3</v>
      </c>
      <c r="J905" t="s">
        <v>1261</v>
      </c>
      <c r="K905">
        <v>85.5</v>
      </c>
      <c r="L905" t="s">
        <v>25</v>
      </c>
      <c r="M905">
        <v>157</v>
      </c>
      <c r="N905">
        <v>62.55</v>
      </c>
      <c r="O905">
        <v>16.63</v>
      </c>
      <c r="P905" t="s">
        <v>25</v>
      </c>
      <c r="Q905" t="s">
        <v>1262</v>
      </c>
      <c r="R905" t="s">
        <v>20</v>
      </c>
      <c r="S905" t="str">
        <f>HYPERLINK("https://cfpub.epa.gov/ecotox/explore.cfm?ncbi=471704","Explore in ECOTOX")</f>
        <v>Explore in ECOTOX</v>
      </c>
    </row>
    <row r="906" spans="1:19" x14ac:dyDescent="0.25">
      <c r="A906">
        <v>6</v>
      </c>
      <c r="B906" t="str">
        <f>HYPERLINK("http://www.ncbi.nlm.nih.gov/protein/XP_012285430.1","XP_012285430.1")</f>
        <v>XP_012285430.1</v>
      </c>
      <c r="C906">
        <v>19714</v>
      </c>
      <c r="D906" t="str">
        <f>HYPERLINK("http://www.ncbi.nlm.nih.gov/Taxonomy/Browser/wwwtax.cgi?mode=Info&amp;id=222816&amp;lvl=3&amp;lin=f&amp;keep=1&amp;srchmode=1&amp;unlock","222816")</f>
        <v>222816</v>
      </c>
      <c r="E906" t="s">
        <v>698</v>
      </c>
      <c r="F906" t="s">
        <v>698</v>
      </c>
      <c r="G906" t="str">
        <f>HYPERLINK("http://www.ncbi.nlm.nih.gov/Taxonomy/Browser/wwwtax.cgi?mode=Info&amp;id=222816&amp;lvl=3&amp;lin=f&amp;keep=1&amp;srchmode=1&amp;unlock","Orussus abietinus")</f>
        <v>Orussus abietinus</v>
      </c>
      <c r="H906" t="s">
        <v>756</v>
      </c>
      <c r="I906" t="str">
        <f>HYPERLINK("http://www.ncbi.nlm.nih.gov/protein/XP_012285430.1","steroid hormone receptor ERR1 isoform X2")</f>
        <v>steroid hormone receptor ERR1 isoform X2</v>
      </c>
      <c r="J906" t="s">
        <v>1261</v>
      </c>
      <c r="K906">
        <v>85.5</v>
      </c>
      <c r="L906" t="s">
        <v>25</v>
      </c>
      <c r="M906">
        <v>157</v>
      </c>
      <c r="N906">
        <v>62.55</v>
      </c>
      <c r="O906">
        <v>16.63</v>
      </c>
      <c r="P906" t="s">
        <v>25</v>
      </c>
      <c r="Q906" t="s">
        <v>1262</v>
      </c>
      <c r="R906" t="s">
        <v>20</v>
      </c>
      <c r="S906" t="str">
        <f>HYPERLINK("https://cfpub.epa.gov/ecotox/explore.cfm?ncbi=222816","Explore in ECOTOX")</f>
        <v>Explore in ECOTOX</v>
      </c>
    </row>
    <row r="907" spans="1:19" x14ac:dyDescent="0.25">
      <c r="A907">
        <v>6</v>
      </c>
      <c r="B907" t="str">
        <f>HYPERLINK("http://www.ncbi.nlm.nih.gov/protein/XP_012057256.1","XP_012057256.1")</f>
        <v>XP_012057256.1</v>
      </c>
      <c r="C907">
        <v>10762</v>
      </c>
      <c r="D907" t="str">
        <f>HYPERLINK("http://www.ncbi.nlm.nih.gov/Taxonomy/Browser/wwwtax.cgi?mode=Info&amp;id=12957&amp;lvl=3&amp;lin=f&amp;keep=1&amp;srchmode=1&amp;unlock","12957")</f>
        <v>12957</v>
      </c>
      <c r="E907" t="s">
        <v>698</v>
      </c>
      <c r="F907" t="s">
        <v>698</v>
      </c>
      <c r="G907" t="str">
        <f>HYPERLINK("http://www.ncbi.nlm.nih.gov/Taxonomy/Browser/wwwtax.cgi?mode=Info&amp;id=12957&amp;lvl=3&amp;lin=f&amp;keep=1&amp;srchmode=1&amp;unlock","Atta cephalotes")</f>
        <v>Atta cephalotes</v>
      </c>
      <c r="H907" t="s">
        <v>848</v>
      </c>
      <c r="I907" t="str">
        <f>HYPERLINK("http://www.ncbi.nlm.nih.gov/protein/XP_012057256.1","PREDICTED: steroid hormone receptor ERR1")</f>
        <v>PREDICTED: steroid hormone receptor ERR1</v>
      </c>
      <c r="J907" t="s">
        <v>1261</v>
      </c>
      <c r="K907">
        <v>85.5</v>
      </c>
      <c r="L907" t="s">
        <v>25</v>
      </c>
      <c r="M907">
        <v>157</v>
      </c>
      <c r="N907">
        <v>62.55</v>
      </c>
      <c r="O907">
        <v>16.63</v>
      </c>
      <c r="P907" t="s">
        <v>25</v>
      </c>
      <c r="Q907" t="s">
        <v>1262</v>
      </c>
      <c r="R907" t="s">
        <v>20</v>
      </c>
      <c r="S907" t="str">
        <f>HYPERLINK("https://cfpub.epa.gov/ecotox/explore.cfm?ncbi=12957","Explore in ECOTOX")</f>
        <v>Explore in ECOTOX</v>
      </c>
    </row>
    <row r="908" spans="1:19" x14ac:dyDescent="0.25">
      <c r="A908">
        <v>6</v>
      </c>
      <c r="B908" t="str">
        <f>HYPERLINK("http://www.ncbi.nlm.nih.gov/protein/KAG5309615.1","KAG5309615.1")</f>
        <v>KAG5309615.1</v>
      </c>
      <c r="C908">
        <v>8970</v>
      </c>
      <c r="D908" t="str">
        <f>HYPERLINK("http://www.ncbi.nlm.nih.gov/Taxonomy/Browser/wwwtax.cgi?mode=Info&amp;id=230686&amp;lvl=3&amp;lin=f&amp;keep=1&amp;srchmode=1&amp;unlock","230686")</f>
        <v>230686</v>
      </c>
      <c r="E908" t="s">
        <v>698</v>
      </c>
      <c r="F908" t="s">
        <v>698</v>
      </c>
      <c r="G908" t="str">
        <f>HYPERLINK("http://www.ncbi.nlm.nih.gov/Taxonomy/Browser/wwwtax.cgi?mode=Info&amp;id=230686&amp;lvl=3&amp;lin=f&amp;keep=1&amp;srchmode=1&amp;unlock","Acromyrmex insinuator")</f>
        <v>Acromyrmex insinuator</v>
      </c>
      <c r="H908" t="s">
        <v>755</v>
      </c>
      <c r="I908" t="str">
        <f>HYPERLINK("http://www.ncbi.nlm.nih.gov/protein/KAG5309615.1","ERR2 protein, partial")</f>
        <v>ERR2 protein, partial</v>
      </c>
      <c r="J908" t="s">
        <v>1261</v>
      </c>
      <c r="K908">
        <v>85.5</v>
      </c>
      <c r="L908" t="s">
        <v>25</v>
      </c>
      <c r="M908">
        <v>157</v>
      </c>
      <c r="N908">
        <v>62.55</v>
      </c>
      <c r="O908">
        <v>16.63</v>
      </c>
      <c r="P908" t="s">
        <v>25</v>
      </c>
      <c r="Q908" t="s">
        <v>1262</v>
      </c>
      <c r="R908" t="s">
        <v>20</v>
      </c>
      <c r="S908" t="str">
        <f>HYPERLINK("https://cfpub.epa.gov/ecotox/explore.cfm?ncbi=230686","Explore in ECOTOX")</f>
        <v>Explore in ECOTOX</v>
      </c>
    </row>
    <row r="909" spans="1:19" x14ac:dyDescent="0.25">
      <c r="A909">
        <v>6</v>
      </c>
      <c r="B909" t="str">
        <f>HYPERLINK("http://www.ncbi.nlm.nih.gov/protein/KOC66682.1","KOC66682.1")</f>
        <v>KOC66682.1</v>
      </c>
      <c r="C909">
        <v>25085</v>
      </c>
      <c r="D909" t="str">
        <f>HYPERLINK("http://www.ncbi.nlm.nih.gov/Taxonomy/Browser/wwwtax.cgi?mode=Info&amp;id=597456&amp;lvl=3&amp;lin=f&amp;keep=1&amp;srchmode=1&amp;unlock","597456")</f>
        <v>597456</v>
      </c>
      <c r="E909" t="s">
        <v>698</v>
      </c>
      <c r="F909" t="s">
        <v>698</v>
      </c>
      <c r="G909" t="str">
        <f>HYPERLINK("http://www.ncbi.nlm.nih.gov/Taxonomy/Browser/wwwtax.cgi?mode=Info&amp;id=597456&amp;lvl=3&amp;lin=f&amp;keep=1&amp;srchmode=1&amp;unlock","Habropoda laboriosa")</f>
        <v>Habropoda laboriosa</v>
      </c>
      <c r="H909" t="s">
        <v>777</v>
      </c>
      <c r="I909" t="str">
        <f>HYPERLINK("http://www.ncbi.nlm.nih.gov/protein/KOC66682.1","Steroid hormone receptor ERR2, partial")</f>
        <v>Steroid hormone receptor ERR2, partial</v>
      </c>
      <c r="J909" t="s">
        <v>1261</v>
      </c>
      <c r="K909">
        <v>85.11</v>
      </c>
      <c r="L909" t="s">
        <v>25</v>
      </c>
      <c r="M909">
        <v>157</v>
      </c>
      <c r="N909">
        <v>62.55</v>
      </c>
      <c r="O909">
        <v>16.55</v>
      </c>
      <c r="P909" t="s">
        <v>25</v>
      </c>
      <c r="Q909" t="s">
        <v>1262</v>
      </c>
      <c r="R909" t="s">
        <v>20</v>
      </c>
      <c r="S909" t="str">
        <f>HYPERLINK("https://cfpub.epa.gov/ecotox/explore.cfm?ncbi=597456","Explore in ECOTOX")</f>
        <v>Explore in ECOTOX</v>
      </c>
    </row>
    <row r="910" spans="1:19" x14ac:dyDescent="0.25">
      <c r="A910">
        <v>6</v>
      </c>
      <c r="B910" t="str">
        <f>HYPERLINK("http://www.ncbi.nlm.nih.gov/protein/KZC06469.1","KZC06469.1")</f>
        <v>KZC06469.1</v>
      </c>
      <c r="C910">
        <v>23634</v>
      </c>
      <c r="D910" t="str">
        <f>HYPERLINK("http://www.ncbi.nlm.nih.gov/Taxonomy/Browser/wwwtax.cgi?mode=Info&amp;id=178035&amp;lvl=3&amp;lin=f&amp;keep=1&amp;srchmode=1&amp;unlock","178035")</f>
        <v>178035</v>
      </c>
      <c r="E910" t="s">
        <v>698</v>
      </c>
      <c r="F910" t="s">
        <v>698</v>
      </c>
      <c r="G910" t="str">
        <f>HYPERLINK("http://www.ncbi.nlm.nih.gov/Taxonomy/Browser/wwwtax.cgi?mode=Info&amp;id=178035&amp;lvl=3&amp;lin=f&amp;keep=1&amp;srchmode=1&amp;unlock","Dufourea novaeangliae")</f>
        <v>Dufourea novaeangliae</v>
      </c>
      <c r="H910" t="s">
        <v>964</v>
      </c>
      <c r="I910" t="str">
        <f>HYPERLINK("http://www.ncbi.nlm.nih.gov/protein/KZC06469.1","Steroid hormone receptor ERR2")</f>
        <v>Steroid hormone receptor ERR2</v>
      </c>
      <c r="J910" t="s">
        <v>1261</v>
      </c>
      <c r="K910">
        <v>85.11</v>
      </c>
      <c r="L910" t="s">
        <v>25</v>
      </c>
      <c r="M910">
        <v>157</v>
      </c>
      <c r="N910">
        <v>62.55</v>
      </c>
      <c r="O910">
        <v>16.55</v>
      </c>
      <c r="P910" t="s">
        <v>25</v>
      </c>
      <c r="Q910" t="s">
        <v>1262</v>
      </c>
      <c r="R910" t="s">
        <v>20</v>
      </c>
      <c r="S910" t="str">
        <f>HYPERLINK("https://cfpub.epa.gov/ecotox/explore.cfm?ncbi=178035","Explore in ECOTOX")</f>
        <v>Explore in ECOTOX</v>
      </c>
    </row>
    <row r="911" spans="1:19" x14ac:dyDescent="0.25">
      <c r="A911">
        <v>6</v>
      </c>
      <c r="B911" t="str">
        <f>HYPERLINK("http://www.ncbi.nlm.nih.gov/protein/XP_011867574.1","XP_011867574.1")</f>
        <v>XP_011867574.1</v>
      </c>
      <c r="C911">
        <v>26318</v>
      </c>
      <c r="D911" t="str">
        <f>HYPERLINK("http://www.ncbi.nlm.nih.gov/Taxonomy/Browser/wwwtax.cgi?mode=Info&amp;id=411798&amp;lvl=3&amp;lin=f&amp;keep=1&amp;srchmode=1&amp;unlock","411798")</f>
        <v>411798</v>
      </c>
      <c r="E911" t="s">
        <v>698</v>
      </c>
      <c r="F911" t="s">
        <v>698</v>
      </c>
      <c r="G911" t="str">
        <f>HYPERLINK("http://www.ncbi.nlm.nih.gov/Taxonomy/Browser/wwwtax.cgi?mode=Info&amp;id=411798&amp;lvl=3&amp;lin=f&amp;keep=1&amp;srchmode=1&amp;unlock","Vollenhovia emeryi")</f>
        <v>Vollenhovia emeryi</v>
      </c>
      <c r="H911" t="s">
        <v>755</v>
      </c>
      <c r="I911" t="str">
        <f>HYPERLINK("http://www.ncbi.nlm.nih.gov/protein/XP_011867574.1","PREDICTED: steroid hormone receptor ERR1 isoform X2")</f>
        <v>PREDICTED: steroid hormone receptor ERR1 isoform X2</v>
      </c>
      <c r="J911" t="s">
        <v>1261</v>
      </c>
      <c r="K911">
        <v>84.73</v>
      </c>
      <c r="L911" t="s">
        <v>25</v>
      </c>
      <c r="M911">
        <v>157</v>
      </c>
      <c r="N911">
        <v>62.55</v>
      </c>
      <c r="O911">
        <v>16.48</v>
      </c>
      <c r="P911" t="s">
        <v>25</v>
      </c>
      <c r="Q911" t="s">
        <v>1262</v>
      </c>
      <c r="R911" t="s">
        <v>20</v>
      </c>
      <c r="S911" t="str">
        <f>HYPERLINK("https://cfpub.epa.gov/ecotox/explore.cfm?ncbi=411798","Explore in ECOTOX")</f>
        <v>Explore in ECOTOX</v>
      </c>
    </row>
    <row r="912" spans="1:19" x14ac:dyDescent="0.25">
      <c r="A912">
        <v>6</v>
      </c>
      <c r="B912" t="str">
        <f>HYPERLINK("http://www.ncbi.nlm.nih.gov/protein/BAF46102.1","BAF46102.1")</f>
        <v>BAF46102.1</v>
      </c>
      <c r="C912">
        <v>34</v>
      </c>
      <c r="D912" t="str">
        <f>HYPERLINK("http://www.ncbi.nlm.nih.gov/Taxonomy/Browser/wwwtax.cgi?mode=Info&amp;id=86203&amp;lvl=3&amp;lin=f&amp;keep=1&amp;srchmode=1&amp;unlock","86203")</f>
        <v>86203</v>
      </c>
      <c r="E912" t="s">
        <v>384</v>
      </c>
      <c r="F912" t="s">
        <v>384</v>
      </c>
      <c r="G912" t="str">
        <f>HYPERLINK("http://www.ncbi.nlm.nih.gov/Taxonomy/Browser/wwwtax.cgi?mode=Info&amp;id=86203&amp;lvl=3&amp;lin=f&amp;keep=1&amp;srchmode=1&amp;unlock","Acanthogobius flavimanus")</f>
        <v>Acanthogobius flavimanus</v>
      </c>
      <c r="H912" t="s">
        <v>1108</v>
      </c>
      <c r="I912" t="str">
        <f>HYPERLINK("http://www.ncbi.nlm.nih.gov/protein/BAF46102.1","estrogen receptor alpha")</f>
        <v>estrogen receptor alpha</v>
      </c>
      <c r="J912" t="s">
        <v>1261</v>
      </c>
      <c r="K912">
        <v>84.73</v>
      </c>
      <c r="L912" t="s">
        <v>25</v>
      </c>
      <c r="M912">
        <v>157</v>
      </c>
      <c r="N912">
        <v>62.55</v>
      </c>
      <c r="O912">
        <v>16.48</v>
      </c>
      <c r="P912" t="s">
        <v>20</v>
      </c>
      <c r="Q912" t="s">
        <v>1262</v>
      </c>
      <c r="R912" t="s">
        <v>20</v>
      </c>
      <c r="S912" t="str">
        <f>HYPERLINK("https://cfpub.epa.gov/ecotox/explore.cfm?ncbi=86203","Explore in ECOTOX")</f>
        <v>Explore in ECOTOX</v>
      </c>
    </row>
    <row r="913" spans="1:19" x14ac:dyDescent="0.25">
      <c r="A913">
        <v>6</v>
      </c>
      <c r="B913" t="str">
        <f>HYPERLINK("http://www.ncbi.nlm.nih.gov/protein/KAF7393767.1","KAF7393767.1")</f>
        <v>KAF7393767.1</v>
      </c>
      <c r="C913">
        <v>17304</v>
      </c>
      <c r="D913" t="str">
        <f>HYPERLINK("http://www.ncbi.nlm.nih.gov/Taxonomy/Browser/wwwtax.cgi?mode=Info&amp;id=30212&amp;lvl=3&amp;lin=f&amp;keep=1&amp;srchmode=1&amp;unlock","30212")</f>
        <v>30212</v>
      </c>
      <c r="E913" t="s">
        <v>698</v>
      </c>
      <c r="F913" t="s">
        <v>698</v>
      </c>
      <c r="G913" t="str">
        <f>HYPERLINK("http://www.ncbi.nlm.nih.gov/Taxonomy/Browser/wwwtax.cgi?mode=Info&amp;id=30212&amp;lvl=3&amp;lin=f&amp;keep=1&amp;srchmode=1&amp;unlock","Vespula germanica")</f>
        <v>Vespula germanica</v>
      </c>
      <c r="H913" t="s">
        <v>800</v>
      </c>
      <c r="I913" t="str">
        <f>HYPERLINK("http://www.ncbi.nlm.nih.gov/protein/KAF7393767.1","hypothetical protein")</f>
        <v>hypothetical protein</v>
      </c>
      <c r="J913" t="s">
        <v>1261</v>
      </c>
      <c r="K913">
        <v>84.73</v>
      </c>
      <c r="L913" t="s">
        <v>25</v>
      </c>
      <c r="M913">
        <v>157</v>
      </c>
      <c r="N913">
        <v>62.55</v>
      </c>
      <c r="O913">
        <v>16.48</v>
      </c>
      <c r="P913" t="s">
        <v>25</v>
      </c>
      <c r="Q913" t="s">
        <v>1262</v>
      </c>
      <c r="R913" t="s">
        <v>20</v>
      </c>
      <c r="S913" t="str">
        <f>HYPERLINK("https://cfpub.epa.gov/ecotox/explore.cfm?ncbi=30212","Explore in ECOTOX")</f>
        <v>Explore in ECOTOX</v>
      </c>
    </row>
    <row r="914" spans="1:19" x14ac:dyDescent="0.25">
      <c r="A914">
        <v>6</v>
      </c>
      <c r="B914" t="str">
        <f>HYPERLINK("http://www.ncbi.nlm.nih.gov/protein/XP_020278714.1","XP_020278714.1")</f>
        <v>XP_020278714.1</v>
      </c>
      <c r="C914">
        <v>23521</v>
      </c>
      <c r="D914" t="str">
        <f>HYPERLINK("http://www.ncbi.nlm.nih.gov/Taxonomy/Browser/wwwtax.cgi?mode=Info&amp;id=219809&amp;lvl=3&amp;lin=f&amp;keep=1&amp;srchmode=1&amp;unlock","219809")</f>
        <v>219809</v>
      </c>
      <c r="E914" t="s">
        <v>698</v>
      </c>
      <c r="F914" t="s">
        <v>698</v>
      </c>
      <c r="G914" t="str">
        <f>HYPERLINK("http://www.ncbi.nlm.nih.gov/Taxonomy/Browser/wwwtax.cgi?mode=Info&amp;id=219809&amp;lvl=3&amp;lin=f&amp;keep=1&amp;srchmode=1&amp;unlock","Pseudomyrmex gracilis")</f>
        <v>Pseudomyrmex gracilis</v>
      </c>
      <c r="H914" t="s">
        <v>755</v>
      </c>
      <c r="I914" t="str">
        <f>HYPERLINK("http://www.ncbi.nlm.nih.gov/protein/XP_020278714.1","steroid hormone receptor ERR1 isoform X2")</f>
        <v>steroid hormone receptor ERR1 isoform X2</v>
      </c>
      <c r="J914" t="s">
        <v>1261</v>
      </c>
      <c r="K914">
        <v>84.73</v>
      </c>
      <c r="L914" t="s">
        <v>25</v>
      </c>
      <c r="M914">
        <v>157</v>
      </c>
      <c r="N914">
        <v>62.55</v>
      </c>
      <c r="O914">
        <v>16.48</v>
      </c>
      <c r="P914" t="s">
        <v>25</v>
      </c>
      <c r="Q914" t="s">
        <v>1262</v>
      </c>
      <c r="R914" t="s">
        <v>20</v>
      </c>
      <c r="S914" t="str">
        <f>HYPERLINK("https://cfpub.epa.gov/ecotox/explore.cfm?ncbi=219809","Explore in ECOTOX")</f>
        <v>Explore in ECOTOX</v>
      </c>
    </row>
    <row r="915" spans="1:19" x14ac:dyDescent="0.25">
      <c r="A915">
        <v>6</v>
      </c>
      <c r="B915" t="str">
        <f>HYPERLINK("http://www.ncbi.nlm.nih.gov/protein/XP_012231091.1","XP_012231091.1")</f>
        <v>XP_012231091.1</v>
      </c>
      <c r="C915">
        <v>21824</v>
      </c>
      <c r="D915" t="str">
        <f>HYPERLINK("http://www.ncbi.nlm.nih.gov/Taxonomy/Browser/wwwtax.cgi?mode=Info&amp;id=83485&amp;lvl=3&amp;lin=f&amp;keep=1&amp;srchmode=1&amp;unlock","83485")</f>
        <v>83485</v>
      </c>
      <c r="E915" t="s">
        <v>698</v>
      </c>
      <c r="F915" t="s">
        <v>698</v>
      </c>
      <c r="G915" t="str">
        <f>HYPERLINK("http://www.ncbi.nlm.nih.gov/Taxonomy/Browser/wwwtax.cgi?mode=Info&amp;id=83485&amp;lvl=3&amp;lin=f&amp;keep=1&amp;srchmode=1&amp;unlock","Linepithema humile")</f>
        <v>Linepithema humile</v>
      </c>
      <c r="H915" t="s">
        <v>791</v>
      </c>
      <c r="I915" t="str">
        <f>HYPERLINK("http://www.ncbi.nlm.nih.gov/protein/XP_012231091.1","PREDICTED: steroid hormone receptor ERR2 isoform X2")</f>
        <v>PREDICTED: steroid hormone receptor ERR2 isoform X2</v>
      </c>
      <c r="J915" t="s">
        <v>1261</v>
      </c>
      <c r="K915">
        <v>84.73</v>
      </c>
      <c r="L915" t="s">
        <v>25</v>
      </c>
      <c r="M915">
        <v>157</v>
      </c>
      <c r="N915">
        <v>62.55</v>
      </c>
      <c r="O915">
        <v>16.48</v>
      </c>
      <c r="P915" t="s">
        <v>25</v>
      </c>
      <c r="Q915" t="s">
        <v>1262</v>
      </c>
      <c r="R915" t="s">
        <v>20</v>
      </c>
      <c r="S915" t="str">
        <f>HYPERLINK("https://cfpub.epa.gov/ecotox/explore.cfm?ncbi=83485","Explore in ECOTOX")</f>
        <v>Explore in ECOTOX</v>
      </c>
    </row>
    <row r="916" spans="1:19" x14ac:dyDescent="0.25">
      <c r="A916">
        <v>6</v>
      </c>
      <c r="B916" t="str">
        <f>HYPERLINK("http://www.ncbi.nlm.nih.gov/protein/KAF7391073.1","KAF7391073.1")</f>
        <v>KAF7391073.1</v>
      </c>
      <c r="C916">
        <v>15690</v>
      </c>
      <c r="D916" t="str">
        <f>HYPERLINK("http://www.ncbi.nlm.nih.gov/Taxonomy/Browser/wwwtax.cgi?mode=Info&amp;id=7454&amp;lvl=3&amp;lin=f&amp;keep=1&amp;srchmode=1&amp;unlock","7454")</f>
        <v>7454</v>
      </c>
      <c r="E916" t="s">
        <v>698</v>
      </c>
      <c r="F916" t="s">
        <v>698</v>
      </c>
      <c r="G916" t="str">
        <f>HYPERLINK("http://www.ncbi.nlm.nih.gov/Taxonomy/Browser/wwwtax.cgi?mode=Info&amp;id=7454&amp;lvl=3&amp;lin=f&amp;keep=1&amp;srchmode=1&amp;unlock","Vespula vulgaris")</f>
        <v>Vespula vulgaris</v>
      </c>
      <c r="H916" t="s">
        <v>800</v>
      </c>
      <c r="I916" t="str">
        <f>HYPERLINK("http://www.ncbi.nlm.nih.gov/protein/KAF7391073.1","hypothetical protein")</f>
        <v>hypothetical protein</v>
      </c>
      <c r="J916" t="s">
        <v>1261</v>
      </c>
      <c r="K916">
        <v>84.73</v>
      </c>
      <c r="L916" t="s">
        <v>25</v>
      </c>
      <c r="M916">
        <v>157</v>
      </c>
      <c r="N916">
        <v>62.55</v>
      </c>
      <c r="O916">
        <v>16.48</v>
      </c>
      <c r="P916" t="s">
        <v>25</v>
      </c>
      <c r="Q916" t="s">
        <v>1262</v>
      </c>
      <c r="R916" t="s">
        <v>20</v>
      </c>
      <c r="S916" t="str">
        <f>HYPERLINK("https://cfpub.epa.gov/ecotox/explore.cfm?ncbi=7454","Explore in ECOTOX")</f>
        <v>Explore in ECOTOX</v>
      </c>
    </row>
    <row r="917" spans="1:19" x14ac:dyDescent="0.25">
      <c r="A917">
        <v>6</v>
      </c>
      <c r="B917" t="str">
        <f>HYPERLINK("http://www.ncbi.nlm.nih.gov/protein/AEJ86349.1","AEJ86349.1")</f>
        <v>AEJ86349.1</v>
      </c>
      <c r="C917">
        <v>207</v>
      </c>
      <c r="D917" t="str">
        <f>HYPERLINK("http://www.ncbi.nlm.nih.gov/Taxonomy/Browser/wwwtax.cgi?mode=Info&amp;id=8237&amp;lvl=3&amp;lin=f&amp;keep=1&amp;srchmode=1&amp;unlock","8237")</f>
        <v>8237</v>
      </c>
      <c r="E917" t="s">
        <v>384</v>
      </c>
      <c r="F917" t="s">
        <v>384</v>
      </c>
      <c r="G917" t="str">
        <f>HYPERLINK("http://www.ncbi.nlm.nih.gov/Taxonomy/Browser/wwwtax.cgi?mode=Info&amp;id=8237&amp;lvl=3&amp;lin=f&amp;keep=1&amp;srchmode=1&amp;unlock","Thunnus thynnus")</f>
        <v>Thunnus thynnus</v>
      </c>
      <c r="H917" t="s">
        <v>1193</v>
      </c>
      <c r="I917" t="str">
        <f>HYPERLINK("http://www.ncbi.nlm.nih.gov/protein/AEJ86349.1","estrogen receptor a, partial")</f>
        <v>estrogen receptor a, partial</v>
      </c>
      <c r="J917" t="s">
        <v>1261</v>
      </c>
      <c r="K917">
        <v>84.73</v>
      </c>
      <c r="L917" t="s">
        <v>25</v>
      </c>
      <c r="M917">
        <v>157</v>
      </c>
      <c r="N917">
        <v>62.55</v>
      </c>
      <c r="O917">
        <v>16.48</v>
      </c>
      <c r="P917" t="s">
        <v>20</v>
      </c>
      <c r="Q917" t="s">
        <v>1262</v>
      </c>
      <c r="R917" t="s">
        <v>20</v>
      </c>
      <c r="S917" t="str">
        <f>HYPERLINK("https://cfpub.epa.gov/ecotox/explore.cfm?ncbi=8237","Explore in ECOTOX")</f>
        <v>Explore in ECOTOX</v>
      </c>
    </row>
    <row r="918" spans="1:19" x14ac:dyDescent="0.25">
      <c r="A918">
        <v>6</v>
      </c>
      <c r="B918" t="str">
        <f>HYPERLINK("http://www.ncbi.nlm.nih.gov/protein/XP_037581544.1","XP_037581544.1")</f>
        <v>XP_037581544.1</v>
      </c>
      <c r="C918">
        <v>28879</v>
      </c>
      <c r="D918" t="str">
        <f>HYPERLINK("http://www.ncbi.nlm.nih.gov/Taxonomy/Browser/wwwtax.cgi?mode=Info&amp;id=543639&amp;lvl=3&amp;lin=f&amp;keep=1&amp;srchmode=1&amp;unlock","543639")</f>
        <v>543639</v>
      </c>
      <c r="E918" t="s">
        <v>700</v>
      </c>
      <c r="F918" t="s">
        <v>700</v>
      </c>
      <c r="G918" t="str">
        <f>HYPERLINK("http://www.ncbi.nlm.nih.gov/Taxonomy/Browser/wwwtax.cgi?mode=Info&amp;id=543639&amp;lvl=3&amp;lin=f&amp;keep=1&amp;srchmode=1&amp;unlock","Dermacentor silvarum")</f>
        <v>Dermacentor silvarum</v>
      </c>
      <c r="H918" t="s">
        <v>871</v>
      </c>
      <c r="I918" t="str">
        <f>HYPERLINK("http://www.ncbi.nlm.nih.gov/protein/XP_037581544.1","steroid hormone receptor ERR1-like")</f>
        <v>steroid hormone receptor ERR1-like</v>
      </c>
      <c r="J918" t="s">
        <v>1261</v>
      </c>
      <c r="K918">
        <v>84.34</v>
      </c>
      <c r="L918" t="s">
        <v>25</v>
      </c>
      <c r="M918">
        <v>157</v>
      </c>
      <c r="N918">
        <v>62.55</v>
      </c>
      <c r="O918">
        <v>16.399999999999999</v>
      </c>
      <c r="P918" t="s">
        <v>25</v>
      </c>
      <c r="Q918" t="s">
        <v>1262</v>
      </c>
      <c r="R918" t="s">
        <v>20</v>
      </c>
      <c r="S918" t="str">
        <f>HYPERLINK("https://cfpub.epa.gov/ecotox/explore.cfm?ncbi=543639","Explore in ECOTOX")</f>
        <v>Explore in ECOTOX</v>
      </c>
    </row>
    <row r="919" spans="1:19" x14ac:dyDescent="0.25">
      <c r="A919">
        <v>6</v>
      </c>
      <c r="B919" t="str">
        <f>HYPERLINK("http://www.ncbi.nlm.nih.gov/protein/XP_029670566.1","XP_029670566.1")</f>
        <v>XP_029670566.1</v>
      </c>
      <c r="C919">
        <v>22522</v>
      </c>
      <c r="D919" t="str">
        <f>HYPERLINK("http://www.ncbi.nlm.nih.gov/Taxonomy/Browser/wwwtax.cgi?mode=Info&amp;id=72781&amp;lvl=3&amp;lin=f&amp;keep=1&amp;srchmode=1&amp;unlock","72781")</f>
        <v>72781</v>
      </c>
      <c r="E919" t="s">
        <v>698</v>
      </c>
      <c r="F919" t="s">
        <v>698</v>
      </c>
      <c r="G919" t="str">
        <f>HYPERLINK("http://www.ncbi.nlm.nih.gov/Taxonomy/Browser/wwwtax.cgi?mode=Info&amp;id=72781&amp;lvl=3&amp;lin=f&amp;keep=1&amp;srchmode=1&amp;unlock","Formica exsecta")</f>
        <v>Formica exsecta</v>
      </c>
      <c r="H919" t="s">
        <v>755</v>
      </c>
      <c r="I919" t="str">
        <f>HYPERLINK("http://www.ncbi.nlm.nih.gov/protein/XP_029670566.1","steroid hormone receptor ERR1 isoform X4")</f>
        <v>steroid hormone receptor ERR1 isoform X4</v>
      </c>
      <c r="J919" t="s">
        <v>1261</v>
      </c>
      <c r="K919">
        <v>84.34</v>
      </c>
      <c r="L919" t="s">
        <v>25</v>
      </c>
      <c r="M919">
        <v>157</v>
      </c>
      <c r="N919">
        <v>62.55</v>
      </c>
      <c r="O919">
        <v>16.399999999999999</v>
      </c>
      <c r="P919" t="s">
        <v>25</v>
      </c>
      <c r="Q919" t="s">
        <v>1262</v>
      </c>
      <c r="R919" t="s">
        <v>20</v>
      </c>
      <c r="S919" t="str">
        <f>HYPERLINK("https://cfpub.epa.gov/ecotox/explore.cfm?ncbi=72781","Explore in ECOTOX")</f>
        <v>Explore in ECOTOX</v>
      </c>
    </row>
    <row r="920" spans="1:19" x14ac:dyDescent="0.25">
      <c r="A920">
        <v>6</v>
      </c>
      <c r="B920" t="str">
        <f>HYPERLINK("http://www.ncbi.nlm.nih.gov/protein/XP_037525182.1","XP_037525182.1")</f>
        <v>XP_037525182.1</v>
      </c>
      <c r="C920">
        <v>32522</v>
      </c>
      <c r="D920" t="str">
        <f>HYPERLINK("http://www.ncbi.nlm.nih.gov/Taxonomy/Browser/wwwtax.cgi?mode=Info&amp;id=34632&amp;lvl=3&amp;lin=f&amp;keep=1&amp;srchmode=1&amp;unlock","34632")</f>
        <v>34632</v>
      </c>
      <c r="E920" t="s">
        <v>700</v>
      </c>
      <c r="F920" t="s">
        <v>700</v>
      </c>
      <c r="G920" t="str">
        <f>HYPERLINK("http://www.ncbi.nlm.nih.gov/Taxonomy/Browser/wwwtax.cgi?mode=Info&amp;id=34632&amp;lvl=3&amp;lin=f&amp;keep=1&amp;srchmode=1&amp;unlock","Rhipicephalus sanguineus")</f>
        <v>Rhipicephalus sanguineus</v>
      </c>
      <c r="H920" t="s">
        <v>895</v>
      </c>
      <c r="I920" t="str">
        <f>HYPERLINK("http://www.ncbi.nlm.nih.gov/protein/XP_037525182.1","LOW QUALITY PROTEIN: steroid hormone receptor ERR1-like")</f>
        <v>LOW QUALITY PROTEIN: steroid hormone receptor ERR1-like</v>
      </c>
      <c r="J920" t="s">
        <v>1261</v>
      </c>
      <c r="K920">
        <v>84.34</v>
      </c>
      <c r="L920" t="s">
        <v>25</v>
      </c>
      <c r="M920">
        <v>157</v>
      </c>
      <c r="N920">
        <v>62.55</v>
      </c>
      <c r="O920">
        <v>16.399999999999999</v>
      </c>
      <c r="P920" t="s">
        <v>25</v>
      </c>
      <c r="Q920" t="s">
        <v>1262</v>
      </c>
      <c r="R920" t="s">
        <v>20</v>
      </c>
      <c r="S920" t="str">
        <f>HYPERLINK("https://cfpub.epa.gov/ecotox/explore.cfm?ncbi=34632","Explore in ECOTOX")</f>
        <v>Explore in ECOTOX</v>
      </c>
    </row>
    <row r="921" spans="1:19" x14ac:dyDescent="0.25">
      <c r="A921">
        <v>6</v>
      </c>
      <c r="B921" t="str">
        <f>HYPERLINK("http://www.ncbi.nlm.nih.gov/protein/XP_015585202.1","XP_015585202.1")</f>
        <v>XP_015585202.1</v>
      </c>
      <c r="C921">
        <v>32236</v>
      </c>
      <c r="D921" t="str">
        <f>HYPERLINK("http://www.ncbi.nlm.nih.gov/Taxonomy/Browser/wwwtax.cgi?mode=Info&amp;id=211228&amp;lvl=3&amp;lin=f&amp;keep=1&amp;srchmode=1&amp;unlock","211228")</f>
        <v>211228</v>
      </c>
      <c r="E921" t="s">
        <v>698</v>
      </c>
      <c r="F921" t="s">
        <v>698</v>
      </c>
      <c r="G921" t="str">
        <f>HYPERLINK("http://www.ncbi.nlm.nih.gov/Taxonomy/Browser/wwwtax.cgi?mode=Info&amp;id=211228&amp;lvl=3&amp;lin=f&amp;keep=1&amp;srchmode=1&amp;unlock","Cephus cinctus")</f>
        <v>Cephus cinctus</v>
      </c>
      <c r="H921" t="s">
        <v>883</v>
      </c>
      <c r="I921" t="str">
        <f>HYPERLINK("http://www.ncbi.nlm.nih.gov/protein/XP_015585202.1","steroid hormone receptor ERR1 isoform X2")</f>
        <v>steroid hormone receptor ERR1 isoform X2</v>
      </c>
      <c r="J921" t="s">
        <v>1261</v>
      </c>
      <c r="K921">
        <v>84.34</v>
      </c>
      <c r="L921" t="s">
        <v>25</v>
      </c>
      <c r="M921">
        <v>157</v>
      </c>
      <c r="N921">
        <v>62.55</v>
      </c>
      <c r="O921">
        <v>16.399999999999999</v>
      </c>
      <c r="P921" t="s">
        <v>25</v>
      </c>
      <c r="Q921" t="s">
        <v>1262</v>
      </c>
      <c r="R921" t="s">
        <v>20</v>
      </c>
      <c r="S921" t="str">
        <f>HYPERLINK("https://cfpub.epa.gov/ecotox/explore.cfm?ncbi=211228","Explore in ECOTOX")</f>
        <v>Explore in ECOTOX</v>
      </c>
    </row>
    <row r="922" spans="1:19" x14ac:dyDescent="0.25">
      <c r="A922">
        <v>6</v>
      </c>
      <c r="B922" t="str">
        <f>HYPERLINK("http://www.ncbi.nlm.nih.gov/protein/KAF7416924.1","KAF7416924.1")</f>
        <v>KAF7416924.1</v>
      </c>
      <c r="C922">
        <v>18619</v>
      </c>
      <c r="D922" t="str">
        <f>HYPERLINK("http://www.ncbi.nlm.nih.gov/Taxonomy/Browser/wwwtax.cgi?mode=Info&amp;id=30213&amp;lvl=3&amp;lin=f&amp;keep=1&amp;srchmode=1&amp;unlock","30213")</f>
        <v>30213</v>
      </c>
      <c r="E922" t="s">
        <v>698</v>
      </c>
      <c r="F922" t="s">
        <v>698</v>
      </c>
      <c r="G922" t="str">
        <f>HYPERLINK("http://www.ncbi.nlm.nih.gov/Taxonomy/Browser/wwwtax.cgi?mode=Info&amp;id=30213&amp;lvl=3&amp;lin=f&amp;keep=1&amp;srchmode=1&amp;unlock","Vespula pensylvanica")</f>
        <v>Vespula pensylvanica</v>
      </c>
      <c r="H922" t="s">
        <v>819</v>
      </c>
      <c r="I922" t="str">
        <f>HYPERLINK("http://www.ncbi.nlm.nih.gov/protein/KAF7416924.1","hypothetical protein")</f>
        <v>hypothetical protein</v>
      </c>
      <c r="J922" t="s">
        <v>1261</v>
      </c>
      <c r="K922">
        <v>84.34</v>
      </c>
      <c r="L922" t="s">
        <v>25</v>
      </c>
      <c r="M922">
        <v>157</v>
      </c>
      <c r="N922">
        <v>62.55</v>
      </c>
      <c r="O922">
        <v>16.399999999999999</v>
      </c>
      <c r="P922" t="s">
        <v>25</v>
      </c>
      <c r="Q922" t="s">
        <v>1262</v>
      </c>
      <c r="R922" t="s">
        <v>20</v>
      </c>
      <c r="S922" t="str">
        <f>HYPERLINK("https://cfpub.epa.gov/ecotox/explore.cfm?ncbi=30213","Explore in ECOTOX")</f>
        <v>Explore in ECOTOX</v>
      </c>
    </row>
    <row r="923" spans="1:19" x14ac:dyDescent="0.25">
      <c r="A923">
        <v>6</v>
      </c>
      <c r="B923" t="str">
        <f>HYPERLINK("http://www.ncbi.nlm.nih.gov/protein/XP_011644938.1","XP_011644938.1")</f>
        <v>XP_011644938.1</v>
      </c>
      <c r="C923">
        <v>19251</v>
      </c>
      <c r="D923" t="str">
        <f>HYPERLINK("http://www.ncbi.nlm.nih.gov/Taxonomy/Browser/wwwtax.cgi?mode=Info&amp;id=144034&amp;lvl=3&amp;lin=f&amp;keep=1&amp;srchmode=1&amp;unlock","144034")</f>
        <v>144034</v>
      </c>
      <c r="E923" t="s">
        <v>698</v>
      </c>
      <c r="F923" t="s">
        <v>698</v>
      </c>
      <c r="G923" t="str">
        <f>HYPERLINK("http://www.ncbi.nlm.nih.gov/Taxonomy/Browser/wwwtax.cgi?mode=Info&amp;id=144034&amp;lvl=3&amp;lin=f&amp;keep=1&amp;srchmode=1&amp;unlock","Pogonomyrmex barbatus")</f>
        <v>Pogonomyrmex barbatus</v>
      </c>
      <c r="H923" t="s">
        <v>788</v>
      </c>
      <c r="I923" t="str">
        <f>HYPERLINK("http://www.ncbi.nlm.nih.gov/protein/XP_011644938.1","steroid hormone receptor ERR2 isoform X2")</f>
        <v>steroid hormone receptor ERR2 isoform X2</v>
      </c>
      <c r="J923" t="s">
        <v>1261</v>
      </c>
      <c r="K923">
        <v>83.96</v>
      </c>
      <c r="L923" t="s">
        <v>25</v>
      </c>
      <c r="M923">
        <v>157</v>
      </c>
      <c r="N923">
        <v>62.55</v>
      </c>
      <c r="O923">
        <v>16.329999999999998</v>
      </c>
      <c r="P923" t="s">
        <v>25</v>
      </c>
      <c r="Q923" t="s">
        <v>1262</v>
      </c>
      <c r="R923" t="s">
        <v>20</v>
      </c>
      <c r="S923" t="str">
        <f>HYPERLINK("https://cfpub.epa.gov/ecotox/explore.cfm?ncbi=144034","Explore in ECOTOX")</f>
        <v>Explore in ECOTOX</v>
      </c>
    </row>
    <row r="924" spans="1:19" x14ac:dyDescent="0.25">
      <c r="A924">
        <v>6</v>
      </c>
      <c r="B924" t="str">
        <f>HYPERLINK("http://www.ncbi.nlm.nih.gov/protein/XP_014219263.1","XP_014219263.1")</f>
        <v>XP_014219263.1</v>
      </c>
      <c r="C924">
        <v>17495</v>
      </c>
      <c r="D924" t="str">
        <f>HYPERLINK("http://www.ncbi.nlm.nih.gov/Taxonomy/Browser/wwwtax.cgi?mode=Info&amp;id=29053&amp;lvl=3&amp;lin=f&amp;keep=1&amp;srchmode=1&amp;unlock","29053")</f>
        <v>29053</v>
      </c>
      <c r="E924" t="s">
        <v>698</v>
      </c>
      <c r="F924" t="s">
        <v>698</v>
      </c>
      <c r="G924" t="str">
        <f>HYPERLINK("http://www.ncbi.nlm.nih.gov/Taxonomy/Browser/wwwtax.cgi?mode=Info&amp;id=29053&amp;lvl=3&amp;lin=f&amp;keep=1&amp;srchmode=1&amp;unlock","Copidosoma floridanum")</f>
        <v>Copidosoma floridanum</v>
      </c>
      <c r="H924" t="s">
        <v>755</v>
      </c>
      <c r="I924" t="str">
        <f>HYPERLINK("http://www.ncbi.nlm.nih.gov/protein/XP_014219263.1","steroid hormone receptor ERR1 isoform X2")</f>
        <v>steroid hormone receptor ERR1 isoform X2</v>
      </c>
      <c r="J924" t="s">
        <v>1261</v>
      </c>
      <c r="K924">
        <v>83.96</v>
      </c>
      <c r="L924" t="s">
        <v>25</v>
      </c>
      <c r="M924">
        <v>157</v>
      </c>
      <c r="N924">
        <v>62.55</v>
      </c>
      <c r="O924">
        <v>16.329999999999998</v>
      </c>
      <c r="P924" t="s">
        <v>25</v>
      </c>
      <c r="Q924" t="s">
        <v>1262</v>
      </c>
      <c r="R924" t="s">
        <v>20</v>
      </c>
      <c r="S924" t="str">
        <f>HYPERLINK("https://cfpub.epa.gov/ecotox/explore.cfm?ncbi=29053","Explore in ECOTOX")</f>
        <v>Explore in ECOTOX</v>
      </c>
    </row>
    <row r="925" spans="1:19" x14ac:dyDescent="0.25">
      <c r="A925">
        <v>6</v>
      </c>
      <c r="B925" t="str">
        <f>HYPERLINK("http://www.ncbi.nlm.nih.gov/protein/GFG31069.1","GFG31069.1")</f>
        <v>GFG31069.1</v>
      </c>
      <c r="C925">
        <v>14160</v>
      </c>
      <c r="D925" t="str">
        <f>HYPERLINK("http://www.ncbi.nlm.nih.gov/Taxonomy/Browser/wwwtax.cgi?mode=Info&amp;id=36987&amp;lvl=3&amp;lin=f&amp;keep=1&amp;srchmode=1&amp;unlock","36987")</f>
        <v>36987</v>
      </c>
      <c r="E925" t="s">
        <v>698</v>
      </c>
      <c r="F925" t="s">
        <v>698</v>
      </c>
      <c r="G925" t="str">
        <f>HYPERLINK("http://www.ncbi.nlm.nih.gov/Taxonomy/Browser/wwwtax.cgi?mode=Info&amp;id=36987&amp;lvl=3&amp;lin=f&amp;keep=1&amp;srchmode=1&amp;unlock","Coptotermes formosanus")</f>
        <v>Coptotermes formosanus</v>
      </c>
      <c r="H925" t="s">
        <v>732</v>
      </c>
      <c r="I925" t="str">
        <f>HYPERLINK("http://www.ncbi.nlm.nih.gov/protein/GFG31069.1","hypothetical protein Cfor_00687")</f>
        <v>hypothetical protein Cfor_00687</v>
      </c>
      <c r="J925" t="s">
        <v>1261</v>
      </c>
      <c r="K925">
        <v>83.57</v>
      </c>
      <c r="L925" t="s">
        <v>25</v>
      </c>
      <c r="M925">
        <v>157</v>
      </c>
      <c r="N925">
        <v>62.55</v>
      </c>
      <c r="O925">
        <v>16.25</v>
      </c>
      <c r="P925" t="s">
        <v>25</v>
      </c>
      <c r="Q925" t="s">
        <v>1262</v>
      </c>
      <c r="R925" t="s">
        <v>20</v>
      </c>
      <c r="S925" t="str">
        <f>HYPERLINK("https://cfpub.epa.gov/ecotox/explore.cfm?ncbi=36987","Explore in ECOTOX")</f>
        <v>Explore in ECOTOX</v>
      </c>
    </row>
    <row r="926" spans="1:19" x14ac:dyDescent="0.25">
      <c r="A926">
        <v>6</v>
      </c>
      <c r="B926" t="str">
        <f>HYPERLINK("http://www.ncbi.nlm.nih.gov/protein/ABB96483.1","ABB96483.1")</f>
        <v>ABB96483.1</v>
      </c>
      <c r="C926">
        <v>9</v>
      </c>
      <c r="D926" t="str">
        <f>HYPERLINK("http://www.ncbi.nlm.nih.gov/Taxonomy/Browser/wwwtax.cgi?mode=Info&amp;id=83880&amp;lvl=3&amp;lin=f&amp;keep=1&amp;srchmode=1&amp;unlock","83880")</f>
        <v>83880</v>
      </c>
      <c r="E926" t="s">
        <v>384</v>
      </c>
      <c r="F926" t="s">
        <v>384</v>
      </c>
      <c r="G926" t="str">
        <f>HYPERLINK("http://www.ncbi.nlm.nih.gov/Taxonomy/Browser/wwwtax.cgi?mode=Info&amp;id=83880&amp;lvl=3&amp;lin=f&amp;keep=1&amp;srchmode=1&amp;unlock","Pseudolabrus japonicus")</f>
        <v>Pseudolabrus japonicus</v>
      </c>
      <c r="H926" t="s">
        <v>1105</v>
      </c>
      <c r="I926" t="str">
        <f>HYPERLINK("http://www.ncbi.nlm.nih.gov/protein/ABB96483.1","estrogen receptor alpha")</f>
        <v>estrogen receptor alpha</v>
      </c>
      <c r="J926" t="s">
        <v>1261</v>
      </c>
      <c r="K926">
        <v>83.19</v>
      </c>
      <c r="L926" t="s">
        <v>25</v>
      </c>
      <c r="M926">
        <v>157</v>
      </c>
      <c r="N926">
        <v>62.55</v>
      </c>
      <c r="O926">
        <v>16.18</v>
      </c>
      <c r="P926" t="s">
        <v>20</v>
      </c>
      <c r="Q926" t="s">
        <v>1262</v>
      </c>
      <c r="R926" t="s">
        <v>20</v>
      </c>
      <c r="S926" t="str">
        <f>HYPERLINK("https://cfpub.epa.gov/ecotox/explore.cfm?ncbi=83880","Explore in ECOTOX")</f>
        <v>Explore in ECOTOX</v>
      </c>
    </row>
    <row r="927" spans="1:19" x14ac:dyDescent="0.25">
      <c r="A927">
        <v>6</v>
      </c>
      <c r="B927" t="str">
        <f>HYPERLINK("http://www.ncbi.nlm.nih.gov/protein/KAG5334961.1","KAG5334961.1")</f>
        <v>KAG5334961.1</v>
      </c>
      <c r="C927">
        <v>8971</v>
      </c>
      <c r="D927" t="str">
        <f>HYPERLINK("http://www.ncbi.nlm.nih.gov/Taxonomy/Browser/wwwtax.cgi?mode=Info&amp;id=2715315&amp;lvl=3&amp;lin=f&amp;keep=1&amp;srchmode=1&amp;unlock","2715315")</f>
        <v>2715315</v>
      </c>
      <c r="E927" t="s">
        <v>698</v>
      </c>
      <c r="F927" t="s">
        <v>698</v>
      </c>
      <c r="G927" t="str">
        <f>HYPERLINK("http://www.ncbi.nlm.nih.gov/Taxonomy/Browser/wwwtax.cgi?mode=Info&amp;id=2715315&amp;lvl=3&amp;lin=f&amp;keep=1&amp;srchmode=1&amp;unlock","Acromyrmex charruanus")</f>
        <v>Acromyrmex charruanus</v>
      </c>
      <c r="H927" t="s">
        <v>755</v>
      </c>
      <c r="I927" t="str">
        <f>HYPERLINK("http://www.ncbi.nlm.nih.gov/protein/KAG5334961.1","ERR2 protein, partial")</f>
        <v>ERR2 protein, partial</v>
      </c>
      <c r="J927" t="s">
        <v>1261</v>
      </c>
      <c r="K927">
        <v>83.19</v>
      </c>
      <c r="L927" t="s">
        <v>25</v>
      </c>
      <c r="M927">
        <v>157</v>
      </c>
      <c r="N927">
        <v>62.55</v>
      </c>
      <c r="O927">
        <v>16.18</v>
      </c>
      <c r="P927" t="s">
        <v>25</v>
      </c>
      <c r="Q927" t="s">
        <v>1262</v>
      </c>
      <c r="R927" t="s">
        <v>20</v>
      </c>
      <c r="S927" t="str">
        <f>HYPERLINK("https://cfpub.epa.gov/ecotox/explore.cfm?ncbi=2715315","Explore in ECOTOX")</f>
        <v>Explore in ECOTOX</v>
      </c>
    </row>
    <row r="928" spans="1:19" x14ac:dyDescent="0.25">
      <c r="A928">
        <v>6</v>
      </c>
      <c r="B928" t="str">
        <f>HYPERLINK("http://www.ncbi.nlm.nih.gov/protein/KAG5321068.1","KAG5321068.1")</f>
        <v>KAG5321068.1</v>
      </c>
      <c r="C928">
        <v>9299</v>
      </c>
      <c r="D928" t="str">
        <f>HYPERLINK("http://www.ncbi.nlm.nih.gov/Taxonomy/Browser/wwwtax.cgi?mode=Info&amp;id=621737&amp;lvl=3&amp;lin=f&amp;keep=1&amp;srchmode=1&amp;unlock","621737")</f>
        <v>621737</v>
      </c>
      <c r="E928" t="s">
        <v>698</v>
      </c>
      <c r="F928" t="s">
        <v>698</v>
      </c>
      <c r="G928" t="str">
        <f>HYPERLINK("http://www.ncbi.nlm.nih.gov/Taxonomy/Browser/wwwtax.cgi?mode=Info&amp;id=621737&amp;lvl=3&amp;lin=f&amp;keep=1&amp;srchmode=1&amp;unlock","Pseudoatta argentina")</f>
        <v>Pseudoatta argentina</v>
      </c>
      <c r="H928" t="s">
        <v>755</v>
      </c>
      <c r="I928" t="str">
        <f>HYPERLINK("http://www.ncbi.nlm.nih.gov/protein/KAG5321068.1","ERR2 protein, partial")</f>
        <v>ERR2 protein, partial</v>
      </c>
      <c r="J928" t="s">
        <v>1261</v>
      </c>
      <c r="K928">
        <v>83.19</v>
      </c>
      <c r="L928" t="s">
        <v>25</v>
      </c>
      <c r="M928">
        <v>157</v>
      </c>
      <c r="N928">
        <v>62.55</v>
      </c>
      <c r="O928">
        <v>16.18</v>
      </c>
      <c r="P928" t="s">
        <v>25</v>
      </c>
      <c r="Q928" t="s">
        <v>1262</v>
      </c>
      <c r="R928" t="s">
        <v>20</v>
      </c>
      <c r="S928" t="str">
        <f>HYPERLINK("https://cfpub.epa.gov/ecotox/explore.cfm?ncbi=621737","Explore in ECOTOX")</f>
        <v>Explore in ECOTOX</v>
      </c>
    </row>
    <row r="929" spans="1:19" x14ac:dyDescent="0.25">
      <c r="A929">
        <v>6</v>
      </c>
      <c r="B929" t="str">
        <f>HYPERLINK("http://www.ncbi.nlm.nih.gov/protein/AAP72178.1","AAP72178.1")</f>
        <v>AAP72178.1</v>
      </c>
      <c r="C929">
        <v>58</v>
      </c>
      <c r="D929" t="str">
        <f>HYPERLINK("http://www.ncbi.nlm.nih.gov/Taxonomy/Browser/wwwtax.cgi?mode=Info&amp;id=217853&amp;lvl=3&amp;lin=f&amp;keep=1&amp;srchmode=1&amp;unlock","217853")</f>
        <v>217853</v>
      </c>
      <c r="E929" t="s">
        <v>384</v>
      </c>
      <c r="F929" t="s">
        <v>384</v>
      </c>
      <c r="G929" t="str">
        <f>HYPERLINK("http://www.ncbi.nlm.nih.gov/Taxonomy/Browser/wwwtax.cgi?mode=Info&amp;id=217853&amp;lvl=3&amp;lin=f&amp;keep=1&amp;srchmode=1&amp;unlock","Halichoeres tenuispinis")</f>
        <v>Halichoeres tenuispinis</v>
      </c>
      <c r="H929" t="s">
        <v>1102</v>
      </c>
      <c r="I929" t="str">
        <f>HYPERLINK("http://www.ncbi.nlm.nih.gov/protein/AAP72178.1","estrogen receptor alpha")</f>
        <v>estrogen receptor alpha</v>
      </c>
      <c r="J929" t="s">
        <v>1261</v>
      </c>
      <c r="K929">
        <v>82.8</v>
      </c>
      <c r="L929" t="s">
        <v>25</v>
      </c>
      <c r="M929">
        <v>157</v>
      </c>
      <c r="N929">
        <v>62.55</v>
      </c>
      <c r="O929">
        <v>16.100000000000001</v>
      </c>
      <c r="P929" t="s">
        <v>20</v>
      </c>
      <c r="Q929" t="s">
        <v>1262</v>
      </c>
      <c r="R929" t="s">
        <v>20</v>
      </c>
      <c r="S929" t="str">
        <f>HYPERLINK("https://cfpub.epa.gov/ecotox/explore.cfm?ncbi=217853","Explore in ECOTOX")</f>
        <v>Explore in ECOTOX</v>
      </c>
    </row>
    <row r="930" spans="1:19" x14ac:dyDescent="0.25">
      <c r="A930">
        <v>6</v>
      </c>
      <c r="B930" t="str">
        <f>HYPERLINK("http://www.ncbi.nlm.nih.gov/protein/XP_029169484.1","XP_029169484.1")</f>
        <v>XP_029169484.1</v>
      </c>
      <c r="C930">
        <v>24986</v>
      </c>
      <c r="D930" t="str">
        <f>HYPERLINK("http://www.ncbi.nlm.nih.gov/Taxonomy/Browser/wwwtax.cgi?mode=Info&amp;id=613905&amp;lvl=3&amp;lin=f&amp;keep=1&amp;srchmode=1&amp;unlock","613905")</f>
        <v>613905</v>
      </c>
      <c r="E930" t="s">
        <v>698</v>
      </c>
      <c r="F930" t="s">
        <v>698</v>
      </c>
      <c r="G930" t="str">
        <f>HYPERLINK("http://www.ncbi.nlm.nih.gov/Taxonomy/Browser/wwwtax.cgi?mode=Info&amp;id=613905&amp;lvl=3&amp;lin=f&amp;keep=1&amp;srchmode=1&amp;unlock","Nylanderia fulva")</f>
        <v>Nylanderia fulva</v>
      </c>
      <c r="H930" t="s">
        <v>755</v>
      </c>
      <c r="I930" t="str">
        <f>HYPERLINK("http://www.ncbi.nlm.nih.gov/protein/XP_029169484.1","steroid hormone receptor ERR2 isoform X6")</f>
        <v>steroid hormone receptor ERR2 isoform X6</v>
      </c>
      <c r="J930" t="s">
        <v>1261</v>
      </c>
      <c r="K930">
        <v>82.8</v>
      </c>
      <c r="L930" t="s">
        <v>25</v>
      </c>
      <c r="M930">
        <v>157</v>
      </c>
      <c r="N930">
        <v>62.55</v>
      </c>
      <c r="O930">
        <v>16.100000000000001</v>
      </c>
      <c r="P930" t="s">
        <v>25</v>
      </c>
      <c r="Q930" t="s">
        <v>1262</v>
      </c>
      <c r="R930" t="s">
        <v>20</v>
      </c>
      <c r="S930" t="str">
        <f>HYPERLINK("https://cfpub.epa.gov/ecotox/explore.cfm?ncbi=613905","Explore in ECOTOX")</f>
        <v>Explore in ECOTOX</v>
      </c>
    </row>
    <row r="931" spans="1:19" x14ac:dyDescent="0.25">
      <c r="A931">
        <v>6</v>
      </c>
      <c r="B931" t="str">
        <f>HYPERLINK("http://www.ncbi.nlm.nih.gov/protein/KFM71034.1","KFM71034.1")</f>
        <v>KFM71034.1</v>
      </c>
      <c r="C931">
        <v>27105</v>
      </c>
      <c r="D931" t="str">
        <f>HYPERLINK("http://www.ncbi.nlm.nih.gov/Taxonomy/Browser/wwwtax.cgi?mode=Info&amp;id=407821&amp;lvl=3&amp;lin=f&amp;keep=1&amp;srchmode=1&amp;unlock","407821")</f>
        <v>407821</v>
      </c>
      <c r="E931" t="s">
        <v>700</v>
      </c>
      <c r="F931" t="s">
        <v>700</v>
      </c>
      <c r="G931" t="str">
        <f>HYPERLINK("http://www.ncbi.nlm.nih.gov/Taxonomy/Browser/wwwtax.cgi?mode=Info&amp;id=407821&amp;lvl=3&amp;lin=f&amp;keep=1&amp;srchmode=1&amp;unlock","Stegodyphus mimosarum")</f>
        <v>Stegodyphus mimosarum</v>
      </c>
      <c r="H931" t="s">
        <v>754</v>
      </c>
      <c r="I931" t="str">
        <f>HYPERLINK("http://www.ncbi.nlm.nih.gov/protein/KFM71034.1","Estrogen-related receptor gamma, partial")</f>
        <v>Estrogen-related receptor gamma, partial</v>
      </c>
      <c r="J931" t="s">
        <v>1261</v>
      </c>
      <c r="K931">
        <v>82.42</v>
      </c>
      <c r="L931" t="s">
        <v>25</v>
      </c>
      <c r="M931">
        <v>157</v>
      </c>
      <c r="N931">
        <v>62.55</v>
      </c>
      <c r="O931">
        <v>16.03</v>
      </c>
      <c r="P931" t="s">
        <v>25</v>
      </c>
      <c r="Q931" t="s">
        <v>1262</v>
      </c>
      <c r="R931" t="s">
        <v>20</v>
      </c>
      <c r="S931" t="str">
        <f>HYPERLINK("https://cfpub.epa.gov/ecotox/explore.cfm?ncbi=407821","Explore in ECOTOX")</f>
        <v>Explore in ECOTOX</v>
      </c>
    </row>
    <row r="932" spans="1:19" x14ac:dyDescent="0.25">
      <c r="A932">
        <v>6</v>
      </c>
      <c r="B932" t="str">
        <f>HYPERLINK("http://www.ncbi.nlm.nih.gov/protein/KMQ89782.1","KMQ89782.1")</f>
        <v>KMQ89782.1</v>
      </c>
      <c r="C932">
        <v>18335</v>
      </c>
      <c r="D932" t="str">
        <f>HYPERLINK("http://www.ncbi.nlm.nih.gov/Taxonomy/Browser/wwwtax.cgi?mode=Info&amp;id=67767&amp;lvl=3&amp;lin=f&amp;keep=1&amp;srchmode=1&amp;unlock","67767")</f>
        <v>67767</v>
      </c>
      <c r="E932" t="s">
        <v>698</v>
      </c>
      <c r="F932" t="s">
        <v>698</v>
      </c>
      <c r="G932" t="str">
        <f>HYPERLINK("http://www.ncbi.nlm.nih.gov/Taxonomy/Browser/wwwtax.cgi?mode=Info&amp;id=67767&amp;lvl=3&amp;lin=f&amp;keep=1&amp;srchmode=1&amp;unlock","Lasius niger")</f>
        <v>Lasius niger</v>
      </c>
      <c r="H932" t="s">
        <v>755</v>
      </c>
      <c r="I932" t="str">
        <f>HYPERLINK("http://www.ncbi.nlm.nih.gov/protein/KMQ89782.1","steroid hormone receptor err2")</f>
        <v>steroid hormone receptor err2</v>
      </c>
      <c r="J932" t="s">
        <v>1261</v>
      </c>
      <c r="K932">
        <v>82.42</v>
      </c>
      <c r="L932" t="s">
        <v>25</v>
      </c>
      <c r="M932">
        <v>157</v>
      </c>
      <c r="N932">
        <v>62.55</v>
      </c>
      <c r="O932">
        <v>16.03</v>
      </c>
      <c r="P932" t="s">
        <v>25</v>
      </c>
      <c r="Q932" t="s">
        <v>1262</v>
      </c>
      <c r="R932" t="s">
        <v>20</v>
      </c>
      <c r="S932" t="str">
        <f>HYPERLINK("https://cfpub.epa.gov/ecotox/explore.cfm?ncbi=67767","Explore in ECOTOX")</f>
        <v>Explore in ECOTOX</v>
      </c>
    </row>
    <row r="933" spans="1:19" x14ac:dyDescent="0.25">
      <c r="A933">
        <v>6</v>
      </c>
      <c r="B933" t="str">
        <f>HYPERLINK("http://www.ncbi.nlm.nih.gov/protein/XP_035214039.1","XP_035214039.1")</f>
        <v>XP_035214039.1</v>
      </c>
      <c r="C933">
        <v>29968</v>
      </c>
      <c r="D933" t="str">
        <f>HYPERLINK("http://www.ncbi.nlm.nih.gov/Taxonomy/Browser/wwwtax.cgi?mode=Info&amp;id=202533&amp;lvl=3&amp;lin=f&amp;keep=1&amp;srchmode=1&amp;unlock","202533")</f>
        <v>202533</v>
      </c>
      <c r="E933" t="s">
        <v>700</v>
      </c>
      <c r="F933" t="s">
        <v>700</v>
      </c>
      <c r="G933" t="str">
        <f>HYPERLINK("http://www.ncbi.nlm.nih.gov/Taxonomy/Browser/wwwtax.cgi?mode=Info&amp;id=202533&amp;lvl=3&amp;lin=f&amp;keep=1&amp;srchmode=1&amp;unlock","Stegodyphus dumicola")</f>
        <v>Stegodyphus dumicola</v>
      </c>
      <c r="H933" t="s">
        <v>754</v>
      </c>
      <c r="I933" t="str">
        <f>HYPERLINK("http://www.ncbi.nlm.nih.gov/protein/XP_035214039.1","steroid hormone receptor ERR1-like isoform X3")</f>
        <v>steroid hormone receptor ERR1-like isoform X3</v>
      </c>
      <c r="J933" t="s">
        <v>1261</v>
      </c>
      <c r="K933">
        <v>82.42</v>
      </c>
      <c r="L933" t="s">
        <v>25</v>
      </c>
      <c r="M933">
        <v>157</v>
      </c>
      <c r="N933">
        <v>62.55</v>
      </c>
      <c r="O933">
        <v>16.03</v>
      </c>
      <c r="P933" t="s">
        <v>25</v>
      </c>
      <c r="Q933" t="s">
        <v>1262</v>
      </c>
      <c r="R933" t="s">
        <v>20</v>
      </c>
      <c r="S933" t="str">
        <f>HYPERLINK("https://cfpub.epa.gov/ecotox/explore.cfm?ncbi=202533","Explore in ECOTOX")</f>
        <v>Explore in ECOTOX</v>
      </c>
    </row>
    <row r="934" spans="1:19" x14ac:dyDescent="0.25">
      <c r="A934">
        <v>6</v>
      </c>
      <c r="B934" t="str">
        <f>HYPERLINK("http://www.ncbi.nlm.nih.gov/protein/XP_014229048.1","XP_014229048.1")</f>
        <v>XP_014229048.1</v>
      </c>
      <c r="C934">
        <v>21179</v>
      </c>
      <c r="D934" t="str">
        <f>HYPERLINK("http://www.ncbi.nlm.nih.gov/Taxonomy/Browser/wwwtax.cgi?mode=Info&amp;id=7493&amp;lvl=3&amp;lin=f&amp;keep=1&amp;srchmode=1&amp;unlock","7493")</f>
        <v>7493</v>
      </c>
      <c r="E934" t="s">
        <v>698</v>
      </c>
      <c r="F934" t="s">
        <v>698</v>
      </c>
      <c r="G934" t="str">
        <f>HYPERLINK("http://www.ncbi.nlm.nih.gov/Taxonomy/Browser/wwwtax.cgi?mode=Info&amp;id=7493&amp;lvl=3&amp;lin=f&amp;keep=1&amp;srchmode=1&amp;unlock","Trichogramma pretiosum")</f>
        <v>Trichogramma pretiosum</v>
      </c>
      <c r="H934" t="s">
        <v>849</v>
      </c>
      <c r="I934" t="str">
        <f>HYPERLINK("http://www.ncbi.nlm.nih.gov/protein/XP_014229048.1","steroid hormone receptor ERR2 isoform X2")</f>
        <v>steroid hormone receptor ERR2 isoform X2</v>
      </c>
      <c r="J934" t="s">
        <v>1261</v>
      </c>
      <c r="K934">
        <v>82.42</v>
      </c>
      <c r="L934" t="s">
        <v>25</v>
      </c>
      <c r="M934">
        <v>157</v>
      </c>
      <c r="N934">
        <v>62.55</v>
      </c>
      <c r="O934">
        <v>16.03</v>
      </c>
      <c r="P934" t="s">
        <v>25</v>
      </c>
      <c r="Q934" t="s">
        <v>1262</v>
      </c>
      <c r="R934" t="s">
        <v>20</v>
      </c>
      <c r="S934" t="str">
        <f>HYPERLINK("https://cfpub.epa.gov/ecotox/explore.cfm?ncbi=7493","Explore in ECOTOX")</f>
        <v>Explore in ECOTOX</v>
      </c>
    </row>
    <row r="935" spans="1:19" x14ac:dyDescent="0.25">
      <c r="A935">
        <v>6</v>
      </c>
      <c r="B935" t="str">
        <f>HYPERLINK("http://www.ncbi.nlm.nih.gov/protein/XP_037272566.1","XP_037272566.1")</f>
        <v>XP_037272566.1</v>
      </c>
      <c r="C935">
        <v>25380</v>
      </c>
      <c r="D935" t="str">
        <f>HYPERLINK("http://www.ncbi.nlm.nih.gov/Taxonomy/Browser/wwwtax.cgi?mode=Info&amp;id=6941&amp;lvl=3&amp;lin=f&amp;keep=1&amp;srchmode=1&amp;unlock","6941")</f>
        <v>6941</v>
      </c>
      <c r="E935" t="s">
        <v>700</v>
      </c>
      <c r="F935" t="s">
        <v>700</v>
      </c>
      <c r="G935" t="str">
        <f>HYPERLINK("http://www.ncbi.nlm.nih.gov/Taxonomy/Browser/wwwtax.cgi?mode=Info&amp;id=6941&amp;lvl=3&amp;lin=f&amp;keep=1&amp;srchmode=1&amp;unlock","Rhipicephalus microplus")</f>
        <v>Rhipicephalus microplus</v>
      </c>
      <c r="H935" t="s">
        <v>872</v>
      </c>
      <c r="I935" t="str">
        <f>HYPERLINK("http://www.ncbi.nlm.nih.gov/protein/XP_037272566.1","steroid hormone receptor ERR1-like")</f>
        <v>steroid hormone receptor ERR1-like</v>
      </c>
      <c r="J935" t="s">
        <v>1261</v>
      </c>
      <c r="K935">
        <v>82.42</v>
      </c>
      <c r="L935" t="s">
        <v>25</v>
      </c>
      <c r="M935">
        <v>157</v>
      </c>
      <c r="N935">
        <v>62.55</v>
      </c>
      <c r="O935">
        <v>16.03</v>
      </c>
      <c r="P935" t="s">
        <v>25</v>
      </c>
      <c r="Q935" t="s">
        <v>1262</v>
      </c>
      <c r="R935" t="s">
        <v>20</v>
      </c>
      <c r="S935" t="str">
        <f>HYPERLINK("https://cfpub.epa.gov/ecotox/explore.cfm?ncbi=6941","Explore in ECOTOX")</f>
        <v>Explore in ECOTOX</v>
      </c>
    </row>
    <row r="936" spans="1:19" x14ac:dyDescent="0.25">
      <c r="A936">
        <v>6</v>
      </c>
      <c r="B936" t="str">
        <f>HYPERLINK("http://www.ncbi.nlm.nih.gov/protein/ABR88112.1","ABR88112.1")</f>
        <v>ABR88112.1</v>
      </c>
      <c r="C936">
        <v>42</v>
      </c>
      <c r="D936" t="str">
        <f>HYPERLINK("http://www.ncbi.nlm.nih.gov/Taxonomy/Browser/wwwtax.cgi?mode=Info&amp;id=455035&amp;lvl=3&amp;lin=f&amp;keep=1&amp;srchmode=1&amp;unlock","455035")</f>
        <v>455035</v>
      </c>
      <c r="E936" t="s">
        <v>698</v>
      </c>
      <c r="F936" t="s">
        <v>698</v>
      </c>
      <c r="G936" t="str">
        <f>HYPERLINK("http://www.ncbi.nlm.nih.gov/Taxonomy/Browser/wwwtax.cgi?mode=Info&amp;id=455035&amp;lvl=3&amp;lin=f&amp;keep=1&amp;srchmode=1&amp;unlock","Polyrhachis vicina")</f>
        <v>Polyrhachis vicina</v>
      </c>
      <c r="H936" t="s">
        <v>1134</v>
      </c>
      <c r="I936" t="str">
        <f>HYPERLINK("http://www.ncbi.nlm.nih.gov/protein/ABR88112.1","estrogen-related receptor")</f>
        <v>estrogen-related receptor</v>
      </c>
      <c r="J936" t="s">
        <v>1261</v>
      </c>
      <c r="K936">
        <v>82.42</v>
      </c>
      <c r="L936" t="s">
        <v>25</v>
      </c>
      <c r="M936">
        <v>157</v>
      </c>
      <c r="N936">
        <v>62.55</v>
      </c>
      <c r="O936">
        <v>16.03</v>
      </c>
      <c r="P936" t="s">
        <v>25</v>
      </c>
      <c r="Q936" t="s">
        <v>1262</v>
      </c>
      <c r="R936" t="s">
        <v>20</v>
      </c>
      <c r="S936" t="str">
        <f>HYPERLINK("https://cfpub.epa.gov/ecotox/explore.cfm?ncbi=455035","Explore in ECOTOX")</f>
        <v>Explore in ECOTOX</v>
      </c>
    </row>
    <row r="937" spans="1:19" x14ac:dyDescent="0.25">
      <c r="A937">
        <v>6</v>
      </c>
      <c r="B937" t="str">
        <f>HYPERLINK("http://www.ncbi.nlm.nih.gov/protein/QEP54294.1","QEP54294.1")</f>
        <v>QEP54294.1</v>
      </c>
      <c r="C937">
        <v>31</v>
      </c>
      <c r="D937" t="str">
        <f>HYPERLINK("http://www.ncbi.nlm.nih.gov/Taxonomy/Browser/wwwtax.cgi?mode=Info&amp;id=2528762&amp;lvl=3&amp;lin=f&amp;keep=1&amp;srchmode=1&amp;unlock","2528762")</f>
        <v>2528762</v>
      </c>
      <c r="E937" t="s">
        <v>384</v>
      </c>
      <c r="F937" t="s">
        <v>384</v>
      </c>
      <c r="G937" t="str">
        <f>HYPERLINK("http://www.ncbi.nlm.nih.gov/Taxonomy/Browser/wwwtax.cgi?mode=Info&amp;id=2528762&amp;lvl=3&amp;lin=f&amp;keep=1&amp;srchmode=1&amp;unlock","Epinephelus fuscoguttatus x Epinephelus polyphekadion")</f>
        <v>Epinephelus fuscoguttatus x Epinephelus polyphekadion</v>
      </c>
      <c r="H937" t="s">
        <v>685</v>
      </c>
      <c r="I937" t="str">
        <f>HYPERLINK("http://www.ncbi.nlm.nih.gov/protein/QEP54294.1","estrogen receptor alpha")</f>
        <v>estrogen receptor alpha</v>
      </c>
      <c r="J937" t="s">
        <v>1261</v>
      </c>
      <c r="K937">
        <v>82.03</v>
      </c>
      <c r="L937" t="s">
        <v>25</v>
      </c>
      <c r="M937">
        <v>157</v>
      </c>
      <c r="N937">
        <v>62.55</v>
      </c>
      <c r="O937">
        <v>15.95</v>
      </c>
      <c r="P937" t="s">
        <v>20</v>
      </c>
      <c r="Q937" t="s">
        <v>1262</v>
      </c>
      <c r="R937" t="s">
        <v>20</v>
      </c>
      <c r="S937" t="str">
        <f>HYPERLINK("https://cfpub.epa.gov/ecotox/explore.cfm?ncbi=2528762","Explore in ECOTOX")</f>
        <v>Explore in ECOTOX</v>
      </c>
    </row>
    <row r="938" spans="1:19" x14ac:dyDescent="0.25">
      <c r="A938">
        <v>6</v>
      </c>
      <c r="B938" t="str">
        <f>HYPERLINK("http://www.ncbi.nlm.nih.gov/protein/XP_015171696.1","XP_015171696.1")</f>
        <v>XP_015171696.1</v>
      </c>
      <c r="C938">
        <v>20991</v>
      </c>
      <c r="D938" t="str">
        <f>HYPERLINK("http://www.ncbi.nlm.nih.gov/Taxonomy/Browser/wwwtax.cgi?mode=Info&amp;id=743375&amp;lvl=3&amp;lin=f&amp;keep=1&amp;srchmode=1&amp;unlock","743375")</f>
        <v>743375</v>
      </c>
      <c r="E938" t="s">
        <v>698</v>
      </c>
      <c r="F938" t="s">
        <v>698</v>
      </c>
      <c r="G938" t="str">
        <f>HYPERLINK("http://www.ncbi.nlm.nih.gov/Taxonomy/Browser/wwwtax.cgi?mode=Info&amp;id=743375&amp;lvl=3&amp;lin=f&amp;keep=1&amp;srchmode=1&amp;unlock","Polistes dominula")</f>
        <v>Polistes dominula</v>
      </c>
      <c r="H938" t="s">
        <v>781</v>
      </c>
      <c r="I938" t="str">
        <f>HYPERLINK("http://www.ncbi.nlm.nih.gov/protein/XP_015171696.1","PREDICTED: steroid hormone receptor ERR1 isoform X5")</f>
        <v>PREDICTED: steroid hormone receptor ERR1 isoform X5</v>
      </c>
      <c r="J938" t="s">
        <v>1261</v>
      </c>
      <c r="K938">
        <v>82.03</v>
      </c>
      <c r="L938" t="s">
        <v>25</v>
      </c>
      <c r="M938">
        <v>157</v>
      </c>
      <c r="N938">
        <v>62.55</v>
      </c>
      <c r="O938">
        <v>15.95</v>
      </c>
      <c r="P938" t="s">
        <v>25</v>
      </c>
      <c r="Q938" t="s">
        <v>1262</v>
      </c>
      <c r="R938" t="s">
        <v>20</v>
      </c>
      <c r="S938" t="str">
        <f>HYPERLINK("https://cfpub.epa.gov/ecotox/explore.cfm?ncbi=743375","Explore in ECOTOX")</f>
        <v>Explore in ECOTOX</v>
      </c>
    </row>
    <row r="939" spans="1:19" x14ac:dyDescent="0.25">
      <c r="A939">
        <v>6</v>
      </c>
      <c r="B939" t="str">
        <f>HYPERLINK("http://www.ncbi.nlm.nih.gov/protein/XP_014605812.1","XP_014605812.1")</f>
        <v>XP_014605812.1</v>
      </c>
      <c r="C939">
        <v>19308</v>
      </c>
      <c r="D939" t="str">
        <f>HYPERLINK("http://www.ncbi.nlm.nih.gov/Taxonomy/Browser/wwwtax.cgi?mode=Info&amp;id=91411&amp;lvl=3&amp;lin=f&amp;keep=1&amp;srchmode=1&amp;unlock","91411")</f>
        <v>91411</v>
      </c>
      <c r="E939" t="s">
        <v>698</v>
      </c>
      <c r="F939" t="s">
        <v>698</v>
      </c>
      <c r="G939" t="str">
        <f>HYPERLINK("http://www.ncbi.nlm.nih.gov/Taxonomy/Browser/wwwtax.cgi?mode=Info&amp;id=91411&amp;lvl=3&amp;lin=f&amp;keep=1&amp;srchmode=1&amp;unlock","Polistes canadensis")</f>
        <v>Polistes canadensis</v>
      </c>
      <c r="H939" t="s">
        <v>853</v>
      </c>
      <c r="I939" t="str">
        <f>HYPERLINK("http://www.ncbi.nlm.nih.gov/protein/XP_014605812.1","PREDICTED: steroid hormone receptor ERR1 isoform X2")</f>
        <v>PREDICTED: steroid hormone receptor ERR1 isoform X2</v>
      </c>
      <c r="J939" t="s">
        <v>1261</v>
      </c>
      <c r="K939">
        <v>82.03</v>
      </c>
      <c r="L939" t="s">
        <v>25</v>
      </c>
      <c r="M939">
        <v>157</v>
      </c>
      <c r="N939">
        <v>62.55</v>
      </c>
      <c r="O939">
        <v>15.95</v>
      </c>
      <c r="P939" t="s">
        <v>25</v>
      </c>
      <c r="Q939" t="s">
        <v>1262</v>
      </c>
      <c r="R939" t="s">
        <v>20</v>
      </c>
      <c r="S939" t="str">
        <f>HYPERLINK("https://cfpub.epa.gov/ecotox/explore.cfm?ncbi=91411","Explore in ECOTOX")</f>
        <v>Explore in ECOTOX</v>
      </c>
    </row>
    <row r="940" spans="1:19" x14ac:dyDescent="0.25">
      <c r="A940">
        <v>6</v>
      </c>
      <c r="B940" t="str">
        <f>HYPERLINK("http://www.ncbi.nlm.nih.gov/protein/ELT99464.1","ELT99464.1")</f>
        <v>ELT99464.1</v>
      </c>
      <c r="C940">
        <v>32041</v>
      </c>
      <c r="D940" t="str">
        <f>HYPERLINK("http://www.ncbi.nlm.nih.gov/Taxonomy/Browser/wwwtax.cgi?mode=Info&amp;id=283909&amp;lvl=3&amp;lin=f&amp;keep=1&amp;srchmode=1&amp;unlock","283909")</f>
        <v>283909</v>
      </c>
      <c r="E940" t="s">
        <v>822</v>
      </c>
      <c r="F940" t="s">
        <v>822</v>
      </c>
      <c r="G940" t="str">
        <f>HYPERLINK("http://www.ncbi.nlm.nih.gov/Taxonomy/Browser/wwwtax.cgi?mode=Info&amp;id=283909&amp;lvl=3&amp;lin=f&amp;keep=1&amp;srchmode=1&amp;unlock","Capitella teleta")</f>
        <v>Capitella teleta</v>
      </c>
      <c r="H940" t="s">
        <v>823</v>
      </c>
      <c r="I940" t="str">
        <f>HYPERLINK("http://www.ncbi.nlm.nih.gov/protein/ELT99464.1","hypothetical protein CAPTEDRAFT_108381")</f>
        <v>hypothetical protein CAPTEDRAFT_108381</v>
      </c>
      <c r="J940" t="s">
        <v>1261</v>
      </c>
      <c r="K940">
        <v>82.03</v>
      </c>
      <c r="L940" t="s">
        <v>25</v>
      </c>
      <c r="M940">
        <v>157</v>
      </c>
      <c r="N940">
        <v>62.55</v>
      </c>
      <c r="O940">
        <v>15.95</v>
      </c>
      <c r="P940" t="s">
        <v>25</v>
      </c>
      <c r="Q940" t="s">
        <v>1262</v>
      </c>
      <c r="R940" t="s">
        <v>20</v>
      </c>
      <c r="S940" t="str">
        <f>HYPERLINK("https://cfpub.epa.gov/ecotox/explore.cfm?ncbi=283909","Explore in ECOTOX")</f>
        <v>Explore in ECOTOX</v>
      </c>
    </row>
    <row r="941" spans="1:19" x14ac:dyDescent="0.25">
      <c r="A941">
        <v>6</v>
      </c>
      <c r="B941" t="str">
        <f>HYPERLINK("http://www.ncbi.nlm.nih.gov/protein/AGO64304.1","AGO64304.1")</f>
        <v>AGO64304.1</v>
      </c>
      <c r="C941">
        <v>233</v>
      </c>
      <c r="D941" t="str">
        <f>HYPERLINK("http://www.ncbi.nlm.nih.gov/Taxonomy/Browser/wwwtax.cgi?mode=Info&amp;id=13225&amp;lvl=3&amp;lin=f&amp;keep=1&amp;srchmode=1&amp;unlock","13225")</f>
        <v>13225</v>
      </c>
      <c r="E941" t="s">
        <v>384</v>
      </c>
      <c r="F941" t="s">
        <v>384</v>
      </c>
      <c r="G941" t="str">
        <f>HYPERLINK("http://www.ncbi.nlm.nih.gov/Taxonomy/Browser/wwwtax.cgi?mode=Info&amp;id=13225&amp;lvl=3&amp;lin=f&amp;keep=1&amp;srchmode=1&amp;unlock","Pomatoschistus minutus")</f>
        <v>Pomatoschistus minutus</v>
      </c>
      <c r="H941" t="s">
        <v>1137</v>
      </c>
      <c r="I941" t="str">
        <f>HYPERLINK("http://www.ncbi.nlm.nih.gov/protein/AGO64304.1","oestrogen receptor alpha, partial")</f>
        <v>oestrogen receptor alpha, partial</v>
      </c>
      <c r="J941" t="s">
        <v>1261</v>
      </c>
      <c r="K941">
        <v>82.03</v>
      </c>
      <c r="L941" t="s">
        <v>25</v>
      </c>
      <c r="M941">
        <v>157</v>
      </c>
      <c r="N941">
        <v>62.55</v>
      </c>
      <c r="O941">
        <v>15.95</v>
      </c>
      <c r="P941" t="s">
        <v>20</v>
      </c>
      <c r="Q941" t="s">
        <v>1262</v>
      </c>
      <c r="R941" t="s">
        <v>20</v>
      </c>
      <c r="S941" t="str">
        <f>HYPERLINK("https://cfpub.epa.gov/ecotox/explore.cfm?ncbi=13225","Explore in ECOTOX")</f>
        <v>Explore in ECOTOX</v>
      </c>
    </row>
    <row r="942" spans="1:19" x14ac:dyDescent="0.25">
      <c r="A942">
        <v>6</v>
      </c>
      <c r="B942" t="str">
        <f>HYPERLINK("http://www.ncbi.nlm.nih.gov/protein/XP_002431237.1","XP_002431237.1")</f>
        <v>XP_002431237.1</v>
      </c>
      <c r="C942">
        <v>21853</v>
      </c>
      <c r="D942" t="str">
        <f>HYPERLINK("http://www.ncbi.nlm.nih.gov/Taxonomy/Browser/wwwtax.cgi?mode=Info&amp;id=121224&amp;lvl=3&amp;lin=f&amp;keep=1&amp;srchmode=1&amp;unlock","121224")</f>
        <v>121224</v>
      </c>
      <c r="E942" t="s">
        <v>698</v>
      </c>
      <c r="F942" t="s">
        <v>698</v>
      </c>
      <c r="G942" t="str">
        <f>HYPERLINK("http://www.ncbi.nlm.nih.gov/Taxonomy/Browser/wwwtax.cgi?mode=Info&amp;id=121224&amp;lvl=3&amp;lin=f&amp;keep=1&amp;srchmode=1&amp;unlock","Pediculus humanus corporis")</f>
        <v>Pediculus humanus corporis</v>
      </c>
      <c r="H942" t="s">
        <v>959</v>
      </c>
      <c r="I942" t="str">
        <f>HYPERLINK("http://www.ncbi.nlm.nih.gov/protein/XP_002431237.1","retinoid X receptor, putative")</f>
        <v>retinoid X receptor, putative</v>
      </c>
      <c r="J942" t="s">
        <v>1261</v>
      </c>
      <c r="K942">
        <v>81.650000000000006</v>
      </c>
      <c r="L942" t="s">
        <v>25</v>
      </c>
      <c r="M942">
        <v>157</v>
      </c>
      <c r="N942">
        <v>62.55</v>
      </c>
      <c r="O942">
        <v>15.88</v>
      </c>
      <c r="P942" t="s">
        <v>25</v>
      </c>
      <c r="Q942" t="s">
        <v>1262</v>
      </c>
      <c r="R942" t="s">
        <v>20</v>
      </c>
      <c r="S942" t="str">
        <f>HYPERLINK("https://cfpub.epa.gov/ecotox/explore.cfm?ncbi=121224","Explore in ECOTOX")</f>
        <v>Explore in ECOTOX</v>
      </c>
    </row>
    <row r="943" spans="1:19" x14ac:dyDescent="0.25">
      <c r="A943">
        <v>6</v>
      </c>
      <c r="B943" t="str">
        <f>HYPERLINK("http://www.ncbi.nlm.nih.gov/protein/AAC96075.1","AAC96075.1")</f>
        <v>AAC96075.1</v>
      </c>
      <c r="C943">
        <v>1</v>
      </c>
      <c r="D943" t="str">
        <f>HYPERLINK("http://www.ncbi.nlm.nih.gov/Taxonomy/Browser/wwwtax.cgi?mode=Info&amp;id=73110&amp;lvl=3&amp;lin=f&amp;keep=1&amp;srchmode=1&amp;unlock","73110")</f>
        <v>73110</v>
      </c>
      <c r="E943" t="s">
        <v>18</v>
      </c>
      <c r="F943" t="s">
        <v>18</v>
      </c>
      <c r="G943" t="str">
        <f>HYPERLINK("http://www.ncbi.nlm.nih.gov/Taxonomy/Browser/wwwtax.cgi?mode=Info&amp;id=73110&amp;lvl=3&amp;lin=f&amp;keep=1&amp;srchmode=1&amp;unlock","Tokudaia osimensis osimensis")</f>
        <v>Tokudaia osimensis osimensis</v>
      </c>
      <c r="H943" t="s">
        <v>1293</v>
      </c>
      <c r="I943" t="str">
        <f>HYPERLINK("http://www.ncbi.nlm.nih.gov/protein/AAC96075.1","androgen receptor, partial")</f>
        <v>androgen receptor, partial</v>
      </c>
      <c r="J943" t="s">
        <v>1261</v>
      </c>
      <c r="K943">
        <v>81.650000000000006</v>
      </c>
      <c r="L943" t="s">
        <v>25</v>
      </c>
      <c r="M943">
        <v>157</v>
      </c>
      <c r="N943">
        <v>62.55</v>
      </c>
      <c r="O943">
        <v>15.88</v>
      </c>
      <c r="P943" t="s">
        <v>20</v>
      </c>
      <c r="Q943" t="s">
        <v>1262</v>
      </c>
      <c r="R943" t="s">
        <v>20</v>
      </c>
      <c r="S943" t="str">
        <f>HYPERLINK("https://cfpub.epa.gov/ecotox/explore.cfm?ncbi=73110","Explore in ECOTOX")</f>
        <v>Explore in ECOTOX</v>
      </c>
    </row>
    <row r="944" spans="1:19" x14ac:dyDescent="0.25">
      <c r="A944">
        <v>6</v>
      </c>
      <c r="B944" t="str">
        <f>HYPERLINK("http://www.ncbi.nlm.nih.gov/protein/AAC96076.1","AAC96076.1")</f>
        <v>AAC96076.1</v>
      </c>
      <c r="C944">
        <v>405</v>
      </c>
      <c r="D944" t="str">
        <f>HYPERLINK("http://www.ncbi.nlm.nih.gov/Taxonomy/Browser/wwwtax.cgi?mode=Info&amp;id=54292&amp;lvl=3&amp;lin=f&amp;keep=1&amp;srchmode=1&amp;unlock","54292")</f>
        <v>54292</v>
      </c>
      <c r="E944" t="s">
        <v>18</v>
      </c>
      <c r="F944" t="s">
        <v>18</v>
      </c>
      <c r="G944" t="str">
        <f>HYPERLINK("http://www.ncbi.nlm.nih.gov/Taxonomy/Browser/wwwtax.cgi?mode=Info&amp;id=54292&amp;lvl=3&amp;lin=f&amp;keep=1&amp;srchmode=1&amp;unlock","Apodemus flavicollis")</f>
        <v>Apodemus flavicollis</v>
      </c>
      <c r="H944" t="s">
        <v>1294</v>
      </c>
      <c r="I944" t="str">
        <f>HYPERLINK("http://www.ncbi.nlm.nih.gov/protein/AAC96076.1","androgen receptor, partial")</f>
        <v>androgen receptor, partial</v>
      </c>
      <c r="J944" t="s">
        <v>1261</v>
      </c>
      <c r="K944">
        <v>81.650000000000006</v>
      </c>
      <c r="L944" t="s">
        <v>25</v>
      </c>
      <c r="M944">
        <v>157</v>
      </c>
      <c r="N944">
        <v>62.55</v>
      </c>
      <c r="O944">
        <v>15.88</v>
      </c>
      <c r="P944" t="s">
        <v>20</v>
      </c>
      <c r="Q944" t="s">
        <v>1262</v>
      </c>
      <c r="R944" t="s">
        <v>20</v>
      </c>
      <c r="S944" t="str">
        <f>HYPERLINK("https://cfpub.epa.gov/ecotox/explore.cfm?ncbi=54292","Explore in ECOTOX")</f>
        <v>Explore in ECOTOX</v>
      </c>
    </row>
    <row r="945" spans="1:19" x14ac:dyDescent="0.25">
      <c r="A945">
        <v>6</v>
      </c>
      <c r="B945" t="str">
        <f>HYPERLINK("http://www.ncbi.nlm.nih.gov/protein/BAM48573.1","BAM48573.1")</f>
        <v>BAM48573.1</v>
      </c>
      <c r="C945">
        <v>922</v>
      </c>
      <c r="D945" t="str">
        <f>HYPERLINK("http://www.ncbi.nlm.nih.gov/Taxonomy/Browser/wwwtax.cgi?mode=Info&amp;id=980415&amp;lvl=3&amp;lin=f&amp;keep=1&amp;srchmode=1&amp;unlock","980415")</f>
        <v>980415</v>
      </c>
      <c r="E945" t="s">
        <v>680</v>
      </c>
      <c r="F945" t="s">
        <v>680</v>
      </c>
      <c r="G945" t="str">
        <f>HYPERLINK("http://www.ncbi.nlm.nih.gov/Taxonomy/Browser/wwwtax.cgi?mode=Info&amp;id=980415&amp;lvl=3&amp;lin=f&amp;keep=1&amp;srchmode=1&amp;unlock","Lethenteron camtschaticum")</f>
        <v>Lethenteron camtschaticum</v>
      </c>
      <c r="H945" t="s">
        <v>1080</v>
      </c>
      <c r="I945" t="str">
        <f>HYPERLINK("http://www.ncbi.nlm.nih.gov/protein/BAM48573.1","estrogen receptor 1")</f>
        <v>estrogen receptor 1</v>
      </c>
      <c r="J945" t="s">
        <v>1261</v>
      </c>
      <c r="K945">
        <v>81.260000000000005</v>
      </c>
      <c r="L945" t="s">
        <v>25</v>
      </c>
      <c r="M945">
        <v>157</v>
      </c>
      <c r="N945">
        <v>62.55</v>
      </c>
      <c r="O945">
        <v>15.8</v>
      </c>
      <c r="P945" t="s">
        <v>25</v>
      </c>
      <c r="Q945" t="s">
        <v>1262</v>
      </c>
      <c r="R945" t="s">
        <v>20</v>
      </c>
      <c r="S945" t="str">
        <f>HYPERLINK("https://cfpub.epa.gov/ecotox/explore.cfm?ncbi=980415","Explore in ECOTOX")</f>
        <v>Explore in ECOTOX</v>
      </c>
    </row>
    <row r="946" spans="1:19" x14ac:dyDescent="0.25">
      <c r="A946">
        <v>6</v>
      </c>
      <c r="B946" t="str">
        <f>HYPERLINK("http://www.ncbi.nlm.nih.gov/protein/AAO66473.1","AAO66473.1")</f>
        <v>AAO66473.1</v>
      </c>
      <c r="C946">
        <v>74</v>
      </c>
      <c r="D946" t="str">
        <f>HYPERLINK("http://www.ncbi.nlm.nih.gov/Taxonomy/Browser/wwwtax.cgi?mode=Info&amp;id=48416&amp;lvl=3&amp;lin=f&amp;keep=1&amp;srchmode=1&amp;unlock","48416")</f>
        <v>48416</v>
      </c>
      <c r="E946" t="s">
        <v>384</v>
      </c>
      <c r="F946" t="s">
        <v>384</v>
      </c>
      <c r="G946" t="str">
        <f>HYPERLINK("http://www.ncbi.nlm.nih.gov/Taxonomy/Browser/wwwtax.cgi?mode=Info&amp;id=48416&amp;lvl=3&amp;lin=f&amp;keep=1&amp;srchmode=1&amp;unlock","Zoarces viviparus")</f>
        <v>Zoarces viviparus</v>
      </c>
      <c r="H946" t="s">
        <v>1107</v>
      </c>
      <c r="I946" t="str">
        <f>HYPERLINK("http://www.ncbi.nlm.nih.gov/protein/AAO66473.1","estrogen receptor alpha")</f>
        <v>estrogen receptor alpha</v>
      </c>
      <c r="J946" t="s">
        <v>1261</v>
      </c>
      <c r="K946">
        <v>81.260000000000005</v>
      </c>
      <c r="L946" t="s">
        <v>25</v>
      </c>
      <c r="M946">
        <v>157</v>
      </c>
      <c r="N946">
        <v>62.55</v>
      </c>
      <c r="O946">
        <v>15.8</v>
      </c>
      <c r="P946" t="s">
        <v>20</v>
      </c>
      <c r="Q946" t="s">
        <v>1262</v>
      </c>
      <c r="R946" t="s">
        <v>20</v>
      </c>
      <c r="S946" t="str">
        <f>HYPERLINK("https://cfpub.epa.gov/ecotox/explore.cfm?ncbi=48416","Explore in ECOTOX")</f>
        <v>Explore in ECOTOX</v>
      </c>
    </row>
    <row r="947" spans="1:19" x14ac:dyDescent="0.25">
      <c r="A947">
        <v>6</v>
      </c>
      <c r="B947" t="str">
        <f>HYPERLINK("http://www.ncbi.nlm.nih.gov/protein/XP_025156384.1","XP_025156384.1")</f>
        <v>XP_025156384.1</v>
      </c>
      <c r="C947">
        <v>41871</v>
      </c>
      <c r="D947" t="str">
        <f>HYPERLINK("http://www.ncbi.nlm.nih.gov/Taxonomy/Browser/wwwtax.cgi?mode=Info&amp;id=610380&amp;lvl=3&amp;lin=f&amp;keep=1&amp;srchmode=1&amp;unlock","610380")</f>
        <v>610380</v>
      </c>
      <c r="E947" t="s">
        <v>698</v>
      </c>
      <c r="F947" t="s">
        <v>698</v>
      </c>
      <c r="G947" t="str">
        <f>HYPERLINK("http://www.ncbi.nlm.nih.gov/Taxonomy/Browser/wwwtax.cgi?mode=Info&amp;id=610380&amp;lvl=3&amp;lin=f&amp;keep=1&amp;srchmode=1&amp;unlock","Harpegnathos saltator")</f>
        <v>Harpegnathos saltator</v>
      </c>
      <c r="H947" t="s">
        <v>815</v>
      </c>
      <c r="I947" t="str">
        <f>HYPERLINK("http://www.ncbi.nlm.nih.gov/protein/XP_025156384.1","steroid hormone receptor ERR2 isoform X13")</f>
        <v>steroid hormone receptor ERR2 isoform X13</v>
      </c>
      <c r="J947" t="s">
        <v>1261</v>
      </c>
      <c r="K947">
        <v>81.260000000000005</v>
      </c>
      <c r="L947" t="s">
        <v>25</v>
      </c>
      <c r="M947">
        <v>157</v>
      </c>
      <c r="N947">
        <v>62.55</v>
      </c>
      <c r="O947">
        <v>15.8</v>
      </c>
      <c r="P947" t="s">
        <v>25</v>
      </c>
      <c r="Q947" t="s">
        <v>1262</v>
      </c>
      <c r="R947" t="s">
        <v>20</v>
      </c>
      <c r="S947" t="str">
        <f>HYPERLINK("https://cfpub.epa.gov/ecotox/explore.cfm?ncbi=610380","Explore in ECOTOX")</f>
        <v>Explore in ECOTOX</v>
      </c>
    </row>
    <row r="948" spans="1:19" x14ac:dyDescent="0.25">
      <c r="A948">
        <v>6</v>
      </c>
      <c r="B948" t="str">
        <f>HYPERLINK("http://www.ncbi.nlm.nih.gov/protein/XP_019623148.1","XP_019623148.1")</f>
        <v>XP_019623148.1</v>
      </c>
      <c r="C948">
        <v>35242</v>
      </c>
      <c r="D948" t="str">
        <f>HYPERLINK("http://www.ncbi.nlm.nih.gov/Taxonomy/Browser/wwwtax.cgi?mode=Info&amp;id=7741&amp;lvl=3&amp;lin=f&amp;keep=1&amp;srchmode=1&amp;unlock","7741")</f>
        <v>7741</v>
      </c>
      <c r="E948" t="s">
        <v>725</v>
      </c>
      <c r="F948" t="s">
        <v>725</v>
      </c>
      <c r="G948" t="str">
        <f>HYPERLINK("http://www.ncbi.nlm.nih.gov/Taxonomy/Browser/wwwtax.cgi?mode=Info&amp;id=7741&amp;lvl=3&amp;lin=f&amp;keep=1&amp;srchmode=1&amp;unlock","Branchiostoma belcheri")</f>
        <v>Branchiostoma belcheri</v>
      </c>
      <c r="H948" t="s">
        <v>726</v>
      </c>
      <c r="I948" t="str">
        <f>HYPERLINK("http://www.ncbi.nlm.nih.gov/protein/XP_019623148.1","PREDICTED: estrogen-related receptor gamma-like isoform X6")</f>
        <v>PREDICTED: estrogen-related receptor gamma-like isoform X6</v>
      </c>
      <c r="J948" t="s">
        <v>1261</v>
      </c>
      <c r="K948">
        <v>81.260000000000005</v>
      </c>
      <c r="L948" t="s">
        <v>25</v>
      </c>
      <c r="M948">
        <v>157</v>
      </c>
      <c r="N948">
        <v>62.55</v>
      </c>
      <c r="O948">
        <v>15.8</v>
      </c>
      <c r="P948" t="s">
        <v>25</v>
      </c>
      <c r="Q948" t="s">
        <v>1262</v>
      </c>
      <c r="R948" t="s">
        <v>20</v>
      </c>
      <c r="S948" t="str">
        <f>HYPERLINK("https://cfpub.epa.gov/ecotox/explore.cfm?ncbi=7741","Explore in ECOTOX")</f>
        <v>Explore in ECOTOX</v>
      </c>
    </row>
    <row r="949" spans="1:19" x14ac:dyDescent="0.25">
      <c r="A949">
        <v>6</v>
      </c>
      <c r="B949" t="str">
        <f>HYPERLINK("http://www.ncbi.nlm.nih.gov/protein/AAU88063.1","AAU88063.1")</f>
        <v>AAU88063.1</v>
      </c>
      <c r="C949">
        <v>44085</v>
      </c>
      <c r="D949" t="str">
        <f>HYPERLINK("http://www.ncbi.nlm.nih.gov/Taxonomy/Browser/wwwtax.cgi?mode=Info&amp;id=7739&amp;lvl=3&amp;lin=f&amp;keep=1&amp;srchmode=1&amp;unlock","7739")</f>
        <v>7739</v>
      </c>
      <c r="E949" t="s">
        <v>725</v>
      </c>
      <c r="F949" t="s">
        <v>725</v>
      </c>
      <c r="G949" t="str">
        <f>HYPERLINK("http://www.ncbi.nlm.nih.gov/Taxonomy/Browser/wwwtax.cgi?mode=Info&amp;id=7739&amp;lvl=3&amp;lin=f&amp;keep=1&amp;srchmode=1&amp;unlock","Branchiostoma floridae")</f>
        <v>Branchiostoma floridae</v>
      </c>
      <c r="H949" t="s">
        <v>727</v>
      </c>
      <c r="I949" t="str">
        <f>HYPERLINK("http://www.ncbi.nlm.nih.gov/protein/AAU88063.1","estrogen receptor-related receptor short isoform")</f>
        <v>estrogen receptor-related receptor short isoform</v>
      </c>
      <c r="J949" t="s">
        <v>1261</v>
      </c>
      <c r="K949">
        <v>81.260000000000005</v>
      </c>
      <c r="L949" t="s">
        <v>25</v>
      </c>
      <c r="M949">
        <v>157</v>
      </c>
      <c r="N949">
        <v>62.55</v>
      </c>
      <c r="O949">
        <v>15.8</v>
      </c>
      <c r="P949" t="s">
        <v>25</v>
      </c>
      <c r="Q949" t="s">
        <v>1262</v>
      </c>
      <c r="R949" t="s">
        <v>20</v>
      </c>
      <c r="S949" t="str">
        <f>HYPERLINK("https://cfpub.epa.gov/ecotox/explore.cfm?ncbi=7739","Explore in ECOTOX")</f>
        <v>Explore in ECOTOX</v>
      </c>
    </row>
    <row r="950" spans="1:19" x14ac:dyDescent="0.25">
      <c r="A950">
        <v>6</v>
      </c>
      <c r="B950" t="str">
        <f>HYPERLINK("http://www.ncbi.nlm.nih.gov/protein/XP_015512856.1","XP_015512856.1")</f>
        <v>XP_015512856.1</v>
      </c>
      <c r="C950">
        <v>16016</v>
      </c>
      <c r="D950" t="str">
        <f>HYPERLINK("http://www.ncbi.nlm.nih.gov/Taxonomy/Browser/wwwtax.cgi?mode=Info&amp;id=441921&amp;lvl=3&amp;lin=f&amp;keep=1&amp;srchmode=1&amp;unlock","441921")</f>
        <v>441921</v>
      </c>
      <c r="E950" t="s">
        <v>698</v>
      </c>
      <c r="F950" t="s">
        <v>698</v>
      </c>
      <c r="G950" t="str">
        <f>HYPERLINK("http://www.ncbi.nlm.nih.gov/Taxonomy/Browser/wwwtax.cgi?mode=Info&amp;id=441921&amp;lvl=3&amp;lin=f&amp;keep=1&amp;srchmode=1&amp;unlock","Neodiprion lecontei")</f>
        <v>Neodiprion lecontei</v>
      </c>
      <c r="H950" t="s">
        <v>772</v>
      </c>
      <c r="I950" t="str">
        <f>HYPERLINK("http://www.ncbi.nlm.nih.gov/protein/XP_015512856.1","PREDICTED: steroid hormone receptor ERR2 isoform X1")</f>
        <v>PREDICTED: steroid hormone receptor ERR2 isoform X1</v>
      </c>
      <c r="J950" t="s">
        <v>1261</v>
      </c>
      <c r="K950">
        <v>81.260000000000005</v>
      </c>
      <c r="L950" t="s">
        <v>25</v>
      </c>
      <c r="M950">
        <v>157</v>
      </c>
      <c r="N950">
        <v>62.55</v>
      </c>
      <c r="O950">
        <v>15.8</v>
      </c>
      <c r="P950" t="s">
        <v>25</v>
      </c>
      <c r="Q950" t="s">
        <v>1262</v>
      </c>
      <c r="R950" t="s">
        <v>20</v>
      </c>
      <c r="S950" t="str">
        <f>HYPERLINK("https://cfpub.epa.gov/ecotox/explore.cfm?ncbi=441921","Explore in ECOTOX")</f>
        <v>Explore in ECOTOX</v>
      </c>
    </row>
    <row r="951" spans="1:19" x14ac:dyDescent="0.25">
      <c r="A951">
        <v>6</v>
      </c>
      <c r="B951" t="str">
        <f>HYPERLINK("http://www.ncbi.nlm.nih.gov/protein/XP_011267689.1","XP_011267689.1")</f>
        <v>XP_011267689.1</v>
      </c>
      <c r="C951">
        <v>38841</v>
      </c>
      <c r="D951" t="str">
        <f>HYPERLINK("http://www.ncbi.nlm.nih.gov/Taxonomy/Browser/wwwtax.cgi?mode=Info&amp;id=104421&amp;lvl=3&amp;lin=f&amp;keep=1&amp;srchmode=1&amp;unlock","104421")</f>
        <v>104421</v>
      </c>
      <c r="E951" t="s">
        <v>698</v>
      </c>
      <c r="F951" t="s">
        <v>698</v>
      </c>
      <c r="G951" t="str">
        <f>HYPERLINK("http://www.ncbi.nlm.nih.gov/Taxonomy/Browser/wwwtax.cgi?mode=Info&amp;id=104421&amp;lvl=3&amp;lin=f&amp;keep=1&amp;srchmode=1&amp;unlock","Camponotus floridanus")</f>
        <v>Camponotus floridanus</v>
      </c>
      <c r="H951" t="s">
        <v>775</v>
      </c>
      <c r="I951" t="str">
        <f>HYPERLINK("http://www.ncbi.nlm.nih.gov/protein/XP_011267689.1","steroid hormone receptor ERR1 isoform X8")</f>
        <v>steroid hormone receptor ERR1 isoform X8</v>
      </c>
      <c r="J951" t="s">
        <v>1261</v>
      </c>
      <c r="K951">
        <v>81.260000000000005</v>
      </c>
      <c r="L951" t="s">
        <v>25</v>
      </c>
      <c r="M951">
        <v>157</v>
      </c>
      <c r="N951">
        <v>62.55</v>
      </c>
      <c r="O951">
        <v>15.8</v>
      </c>
      <c r="P951" t="s">
        <v>25</v>
      </c>
      <c r="Q951" t="s">
        <v>1262</v>
      </c>
      <c r="R951" t="s">
        <v>20</v>
      </c>
      <c r="S951" t="str">
        <f>HYPERLINK("https://cfpub.epa.gov/ecotox/explore.cfm?ncbi=104421","Explore in ECOTOX")</f>
        <v>Explore in ECOTOX</v>
      </c>
    </row>
    <row r="952" spans="1:19" x14ac:dyDescent="0.25">
      <c r="A952">
        <v>6</v>
      </c>
      <c r="B952" t="str">
        <f>HYPERLINK("http://www.ncbi.nlm.nih.gov/protein/ACD11039.1","ACD11039.1")</f>
        <v>ACD11039.1</v>
      </c>
      <c r="C952">
        <v>23</v>
      </c>
      <c r="D952" t="str">
        <f>HYPERLINK("http://www.ncbi.nlm.nih.gov/Taxonomy/Browser/wwwtax.cgi?mode=Info&amp;id=51294&amp;lvl=3&amp;lin=f&amp;keep=1&amp;srchmode=1&amp;unlock","51294")</f>
        <v>51294</v>
      </c>
      <c r="E952" t="s">
        <v>822</v>
      </c>
      <c r="F952" t="s">
        <v>822</v>
      </c>
      <c r="G952" t="str">
        <f>HYPERLINK("http://www.ncbi.nlm.nih.gov/Taxonomy/Browser/wwwtax.cgi?mode=Info&amp;id=51294&amp;lvl=3&amp;lin=f&amp;keep=1&amp;srchmode=1&amp;unlock","Capitella capitata")</f>
        <v>Capitella capitata</v>
      </c>
      <c r="H952" t="s">
        <v>823</v>
      </c>
      <c r="I952" t="str">
        <f>HYPERLINK("http://www.ncbi.nlm.nih.gov/protein/ACD11039.1","estrogen receptor, partial")</f>
        <v>estrogen receptor, partial</v>
      </c>
      <c r="J952" t="s">
        <v>1261</v>
      </c>
      <c r="K952">
        <v>81.260000000000005</v>
      </c>
      <c r="L952" t="s">
        <v>25</v>
      </c>
      <c r="M952">
        <v>157</v>
      </c>
      <c r="N952">
        <v>62.55</v>
      </c>
      <c r="O952">
        <v>15.8</v>
      </c>
      <c r="P952" t="s">
        <v>25</v>
      </c>
      <c r="Q952" t="s">
        <v>1262</v>
      </c>
      <c r="R952" t="s">
        <v>20</v>
      </c>
      <c r="S952" t="str">
        <f>HYPERLINK("https://cfpub.epa.gov/ecotox/explore.cfm?ncbi=51294","Explore in ECOTOX")</f>
        <v>Explore in ECOTOX</v>
      </c>
    </row>
    <row r="953" spans="1:19" x14ac:dyDescent="0.25">
      <c r="A953">
        <v>6</v>
      </c>
      <c r="B953" t="str">
        <f>HYPERLINK("http://www.ncbi.nlm.nih.gov/protein/BAA25900.1","BAA25900.1")</f>
        <v>BAA25900.1</v>
      </c>
      <c r="C953">
        <v>2</v>
      </c>
      <c r="D953" t="str">
        <f>HYPERLINK("http://www.ncbi.nlm.nih.gov/Taxonomy/Browser/wwwtax.cgi?mode=Info&amp;id=34775&amp;lvl=3&amp;lin=f&amp;keep=1&amp;srchmode=1&amp;unlock","34775")</f>
        <v>34775</v>
      </c>
      <c r="E953" t="s">
        <v>384</v>
      </c>
      <c r="F953" t="s">
        <v>384</v>
      </c>
      <c r="G953" t="str">
        <f>HYPERLINK("http://www.ncbi.nlm.nih.gov/Taxonomy/Browser/wwwtax.cgi?mode=Info&amp;id=34775&amp;lvl=3&amp;lin=f&amp;keep=1&amp;srchmode=1&amp;unlock","Oryzias sp.")</f>
        <v>Oryzias sp.</v>
      </c>
      <c r="H953" t="s">
        <v>1011</v>
      </c>
      <c r="I953" t="str">
        <f>HYPERLINK("http://www.ncbi.nlm.nih.gov/protein/BAA25900.1","estrogen receptor")</f>
        <v>estrogen receptor</v>
      </c>
      <c r="J953" t="s">
        <v>1261</v>
      </c>
      <c r="K953">
        <v>80.88</v>
      </c>
      <c r="L953" t="s">
        <v>25</v>
      </c>
      <c r="M953">
        <v>157</v>
      </c>
      <c r="N953">
        <v>62.55</v>
      </c>
      <c r="O953">
        <v>15.73</v>
      </c>
      <c r="P953" t="s">
        <v>20</v>
      </c>
      <c r="Q953" t="s">
        <v>1262</v>
      </c>
      <c r="R953" t="s">
        <v>20</v>
      </c>
      <c r="S953" t="str">
        <f>HYPERLINK("https://cfpub.epa.gov/ecotox/explore.cfm?ncbi=34775","Explore in ECOTOX")</f>
        <v>Explore in ECOTOX</v>
      </c>
    </row>
    <row r="954" spans="1:19" x14ac:dyDescent="0.25">
      <c r="A954">
        <v>6</v>
      </c>
      <c r="B954" t="str">
        <f>HYPERLINK("http://www.ncbi.nlm.nih.gov/protein/ACN39246.2","ACN39246.2")</f>
        <v>ACN39246.2</v>
      </c>
      <c r="C954">
        <v>183</v>
      </c>
      <c r="D954" t="str">
        <f>HYPERLINK("http://www.ncbi.nlm.nih.gov/Taxonomy/Browser/wwwtax.cgi?mode=Info&amp;id=214486&amp;lvl=3&amp;lin=f&amp;keep=1&amp;srchmode=1&amp;unlock","214486")</f>
        <v>214486</v>
      </c>
      <c r="E954" t="s">
        <v>384</v>
      </c>
      <c r="F954" t="s">
        <v>384</v>
      </c>
      <c r="G954" t="str">
        <f>HYPERLINK("http://www.ncbi.nlm.nih.gov/Taxonomy/Browser/wwwtax.cgi?mode=Info&amp;id=214486&amp;lvl=3&amp;lin=f&amp;keep=1&amp;srchmode=1&amp;unlock","Sebastes schlegelii")</f>
        <v>Sebastes schlegelii</v>
      </c>
      <c r="H954" t="s">
        <v>1100</v>
      </c>
      <c r="I954" t="str">
        <f>HYPERLINK("http://www.ncbi.nlm.nih.gov/protein/ACN39246.2","estrogen receptor alpha")</f>
        <v>estrogen receptor alpha</v>
      </c>
      <c r="J954" t="s">
        <v>1261</v>
      </c>
      <c r="K954">
        <v>80.88</v>
      </c>
      <c r="L954" t="s">
        <v>25</v>
      </c>
      <c r="M954">
        <v>157</v>
      </c>
      <c r="N954">
        <v>62.55</v>
      </c>
      <c r="O954">
        <v>15.73</v>
      </c>
      <c r="P954" t="s">
        <v>20</v>
      </c>
      <c r="Q954" t="s">
        <v>1262</v>
      </c>
      <c r="R954" t="s">
        <v>20</v>
      </c>
      <c r="S954" t="str">
        <f>HYPERLINK("https://cfpub.epa.gov/ecotox/explore.cfm?ncbi=214486","Explore in ECOTOX")</f>
        <v>Explore in ECOTOX</v>
      </c>
    </row>
    <row r="955" spans="1:19" x14ac:dyDescent="0.25">
      <c r="A955">
        <v>6</v>
      </c>
      <c r="B955" t="str">
        <f>HYPERLINK("http://www.ncbi.nlm.nih.gov/protein/QOI58791.1","QOI58791.1")</f>
        <v>QOI58791.1</v>
      </c>
      <c r="C955">
        <v>290</v>
      </c>
      <c r="D955" t="str">
        <f>HYPERLINK("http://www.ncbi.nlm.nih.gov/Taxonomy/Browser/wwwtax.cgi?mode=Info&amp;id=8161&amp;lvl=3&amp;lin=f&amp;keep=1&amp;srchmode=1&amp;unlock","8161")</f>
        <v>8161</v>
      </c>
      <c r="E955" t="s">
        <v>384</v>
      </c>
      <c r="F955" t="s">
        <v>384</v>
      </c>
      <c r="G955" t="str">
        <f>HYPERLINK("http://www.ncbi.nlm.nih.gov/Taxonomy/Browser/wwwtax.cgi?mode=Info&amp;id=8161&amp;lvl=3&amp;lin=f&amp;keep=1&amp;srchmode=1&amp;unlock","Seriola quinqueradiata")</f>
        <v>Seriola quinqueradiata</v>
      </c>
      <c r="H955" t="s">
        <v>1109</v>
      </c>
      <c r="I955" t="str">
        <f>HYPERLINK("http://www.ncbi.nlm.nih.gov/protein/QOI58791.1","estrogen receptor alpha")</f>
        <v>estrogen receptor alpha</v>
      </c>
      <c r="J955" t="s">
        <v>1261</v>
      </c>
      <c r="K955">
        <v>80.88</v>
      </c>
      <c r="L955" t="s">
        <v>25</v>
      </c>
      <c r="M955">
        <v>157</v>
      </c>
      <c r="N955">
        <v>62.55</v>
      </c>
      <c r="O955">
        <v>15.73</v>
      </c>
      <c r="P955" t="s">
        <v>20</v>
      </c>
      <c r="Q955" t="s">
        <v>1262</v>
      </c>
      <c r="R955" t="s">
        <v>20</v>
      </c>
      <c r="S955" t="str">
        <f>HYPERLINK("https://cfpub.epa.gov/ecotox/explore.cfm?ncbi=8161","Explore in ECOTOX")</f>
        <v>Explore in ECOTOX</v>
      </c>
    </row>
    <row r="956" spans="1:19" x14ac:dyDescent="0.25">
      <c r="A956">
        <v>6</v>
      </c>
      <c r="B956" t="str">
        <f>HYPERLINK("http://www.ncbi.nlm.nih.gov/protein/ABP96712.1","ABP96712.1")</f>
        <v>ABP96712.1</v>
      </c>
      <c r="C956">
        <v>227</v>
      </c>
      <c r="D956" t="str">
        <f>HYPERLINK("http://www.ncbi.nlm.nih.gov/Taxonomy/Browser/wwwtax.cgi?mode=Info&amp;id=13106&amp;lvl=3&amp;lin=f&amp;keep=1&amp;srchmode=1&amp;unlock","13106")</f>
        <v>13106</v>
      </c>
      <c r="E956" t="s">
        <v>384</v>
      </c>
      <c r="F956" t="s">
        <v>384</v>
      </c>
      <c r="G956" t="str">
        <f>HYPERLINK("http://www.ncbi.nlm.nih.gov/Taxonomy/Browser/wwwtax.cgi?mode=Info&amp;id=13106&amp;lvl=3&amp;lin=f&amp;keep=1&amp;srchmode=1&amp;unlock","Lepomis macrochirus")</f>
        <v>Lepomis macrochirus</v>
      </c>
      <c r="H956" t="s">
        <v>1114</v>
      </c>
      <c r="I956" t="str">
        <f>HYPERLINK("http://www.ncbi.nlm.nih.gov/protein/ABP96712.1","estrogen receptor alpha1")</f>
        <v>estrogen receptor alpha1</v>
      </c>
      <c r="J956" t="s">
        <v>1261</v>
      </c>
      <c r="K956">
        <v>80.88</v>
      </c>
      <c r="L956" t="s">
        <v>25</v>
      </c>
      <c r="M956">
        <v>157</v>
      </c>
      <c r="N956">
        <v>62.55</v>
      </c>
      <c r="O956">
        <v>15.73</v>
      </c>
      <c r="P956" t="s">
        <v>20</v>
      </c>
      <c r="Q956" t="s">
        <v>1262</v>
      </c>
      <c r="R956" t="s">
        <v>20</v>
      </c>
      <c r="S956" t="str">
        <f>HYPERLINK("https://cfpub.epa.gov/ecotox/explore.cfm?ncbi=13106","Explore in ECOTOX")</f>
        <v>Explore in ECOTOX</v>
      </c>
    </row>
    <row r="957" spans="1:19" x14ac:dyDescent="0.25">
      <c r="A957">
        <v>6</v>
      </c>
      <c r="B957" t="str">
        <f>HYPERLINK("http://www.ncbi.nlm.nih.gov/protein/KAF7992360.1","KAF7992360.1")</f>
        <v>KAF7992360.1</v>
      </c>
      <c r="C957">
        <v>11719</v>
      </c>
      <c r="D957" t="str">
        <f>HYPERLINK("http://www.ncbi.nlm.nih.gov/Taxonomy/Browser/wwwtax.cgi?mode=Info&amp;id=684658&amp;lvl=3&amp;lin=f&amp;keep=1&amp;srchmode=1&amp;unlock","684658")</f>
        <v>684658</v>
      </c>
      <c r="E957" t="s">
        <v>698</v>
      </c>
      <c r="F957" t="s">
        <v>698</v>
      </c>
      <c r="G957" t="str">
        <f>HYPERLINK("http://www.ncbi.nlm.nih.gov/Taxonomy/Browser/wwwtax.cgi?mode=Info&amp;id=684658&amp;lvl=3&amp;lin=f&amp;keep=1&amp;srchmode=1&amp;unlock","Aphidius gifuensis")</f>
        <v>Aphidius gifuensis</v>
      </c>
      <c r="H957" t="s">
        <v>755</v>
      </c>
      <c r="I957" t="str">
        <f>HYPERLINK("http://www.ncbi.nlm.nih.gov/protein/KAF7992360.1","hypothetical protein HCN44_001685")</f>
        <v>hypothetical protein HCN44_001685</v>
      </c>
      <c r="J957" t="s">
        <v>1261</v>
      </c>
      <c r="K957">
        <v>80.88</v>
      </c>
      <c r="L957" t="s">
        <v>25</v>
      </c>
      <c r="M957">
        <v>157</v>
      </c>
      <c r="N957">
        <v>62.55</v>
      </c>
      <c r="O957">
        <v>15.73</v>
      </c>
      <c r="P957" t="s">
        <v>25</v>
      </c>
      <c r="Q957" t="s">
        <v>1262</v>
      </c>
      <c r="R957" t="s">
        <v>20</v>
      </c>
      <c r="S957" t="str">
        <f>HYPERLINK("https://cfpub.epa.gov/ecotox/explore.cfm?ncbi=684658","Explore in ECOTOX")</f>
        <v>Explore in ECOTOX</v>
      </c>
    </row>
    <row r="958" spans="1:19" x14ac:dyDescent="0.25">
      <c r="A958">
        <v>6</v>
      </c>
      <c r="B958" t="str">
        <f>HYPERLINK("http://www.ncbi.nlm.nih.gov/protein/BAF43298.1","BAF43298.1")</f>
        <v>BAF43298.1</v>
      </c>
      <c r="C958">
        <v>747</v>
      </c>
      <c r="D958" t="str">
        <f>HYPERLINK("http://www.ncbi.nlm.nih.gov/Taxonomy/Browser/wwwtax.cgi?mode=Info&amp;id=48193&amp;lvl=3&amp;lin=f&amp;keep=1&amp;srchmode=1&amp;unlock","48193")</f>
        <v>48193</v>
      </c>
      <c r="E958" t="s">
        <v>384</v>
      </c>
      <c r="F958" t="s">
        <v>384</v>
      </c>
      <c r="G958" t="str">
        <f>HYPERLINK("http://www.ncbi.nlm.nih.gov/Taxonomy/Browser/wwwtax.cgi?mode=Info&amp;id=48193&amp;lvl=3&amp;lin=f&amp;keep=1&amp;srchmode=1&amp;unlock","Mugil cephalus")</f>
        <v>Mugil cephalus</v>
      </c>
      <c r="H958" t="s">
        <v>1128</v>
      </c>
      <c r="I958" t="str">
        <f>HYPERLINK("http://www.ncbi.nlm.nih.gov/protein/BAF43298.1","estrogen receptor alpha, partial")</f>
        <v>estrogen receptor alpha, partial</v>
      </c>
      <c r="J958" t="s">
        <v>1261</v>
      </c>
      <c r="K958">
        <v>80.88</v>
      </c>
      <c r="L958" t="s">
        <v>25</v>
      </c>
      <c r="M958">
        <v>157</v>
      </c>
      <c r="N958">
        <v>62.55</v>
      </c>
      <c r="O958">
        <v>15.73</v>
      </c>
      <c r="P958" t="s">
        <v>20</v>
      </c>
      <c r="Q958" t="s">
        <v>1262</v>
      </c>
      <c r="R958" t="s">
        <v>20</v>
      </c>
      <c r="S958" t="str">
        <f>HYPERLINK("https://cfpub.epa.gov/ecotox/explore.cfm?ncbi=48193","Explore in ECOTOX")</f>
        <v>Explore in ECOTOX</v>
      </c>
    </row>
    <row r="959" spans="1:19" x14ac:dyDescent="0.25">
      <c r="A959">
        <v>6</v>
      </c>
      <c r="B959" t="str">
        <f>HYPERLINK("http://www.ncbi.nlm.nih.gov/protein/XP_032684548.1","XP_032684548.1")</f>
        <v>XP_032684548.1</v>
      </c>
      <c r="C959">
        <v>29195</v>
      </c>
      <c r="D959" t="str">
        <f>HYPERLINK("http://www.ncbi.nlm.nih.gov/Taxonomy/Browser/wwwtax.cgi?mode=Info&amp;id=486640&amp;lvl=3&amp;lin=f&amp;keep=1&amp;srchmode=1&amp;unlock","486640")</f>
        <v>486640</v>
      </c>
      <c r="E959" t="s">
        <v>698</v>
      </c>
      <c r="F959" t="s">
        <v>698</v>
      </c>
      <c r="G959" t="str">
        <f>HYPERLINK("http://www.ncbi.nlm.nih.gov/Taxonomy/Browser/wwwtax.cgi?mode=Info&amp;id=486640&amp;lvl=3&amp;lin=f&amp;keep=1&amp;srchmode=1&amp;unlock","Odontomachus brunneus")</f>
        <v>Odontomachus brunneus</v>
      </c>
      <c r="H959" t="s">
        <v>755</v>
      </c>
      <c r="I959" t="str">
        <f>HYPERLINK("http://www.ncbi.nlm.nih.gov/protein/XP_032684548.1","steroid hormone receptor ERR2 isoform X2")</f>
        <v>steroid hormone receptor ERR2 isoform X2</v>
      </c>
      <c r="J959" t="s">
        <v>1261</v>
      </c>
      <c r="K959">
        <v>80.88</v>
      </c>
      <c r="L959" t="s">
        <v>25</v>
      </c>
      <c r="M959">
        <v>157</v>
      </c>
      <c r="N959">
        <v>62.55</v>
      </c>
      <c r="O959">
        <v>15.73</v>
      </c>
      <c r="P959" t="s">
        <v>25</v>
      </c>
      <c r="Q959" t="s">
        <v>1262</v>
      </c>
      <c r="R959" t="s">
        <v>20</v>
      </c>
      <c r="S959" t="str">
        <f>HYPERLINK("https://cfpub.epa.gov/ecotox/explore.cfm?ncbi=486640","Explore in ECOTOX")</f>
        <v>Explore in ECOTOX</v>
      </c>
    </row>
    <row r="960" spans="1:19" x14ac:dyDescent="0.25">
      <c r="A960">
        <v>6</v>
      </c>
      <c r="B960" t="str">
        <f>HYPERLINK("http://www.ncbi.nlm.nih.gov/protein/AUW64608.1","AUW64608.1")</f>
        <v>AUW64608.1</v>
      </c>
      <c r="C960">
        <v>1082</v>
      </c>
      <c r="D960" t="str">
        <f>HYPERLINK("http://www.ncbi.nlm.nih.gov/Taxonomy/Browser/wwwtax.cgi?mode=Info&amp;id=141262&amp;lvl=3&amp;lin=f&amp;keep=1&amp;srchmode=1&amp;unlock","141262")</f>
        <v>141262</v>
      </c>
      <c r="E960" t="s">
        <v>134</v>
      </c>
      <c r="F960" t="s">
        <v>134</v>
      </c>
      <c r="G960" t="str">
        <f>HYPERLINK("http://www.ncbi.nlm.nih.gov/Taxonomy/Browser/wwwtax.cgi?mode=Info&amp;id=141262&amp;lvl=3&amp;lin=f&amp;keep=1&amp;srchmode=1&amp;unlock","Andrias davidianus")</f>
        <v>Andrias davidianus</v>
      </c>
      <c r="H960" t="s">
        <v>1091</v>
      </c>
      <c r="I960" t="str">
        <f>HYPERLINK("http://www.ncbi.nlm.nih.gov/protein/AUW64608.1","estrogen receptor alpha")</f>
        <v>estrogen receptor alpha</v>
      </c>
      <c r="J960" t="s">
        <v>1261</v>
      </c>
      <c r="K960">
        <v>80.489999999999995</v>
      </c>
      <c r="L960" t="s">
        <v>25</v>
      </c>
      <c r="M960">
        <v>157</v>
      </c>
      <c r="N960">
        <v>62.55</v>
      </c>
      <c r="O960">
        <v>15.65</v>
      </c>
      <c r="P960" t="s">
        <v>20</v>
      </c>
      <c r="Q960" t="s">
        <v>1262</v>
      </c>
      <c r="R960" t="s">
        <v>20</v>
      </c>
      <c r="S960" t="str">
        <f>HYPERLINK("https://cfpub.epa.gov/ecotox/explore.cfm?ncbi=141262","Explore in ECOTOX")</f>
        <v>Explore in ECOTOX</v>
      </c>
    </row>
    <row r="961" spans="1:19" x14ac:dyDescent="0.25">
      <c r="A961">
        <v>6</v>
      </c>
      <c r="B961" t="str">
        <f>HYPERLINK("http://www.ncbi.nlm.nih.gov/protein/BAF30926.1","BAF30926.1")</f>
        <v>BAF30926.1</v>
      </c>
      <c r="C961">
        <v>51</v>
      </c>
      <c r="D961" t="str">
        <f>HYPERLINK("http://www.ncbi.nlm.nih.gov/Taxonomy/Browser/wwwtax.cgi?mode=Info&amp;id=166789&amp;lvl=3&amp;lin=f&amp;keep=1&amp;srchmode=1&amp;unlock","166789")</f>
        <v>166789</v>
      </c>
      <c r="E961" t="s">
        <v>134</v>
      </c>
      <c r="F961" t="s">
        <v>134</v>
      </c>
      <c r="G961" t="str">
        <f>HYPERLINK("http://www.ncbi.nlm.nih.gov/Taxonomy/Browser/wwwtax.cgi?mode=Info&amp;id=166789&amp;lvl=3&amp;lin=f&amp;keep=1&amp;srchmode=1&amp;unlock","Andrias japonicus")</f>
        <v>Andrias japonicus</v>
      </c>
      <c r="H961" t="s">
        <v>1092</v>
      </c>
      <c r="I961" t="str">
        <f>HYPERLINK("http://www.ncbi.nlm.nih.gov/protein/BAF30926.1","estrogen receptor alpha")</f>
        <v>estrogen receptor alpha</v>
      </c>
      <c r="J961" t="s">
        <v>1261</v>
      </c>
      <c r="K961">
        <v>80.489999999999995</v>
      </c>
      <c r="L961" t="s">
        <v>25</v>
      </c>
      <c r="M961">
        <v>157</v>
      </c>
      <c r="N961">
        <v>62.55</v>
      </c>
      <c r="O961">
        <v>15.65</v>
      </c>
      <c r="P961" t="s">
        <v>20</v>
      </c>
      <c r="Q961" t="s">
        <v>1262</v>
      </c>
      <c r="R961" t="s">
        <v>20</v>
      </c>
      <c r="S961" t="str">
        <f>HYPERLINK("https://cfpub.epa.gov/ecotox/explore.cfm?ncbi=166789","Explore in ECOTOX")</f>
        <v>Explore in ECOTOX</v>
      </c>
    </row>
    <row r="962" spans="1:19" x14ac:dyDescent="0.25">
      <c r="A962">
        <v>6</v>
      </c>
      <c r="B962" t="str">
        <f>HYPERLINK("http://www.ncbi.nlm.nih.gov/protein/ALF04772.1","ALF04772.1")</f>
        <v>ALF04772.1</v>
      </c>
      <c r="C962">
        <v>655</v>
      </c>
      <c r="D962" t="str">
        <f>HYPERLINK("http://www.ncbi.nlm.nih.gov/Taxonomy/Browser/wwwtax.cgi?mode=Info&amp;id=7764&amp;lvl=3&amp;lin=f&amp;keep=1&amp;srchmode=1&amp;unlock","7764")</f>
        <v>7764</v>
      </c>
      <c r="E962" t="s">
        <v>696</v>
      </c>
      <c r="F962" t="s">
        <v>696</v>
      </c>
      <c r="G962" t="str">
        <f>HYPERLINK("http://www.ncbi.nlm.nih.gov/Taxonomy/Browser/wwwtax.cgi?mode=Info&amp;id=7764&amp;lvl=3&amp;lin=f&amp;keep=1&amp;srchmode=1&amp;unlock","Eptatretus burgeri")</f>
        <v>Eptatretus burgeri</v>
      </c>
      <c r="H962" t="s">
        <v>1096</v>
      </c>
      <c r="I962" t="str">
        <f>HYPERLINK("http://www.ncbi.nlm.nih.gov/protein/ALF04772.1","estrogen receptor 1")</f>
        <v>estrogen receptor 1</v>
      </c>
      <c r="J962" t="s">
        <v>1261</v>
      </c>
      <c r="K962">
        <v>80.489999999999995</v>
      </c>
      <c r="L962" t="s">
        <v>25</v>
      </c>
      <c r="M962">
        <v>157</v>
      </c>
      <c r="N962">
        <v>62.55</v>
      </c>
      <c r="O962">
        <v>15.65</v>
      </c>
      <c r="P962" t="s">
        <v>25</v>
      </c>
      <c r="Q962" t="s">
        <v>1262</v>
      </c>
      <c r="R962" t="s">
        <v>20</v>
      </c>
      <c r="S962" t="str">
        <f>HYPERLINK("https://cfpub.epa.gov/ecotox/explore.cfm?ncbi=7764","Explore in ECOTOX")</f>
        <v>Explore in ECOTOX</v>
      </c>
    </row>
    <row r="963" spans="1:19" x14ac:dyDescent="0.25">
      <c r="A963">
        <v>6</v>
      </c>
      <c r="B963" t="str">
        <f>HYPERLINK("http://www.ncbi.nlm.nih.gov/protein/XP_011312293.1","XP_011312293.1")</f>
        <v>XP_011312293.1</v>
      </c>
      <c r="C963">
        <v>18958</v>
      </c>
      <c r="D963" t="str">
        <f>HYPERLINK("http://www.ncbi.nlm.nih.gov/Taxonomy/Browser/wwwtax.cgi?mode=Info&amp;id=64838&amp;lvl=3&amp;lin=f&amp;keep=1&amp;srchmode=1&amp;unlock","64838")</f>
        <v>64838</v>
      </c>
      <c r="E963" t="s">
        <v>698</v>
      </c>
      <c r="F963" t="s">
        <v>698</v>
      </c>
      <c r="G963" t="str">
        <f>HYPERLINK("http://www.ncbi.nlm.nih.gov/Taxonomy/Browser/wwwtax.cgi?mode=Info&amp;id=64838&amp;lvl=3&amp;lin=f&amp;keep=1&amp;srchmode=1&amp;unlock","Fopius arisanus")</f>
        <v>Fopius arisanus</v>
      </c>
      <c r="H963" t="s">
        <v>755</v>
      </c>
      <c r="I963" t="str">
        <f>HYPERLINK("http://www.ncbi.nlm.nih.gov/protein/XP_011312293.1","PREDICTED: steroid hormone receptor ERR2 isoform X2")</f>
        <v>PREDICTED: steroid hormone receptor ERR2 isoform X2</v>
      </c>
      <c r="J963" t="s">
        <v>1261</v>
      </c>
      <c r="K963">
        <v>80.489999999999995</v>
      </c>
      <c r="L963" t="s">
        <v>25</v>
      </c>
      <c r="M963">
        <v>157</v>
      </c>
      <c r="N963">
        <v>62.55</v>
      </c>
      <c r="O963">
        <v>15.65</v>
      </c>
      <c r="P963" t="s">
        <v>25</v>
      </c>
      <c r="Q963" t="s">
        <v>1262</v>
      </c>
      <c r="R963" t="s">
        <v>20</v>
      </c>
      <c r="S963" t="str">
        <f>HYPERLINK("https://cfpub.epa.gov/ecotox/explore.cfm?ncbi=64838","Explore in ECOTOX")</f>
        <v>Explore in ECOTOX</v>
      </c>
    </row>
    <row r="964" spans="1:19" x14ac:dyDescent="0.25">
      <c r="A964">
        <v>6</v>
      </c>
      <c r="B964" t="str">
        <f>HYPERLINK("http://www.ncbi.nlm.nih.gov/protein/AHY03422.1","AHY03422.1")</f>
        <v>AHY03422.1</v>
      </c>
      <c r="C964">
        <v>76</v>
      </c>
      <c r="D964" t="str">
        <f>HYPERLINK("http://www.ncbi.nlm.nih.gov/Taxonomy/Browser/wwwtax.cgi?mode=Info&amp;id=126650&amp;lvl=3&amp;lin=f&amp;keep=1&amp;srchmode=1&amp;unlock","126650")</f>
        <v>126650</v>
      </c>
      <c r="E964" t="s">
        <v>822</v>
      </c>
      <c r="F964" t="s">
        <v>822</v>
      </c>
      <c r="G964" t="str">
        <f>HYPERLINK("http://www.ncbi.nlm.nih.gov/Taxonomy/Browser/wwwtax.cgi?mode=Info&amp;id=126650&amp;lvl=3&amp;lin=f&amp;keep=1&amp;srchmode=1&amp;unlock","Perinereis aibuhitensis")</f>
        <v>Perinereis aibuhitensis</v>
      </c>
      <c r="H964" t="s">
        <v>1138</v>
      </c>
      <c r="I964" t="str">
        <f>HYPERLINK("http://www.ncbi.nlm.nih.gov/protein/AHY03422.1","estrogen receptor")</f>
        <v>estrogen receptor</v>
      </c>
      <c r="J964" t="s">
        <v>1261</v>
      </c>
      <c r="K964">
        <v>80.489999999999995</v>
      </c>
      <c r="L964" t="s">
        <v>25</v>
      </c>
      <c r="M964">
        <v>157</v>
      </c>
      <c r="N964">
        <v>62.55</v>
      </c>
      <c r="O964">
        <v>15.65</v>
      </c>
      <c r="P964" t="s">
        <v>25</v>
      </c>
      <c r="Q964" t="s">
        <v>1262</v>
      </c>
      <c r="R964" t="s">
        <v>20</v>
      </c>
      <c r="S964" t="str">
        <f>HYPERLINK("https://cfpub.epa.gov/ecotox/explore.cfm?ncbi=126650","Explore in ECOTOX")</f>
        <v>Explore in ECOTOX</v>
      </c>
    </row>
    <row r="965" spans="1:19" x14ac:dyDescent="0.25">
      <c r="A965">
        <v>6</v>
      </c>
      <c r="B965" t="str">
        <f>HYPERLINK("http://www.ncbi.nlm.nih.gov/protein/CAD5111294.1","CAD5111294.1")</f>
        <v>CAD5111294.1</v>
      </c>
      <c r="C965">
        <v>16184</v>
      </c>
      <c r="D965" t="str">
        <f>HYPERLINK("http://www.ncbi.nlm.nih.gov/Taxonomy/Browser/wwwtax.cgi?mode=Info&amp;id=2664684&amp;lvl=3&amp;lin=f&amp;keep=1&amp;srchmode=1&amp;unlock","2664684")</f>
        <v>2664684</v>
      </c>
      <c r="E965" t="s">
        <v>822</v>
      </c>
      <c r="F965" t="s">
        <v>822</v>
      </c>
      <c r="G965" t="str">
        <f>HYPERLINK("http://www.ncbi.nlm.nih.gov/Taxonomy/Browser/wwwtax.cgi?mode=Info&amp;id=2664684&amp;lvl=3&amp;lin=f&amp;keep=1&amp;srchmode=1&amp;unlock","Dimorphilus gyrociliatus")</f>
        <v>Dimorphilus gyrociliatus</v>
      </c>
      <c r="H965" t="s">
        <v>823</v>
      </c>
      <c r="I965" t="str">
        <f>HYPERLINK("http://www.ncbi.nlm.nih.gov/protein/CAD5111294.1","DgyrCDS613")</f>
        <v>DgyrCDS613</v>
      </c>
      <c r="J965" t="s">
        <v>1261</v>
      </c>
      <c r="K965">
        <v>80.489999999999995</v>
      </c>
      <c r="L965" t="s">
        <v>25</v>
      </c>
      <c r="M965">
        <v>157</v>
      </c>
      <c r="N965">
        <v>62.55</v>
      </c>
      <c r="O965">
        <v>15.65</v>
      </c>
      <c r="P965" t="s">
        <v>25</v>
      </c>
      <c r="Q965" t="s">
        <v>1262</v>
      </c>
      <c r="R965" t="s">
        <v>20</v>
      </c>
      <c r="S965" t="str">
        <f>HYPERLINK("https://cfpub.epa.gov/ecotox/explore.cfm?ncbi=2664684","Explore in ECOTOX")</f>
        <v>Explore in ECOTOX</v>
      </c>
    </row>
    <row r="966" spans="1:19" x14ac:dyDescent="0.25">
      <c r="A966">
        <v>6</v>
      </c>
      <c r="B966" t="str">
        <f>HYPERLINK("http://www.ncbi.nlm.nih.gov/protein/QAA78762.1","QAA78762.1")</f>
        <v>QAA78762.1</v>
      </c>
      <c r="C966">
        <v>373</v>
      </c>
      <c r="D966" t="str">
        <f>HYPERLINK("http://www.ncbi.nlm.nih.gov/Taxonomy/Browser/wwwtax.cgi?mode=Info&amp;id=8845&amp;lvl=3&amp;lin=f&amp;keep=1&amp;srchmode=1&amp;unlock","8845")</f>
        <v>8845</v>
      </c>
      <c r="E966" t="s">
        <v>167</v>
      </c>
      <c r="F966" t="s">
        <v>167</v>
      </c>
      <c r="G966" t="str">
        <f>HYPERLINK("http://www.ncbi.nlm.nih.gov/Taxonomy/Browser/wwwtax.cgi?mode=Info&amp;id=8845&amp;lvl=3&amp;lin=f&amp;keep=1&amp;srchmode=1&amp;unlock","Anser cygnoides")</f>
        <v>Anser cygnoides</v>
      </c>
      <c r="H966" t="s">
        <v>276</v>
      </c>
      <c r="I966" t="str">
        <f>HYPERLINK("http://www.ncbi.nlm.nih.gov/protein/QAA78762.1","estrogen receptor 1, partial")</f>
        <v>estrogen receptor 1, partial</v>
      </c>
      <c r="J966" t="s">
        <v>1261</v>
      </c>
      <c r="K966">
        <v>80.11</v>
      </c>
      <c r="L966" t="s">
        <v>25</v>
      </c>
      <c r="M966">
        <v>157</v>
      </c>
      <c r="N966">
        <v>62.55</v>
      </c>
      <c r="O966">
        <v>15.58</v>
      </c>
      <c r="P966" t="s">
        <v>20</v>
      </c>
      <c r="Q966" t="s">
        <v>1262</v>
      </c>
      <c r="R966" t="s">
        <v>20</v>
      </c>
      <c r="S966" t="str">
        <f>HYPERLINK("https://cfpub.epa.gov/ecotox/explore.cfm?ncbi=8845","Explore in ECOTOX")</f>
        <v>Explore in ECOTOX</v>
      </c>
    </row>
    <row r="967" spans="1:19" x14ac:dyDescent="0.25">
      <c r="A967">
        <v>6</v>
      </c>
      <c r="B967" t="str">
        <f>HYPERLINK("http://www.ncbi.nlm.nih.gov/protein/ACF28457.1","ACF28457.1")</f>
        <v>ACF28457.1</v>
      </c>
      <c r="C967">
        <v>138</v>
      </c>
      <c r="D967" t="str">
        <f>HYPERLINK("http://www.ncbi.nlm.nih.gov/Taxonomy/Browser/wwwtax.cgi?mode=Info&amp;id=27788&amp;lvl=3&amp;lin=f&amp;keep=1&amp;srchmode=1&amp;unlock","27788")</f>
        <v>27788</v>
      </c>
      <c r="E967" t="s">
        <v>321</v>
      </c>
      <c r="F967" t="s">
        <v>321</v>
      </c>
      <c r="G967" t="str">
        <f>HYPERLINK("http://www.ncbi.nlm.nih.gov/Taxonomy/Browser/wwwtax.cgi?mode=Info&amp;id=27788&amp;lvl=3&amp;lin=f&amp;keep=1&amp;srchmode=1&amp;unlock","Lepidochelys olivacea")</f>
        <v>Lepidochelys olivacea</v>
      </c>
      <c r="H967" t="s">
        <v>1079</v>
      </c>
      <c r="I967" t="str">
        <f>HYPERLINK("http://www.ncbi.nlm.nih.gov/protein/ACF28457.1","estrogen receptor alpha")</f>
        <v>estrogen receptor alpha</v>
      </c>
      <c r="J967" t="s">
        <v>1261</v>
      </c>
      <c r="K967">
        <v>80.11</v>
      </c>
      <c r="L967" t="s">
        <v>25</v>
      </c>
      <c r="M967">
        <v>157</v>
      </c>
      <c r="N967">
        <v>62.55</v>
      </c>
      <c r="O967">
        <v>15.58</v>
      </c>
      <c r="P967" t="s">
        <v>20</v>
      </c>
      <c r="Q967" t="s">
        <v>1262</v>
      </c>
      <c r="R967" t="s">
        <v>20</v>
      </c>
      <c r="S967" t="str">
        <f>HYPERLINK("https://cfpub.epa.gov/ecotox/explore.cfm?ncbi=27788","Explore in ECOTOX")</f>
        <v>Explore in ECOTOX</v>
      </c>
    </row>
    <row r="968" spans="1:19" x14ac:dyDescent="0.25">
      <c r="A968">
        <v>6</v>
      </c>
      <c r="B968" t="str">
        <f>HYPERLINK("http://www.ncbi.nlm.nih.gov/protein/BAH01723.1","BAH01723.1")</f>
        <v>BAH01723.1</v>
      </c>
      <c r="C968">
        <v>59</v>
      </c>
      <c r="D968" t="str">
        <f>HYPERLINK("http://www.ncbi.nlm.nih.gov/Taxonomy/Browser/wwwtax.cgi?mode=Info&amp;id=43490&amp;lvl=3&amp;lin=f&amp;keep=1&amp;srchmode=1&amp;unlock","43490")</f>
        <v>43490</v>
      </c>
      <c r="E968" t="s">
        <v>167</v>
      </c>
      <c r="F968" t="s">
        <v>167</v>
      </c>
      <c r="G968" t="str">
        <f>HYPERLINK("http://www.ncbi.nlm.nih.gov/Taxonomy/Browser/wwwtax.cgi?mode=Info&amp;id=43490&amp;lvl=3&amp;lin=f&amp;keep=1&amp;srchmode=1&amp;unlock","Gyps africanus")</f>
        <v>Gyps africanus</v>
      </c>
      <c r="H968" t="s">
        <v>1077</v>
      </c>
      <c r="I968" t="str">
        <f>HYPERLINK("http://www.ncbi.nlm.nih.gov/protein/BAH01723.1","estrogen receptor alpha")</f>
        <v>estrogen receptor alpha</v>
      </c>
      <c r="J968" t="s">
        <v>1261</v>
      </c>
      <c r="K968">
        <v>80.11</v>
      </c>
      <c r="L968" t="s">
        <v>25</v>
      </c>
      <c r="M968">
        <v>157</v>
      </c>
      <c r="N968">
        <v>62.55</v>
      </c>
      <c r="O968">
        <v>15.58</v>
      </c>
      <c r="P968" t="s">
        <v>20</v>
      </c>
      <c r="Q968" t="s">
        <v>1262</v>
      </c>
      <c r="R968" t="s">
        <v>20</v>
      </c>
      <c r="S968" t="str">
        <f>HYPERLINK("https://cfpub.epa.gov/ecotox/explore.cfm?ncbi=43490","Explore in ECOTOX")</f>
        <v>Explore in ECOTOX</v>
      </c>
    </row>
    <row r="969" spans="1:19" x14ac:dyDescent="0.25">
      <c r="A969">
        <v>6</v>
      </c>
      <c r="B969" t="str">
        <f>HYPERLINK("http://www.ncbi.nlm.nih.gov/protein/BAH01724.1","BAH01724.1")</f>
        <v>BAH01724.1</v>
      </c>
      <c r="C969">
        <v>16</v>
      </c>
      <c r="D969" t="str">
        <f>HYPERLINK("http://www.ncbi.nlm.nih.gov/Taxonomy/Browser/wwwtax.cgi?mode=Info&amp;id=33606&amp;lvl=3&amp;lin=f&amp;keep=1&amp;srchmode=1&amp;unlock","33606")</f>
        <v>33606</v>
      </c>
      <c r="E969" t="s">
        <v>167</v>
      </c>
      <c r="F969" t="s">
        <v>167</v>
      </c>
      <c r="G969" t="str">
        <f>HYPERLINK("http://www.ncbi.nlm.nih.gov/Taxonomy/Browser/wwwtax.cgi?mode=Info&amp;id=33606&amp;lvl=3&amp;lin=f&amp;keep=1&amp;srchmode=1&amp;unlock","Torgos tracheliotos")</f>
        <v>Torgos tracheliotos</v>
      </c>
      <c r="H969" t="s">
        <v>1078</v>
      </c>
      <c r="I969" t="str">
        <f>HYPERLINK("http://www.ncbi.nlm.nih.gov/protein/BAH01724.1","estrogen receptor alpha")</f>
        <v>estrogen receptor alpha</v>
      </c>
      <c r="J969" t="s">
        <v>1261</v>
      </c>
      <c r="K969">
        <v>80.11</v>
      </c>
      <c r="L969" t="s">
        <v>25</v>
      </c>
      <c r="M969">
        <v>157</v>
      </c>
      <c r="N969">
        <v>62.55</v>
      </c>
      <c r="O969">
        <v>15.58</v>
      </c>
      <c r="P969" t="s">
        <v>20</v>
      </c>
      <c r="Q969" t="s">
        <v>1262</v>
      </c>
      <c r="R969" t="s">
        <v>20</v>
      </c>
      <c r="S969" t="str">
        <f>HYPERLINK("https://cfpub.epa.gov/ecotox/explore.cfm?ncbi=33606","Explore in ECOTOX")</f>
        <v>Explore in ECOTOX</v>
      </c>
    </row>
    <row r="970" spans="1:19" x14ac:dyDescent="0.25">
      <c r="A970">
        <v>6</v>
      </c>
      <c r="B970" t="str">
        <f>HYPERLINK("http://www.ncbi.nlm.nih.gov/protein/AID55019.1","AID55019.1")</f>
        <v>AID55019.1</v>
      </c>
      <c r="C970">
        <v>18</v>
      </c>
      <c r="D970" t="str">
        <f>HYPERLINK("http://www.ncbi.nlm.nih.gov/Taxonomy/Browser/wwwtax.cgi?mode=Info&amp;id=33616&amp;lvl=3&amp;lin=f&amp;keep=1&amp;srchmode=1&amp;unlock","33616")</f>
        <v>33616</v>
      </c>
      <c r="E970" t="s">
        <v>167</v>
      </c>
      <c r="F970" t="s">
        <v>167</v>
      </c>
      <c r="G970" t="str">
        <f>HYPERLINK("http://www.ncbi.nlm.nih.gov/Taxonomy/Browser/wwwtax.cgi?mode=Info&amp;id=33616&amp;lvl=3&amp;lin=f&amp;keep=1&amp;srchmode=1&amp;unlock","Gymnogyps californianus")</f>
        <v>Gymnogyps californianus</v>
      </c>
      <c r="H970" t="s">
        <v>1081</v>
      </c>
      <c r="I970" t="str">
        <f>HYPERLINK("http://www.ncbi.nlm.nih.gov/protein/AID55019.1","estrogen receptor 1")</f>
        <v>estrogen receptor 1</v>
      </c>
      <c r="J970" t="s">
        <v>1261</v>
      </c>
      <c r="K970">
        <v>80.11</v>
      </c>
      <c r="L970" t="s">
        <v>25</v>
      </c>
      <c r="M970">
        <v>157</v>
      </c>
      <c r="N970">
        <v>62.55</v>
      </c>
      <c r="O970">
        <v>15.58</v>
      </c>
      <c r="P970" t="s">
        <v>20</v>
      </c>
      <c r="Q970" t="s">
        <v>1262</v>
      </c>
      <c r="R970" t="s">
        <v>20</v>
      </c>
      <c r="S970" t="str">
        <f>HYPERLINK("https://cfpub.epa.gov/ecotox/explore.cfm?ncbi=33616","Explore in ECOTOX")</f>
        <v>Explore in ECOTOX</v>
      </c>
    </row>
    <row r="971" spans="1:19" x14ac:dyDescent="0.25">
      <c r="A971">
        <v>6</v>
      </c>
      <c r="B971" t="str">
        <f>HYPERLINK("http://www.ncbi.nlm.nih.gov/protein/BAJ05031.1","BAJ05031.1")</f>
        <v>BAJ05031.1</v>
      </c>
      <c r="C971">
        <v>17</v>
      </c>
      <c r="D971" t="str">
        <f>HYPERLINK("http://www.ncbi.nlm.nih.gov/Taxonomy/Browser/wwwtax.cgi?mode=Info&amp;id=2040589&amp;lvl=3&amp;lin=f&amp;keep=1&amp;srchmode=1&amp;unlock","2040589")</f>
        <v>2040589</v>
      </c>
      <c r="E971" t="s">
        <v>134</v>
      </c>
      <c r="F971" t="s">
        <v>134</v>
      </c>
      <c r="G971" t="str">
        <f>HYPERLINK("http://www.ncbi.nlm.nih.gov/Taxonomy/Browser/wwwtax.cgi?mode=Info&amp;id=2040589&amp;lvl=3&amp;lin=f&amp;keep=1&amp;srchmode=1&amp;unlock","Sclerophrys capensis")</f>
        <v>Sclerophrys capensis</v>
      </c>
      <c r="H971" t="s">
        <v>1082</v>
      </c>
      <c r="I971" t="str">
        <f>HYPERLINK("http://www.ncbi.nlm.nih.gov/protein/BAJ05031.1","estrogen receptor alpha")</f>
        <v>estrogen receptor alpha</v>
      </c>
      <c r="J971" t="s">
        <v>1261</v>
      </c>
      <c r="K971">
        <v>80.11</v>
      </c>
      <c r="L971" t="s">
        <v>25</v>
      </c>
      <c r="M971">
        <v>157</v>
      </c>
      <c r="N971">
        <v>62.55</v>
      </c>
      <c r="O971">
        <v>15.58</v>
      </c>
      <c r="P971" t="s">
        <v>20</v>
      </c>
      <c r="Q971" t="s">
        <v>1262</v>
      </c>
      <c r="R971" t="s">
        <v>20</v>
      </c>
      <c r="S971" t="str">
        <f>HYPERLINK("https://cfpub.epa.gov/ecotox/explore.cfm?ncbi=2040589","Explore in ECOTOX")</f>
        <v>Explore in ECOTOX</v>
      </c>
    </row>
    <row r="972" spans="1:19" x14ac:dyDescent="0.25">
      <c r="A972">
        <v>6</v>
      </c>
      <c r="B972" t="str">
        <f>HYPERLINK("http://www.ncbi.nlm.nih.gov/protein/BAB79436.1","BAB79436.1")</f>
        <v>BAB79436.1</v>
      </c>
      <c r="C972">
        <v>377</v>
      </c>
      <c r="D972" t="str">
        <f>HYPERLINK("http://www.ncbi.nlm.nih.gov/Taxonomy/Browser/wwwtax.cgi?mode=Info&amp;id=8499&amp;lvl=3&amp;lin=f&amp;keep=1&amp;srchmode=1&amp;unlock","8499")</f>
        <v>8499</v>
      </c>
      <c r="E972" t="s">
        <v>371</v>
      </c>
      <c r="F972" t="s">
        <v>371</v>
      </c>
      <c r="G972" t="str">
        <f>HYPERLINK("http://www.ncbi.nlm.nih.gov/Taxonomy/Browser/wwwtax.cgi?mode=Info&amp;id=8499&amp;lvl=3&amp;lin=f&amp;keep=1&amp;srchmode=1&amp;unlock","Caiman crocodilus")</f>
        <v>Caiman crocodilus</v>
      </c>
      <c r="H972" t="s">
        <v>1083</v>
      </c>
      <c r="I972" t="str">
        <f>HYPERLINK("http://www.ncbi.nlm.nih.gov/protein/BAB79436.1","estrogen receptor")</f>
        <v>estrogen receptor</v>
      </c>
      <c r="J972" t="s">
        <v>1261</v>
      </c>
      <c r="K972">
        <v>80.11</v>
      </c>
      <c r="L972" t="s">
        <v>25</v>
      </c>
      <c r="M972">
        <v>157</v>
      </c>
      <c r="N972">
        <v>62.55</v>
      </c>
      <c r="O972">
        <v>15.58</v>
      </c>
      <c r="P972" t="s">
        <v>20</v>
      </c>
      <c r="Q972" t="s">
        <v>1262</v>
      </c>
      <c r="R972" t="s">
        <v>20</v>
      </c>
      <c r="S972" t="str">
        <f>HYPERLINK("https://cfpub.epa.gov/ecotox/explore.cfm?ncbi=8499","Explore in ECOTOX")</f>
        <v>Explore in ECOTOX</v>
      </c>
    </row>
    <row r="973" spans="1:19" x14ac:dyDescent="0.25">
      <c r="A973">
        <v>6</v>
      </c>
      <c r="B973" t="str">
        <f>HYPERLINK("http://www.ncbi.nlm.nih.gov/protein/ART92267.1","ART92267.1")</f>
        <v>ART92267.1</v>
      </c>
      <c r="C973">
        <v>143</v>
      </c>
      <c r="D973" t="str">
        <f>HYPERLINK("http://www.ncbi.nlm.nih.gov/Taxonomy/Browser/wwwtax.cgi?mode=Info&amp;id=8485&amp;lvl=3&amp;lin=f&amp;keep=1&amp;srchmode=1&amp;unlock","8485")</f>
        <v>8485</v>
      </c>
      <c r="E973" t="s">
        <v>321</v>
      </c>
      <c r="F973" t="s">
        <v>321</v>
      </c>
      <c r="G973" t="str">
        <f>HYPERLINK("http://www.ncbi.nlm.nih.gov/Taxonomy/Browser/wwwtax.cgi?mode=Info&amp;id=8485&amp;lvl=3&amp;lin=f&amp;keep=1&amp;srchmode=1&amp;unlock","Malaclemys terrapin")</f>
        <v>Malaclemys terrapin</v>
      </c>
      <c r="H973" t="s">
        <v>1084</v>
      </c>
      <c r="I973" t="str">
        <f>HYPERLINK("http://www.ncbi.nlm.nih.gov/protein/ART92267.1","estrogen receptor 1")</f>
        <v>estrogen receptor 1</v>
      </c>
      <c r="J973" t="s">
        <v>1261</v>
      </c>
      <c r="K973">
        <v>80.11</v>
      </c>
      <c r="L973" t="s">
        <v>25</v>
      </c>
      <c r="M973">
        <v>157</v>
      </c>
      <c r="N973">
        <v>62.55</v>
      </c>
      <c r="O973">
        <v>15.58</v>
      </c>
      <c r="P973" t="s">
        <v>20</v>
      </c>
      <c r="Q973" t="s">
        <v>1262</v>
      </c>
      <c r="R973" t="s">
        <v>20</v>
      </c>
      <c r="S973" t="str">
        <f>HYPERLINK("https://cfpub.epa.gov/ecotox/explore.cfm?ncbi=8485","Explore in ECOTOX")</f>
        <v>Explore in ECOTOX</v>
      </c>
    </row>
    <row r="974" spans="1:19" x14ac:dyDescent="0.25">
      <c r="A974">
        <v>6</v>
      </c>
      <c r="B974" t="str">
        <f>HYPERLINK("http://www.ncbi.nlm.nih.gov/protein/BAE45626.1","BAE45626.1")</f>
        <v>BAE45626.1</v>
      </c>
      <c r="C974">
        <v>391</v>
      </c>
      <c r="D974" t="str">
        <f>HYPERLINK("http://www.ncbi.nlm.nih.gov/Taxonomy/Browser/wwwtax.cgi?mode=Info&amp;id=8501&amp;lvl=3&amp;lin=f&amp;keep=1&amp;srchmode=1&amp;unlock","8501")</f>
        <v>8501</v>
      </c>
      <c r="E974" t="s">
        <v>371</v>
      </c>
      <c r="F974" t="s">
        <v>371</v>
      </c>
      <c r="G974" t="str">
        <f>HYPERLINK("http://www.ncbi.nlm.nih.gov/Taxonomy/Browser/wwwtax.cgi?mode=Info&amp;id=8501&amp;lvl=3&amp;lin=f&amp;keep=1&amp;srchmode=1&amp;unlock","Crocodylus niloticus")</f>
        <v>Crocodylus niloticus</v>
      </c>
      <c r="H974" t="s">
        <v>1088</v>
      </c>
      <c r="I974" t="str">
        <f>HYPERLINK("http://www.ncbi.nlm.nih.gov/protein/BAE45626.1","estrogen receptor alpha")</f>
        <v>estrogen receptor alpha</v>
      </c>
      <c r="J974" t="s">
        <v>1261</v>
      </c>
      <c r="K974">
        <v>80.11</v>
      </c>
      <c r="L974" t="s">
        <v>25</v>
      </c>
      <c r="M974">
        <v>157</v>
      </c>
      <c r="N974">
        <v>62.55</v>
      </c>
      <c r="O974">
        <v>15.58</v>
      </c>
      <c r="P974" t="s">
        <v>20</v>
      </c>
      <c r="Q974" t="s">
        <v>1262</v>
      </c>
      <c r="R974" t="s">
        <v>20</v>
      </c>
      <c r="S974" t="str">
        <f>HYPERLINK("https://cfpub.epa.gov/ecotox/explore.cfm?ncbi=8501","Explore in ECOTOX")</f>
        <v>Explore in ECOTOX</v>
      </c>
    </row>
    <row r="975" spans="1:19" x14ac:dyDescent="0.25">
      <c r="A975">
        <v>6</v>
      </c>
      <c r="B975" t="str">
        <f>HYPERLINK("http://www.ncbi.nlm.nih.gov/protein/QKY76798.1","QKY76798.1")</f>
        <v>QKY76798.1</v>
      </c>
      <c r="C975">
        <v>46</v>
      </c>
      <c r="D975" t="str">
        <f>HYPERLINK("http://www.ncbi.nlm.nih.gov/Taxonomy/Browser/wwwtax.cgi?mode=Info&amp;id=100952&amp;lvl=3&amp;lin=f&amp;keep=1&amp;srchmode=1&amp;unlock","100952")</f>
        <v>100952</v>
      </c>
      <c r="E975" t="s">
        <v>384</v>
      </c>
      <c r="F975" t="s">
        <v>384</v>
      </c>
      <c r="G975" t="str">
        <f>HYPERLINK("http://www.ncbi.nlm.nih.gov/Taxonomy/Browser/wwwtax.cgi?mode=Info&amp;id=100952&amp;lvl=3&amp;lin=f&amp;keep=1&amp;srchmode=1&amp;unlock","Cottus gobio")</f>
        <v>Cottus gobio</v>
      </c>
      <c r="H975" t="s">
        <v>1112</v>
      </c>
      <c r="I975" t="str">
        <f>HYPERLINK("http://www.ncbi.nlm.nih.gov/protein/QKY76798.1","estrogen receptor alpha")</f>
        <v>estrogen receptor alpha</v>
      </c>
      <c r="J975" t="s">
        <v>1261</v>
      </c>
      <c r="K975">
        <v>80.11</v>
      </c>
      <c r="L975" t="s">
        <v>25</v>
      </c>
      <c r="M975">
        <v>157</v>
      </c>
      <c r="N975">
        <v>62.55</v>
      </c>
      <c r="O975">
        <v>15.58</v>
      </c>
      <c r="P975" t="s">
        <v>20</v>
      </c>
      <c r="Q975" t="s">
        <v>1262</v>
      </c>
      <c r="R975" t="s">
        <v>20</v>
      </c>
      <c r="S975" t="str">
        <f>HYPERLINK("https://cfpub.epa.gov/ecotox/explore.cfm?ncbi=100952","Explore in ECOTOX")</f>
        <v>Explore in ECOTOX</v>
      </c>
    </row>
    <row r="976" spans="1:19" x14ac:dyDescent="0.25">
      <c r="A976">
        <v>6</v>
      </c>
      <c r="B976" t="str">
        <f>HYPERLINK("http://www.ncbi.nlm.nih.gov/protein/AXA19790.1","AXA19790.1")</f>
        <v>AXA19790.1</v>
      </c>
      <c r="C976">
        <v>2173</v>
      </c>
      <c r="D976" t="str">
        <f>HYPERLINK("http://www.ncbi.nlm.nih.gov/Taxonomy/Browser/wwwtax.cgi?mode=Info&amp;id=7959&amp;lvl=3&amp;lin=f&amp;keep=1&amp;srchmode=1&amp;unlock","7959")</f>
        <v>7959</v>
      </c>
      <c r="E976" t="s">
        <v>384</v>
      </c>
      <c r="F976" t="s">
        <v>384</v>
      </c>
      <c r="G976" t="str">
        <f>HYPERLINK("http://www.ncbi.nlm.nih.gov/Taxonomy/Browser/wwwtax.cgi?mode=Info&amp;id=7959&amp;lvl=3&amp;lin=f&amp;keep=1&amp;srchmode=1&amp;unlock","Ctenopharyngodon idella")</f>
        <v>Ctenopharyngodon idella</v>
      </c>
      <c r="H976" t="s">
        <v>662</v>
      </c>
      <c r="I976" t="str">
        <f>HYPERLINK("http://www.ncbi.nlm.nih.gov/protein/AXA19790.1","estrogen receptor-alpha")</f>
        <v>estrogen receptor-alpha</v>
      </c>
      <c r="J976" t="s">
        <v>1261</v>
      </c>
      <c r="K976">
        <v>80.11</v>
      </c>
      <c r="L976" t="s">
        <v>25</v>
      </c>
      <c r="M976">
        <v>157</v>
      </c>
      <c r="N976">
        <v>62.55</v>
      </c>
      <c r="O976">
        <v>15.58</v>
      </c>
      <c r="P976" t="s">
        <v>20</v>
      </c>
      <c r="Q976" t="s">
        <v>1262</v>
      </c>
      <c r="R976" t="s">
        <v>20</v>
      </c>
      <c r="S976" t="str">
        <f>HYPERLINK("https://cfpub.epa.gov/ecotox/explore.cfm?ncbi=7959","Explore in ECOTOX")</f>
        <v>Explore in ECOTOX</v>
      </c>
    </row>
    <row r="977" spans="1:19" x14ac:dyDescent="0.25">
      <c r="A977">
        <v>6</v>
      </c>
      <c r="B977" t="str">
        <f>HYPERLINK("http://www.ncbi.nlm.nih.gov/protein/XP_034942586.1","XP_034942586.1")</f>
        <v>XP_034942586.1</v>
      </c>
      <c r="C977">
        <v>19262</v>
      </c>
      <c r="D977" t="str">
        <f>HYPERLINK("http://www.ncbi.nlm.nih.gov/Taxonomy/Browser/wwwtax.cgi?mode=Info&amp;id=460826&amp;lvl=3&amp;lin=f&amp;keep=1&amp;srchmode=1&amp;unlock","460826")</f>
        <v>460826</v>
      </c>
      <c r="E977" t="s">
        <v>698</v>
      </c>
      <c r="F977" t="s">
        <v>698</v>
      </c>
      <c r="G977" t="str">
        <f>HYPERLINK("http://www.ncbi.nlm.nih.gov/Taxonomy/Browser/wwwtax.cgi?mode=Info&amp;id=460826&amp;lvl=3&amp;lin=f&amp;keep=1&amp;srchmode=1&amp;unlock","Chelonus insularis")</f>
        <v>Chelonus insularis</v>
      </c>
      <c r="H977" t="s">
        <v>755</v>
      </c>
      <c r="I977" t="str">
        <f>HYPERLINK("http://www.ncbi.nlm.nih.gov/protein/XP_034942586.1","steroid hormone receptor ERR2 isoform X5")</f>
        <v>steroid hormone receptor ERR2 isoform X5</v>
      </c>
      <c r="J977" t="s">
        <v>1261</v>
      </c>
      <c r="K977">
        <v>80.11</v>
      </c>
      <c r="L977" t="s">
        <v>25</v>
      </c>
      <c r="M977">
        <v>157</v>
      </c>
      <c r="N977">
        <v>62.55</v>
      </c>
      <c r="O977">
        <v>15.58</v>
      </c>
      <c r="P977" t="s">
        <v>25</v>
      </c>
      <c r="Q977" t="s">
        <v>1262</v>
      </c>
      <c r="R977" t="s">
        <v>20</v>
      </c>
      <c r="S977" t="str">
        <f>HYPERLINK("https://cfpub.epa.gov/ecotox/explore.cfm?ncbi=460826","Explore in ECOTOX")</f>
        <v>Explore in ECOTOX</v>
      </c>
    </row>
    <row r="978" spans="1:19" x14ac:dyDescent="0.25">
      <c r="A978">
        <v>6</v>
      </c>
      <c r="B978" t="str">
        <f>HYPERLINK("http://www.ncbi.nlm.nih.gov/protein/XP_006824830.1","XP_006824830.1")</f>
        <v>XP_006824830.1</v>
      </c>
      <c r="C978">
        <v>22971</v>
      </c>
      <c r="D978" t="str">
        <f>HYPERLINK("http://www.ncbi.nlm.nih.gov/Taxonomy/Browser/wwwtax.cgi?mode=Info&amp;id=10224&amp;lvl=3&amp;lin=f&amp;keep=1&amp;srchmode=1&amp;unlock","10224")</f>
        <v>10224</v>
      </c>
      <c r="E978" t="s">
        <v>861</v>
      </c>
      <c r="F978" t="s">
        <v>861</v>
      </c>
      <c r="G978" t="str">
        <f>HYPERLINK("http://www.ncbi.nlm.nih.gov/Taxonomy/Browser/wwwtax.cgi?mode=Info&amp;id=10224&amp;lvl=3&amp;lin=f&amp;keep=1&amp;srchmode=1&amp;unlock","Saccoglossus kowalevskii")</f>
        <v>Saccoglossus kowalevskii</v>
      </c>
      <c r="H978" t="s">
        <v>862</v>
      </c>
      <c r="I978" t="str">
        <f>HYPERLINK("http://www.ncbi.nlm.nih.gov/protein/XP_006824830.1","PREDICTED: estrogen receptor-like isoform X2")</f>
        <v>PREDICTED: estrogen receptor-like isoform X2</v>
      </c>
      <c r="J978" t="s">
        <v>1261</v>
      </c>
      <c r="K978">
        <v>79.72</v>
      </c>
      <c r="L978" t="s">
        <v>25</v>
      </c>
      <c r="M978">
        <v>157</v>
      </c>
      <c r="N978">
        <v>62.55</v>
      </c>
      <c r="O978">
        <v>15.5</v>
      </c>
      <c r="P978" t="s">
        <v>25</v>
      </c>
      <c r="Q978" t="s">
        <v>1262</v>
      </c>
      <c r="R978" t="s">
        <v>20</v>
      </c>
      <c r="S978" t="str">
        <f>HYPERLINK("https://cfpub.epa.gov/ecotox/explore.cfm?ncbi=10224","Explore in ECOTOX")</f>
        <v>Explore in ECOTOX</v>
      </c>
    </row>
    <row r="979" spans="1:19" x14ac:dyDescent="0.25">
      <c r="A979">
        <v>6</v>
      </c>
      <c r="B979" t="str">
        <f>HYPERLINK("http://www.ncbi.nlm.nih.gov/protein/NP_001269175.1","NP_001269175.1")</f>
        <v>NP_001269175.1</v>
      </c>
      <c r="C979">
        <v>234</v>
      </c>
      <c r="D979" t="str">
        <f>HYPERLINK("http://www.ncbi.nlm.nih.gov/Taxonomy/Browser/wwwtax.cgi?mode=Info&amp;id=8479&amp;lvl=3&amp;lin=f&amp;keep=1&amp;srchmode=1&amp;unlock","8479")</f>
        <v>8479</v>
      </c>
      <c r="E979" t="s">
        <v>321</v>
      </c>
      <c r="F979" t="s">
        <v>321</v>
      </c>
      <c r="G979" t="str">
        <f>HYPERLINK("http://www.ncbi.nlm.nih.gov/Taxonomy/Browser/wwwtax.cgi?mode=Info&amp;id=8479&amp;lvl=3&amp;lin=f&amp;keep=1&amp;srchmode=1&amp;unlock","Chrysemys picta")</f>
        <v>Chrysemys picta</v>
      </c>
      <c r="H979" t="s">
        <v>1090</v>
      </c>
      <c r="I979" t="str">
        <f>HYPERLINK("http://www.ncbi.nlm.nih.gov/protein/NP_001269175.1","estrogen receptor")</f>
        <v>estrogen receptor</v>
      </c>
      <c r="J979" t="s">
        <v>1261</v>
      </c>
      <c r="K979">
        <v>79.72</v>
      </c>
      <c r="L979" t="s">
        <v>25</v>
      </c>
      <c r="M979">
        <v>157</v>
      </c>
      <c r="N979">
        <v>62.55</v>
      </c>
      <c r="O979">
        <v>15.5</v>
      </c>
      <c r="P979" t="s">
        <v>20</v>
      </c>
      <c r="Q979" t="s">
        <v>1262</v>
      </c>
      <c r="R979" t="s">
        <v>20</v>
      </c>
      <c r="S979" t="str">
        <f>HYPERLINK("https://cfpub.epa.gov/ecotox/explore.cfm?ncbi=8479","Explore in ECOTOX")</f>
        <v>Explore in ECOTOX</v>
      </c>
    </row>
    <row r="980" spans="1:19" x14ac:dyDescent="0.25">
      <c r="A980">
        <v>6</v>
      </c>
      <c r="B980" t="str">
        <f>HYPERLINK("http://www.ncbi.nlm.nih.gov/protein/CAD67996.3","CAD67996.3")</f>
        <v>CAD67996.3</v>
      </c>
      <c r="C980">
        <v>89</v>
      </c>
      <c r="D980" t="str">
        <f>HYPERLINK("http://www.ncbi.nlm.nih.gov/Taxonomy/Browser/wwwtax.cgi?mode=Info&amp;id=160766&amp;lvl=3&amp;lin=f&amp;keep=1&amp;srchmode=1&amp;unlock","160766")</f>
        <v>160766</v>
      </c>
      <c r="E980" t="s">
        <v>384</v>
      </c>
      <c r="F980" t="s">
        <v>384</v>
      </c>
      <c r="G980" t="str">
        <f>HYPERLINK("http://www.ncbi.nlm.nih.gov/Taxonomy/Browser/wwwtax.cgi?mode=Info&amp;id=160766&amp;lvl=3&amp;lin=f&amp;keep=1&amp;srchmode=1&amp;unlock","Onychostoma barbatulum")</f>
        <v>Onychostoma barbatulum</v>
      </c>
      <c r="H980" t="s">
        <v>1117</v>
      </c>
      <c r="I980" t="str">
        <f>HYPERLINK("http://www.ncbi.nlm.nih.gov/protein/CAD67996.3","putative estrogen receptor alpha protein")</f>
        <v>putative estrogen receptor alpha protein</v>
      </c>
      <c r="J980" t="s">
        <v>1261</v>
      </c>
      <c r="K980">
        <v>79.72</v>
      </c>
      <c r="L980" t="s">
        <v>25</v>
      </c>
      <c r="M980">
        <v>157</v>
      </c>
      <c r="N980">
        <v>62.55</v>
      </c>
      <c r="O980">
        <v>15.5</v>
      </c>
      <c r="P980" t="s">
        <v>20</v>
      </c>
      <c r="Q980" t="s">
        <v>1262</v>
      </c>
      <c r="R980" t="s">
        <v>20</v>
      </c>
      <c r="S980" t="str">
        <f>HYPERLINK("https://cfpub.epa.gov/ecotox/explore.cfm?ncbi=160766","Explore in ECOTOX")</f>
        <v>Explore in ECOTOX</v>
      </c>
    </row>
    <row r="981" spans="1:19" x14ac:dyDescent="0.25">
      <c r="A981">
        <v>6</v>
      </c>
      <c r="B981" t="str">
        <f>HYPERLINK("http://www.ncbi.nlm.nih.gov/protein/CAD6240917.1","CAD6240917.1")</f>
        <v>CAD6240917.1</v>
      </c>
      <c r="C981">
        <v>13971</v>
      </c>
      <c r="D981" t="str">
        <f>HYPERLINK("http://www.ncbi.nlm.nih.gov/Taxonomy/Browser/wwwtax.cgi?mode=Info&amp;id=51543&amp;lvl=3&amp;lin=f&amp;keep=1&amp;srchmode=1&amp;unlock","51543")</f>
        <v>51543</v>
      </c>
      <c r="E981" t="s">
        <v>698</v>
      </c>
      <c r="F981" t="s">
        <v>698</v>
      </c>
      <c r="G981" t="str">
        <f>HYPERLINK("http://www.ncbi.nlm.nih.gov/Taxonomy/Browser/wwwtax.cgi?mode=Info&amp;id=51543&amp;lvl=3&amp;lin=f&amp;keep=1&amp;srchmode=1&amp;unlock","Cotesia congregata")</f>
        <v>Cotesia congregata</v>
      </c>
      <c r="H981" t="s">
        <v>755</v>
      </c>
      <c r="I981" t="str">
        <f>HYPERLINK("http://www.ncbi.nlm.nih.gov/protein/CAD6240917.1","GSCOCG00009002001-RA-CDS")</f>
        <v>GSCOCG00009002001-RA-CDS</v>
      </c>
      <c r="J981" t="s">
        <v>1261</v>
      </c>
      <c r="K981">
        <v>79.72</v>
      </c>
      <c r="L981" t="s">
        <v>25</v>
      </c>
      <c r="M981">
        <v>157</v>
      </c>
      <c r="N981">
        <v>62.55</v>
      </c>
      <c r="O981">
        <v>15.5</v>
      </c>
      <c r="P981" t="s">
        <v>25</v>
      </c>
      <c r="Q981" t="s">
        <v>1262</v>
      </c>
      <c r="R981" t="s">
        <v>20</v>
      </c>
      <c r="S981" t="str">
        <f>HYPERLINK("https://cfpub.epa.gov/ecotox/explore.cfm?ncbi=51543","Explore in ECOTOX")</f>
        <v>Explore in ECOTOX</v>
      </c>
    </row>
    <row r="982" spans="1:19" x14ac:dyDescent="0.25">
      <c r="A982">
        <v>6</v>
      </c>
      <c r="B982" t="str">
        <f>HYPERLINK("http://www.ncbi.nlm.nih.gov/protein/XP_033216257.1","XP_033216257.1")</f>
        <v>XP_033216257.1</v>
      </c>
      <c r="C982">
        <v>25334</v>
      </c>
      <c r="D982" t="str">
        <f>HYPERLINK("http://www.ncbi.nlm.nih.gov/Taxonomy/Browser/wwwtax.cgi?mode=Info&amp;id=1159321&amp;lvl=3&amp;lin=f&amp;keep=1&amp;srchmode=1&amp;unlock","1159321")</f>
        <v>1159321</v>
      </c>
      <c r="E982" t="s">
        <v>698</v>
      </c>
      <c r="F982" t="s">
        <v>698</v>
      </c>
      <c r="G982" t="str">
        <f>HYPERLINK("http://www.ncbi.nlm.nih.gov/Taxonomy/Browser/wwwtax.cgi?mode=Info&amp;id=1159321&amp;lvl=3&amp;lin=f&amp;keep=1&amp;srchmode=1&amp;unlock","Belonocnema treatae")</f>
        <v>Belonocnema treatae</v>
      </c>
      <c r="H982" t="s">
        <v>863</v>
      </c>
      <c r="I982" t="str">
        <f>HYPERLINK("http://www.ncbi.nlm.nih.gov/protein/XP_033216257.1","steroid hormone receptor ERR1 isoform X4")</f>
        <v>steroid hormone receptor ERR1 isoform X4</v>
      </c>
      <c r="J982" t="s">
        <v>1261</v>
      </c>
      <c r="K982">
        <v>79.72</v>
      </c>
      <c r="L982" t="s">
        <v>25</v>
      </c>
      <c r="M982">
        <v>157</v>
      </c>
      <c r="N982">
        <v>62.55</v>
      </c>
      <c r="O982">
        <v>15.5</v>
      </c>
      <c r="P982" t="s">
        <v>25</v>
      </c>
      <c r="Q982" t="s">
        <v>1262</v>
      </c>
      <c r="R982" t="s">
        <v>20</v>
      </c>
      <c r="S982" t="str">
        <f>HYPERLINK("https://cfpub.epa.gov/ecotox/explore.cfm?ncbi=1159321","Explore in ECOTOX")</f>
        <v>Explore in ECOTOX</v>
      </c>
    </row>
    <row r="983" spans="1:19" x14ac:dyDescent="0.25">
      <c r="A983">
        <v>6</v>
      </c>
      <c r="B983" t="str">
        <f>HYPERLINK("http://www.ncbi.nlm.nih.gov/protein/NXR99065.1","NXR99065.1")</f>
        <v>NXR99065.1</v>
      </c>
      <c r="C983">
        <v>9012</v>
      </c>
      <c r="D983" t="str">
        <f>HYPERLINK("http://www.ncbi.nlm.nih.gov/Taxonomy/Browser/wwwtax.cgi?mode=Info&amp;id=98144&amp;lvl=3&amp;lin=f&amp;keep=1&amp;srchmode=1&amp;unlock","98144")</f>
        <v>98144</v>
      </c>
      <c r="E983" t="s">
        <v>167</v>
      </c>
      <c r="F983" t="s">
        <v>167</v>
      </c>
      <c r="G983" t="str">
        <f>HYPERLINK("http://www.ncbi.nlm.nih.gov/Taxonomy/Browser/wwwtax.cgi?mode=Info&amp;id=98144&amp;lvl=3&amp;lin=f&amp;keep=1&amp;srchmode=1&amp;unlock","Oxylabes madagascariensis")</f>
        <v>Oxylabes madagascariensis</v>
      </c>
      <c r="H983" t="s">
        <v>374</v>
      </c>
      <c r="I983" t="str">
        <f>HYPERLINK("http://www.ncbi.nlm.nih.gov/protein/NXR99065.1","ERR2 protein")</f>
        <v>ERR2 protein</v>
      </c>
      <c r="J983" t="s">
        <v>1261</v>
      </c>
      <c r="K983">
        <v>79.72</v>
      </c>
      <c r="L983" t="s">
        <v>25</v>
      </c>
      <c r="M983">
        <v>157</v>
      </c>
      <c r="N983">
        <v>62.55</v>
      </c>
      <c r="O983">
        <v>15.5</v>
      </c>
      <c r="P983" t="s">
        <v>20</v>
      </c>
      <c r="Q983" t="s">
        <v>1262</v>
      </c>
      <c r="R983" t="s">
        <v>20</v>
      </c>
      <c r="S983" t="str">
        <f>HYPERLINK("https://cfpub.epa.gov/ecotox/explore.cfm?ncbi=98144","Explore in ECOTOX")</f>
        <v>Explore in ECOTOX</v>
      </c>
    </row>
    <row r="984" spans="1:19" x14ac:dyDescent="0.25">
      <c r="A984">
        <v>6</v>
      </c>
      <c r="B984" t="str">
        <f>HYPERLINK("http://www.ncbi.nlm.nih.gov/protein/BCK86236.1","BCK86236.1")</f>
        <v>BCK86236.1</v>
      </c>
      <c r="C984">
        <v>194</v>
      </c>
      <c r="D984" t="str">
        <f>HYPERLINK("http://www.ncbi.nlm.nih.gov/Taxonomy/Browser/wwwtax.cgi?mode=Info&amp;id=30962&amp;lvl=3&amp;lin=f&amp;keep=1&amp;srchmode=1&amp;unlock","30962")</f>
        <v>30962</v>
      </c>
      <c r="E984" t="s">
        <v>384</v>
      </c>
      <c r="F984" t="s">
        <v>384</v>
      </c>
      <c r="G984" t="str">
        <f>HYPERLINK("http://www.ncbi.nlm.nih.gov/Taxonomy/Browser/wwwtax.cgi?mode=Info&amp;id=30962&amp;lvl=3&amp;lin=f&amp;keep=1&amp;srchmode=1&amp;unlock","Oncorhynchus clarkii")</f>
        <v>Oncorhynchus clarkii</v>
      </c>
      <c r="H984" t="s">
        <v>1113</v>
      </c>
      <c r="I984" t="str">
        <f>HYPERLINK("http://www.ncbi.nlm.nih.gov/protein/BCK86236.1","estrogen receptor 1b")</f>
        <v>estrogen receptor 1b</v>
      </c>
      <c r="J984" t="s">
        <v>1261</v>
      </c>
      <c r="K984">
        <v>79.34</v>
      </c>
      <c r="L984" t="s">
        <v>25</v>
      </c>
      <c r="M984">
        <v>157</v>
      </c>
      <c r="N984">
        <v>62.55</v>
      </c>
      <c r="O984">
        <v>15.43</v>
      </c>
      <c r="P984" t="s">
        <v>20</v>
      </c>
      <c r="Q984" t="s">
        <v>1262</v>
      </c>
      <c r="R984" t="s">
        <v>20</v>
      </c>
      <c r="S984" t="str">
        <f>HYPERLINK("https://cfpub.epa.gov/ecotox/explore.cfm?ncbi=30962","Explore in ECOTOX")</f>
        <v>Explore in ECOTOX</v>
      </c>
    </row>
    <row r="985" spans="1:19" x14ac:dyDescent="0.25">
      <c r="A985">
        <v>6</v>
      </c>
      <c r="B985" t="str">
        <f>HYPERLINK("http://www.ncbi.nlm.nih.gov/protein/ACW84414.1","ACW84414.1")</f>
        <v>ACW84414.1</v>
      </c>
      <c r="C985">
        <v>72</v>
      </c>
      <c r="D985" t="str">
        <f>HYPERLINK("http://www.ncbi.nlm.nih.gov/Taxonomy/Browser/wwwtax.cgi?mode=Info&amp;id=62746&amp;lvl=3&amp;lin=f&amp;keep=1&amp;srchmode=1&amp;unlock","62746")</f>
        <v>62746</v>
      </c>
      <c r="E985" t="s">
        <v>698</v>
      </c>
      <c r="F985" t="s">
        <v>698</v>
      </c>
      <c r="G985" t="str">
        <f>HYPERLINK("http://www.ncbi.nlm.nih.gov/Taxonomy/Browser/wwwtax.cgi?mode=Info&amp;id=62746&amp;lvl=3&amp;lin=f&amp;keep=1&amp;srchmode=1&amp;unlock","Teleogryllus emma")</f>
        <v>Teleogryllus emma</v>
      </c>
      <c r="H985" t="s">
        <v>1139</v>
      </c>
      <c r="I985" t="str">
        <f>HYPERLINK("http://www.ncbi.nlm.nih.gov/protein/ACW84414.1","estrogen receptor-like protein")</f>
        <v>estrogen receptor-like protein</v>
      </c>
      <c r="J985" t="s">
        <v>1261</v>
      </c>
      <c r="K985">
        <v>79.34</v>
      </c>
      <c r="L985" t="s">
        <v>25</v>
      </c>
      <c r="M985">
        <v>157</v>
      </c>
      <c r="N985">
        <v>62.55</v>
      </c>
      <c r="O985">
        <v>15.43</v>
      </c>
      <c r="P985" t="s">
        <v>25</v>
      </c>
      <c r="Q985" t="s">
        <v>1262</v>
      </c>
      <c r="R985" t="s">
        <v>20</v>
      </c>
      <c r="S985" t="str">
        <f>HYPERLINK("https://cfpub.epa.gov/ecotox/explore.cfm?ncbi=62746","Explore in ECOTOX")</f>
        <v>Explore in ECOTOX</v>
      </c>
    </row>
    <row r="986" spans="1:19" x14ac:dyDescent="0.25">
      <c r="A986">
        <v>6</v>
      </c>
      <c r="B986" t="str">
        <f>HYPERLINK("http://www.ncbi.nlm.nih.gov/protein/BAJ05029.1","BAJ05029.1")</f>
        <v>BAJ05029.1</v>
      </c>
      <c r="C986">
        <v>604</v>
      </c>
      <c r="D986" t="str">
        <f>HYPERLINK("http://www.ncbi.nlm.nih.gov/Taxonomy/Browser/wwwtax.cgi?mode=Info&amp;id=8296&amp;lvl=3&amp;lin=f&amp;keep=1&amp;srchmode=1&amp;unlock","8296")</f>
        <v>8296</v>
      </c>
      <c r="E986" t="s">
        <v>134</v>
      </c>
      <c r="F986" t="s">
        <v>134</v>
      </c>
      <c r="G986" t="str">
        <f>HYPERLINK("http://www.ncbi.nlm.nih.gov/Taxonomy/Browser/wwwtax.cgi?mode=Info&amp;id=8296&amp;lvl=3&amp;lin=f&amp;keep=1&amp;srchmode=1&amp;unlock","Ambystoma mexicanum")</f>
        <v>Ambystoma mexicanum</v>
      </c>
      <c r="H986" t="s">
        <v>391</v>
      </c>
      <c r="I986" t="str">
        <f>HYPERLINK("http://www.ncbi.nlm.nih.gov/protein/BAJ05029.1","estrogen receptor alpha")</f>
        <v>estrogen receptor alpha</v>
      </c>
      <c r="J986" t="s">
        <v>1261</v>
      </c>
      <c r="K986">
        <v>78.95</v>
      </c>
      <c r="L986" t="s">
        <v>25</v>
      </c>
      <c r="M986">
        <v>157</v>
      </c>
      <c r="N986">
        <v>62.55</v>
      </c>
      <c r="O986">
        <v>15.35</v>
      </c>
      <c r="P986" t="s">
        <v>20</v>
      </c>
      <c r="Q986" t="s">
        <v>1262</v>
      </c>
      <c r="R986" t="s">
        <v>20</v>
      </c>
      <c r="S986" t="str">
        <f>HYPERLINK("https://cfpub.epa.gov/ecotox/explore.cfm?ncbi=8296","Explore in ECOTOX")</f>
        <v>Explore in ECOTOX</v>
      </c>
    </row>
    <row r="987" spans="1:19" x14ac:dyDescent="0.25">
      <c r="A987">
        <v>6</v>
      </c>
      <c r="B987" t="str">
        <f>HYPERLINK("http://www.ncbi.nlm.nih.gov/protein/BAU36956.1","BAU36956.1")</f>
        <v>BAU36956.1</v>
      </c>
      <c r="C987">
        <v>37</v>
      </c>
      <c r="D987" t="str">
        <f>HYPERLINK("http://www.ncbi.nlm.nih.gov/Taxonomy/Browser/wwwtax.cgi?mode=Info&amp;id=179887&amp;lvl=3&amp;lin=f&amp;keep=1&amp;srchmode=1&amp;unlock","179887")</f>
        <v>179887</v>
      </c>
      <c r="E987" t="s">
        <v>236</v>
      </c>
      <c r="F987" t="s">
        <v>236</v>
      </c>
      <c r="G987" t="str">
        <f>HYPERLINK("http://www.ncbi.nlm.nih.gov/Taxonomy/Browser/wwwtax.cgi?mode=Info&amp;id=179887&amp;lvl=3&amp;lin=f&amp;keep=1&amp;srchmode=1&amp;unlock","Bradypodion pumilum")</f>
        <v>Bradypodion pumilum</v>
      </c>
      <c r="H987" t="s">
        <v>677</v>
      </c>
      <c r="I987" t="str">
        <f>HYPERLINK("http://www.ncbi.nlm.nih.gov/protein/BAU36956.1","estrogen receptor alpha")</f>
        <v>estrogen receptor alpha</v>
      </c>
      <c r="J987" t="s">
        <v>1261</v>
      </c>
      <c r="K987">
        <v>78.95</v>
      </c>
      <c r="L987" t="s">
        <v>25</v>
      </c>
      <c r="M987">
        <v>157</v>
      </c>
      <c r="N987">
        <v>62.55</v>
      </c>
      <c r="O987">
        <v>15.35</v>
      </c>
      <c r="P987" t="s">
        <v>20</v>
      </c>
      <c r="Q987" t="s">
        <v>1262</v>
      </c>
      <c r="R987" t="s">
        <v>20</v>
      </c>
      <c r="S987" t="str">
        <f>HYPERLINK("https://cfpub.epa.gov/ecotox/explore.cfm?ncbi=179887","Explore in ECOTOX")</f>
        <v>Explore in ECOTOX</v>
      </c>
    </row>
    <row r="988" spans="1:19" x14ac:dyDescent="0.25">
      <c r="A988">
        <v>6</v>
      </c>
      <c r="B988" t="str">
        <f>HYPERLINK("http://www.ncbi.nlm.nih.gov/protein/APL97835.1","APL97835.1")</f>
        <v>APL97835.1</v>
      </c>
      <c r="C988">
        <v>506</v>
      </c>
      <c r="D988" t="str">
        <f>HYPERLINK("http://www.ncbi.nlm.nih.gov/Taxonomy/Browser/wwwtax.cgi?mode=Info&amp;id=10185&amp;lvl=3&amp;lin=f&amp;keep=1&amp;srchmode=1&amp;unlock","10185")</f>
        <v>10185</v>
      </c>
      <c r="E988" t="s">
        <v>18</v>
      </c>
      <c r="F988" t="s">
        <v>18</v>
      </c>
      <c r="G988" t="str">
        <f>HYPERLINK("http://www.ncbi.nlm.nih.gov/Taxonomy/Browser/wwwtax.cgi?mode=Info&amp;id=10185&amp;lvl=3&amp;lin=f&amp;keep=1&amp;srchmode=1&amp;unlock","Castor fiber")</f>
        <v>Castor fiber</v>
      </c>
      <c r="H988" t="s">
        <v>1099</v>
      </c>
      <c r="I988" t="str">
        <f>HYPERLINK("http://www.ncbi.nlm.nih.gov/protein/APL97835.1","estrogen receptor 1")</f>
        <v>estrogen receptor 1</v>
      </c>
      <c r="J988" t="s">
        <v>1261</v>
      </c>
      <c r="K988">
        <v>78.95</v>
      </c>
      <c r="L988" t="s">
        <v>25</v>
      </c>
      <c r="M988">
        <v>157</v>
      </c>
      <c r="N988">
        <v>62.55</v>
      </c>
      <c r="O988">
        <v>15.35</v>
      </c>
      <c r="P988" t="s">
        <v>20</v>
      </c>
      <c r="Q988" t="s">
        <v>1262</v>
      </c>
      <c r="R988" t="s">
        <v>20</v>
      </c>
      <c r="S988" t="str">
        <f>HYPERLINK("https://cfpub.epa.gov/ecotox/explore.cfm?ncbi=10185","Explore in ECOTOX")</f>
        <v>Explore in ECOTOX</v>
      </c>
    </row>
    <row r="989" spans="1:19" x14ac:dyDescent="0.25">
      <c r="A989">
        <v>6</v>
      </c>
      <c r="B989" t="str">
        <f>HYPERLINK("http://www.ncbi.nlm.nih.gov/protein/CAD32175.1","CAD32175.1")</f>
        <v>CAD32175.1</v>
      </c>
      <c r="C989">
        <v>70</v>
      </c>
      <c r="D989" t="str">
        <f>HYPERLINK("http://www.ncbi.nlm.nih.gov/Taxonomy/Browser/wwwtax.cgi?mode=Info&amp;id=160765&amp;lvl=3&amp;lin=f&amp;keep=1&amp;srchmode=1&amp;unlock","160765")</f>
        <v>160765</v>
      </c>
      <c r="E989" t="s">
        <v>384</v>
      </c>
      <c r="F989" t="s">
        <v>384</v>
      </c>
      <c r="G989" t="str">
        <f>HYPERLINK("http://www.ncbi.nlm.nih.gov/Taxonomy/Browser/wwwtax.cgi?mode=Info&amp;id=160765&amp;lvl=3&amp;lin=f&amp;keep=1&amp;srchmode=1&amp;unlock","Candidia barbata")</f>
        <v>Candidia barbata</v>
      </c>
      <c r="H989" t="s">
        <v>1104</v>
      </c>
      <c r="I989" t="str">
        <f>HYPERLINK("http://www.ncbi.nlm.nih.gov/protein/CAD32175.1","putative estrogen receptor alpha")</f>
        <v>putative estrogen receptor alpha</v>
      </c>
      <c r="J989" t="s">
        <v>1261</v>
      </c>
      <c r="K989">
        <v>78.95</v>
      </c>
      <c r="L989" t="s">
        <v>25</v>
      </c>
      <c r="M989">
        <v>157</v>
      </c>
      <c r="N989">
        <v>62.55</v>
      </c>
      <c r="O989">
        <v>15.35</v>
      </c>
      <c r="P989" t="s">
        <v>20</v>
      </c>
      <c r="Q989" t="s">
        <v>1262</v>
      </c>
      <c r="R989" t="s">
        <v>20</v>
      </c>
      <c r="S989" t="str">
        <f>HYPERLINK("https://cfpub.epa.gov/ecotox/explore.cfm?ncbi=160765","Explore in ECOTOX")</f>
        <v>Explore in ECOTOX</v>
      </c>
    </row>
    <row r="990" spans="1:19" x14ac:dyDescent="0.25">
      <c r="A990">
        <v>6</v>
      </c>
      <c r="B990" t="str">
        <f>HYPERLINK("http://www.ncbi.nlm.nih.gov/protein/XP_011352622.1","XP_011352622.1")</f>
        <v>XP_011352622.1</v>
      </c>
      <c r="C990">
        <v>53814</v>
      </c>
      <c r="D990" t="str">
        <f>HYPERLINK("http://www.ncbi.nlm.nih.gov/Taxonomy/Browser/wwwtax.cgi?mode=Info&amp;id=2015173&amp;lvl=3&amp;lin=f&amp;keep=1&amp;srchmode=1&amp;unlock","2015173")</f>
        <v>2015173</v>
      </c>
      <c r="E990" t="s">
        <v>698</v>
      </c>
      <c r="F990" t="s">
        <v>698</v>
      </c>
      <c r="G990" t="str">
        <f>HYPERLINK("http://www.ncbi.nlm.nih.gov/Taxonomy/Browser/wwwtax.cgi?mode=Info&amp;id=2015173&amp;lvl=3&amp;lin=f&amp;keep=1&amp;srchmode=1&amp;unlock","Ooceraea biroi")</f>
        <v>Ooceraea biroi</v>
      </c>
      <c r="H990" t="s">
        <v>813</v>
      </c>
      <c r="I990" t="str">
        <f>HYPERLINK("http://www.ncbi.nlm.nih.gov/protein/XP_011352622.1","steroid hormone receptor ERR2 isoform X10")</f>
        <v>steroid hormone receptor ERR2 isoform X10</v>
      </c>
      <c r="J990" t="s">
        <v>1261</v>
      </c>
      <c r="K990">
        <v>78.95</v>
      </c>
      <c r="L990" t="s">
        <v>25</v>
      </c>
      <c r="M990">
        <v>157</v>
      </c>
      <c r="N990">
        <v>62.55</v>
      </c>
      <c r="O990">
        <v>15.35</v>
      </c>
      <c r="P990" t="s">
        <v>25</v>
      </c>
      <c r="Q990" t="s">
        <v>1262</v>
      </c>
      <c r="R990" t="s">
        <v>20</v>
      </c>
      <c r="S990" t="str">
        <f>HYPERLINK("https://cfpub.epa.gov/ecotox/explore.cfm?ncbi=2015173","Explore in ECOTOX")</f>
        <v>Explore in ECOTOX</v>
      </c>
    </row>
    <row r="991" spans="1:19" x14ac:dyDescent="0.25">
      <c r="A991">
        <v>6</v>
      </c>
      <c r="B991" t="str">
        <f>HYPERLINK("http://www.ncbi.nlm.nih.gov/protein/XP_012257458.1","XP_012257458.1")</f>
        <v>XP_012257458.1</v>
      </c>
      <c r="C991">
        <v>22153</v>
      </c>
      <c r="D991" t="str">
        <f>HYPERLINK("http://www.ncbi.nlm.nih.gov/Taxonomy/Browser/wwwtax.cgi?mode=Info&amp;id=37344&amp;lvl=3&amp;lin=f&amp;keep=1&amp;srchmode=1&amp;unlock","37344")</f>
        <v>37344</v>
      </c>
      <c r="E991" t="s">
        <v>698</v>
      </c>
      <c r="F991" t="s">
        <v>698</v>
      </c>
      <c r="G991" t="str">
        <f>HYPERLINK("http://www.ncbi.nlm.nih.gov/Taxonomy/Browser/wwwtax.cgi?mode=Info&amp;id=37344&amp;lvl=3&amp;lin=f&amp;keep=1&amp;srchmode=1&amp;unlock","Athalia rosae")</f>
        <v>Athalia rosae</v>
      </c>
      <c r="H991" t="s">
        <v>735</v>
      </c>
      <c r="I991" t="str">
        <f>HYPERLINK("http://www.ncbi.nlm.nih.gov/protein/XP_012257458.1","steroid hormone receptor ERR2 isoform X5")</f>
        <v>steroid hormone receptor ERR2 isoform X5</v>
      </c>
      <c r="J991" t="s">
        <v>1261</v>
      </c>
      <c r="K991">
        <v>78.95</v>
      </c>
      <c r="L991" t="s">
        <v>25</v>
      </c>
      <c r="M991">
        <v>157</v>
      </c>
      <c r="N991">
        <v>62.55</v>
      </c>
      <c r="O991">
        <v>15.35</v>
      </c>
      <c r="P991" t="s">
        <v>25</v>
      </c>
      <c r="Q991" t="s">
        <v>1262</v>
      </c>
      <c r="R991" t="s">
        <v>20</v>
      </c>
      <c r="S991" t="str">
        <f>HYPERLINK("https://cfpub.epa.gov/ecotox/explore.cfm?ncbi=37344","Explore in ECOTOX")</f>
        <v>Explore in ECOTOX</v>
      </c>
    </row>
    <row r="992" spans="1:19" x14ac:dyDescent="0.25">
      <c r="A992">
        <v>6</v>
      </c>
      <c r="B992" t="str">
        <f>HYPERLINK("http://www.ncbi.nlm.nih.gov/protein/XP_014467184.1","XP_014467184.1")</f>
        <v>XP_014467184.1</v>
      </c>
      <c r="C992">
        <v>22424</v>
      </c>
      <c r="D992" t="str">
        <f>HYPERLINK("http://www.ncbi.nlm.nih.gov/Taxonomy/Browser/wwwtax.cgi?mode=Info&amp;id=609295&amp;lvl=3&amp;lin=f&amp;keep=1&amp;srchmode=1&amp;unlock","609295")</f>
        <v>609295</v>
      </c>
      <c r="E992" t="s">
        <v>698</v>
      </c>
      <c r="F992" t="s">
        <v>698</v>
      </c>
      <c r="G992" t="str">
        <f>HYPERLINK("http://www.ncbi.nlm.nih.gov/Taxonomy/Browser/wwwtax.cgi?mode=Info&amp;id=609295&amp;lvl=3&amp;lin=f&amp;keep=1&amp;srchmode=1&amp;unlock","Dinoponera quadriceps")</f>
        <v>Dinoponera quadriceps</v>
      </c>
      <c r="H992" t="s">
        <v>755</v>
      </c>
      <c r="I992" t="str">
        <f>HYPERLINK("http://www.ncbi.nlm.nih.gov/protein/XP_014467184.1","PREDICTED: steroid hormone receptor ERR2 isoform X2")</f>
        <v>PREDICTED: steroid hormone receptor ERR2 isoform X2</v>
      </c>
      <c r="J992" t="s">
        <v>1261</v>
      </c>
      <c r="K992">
        <v>78.95</v>
      </c>
      <c r="L992" t="s">
        <v>25</v>
      </c>
      <c r="M992">
        <v>157</v>
      </c>
      <c r="N992">
        <v>62.55</v>
      </c>
      <c r="O992">
        <v>15.35</v>
      </c>
      <c r="P992" t="s">
        <v>25</v>
      </c>
      <c r="Q992" t="s">
        <v>1262</v>
      </c>
      <c r="R992" t="s">
        <v>20</v>
      </c>
      <c r="S992" t="str">
        <f>HYPERLINK("https://cfpub.epa.gov/ecotox/explore.cfm?ncbi=609295","Explore in ECOTOX")</f>
        <v>Explore in ECOTOX</v>
      </c>
    </row>
    <row r="993" spans="1:19" x14ac:dyDescent="0.25">
      <c r="A993">
        <v>6</v>
      </c>
      <c r="B993" t="str">
        <f>HYPERLINK("http://www.ncbi.nlm.nih.gov/protein/XP_011496296.1","XP_011496296.1")</f>
        <v>XP_011496296.1</v>
      </c>
      <c r="C993">
        <v>12848</v>
      </c>
      <c r="D993" t="str">
        <f>HYPERLINK("http://www.ncbi.nlm.nih.gov/Taxonomy/Browser/wwwtax.cgi?mode=Info&amp;id=326594&amp;lvl=3&amp;lin=f&amp;keep=1&amp;srchmode=1&amp;unlock","326594")</f>
        <v>326594</v>
      </c>
      <c r="E993" t="s">
        <v>698</v>
      </c>
      <c r="F993" t="s">
        <v>698</v>
      </c>
      <c r="G993" t="str">
        <f>HYPERLINK("http://www.ncbi.nlm.nih.gov/Taxonomy/Browser/wwwtax.cgi?mode=Info&amp;id=326594&amp;lvl=3&amp;lin=f&amp;keep=1&amp;srchmode=1&amp;unlock","Ceratosolen solmsi marchali")</f>
        <v>Ceratosolen solmsi marchali</v>
      </c>
      <c r="H993" t="s">
        <v>825</v>
      </c>
      <c r="I993" t="str">
        <f>HYPERLINK("http://www.ncbi.nlm.nih.gov/protein/XP_011496296.1","PREDICTED: steroid hormone receptor ERR2 isoform X2")</f>
        <v>PREDICTED: steroid hormone receptor ERR2 isoform X2</v>
      </c>
      <c r="J993" t="s">
        <v>1261</v>
      </c>
      <c r="K993">
        <v>78.95</v>
      </c>
      <c r="L993" t="s">
        <v>25</v>
      </c>
      <c r="M993">
        <v>157</v>
      </c>
      <c r="N993">
        <v>62.55</v>
      </c>
      <c r="O993">
        <v>15.35</v>
      </c>
      <c r="P993" t="s">
        <v>25</v>
      </c>
      <c r="Q993" t="s">
        <v>1262</v>
      </c>
      <c r="R993" t="s">
        <v>20</v>
      </c>
      <c r="S993" t="str">
        <f>HYPERLINK("https://cfpub.epa.gov/ecotox/explore.cfm?ncbi=326594","Explore in ECOTOX")</f>
        <v>Explore in ECOTOX</v>
      </c>
    </row>
    <row r="994" spans="1:19" x14ac:dyDescent="0.25">
      <c r="A994">
        <v>6</v>
      </c>
      <c r="B994" t="str">
        <f>HYPERLINK("http://www.ncbi.nlm.nih.gov/protein/AEY83591.1","AEY83591.1")</f>
        <v>AEY83591.1</v>
      </c>
      <c r="C994">
        <v>96</v>
      </c>
      <c r="D994" t="str">
        <f>HYPERLINK("http://www.ncbi.nlm.nih.gov/Taxonomy/Browser/wwwtax.cgi?mode=Info&amp;id=9809&amp;lvl=3&amp;lin=f&amp;keep=1&amp;srchmode=1&amp;unlock","9809")</f>
        <v>9809</v>
      </c>
      <c r="E994" t="s">
        <v>18</v>
      </c>
      <c r="F994" t="s">
        <v>18</v>
      </c>
      <c r="G994" t="str">
        <f>HYPERLINK("http://www.ncbi.nlm.nih.gov/Taxonomy/Browser/wwwtax.cgi?mode=Info&amp;id=9809&amp;lvl=3&amp;lin=f&amp;keep=1&amp;srchmode=1&amp;unlock","Rhinoceros unicornis")</f>
        <v>Rhinoceros unicornis</v>
      </c>
      <c r="H994" t="s">
        <v>1086</v>
      </c>
      <c r="I994" t="str">
        <f>HYPERLINK("http://www.ncbi.nlm.nih.gov/protein/AEY83591.1","estrogen receptor alpha")</f>
        <v>estrogen receptor alpha</v>
      </c>
      <c r="J994" t="s">
        <v>1261</v>
      </c>
      <c r="K994">
        <v>78.569999999999993</v>
      </c>
      <c r="L994" t="s">
        <v>25</v>
      </c>
      <c r="M994">
        <v>157</v>
      </c>
      <c r="N994">
        <v>62.55</v>
      </c>
      <c r="O994">
        <v>15.28</v>
      </c>
      <c r="P994" t="s">
        <v>20</v>
      </c>
      <c r="Q994" t="s">
        <v>1262</v>
      </c>
      <c r="R994" t="s">
        <v>20</v>
      </c>
      <c r="S994" t="str">
        <f>HYPERLINK("https://cfpub.epa.gov/ecotox/explore.cfm?ncbi=9809","Explore in ECOTOX")</f>
        <v>Explore in ECOTOX</v>
      </c>
    </row>
    <row r="995" spans="1:19" x14ac:dyDescent="0.25">
      <c r="A995">
        <v>6</v>
      </c>
      <c r="B995" t="str">
        <f>HYPERLINK("http://www.ncbi.nlm.nih.gov/protein/XP_015120014.1","XP_015120014.1")</f>
        <v>XP_015120014.1</v>
      </c>
      <c r="C995">
        <v>19520</v>
      </c>
      <c r="D995" t="str">
        <f>HYPERLINK("http://www.ncbi.nlm.nih.gov/Taxonomy/Browser/wwwtax.cgi?mode=Info&amp;id=454923&amp;lvl=3&amp;lin=f&amp;keep=1&amp;srchmode=1&amp;unlock","454923")</f>
        <v>454923</v>
      </c>
      <c r="E995" t="s">
        <v>698</v>
      </c>
      <c r="F995" t="s">
        <v>698</v>
      </c>
      <c r="G995" t="str">
        <f>HYPERLINK("http://www.ncbi.nlm.nih.gov/Taxonomy/Browser/wwwtax.cgi?mode=Info&amp;id=454923&amp;lvl=3&amp;lin=f&amp;keep=1&amp;srchmode=1&amp;unlock","Diachasma alloeum")</f>
        <v>Diachasma alloeum</v>
      </c>
      <c r="H995" t="s">
        <v>755</v>
      </c>
      <c r="I995" t="str">
        <f>HYPERLINK("http://www.ncbi.nlm.nih.gov/protein/XP_015120014.1","steroid hormone receptor ERR1 isoform X5")</f>
        <v>steroid hormone receptor ERR1 isoform X5</v>
      </c>
      <c r="J995" t="s">
        <v>1261</v>
      </c>
      <c r="K995">
        <v>78.569999999999993</v>
      </c>
      <c r="L995" t="s">
        <v>25</v>
      </c>
      <c r="M995">
        <v>157</v>
      </c>
      <c r="N995">
        <v>62.55</v>
      </c>
      <c r="O995">
        <v>15.28</v>
      </c>
      <c r="P995" t="s">
        <v>25</v>
      </c>
      <c r="Q995" t="s">
        <v>1262</v>
      </c>
      <c r="R995" t="s">
        <v>20</v>
      </c>
      <c r="S995" t="str">
        <f>HYPERLINK("https://cfpub.epa.gov/ecotox/explore.cfm?ncbi=454923","Explore in ECOTOX")</f>
        <v>Explore in ECOTOX</v>
      </c>
    </row>
    <row r="996" spans="1:19" x14ac:dyDescent="0.25">
      <c r="A996">
        <v>6</v>
      </c>
      <c r="B996" t="str">
        <f>HYPERLINK("http://www.ncbi.nlm.nih.gov/protein/XP_003743687.1","XP_003743687.1")</f>
        <v>XP_003743687.1</v>
      </c>
      <c r="C996">
        <v>11978</v>
      </c>
      <c r="D996" t="str">
        <f>HYPERLINK("http://www.ncbi.nlm.nih.gov/Taxonomy/Browser/wwwtax.cgi?mode=Info&amp;id=34638&amp;lvl=3&amp;lin=f&amp;keep=1&amp;srchmode=1&amp;unlock","34638")</f>
        <v>34638</v>
      </c>
      <c r="E996" t="s">
        <v>700</v>
      </c>
      <c r="F996" t="s">
        <v>700</v>
      </c>
      <c r="G996" t="str">
        <f>HYPERLINK("http://www.ncbi.nlm.nih.gov/Taxonomy/Browser/wwwtax.cgi?mode=Info&amp;id=34638&amp;lvl=3&amp;lin=f&amp;keep=1&amp;srchmode=1&amp;unlock","Galendromus occidentalis")</f>
        <v>Galendromus occidentalis</v>
      </c>
      <c r="H996" t="s">
        <v>1125</v>
      </c>
      <c r="I996" t="str">
        <f>HYPERLINK("http://www.ncbi.nlm.nih.gov/protein/XP_003743687.1","steroid hormone receptor ERR1")</f>
        <v>steroid hormone receptor ERR1</v>
      </c>
      <c r="J996" t="s">
        <v>1261</v>
      </c>
      <c r="K996">
        <v>78.180000000000007</v>
      </c>
      <c r="L996" t="s">
        <v>25</v>
      </c>
      <c r="M996">
        <v>157</v>
      </c>
      <c r="N996">
        <v>62.55</v>
      </c>
      <c r="O996">
        <v>15.2</v>
      </c>
      <c r="P996" t="s">
        <v>25</v>
      </c>
      <c r="Q996" t="s">
        <v>1262</v>
      </c>
      <c r="R996" t="s">
        <v>20</v>
      </c>
      <c r="S996" t="str">
        <f>HYPERLINK("https://cfpub.epa.gov/ecotox/explore.cfm?ncbi=34638","Explore in ECOTOX")</f>
        <v>Explore in ECOTOX</v>
      </c>
    </row>
    <row r="997" spans="1:19" x14ac:dyDescent="0.25">
      <c r="A997">
        <v>6</v>
      </c>
      <c r="B997" t="str">
        <f>HYPERLINK("http://www.ncbi.nlm.nih.gov/protein/QIL68862.1","QIL68862.1")</f>
        <v>QIL68862.1</v>
      </c>
      <c r="C997">
        <v>176</v>
      </c>
      <c r="D997" t="str">
        <f>HYPERLINK("http://www.ncbi.nlm.nih.gov/Taxonomy/Browser/wwwtax.cgi?mode=Info&amp;id=392227&amp;lvl=3&amp;lin=f&amp;keep=1&amp;srchmode=1&amp;unlock","392227")</f>
        <v>392227</v>
      </c>
      <c r="E997" t="s">
        <v>742</v>
      </c>
      <c r="F997" t="s">
        <v>742</v>
      </c>
      <c r="G997" t="str">
        <f>HYPERLINK("http://www.ncbi.nlm.nih.gov/Taxonomy/Browser/wwwtax.cgi?mode=Info&amp;id=392227&amp;lvl=3&amp;lin=f&amp;keep=1&amp;srchmode=1&amp;unlock","Palaemon carinicauda")</f>
        <v>Palaemon carinicauda</v>
      </c>
      <c r="H997" t="s">
        <v>820</v>
      </c>
      <c r="I997" t="str">
        <f>HYPERLINK("http://www.ncbi.nlm.nih.gov/protein/QIL68862.1","estrogen-related receptor")</f>
        <v>estrogen-related receptor</v>
      </c>
      <c r="J997" t="s">
        <v>1261</v>
      </c>
      <c r="K997">
        <v>78.180000000000007</v>
      </c>
      <c r="L997" t="s">
        <v>25</v>
      </c>
      <c r="M997">
        <v>157</v>
      </c>
      <c r="N997">
        <v>62.55</v>
      </c>
      <c r="O997">
        <v>15.2</v>
      </c>
      <c r="P997" t="s">
        <v>25</v>
      </c>
      <c r="Q997" t="s">
        <v>1262</v>
      </c>
      <c r="R997" t="s">
        <v>20</v>
      </c>
      <c r="S997" t="str">
        <f>HYPERLINK("https://cfpub.epa.gov/ecotox/explore.cfm?ncbi=392227","Explore in ECOTOX")</f>
        <v>Explore in ECOTOX</v>
      </c>
    </row>
    <row r="998" spans="1:19" x14ac:dyDescent="0.25">
      <c r="A998">
        <v>6</v>
      </c>
      <c r="B998" t="str">
        <f>HYPERLINK("http://www.ncbi.nlm.nih.gov/protein/XP_036151348.1","XP_036151348.1")</f>
        <v>XP_036151348.1</v>
      </c>
      <c r="C998">
        <v>29219</v>
      </c>
      <c r="D998" t="str">
        <f>HYPERLINK("http://www.ncbi.nlm.nih.gov/Taxonomy/Browser/wwwtax.cgi?mode=Info&amp;id=307658&amp;lvl=3&amp;lin=f&amp;keep=1&amp;srchmode=1&amp;unlock","307658")</f>
        <v>307658</v>
      </c>
      <c r="E998" t="s">
        <v>698</v>
      </c>
      <c r="F998" t="s">
        <v>698</v>
      </c>
      <c r="G998" t="str">
        <f>HYPERLINK("http://www.ncbi.nlm.nih.gov/Taxonomy/Browser/wwwtax.cgi?mode=Info&amp;id=307658&amp;lvl=3&amp;lin=f&amp;keep=1&amp;srchmode=1&amp;unlock","Monomorium pharaonis")</f>
        <v>Monomorium pharaonis</v>
      </c>
      <c r="H998" t="s">
        <v>1129</v>
      </c>
      <c r="I998" t="str">
        <f>HYPERLINK("http://www.ncbi.nlm.nih.gov/protein/XP_036151348.1","steroid hormone receptor ERR2 isoform X7")</f>
        <v>steroid hormone receptor ERR2 isoform X7</v>
      </c>
      <c r="J998" t="s">
        <v>1261</v>
      </c>
      <c r="K998">
        <v>78.180000000000007</v>
      </c>
      <c r="L998" t="s">
        <v>25</v>
      </c>
      <c r="M998">
        <v>157</v>
      </c>
      <c r="N998">
        <v>62.55</v>
      </c>
      <c r="O998">
        <v>15.2</v>
      </c>
      <c r="P998" t="s">
        <v>25</v>
      </c>
      <c r="Q998" t="s">
        <v>1262</v>
      </c>
      <c r="R998" t="s">
        <v>20</v>
      </c>
      <c r="S998" t="str">
        <f>HYPERLINK("https://cfpub.epa.gov/ecotox/explore.cfm?ncbi=307658","Explore in ECOTOX")</f>
        <v>Explore in ECOTOX</v>
      </c>
    </row>
    <row r="999" spans="1:19" x14ac:dyDescent="0.25">
      <c r="A999">
        <v>6</v>
      </c>
      <c r="B999" t="str">
        <f>HYPERLINK("http://www.ncbi.nlm.nih.gov/protein/ABS87677.1","ABS87677.1")</f>
        <v>ABS87677.1</v>
      </c>
      <c r="C999">
        <v>355</v>
      </c>
      <c r="D999" t="str">
        <f>HYPERLINK("http://www.ncbi.nlm.nih.gov/Taxonomy/Browser/wwwtax.cgi?mode=Info&amp;id=38762&amp;lvl=3&amp;lin=f&amp;keep=1&amp;srchmode=1&amp;unlock","38762")</f>
        <v>38762</v>
      </c>
      <c r="E999" t="s">
        <v>384</v>
      </c>
      <c r="F999" t="s">
        <v>384</v>
      </c>
      <c r="G999" t="str">
        <f>HYPERLINK("http://www.ncbi.nlm.nih.gov/Taxonomy/Browser/wwwtax.cgi?mode=Info&amp;id=38762&amp;lvl=3&amp;lin=f&amp;keep=1&amp;srchmode=1&amp;unlock","Tanichthys albonubes")</f>
        <v>Tanichthys albonubes</v>
      </c>
      <c r="H999" t="s">
        <v>1106</v>
      </c>
      <c r="I999" t="str">
        <f>HYPERLINK("http://www.ncbi.nlm.nih.gov/protein/ABS87677.1","estrogen receptor alpha")</f>
        <v>estrogen receptor alpha</v>
      </c>
      <c r="J999" t="s">
        <v>1261</v>
      </c>
      <c r="K999">
        <v>77.8</v>
      </c>
      <c r="L999" t="s">
        <v>25</v>
      </c>
      <c r="M999">
        <v>157</v>
      </c>
      <c r="N999">
        <v>62.55</v>
      </c>
      <c r="O999">
        <v>15.13</v>
      </c>
      <c r="P999" t="s">
        <v>20</v>
      </c>
      <c r="Q999" t="s">
        <v>1262</v>
      </c>
      <c r="R999" t="s">
        <v>20</v>
      </c>
      <c r="S999" t="str">
        <f>HYPERLINK("https://cfpub.epa.gov/ecotox/explore.cfm?ncbi=38762","Explore in ECOTOX")</f>
        <v>Explore in ECOTOX</v>
      </c>
    </row>
    <row r="1000" spans="1:19" x14ac:dyDescent="0.25">
      <c r="A1000">
        <v>6</v>
      </c>
      <c r="B1000" t="str">
        <f>HYPERLINK("http://www.ncbi.nlm.nih.gov/protein/AEB71792.1","AEB71792.1")</f>
        <v>AEB71792.1</v>
      </c>
      <c r="C1000">
        <v>56</v>
      </c>
      <c r="D1000" t="str">
        <f>HYPERLINK("http://www.ncbi.nlm.nih.gov/Taxonomy/Browser/wwwtax.cgi?mode=Info&amp;id=80790&amp;lvl=3&amp;lin=f&amp;keep=1&amp;srchmode=1&amp;unlock","80790")</f>
        <v>80790</v>
      </c>
      <c r="E1000" t="s">
        <v>384</v>
      </c>
      <c r="F1000" t="s">
        <v>384</v>
      </c>
      <c r="G1000" t="str">
        <f>HYPERLINK("http://www.ncbi.nlm.nih.gov/Taxonomy/Browser/wwwtax.cgi?mode=Info&amp;id=80790&amp;lvl=3&amp;lin=f&amp;keep=1&amp;srchmode=1&amp;unlock","Acheilognathus yamatsutae")</f>
        <v>Acheilognathus yamatsutae</v>
      </c>
      <c r="H1000" t="s">
        <v>1111</v>
      </c>
      <c r="I1000" t="str">
        <f>HYPERLINK("http://www.ncbi.nlm.nih.gov/protein/AEB71792.1","estrogen receptor alpha")</f>
        <v>estrogen receptor alpha</v>
      </c>
      <c r="J1000" t="s">
        <v>1261</v>
      </c>
      <c r="K1000">
        <v>77.8</v>
      </c>
      <c r="L1000" t="s">
        <v>25</v>
      </c>
      <c r="M1000">
        <v>157</v>
      </c>
      <c r="N1000">
        <v>62.55</v>
      </c>
      <c r="O1000">
        <v>15.13</v>
      </c>
      <c r="P1000" t="s">
        <v>20</v>
      </c>
      <c r="Q1000" t="s">
        <v>1262</v>
      </c>
      <c r="R1000" t="s">
        <v>20</v>
      </c>
      <c r="S1000" t="str">
        <f>HYPERLINK("https://cfpub.epa.gov/ecotox/explore.cfm?ncbi=80790","Explore in ECOTOX")</f>
        <v>Explore in ECOTOX</v>
      </c>
    </row>
    <row r="1001" spans="1:19" x14ac:dyDescent="0.25">
      <c r="A1001">
        <v>6</v>
      </c>
      <c r="B1001" t="str">
        <f>HYPERLINK("http://www.ncbi.nlm.nih.gov/protein/BAU36958.1","BAU36958.1")</f>
        <v>BAU36958.1</v>
      </c>
      <c r="C1001">
        <v>73</v>
      </c>
      <c r="D1001" t="str">
        <f>HYPERLINK("http://www.ncbi.nlm.nih.gov/Taxonomy/Browser/wwwtax.cgi?mode=Info&amp;id=1054201&amp;lvl=3&amp;lin=f&amp;keep=1&amp;srchmode=1&amp;unlock","1054201")</f>
        <v>1054201</v>
      </c>
      <c r="E1001" t="s">
        <v>236</v>
      </c>
      <c r="F1001" t="s">
        <v>236</v>
      </c>
      <c r="G1001" t="str">
        <f>HYPERLINK("http://www.ncbi.nlm.nih.gov/Taxonomy/Browser/wwwtax.cgi?mode=Info&amp;id=1054201&amp;lvl=3&amp;lin=f&amp;keep=1&amp;srchmode=1&amp;unlock","Plestiodon finitimus")</f>
        <v>Plestiodon finitimus</v>
      </c>
      <c r="H1001" t="s">
        <v>1110</v>
      </c>
      <c r="I1001" t="str">
        <f>HYPERLINK("http://www.ncbi.nlm.nih.gov/protein/BAU36958.1","estrogen receptor alpha")</f>
        <v>estrogen receptor alpha</v>
      </c>
      <c r="J1001" t="s">
        <v>1261</v>
      </c>
      <c r="K1001">
        <v>77.8</v>
      </c>
      <c r="L1001" t="s">
        <v>25</v>
      </c>
      <c r="M1001">
        <v>157</v>
      </c>
      <c r="N1001">
        <v>62.55</v>
      </c>
      <c r="O1001">
        <v>15.13</v>
      </c>
      <c r="P1001" t="s">
        <v>20</v>
      </c>
      <c r="Q1001" t="s">
        <v>1262</v>
      </c>
      <c r="R1001" t="s">
        <v>20</v>
      </c>
      <c r="S1001" t="str">
        <f>HYPERLINK("https://cfpub.epa.gov/ecotox/explore.cfm?ncbi=1054201","Explore in ECOTOX")</f>
        <v>Explore in ECOTOX</v>
      </c>
    </row>
    <row r="1002" spans="1:19" x14ac:dyDescent="0.25">
      <c r="A1002">
        <v>6</v>
      </c>
      <c r="B1002" t="str">
        <f>HYPERLINK("http://www.ncbi.nlm.nih.gov/protein/XP_029847411.2","XP_029847411.2")</f>
        <v>XP_029847411.2</v>
      </c>
      <c r="C1002">
        <v>57720</v>
      </c>
      <c r="D1002" t="str">
        <f>HYPERLINK("http://www.ncbi.nlm.nih.gov/Taxonomy/Browser/wwwtax.cgi?mode=Info&amp;id=6945&amp;lvl=3&amp;lin=f&amp;keep=1&amp;srchmode=1&amp;unlock","6945")</f>
        <v>6945</v>
      </c>
      <c r="E1002" t="s">
        <v>700</v>
      </c>
      <c r="F1002" t="s">
        <v>700</v>
      </c>
      <c r="G1002" t="str">
        <f>HYPERLINK("http://www.ncbi.nlm.nih.gov/Taxonomy/Browser/wwwtax.cgi?mode=Info&amp;id=6945&amp;lvl=3&amp;lin=f&amp;keep=1&amp;srchmode=1&amp;unlock","Ixodes scapularis")</f>
        <v>Ixodes scapularis</v>
      </c>
      <c r="H1002" t="s">
        <v>953</v>
      </c>
      <c r="I1002" t="str">
        <f>HYPERLINK("http://www.ncbi.nlm.nih.gov/protein/XP_029847411.2","steroid hormone receptor ERR1 isoform X1")</f>
        <v>steroid hormone receptor ERR1 isoform X1</v>
      </c>
      <c r="J1002" t="s">
        <v>1261</v>
      </c>
      <c r="K1002">
        <v>77.8</v>
      </c>
      <c r="L1002" t="s">
        <v>25</v>
      </c>
      <c r="M1002">
        <v>157</v>
      </c>
      <c r="N1002">
        <v>62.55</v>
      </c>
      <c r="O1002">
        <v>15.13</v>
      </c>
      <c r="P1002" t="s">
        <v>25</v>
      </c>
      <c r="Q1002" t="s">
        <v>1262</v>
      </c>
      <c r="R1002" t="s">
        <v>20</v>
      </c>
      <c r="S1002" t="str">
        <f>HYPERLINK("https://cfpub.epa.gov/ecotox/explore.cfm?ncbi=6945","Explore in ECOTOX")</f>
        <v>Explore in ECOTOX</v>
      </c>
    </row>
    <row r="1003" spans="1:19" x14ac:dyDescent="0.25">
      <c r="A1003">
        <v>6</v>
      </c>
      <c r="B1003" t="str">
        <f>HYPERLINK("http://www.ncbi.nlm.nih.gov/protein/XP_015925326.1","XP_015925326.1")</f>
        <v>XP_015925326.1</v>
      </c>
      <c r="C1003">
        <v>27787</v>
      </c>
      <c r="D1003" t="str">
        <f>HYPERLINK("http://www.ncbi.nlm.nih.gov/Taxonomy/Browser/wwwtax.cgi?mode=Info&amp;id=114398&amp;lvl=3&amp;lin=f&amp;keep=1&amp;srchmode=1&amp;unlock","114398")</f>
        <v>114398</v>
      </c>
      <c r="E1003" t="s">
        <v>700</v>
      </c>
      <c r="F1003" t="s">
        <v>700</v>
      </c>
      <c r="G1003" t="str">
        <f>HYPERLINK("http://www.ncbi.nlm.nih.gov/Taxonomy/Browser/wwwtax.cgi?mode=Info&amp;id=114398&amp;lvl=3&amp;lin=f&amp;keep=1&amp;srchmode=1&amp;unlock","Parasteatoda tepidariorum")</f>
        <v>Parasteatoda tepidariorum</v>
      </c>
      <c r="H1003" t="s">
        <v>867</v>
      </c>
      <c r="I1003" t="str">
        <f>HYPERLINK("http://www.ncbi.nlm.nih.gov/protein/XP_015925326.1","estrogen-related receptor gamma isoform X2")</f>
        <v>estrogen-related receptor gamma isoform X2</v>
      </c>
      <c r="J1003" t="s">
        <v>1261</v>
      </c>
      <c r="K1003">
        <v>77.8</v>
      </c>
      <c r="L1003" t="s">
        <v>25</v>
      </c>
      <c r="M1003">
        <v>157</v>
      </c>
      <c r="N1003">
        <v>62.55</v>
      </c>
      <c r="O1003">
        <v>15.13</v>
      </c>
      <c r="P1003" t="s">
        <v>25</v>
      </c>
      <c r="Q1003" t="s">
        <v>1262</v>
      </c>
      <c r="R1003" t="s">
        <v>20</v>
      </c>
      <c r="S1003" t="str">
        <f>HYPERLINK("https://cfpub.epa.gov/ecotox/explore.cfm?ncbi=114398","Explore in ECOTOX")</f>
        <v>Explore in ECOTOX</v>
      </c>
    </row>
    <row r="1004" spans="1:19" x14ac:dyDescent="0.25">
      <c r="A1004">
        <v>6</v>
      </c>
      <c r="B1004" t="str">
        <f>HYPERLINK("http://www.ncbi.nlm.nih.gov/protein/XP_008549918.1","XP_008549918.1")</f>
        <v>XP_008549918.1</v>
      </c>
      <c r="C1004">
        <v>18603</v>
      </c>
      <c r="D1004" t="str">
        <f>HYPERLINK("http://www.ncbi.nlm.nih.gov/Taxonomy/Browser/wwwtax.cgi?mode=Info&amp;id=69319&amp;lvl=3&amp;lin=f&amp;keep=1&amp;srchmode=1&amp;unlock","69319")</f>
        <v>69319</v>
      </c>
      <c r="E1004" t="s">
        <v>698</v>
      </c>
      <c r="F1004" t="s">
        <v>698</v>
      </c>
      <c r="G1004" t="str">
        <f>HYPERLINK("http://www.ncbi.nlm.nih.gov/Taxonomy/Browser/wwwtax.cgi?mode=Info&amp;id=69319&amp;lvl=3&amp;lin=f&amp;keep=1&amp;srchmode=1&amp;unlock","Microplitis demolitor")</f>
        <v>Microplitis demolitor</v>
      </c>
      <c r="H1004" t="s">
        <v>755</v>
      </c>
      <c r="I1004" t="str">
        <f>HYPERLINK("http://www.ncbi.nlm.nih.gov/protein/XP_008549918.1","PREDICTED: steroid hormone receptor ERR1")</f>
        <v>PREDICTED: steroid hormone receptor ERR1</v>
      </c>
      <c r="J1004" t="s">
        <v>1261</v>
      </c>
      <c r="K1004">
        <v>77.41</v>
      </c>
      <c r="L1004" t="s">
        <v>25</v>
      </c>
      <c r="M1004">
        <v>157</v>
      </c>
      <c r="N1004">
        <v>62.55</v>
      </c>
      <c r="O1004">
        <v>15.05</v>
      </c>
      <c r="P1004" t="s">
        <v>25</v>
      </c>
      <c r="Q1004" t="s">
        <v>1262</v>
      </c>
      <c r="R1004" t="s">
        <v>20</v>
      </c>
      <c r="S1004" t="str">
        <f>HYPERLINK("https://cfpub.epa.gov/ecotox/explore.cfm?ncbi=69319","Explore in ECOTOX")</f>
        <v>Explore in ECOTOX</v>
      </c>
    </row>
    <row r="1005" spans="1:19" x14ac:dyDescent="0.25">
      <c r="A1005">
        <v>6</v>
      </c>
      <c r="B1005" t="str">
        <f>HYPERLINK("http://www.ncbi.nlm.nih.gov/protein/AGT02381.1","AGT02381.1")</f>
        <v>AGT02381.1</v>
      </c>
      <c r="C1005">
        <v>24</v>
      </c>
      <c r="D1005" t="str">
        <f>HYPERLINK("http://www.ncbi.nlm.nih.gov/Taxonomy/Browser/wwwtax.cgi?mode=Info&amp;id=386629&amp;lvl=3&amp;lin=f&amp;keep=1&amp;srchmode=1&amp;unlock","386629")</f>
        <v>386629</v>
      </c>
      <c r="E1005" t="s">
        <v>698</v>
      </c>
      <c r="F1005" t="s">
        <v>698</v>
      </c>
      <c r="G1005" t="str">
        <f>HYPERLINK("http://www.ncbi.nlm.nih.gov/Taxonomy/Browser/wwwtax.cgi?mode=Info&amp;id=386629&amp;lvl=3&amp;lin=f&amp;keep=1&amp;srchmode=1&amp;unlock","Omphisa fuscidentalis")</f>
        <v>Omphisa fuscidentalis</v>
      </c>
      <c r="H1005" t="s">
        <v>1161</v>
      </c>
      <c r="I1005" t="str">
        <f>HYPERLINK("http://www.ncbi.nlm.nih.gov/protein/AGT02381.1","ultraspiracle protein isoform 2")</f>
        <v>ultraspiracle protein isoform 2</v>
      </c>
      <c r="J1005" t="s">
        <v>1261</v>
      </c>
      <c r="K1005">
        <v>77.41</v>
      </c>
      <c r="L1005" t="s">
        <v>25</v>
      </c>
      <c r="M1005">
        <v>157</v>
      </c>
      <c r="N1005">
        <v>62.55</v>
      </c>
      <c r="O1005">
        <v>15.05</v>
      </c>
      <c r="P1005" t="s">
        <v>25</v>
      </c>
      <c r="Q1005" t="s">
        <v>1262</v>
      </c>
      <c r="R1005" t="s">
        <v>20</v>
      </c>
      <c r="S1005" t="str">
        <f>HYPERLINK("https://cfpub.epa.gov/ecotox/explore.cfm?ncbi=386629","Explore in ECOTOX")</f>
        <v>Explore in ECOTOX</v>
      </c>
    </row>
    <row r="1006" spans="1:19" x14ac:dyDescent="0.25">
      <c r="A1006">
        <v>6</v>
      </c>
      <c r="B1006" t="str">
        <f>HYPERLINK("http://www.ncbi.nlm.nih.gov/protein/AHM88214.1","AHM88214.1")</f>
        <v>AHM88214.1</v>
      </c>
      <c r="C1006">
        <v>1017</v>
      </c>
      <c r="D1006" t="str">
        <f>HYPERLINK("http://www.ncbi.nlm.nih.gov/Taxonomy/Browser/wwwtax.cgi?mode=Info&amp;id=30521&amp;lvl=3&amp;lin=f&amp;keep=1&amp;srchmode=1&amp;unlock","30521")</f>
        <v>30521</v>
      </c>
      <c r="E1006" t="s">
        <v>18</v>
      </c>
      <c r="F1006" t="s">
        <v>18</v>
      </c>
      <c r="G1006" t="str">
        <f>HYPERLINK("http://www.ncbi.nlm.nih.gov/Taxonomy/Browser/wwwtax.cgi?mode=Info&amp;id=30521&amp;lvl=3&amp;lin=f&amp;keep=1&amp;srchmode=1&amp;unlock","Bos grunniens")</f>
        <v>Bos grunniens</v>
      </c>
      <c r="H1006" t="s">
        <v>1103</v>
      </c>
      <c r="I1006" t="str">
        <f>HYPERLINK("http://www.ncbi.nlm.nih.gov/protein/AHM88214.1","estrogen receptor 1")</f>
        <v>estrogen receptor 1</v>
      </c>
      <c r="J1006" t="s">
        <v>1261</v>
      </c>
      <c r="K1006">
        <v>77.03</v>
      </c>
      <c r="L1006" t="s">
        <v>25</v>
      </c>
      <c r="M1006">
        <v>157</v>
      </c>
      <c r="N1006">
        <v>62.55</v>
      </c>
      <c r="O1006">
        <v>14.98</v>
      </c>
      <c r="P1006" t="s">
        <v>20</v>
      </c>
      <c r="Q1006" t="s">
        <v>1262</v>
      </c>
      <c r="R1006" t="s">
        <v>20</v>
      </c>
      <c r="S1006" t="str">
        <f>HYPERLINK("https://cfpub.epa.gov/ecotox/explore.cfm?ncbi=30521","Explore in ECOTOX")</f>
        <v>Explore in ECOTOX</v>
      </c>
    </row>
    <row r="1007" spans="1:19" x14ac:dyDescent="0.25">
      <c r="A1007">
        <v>6</v>
      </c>
      <c r="B1007" t="str">
        <f>HYPERLINK("http://www.ncbi.nlm.nih.gov/protein/AAK71317.1","AAK71317.1")</f>
        <v>AAK71317.1</v>
      </c>
      <c r="C1007">
        <v>172</v>
      </c>
      <c r="D1007" t="str">
        <f>HYPERLINK("http://www.ncbi.nlm.nih.gov/Taxonomy/Browser/wwwtax.cgi?mode=Info&amp;id=9540&amp;lvl=3&amp;lin=f&amp;keep=1&amp;srchmode=1&amp;unlock","9540")</f>
        <v>9540</v>
      </c>
      <c r="E1007" t="s">
        <v>18</v>
      </c>
      <c r="F1007" t="s">
        <v>18</v>
      </c>
      <c r="G1007" t="str">
        <f>HYPERLINK("http://www.ncbi.nlm.nih.gov/Taxonomy/Browser/wwwtax.cgi?mode=Info&amp;id=9540&amp;lvl=3&amp;lin=f&amp;keep=1&amp;srchmode=1&amp;unlock","Macaca arctoides")</f>
        <v>Macaca arctoides</v>
      </c>
      <c r="H1007" t="s">
        <v>1118</v>
      </c>
      <c r="I1007" t="str">
        <f>HYPERLINK("http://www.ncbi.nlm.nih.gov/protein/AAK71317.1","estrogen receptor beta 2")</f>
        <v>estrogen receptor beta 2</v>
      </c>
      <c r="J1007" t="s">
        <v>1261</v>
      </c>
      <c r="K1007">
        <v>77.03</v>
      </c>
      <c r="L1007" t="s">
        <v>25</v>
      </c>
      <c r="M1007">
        <v>157</v>
      </c>
      <c r="N1007">
        <v>62.55</v>
      </c>
      <c r="O1007">
        <v>14.98</v>
      </c>
      <c r="P1007" t="s">
        <v>20</v>
      </c>
      <c r="Q1007" t="s">
        <v>1262</v>
      </c>
      <c r="R1007" t="s">
        <v>20</v>
      </c>
      <c r="S1007" t="str">
        <f>HYPERLINK("https://cfpub.epa.gov/ecotox/explore.cfm?ncbi=9540","Explore in ECOTOX")</f>
        <v>Explore in ECOTOX</v>
      </c>
    </row>
    <row r="1008" spans="1:19" x14ac:dyDescent="0.25">
      <c r="A1008">
        <v>6</v>
      </c>
      <c r="B1008" t="str">
        <f>HYPERLINK("http://www.ncbi.nlm.nih.gov/protein/ADB43256.1","ADB43256.1")</f>
        <v>ADB43256.1</v>
      </c>
      <c r="C1008">
        <v>975</v>
      </c>
      <c r="D1008" t="str">
        <f>HYPERLINK("http://www.ncbi.nlm.nih.gov/Taxonomy/Browser/wwwtax.cgi?mode=Info&amp;id=85552&amp;lvl=3&amp;lin=f&amp;keep=1&amp;srchmode=1&amp;unlock","85552")</f>
        <v>85552</v>
      </c>
      <c r="E1008" t="s">
        <v>742</v>
      </c>
      <c r="F1008" t="s">
        <v>742</v>
      </c>
      <c r="G1008" t="str">
        <f>HYPERLINK("http://www.ncbi.nlm.nih.gov/Taxonomy/Browser/wwwtax.cgi?mode=Info&amp;id=85552&amp;lvl=3&amp;lin=f&amp;keep=1&amp;srchmode=1&amp;unlock","Scylla paramamosain")</f>
        <v>Scylla paramamosain</v>
      </c>
      <c r="H1008" t="s">
        <v>851</v>
      </c>
      <c r="I1008" t="str">
        <f>HYPERLINK("http://www.ncbi.nlm.nih.gov/protein/ADB43256.1","estrogen-related receptor")</f>
        <v>estrogen-related receptor</v>
      </c>
      <c r="J1008" t="s">
        <v>1261</v>
      </c>
      <c r="K1008">
        <v>77.03</v>
      </c>
      <c r="L1008" t="s">
        <v>25</v>
      </c>
      <c r="M1008">
        <v>157</v>
      </c>
      <c r="N1008">
        <v>62.55</v>
      </c>
      <c r="O1008">
        <v>14.98</v>
      </c>
      <c r="P1008" t="s">
        <v>25</v>
      </c>
      <c r="Q1008" t="s">
        <v>1262</v>
      </c>
      <c r="R1008" t="s">
        <v>20</v>
      </c>
      <c r="S1008" t="str">
        <f>HYPERLINK("https://cfpub.epa.gov/ecotox/explore.cfm?ncbi=85552","Explore in ECOTOX")</f>
        <v>Explore in ECOTOX</v>
      </c>
    </row>
    <row r="1009" spans="1:19" x14ac:dyDescent="0.25">
      <c r="A1009">
        <v>6</v>
      </c>
      <c r="B1009" t="str">
        <f>HYPERLINK("http://www.ncbi.nlm.nih.gov/protein/CAD7243309.1","CAD7243309.1")</f>
        <v>CAD7243309.1</v>
      </c>
      <c r="C1009">
        <v>15698</v>
      </c>
      <c r="D1009" t="str">
        <f>HYPERLINK("http://www.ncbi.nlm.nih.gov/Taxonomy/Browser/wwwtax.cgi?mode=Info&amp;id=69355&amp;lvl=3&amp;lin=f&amp;keep=1&amp;srchmode=1&amp;unlock","69355")</f>
        <v>69355</v>
      </c>
      <c r="E1009" t="s">
        <v>1131</v>
      </c>
      <c r="F1009" t="s">
        <v>1131</v>
      </c>
      <c r="G1009" t="str">
        <f>HYPERLINK("http://www.ncbi.nlm.nih.gov/Taxonomy/Browser/wwwtax.cgi?mode=Info&amp;id=69355&amp;lvl=3&amp;lin=f&amp;keep=1&amp;srchmode=1&amp;unlock","Darwinula stevensoni")</f>
        <v>Darwinula stevensoni</v>
      </c>
      <c r="H1009" t="s">
        <v>1132</v>
      </c>
      <c r="I1009" t="str">
        <f>HYPERLINK("http://www.ncbi.nlm.nih.gov/protein/CAD7243309.1","unnamed protein product, partial")</f>
        <v>unnamed protein product, partial</v>
      </c>
      <c r="J1009" t="s">
        <v>1261</v>
      </c>
      <c r="K1009">
        <v>77.03</v>
      </c>
      <c r="L1009" t="s">
        <v>25</v>
      </c>
      <c r="M1009">
        <v>157</v>
      </c>
      <c r="N1009">
        <v>62.55</v>
      </c>
      <c r="O1009">
        <v>14.98</v>
      </c>
      <c r="P1009" t="s">
        <v>25</v>
      </c>
      <c r="Q1009" t="s">
        <v>1262</v>
      </c>
      <c r="R1009" t="s">
        <v>20</v>
      </c>
      <c r="S1009" t="str">
        <f>HYPERLINK("https://cfpub.epa.gov/ecotox/explore.cfm?ncbi=69355","Explore in ECOTOX")</f>
        <v>Explore in ECOTOX</v>
      </c>
    </row>
    <row r="1010" spans="1:19" x14ac:dyDescent="0.25">
      <c r="A1010">
        <v>6</v>
      </c>
      <c r="B1010" t="str">
        <f>HYPERLINK("http://www.ncbi.nlm.nih.gov/protein/MPC32344.1","MPC32344.1")</f>
        <v>MPC32344.1</v>
      </c>
      <c r="C1010">
        <v>99936</v>
      </c>
      <c r="D1010" t="str">
        <f>HYPERLINK("http://www.ncbi.nlm.nih.gov/Taxonomy/Browser/wwwtax.cgi?mode=Info&amp;id=210409&amp;lvl=3&amp;lin=f&amp;keep=1&amp;srchmode=1&amp;unlock","210409")</f>
        <v>210409</v>
      </c>
      <c r="E1010" t="s">
        <v>742</v>
      </c>
      <c r="F1010" t="s">
        <v>742</v>
      </c>
      <c r="G1010" t="str">
        <f>HYPERLINK("http://www.ncbi.nlm.nih.gov/Taxonomy/Browser/wwwtax.cgi?mode=Info&amp;id=210409&amp;lvl=3&amp;lin=f&amp;keep=1&amp;srchmode=1&amp;unlock","Portunus trituberculatus")</f>
        <v>Portunus trituberculatus</v>
      </c>
      <c r="H1010" t="s">
        <v>859</v>
      </c>
      <c r="I1010" t="str">
        <f>HYPERLINK("http://www.ncbi.nlm.nih.gov/protein/MPC32344.1","Estrogen-related receptor gamma")</f>
        <v>Estrogen-related receptor gamma</v>
      </c>
      <c r="J1010" t="s">
        <v>1261</v>
      </c>
      <c r="K1010">
        <v>77.03</v>
      </c>
      <c r="L1010" t="s">
        <v>25</v>
      </c>
      <c r="M1010">
        <v>157</v>
      </c>
      <c r="N1010">
        <v>62.55</v>
      </c>
      <c r="O1010">
        <v>14.98</v>
      </c>
      <c r="P1010" t="s">
        <v>25</v>
      </c>
      <c r="Q1010" t="s">
        <v>1262</v>
      </c>
      <c r="R1010" t="s">
        <v>20</v>
      </c>
      <c r="S1010" t="str">
        <f>HYPERLINK("https://cfpub.epa.gov/ecotox/explore.cfm?ncbi=210409","Explore in ECOTOX")</f>
        <v>Explore in ECOTOX</v>
      </c>
    </row>
    <row r="1011" spans="1:19" x14ac:dyDescent="0.25">
      <c r="A1011">
        <v>6</v>
      </c>
      <c r="B1011" t="str">
        <f>HYPERLINK("http://www.ncbi.nlm.nih.gov/protein/BAJ05027.1","BAJ05027.1")</f>
        <v>BAJ05027.1</v>
      </c>
      <c r="C1011">
        <v>150</v>
      </c>
      <c r="D1011" t="str">
        <f>HYPERLINK("http://www.ncbi.nlm.nih.gov/Taxonomy/Browser/wwwtax.cgi?mode=Info&amp;id=324344&amp;lvl=3&amp;lin=f&amp;keep=1&amp;srchmode=1&amp;unlock","324344")</f>
        <v>324344</v>
      </c>
      <c r="E1011" t="s">
        <v>134</v>
      </c>
      <c r="F1011" t="s">
        <v>134</v>
      </c>
      <c r="G1011" t="str">
        <f>HYPERLINK("http://www.ncbi.nlm.nih.gov/Taxonomy/Browser/wwwtax.cgi?mode=Info&amp;id=324344&amp;lvl=3&amp;lin=f&amp;keep=1&amp;srchmode=1&amp;unlock","Hynobius tokyoensis")</f>
        <v>Hynobius tokyoensis</v>
      </c>
      <c r="H1011" t="s">
        <v>1089</v>
      </c>
      <c r="I1011" t="str">
        <f>HYPERLINK("http://www.ncbi.nlm.nih.gov/protein/BAJ05027.1","estrogen receptor alpha")</f>
        <v>estrogen receptor alpha</v>
      </c>
      <c r="J1011" t="s">
        <v>1261</v>
      </c>
      <c r="K1011">
        <v>76.64</v>
      </c>
      <c r="L1011" t="s">
        <v>25</v>
      </c>
      <c r="M1011">
        <v>157</v>
      </c>
      <c r="N1011">
        <v>62.55</v>
      </c>
      <c r="O1011">
        <v>14.9</v>
      </c>
      <c r="P1011" t="s">
        <v>20</v>
      </c>
      <c r="Q1011" t="s">
        <v>1262</v>
      </c>
      <c r="R1011" t="s">
        <v>20</v>
      </c>
      <c r="S1011" t="str">
        <f>HYPERLINK("https://cfpub.epa.gov/ecotox/explore.cfm?ncbi=324344","Explore in ECOTOX")</f>
        <v>Explore in ECOTOX</v>
      </c>
    </row>
    <row r="1012" spans="1:19" x14ac:dyDescent="0.25">
      <c r="A1012">
        <v>6</v>
      </c>
      <c r="B1012" t="str">
        <f>HYPERLINK("http://www.ncbi.nlm.nih.gov/protein/CAC5364525.1","CAC5364525.1")</f>
        <v>CAC5364525.1</v>
      </c>
      <c r="C1012">
        <v>64941</v>
      </c>
      <c r="D1012" t="str">
        <f>HYPERLINK("http://www.ncbi.nlm.nih.gov/Taxonomy/Browser/wwwtax.cgi?mode=Info&amp;id=42192&amp;lvl=3&amp;lin=f&amp;keep=1&amp;srchmode=1&amp;unlock","42192")</f>
        <v>42192</v>
      </c>
      <c r="E1012" t="s">
        <v>709</v>
      </c>
      <c r="F1012" t="s">
        <v>709</v>
      </c>
      <c r="G1012" t="str">
        <f>HYPERLINK("http://www.ncbi.nlm.nih.gov/Taxonomy/Browser/wwwtax.cgi?mode=Info&amp;id=42192&amp;lvl=3&amp;lin=f&amp;keep=1&amp;srchmode=1&amp;unlock","Mytilus coruscus")</f>
        <v>Mytilus coruscus</v>
      </c>
      <c r="H1012" t="s">
        <v>1094</v>
      </c>
      <c r="I1012" t="str">
        <f>HYPERLINK("http://www.ncbi.nlm.nih.gov/protein/CAC5364525.1","ESR1")</f>
        <v>ESR1</v>
      </c>
      <c r="J1012" t="s">
        <v>1261</v>
      </c>
      <c r="K1012">
        <v>76.64</v>
      </c>
      <c r="L1012" t="s">
        <v>25</v>
      </c>
      <c r="M1012">
        <v>157</v>
      </c>
      <c r="N1012">
        <v>62.55</v>
      </c>
      <c r="O1012">
        <v>14.9</v>
      </c>
      <c r="P1012" t="s">
        <v>25</v>
      </c>
      <c r="Q1012" t="s">
        <v>1262</v>
      </c>
      <c r="R1012" t="s">
        <v>20</v>
      </c>
      <c r="S1012" t="str">
        <f>HYPERLINK("https://cfpub.epa.gov/ecotox/explore.cfm?ncbi=42192","Explore in ECOTOX")</f>
        <v>Explore in ECOTOX</v>
      </c>
    </row>
    <row r="1013" spans="1:19" x14ac:dyDescent="0.25">
      <c r="A1013">
        <v>6</v>
      </c>
      <c r="B1013" t="str">
        <f>HYPERLINK("http://www.ncbi.nlm.nih.gov/protein/BAF34908.2","BAF34908.2")</f>
        <v>BAF34908.2</v>
      </c>
      <c r="C1013">
        <v>83790</v>
      </c>
      <c r="D1013" t="str">
        <f>HYPERLINK("http://www.ncbi.nlm.nih.gov/Taxonomy/Browser/wwwtax.cgi?mode=Info&amp;id=29158&amp;lvl=3&amp;lin=f&amp;keep=1&amp;srchmode=1&amp;unlock","29158")</f>
        <v>29158</v>
      </c>
      <c r="E1013" t="s">
        <v>709</v>
      </c>
      <c r="F1013" t="s">
        <v>709</v>
      </c>
      <c r="G1013" t="str">
        <f>HYPERLINK("http://www.ncbi.nlm.nih.gov/Taxonomy/Browser/wwwtax.cgi?mode=Info&amp;id=29158&amp;lvl=3&amp;lin=f&amp;keep=1&amp;srchmode=1&amp;unlock","Mytilus galloprovincialis")</f>
        <v>Mytilus galloprovincialis</v>
      </c>
      <c r="H1013" t="s">
        <v>745</v>
      </c>
      <c r="I1013" t="str">
        <f>HYPERLINK("http://www.ncbi.nlm.nih.gov/protein/BAF34908.2","estrogen receptor, partial")</f>
        <v>estrogen receptor, partial</v>
      </c>
      <c r="J1013" t="s">
        <v>1261</v>
      </c>
      <c r="K1013">
        <v>76.260000000000005</v>
      </c>
      <c r="L1013" t="s">
        <v>25</v>
      </c>
      <c r="M1013">
        <v>157</v>
      </c>
      <c r="N1013">
        <v>62.55</v>
      </c>
      <c r="O1013">
        <v>14.83</v>
      </c>
      <c r="P1013" t="s">
        <v>25</v>
      </c>
      <c r="Q1013" t="s">
        <v>1262</v>
      </c>
      <c r="R1013" t="s">
        <v>20</v>
      </c>
      <c r="S1013" t="str">
        <f>HYPERLINK("https://cfpub.epa.gov/ecotox/explore.cfm?ncbi=29158","Explore in ECOTOX")</f>
        <v>Explore in ECOTOX</v>
      </c>
    </row>
    <row r="1014" spans="1:19" x14ac:dyDescent="0.25">
      <c r="A1014">
        <v>6</v>
      </c>
      <c r="B1014" t="str">
        <f>HYPERLINK("http://www.ncbi.nlm.nih.gov/protein/BAF34366.2","BAF34366.2")</f>
        <v>BAF34366.2</v>
      </c>
      <c r="C1014">
        <v>960</v>
      </c>
      <c r="D1014" t="str">
        <f>HYPERLINK("http://www.ncbi.nlm.nih.gov/Taxonomy/Browser/wwwtax.cgi?mode=Info&amp;id=6550&amp;lvl=3&amp;lin=f&amp;keep=1&amp;srchmode=1&amp;unlock","6550")</f>
        <v>6550</v>
      </c>
      <c r="E1014" t="s">
        <v>709</v>
      </c>
      <c r="F1014" t="s">
        <v>709</v>
      </c>
      <c r="G1014" t="str">
        <f>HYPERLINK("http://www.ncbi.nlm.nih.gov/Taxonomy/Browser/wwwtax.cgi?mode=Info&amp;id=6550&amp;lvl=3&amp;lin=f&amp;keep=1&amp;srchmode=1&amp;unlock","Mytilus edulis")</f>
        <v>Mytilus edulis</v>
      </c>
      <c r="H1014" t="s">
        <v>1101</v>
      </c>
      <c r="I1014" t="str">
        <f>HYPERLINK("http://www.ncbi.nlm.nih.gov/protein/BAF34366.2","estrogen receptor")</f>
        <v>estrogen receptor</v>
      </c>
      <c r="J1014" t="s">
        <v>1261</v>
      </c>
      <c r="K1014">
        <v>76.260000000000005</v>
      </c>
      <c r="L1014" t="s">
        <v>25</v>
      </c>
      <c r="M1014">
        <v>157</v>
      </c>
      <c r="N1014">
        <v>62.55</v>
      </c>
      <c r="O1014">
        <v>14.83</v>
      </c>
      <c r="P1014" t="s">
        <v>25</v>
      </c>
      <c r="Q1014" t="s">
        <v>1262</v>
      </c>
      <c r="R1014" t="s">
        <v>20</v>
      </c>
      <c r="S1014" t="str">
        <f>HYPERLINK("https://cfpub.epa.gov/ecotox/explore.cfm?ncbi=6550","Explore in ECOTOX")</f>
        <v>Explore in ECOTOX</v>
      </c>
    </row>
    <row r="1015" spans="1:19" x14ac:dyDescent="0.25">
      <c r="A1015">
        <v>6</v>
      </c>
      <c r="B1015" t="str">
        <f>HYPERLINK("http://www.ncbi.nlm.nih.gov/protein/CAC37560.1","CAC37560.1")</f>
        <v>CAC37560.1</v>
      </c>
      <c r="C1015">
        <v>409</v>
      </c>
      <c r="D1015" t="str">
        <f>HYPERLINK("http://www.ncbi.nlm.nih.gov/Taxonomy/Browser/wwwtax.cgi?mode=Info&amp;id=13013&amp;lvl=3&amp;lin=f&amp;keep=1&amp;srchmode=1&amp;unlock","13013")</f>
        <v>13013</v>
      </c>
      <c r="E1015" t="s">
        <v>384</v>
      </c>
      <c r="F1015" t="s">
        <v>384</v>
      </c>
      <c r="G1015" t="str">
        <f>HYPERLINK("http://www.ncbi.nlm.nih.gov/Taxonomy/Browser/wwwtax.cgi?mode=Info&amp;id=13013&amp;lvl=3&amp;lin=f&amp;keep=1&amp;srchmode=1&amp;unlock","Clarias gariepinus")</f>
        <v>Clarias gariepinus</v>
      </c>
      <c r="H1015" t="s">
        <v>1097</v>
      </c>
      <c r="I1015" t="str">
        <f>HYPERLINK("http://www.ncbi.nlm.nih.gov/protein/CAC37560.1","estrogen receptor alpha")</f>
        <v>estrogen receptor alpha</v>
      </c>
      <c r="J1015" t="s">
        <v>1261</v>
      </c>
      <c r="K1015">
        <v>76.260000000000005</v>
      </c>
      <c r="L1015" t="s">
        <v>25</v>
      </c>
      <c r="M1015">
        <v>157</v>
      </c>
      <c r="N1015">
        <v>62.55</v>
      </c>
      <c r="O1015">
        <v>14.83</v>
      </c>
      <c r="P1015" t="s">
        <v>20</v>
      </c>
      <c r="Q1015" t="s">
        <v>1262</v>
      </c>
      <c r="R1015" t="s">
        <v>20</v>
      </c>
      <c r="S1015" t="str">
        <f>HYPERLINK("https://cfpub.epa.gov/ecotox/explore.cfm?ncbi=13013","Explore in ECOTOX")</f>
        <v>Explore in ECOTOX</v>
      </c>
    </row>
    <row r="1016" spans="1:19" x14ac:dyDescent="0.25">
      <c r="A1016">
        <v>6</v>
      </c>
      <c r="B1016" t="str">
        <f>HYPERLINK("http://www.ncbi.nlm.nih.gov/protein/QIM58148.1","QIM58148.1")</f>
        <v>QIM58148.1</v>
      </c>
      <c r="C1016">
        <v>1685</v>
      </c>
      <c r="D1016" t="str">
        <f>HYPERLINK("http://www.ncbi.nlm.nih.gov/Taxonomy/Browser/wwwtax.cgi?mode=Info&amp;id=7750&amp;lvl=3&amp;lin=f&amp;keep=1&amp;srchmode=1&amp;unlock","7750")</f>
        <v>7750</v>
      </c>
      <c r="E1016" t="s">
        <v>680</v>
      </c>
      <c r="F1016" t="s">
        <v>680</v>
      </c>
      <c r="G1016" t="str">
        <f>HYPERLINK("http://www.ncbi.nlm.nih.gov/Taxonomy/Browser/wwwtax.cgi?mode=Info&amp;id=7750&amp;lvl=3&amp;lin=f&amp;keep=1&amp;srchmode=1&amp;unlock","Lampetra planeri")</f>
        <v>Lampetra planeri</v>
      </c>
      <c r="H1016" t="s">
        <v>1136</v>
      </c>
      <c r="I1016" t="str">
        <f>HYPERLINK("http://www.ncbi.nlm.nih.gov/protein/QIM58148.1","estrogen related receptor a, partial")</f>
        <v>estrogen related receptor a, partial</v>
      </c>
      <c r="J1016" t="s">
        <v>1261</v>
      </c>
      <c r="K1016">
        <v>76.260000000000005</v>
      </c>
      <c r="L1016" t="s">
        <v>25</v>
      </c>
      <c r="M1016">
        <v>157</v>
      </c>
      <c r="N1016">
        <v>62.55</v>
      </c>
      <c r="O1016">
        <v>14.83</v>
      </c>
      <c r="P1016" t="s">
        <v>25</v>
      </c>
      <c r="Q1016" t="s">
        <v>1262</v>
      </c>
      <c r="R1016" t="s">
        <v>20</v>
      </c>
      <c r="S1016" t="str">
        <f>HYPERLINK("https://cfpub.epa.gov/ecotox/explore.cfm?ncbi=7750","Explore in ECOTOX")</f>
        <v>Explore in ECOTOX</v>
      </c>
    </row>
    <row r="1017" spans="1:19" x14ac:dyDescent="0.25">
      <c r="A1017">
        <v>6</v>
      </c>
      <c r="B1017" t="str">
        <f>HYPERLINK("http://www.ncbi.nlm.nih.gov/protein/AAA49552.1","AAA49552.1")</f>
        <v>AAA49552.1</v>
      </c>
      <c r="C1017">
        <v>2</v>
      </c>
      <c r="D1017" t="str">
        <f>HYPERLINK("http://www.ncbi.nlm.nih.gov/Taxonomy/Browser/wwwtax.cgi?mode=Info&amp;id=857569&amp;lvl=3&amp;lin=f&amp;keep=1&amp;srchmode=1&amp;unlock","857569")</f>
        <v>857569</v>
      </c>
      <c r="E1017" t="s">
        <v>384</v>
      </c>
      <c r="F1017" t="s">
        <v>384</v>
      </c>
      <c r="G1017" t="str">
        <f>HYPERLINK("http://www.ncbi.nlm.nih.gov/Taxonomy/Browser/wwwtax.cgi?mode=Info&amp;id=857569&amp;lvl=3&amp;lin=f&amp;keep=1&amp;srchmode=1&amp;unlock","Oncorhynchus mykiss irideus")</f>
        <v>Oncorhynchus mykiss irideus</v>
      </c>
      <c r="H1017" t="s">
        <v>482</v>
      </c>
      <c r="I1017" t="str">
        <f>HYPERLINK("http://www.ncbi.nlm.nih.gov/protein/AAA49552.1","estrogen receptor, partial")</f>
        <v>estrogen receptor, partial</v>
      </c>
      <c r="J1017" t="s">
        <v>1261</v>
      </c>
      <c r="K1017">
        <v>76.260000000000005</v>
      </c>
      <c r="L1017" t="s">
        <v>25</v>
      </c>
      <c r="M1017">
        <v>157</v>
      </c>
      <c r="N1017">
        <v>62.55</v>
      </c>
      <c r="O1017">
        <v>14.83</v>
      </c>
      <c r="P1017" t="s">
        <v>20</v>
      </c>
      <c r="Q1017" t="s">
        <v>1262</v>
      </c>
      <c r="R1017" t="s">
        <v>20</v>
      </c>
      <c r="S1017" t="str">
        <f>HYPERLINK("https://cfpub.epa.gov/ecotox/explore.cfm?ncbi=857569","Explore in ECOTOX")</f>
        <v>Explore in ECOTOX</v>
      </c>
    </row>
    <row r="1018" spans="1:19" x14ac:dyDescent="0.25">
      <c r="A1018">
        <v>6</v>
      </c>
      <c r="B1018" t="str">
        <f>HYPERLINK("http://www.ncbi.nlm.nih.gov/protein/XP_022913055.1","XP_022913055.1")</f>
        <v>XP_022913055.1</v>
      </c>
      <c r="C1018">
        <v>21694</v>
      </c>
      <c r="D1018" t="str">
        <f>HYPERLINK("http://www.ncbi.nlm.nih.gov/Taxonomy/Browser/wwwtax.cgi?mode=Info&amp;id=166361&amp;lvl=3&amp;lin=f&amp;keep=1&amp;srchmode=1&amp;unlock","166361")</f>
        <v>166361</v>
      </c>
      <c r="E1018" t="s">
        <v>698</v>
      </c>
      <c r="F1018" t="s">
        <v>698</v>
      </c>
      <c r="G1018" t="str">
        <f>HYPERLINK("http://www.ncbi.nlm.nih.gov/Taxonomy/Browser/wwwtax.cgi?mode=Info&amp;id=166361&amp;lvl=3&amp;lin=f&amp;keep=1&amp;srchmode=1&amp;unlock","Onthophagus taurus")</f>
        <v>Onthophagus taurus</v>
      </c>
      <c r="H1018" t="s">
        <v>880</v>
      </c>
      <c r="I1018" t="str">
        <f>HYPERLINK("http://www.ncbi.nlm.nih.gov/protein/XP_022913055.1","steroid hormone receptor ERR1 isoform X2")</f>
        <v>steroid hormone receptor ERR1 isoform X2</v>
      </c>
      <c r="J1018" t="s">
        <v>1261</v>
      </c>
      <c r="K1018">
        <v>76.260000000000005</v>
      </c>
      <c r="L1018" t="s">
        <v>25</v>
      </c>
      <c r="M1018">
        <v>157</v>
      </c>
      <c r="N1018">
        <v>62.55</v>
      </c>
      <c r="O1018">
        <v>14.83</v>
      </c>
      <c r="P1018" t="s">
        <v>25</v>
      </c>
      <c r="Q1018" t="s">
        <v>1262</v>
      </c>
      <c r="R1018" t="s">
        <v>20</v>
      </c>
      <c r="S1018" t="str">
        <f>HYPERLINK("https://cfpub.epa.gov/ecotox/explore.cfm?ncbi=166361","Explore in ECOTOX")</f>
        <v>Explore in ECOTOX</v>
      </c>
    </row>
    <row r="1019" spans="1:19" x14ac:dyDescent="0.25">
      <c r="A1019">
        <v>6</v>
      </c>
      <c r="B1019" t="str">
        <f>HYPERLINK("http://www.ncbi.nlm.nih.gov/protein/ABW24738.1","ABW24738.1")</f>
        <v>ABW24738.1</v>
      </c>
      <c r="C1019">
        <v>306</v>
      </c>
      <c r="D1019" t="str">
        <f>HYPERLINK("http://www.ncbi.nlm.nih.gov/Taxonomy/Browser/wwwtax.cgi?mode=Info&amp;id=8319&amp;lvl=3&amp;lin=f&amp;keep=1&amp;srchmode=1&amp;unlock","8319")</f>
        <v>8319</v>
      </c>
      <c r="E1019" t="s">
        <v>134</v>
      </c>
      <c r="F1019" t="s">
        <v>134</v>
      </c>
      <c r="G1019" t="str">
        <f>HYPERLINK("http://www.ncbi.nlm.nih.gov/Taxonomy/Browser/wwwtax.cgi?mode=Info&amp;id=8319&amp;lvl=3&amp;lin=f&amp;keep=1&amp;srchmode=1&amp;unlock","Pleurodeles waltl")</f>
        <v>Pleurodeles waltl</v>
      </c>
      <c r="H1019" t="s">
        <v>1093</v>
      </c>
      <c r="I1019" t="str">
        <f>HYPERLINK("http://www.ncbi.nlm.nih.gov/protein/ABW24738.1","estrogen receptor alpha")</f>
        <v>estrogen receptor alpha</v>
      </c>
      <c r="J1019" t="s">
        <v>1261</v>
      </c>
      <c r="K1019">
        <v>75.87</v>
      </c>
      <c r="L1019" t="s">
        <v>25</v>
      </c>
      <c r="M1019">
        <v>157</v>
      </c>
      <c r="N1019">
        <v>62.55</v>
      </c>
      <c r="O1019">
        <v>14.75</v>
      </c>
      <c r="P1019" t="s">
        <v>20</v>
      </c>
      <c r="Q1019" t="s">
        <v>1262</v>
      </c>
      <c r="R1019" t="s">
        <v>20</v>
      </c>
      <c r="S1019" t="str">
        <f>HYPERLINK("https://cfpub.epa.gov/ecotox/explore.cfm?ncbi=8319","Explore in ECOTOX")</f>
        <v>Explore in ECOTOX</v>
      </c>
    </row>
    <row r="1020" spans="1:19" x14ac:dyDescent="0.25">
      <c r="A1020">
        <v>6</v>
      </c>
      <c r="B1020" t="str">
        <f>HYPERLINK("http://www.ncbi.nlm.nih.gov/protein/XP_030765079.1","XP_030765079.1")</f>
        <v>XP_030765079.1</v>
      </c>
      <c r="C1020">
        <v>23735</v>
      </c>
      <c r="D1020" t="str">
        <f>HYPERLINK("http://www.ncbi.nlm.nih.gov/Taxonomy/Browser/wwwtax.cgi?mode=Info&amp;id=7048&amp;lvl=3&amp;lin=f&amp;keep=1&amp;srchmode=1&amp;unlock","7048")</f>
        <v>7048</v>
      </c>
      <c r="E1020" t="s">
        <v>698</v>
      </c>
      <c r="F1020" t="s">
        <v>698</v>
      </c>
      <c r="G1020" t="str">
        <f>HYPERLINK("http://www.ncbi.nlm.nih.gov/Taxonomy/Browser/wwwtax.cgi?mode=Info&amp;id=7048&amp;lvl=3&amp;lin=f&amp;keep=1&amp;srchmode=1&amp;unlock","Sitophilus oryzae")</f>
        <v>Sitophilus oryzae</v>
      </c>
      <c r="H1020" t="s">
        <v>877</v>
      </c>
      <c r="I1020" t="str">
        <f>HYPERLINK("http://www.ncbi.nlm.nih.gov/protein/XP_030765079.1","steroid hormone receptor ERR2 isoform X2")</f>
        <v>steroid hormone receptor ERR2 isoform X2</v>
      </c>
      <c r="J1020" t="s">
        <v>1261</v>
      </c>
      <c r="K1020">
        <v>75.87</v>
      </c>
      <c r="L1020" t="s">
        <v>25</v>
      </c>
      <c r="M1020">
        <v>157</v>
      </c>
      <c r="N1020">
        <v>62.55</v>
      </c>
      <c r="O1020">
        <v>14.75</v>
      </c>
      <c r="P1020" t="s">
        <v>25</v>
      </c>
      <c r="Q1020" t="s">
        <v>1262</v>
      </c>
      <c r="R1020" t="s">
        <v>20</v>
      </c>
      <c r="S1020" t="str">
        <f>HYPERLINK("https://cfpub.epa.gov/ecotox/explore.cfm?ncbi=7048","Explore in ECOTOX")</f>
        <v>Explore in ECOTOX</v>
      </c>
    </row>
    <row r="1021" spans="1:19" x14ac:dyDescent="0.25">
      <c r="A1021">
        <v>6</v>
      </c>
      <c r="B1021" t="str">
        <f>HYPERLINK("http://www.ncbi.nlm.nih.gov/protein/XP_031785280.2","XP_031785280.2")</f>
        <v>XP_031785280.2</v>
      </c>
      <c r="C1021">
        <v>34745</v>
      </c>
      <c r="D1021" t="str">
        <f>HYPERLINK("http://www.ncbi.nlm.nih.gov/Taxonomy/Browser/wwwtax.cgi?mode=Info&amp;id=7425&amp;lvl=3&amp;lin=f&amp;keep=1&amp;srchmode=1&amp;unlock","7425")</f>
        <v>7425</v>
      </c>
      <c r="E1021" t="s">
        <v>698</v>
      </c>
      <c r="F1021" t="s">
        <v>698</v>
      </c>
      <c r="G1021" t="str">
        <f>HYPERLINK("http://www.ncbi.nlm.nih.gov/Taxonomy/Browser/wwwtax.cgi?mode=Info&amp;id=7425&amp;lvl=3&amp;lin=f&amp;keep=1&amp;srchmode=1&amp;unlock","Nasonia vitripennis")</f>
        <v>Nasonia vitripennis</v>
      </c>
      <c r="H1021" t="s">
        <v>874</v>
      </c>
      <c r="I1021" t="str">
        <f>HYPERLINK("http://www.ncbi.nlm.nih.gov/protein/XP_031785280.2","steroid hormone receptor ERR2 isoform X5")</f>
        <v>steroid hormone receptor ERR2 isoform X5</v>
      </c>
      <c r="J1021" t="s">
        <v>1261</v>
      </c>
      <c r="K1021">
        <v>75.87</v>
      </c>
      <c r="L1021" t="s">
        <v>25</v>
      </c>
      <c r="M1021">
        <v>157</v>
      </c>
      <c r="N1021">
        <v>62.55</v>
      </c>
      <c r="O1021">
        <v>14.75</v>
      </c>
      <c r="P1021" t="s">
        <v>25</v>
      </c>
      <c r="Q1021" t="s">
        <v>1262</v>
      </c>
      <c r="R1021" t="s">
        <v>20</v>
      </c>
      <c r="S1021" t="str">
        <f>HYPERLINK("https://cfpub.epa.gov/ecotox/explore.cfm?ncbi=7425","Explore in ECOTOX")</f>
        <v>Explore in ECOTOX</v>
      </c>
    </row>
    <row r="1022" spans="1:19" x14ac:dyDescent="0.25">
      <c r="A1022">
        <v>6</v>
      </c>
      <c r="B1022" t="str">
        <f>HYPERLINK("http://www.ncbi.nlm.nih.gov/protein/CAB3372817.1","CAB3372817.1")</f>
        <v>CAB3372817.1</v>
      </c>
      <c r="C1022">
        <v>31082</v>
      </c>
      <c r="D1022" t="str">
        <f>HYPERLINK("http://www.ncbi.nlm.nih.gov/Taxonomy/Browser/wwwtax.cgi?mode=Info&amp;id=197152&amp;lvl=3&amp;lin=f&amp;keep=1&amp;srchmode=1&amp;unlock","197152")</f>
        <v>197152</v>
      </c>
      <c r="E1022" t="s">
        <v>698</v>
      </c>
      <c r="F1022" t="s">
        <v>698</v>
      </c>
      <c r="G1022" t="str">
        <f>HYPERLINK("http://www.ncbi.nlm.nih.gov/Taxonomy/Browser/wwwtax.cgi?mode=Info&amp;id=197152&amp;lvl=3&amp;lin=f&amp;keep=1&amp;srchmode=1&amp;unlock","Cloeon dipterum")</f>
        <v>Cloeon dipterum</v>
      </c>
      <c r="H1022" t="s">
        <v>730</v>
      </c>
      <c r="I1022" t="str">
        <f>HYPERLINK("http://www.ncbi.nlm.nih.gov/protein/CAB3372817.1","Hypothetical predicted protein")</f>
        <v>Hypothetical predicted protein</v>
      </c>
      <c r="J1022" t="s">
        <v>1261</v>
      </c>
      <c r="K1022">
        <v>75.87</v>
      </c>
      <c r="L1022" t="s">
        <v>25</v>
      </c>
      <c r="M1022">
        <v>157</v>
      </c>
      <c r="N1022">
        <v>62.55</v>
      </c>
      <c r="O1022">
        <v>14.75</v>
      </c>
      <c r="P1022" t="s">
        <v>25</v>
      </c>
      <c r="Q1022" t="s">
        <v>1262</v>
      </c>
      <c r="R1022" t="s">
        <v>20</v>
      </c>
      <c r="S1022" t="str">
        <f>HYPERLINK("https://cfpub.epa.gov/ecotox/explore.cfm?ncbi=197152","Explore in ECOTOX")</f>
        <v>Explore in ECOTOX</v>
      </c>
    </row>
    <row r="1023" spans="1:19" x14ac:dyDescent="0.25">
      <c r="A1023">
        <v>6</v>
      </c>
      <c r="B1023" t="str">
        <f>HYPERLINK("http://www.ncbi.nlm.nih.gov/protein/AXU37748.1","AXU37748.1")</f>
        <v>AXU37748.1</v>
      </c>
      <c r="C1023">
        <v>714</v>
      </c>
      <c r="D1023" t="str">
        <f>HYPERLINK("http://www.ncbi.nlm.nih.gov/Taxonomy/Browser/wwwtax.cgi?mode=Info&amp;id=95602&amp;lvl=3&amp;lin=f&amp;keep=1&amp;srchmode=1&amp;unlock","95602")</f>
        <v>95602</v>
      </c>
      <c r="E1023" t="s">
        <v>742</v>
      </c>
      <c r="F1023" t="s">
        <v>742</v>
      </c>
      <c r="G1023" t="str">
        <f>HYPERLINK("http://www.ncbi.nlm.nih.gov/Taxonomy/Browser/wwwtax.cgi?mode=Info&amp;id=95602&amp;lvl=3&amp;lin=f&amp;keep=1&amp;srchmode=1&amp;unlock","Eriocheir sinensis")</f>
        <v>Eriocheir sinensis</v>
      </c>
      <c r="H1023" t="s">
        <v>828</v>
      </c>
      <c r="I1023" t="str">
        <f>HYPERLINK("http://www.ncbi.nlm.nih.gov/protein/AXU37748.1","estrogen-related receptor")</f>
        <v>estrogen-related receptor</v>
      </c>
      <c r="J1023" t="s">
        <v>1261</v>
      </c>
      <c r="K1023">
        <v>75.87</v>
      </c>
      <c r="L1023" t="s">
        <v>25</v>
      </c>
      <c r="M1023">
        <v>157</v>
      </c>
      <c r="N1023">
        <v>62.55</v>
      </c>
      <c r="O1023">
        <v>14.75</v>
      </c>
      <c r="P1023" t="s">
        <v>25</v>
      </c>
      <c r="Q1023" t="s">
        <v>1262</v>
      </c>
      <c r="R1023" t="s">
        <v>20</v>
      </c>
      <c r="S1023" t="str">
        <f>HYPERLINK("https://cfpub.epa.gov/ecotox/explore.cfm?ncbi=95602","Explore in ECOTOX")</f>
        <v>Explore in ECOTOX</v>
      </c>
    </row>
    <row r="1024" spans="1:19" x14ac:dyDescent="0.25">
      <c r="A1024">
        <v>6</v>
      </c>
      <c r="B1024" t="str">
        <f>HYPERLINK("http://www.ncbi.nlm.nih.gov/protein/BAF45381.1","BAF45381.1")</f>
        <v>BAF45381.1</v>
      </c>
      <c r="C1024">
        <v>64622</v>
      </c>
      <c r="D1024" t="str">
        <f>HYPERLINK("http://www.ncbi.nlm.nih.gov/Taxonomy/Browser/wwwtax.cgi?mode=Info&amp;id=29159&amp;lvl=3&amp;lin=f&amp;keep=1&amp;srchmode=1&amp;unlock","29159")</f>
        <v>29159</v>
      </c>
      <c r="E1024" t="s">
        <v>709</v>
      </c>
      <c r="F1024" t="s">
        <v>709</v>
      </c>
      <c r="G1024" t="str">
        <f>HYPERLINK("http://www.ncbi.nlm.nih.gov/Taxonomy/Browser/wwwtax.cgi?mode=Info&amp;id=29159&amp;lvl=3&amp;lin=f&amp;keep=1&amp;srchmode=1&amp;unlock","Crassostrea gigas")</f>
        <v>Crassostrea gigas</v>
      </c>
      <c r="H1024" t="s">
        <v>875</v>
      </c>
      <c r="I1024" t="str">
        <f>HYPERLINK("http://www.ncbi.nlm.nih.gov/protein/BAF45381.1","estrogen receptor")</f>
        <v>estrogen receptor</v>
      </c>
      <c r="J1024" t="s">
        <v>1261</v>
      </c>
      <c r="K1024">
        <v>75.48</v>
      </c>
      <c r="L1024" t="s">
        <v>25</v>
      </c>
      <c r="M1024">
        <v>157</v>
      </c>
      <c r="N1024">
        <v>62.55</v>
      </c>
      <c r="O1024">
        <v>14.68</v>
      </c>
      <c r="P1024" t="s">
        <v>25</v>
      </c>
      <c r="Q1024" t="s">
        <v>1262</v>
      </c>
      <c r="R1024" t="s">
        <v>20</v>
      </c>
      <c r="S1024" t="str">
        <f>HYPERLINK("https://cfpub.epa.gov/ecotox/explore.cfm?ncbi=29159","Explore in ECOTOX")</f>
        <v>Explore in ECOTOX</v>
      </c>
    </row>
    <row r="1025" spans="1:19" x14ac:dyDescent="0.25">
      <c r="A1025">
        <v>6</v>
      </c>
      <c r="B1025" t="str">
        <f>HYPERLINK("http://www.ncbi.nlm.nih.gov/protein/ACT33953.1","ACT33953.1")</f>
        <v>ACT33953.1</v>
      </c>
      <c r="C1025">
        <v>648</v>
      </c>
      <c r="D1025" t="str">
        <f>HYPERLINK("http://www.ncbi.nlm.nih.gov/Taxonomy/Browser/wwwtax.cgi?mode=Info&amp;id=9860&amp;lvl=3&amp;lin=f&amp;keep=1&amp;srchmode=1&amp;unlock","9860")</f>
        <v>9860</v>
      </c>
      <c r="E1025" t="s">
        <v>18</v>
      </c>
      <c r="F1025" t="s">
        <v>18</v>
      </c>
      <c r="G1025" t="str">
        <f>HYPERLINK("http://www.ncbi.nlm.nih.gov/Taxonomy/Browser/wwwtax.cgi?mode=Info&amp;id=9860&amp;lvl=3&amp;lin=f&amp;keep=1&amp;srchmode=1&amp;unlock","Cervus elaphus")</f>
        <v>Cervus elaphus</v>
      </c>
      <c r="H1025" t="s">
        <v>1122</v>
      </c>
      <c r="I1025" t="str">
        <f>HYPERLINK("http://www.ncbi.nlm.nih.gov/protein/ACT33953.1","estrogen receptor beta transcript variant 2")</f>
        <v>estrogen receptor beta transcript variant 2</v>
      </c>
      <c r="J1025" t="s">
        <v>1261</v>
      </c>
      <c r="K1025">
        <v>75.48</v>
      </c>
      <c r="L1025" t="s">
        <v>25</v>
      </c>
      <c r="M1025">
        <v>157</v>
      </c>
      <c r="N1025">
        <v>62.55</v>
      </c>
      <c r="O1025">
        <v>14.68</v>
      </c>
      <c r="P1025" t="s">
        <v>20</v>
      </c>
      <c r="Q1025" t="s">
        <v>1262</v>
      </c>
      <c r="R1025" t="s">
        <v>20</v>
      </c>
      <c r="S1025" t="str">
        <f>HYPERLINK("https://cfpub.epa.gov/ecotox/explore.cfm?ncbi=9860","Explore in ECOTOX")</f>
        <v>Explore in ECOTOX</v>
      </c>
    </row>
    <row r="1026" spans="1:19" x14ac:dyDescent="0.25">
      <c r="A1026">
        <v>6</v>
      </c>
      <c r="B1026" t="str">
        <f>HYPERLINK("http://www.ncbi.nlm.nih.gov/protein/NP_001135406.1","NP_001135406.1")</f>
        <v>NP_001135406.1</v>
      </c>
      <c r="C1026">
        <v>42331</v>
      </c>
      <c r="D1026" t="str">
        <f>HYPERLINK("http://www.ncbi.nlm.nih.gov/Taxonomy/Browser/wwwtax.cgi?mode=Info&amp;id=7070&amp;lvl=3&amp;lin=f&amp;keep=1&amp;srchmode=1&amp;unlock","7070")</f>
        <v>7070</v>
      </c>
      <c r="E1026" t="s">
        <v>698</v>
      </c>
      <c r="F1026" t="s">
        <v>698</v>
      </c>
      <c r="G1026" t="str">
        <f>HYPERLINK("http://www.ncbi.nlm.nih.gov/Taxonomy/Browser/wwwtax.cgi?mode=Info&amp;id=7070&amp;lvl=3&amp;lin=f&amp;keep=1&amp;srchmode=1&amp;unlock","Tribolium castaneum")</f>
        <v>Tribolium castaneum</v>
      </c>
      <c r="H1026" t="s">
        <v>938</v>
      </c>
      <c r="I1026" t="str">
        <f>HYPERLINK("http://www.ncbi.nlm.nih.gov/protein/NP_001135406.1","estrogen-related receptor")</f>
        <v>estrogen-related receptor</v>
      </c>
      <c r="J1026" t="s">
        <v>1261</v>
      </c>
      <c r="K1026">
        <v>75.48</v>
      </c>
      <c r="L1026" t="s">
        <v>25</v>
      </c>
      <c r="M1026">
        <v>157</v>
      </c>
      <c r="N1026">
        <v>62.55</v>
      </c>
      <c r="O1026">
        <v>14.68</v>
      </c>
      <c r="P1026" t="s">
        <v>25</v>
      </c>
      <c r="Q1026" t="s">
        <v>1262</v>
      </c>
      <c r="R1026" t="s">
        <v>20</v>
      </c>
      <c r="S1026" t="str">
        <f>HYPERLINK("https://cfpub.epa.gov/ecotox/explore.cfm?ncbi=7070","Explore in ECOTOX")</f>
        <v>Explore in ECOTOX</v>
      </c>
    </row>
    <row r="1027" spans="1:19" x14ac:dyDescent="0.25">
      <c r="A1027">
        <v>6</v>
      </c>
      <c r="B1027" t="str">
        <f>HYPERLINK("http://www.ncbi.nlm.nih.gov/protein/O76202.1","O76202.1")</f>
        <v>O76202.1</v>
      </c>
      <c r="C1027">
        <v>241</v>
      </c>
      <c r="D1027" t="str">
        <f>HYPERLINK("http://www.ncbi.nlm.nih.gov/Taxonomy/Browser/wwwtax.cgi?mode=Info&amp;id=7141&amp;lvl=3&amp;lin=f&amp;keep=1&amp;srchmode=1&amp;unlock","7141")</f>
        <v>7141</v>
      </c>
      <c r="E1027" t="s">
        <v>698</v>
      </c>
      <c r="F1027" t="s">
        <v>698</v>
      </c>
      <c r="G1027" t="str">
        <f>HYPERLINK("http://www.ncbi.nlm.nih.gov/Taxonomy/Browser/wwwtax.cgi?mode=Info&amp;id=7141&amp;lvl=3&amp;lin=f&amp;keep=1&amp;srchmode=1&amp;unlock","Choristoneura fumiferana")</f>
        <v>Choristoneura fumiferana</v>
      </c>
      <c r="H1027" t="s">
        <v>1145</v>
      </c>
      <c r="I1027" t="str">
        <f>HYPERLINK("http://www.ncbi.nlm.nih.gov/protein/O76202.1","RecName: Full=Protein ultraspiracle homolog; AltName: Full=Nuclear receptor subfamily 2 group B member 4")</f>
        <v>RecName: Full=Protein ultraspiracle homolog; AltName: Full=Nuclear receptor subfamily 2 group B member 4</v>
      </c>
      <c r="J1027" t="s">
        <v>1261</v>
      </c>
      <c r="K1027">
        <v>75.48</v>
      </c>
      <c r="L1027" t="s">
        <v>25</v>
      </c>
      <c r="M1027">
        <v>157</v>
      </c>
      <c r="N1027">
        <v>62.55</v>
      </c>
      <c r="O1027">
        <v>14.68</v>
      </c>
      <c r="P1027" t="s">
        <v>25</v>
      </c>
      <c r="Q1027" t="s">
        <v>1262</v>
      </c>
      <c r="R1027" t="s">
        <v>20</v>
      </c>
      <c r="S1027" t="str">
        <f>HYPERLINK("https://cfpub.epa.gov/ecotox/explore.cfm?ncbi=7141","Explore in ECOTOX")</f>
        <v>Explore in ECOTOX</v>
      </c>
    </row>
    <row r="1028" spans="1:19" x14ac:dyDescent="0.25">
      <c r="A1028">
        <v>6</v>
      </c>
      <c r="B1028" t="str">
        <f>HYPERLINK("http://www.ncbi.nlm.nih.gov/protein/ANC90315.1","ANC90315.1")</f>
        <v>ANC90315.1</v>
      </c>
      <c r="C1028">
        <v>31</v>
      </c>
      <c r="D1028" t="str">
        <f>HYPERLINK("http://www.ncbi.nlm.nih.gov/Taxonomy/Browser/wwwtax.cgi?mode=Info&amp;id=157728&amp;lvl=3&amp;lin=f&amp;keep=1&amp;srchmode=1&amp;unlock","157728")</f>
        <v>157728</v>
      </c>
      <c r="E1028" t="s">
        <v>709</v>
      </c>
      <c r="F1028" t="s">
        <v>709</v>
      </c>
      <c r="G1028" t="str">
        <f>HYPERLINK("http://www.ncbi.nlm.nih.gov/Taxonomy/Browser/wwwtax.cgi?mode=Info&amp;id=157728&amp;lvl=3&amp;lin=f&amp;keep=1&amp;srchmode=1&amp;unlock","Saccostrea glomerata")</f>
        <v>Saccostrea glomerata</v>
      </c>
      <c r="H1028" t="s">
        <v>1095</v>
      </c>
      <c r="I1028" t="str">
        <f>HYPERLINK("http://www.ncbi.nlm.nih.gov/protein/ANC90315.1","estrogen receptor")</f>
        <v>estrogen receptor</v>
      </c>
      <c r="J1028" t="s">
        <v>1261</v>
      </c>
      <c r="K1028">
        <v>75.099999999999994</v>
      </c>
      <c r="L1028" t="s">
        <v>25</v>
      </c>
      <c r="M1028">
        <v>157</v>
      </c>
      <c r="N1028">
        <v>62.55</v>
      </c>
      <c r="O1028">
        <v>14.6</v>
      </c>
      <c r="P1028" t="s">
        <v>25</v>
      </c>
      <c r="Q1028" t="s">
        <v>1262</v>
      </c>
      <c r="R1028" t="s">
        <v>20</v>
      </c>
      <c r="S1028" t="str">
        <f>HYPERLINK("https://cfpub.epa.gov/ecotox/explore.cfm?ncbi=157728","Explore in ECOTOX")</f>
        <v>Explore in ECOTOX</v>
      </c>
    </row>
    <row r="1029" spans="1:19" x14ac:dyDescent="0.25">
      <c r="A1029">
        <v>6</v>
      </c>
      <c r="B1029" t="str">
        <f>HYPERLINK("http://www.ncbi.nlm.nih.gov/protein/XP_022331059.1","XP_022331059.1")</f>
        <v>XP_022331059.1</v>
      </c>
      <c r="C1029">
        <v>60511</v>
      </c>
      <c r="D1029" t="str">
        <f>HYPERLINK("http://www.ncbi.nlm.nih.gov/Taxonomy/Browser/wwwtax.cgi?mode=Info&amp;id=6565&amp;lvl=3&amp;lin=f&amp;keep=1&amp;srchmode=1&amp;unlock","6565")</f>
        <v>6565</v>
      </c>
      <c r="E1029" t="s">
        <v>709</v>
      </c>
      <c r="F1029" t="s">
        <v>709</v>
      </c>
      <c r="G1029" t="str">
        <f>HYPERLINK("http://www.ncbi.nlm.nih.gov/Taxonomy/Browser/wwwtax.cgi?mode=Info&amp;id=6565&amp;lvl=3&amp;lin=f&amp;keep=1&amp;srchmode=1&amp;unlock","Crassostrea virginica")</f>
        <v>Crassostrea virginica</v>
      </c>
      <c r="H1029" t="s">
        <v>888</v>
      </c>
      <c r="I1029" t="str">
        <f>HYPERLINK("http://www.ncbi.nlm.nih.gov/protein/XP_022331059.1","LOW QUALITY PROTEIN: estrogen receptor beta-like")</f>
        <v>LOW QUALITY PROTEIN: estrogen receptor beta-like</v>
      </c>
      <c r="J1029" t="s">
        <v>1261</v>
      </c>
      <c r="K1029">
        <v>75.099999999999994</v>
      </c>
      <c r="L1029" t="s">
        <v>25</v>
      </c>
      <c r="M1029">
        <v>157</v>
      </c>
      <c r="N1029">
        <v>62.55</v>
      </c>
      <c r="O1029">
        <v>14.6</v>
      </c>
      <c r="P1029" t="s">
        <v>25</v>
      </c>
      <c r="Q1029" t="s">
        <v>1262</v>
      </c>
      <c r="R1029" t="s">
        <v>20</v>
      </c>
      <c r="S1029" t="str">
        <f>HYPERLINK("https://cfpub.epa.gov/ecotox/explore.cfm?ncbi=6565","Explore in ECOTOX")</f>
        <v>Explore in ECOTOX</v>
      </c>
    </row>
    <row r="1030" spans="1:19" x14ac:dyDescent="0.25">
      <c r="A1030">
        <v>6</v>
      </c>
      <c r="B1030" t="str">
        <f>HYPERLINK("http://www.ncbi.nlm.nih.gov/protein/XP_022688888.1","XP_022688888.1")</f>
        <v>XP_022688888.1</v>
      </c>
      <c r="C1030">
        <v>26233</v>
      </c>
      <c r="D1030" t="str">
        <f>HYPERLINK("http://www.ncbi.nlm.nih.gov/Taxonomy/Browser/wwwtax.cgi?mode=Info&amp;id=62625&amp;lvl=3&amp;lin=f&amp;keep=1&amp;srchmode=1&amp;unlock","62625")</f>
        <v>62625</v>
      </c>
      <c r="E1030" t="s">
        <v>700</v>
      </c>
      <c r="F1030" t="s">
        <v>700</v>
      </c>
      <c r="G1030" t="str">
        <f>HYPERLINK("http://www.ncbi.nlm.nih.gov/Taxonomy/Browser/wwwtax.cgi?mode=Info&amp;id=62625&amp;lvl=3&amp;lin=f&amp;keep=1&amp;srchmode=1&amp;unlock","Varroa jacobsoni")</f>
        <v>Varroa jacobsoni</v>
      </c>
      <c r="H1030" t="s">
        <v>701</v>
      </c>
      <c r="I1030" t="str">
        <f>HYPERLINK("http://www.ncbi.nlm.nih.gov/protein/XP_022688888.1","steroid hormone receptor ERR1-like isoform X6")</f>
        <v>steroid hormone receptor ERR1-like isoform X6</v>
      </c>
      <c r="J1030" t="s">
        <v>1261</v>
      </c>
      <c r="K1030">
        <v>75.099999999999994</v>
      </c>
      <c r="L1030" t="s">
        <v>25</v>
      </c>
      <c r="M1030">
        <v>157</v>
      </c>
      <c r="N1030">
        <v>62.55</v>
      </c>
      <c r="O1030">
        <v>14.6</v>
      </c>
      <c r="P1030" t="s">
        <v>25</v>
      </c>
      <c r="Q1030" t="s">
        <v>1262</v>
      </c>
      <c r="R1030" t="s">
        <v>20</v>
      </c>
      <c r="S1030" t="str">
        <f>HYPERLINK("https://cfpub.epa.gov/ecotox/explore.cfm?ncbi=62625","Explore in ECOTOX")</f>
        <v>Explore in ECOTOX</v>
      </c>
    </row>
    <row r="1031" spans="1:19" x14ac:dyDescent="0.25">
      <c r="A1031">
        <v>6</v>
      </c>
      <c r="B1031" t="str">
        <f>HYPERLINK("http://www.ncbi.nlm.nih.gov/protein/AFC36881.1","AFC36881.1")</f>
        <v>AFC36881.1</v>
      </c>
      <c r="C1031">
        <v>306</v>
      </c>
      <c r="D1031" t="str">
        <f>HYPERLINK("http://www.ncbi.nlm.nih.gov/Taxonomy/Browser/wwwtax.cgi?mode=Info&amp;id=90735&amp;lvl=3&amp;lin=f&amp;keep=1&amp;srchmode=1&amp;unlock","90735")</f>
        <v>90735</v>
      </c>
      <c r="E1031" t="s">
        <v>384</v>
      </c>
      <c r="F1031" t="s">
        <v>384</v>
      </c>
      <c r="G1031" t="str">
        <f>HYPERLINK("http://www.ncbi.nlm.nih.gov/Taxonomy/Browser/wwwtax.cgi?mode=Info&amp;id=90735&amp;lvl=3&amp;lin=f&amp;keep=1&amp;srchmode=1&amp;unlock","Paramisgurnus dabryanus")</f>
        <v>Paramisgurnus dabryanus</v>
      </c>
      <c r="H1031" t="s">
        <v>1127</v>
      </c>
      <c r="I1031" t="str">
        <f>HYPERLINK("http://www.ncbi.nlm.nih.gov/protein/AFC36881.1","estrogen receptor alpha")</f>
        <v>estrogen receptor alpha</v>
      </c>
      <c r="J1031" t="s">
        <v>1261</v>
      </c>
      <c r="K1031">
        <v>75.099999999999994</v>
      </c>
      <c r="L1031" t="s">
        <v>25</v>
      </c>
      <c r="M1031">
        <v>157</v>
      </c>
      <c r="N1031">
        <v>62.55</v>
      </c>
      <c r="O1031">
        <v>14.6</v>
      </c>
      <c r="P1031" t="s">
        <v>20</v>
      </c>
      <c r="Q1031" t="s">
        <v>1262</v>
      </c>
      <c r="R1031" t="s">
        <v>20</v>
      </c>
      <c r="S1031" t="str">
        <f>HYPERLINK("https://cfpub.epa.gov/ecotox/explore.cfm?ncbi=90735","Explore in ECOTOX")</f>
        <v>Explore in ECOTOX</v>
      </c>
    </row>
    <row r="1032" spans="1:19" x14ac:dyDescent="0.25">
      <c r="A1032">
        <v>6</v>
      </c>
      <c r="B1032" t="str">
        <f>HYPERLINK("http://www.ncbi.nlm.nih.gov/protein/AOY10609.1","AOY10609.1")</f>
        <v>AOY10609.1</v>
      </c>
      <c r="C1032">
        <v>657</v>
      </c>
      <c r="D1032" t="str">
        <f>HYPERLINK("http://www.ncbi.nlm.nih.gov/Taxonomy/Browser/wwwtax.cgi?mode=Info&amp;id=79674&amp;lvl=3&amp;lin=f&amp;keep=1&amp;srchmode=1&amp;unlock","79674")</f>
        <v>79674</v>
      </c>
      <c r="E1032" t="s">
        <v>742</v>
      </c>
      <c r="F1032" t="s">
        <v>742</v>
      </c>
      <c r="G1032" t="str">
        <f>HYPERLINK("http://www.ncbi.nlm.nih.gov/Taxonomy/Browser/wwwtax.cgi?mode=Info&amp;id=79674&amp;lvl=3&amp;lin=f&amp;keep=1&amp;srchmode=1&amp;unlock","Macrobrachium rosenbergii")</f>
        <v>Macrobrachium rosenbergii</v>
      </c>
      <c r="H1032" t="s">
        <v>1133</v>
      </c>
      <c r="I1032" t="str">
        <f>HYPERLINK("http://www.ncbi.nlm.nih.gov/protein/AOY10609.1","estrogen-related receptor")</f>
        <v>estrogen-related receptor</v>
      </c>
      <c r="J1032" t="s">
        <v>1261</v>
      </c>
      <c r="K1032">
        <v>75.099999999999994</v>
      </c>
      <c r="L1032" t="s">
        <v>25</v>
      </c>
      <c r="M1032">
        <v>157</v>
      </c>
      <c r="N1032">
        <v>62.55</v>
      </c>
      <c r="O1032">
        <v>14.6</v>
      </c>
      <c r="P1032" t="s">
        <v>25</v>
      </c>
      <c r="Q1032" t="s">
        <v>1262</v>
      </c>
      <c r="R1032" t="s">
        <v>20</v>
      </c>
      <c r="S1032" t="str">
        <f>HYPERLINK("https://cfpub.epa.gov/ecotox/explore.cfm?ncbi=79674","Explore in ECOTOX")</f>
        <v>Explore in ECOTOX</v>
      </c>
    </row>
    <row r="1033" spans="1:19" x14ac:dyDescent="0.25">
      <c r="A1033">
        <v>6</v>
      </c>
      <c r="B1033" t="str">
        <f>HYPERLINK("http://www.ncbi.nlm.nih.gov/protein/XP_025017986.1","XP_025017986.1")</f>
        <v>XP_025017986.1</v>
      </c>
      <c r="C1033">
        <v>16309</v>
      </c>
      <c r="D1033" t="str">
        <f>HYPERLINK("http://www.ncbi.nlm.nih.gov/Taxonomy/Browser/wwwtax.cgi?mode=Info&amp;id=32264&amp;lvl=3&amp;lin=f&amp;keep=1&amp;srchmode=1&amp;unlock","32264")</f>
        <v>32264</v>
      </c>
      <c r="E1033" t="s">
        <v>700</v>
      </c>
      <c r="F1033" t="s">
        <v>700</v>
      </c>
      <c r="G1033" t="str">
        <f>HYPERLINK("http://www.ncbi.nlm.nih.gov/Taxonomy/Browser/wwwtax.cgi?mode=Info&amp;id=32264&amp;lvl=3&amp;lin=f&amp;keep=1&amp;srchmode=1&amp;unlock","Tetranychus urticae")</f>
        <v>Tetranychus urticae</v>
      </c>
      <c r="H1033" t="s">
        <v>852</v>
      </c>
      <c r="I1033" t="str">
        <f>HYPERLINK("http://www.ncbi.nlm.nih.gov/protein/XP_025017986.1","steroid hormone receptor ERR1 isoform X2")</f>
        <v>steroid hormone receptor ERR1 isoform X2</v>
      </c>
      <c r="J1033" t="s">
        <v>1261</v>
      </c>
      <c r="K1033">
        <v>74.709999999999994</v>
      </c>
      <c r="L1033" t="s">
        <v>25</v>
      </c>
      <c r="M1033">
        <v>157</v>
      </c>
      <c r="N1033">
        <v>62.55</v>
      </c>
      <c r="O1033">
        <v>14.53</v>
      </c>
      <c r="P1033" t="s">
        <v>25</v>
      </c>
      <c r="Q1033" t="s">
        <v>1262</v>
      </c>
      <c r="R1033" t="s">
        <v>20</v>
      </c>
      <c r="S1033" t="str">
        <f>HYPERLINK("https://cfpub.epa.gov/ecotox/explore.cfm?ncbi=32264","Explore in ECOTOX")</f>
        <v>Explore in ECOTOX</v>
      </c>
    </row>
    <row r="1034" spans="1:19" x14ac:dyDescent="0.25">
      <c r="A1034">
        <v>6</v>
      </c>
      <c r="B1034" t="str">
        <f>HYPERLINK("http://www.ncbi.nlm.nih.gov/protein/ARD05166.1","ARD05166.1")</f>
        <v>ARD05166.1</v>
      </c>
      <c r="C1034">
        <v>365</v>
      </c>
      <c r="D1034" t="str">
        <f>HYPERLINK("http://www.ncbi.nlm.nih.gov/Taxonomy/Browser/wwwtax.cgi?mode=Info&amp;id=7119&amp;lvl=3&amp;lin=f&amp;keep=1&amp;srchmode=1&amp;unlock","7119")</f>
        <v>7119</v>
      </c>
      <c r="E1034" t="s">
        <v>698</v>
      </c>
      <c r="F1034" t="s">
        <v>698</v>
      </c>
      <c r="G1034" t="str">
        <f>HYPERLINK("http://www.ncbi.nlm.nih.gov/Taxonomy/Browser/wwwtax.cgi?mode=Info&amp;id=7119&amp;lvl=3&amp;lin=f&amp;keep=1&amp;srchmode=1&amp;unlock","Antheraea pernyi")</f>
        <v>Antheraea pernyi</v>
      </c>
      <c r="H1034" t="s">
        <v>1162</v>
      </c>
      <c r="I1034" t="str">
        <f>HYPERLINK("http://www.ncbi.nlm.nih.gov/protein/ARD05166.1","ultraspiracle protein 1")</f>
        <v>ultraspiracle protein 1</v>
      </c>
      <c r="J1034" t="s">
        <v>1261</v>
      </c>
      <c r="K1034">
        <v>74.709999999999994</v>
      </c>
      <c r="L1034" t="s">
        <v>25</v>
      </c>
      <c r="M1034">
        <v>157</v>
      </c>
      <c r="N1034">
        <v>62.55</v>
      </c>
      <c r="O1034">
        <v>14.53</v>
      </c>
      <c r="P1034" t="s">
        <v>25</v>
      </c>
      <c r="Q1034" t="s">
        <v>1262</v>
      </c>
      <c r="R1034" t="s">
        <v>20</v>
      </c>
      <c r="S1034" t="str">
        <f>HYPERLINK("https://cfpub.epa.gov/ecotox/explore.cfm?ncbi=7119","Explore in ECOTOX")</f>
        <v>Explore in ECOTOX</v>
      </c>
    </row>
    <row r="1035" spans="1:19" x14ac:dyDescent="0.25">
      <c r="A1035">
        <v>6</v>
      </c>
      <c r="B1035" t="str">
        <f>HYPERLINK("http://www.ncbi.nlm.nih.gov/protein/XP_022662920.1","XP_022662920.1")</f>
        <v>XP_022662920.1</v>
      </c>
      <c r="C1035">
        <v>30490</v>
      </c>
      <c r="D1035" t="str">
        <f>HYPERLINK("http://www.ncbi.nlm.nih.gov/Taxonomy/Browser/wwwtax.cgi?mode=Info&amp;id=109461&amp;lvl=3&amp;lin=f&amp;keep=1&amp;srchmode=1&amp;unlock","109461")</f>
        <v>109461</v>
      </c>
      <c r="E1035" t="s">
        <v>700</v>
      </c>
      <c r="F1035" t="s">
        <v>700</v>
      </c>
      <c r="G1035" t="str">
        <f>HYPERLINK("http://www.ncbi.nlm.nih.gov/Taxonomy/Browser/wwwtax.cgi?mode=Info&amp;id=109461&amp;lvl=3&amp;lin=f&amp;keep=1&amp;srchmode=1&amp;unlock","Varroa destructor")</f>
        <v>Varroa destructor</v>
      </c>
      <c r="H1035" t="s">
        <v>954</v>
      </c>
      <c r="I1035" t="str">
        <f>HYPERLINK("http://www.ncbi.nlm.nih.gov/protein/XP_022662920.1","steroid hormone receptor ERR1-like isoform X2")</f>
        <v>steroid hormone receptor ERR1-like isoform X2</v>
      </c>
      <c r="J1035" t="s">
        <v>1261</v>
      </c>
      <c r="K1035">
        <v>74.33</v>
      </c>
      <c r="L1035" t="s">
        <v>25</v>
      </c>
      <c r="M1035">
        <v>157</v>
      </c>
      <c r="N1035">
        <v>62.55</v>
      </c>
      <c r="O1035">
        <v>14.45</v>
      </c>
      <c r="P1035" t="s">
        <v>25</v>
      </c>
      <c r="Q1035" t="s">
        <v>1262</v>
      </c>
      <c r="R1035" t="s">
        <v>20</v>
      </c>
      <c r="S1035" t="str">
        <f>HYPERLINK("https://cfpub.epa.gov/ecotox/explore.cfm?ncbi=109461","Explore in ECOTOX")</f>
        <v>Explore in ECOTOX</v>
      </c>
    </row>
    <row r="1036" spans="1:19" x14ac:dyDescent="0.25">
      <c r="A1036">
        <v>6</v>
      </c>
      <c r="B1036" t="str">
        <f>HYPERLINK("http://www.ncbi.nlm.nih.gov/protein/KAF7262888.1","KAF7262888.1")</f>
        <v>KAF7262888.1</v>
      </c>
      <c r="C1036">
        <v>25887</v>
      </c>
      <c r="D1036" t="str">
        <f>HYPERLINK("http://www.ncbi.nlm.nih.gov/Taxonomy/Browser/wwwtax.cgi?mode=Info&amp;id=354439&amp;lvl=3&amp;lin=f&amp;keep=1&amp;srchmode=1&amp;unlock","354439")</f>
        <v>354439</v>
      </c>
      <c r="E1036" t="s">
        <v>698</v>
      </c>
      <c r="F1036" t="s">
        <v>698</v>
      </c>
      <c r="G1036" t="str">
        <f>HYPERLINK("http://www.ncbi.nlm.nih.gov/Taxonomy/Browser/wwwtax.cgi?mode=Info&amp;id=354439&amp;lvl=3&amp;lin=f&amp;keep=1&amp;srchmode=1&amp;unlock","Rhynchophorus ferrugineus")</f>
        <v>Rhynchophorus ferrugineus</v>
      </c>
      <c r="H1036" t="s">
        <v>898</v>
      </c>
      <c r="I1036" t="str">
        <f>HYPERLINK("http://www.ncbi.nlm.nih.gov/protein/KAF7262888.1","hypothetical protein GWI33_003929")</f>
        <v>hypothetical protein GWI33_003929</v>
      </c>
      <c r="J1036" t="s">
        <v>1261</v>
      </c>
      <c r="K1036">
        <v>74.33</v>
      </c>
      <c r="L1036" t="s">
        <v>25</v>
      </c>
      <c r="M1036">
        <v>157</v>
      </c>
      <c r="N1036">
        <v>62.55</v>
      </c>
      <c r="O1036">
        <v>14.45</v>
      </c>
      <c r="P1036" t="s">
        <v>25</v>
      </c>
      <c r="Q1036" t="s">
        <v>1262</v>
      </c>
      <c r="R1036" t="s">
        <v>20</v>
      </c>
      <c r="S1036" t="str">
        <f>HYPERLINK("https://cfpub.epa.gov/ecotox/explore.cfm?ncbi=354439","Explore in ECOTOX")</f>
        <v>Explore in ECOTOX</v>
      </c>
    </row>
    <row r="1037" spans="1:19" x14ac:dyDescent="0.25">
      <c r="A1037">
        <v>6</v>
      </c>
      <c r="B1037" t="str">
        <f>HYPERLINK("http://www.ncbi.nlm.nih.gov/protein/XP_026757001.1","XP_026757001.1")</f>
        <v>XP_026757001.1</v>
      </c>
      <c r="C1037">
        <v>20714</v>
      </c>
      <c r="D1037" t="str">
        <f>HYPERLINK("http://www.ncbi.nlm.nih.gov/Taxonomy/Browser/wwwtax.cgi?mode=Info&amp;id=7137&amp;lvl=3&amp;lin=f&amp;keep=1&amp;srchmode=1&amp;unlock","7137")</f>
        <v>7137</v>
      </c>
      <c r="E1037" t="s">
        <v>698</v>
      </c>
      <c r="F1037" t="s">
        <v>698</v>
      </c>
      <c r="G1037" t="str">
        <f>HYPERLINK("http://www.ncbi.nlm.nih.gov/Taxonomy/Browser/wwwtax.cgi?mode=Info&amp;id=7137&amp;lvl=3&amp;lin=f&amp;keep=1&amp;srchmode=1&amp;unlock","Galleria mellonella")</f>
        <v>Galleria mellonella</v>
      </c>
      <c r="H1037" t="s">
        <v>937</v>
      </c>
      <c r="I1037" t="str">
        <f>HYPERLINK("http://www.ncbi.nlm.nih.gov/protein/XP_026757001.1","protein ultraspiracle homolog isoform X1")</f>
        <v>protein ultraspiracle homolog isoform X1</v>
      </c>
      <c r="J1037" t="s">
        <v>1261</v>
      </c>
      <c r="K1037">
        <v>74.33</v>
      </c>
      <c r="L1037" t="s">
        <v>25</v>
      </c>
      <c r="M1037">
        <v>157</v>
      </c>
      <c r="N1037">
        <v>62.55</v>
      </c>
      <c r="O1037">
        <v>14.45</v>
      </c>
      <c r="P1037" t="s">
        <v>25</v>
      </c>
      <c r="Q1037" t="s">
        <v>1262</v>
      </c>
      <c r="R1037" t="s">
        <v>20</v>
      </c>
      <c r="S1037" t="str">
        <f>HYPERLINK("https://cfpub.epa.gov/ecotox/explore.cfm?ncbi=7137","Explore in ECOTOX")</f>
        <v>Explore in ECOTOX</v>
      </c>
    </row>
    <row r="1038" spans="1:19" x14ac:dyDescent="0.25">
      <c r="A1038">
        <v>6</v>
      </c>
      <c r="B1038" t="str">
        <f>HYPERLINK("http://www.ncbi.nlm.nih.gov/protein/CAD7402288.1","CAD7402288.1")</f>
        <v>CAD7402288.1</v>
      </c>
      <c r="C1038">
        <v>14355</v>
      </c>
      <c r="D1038" t="str">
        <f>HYPERLINK("http://www.ncbi.nlm.nih.gov/Taxonomy/Browser/wwwtax.cgi?mode=Info&amp;id=61476&amp;lvl=3&amp;lin=f&amp;keep=1&amp;srchmode=1&amp;unlock","61476")</f>
        <v>61476</v>
      </c>
      <c r="E1038" t="s">
        <v>698</v>
      </c>
      <c r="F1038" t="s">
        <v>698</v>
      </c>
      <c r="G1038" t="str">
        <f>HYPERLINK("http://www.ncbi.nlm.nih.gov/Taxonomy/Browser/wwwtax.cgi?mode=Info&amp;id=61476&amp;lvl=3&amp;lin=f&amp;keep=1&amp;srchmode=1&amp;unlock","Timema cristinae")</f>
        <v>Timema cristinae</v>
      </c>
      <c r="H1038" t="s">
        <v>728</v>
      </c>
      <c r="I1038" t="str">
        <f>HYPERLINK("http://www.ncbi.nlm.nih.gov/protein/CAD7402288.1","unnamed protein product")</f>
        <v>unnamed protein product</v>
      </c>
      <c r="J1038" t="s">
        <v>1261</v>
      </c>
      <c r="K1038">
        <v>74.33</v>
      </c>
      <c r="L1038" t="s">
        <v>25</v>
      </c>
      <c r="M1038">
        <v>157</v>
      </c>
      <c r="N1038">
        <v>62.55</v>
      </c>
      <c r="O1038">
        <v>14.45</v>
      </c>
      <c r="P1038" t="s">
        <v>25</v>
      </c>
      <c r="Q1038" t="s">
        <v>1262</v>
      </c>
      <c r="R1038" t="s">
        <v>20</v>
      </c>
      <c r="S1038" t="str">
        <f>HYPERLINK("https://cfpub.epa.gov/ecotox/explore.cfm?ncbi=61476","Explore in ECOTOX")</f>
        <v>Explore in ECOTOX</v>
      </c>
    </row>
    <row r="1039" spans="1:19" x14ac:dyDescent="0.25">
      <c r="A1039">
        <v>6</v>
      </c>
      <c r="B1039" t="str">
        <f>HYPERLINK("http://www.ncbi.nlm.nih.gov/protein/AFK26306.1","AFK26306.1")</f>
        <v>AFK26306.1</v>
      </c>
      <c r="C1039">
        <v>233</v>
      </c>
      <c r="D1039" t="str">
        <f>HYPERLINK("http://www.ncbi.nlm.nih.gov/Taxonomy/Browser/wwwtax.cgi?mode=Info&amp;id=558553&amp;lvl=3&amp;lin=f&amp;keep=1&amp;srchmode=1&amp;unlock","558553")</f>
        <v>558553</v>
      </c>
      <c r="E1039" t="s">
        <v>709</v>
      </c>
      <c r="F1039" t="s">
        <v>709</v>
      </c>
      <c r="G1039" t="str">
        <f>HYPERLINK("http://www.ncbi.nlm.nih.gov/Taxonomy/Browser/wwwtax.cgi?mode=Info&amp;id=558553&amp;lvl=3&amp;lin=f&amp;keep=1&amp;srchmode=1&amp;unlock","Crassostrea angulata")</f>
        <v>Crassostrea angulata</v>
      </c>
      <c r="H1039" t="s">
        <v>1087</v>
      </c>
      <c r="I1039" t="str">
        <f>HYPERLINK("http://www.ncbi.nlm.nih.gov/protein/AFK26306.1","estrogen receptor")</f>
        <v>estrogen receptor</v>
      </c>
      <c r="J1039" t="s">
        <v>1261</v>
      </c>
      <c r="K1039">
        <v>73.94</v>
      </c>
      <c r="L1039" t="s">
        <v>25</v>
      </c>
      <c r="M1039">
        <v>157</v>
      </c>
      <c r="N1039">
        <v>62.55</v>
      </c>
      <c r="O1039">
        <v>14.38</v>
      </c>
      <c r="P1039" t="s">
        <v>25</v>
      </c>
      <c r="Q1039" t="s">
        <v>1262</v>
      </c>
      <c r="R1039" t="s">
        <v>20</v>
      </c>
      <c r="S1039" t="str">
        <f>HYPERLINK("https://cfpub.epa.gov/ecotox/explore.cfm?ncbi=558553","Explore in ECOTOX")</f>
        <v>Explore in ECOTOX</v>
      </c>
    </row>
    <row r="1040" spans="1:19" x14ac:dyDescent="0.25">
      <c r="A1040">
        <v>6</v>
      </c>
      <c r="B1040" t="str">
        <f>HYPERLINK("http://www.ncbi.nlm.nih.gov/protein/NP_001071700.1","NP_001071700.1")</f>
        <v>NP_001071700.1</v>
      </c>
      <c r="C1040">
        <v>23440</v>
      </c>
      <c r="D1040" t="str">
        <f>HYPERLINK("http://www.ncbi.nlm.nih.gov/Taxonomy/Browser/wwwtax.cgi?mode=Info&amp;id=7719&amp;lvl=3&amp;lin=f&amp;keep=1&amp;srchmode=1&amp;unlock","7719")</f>
        <v>7719</v>
      </c>
      <c r="E1040" t="s">
        <v>691</v>
      </c>
      <c r="F1040" t="s">
        <v>691</v>
      </c>
      <c r="G1040" t="str">
        <f>HYPERLINK("http://www.ncbi.nlm.nih.gov/Taxonomy/Browser/wwwtax.cgi?mode=Info&amp;id=7719&amp;lvl=3&amp;lin=f&amp;keep=1&amp;srchmode=1&amp;unlock","Ciona intestinalis")</f>
        <v>Ciona intestinalis</v>
      </c>
      <c r="H1040" t="s">
        <v>695</v>
      </c>
      <c r="I1040" t="str">
        <f>HYPERLINK("http://www.ncbi.nlm.nih.gov/protein/NP_001071700.1","nuclear receptor")</f>
        <v>nuclear receptor</v>
      </c>
      <c r="J1040" t="s">
        <v>1261</v>
      </c>
      <c r="K1040">
        <v>73.94</v>
      </c>
      <c r="L1040" t="s">
        <v>25</v>
      </c>
      <c r="M1040">
        <v>157</v>
      </c>
      <c r="N1040">
        <v>62.55</v>
      </c>
      <c r="O1040">
        <v>14.38</v>
      </c>
      <c r="P1040" t="s">
        <v>25</v>
      </c>
      <c r="Q1040" t="s">
        <v>1262</v>
      </c>
      <c r="R1040" t="s">
        <v>20</v>
      </c>
      <c r="S1040" t="str">
        <f>HYPERLINK("https://cfpub.epa.gov/ecotox/explore.cfm?ncbi=7719","Explore in ECOTOX")</f>
        <v>Explore in ECOTOX</v>
      </c>
    </row>
    <row r="1041" spans="1:19" x14ac:dyDescent="0.25">
      <c r="A1041">
        <v>6</v>
      </c>
      <c r="B1041" t="str">
        <f>HYPERLINK("http://www.ncbi.nlm.nih.gov/protein/CAD7568503.1","CAD7568503.1")</f>
        <v>CAD7568503.1</v>
      </c>
      <c r="C1041">
        <v>14803</v>
      </c>
      <c r="D1041" t="str">
        <f>HYPERLINK("http://www.ncbi.nlm.nih.gov/Taxonomy/Browser/wwwtax.cgi?mode=Info&amp;id=61474&amp;lvl=3&amp;lin=f&amp;keep=1&amp;srchmode=1&amp;unlock","61474")</f>
        <v>61474</v>
      </c>
      <c r="E1041" t="s">
        <v>698</v>
      </c>
      <c r="F1041" t="s">
        <v>698</v>
      </c>
      <c r="G1041" t="str">
        <f>HYPERLINK("http://www.ncbi.nlm.nih.gov/Taxonomy/Browser/wwwtax.cgi?mode=Info&amp;id=61474&amp;lvl=3&amp;lin=f&amp;keep=1&amp;srchmode=1&amp;unlock","Timema californicum")</f>
        <v>Timema californicum</v>
      </c>
      <c r="H1041" t="s">
        <v>752</v>
      </c>
      <c r="I1041" t="str">
        <f>HYPERLINK("http://www.ncbi.nlm.nih.gov/protein/CAD7568503.1","unnamed protein product")</f>
        <v>unnamed protein product</v>
      </c>
      <c r="J1041" t="s">
        <v>1261</v>
      </c>
      <c r="K1041">
        <v>73.94</v>
      </c>
      <c r="L1041" t="s">
        <v>25</v>
      </c>
      <c r="M1041">
        <v>157</v>
      </c>
      <c r="N1041">
        <v>62.55</v>
      </c>
      <c r="O1041">
        <v>14.38</v>
      </c>
      <c r="P1041" t="s">
        <v>25</v>
      </c>
      <c r="Q1041" t="s">
        <v>1262</v>
      </c>
      <c r="R1041" t="s">
        <v>20</v>
      </c>
      <c r="S1041" t="str">
        <f>HYPERLINK("https://cfpub.epa.gov/ecotox/explore.cfm?ncbi=61474","Explore in ECOTOX")</f>
        <v>Explore in ECOTOX</v>
      </c>
    </row>
    <row r="1042" spans="1:19" x14ac:dyDescent="0.25">
      <c r="A1042">
        <v>6</v>
      </c>
      <c r="B1042" t="str">
        <f>HYPERLINK("http://www.ncbi.nlm.nih.gov/protein/CAD7408652.1","CAD7408652.1")</f>
        <v>CAD7408652.1</v>
      </c>
      <c r="C1042">
        <v>15907</v>
      </c>
      <c r="D1042" t="str">
        <f>HYPERLINK("http://www.ncbi.nlm.nih.gov/Taxonomy/Browser/wwwtax.cgi?mode=Info&amp;id=170557&amp;lvl=3&amp;lin=f&amp;keep=1&amp;srchmode=1&amp;unlock","170557")</f>
        <v>170557</v>
      </c>
      <c r="E1042" t="s">
        <v>698</v>
      </c>
      <c r="F1042" t="s">
        <v>698</v>
      </c>
      <c r="G1042" t="str">
        <f>HYPERLINK("http://www.ncbi.nlm.nih.gov/Taxonomy/Browser/wwwtax.cgi?mode=Info&amp;id=170557&amp;lvl=3&amp;lin=f&amp;keep=1&amp;srchmode=1&amp;unlock","Timema poppensis")</f>
        <v>Timema poppensis</v>
      </c>
      <c r="H1042" t="s">
        <v>728</v>
      </c>
      <c r="I1042" t="str">
        <f>HYPERLINK("http://www.ncbi.nlm.nih.gov/protein/CAD7408652.1","unnamed protein product")</f>
        <v>unnamed protein product</v>
      </c>
      <c r="J1042" t="s">
        <v>1261</v>
      </c>
      <c r="K1042">
        <v>73.94</v>
      </c>
      <c r="L1042" t="s">
        <v>25</v>
      </c>
      <c r="M1042">
        <v>157</v>
      </c>
      <c r="N1042">
        <v>62.55</v>
      </c>
      <c r="O1042">
        <v>14.38</v>
      </c>
      <c r="P1042" t="s">
        <v>25</v>
      </c>
      <c r="Q1042" t="s">
        <v>1262</v>
      </c>
      <c r="R1042" t="s">
        <v>20</v>
      </c>
      <c r="S1042" t="str">
        <f>HYPERLINK("https://cfpub.epa.gov/ecotox/explore.cfm?ncbi=170557","Explore in ECOTOX")</f>
        <v>Explore in ECOTOX</v>
      </c>
    </row>
    <row r="1043" spans="1:19" x14ac:dyDescent="0.25">
      <c r="A1043">
        <v>6</v>
      </c>
      <c r="B1043" t="str">
        <f>HYPERLINK("http://www.ncbi.nlm.nih.gov/protein/XP_014668376.1","XP_014668376.1")</f>
        <v>XP_014668376.1</v>
      </c>
      <c r="C1043">
        <v>20818</v>
      </c>
      <c r="D1043" t="str">
        <f>HYPERLINK("http://www.ncbi.nlm.nih.gov/Taxonomy/Browser/wwwtax.cgi?mode=Info&amp;id=37621&amp;lvl=3&amp;lin=f&amp;keep=1&amp;srchmode=1&amp;unlock","37621")</f>
        <v>37621</v>
      </c>
      <c r="E1043" t="s">
        <v>720</v>
      </c>
      <c r="F1043" t="s">
        <v>720</v>
      </c>
      <c r="G1043" t="str">
        <f>HYPERLINK("http://www.ncbi.nlm.nih.gov/Taxonomy/Browser/wwwtax.cgi?mode=Info&amp;id=37621&amp;lvl=3&amp;lin=f&amp;keep=1&amp;srchmode=1&amp;unlock","Priapulus caudatus")</f>
        <v>Priapulus caudatus</v>
      </c>
      <c r="H1043" t="s">
        <v>721</v>
      </c>
      <c r="I1043" t="str">
        <f>HYPERLINK("http://www.ncbi.nlm.nih.gov/protein/XP_014668376.1","PREDICTED: estrogen receptor beta-like")</f>
        <v>PREDICTED: estrogen receptor beta-like</v>
      </c>
      <c r="J1043" t="s">
        <v>1261</v>
      </c>
      <c r="K1043">
        <v>73.94</v>
      </c>
      <c r="L1043" t="s">
        <v>25</v>
      </c>
      <c r="M1043">
        <v>157</v>
      </c>
      <c r="N1043">
        <v>62.55</v>
      </c>
      <c r="O1043">
        <v>14.38</v>
      </c>
      <c r="P1043" t="s">
        <v>25</v>
      </c>
      <c r="Q1043" t="s">
        <v>1262</v>
      </c>
      <c r="R1043" t="s">
        <v>20</v>
      </c>
      <c r="S1043" t="str">
        <f>HYPERLINK("https://cfpub.epa.gov/ecotox/explore.cfm?ncbi=37621","Explore in ECOTOX")</f>
        <v>Explore in ECOTOX</v>
      </c>
    </row>
    <row r="1044" spans="1:19" x14ac:dyDescent="0.25">
      <c r="A1044">
        <v>6</v>
      </c>
      <c r="B1044" t="str">
        <f>HYPERLINK("http://www.ncbi.nlm.nih.gov/protein/ACY66850.1","ACY66850.1")</f>
        <v>ACY66850.1</v>
      </c>
      <c r="C1044">
        <v>251</v>
      </c>
      <c r="D1044" t="str">
        <f>HYPERLINK("http://www.ncbi.nlm.nih.gov/Taxonomy/Browser/wwwtax.cgi?mode=Info&amp;id=315576&amp;lvl=3&amp;lin=f&amp;keep=1&amp;srchmode=1&amp;unlock","315576")</f>
        <v>315576</v>
      </c>
      <c r="E1044" t="s">
        <v>698</v>
      </c>
      <c r="F1044" t="s">
        <v>698</v>
      </c>
      <c r="G1044" t="str">
        <f>HYPERLINK("http://www.ncbi.nlm.nih.gov/Taxonomy/Browser/wwwtax.cgi?mode=Info&amp;id=315576&amp;lvl=3&amp;lin=f&amp;keep=1&amp;srchmode=1&amp;unlock","Chironomus riparius")</f>
        <v>Chironomus riparius</v>
      </c>
      <c r="H1044" t="s">
        <v>905</v>
      </c>
      <c r="I1044" t="str">
        <f>HYPERLINK("http://www.ncbi.nlm.nih.gov/protein/ACY66850.1","estrogen-related receptor")</f>
        <v>estrogen-related receptor</v>
      </c>
      <c r="J1044" t="s">
        <v>1261</v>
      </c>
      <c r="K1044">
        <v>73.94</v>
      </c>
      <c r="L1044" t="s">
        <v>25</v>
      </c>
      <c r="M1044">
        <v>157</v>
      </c>
      <c r="N1044">
        <v>62.55</v>
      </c>
      <c r="O1044">
        <v>14.38</v>
      </c>
      <c r="P1044" t="s">
        <v>25</v>
      </c>
      <c r="Q1044" t="s">
        <v>1262</v>
      </c>
      <c r="R1044" t="s">
        <v>20</v>
      </c>
      <c r="S1044" t="str">
        <f>HYPERLINK("https://cfpub.epa.gov/ecotox/explore.cfm?ncbi=315576","Explore in ECOTOX")</f>
        <v>Explore in ECOTOX</v>
      </c>
    </row>
    <row r="1045" spans="1:19" x14ac:dyDescent="0.25">
      <c r="A1045">
        <v>6</v>
      </c>
      <c r="B1045" t="str">
        <f>HYPERLINK("http://www.ncbi.nlm.nih.gov/protein/CAD7194429.1","CAD7194429.1")</f>
        <v>CAD7194429.1</v>
      </c>
      <c r="C1045">
        <v>14083</v>
      </c>
      <c r="D1045" t="str">
        <f>HYPERLINK("http://www.ncbi.nlm.nih.gov/Taxonomy/Browser/wwwtax.cgi?mode=Info&amp;id=61478&amp;lvl=3&amp;lin=f&amp;keep=1&amp;srchmode=1&amp;unlock","61478")</f>
        <v>61478</v>
      </c>
      <c r="E1045" t="s">
        <v>698</v>
      </c>
      <c r="F1045" t="s">
        <v>698</v>
      </c>
      <c r="G1045" t="str">
        <f>HYPERLINK("http://www.ncbi.nlm.nih.gov/Taxonomy/Browser/wwwtax.cgi?mode=Info&amp;id=61478&amp;lvl=3&amp;lin=f&amp;keep=1&amp;srchmode=1&amp;unlock","Timema douglasi")</f>
        <v>Timema douglasi</v>
      </c>
      <c r="H1045" t="s">
        <v>728</v>
      </c>
      <c r="I1045" t="str">
        <f>HYPERLINK("http://www.ncbi.nlm.nih.gov/protein/CAD7194429.1","unnamed protein product")</f>
        <v>unnamed protein product</v>
      </c>
      <c r="J1045" t="s">
        <v>1261</v>
      </c>
      <c r="K1045">
        <v>73.94</v>
      </c>
      <c r="L1045" t="s">
        <v>25</v>
      </c>
      <c r="M1045">
        <v>157</v>
      </c>
      <c r="N1045">
        <v>62.55</v>
      </c>
      <c r="O1045">
        <v>14.38</v>
      </c>
      <c r="P1045" t="s">
        <v>25</v>
      </c>
      <c r="Q1045" t="s">
        <v>1262</v>
      </c>
      <c r="R1045" t="s">
        <v>20</v>
      </c>
      <c r="S1045" t="str">
        <f>HYPERLINK("https://cfpub.epa.gov/ecotox/explore.cfm?ncbi=61478","Explore in ECOTOX")</f>
        <v>Explore in ECOTOX</v>
      </c>
    </row>
    <row r="1046" spans="1:19" x14ac:dyDescent="0.25">
      <c r="A1046">
        <v>6</v>
      </c>
      <c r="B1046" t="str">
        <f>HYPERLINK("http://www.ncbi.nlm.nih.gov/protein/CAB3243764.1","CAB3243764.1")</f>
        <v>CAB3243764.1</v>
      </c>
      <c r="C1046">
        <v>9702</v>
      </c>
      <c r="D1046" t="str">
        <f>HYPERLINK("http://www.ncbi.nlm.nih.gov/Taxonomy/Browser/wwwtax.cgi?mode=Info&amp;id=59560&amp;lvl=3&amp;lin=f&amp;keep=1&amp;srchmode=1&amp;unlock","59560")</f>
        <v>59560</v>
      </c>
      <c r="E1046" t="s">
        <v>691</v>
      </c>
      <c r="F1046" t="s">
        <v>691</v>
      </c>
      <c r="G1046" t="str">
        <f>HYPERLINK("http://www.ncbi.nlm.nih.gov/Taxonomy/Browser/wwwtax.cgi?mode=Info&amp;id=59560&amp;lvl=3&amp;lin=f&amp;keep=1&amp;srchmode=1&amp;unlock","Phallusia mammillata")</f>
        <v>Phallusia mammillata</v>
      </c>
      <c r="H1046" t="s">
        <v>692</v>
      </c>
      <c r="I1046" t="str">
        <f>HYPERLINK("http://www.ncbi.nlm.nih.gov/protein/CAB3243764.1","ERR estrogen-related receptor")</f>
        <v>ERR estrogen-related receptor</v>
      </c>
      <c r="J1046" t="s">
        <v>1261</v>
      </c>
      <c r="K1046">
        <v>73.94</v>
      </c>
      <c r="L1046" t="s">
        <v>25</v>
      </c>
      <c r="M1046">
        <v>157</v>
      </c>
      <c r="N1046">
        <v>62.55</v>
      </c>
      <c r="O1046">
        <v>14.38</v>
      </c>
      <c r="P1046" t="s">
        <v>25</v>
      </c>
      <c r="Q1046" t="s">
        <v>1262</v>
      </c>
      <c r="R1046" t="s">
        <v>20</v>
      </c>
      <c r="S1046" t="str">
        <f>HYPERLINK("https://cfpub.epa.gov/ecotox/explore.cfm?ncbi=59560","Explore in ECOTOX")</f>
        <v>Explore in ECOTOX</v>
      </c>
    </row>
    <row r="1047" spans="1:19" x14ac:dyDescent="0.25">
      <c r="A1047">
        <v>6</v>
      </c>
      <c r="B1047" t="str">
        <f>HYPERLINK("http://www.ncbi.nlm.nih.gov/protein/CAD7264360.1","CAD7264360.1")</f>
        <v>CAD7264360.1</v>
      </c>
      <c r="C1047">
        <v>14260</v>
      </c>
      <c r="D1047" t="str">
        <f>HYPERLINK("http://www.ncbi.nlm.nih.gov/Taxonomy/Browser/wwwtax.cgi?mode=Info&amp;id=629360&amp;lvl=3&amp;lin=f&amp;keep=1&amp;srchmode=1&amp;unlock","629360")</f>
        <v>629360</v>
      </c>
      <c r="E1047" t="s">
        <v>698</v>
      </c>
      <c r="F1047" t="s">
        <v>698</v>
      </c>
      <c r="G1047" t="str">
        <f>HYPERLINK("http://www.ncbi.nlm.nih.gov/Taxonomy/Browser/wwwtax.cgi?mode=Info&amp;id=629360&amp;lvl=3&amp;lin=f&amp;keep=1&amp;srchmode=1&amp;unlock","Timema shepardi")</f>
        <v>Timema shepardi</v>
      </c>
      <c r="H1047" t="s">
        <v>728</v>
      </c>
      <c r="I1047" t="str">
        <f>HYPERLINK("http://www.ncbi.nlm.nih.gov/protein/CAD7264360.1","unnamed protein product")</f>
        <v>unnamed protein product</v>
      </c>
      <c r="J1047" t="s">
        <v>1261</v>
      </c>
      <c r="K1047">
        <v>73.94</v>
      </c>
      <c r="L1047" t="s">
        <v>25</v>
      </c>
      <c r="M1047">
        <v>157</v>
      </c>
      <c r="N1047">
        <v>62.55</v>
      </c>
      <c r="O1047">
        <v>14.38</v>
      </c>
      <c r="P1047" t="s">
        <v>25</v>
      </c>
      <c r="Q1047" t="s">
        <v>1262</v>
      </c>
      <c r="R1047" t="s">
        <v>20</v>
      </c>
      <c r="S1047" t="str">
        <f>HYPERLINK("https://cfpub.epa.gov/ecotox/explore.cfm?ncbi=629360","Explore in ECOTOX")</f>
        <v>Explore in ECOTOX</v>
      </c>
    </row>
    <row r="1048" spans="1:19" x14ac:dyDescent="0.25">
      <c r="A1048">
        <v>6</v>
      </c>
      <c r="B1048" t="str">
        <f>HYPERLINK("http://www.ncbi.nlm.nih.gov/protein/CAD7601116.1","CAD7601116.1")</f>
        <v>CAD7601116.1</v>
      </c>
      <c r="C1048">
        <v>12278</v>
      </c>
      <c r="D1048" t="str">
        <f>HYPERLINK("http://www.ncbi.nlm.nih.gov/Taxonomy/Browser/wwwtax.cgi?mode=Info&amp;id=629358&amp;lvl=3&amp;lin=f&amp;keep=1&amp;srchmode=1&amp;unlock","629358")</f>
        <v>629358</v>
      </c>
      <c r="E1048" t="s">
        <v>698</v>
      </c>
      <c r="F1048" t="s">
        <v>698</v>
      </c>
      <c r="G1048" t="str">
        <f>HYPERLINK("http://www.ncbi.nlm.nih.gov/Taxonomy/Browser/wwwtax.cgi?mode=Info&amp;id=629358&amp;lvl=3&amp;lin=f&amp;keep=1&amp;srchmode=1&amp;unlock","Timema genevievae")</f>
        <v>Timema genevievae</v>
      </c>
      <c r="H1048" t="s">
        <v>728</v>
      </c>
      <c r="I1048" t="str">
        <f>HYPERLINK("http://www.ncbi.nlm.nih.gov/protein/CAD7601116.1","unnamed protein product")</f>
        <v>unnamed protein product</v>
      </c>
      <c r="J1048" t="s">
        <v>1261</v>
      </c>
      <c r="K1048">
        <v>73.94</v>
      </c>
      <c r="L1048" t="s">
        <v>25</v>
      </c>
      <c r="M1048">
        <v>157</v>
      </c>
      <c r="N1048">
        <v>62.55</v>
      </c>
      <c r="O1048">
        <v>14.38</v>
      </c>
      <c r="P1048" t="s">
        <v>25</v>
      </c>
      <c r="Q1048" t="s">
        <v>1262</v>
      </c>
      <c r="R1048" t="s">
        <v>20</v>
      </c>
      <c r="S1048" t="str">
        <f>HYPERLINK("https://cfpub.epa.gov/ecotox/explore.cfm?ncbi=629358","Explore in ECOTOX")</f>
        <v>Explore in ECOTOX</v>
      </c>
    </row>
    <row r="1049" spans="1:19" x14ac:dyDescent="0.25">
      <c r="A1049">
        <v>6</v>
      </c>
      <c r="B1049" t="str">
        <f>HYPERLINK("http://www.ncbi.nlm.nih.gov/protein/CRL02986.1","CRL02986.1")</f>
        <v>CRL02986.1</v>
      </c>
      <c r="C1049">
        <v>22648</v>
      </c>
      <c r="D1049" t="str">
        <f>HYPERLINK("http://www.ncbi.nlm.nih.gov/Taxonomy/Browser/wwwtax.cgi?mode=Info&amp;id=568069&amp;lvl=3&amp;lin=f&amp;keep=1&amp;srchmode=1&amp;unlock","568069")</f>
        <v>568069</v>
      </c>
      <c r="E1049" t="s">
        <v>698</v>
      </c>
      <c r="F1049" t="s">
        <v>698</v>
      </c>
      <c r="G1049" t="str">
        <f>HYPERLINK("http://www.ncbi.nlm.nih.gov/Taxonomy/Browser/wwwtax.cgi?mode=Info&amp;id=568069&amp;lvl=3&amp;lin=f&amp;keep=1&amp;srchmode=1&amp;unlock","Clunio marinus")</f>
        <v>Clunio marinus</v>
      </c>
      <c r="H1049" t="s">
        <v>905</v>
      </c>
      <c r="I1049" t="str">
        <f>HYPERLINK("http://www.ncbi.nlm.nih.gov/protein/CRL02986.1","CLUMA_CG016461, isoform A")</f>
        <v>CLUMA_CG016461, isoform A</v>
      </c>
      <c r="J1049" t="s">
        <v>1261</v>
      </c>
      <c r="K1049">
        <v>72.790000000000006</v>
      </c>
      <c r="L1049" t="s">
        <v>25</v>
      </c>
      <c r="M1049">
        <v>157</v>
      </c>
      <c r="N1049">
        <v>62.55</v>
      </c>
      <c r="O1049">
        <v>14.15</v>
      </c>
      <c r="P1049" t="s">
        <v>25</v>
      </c>
      <c r="Q1049" t="s">
        <v>1262</v>
      </c>
      <c r="R1049" t="s">
        <v>20</v>
      </c>
      <c r="S1049" t="str">
        <f>HYPERLINK("https://cfpub.epa.gov/ecotox/explore.cfm?ncbi=568069","Explore in ECOTOX")</f>
        <v>Explore in ECOTOX</v>
      </c>
    </row>
    <row r="1050" spans="1:19" x14ac:dyDescent="0.25">
      <c r="A1050">
        <v>6</v>
      </c>
      <c r="B1050" t="str">
        <f>HYPERLINK("http://www.ncbi.nlm.nih.gov/protein/XP_018025020.1","XP_018025020.1")</f>
        <v>XP_018025020.1</v>
      </c>
      <c r="C1050">
        <v>32131</v>
      </c>
      <c r="D1050" t="str">
        <f>HYPERLINK("http://www.ncbi.nlm.nih.gov/Taxonomy/Browser/wwwtax.cgi?mode=Info&amp;id=294128&amp;lvl=3&amp;lin=f&amp;keep=1&amp;srchmode=1&amp;unlock","294128")</f>
        <v>294128</v>
      </c>
      <c r="E1050" t="s">
        <v>742</v>
      </c>
      <c r="F1050" t="s">
        <v>742</v>
      </c>
      <c r="G1050" t="str">
        <f>HYPERLINK("http://www.ncbi.nlm.nih.gov/Taxonomy/Browser/wwwtax.cgi?mode=Info&amp;id=294128&amp;lvl=3&amp;lin=f&amp;keep=1&amp;srchmode=1&amp;unlock","Hyalella azteca")</f>
        <v>Hyalella azteca</v>
      </c>
      <c r="H1050" t="s">
        <v>773</v>
      </c>
      <c r="I1050" t="str">
        <f>HYPERLINK("http://www.ncbi.nlm.nih.gov/protein/XP_018025020.1","PREDICTED: steroid hormone receptor ERR1-like isoform X3")</f>
        <v>PREDICTED: steroid hormone receptor ERR1-like isoform X3</v>
      </c>
      <c r="J1050" t="s">
        <v>1261</v>
      </c>
      <c r="K1050">
        <v>72.790000000000006</v>
      </c>
      <c r="L1050" t="s">
        <v>25</v>
      </c>
      <c r="M1050">
        <v>157</v>
      </c>
      <c r="N1050">
        <v>62.55</v>
      </c>
      <c r="O1050">
        <v>14.15</v>
      </c>
      <c r="P1050" t="s">
        <v>25</v>
      </c>
      <c r="Q1050" t="s">
        <v>1262</v>
      </c>
      <c r="R1050" t="s">
        <v>20</v>
      </c>
      <c r="S1050" t="str">
        <f>HYPERLINK("https://cfpub.epa.gov/ecotox/explore.cfm?ncbi=294128","Explore in ECOTOX")</f>
        <v>Explore in ECOTOX</v>
      </c>
    </row>
    <row r="1051" spans="1:19" x14ac:dyDescent="0.25">
      <c r="A1051">
        <v>6</v>
      </c>
      <c r="B1051" t="str">
        <f>HYPERLINK("http://www.ncbi.nlm.nih.gov/protein/XP_026314901.1","XP_026314901.1")</f>
        <v>XP_026314901.1</v>
      </c>
      <c r="C1051">
        <v>20440</v>
      </c>
      <c r="D1051" t="str">
        <f>HYPERLINK("http://www.ncbi.nlm.nih.gov/Taxonomy/Browser/wwwtax.cgi?mode=Info&amp;id=1477025&amp;lvl=3&amp;lin=f&amp;keep=1&amp;srchmode=1&amp;unlock","1477025")</f>
        <v>1477025</v>
      </c>
      <c r="E1051" t="s">
        <v>698</v>
      </c>
      <c r="F1051" t="s">
        <v>698</v>
      </c>
      <c r="G1051" t="str">
        <f>HYPERLINK("http://www.ncbi.nlm.nih.gov/Taxonomy/Browser/wwwtax.cgi?mode=Info&amp;id=1477025&amp;lvl=3&amp;lin=f&amp;keep=1&amp;srchmode=1&amp;unlock","Hyposmocoma kahamanoa")</f>
        <v>Hyposmocoma kahamanoa</v>
      </c>
      <c r="H1051" t="s">
        <v>868</v>
      </c>
      <c r="I1051" t="str">
        <f>HYPERLINK("http://www.ncbi.nlm.nih.gov/protein/XP_026314901.1","steroid hormone receptor ERR1")</f>
        <v>steroid hormone receptor ERR1</v>
      </c>
      <c r="J1051" t="s">
        <v>1261</v>
      </c>
      <c r="K1051">
        <v>72.790000000000006</v>
      </c>
      <c r="L1051" t="s">
        <v>25</v>
      </c>
      <c r="M1051">
        <v>157</v>
      </c>
      <c r="N1051">
        <v>62.55</v>
      </c>
      <c r="O1051">
        <v>14.15</v>
      </c>
      <c r="P1051" t="s">
        <v>25</v>
      </c>
      <c r="Q1051" t="s">
        <v>1262</v>
      </c>
      <c r="R1051" t="s">
        <v>20</v>
      </c>
      <c r="S1051" t="str">
        <f>HYPERLINK("https://cfpub.epa.gov/ecotox/explore.cfm?ncbi=1477025","Explore in ECOTOX")</f>
        <v>Explore in ECOTOX</v>
      </c>
    </row>
    <row r="1052" spans="1:19" x14ac:dyDescent="0.25">
      <c r="A1052">
        <v>6</v>
      </c>
      <c r="B1052" t="str">
        <f>HYPERLINK("http://www.ncbi.nlm.nih.gov/protein/AID52852.1","AID52852.1")</f>
        <v>AID52852.1</v>
      </c>
      <c r="C1052">
        <v>524</v>
      </c>
      <c r="D1052" t="str">
        <f>HYPERLINK("http://www.ncbi.nlm.nih.gov/Taxonomy/Browser/wwwtax.cgi?mode=Info&amp;id=158387&amp;lvl=3&amp;lin=f&amp;keep=1&amp;srchmode=1&amp;unlock","158387")</f>
        <v>158387</v>
      </c>
      <c r="E1052" t="s">
        <v>760</v>
      </c>
      <c r="F1052" t="s">
        <v>760</v>
      </c>
      <c r="G1052" t="str">
        <f>HYPERLINK("http://www.ncbi.nlm.nih.gov/Taxonomy/Browser/wwwtax.cgi?mode=Info&amp;id=158387&amp;lvl=3&amp;lin=f&amp;keep=1&amp;srchmode=1&amp;unlock","Tigriopus japonicus")</f>
        <v>Tigriopus japonicus</v>
      </c>
      <c r="H1052" t="s">
        <v>778</v>
      </c>
      <c r="I1052" t="str">
        <f>HYPERLINK("http://www.ncbi.nlm.nih.gov/protein/AID52852.1","estrogen related receptor")</f>
        <v>estrogen related receptor</v>
      </c>
      <c r="J1052" t="s">
        <v>1261</v>
      </c>
      <c r="K1052">
        <v>72.790000000000006</v>
      </c>
      <c r="L1052" t="s">
        <v>25</v>
      </c>
      <c r="M1052">
        <v>157</v>
      </c>
      <c r="N1052">
        <v>62.55</v>
      </c>
      <c r="O1052">
        <v>14.15</v>
      </c>
      <c r="P1052" t="s">
        <v>25</v>
      </c>
      <c r="Q1052" t="s">
        <v>1262</v>
      </c>
      <c r="R1052" t="s">
        <v>20</v>
      </c>
      <c r="S1052" t="str">
        <f>HYPERLINK("https://cfpub.epa.gov/ecotox/explore.cfm?ncbi=158387","Explore in ECOTOX")</f>
        <v>Explore in ECOTOX</v>
      </c>
    </row>
    <row r="1053" spans="1:19" x14ac:dyDescent="0.25">
      <c r="A1053">
        <v>6</v>
      </c>
      <c r="B1053" t="str">
        <f>HYPERLINK("http://www.ncbi.nlm.nih.gov/protein/CAD7430456.1","CAD7430456.1")</f>
        <v>CAD7430456.1</v>
      </c>
      <c r="C1053">
        <v>13140</v>
      </c>
      <c r="D1053" t="str">
        <f>HYPERLINK("http://www.ncbi.nlm.nih.gov/Taxonomy/Browser/wwwtax.cgi?mode=Info&amp;id=170555&amp;lvl=3&amp;lin=f&amp;keep=1&amp;srchmode=1&amp;unlock","170555")</f>
        <v>170555</v>
      </c>
      <c r="E1053" t="s">
        <v>698</v>
      </c>
      <c r="F1053" t="s">
        <v>698</v>
      </c>
      <c r="G1053" t="str">
        <f>HYPERLINK("http://www.ncbi.nlm.nih.gov/Taxonomy/Browser/wwwtax.cgi?mode=Info&amp;id=170555&amp;lvl=3&amp;lin=f&amp;keep=1&amp;srchmode=1&amp;unlock","Timema monikensis")</f>
        <v>Timema monikensis</v>
      </c>
      <c r="H1053" t="s">
        <v>728</v>
      </c>
      <c r="I1053" t="str">
        <f>HYPERLINK("http://www.ncbi.nlm.nih.gov/protein/CAD7430456.1","unnamed protein product")</f>
        <v>unnamed protein product</v>
      </c>
      <c r="J1053" t="s">
        <v>1261</v>
      </c>
      <c r="K1053">
        <v>72.790000000000006</v>
      </c>
      <c r="L1053" t="s">
        <v>25</v>
      </c>
      <c r="M1053">
        <v>157</v>
      </c>
      <c r="N1053">
        <v>62.55</v>
      </c>
      <c r="O1053">
        <v>14.15</v>
      </c>
      <c r="P1053" t="s">
        <v>25</v>
      </c>
      <c r="Q1053" t="s">
        <v>1262</v>
      </c>
      <c r="R1053" t="s">
        <v>20</v>
      </c>
      <c r="S1053" t="str">
        <f>HYPERLINK("https://cfpub.epa.gov/ecotox/explore.cfm?ncbi=170555","Explore in ECOTOX")</f>
        <v>Explore in ECOTOX</v>
      </c>
    </row>
    <row r="1054" spans="1:19" x14ac:dyDescent="0.25">
      <c r="A1054">
        <v>6</v>
      </c>
      <c r="B1054" t="str">
        <f>HYPERLINK("http://www.ncbi.nlm.nih.gov/protein/BAC66480.2","BAC66480.2")</f>
        <v>BAC66480.2</v>
      </c>
      <c r="C1054">
        <v>155</v>
      </c>
      <c r="D1054" t="str">
        <f>HYPERLINK("http://www.ncbi.nlm.nih.gov/Taxonomy/Browser/wwwtax.cgi?mode=Info&amp;id=272940&amp;lvl=3&amp;lin=f&amp;keep=1&amp;srchmode=1&amp;unlock","272940")</f>
        <v>272940</v>
      </c>
      <c r="E1054" t="s">
        <v>763</v>
      </c>
      <c r="F1054" t="s">
        <v>763</v>
      </c>
      <c r="G1054" t="str">
        <f>HYPERLINK("http://www.ncbi.nlm.nih.gov/Taxonomy/Browser/wwwtax.cgi?mode=Info&amp;id=272940&amp;lvl=3&amp;lin=f&amp;keep=1&amp;srchmode=1&amp;unlock","Reishia clavigera")</f>
        <v>Reishia clavigera</v>
      </c>
      <c r="H1054" t="s">
        <v>946</v>
      </c>
      <c r="I1054" t="str">
        <f>HYPERLINK("http://www.ncbi.nlm.nih.gov/protein/BAC66480.2","estrogen receptor")</f>
        <v>estrogen receptor</v>
      </c>
      <c r="J1054" t="s">
        <v>1261</v>
      </c>
      <c r="K1054">
        <v>72.400000000000006</v>
      </c>
      <c r="L1054" t="s">
        <v>25</v>
      </c>
      <c r="M1054">
        <v>157</v>
      </c>
      <c r="N1054">
        <v>62.55</v>
      </c>
      <c r="O1054">
        <v>14.08</v>
      </c>
      <c r="P1054" t="s">
        <v>25</v>
      </c>
      <c r="Q1054" t="s">
        <v>1262</v>
      </c>
      <c r="R1054" t="s">
        <v>20</v>
      </c>
      <c r="S1054" t="str">
        <f>HYPERLINK("https://cfpub.epa.gov/ecotox/explore.cfm?ncbi=272940","Explore in ECOTOX")</f>
        <v>Explore in ECOTOX</v>
      </c>
    </row>
    <row r="1055" spans="1:19" x14ac:dyDescent="0.25">
      <c r="A1055">
        <v>6</v>
      </c>
      <c r="B1055" t="str">
        <f>HYPERLINK("http://www.ncbi.nlm.nih.gov/protein/BBE52666.1","BBE52666.1")</f>
        <v>BBE52666.1</v>
      </c>
      <c r="C1055">
        <v>48</v>
      </c>
      <c r="D1055" t="str">
        <f>HYPERLINK("http://www.ncbi.nlm.nih.gov/Taxonomy/Browser/wwwtax.cgi?mode=Info&amp;id=85585&amp;lvl=3&amp;lin=f&amp;keep=1&amp;srchmode=1&amp;unlock","85585")</f>
        <v>85585</v>
      </c>
      <c r="E1055" t="s">
        <v>698</v>
      </c>
      <c r="F1055" t="s">
        <v>698</v>
      </c>
      <c r="G1055" t="str">
        <f>HYPERLINK("http://www.ncbi.nlm.nih.gov/Taxonomy/Browser/wwwtax.cgi?mode=Info&amp;id=85585&amp;lvl=3&amp;lin=f&amp;keep=1&amp;srchmode=1&amp;unlock","Adoxophyes honmai")</f>
        <v>Adoxophyes honmai</v>
      </c>
      <c r="H1055" t="s">
        <v>1166</v>
      </c>
      <c r="I1055" t="str">
        <f>HYPERLINK("http://www.ncbi.nlm.nih.gov/protein/BBE52666.1","Ultraspiracle")</f>
        <v>Ultraspiracle</v>
      </c>
      <c r="J1055" t="s">
        <v>1261</v>
      </c>
      <c r="K1055">
        <v>72.400000000000006</v>
      </c>
      <c r="L1055" t="s">
        <v>25</v>
      </c>
      <c r="M1055">
        <v>157</v>
      </c>
      <c r="N1055">
        <v>62.55</v>
      </c>
      <c r="O1055">
        <v>14.08</v>
      </c>
      <c r="P1055" t="s">
        <v>25</v>
      </c>
      <c r="Q1055" t="s">
        <v>1262</v>
      </c>
      <c r="R1055" t="s">
        <v>20</v>
      </c>
      <c r="S1055" t="str">
        <f>HYPERLINK("https://cfpub.epa.gov/ecotox/explore.cfm?ncbi=85585","Explore in ECOTOX")</f>
        <v>Explore in ECOTOX</v>
      </c>
    </row>
    <row r="1056" spans="1:19" x14ac:dyDescent="0.25">
      <c r="A1056">
        <v>6</v>
      </c>
      <c r="B1056" t="str">
        <f>HYPERLINK("http://www.ncbi.nlm.nih.gov/protein/QOU81379.1","QOU81379.1")</f>
        <v>QOU81379.1</v>
      </c>
      <c r="C1056">
        <v>162</v>
      </c>
      <c r="D1056" t="str">
        <f>HYPERLINK("http://www.ncbi.nlm.nih.gov/Taxonomy/Browser/wwwtax.cgi?mode=Info&amp;id=940481&amp;lvl=3&amp;lin=f&amp;keep=1&amp;srchmode=1&amp;unlock","940481")</f>
        <v>940481</v>
      </c>
      <c r="E1056" t="s">
        <v>698</v>
      </c>
      <c r="F1056" t="s">
        <v>698</v>
      </c>
      <c r="G1056" t="str">
        <f>HYPERLINK("http://www.ncbi.nlm.nih.gov/Taxonomy/Browser/wwwtax.cgi?mode=Info&amp;id=940481&amp;lvl=3&amp;lin=f&amp;keep=1&amp;srchmode=1&amp;unlock","Conopomorpha sinensis")</f>
        <v>Conopomorpha sinensis</v>
      </c>
      <c r="H1056" t="s">
        <v>1172</v>
      </c>
      <c r="I1056" t="str">
        <f>HYPERLINK("http://www.ncbi.nlm.nih.gov/protein/QOU81379.1","ultraspiracle protein isoform 2")</f>
        <v>ultraspiracle protein isoform 2</v>
      </c>
      <c r="J1056" t="s">
        <v>1261</v>
      </c>
      <c r="K1056">
        <v>72.400000000000006</v>
      </c>
      <c r="L1056" t="s">
        <v>25</v>
      </c>
      <c r="M1056">
        <v>157</v>
      </c>
      <c r="N1056">
        <v>62.55</v>
      </c>
      <c r="O1056">
        <v>14.08</v>
      </c>
      <c r="P1056" t="s">
        <v>25</v>
      </c>
      <c r="Q1056" t="s">
        <v>1262</v>
      </c>
      <c r="R1056" t="s">
        <v>20</v>
      </c>
      <c r="S1056" t="str">
        <f>HYPERLINK("https://cfpub.epa.gov/ecotox/explore.cfm?ncbi=940481","Explore in ECOTOX")</f>
        <v>Explore in ECOTOX</v>
      </c>
    </row>
    <row r="1057" spans="1:19" x14ac:dyDescent="0.25">
      <c r="A1057">
        <v>6</v>
      </c>
      <c r="B1057" t="str">
        <f>HYPERLINK("http://www.ncbi.nlm.nih.gov/protein/ABY64738.1","ABY64738.1")</f>
        <v>ABY64738.1</v>
      </c>
      <c r="C1057">
        <v>41</v>
      </c>
      <c r="D1057" t="str">
        <f>HYPERLINK("http://www.ncbi.nlm.nih.gov/Taxonomy/Browser/wwwtax.cgi?mode=Info&amp;id=230833&amp;lvl=3&amp;lin=f&amp;keep=1&amp;srchmode=1&amp;unlock","230833")</f>
        <v>230833</v>
      </c>
      <c r="E1057" t="s">
        <v>18</v>
      </c>
      <c r="F1057" t="s">
        <v>18</v>
      </c>
      <c r="G1057" t="str">
        <f>HYPERLINK("http://www.ncbi.nlm.nih.gov/Taxonomy/Browser/wwwtax.cgi?mode=Info&amp;id=230833&amp;lvl=3&amp;lin=f&amp;keep=1&amp;srchmode=1&amp;unlock","Plecturocebus donacophilus")</f>
        <v>Plecturocebus donacophilus</v>
      </c>
      <c r="H1057" t="s">
        <v>1123</v>
      </c>
      <c r="I1057" t="str">
        <f>HYPERLINK("http://www.ncbi.nlm.nih.gov/protein/ABY64738.1","estrogen receptor beta")</f>
        <v>estrogen receptor beta</v>
      </c>
      <c r="J1057" t="s">
        <v>1261</v>
      </c>
      <c r="K1057">
        <v>72.02</v>
      </c>
      <c r="L1057" t="s">
        <v>25</v>
      </c>
      <c r="M1057">
        <v>157</v>
      </c>
      <c r="N1057">
        <v>62.55</v>
      </c>
      <c r="O1057">
        <v>14.01</v>
      </c>
      <c r="P1057" t="s">
        <v>20</v>
      </c>
      <c r="Q1057" t="s">
        <v>1262</v>
      </c>
      <c r="R1057" t="s">
        <v>20</v>
      </c>
      <c r="S1057" t="str">
        <f>HYPERLINK("https://cfpub.epa.gov/ecotox/explore.cfm?ncbi=230833","Explore in ECOTOX")</f>
        <v>Explore in ECOTOX</v>
      </c>
    </row>
    <row r="1058" spans="1:19" x14ac:dyDescent="0.25">
      <c r="A1058">
        <v>6</v>
      </c>
      <c r="B1058" t="str">
        <f>HYPERLINK("http://www.ncbi.nlm.nih.gov/protein/ALB78124.1","ALB78124.1")</f>
        <v>ALB78124.1</v>
      </c>
      <c r="C1058">
        <v>129</v>
      </c>
      <c r="D1058" t="str">
        <f>HYPERLINK("http://www.ncbi.nlm.nih.gov/Taxonomy/Browser/wwwtax.cgi?mode=Info&amp;id=9508&amp;lvl=3&amp;lin=f&amp;keep=1&amp;srchmode=1&amp;unlock","9508")</f>
        <v>9508</v>
      </c>
      <c r="E1058" t="s">
        <v>18</v>
      </c>
      <c r="F1058" t="s">
        <v>18</v>
      </c>
      <c r="G1058" t="str">
        <f>HYPERLINK("http://www.ncbi.nlm.nih.gov/Taxonomy/Browser/wwwtax.cgi?mode=Info&amp;id=9508&amp;lvl=3&amp;lin=f&amp;keep=1&amp;srchmode=1&amp;unlock","Ateles fusciceps")</f>
        <v>Ateles fusciceps</v>
      </c>
      <c r="H1058" t="s">
        <v>1124</v>
      </c>
      <c r="I1058" t="str">
        <f>HYPERLINK("http://www.ncbi.nlm.nih.gov/protein/ALB78124.1","estrogen receptor beta")</f>
        <v>estrogen receptor beta</v>
      </c>
      <c r="J1058" t="s">
        <v>1261</v>
      </c>
      <c r="K1058">
        <v>72.02</v>
      </c>
      <c r="L1058" t="s">
        <v>25</v>
      </c>
      <c r="M1058">
        <v>157</v>
      </c>
      <c r="N1058">
        <v>62.55</v>
      </c>
      <c r="O1058">
        <v>14.01</v>
      </c>
      <c r="P1058" t="s">
        <v>20</v>
      </c>
      <c r="Q1058" t="s">
        <v>1262</v>
      </c>
      <c r="R1058" t="s">
        <v>20</v>
      </c>
      <c r="S1058" t="str">
        <f>HYPERLINK("https://cfpub.epa.gov/ecotox/explore.cfm?ncbi=9508","Explore in ECOTOX")</f>
        <v>Explore in ECOTOX</v>
      </c>
    </row>
    <row r="1059" spans="1:19" x14ac:dyDescent="0.25">
      <c r="A1059">
        <v>6</v>
      </c>
      <c r="B1059" t="str">
        <f>HYPERLINK("http://www.ncbi.nlm.nih.gov/protein/AQN67829.1","AQN67829.1")</f>
        <v>AQN67829.1</v>
      </c>
      <c r="C1059">
        <v>20114</v>
      </c>
      <c r="D1059" t="str">
        <f>HYPERLINK("http://www.ncbi.nlm.nih.gov/Taxonomy/Browser/wwwtax.cgi?mode=Info&amp;id=7539&amp;lvl=3&amp;lin=f&amp;keep=1&amp;srchmode=1&amp;unlock","7539")</f>
        <v>7539</v>
      </c>
      <c r="E1059" t="s">
        <v>698</v>
      </c>
      <c r="F1059" t="s">
        <v>698</v>
      </c>
      <c r="G1059" t="str">
        <f>HYPERLINK("http://www.ncbi.nlm.nih.gov/Taxonomy/Browser/wwwtax.cgi?mode=Info&amp;id=7539&amp;lvl=3&amp;lin=f&amp;keep=1&amp;srchmode=1&amp;unlock","Leptinotarsa decemlineata")</f>
        <v>Leptinotarsa decemlineata</v>
      </c>
      <c r="H1059" t="s">
        <v>866</v>
      </c>
      <c r="I1059" t="str">
        <f>HYPERLINK("http://www.ncbi.nlm.nih.gov/protein/AQN67829.1","estrogen related receptor")</f>
        <v>estrogen related receptor</v>
      </c>
      <c r="J1059" t="s">
        <v>1261</v>
      </c>
      <c r="K1059">
        <v>72.02</v>
      </c>
      <c r="L1059" t="s">
        <v>25</v>
      </c>
      <c r="M1059">
        <v>157</v>
      </c>
      <c r="N1059">
        <v>62.55</v>
      </c>
      <c r="O1059">
        <v>14.01</v>
      </c>
      <c r="P1059" t="s">
        <v>25</v>
      </c>
      <c r="Q1059" t="s">
        <v>1262</v>
      </c>
      <c r="R1059" t="s">
        <v>20</v>
      </c>
      <c r="S1059" t="str">
        <f>HYPERLINK("https://cfpub.epa.gov/ecotox/explore.cfm?ncbi=7539","Explore in ECOTOX")</f>
        <v>Explore in ECOTOX</v>
      </c>
    </row>
    <row r="1060" spans="1:19" x14ac:dyDescent="0.25">
      <c r="A1060">
        <v>6</v>
      </c>
      <c r="B1060" t="str">
        <f>HYPERLINK("http://www.ncbi.nlm.nih.gov/protein/ACM16808.1","ACM16808.1")</f>
        <v>ACM16808.1</v>
      </c>
      <c r="C1060">
        <v>362</v>
      </c>
      <c r="D1060" t="str">
        <f>HYPERLINK("http://www.ncbi.nlm.nih.gov/Taxonomy/Browser/wwwtax.cgi?mode=Info&amp;id=106299&amp;lvl=3&amp;lin=f&amp;keep=1&amp;srchmode=1&amp;unlock","106299")</f>
        <v>106299</v>
      </c>
      <c r="E1060" t="s">
        <v>709</v>
      </c>
      <c r="F1060" t="s">
        <v>709</v>
      </c>
      <c r="G1060" t="str">
        <f>HYPERLINK("http://www.ncbi.nlm.nih.gov/Taxonomy/Browser/wwwtax.cgi?mode=Info&amp;id=106299&amp;lvl=3&amp;lin=f&amp;keep=1&amp;srchmode=1&amp;unlock","Azumapecten farreri")</f>
        <v>Azumapecten farreri</v>
      </c>
      <c r="H1060" t="s">
        <v>1115</v>
      </c>
      <c r="I1060" t="str">
        <f>HYPERLINK("http://www.ncbi.nlm.nih.gov/protein/ACM16808.1","estrogen receptor")</f>
        <v>estrogen receptor</v>
      </c>
      <c r="J1060" t="s">
        <v>1261</v>
      </c>
      <c r="K1060">
        <v>71.63</v>
      </c>
      <c r="L1060" t="s">
        <v>25</v>
      </c>
      <c r="M1060">
        <v>157</v>
      </c>
      <c r="N1060">
        <v>62.55</v>
      </c>
      <c r="O1060">
        <v>13.93</v>
      </c>
      <c r="P1060" t="s">
        <v>25</v>
      </c>
      <c r="Q1060" t="s">
        <v>1262</v>
      </c>
      <c r="R1060" t="s">
        <v>20</v>
      </c>
      <c r="S1060" t="str">
        <f>HYPERLINK("https://cfpub.epa.gov/ecotox/explore.cfm?ncbi=106299","Explore in ECOTOX")</f>
        <v>Explore in ECOTOX</v>
      </c>
    </row>
    <row r="1061" spans="1:19" x14ac:dyDescent="0.25">
      <c r="A1061">
        <v>6</v>
      </c>
      <c r="B1061" t="str">
        <f>HYPERLINK("http://www.ncbi.nlm.nih.gov/protein/ABY64737.1","ABY64737.1")</f>
        <v>ABY64737.1</v>
      </c>
      <c r="C1061">
        <v>100</v>
      </c>
      <c r="D1061" t="str">
        <f>HYPERLINK("http://www.ncbi.nlm.nih.gov/Taxonomy/Browser/wwwtax.cgi?mode=Info&amp;id=43777&amp;lvl=3&amp;lin=f&amp;keep=1&amp;srchmode=1&amp;unlock","43777")</f>
        <v>43777</v>
      </c>
      <c r="E1061" t="s">
        <v>18</v>
      </c>
      <c r="F1061" t="s">
        <v>18</v>
      </c>
      <c r="G1061" t="str">
        <f>HYPERLINK("http://www.ncbi.nlm.nih.gov/Taxonomy/Browser/wwwtax.cgi?mode=Info&amp;id=43777&amp;lvl=3&amp;lin=f&amp;keep=1&amp;srchmode=1&amp;unlock","Pithecia pithecia")</f>
        <v>Pithecia pithecia</v>
      </c>
      <c r="H1061" t="s">
        <v>1126</v>
      </c>
      <c r="I1061" t="str">
        <f>HYPERLINK("http://www.ncbi.nlm.nih.gov/protein/ABY64737.1","estrogen receptor beta")</f>
        <v>estrogen receptor beta</v>
      </c>
      <c r="J1061" t="s">
        <v>1261</v>
      </c>
      <c r="K1061">
        <v>71.63</v>
      </c>
      <c r="L1061" t="s">
        <v>25</v>
      </c>
      <c r="M1061">
        <v>157</v>
      </c>
      <c r="N1061">
        <v>62.55</v>
      </c>
      <c r="O1061">
        <v>13.93</v>
      </c>
      <c r="P1061" t="s">
        <v>20</v>
      </c>
      <c r="Q1061" t="s">
        <v>1262</v>
      </c>
      <c r="R1061" t="s">
        <v>20</v>
      </c>
      <c r="S1061" t="str">
        <f>HYPERLINK("https://cfpub.epa.gov/ecotox/explore.cfm?ncbi=43777","Explore in ECOTOX")</f>
        <v>Explore in ECOTOX</v>
      </c>
    </row>
    <row r="1062" spans="1:19" x14ac:dyDescent="0.25">
      <c r="A1062">
        <v>6</v>
      </c>
      <c r="B1062" t="str">
        <f>HYPERLINK("http://www.ncbi.nlm.nih.gov/protein/KAF5299097.1","KAF5299097.1")</f>
        <v>KAF5299097.1</v>
      </c>
      <c r="C1062">
        <v>20480</v>
      </c>
      <c r="D1062" t="str">
        <f>HYPERLINK("http://www.ncbi.nlm.nih.gov/Taxonomy/Browser/wwwtax.cgi?mode=Info&amp;id=2069292&amp;lvl=3&amp;lin=f&amp;keep=1&amp;srchmode=1&amp;unlock","2069292")</f>
        <v>2069292</v>
      </c>
      <c r="E1062" t="s">
        <v>698</v>
      </c>
      <c r="F1062" t="s">
        <v>698</v>
      </c>
      <c r="G1062" t="str">
        <f>HYPERLINK("http://www.ncbi.nlm.nih.gov/Taxonomy/Browser/wwwtax.cgi?mode=Info&amp;id=2069292&amp;lvl=3&amp;lin=f&amp;keep=1&amp;srchmode=1&amp;unlock","Abscondita terminalis")</f>
        <v>Abscondita terminalis</v>
      </c>
      <c r="H1062" t="s">
        <v>892</v>
      </c>
      <c r="I1062" t="str">
        <f>HYPERLINK("http://www.ncbi.nlm.nih.gov/protein/KAF5299097.1","hypothetical protein FQR65_LT09455")</f>
        <v>hypothetical protein FQR65_LT09455</v>
      </c>
      <c r="J1062" t="s">
        <v>1261</v>
      </c>
      <c r="K1062">
        <v>71.63</v>
      </c>
      <c r="L1062" t="s">
        <v>25</v>
      </c>
      <c r="M1062">
        <v>157</v>
      </c>
      <c r="N1062">
        <v>62.55</v>
      </c>
      <c r="O1062">
        <v>13.93</v>
      </c>
      <c r="P1062" t="s">
        <v>25</v>
      </c>
      <c r="Q1062" t="s">
        <v>1262</v>
      </c>
      <c r="R1062" t="s">
        <v>20</v>
      </c>
      <c r="S1062" t="str">
        <f>HYPERLINK("https://cfpub.epa.gov/ecotox/explore.cfm?ncbi=2069292","Explore in ECOTOX")</f>
        <v>Explore in ECOTOX</v>
      </c>
    </row>
    <row r="1063" spans="1:19" x14ac:dyDescent="0.25">
      <c r="A1063">
        <v>6</v>
      </c>
      <c r="B1063" t="str">
        <f>HYPERLINK("http://www.ncbi.nlm.nih.gov/protein/XP_040565089.1","XP_040565089.1")</f>
        <v>XP_040565089.1</v>
      </c>
      <c r="C1063">
        <v>58528</v>
      </c>
      <c r="D1063" t="str">
        <f>HYPERLINK("http://www.ncbi.nlm.nih.gov/Taxonomy/Browser/wwwtax.cgi?mode=Info&amp;id=72036&amp;lvl=3&amp;lin=f&amp;keep=1&amp;srchmode=1&amp;unlock","72036")</f>
        <v>72036</v>
      </c>
      <c r="E1063" t="s">
        <v>760</v>
      </c>
      <c r="F1063" t="s">
        <v>760</v>
      </c>
      <c r="G1063" t="str">
        <f>HYPERLINK("http://www.ncbi.nlm.nih.gov/Taxonomy/Browser/wwwtax.cgi?mode=Info&amp;id=72036&amp;lvl=3&amp;lin=f&amp;keep=1&amp;srchmode=1&amp;unlock","Lepeophtheirus salmonis")</f>
        <v>Lepeophtheirus salmonis</v>
      </c>
      <c r="H1063" t="s">
        <v>917</v>
      </c>
      <c r="I1063" t="str">
        <f>HYPERLINK("http://www.ncbi.nlm.nih.gov/protein/XP_040565089.1","steroid hormone receptor ERR2-like isoform X4")</f>
        <v>steroid hormone receptor ERR2-like isoform X4</v>
      </c>
      <c r="J1063" t="s">
        <v>1261</v>
      </c>
      <c r="K1063">
        <v>71.63</v>
      </c>
      <c r="L1063" t="s">
        <v>25</v>
      </c>
      <c r="M1063">
        <v>157</v>
      </c>
      <c r="N1063">
        <v>62.55</v>
      </c>
      <c r="O1063">
        <v>13.93</v>
      </c>
      <c r="P1063" t="s">
        <v>25</v>
      </c>
      <c r="Q1063" t="s">
        <v>1262</v>
      </c>
      <c r="R1063" t="s">
        <v>20</v>
      </c>
      <c r="S1063" t="str">
        <f>HYPERLINK("https://cfpub.epa.gov/ecotox/explore.cfm?ncbi=72036","Explore in ECOTOX")</f>
        <v>Explore in ECOTOX</v>
      </c>
    </row>
    <row r="1064" spans="1:19" x14ac:dyDescent="0.25">
      <c r="A1064">
        <v>6</v>
      </c>
      <c r="B1064" t="str">
        <f>HYPERLINK("http://www.ncbi.nlm.nih.gov/protein/KAF2353317.1","KAF2353317.1")</f>
        <v>KAF2353317.1</v>
      </c>
      <c r="C1064">
        <v>26118</v>
      </c>
      <c r="D1064" t="str">
        <f>HYPERLINK("http://www.ncbi.nlm.nih.gov/Taxonomy/Browser/wwwtax.cgi?mode=Info&amp;id=1923959&amp;lvl=3&amp;lin=f&amp;keep=1&amp;srchmode=1&amp;unlock","1923959")</f>
        <v>1923959</v>
      </c>
      <c r="E1064" t="s">
        <v>742</v>
      </c>
      <c r="F1064" t="s">
        <v>742</v>
      </c>
      <c r="G1064" t="str">
        <f>HYPERLINK("http://www.ncbi.nlm.nih.gov/Taxonomy/Browser/wwwtax.cgi?mode=Info&amp;id=1923959&amp;lvl=3&amp;lin=f&amp;keep=1&amp;srchmode=1&amp;unlock","Trinorchestia longiramus")</f>
        <v>Trinorchestia longiramus</v>
      </c>
      <c r="H1064" t="s">
        <v>773</v>
      </c>
      <c r="I1064" t="str">
        <f>HYPERLINK("http://www.ncbi.nlm.nih.gov/protein/KAF2353317.1","Nuclear hormone receptor ligand-binding domain")</f>
        <v>Nuclear hormone receptor ligand-binding domain</v>
      </c>
      <c r="J1064" t="s">
        <v>1261</v>
      </c>
      <c r="K1064">
        <v>71.63</v>
      </c>
      <c r="L1064" t="s">
        <v>25</v>
      </c>
      <c r="M1064">
        <v>157</v>
      </c>
      <c r="N1064">
        <v>62.55</v>
      </c>
      <c r="O1064">
        <v>13.93</v>
      </c>
      <c r="P1064" t="s">
        <v>25</v>
      </c>
      <c r="Q1064" t="s">
        <v>1262</v>
      </c>
      <c r="R1064" t="s">
        <v>20</v>
      </c>
      <c r="S1064" t="str">
        <f>HYPERLINK("https://cfpub.epa.gov/ecotox/explore.cfm?ncbi=1923959","Explore in ECOTOX")</f>
        <v>Explore in ECOTOX</v>
      </c>
    </row>
    <row r="1065" spans="1:19" x14ac:dyDescent="0.25">
      <c r="A1065">
        <v>6</v>
      </c>
      <c r="B1065" t="str">
        <f>HYPERLINK("http://www.ncbi.nlm.nih.gov/protein/ABQ96884.1","ABQ96884.1")</f>
        <v>ABQ96884.1</v>
      </c>
      <c r="C1065">
        <v>67</v>
      </c>
      <c r="D1065" t="str">
        <f>HYPERLINK("http://www.ncbi.nlm.nih.gov/Taxonomy/Browser/wwwtax.cgi?mode=Info&amp;id=51631&amp;lvl=3&amp;lin=f&amp;keep=1&amp;srchmode=1&amp;unlock","51631")</f>
        <v>51631</v>
      </c>
      <c r="E1065" t="s">
        <v>763</v>
      </c>
      <c r="F1065" t="s">
        <v>763</v>
      </c>
      <c r="G1065" t="str">
        <f>HYPERLINK("http://www.ncbi.nlm.nih.gov/Taxonomy/Browser/wwwtax.cgi?mode=Info&amp;id=51631&amp;lvl=3&amp;lin=f&amp;keep=1&amp;srchmode=1&amp;unlock","Nucella lapillus")</f>
        <v>Nucella lapillus</v>
      </c>
      <c r="H1065" t="s">
        <v>946</v>
      </c>
      <c r="I1065" t="str">
        <f>HYPERLINK("http://www.ncbi.nlm.nih.gov/protein/ABQ96884.1","estrogen receptor")</f>
        <v>estrogen receptor</v>
      </c>
      <c r="J1065" t="s">
        <v>1261</v>
      </c>
      <c r="K1065">
        <v>71.25</v>
      </c>
      <c r="L1065" t="s">
        <v>25</v>
      </c>
      <c r="M1065">
        <v>157</v>
      </c>
      <c r="N1065">
        <v>62.55</v>
      </c>
      <c r="O1065">
        <v>13.86</v>
      </c>
      <c r="P1065" t="s">
        <v>25</v>
      </c>
      <c r="Q1065" t="s">
        <v>1262</v>
      </c>
      <c r="R1065" t="s">
        <v>20</v>
      </c>
      <c r="S1065" t="str">
        <f>HYPERLINK("https://cfpub.epa.gov/ecotox/explore.cfm?ncbi=51631","Explore in ECOTOX")</f>
        <v>Explore in ECOTOX</v>
      </c>
    </row>
    <row r="1066" spans="1:19" x14ac:dyDescent="0.25">
      <c r="A1066">
        <v>6</v>
      </c>
      <c r="B1066" t="str">
        <f>HYPERLINK("http://www.ncbi.nlm.nih.gov/protein/ENN81341.1","ENN81341.1")</f>
        <v>ENN81341.1</v>
      </c>
      <c r="C1066">
        <v>49508</v>
      </c>
      <c r="D1066" t="str">
        <f>HYPERLINK("http://www.ncbi.nlm.nih.gov/Taxonomy/Browser/wwwtax.cgi?mode=Info&amp;id=77166&amp;lvl=3&amp;lin=f&amp;keep=1&amp;srchmode=1&amp;unlock","77166")</f>
        <v>77166</v>
      </c>
      <c r="E1066" t="s">
        <v>698</v>
      </c>
      <c r="F1066" t="s">
        <v>698</v>
      </c>
      <c r="G1066" t="str">
        <f>HYPERLINK("http://www.ncbi.nlm.nih.gov/Taxonomy/Browser/wwwtax.cgi?mode=Info&amp;id=77166&amp;lvl=3&amp;lin=f&amp;keep=1&amp;srchmode=1&amp;unlock","Dendroctonus ponderosae")</f>
        <v>Dendroctonus ponderosae</v>
      </c>
      <c r="H1066" t="s">
        <v>1140</v>
      </c>
      <c r="I1066" t="str">
        <f>HYPERLINK("http://www.ncbi.nlm.nih.gov/protein/ENN81341.1","hypothetical protein YQE_02252, partial")</f>
        <v>hypothetical protein YQE_02252, partial</v>
      </c>
      <c r="J1066" t="s">
        <v>1261</v>
      </c>
      <c r="K1066">
        <v>71.25</v>
      </c>
      <c r="L1066" t="s">
        <v>25</v>
      </c>
      <c r="M1066">
        <v>157</v>
      </c>
      <c r="N1066">
        <v>62.55</v>
      </c>
      <c r="O1066">
        <v>13.86</v>
      </c>
      <c r="P1066" t="s">
        <v>25</v>
      </c>
      <c r="Q1066" t="s">
        <v>1262</v>
      </c>
      <c r="R1066" t="s">
        <v>20</v>
      </c>
      <c r="S1066" t="str">
        <f>HYPERLINK("https://cfpub.epa.gov/ecotox/explore.cfm?ncbi=77166","Explore in ECOTOX")</f>
        <v>Explore in ECOTOX</v>
      </c>
    </row>
    <row r="1067" spans="1:19" x14ac:dyDescent="0.25">
      <c r="A1067">
        <v>6</v>
      </c>
      <c r="B1067" t="str">
        <f>HYPERLINK("http://www.ncbi.nlm.nih.gov/protein/XP_018328922.1","XP_018328922.1")</f>
        <v>XP_018328922.1</v>
      </c>
      <c r="C1067">
        <v>22259</v>
      </c>
      <c r="D1067" t="str">
        <f>HYPERLINK("http://www.ncbi.nlm.nih.gov/Taxonomy/Browser/wwwtax.cgi?mode=Info&amp;id=224129&amp;lvl=3&amp;lin=f&amp;keep=1&amp;srchmode=1&amp;unlock","224129")</f>
        <v>224129</v>
      </c>
      <c r="E1067" t="s">
        <v>698</v>
      </c>
      <c r="F1067" t="s">
        <v>698</v>
      </c>
      <c r="G1067" t="str">
        <f>HYPERLINK("http://www.ncbi.nlm.nih.gov/Taxonomy/Browser/wwwtax.cgi?mode=Info&amp;id=224129&amp;lvl=3&amp;lin=f&amp;keep=1&amp;srchmode=1&amp;unlock","Agrilus planipennis")</f>
        <v>Agrilus planipennis</v>
      </c>
      <c r="H1067" t="s">
        <v>931</v>
      </c>
      <c r="I1067" t="str">
        <f>HYPERLINK("http://www.ncbi.nlm.nih.gov/protein/XP_018328922.1","steroid hormone receptor ERR1 isoform X2")</f>
        <v>steroid hormone receptor ERR1 isoform X2</v>
      </c>
      <c r="J1067" t="s">
        <v>1261</v>
      </c>
      <c r="K1067">
        <v>71.25</v>
      </c>
      <c r="L1067" t="s">
        <v>25</v>
      </c>
      <c r="M1067">
        <v>157</v>
      </c>
      <c r="N1067">
        <v>62.55</v>
      </c>
      <c r="O1067">
        <v>13.86</v>
      </c>
      <c r="P1067" t="s">
        <v>25</v>
      </c>
      <c r="Q1067" t="s">
        <v>1262</v>
      </c>
      <c r="R1067" t="s">
        <v>20</v>
      </c>
      <c r="S1067" t="str">
        <f>HYPERLINK("https://cfpub.epa.gov/ecotox/explore.cfm?ncbi=224129","Explore in ECOTOX")</f>
        <v>Explore in ECOTOX</v>
      </c>
    </row>
    <row r="1068" spans="1:19" x14ac:dyDescent="0.25">
      <c r="A1068">
        <v>6</v>
      </c>
      <c r="B1068" t="str">
        <f>HYPERLINK("http://www.ncbi.nlm.nih.gov/protein/XP_018575647.1","XP_018575647.1")</f>
        <v>XP_018575647.1</v>
      </c>
      <c r="C1068">
        <v>20924</v>
      </c>
      <c r="D1068" t="str">
        <f>HYPERLINK("http://www.ncbi.nlm.nih.gov/Taxonomy/Browser/wwwtax.cgi?mode=Info&amp;id=217634&amp;lvl=3&amp;lin=f&amp;keep=1&amp;srchmode=1&amp;unlock","217634")</f>
        <v>217634</v>
      </c>
      <c r="E1068" t="s">
        <v>698</v>
      </c>
      <c r="F1068" t="s">
        <v>698</v>
      </c>
      <c r="G1068" t="str">
        <f>HYPERLINK("http://www.ncbi.nlm.nih.gov/Taxonomy/Browser/wwwtax.cgi?mode=Info&amp;id=217634&amp;lvl=3&amp;lin=f&amp;keep=1&amp;srchmode=1&amp;unlock","Anoplophora glabripennis")</f>
        <v>Anoplophora glabripennis</v>
      </c>
      <c r="H1068" t="s">
        <v>878</v>
      </c>
      <c r="I1068" t="str">
        <f>HYPERLINK("http://www.ncbi.nlm.nih.gov/protein/XP_018575647.1","steroid hormone receptor ERR1 isoform X2")</f>
        <v>steroid hormone receptor ERR1 isoform X2</v>
      </c>
      <c r="J1068" t="s">
        <v>1261</v>
      </c>
      <c r="K1068">
        <v>71.25</v>
      </c>
      <c r="L1068" t="s">
        <v>25</v>
      </c>
      <c r="M1068">
        <v>157</v>
      </c>
      <c r="N1068">
        <v>62.55</v>
      </c>
      <c r="O1068">
        <v>13.86</v>
      </c>
      <c r="P1068" t="s">
        <v>25</v>
      </c>
      <c r="Q1068" t="s">
        <v>1262</v>
      </c>
      <c r="R1068" t="s">
        <v>20</v>
      </c>
      <c r="S1068" t="str">
        <f>HYPERLINK("https://cfpub.epa.gov/ecotox/explore.cfm?ncbi=217634","Explore in ECOTOX")</f>
        <v>Explore in ECOTOX</v>
      </c>
    </row>
    <row r="1069" spans="1:19" x14ac:dyDescent="0.25">
      <c r="A1069">
        <v>6</v>
      </c>
      <c r="B1069" t="str">
        <f>HYPERLINK("http://www.ncbi.nlm.nih.gov/protein/XP_033733859.1","XP_033733859.1")</f>
        <v>XP_033733859.1</v>
      </c>
      <c r="C1069">
        <v>40008</v>
      </c>
      <c r="D1069" t="str">
        <f>HYPERLINK("http://www.ncbi.nlm.nih.gov/Taxonomy/Browser/wwwtax.cgi?mode=Info&amp;id=6579&amp;lvl=3&amp;lin=f&amp;keep=1&amp;srchmode=1&amp;unlock","6579")</f>
        <v>6579</v>
      </c>
      <c r="E1069" t="s">
        <v>709</v>
      </c>
      <c r="F1069" t="s">
        <v>709</v>
      </c>
      <c r="G1069" t="str">
        <f>HYPERLINK("http://www.ncbi.nlm.nih.gov/Taxonomy/Browser/wwwtax.cgi?mode=Info&amp;id=6579&amp;lvl=3&amp;lin=f&amp;keep=1&amp;srchmode=1&amp;unlock","Pecten maximus")</f>
        <v>Pecten maximus</v>
      </c>
      <c r="H1069" t="s">
        <v>740</v>
      </c>
      <c r="I1069" t="str">
        <f>HYPERLINK("http://www.ncbi.nlm.nih.gov/protein/XP_033733859.1","estrogen receptor-like isoform X2")</f>
        <v>estrogen receptor-like isoform X2</v>
      </c>
      <c r="J1069" t="s">
        <v>1261</v>
      </c>
      <c r="K1069">
        <v>70.86</v>
      </c>
      <c r="L1069" t="s">
        <v>25</v>
      </c>
      <c r="M1069">
        <v>157</v>
      </c>
      <c r="N1069">
        <v>62.55</v>
      </c>
      <c r="O1069">
        <v>13.78</v>
      </c>
      <c r="P1069" t="s">
        <v>25</v>
      </c>
      <c r="Q1069" t="s">
        <v>1262</v>
      </c>
      <c r="R1069" t="s">
        <v>20</v>
      </c>
      <c r="S1069" t="str">
        <f>HYPERLINK("https://cfpub.epa.gov/ecotox/explore.cfm?ncbi=6579","Explore in ECOTOX")</f>
        <v>Explore in ECOTOX</v>
      </c>
    </row>
    <row r="1070" spans="1:19" x14ac:dyDescent="0.25">
      <c r="A1070">
        <v>6</v>
      </c>
      <c r="B1070" t="str">
        <f>HYPERLINK("http://www.ncbi.nlm.nih.gov/protein/XP_024216821.1","XP_024216821.1")</f>
        <v>XP_024216821.1</v>
      </c>
      <c r="C1070">
        <v>26486</v>
      </c>
      <c r="D1070" t="str">
        <f>HYPERLINK("http://www.ncbi.nlm.nih.gov/Taxonomy/Browser/wwwtax.cgi?mode=Info&amp;id=286706&amp;lvl=3&amp;lin=f&amp;keep=1&amp;srchmode=1&amp;unlock","286706")</f>
        <v>286706</v>
      </c>
      <c r="E1070" t="s">
        <v>698</v>
      </c>
      <c r="F1070" t="s">
        <v>698</v>
      </c>
      <c r="G1070" t="str">
        <f>HYPERLINK("http://www.ncbi.nlm.nih.gov/Taxonomy/Browser/wwwtax.cgi?mode=Info&amp;id=286706&amp;lvl=3&amp;lin=f&amp;keep=1&amp;srchmode=1&amp;unlock","Halyomorpha halys")</f>
        <v>Halyomorpha halys</v>
      </c>
      <c r="H1070" t="s">
        <v>739</v>
      </c>
      <c r="I1070" t="str">
        <f>HYPERLINK("http://www.ncbi.nlm.nih.gov/protein/XP_024216821.1","steroid hormone receptor ERR1 isoform X1")</f>
        <v>steroid hormone receptor ERR1 isoform X1</v>
      </c>
      <c r="J1070" t="s">
        <v>1261</v>
      </c>
      <c r="K1070">
        <v>70.86</v>
      </c>
      <c r="L1070" t="s">
        <v>25</v>
      </c>
      <c r="M1070">
        <v>157</v>
      </c>
      <c r="N1070">
        <v>62.55</v>
      </c>
      <c r="O1070">
        <v>13.78</v>
      </c>
      <c r="P1070" t="s">
        <v>25</v>
      </c>
      <c r="Q1070" t="s">
        <v>1262</v>
      </c>
      <c r="R1070" t="s">
        <v>20</v>
      </c>
      <c r="S1070" t="str">
        <f>HYPERLINK("https://cfpub.epa.gov/ecotox/explore.cfm?ncbi=286706","Explore in ECOTOX")</f>
        <v>Explore in ECOTOX</v>
      </c>
    </row>
    <row r="1071" spans="1:19" x14ac:dyDescent="0.25">
      <c r="A1071">
        <v>6</v>
      </c>
      <c r="B1071" t="str">
        <f>HYPERLINK("http://www.ncbi.nlm.nih.gov/protein/AHM10266.1","AHM10266.1")</f>
        <v>AHM10266.1</v>
      </c>
      <c r="C1071">
        <v>15</v>
      </c>
      <c r="D1071" t="str">
        <f>HYPERLINK("http://www.ncbi.nlm.nih.gov/Taxonomy/Browser/wwwtax.cgi?mode=Info&amp;id=6478&amp;lvl=3&amp;lin=f&amp;keep=1&amp;srchmode=1&amp;unlock","6478")</f>
        <v>6478</v>
      </c>
      <c r="E1071" t="s">
        <v>763</v>
      </c>
      <c r="F1071" t="s">
        <v>763</v>
      </c>
      <c r="G1071" t="str">
        <f>HYPERLINK("http://www.ncbi.nlm.nih.gov/Taxonomy/Browser/wwwtax.cgi?mode=Info&amp;id=6478&amp;lvl=3&amp;lin=f&amp;keep=1&amp;srchmode=1&amp;unlock","Bithynia tentaculata")</f>
        <v>Bithynia tentaculata</v>
      </c>
      <c r="H1071" t="s">
        <v>946</v>
      </c>
      <c r="I1071" t="str">
        <f>HYPERLINK("http://www.ncbi.nlm.nih.gov/protein/AHM10266.1","estrogen receptor, partial")</f>
        <v>estrogen receptor, partial</v>
      </c>
      <c r="J1071" t="s">
        <v>1261</v>
      </c>
      <c r="K1071">
        <v>70.86</v>
      </c>
      <c r="L1071" t="s">
        <v>25</v>
      </c>
      <c r="M1071">
        <v>157</v>
      </c>
      <c r="N1071">
        <v>62.55</v>
      </c>
      <c r="O1071">
        <v>13.78</v>
      </c>
      <c r="P1071" t="s">
        <v>25</v>
      </c>
      <c r="Q1071" t="s">
        <v>1262</v>
      </c>
      <c r="R1071" t="s">
        <v>20</v>
      </c>
      <c r="S1071" t="str">
        <f>HYPERLINK("https://cfpub.epa.gov/ecotox/explore.cfm?ncbi=6478","Explore in ECOTOX")</f>
        <v>Explore in ECOTOX</v>
      </c>
    </row>
    <row r="1072" spans="1:19" x14ac:dyDescent="0.25">
      <c r="A1072">
        <v>6</v>
      </c>
      <c r="B1072" t="str">
        <f>HYPERLINK("http://www.ncbi.nlm.nih.gov/protein/XP_021374788.1","XP_021374788.1")</f>
        <v>XP_021374788.1</v>
      </c>
      <c r="C1072">
        <v>64380</v>
      </c>
      <c r="D1072" t="str">
        <f>HYPERLINK("http://www.ncbi.nlm.nih.gov/Taxonomy/Browser/wwwtax.cgi?mode=Info&amp;id=6573&amp;lvl=3&amp;lin=f&amp;keep=1&amp;srchmode=1&amp;unlock","6573")</f>
        <v>6573</v>
      </c>
      <c r="E1072" t="s">
        <v>709</v>
      </c>
      <c r="F1072" t="s">
        <v>709</v>
      </c>
      <c r="G1072" t="str">
        <f>HYPERLINK("http://www.ncbi.nlm.nih.gov/Taxonomy/Browser/wwwtax.cgi?mode=Info&amp;id=6573&amp;lvl=3&amp;lin=f&amp;keep=1&amp;srchmode=1&amp;unlock","Mizuhopecten yessoensis")</f>
        <v>Mizuhopecten yessoensis</v>
      </c>
      <c r="H1072" t="s">
        <v>710</v>
      </c>
      <c r="I1072" t="str">
        <f>HYPERLINK("http://www.ncbi.nlm.nih.gov/protein/XP_021374788.1","estrogen receptor-like isoform X2")</f>
        <v>estrogen receptor-like isoform X2</v>
      </c>
      <c r="J1072" t="s">
        <v>1261</v>
      </c>
      <c r="K1072">
        <v>70.48</v>
      </c>
      <c r="L1072" t="s">
        <v>25</v>
      </c>
      <c r="M1072">
        <v>157</v>
      </c>
      <c r="N1072">
        <v>62.55</v>
      </c>
      <c r="O1072">
        <v>13.71</v>
      </c>
      <c r="P1072" t="s">
        <v>25</v>
      </c>
      <c r="Q1072" t="s">
        <v>1262</v>
      </c>
      <c r="R1072" t="s">
        <v>20</v>
      </c>
      <c r="S1072" t="str">
        <f>HYPERLINK("https://cfpub.epa.gov/ecotox/explore.cfm?ncbi=6573","Explore in ECOTOX")</f>
        <v>Explore in ECOTOX</v>
      </c>
    </row>
    <row r="1073" spans="1:19" x14ac:dyDescent="0.25">
      <c r="A1073">
        <v>6</v>
      </c>
      <c r="B1073" t="str">
        <f>HYPERLINK("http://www.ncbi.nlm.nih.gov/protein/CAF3596236.1","CAF3596236.1")</f>
        <v>CAF3596236.1</v>
      </c>
      <c r="C1073">
        <v>441131</v>
      </c>
      <c r="D1073" t="str">
        <f>HYPERLINK("http://www.ncbi.nlm.nih.gov/Taxonomy/Browser/wwwtax.cgi?mode=Info&amp;id=2762511&amp;lvl=3&amp;lin=f&amp;keep=1&amp;srchmode=1&amp;unlock","2762511")</f>
        <v>2762511</v>
      </c>
      <c r="E1073" t="s">
        <v>855</v>
      </c>
      <c r="F1073" t="s">
        <v>855</v>
      </c>
      <c r="G1073" t="str">
        <f>HYPERLINK("http://www.ncbi.nlm.nih.gov/Taxonomy/Browser/wwwtax.cgi?mode=Info&amp;id=2762511&amp;lvl=3&amp;lin=f&amp;keep=1&amp;srchmode=1&amp;unlock","Rotaria sp. Silwood1")</f>
        <v>Rotaria sp. Silwood1</v>
      </c>
      <c r="H1073" t="s">
        <v>856</v>
      </c>
      <c r="I1073" t="str">
        <f>HYPERLINK("http://www.ncbi.nlm.nih.gov/protein/CAF3596236.1","unnamed protein product")</f>
        <v>unnamed protein product</v>
      </c>
      <c r="J1073" t="s">
        <v>1261</v>
      </c>
      <c r="K1073">
        <v>70.48</v>
      </c>
      <c r="L1073" t="s">
        <v>25</v>
      </c>
      <c r="M1073">
        <v>157</v>
      </c>
      <c r="N1073">
        <v>62.55</v>
      </c>
      <c r="O1073">
        <v>13.71</v>
      </c>
      <c r="P1073" t="s">
        <v>25</v>
      </c>
      <c r="Q1073" t="s">
        <v>1262</v>
      </c>
      <c r="R1073" t="s">
        <v>20</v>
      </c>
      <c r="S1073" t="str">
        <f>HYPERLINK("https://cfpub.epa.gov/ecotox/explore.cfm?ncbi=2762511","Explore in ECOTOX")</f>
        <v>Explore in ECOTOX</v>
      </c>
    </row>
    <row r="1074" spans="1:19" x14ac:dyDescent="0.25">
      <c r="A1074">
        <v>6</v>
      </c>
      <c r="B1074" t="str">
        <f>HYPERLINK("http://www.ncbi.nlm.nih.gov/protein/XP_028162042.1","XP_028162042.1")</f>
        <v>XP_028162042.1</v>
      </c>
      <c r="C1074">
        <v>24721</v>
      </c>
      <c r="D1074" t="str">
        <f>HYPERLINK("http://www.ncbi.nlm.nih.gov/Taxonomy/Browser/wwwtax.cgi?mode=Info&amp;id=93504&amp;lvl=3&amp;lin=f&amp;keep=1&amp;srchmode=1&amp;unlock","93504")</f>
        <v>93504</v>
      </c>
      <c r="E1074" t="s">
        <v>698</v>
      </c>
      <c r="F1074" t="s">
        <v>698</v>
      </c>
      <c r="G1074" t="str">
        <f>HYPERLINK("http://www.ncbi.nlm.nih.gov/Taxonomy/Browser/wwwtax.cgi?mode=Info&amp;id=93504&amp;lvl=3&amp;lin=f&amp;keep=1&amp;srchmode=1&amp;unlock","Ostrinia furnacalis")</f>
        <v>Ostrinia furnacalis</v>
      </c>
      <c r="H1074" t="s">
        <v>1150</v>
      </c>
      <c r="I1074" t="str">
        <f>HYPERLINK("http://www.ncbi.nlm.nih.gov/protein/XP_028162042.1","steroid hormone receptor ERR1-like isoform X3")</f>
        <v>steroid hormone receptor ERR1-like isoform X3</v>
      </c>
      <c r="J1074" t="s">
        <v>1261</v>
      </c>
      <c r="K1074">
        <v>70.48</v>
      </c>
      <c r="L1074" t="s">
        <v>25</v>
      </c>
      <c r="M1074">
        <v>157</v>
      </c>
      <c r="N1074">
        <v>62.55</v>
      </c>
      <c r="O1074">
        <v>13.71</v>
      </c>
      <c r="P1074" t="s">
        <v>25</v>
      </c>
      <c r="Q1074" t="s">
        <v>1262</v>
      </c>
      <c r="R1074" t="s">
        <v>20</v>
      </c>
      <c r="S1074" t="str">
        <f>HYPERLINK("https://cfpub.epa.gov/ecotox/explore.cfm?ncbi=93504","Explore in ECOTOX")</f>
        <v>Explore in ECOTOX</v>
      </c>
    </row>
    <row r="1075" spans="1:19" x14ac:dyDescent="0.25">
      <c r="A1075">
        <v>6</v>
      </c>
      <c r="B1075" t="str">
        <f>HYPERLINK("http://www.ncbi.nlm.nih.gov/protein/CAF0775408.1","CAF0775408.1")</f>
        <v>CAF0775408.1</v>
      </c>
      <c r="C1075">
        <v>412312</v>
      </c>
      <c r="D1075" t="str">
        <f>HYPERLINK("http://www.ncbi.nlm.nih.gov/Taxonomy/Browser/wwwtax.cgi?mode=Info&amp;id=433720&amp;lvl=3&amp;lin=f&amp;keep=1&amp;srchmode=1&amp;unlock","433720")</f>
        <v>433720</v>
      </c>
      <c r="E1075" t="s">
        <v>855</v>
      </c>
      <c r="F1075" t="s">
        <v>855</v>
      </c>
      <c r="G1075" t="str">
        <f>HYPERLINK("http://www.ncbi.nlm.nih.gov/Taxonomy/Browser/wwwtax.cgi?mode=Info&amp;id=433720&amp;lvl=3&amp;lin=f&amp;keep=1&amp;srchmode=1&amp;unlock","Adineta steineri")</f>
        <v>Adineta steineri</v>
      </c>
      <c r="H1075" t="s">
        <v>856</v>
      </c>
      <c r="I1075" t="str">
        <f>HYPERLINK("http://www.ncbi.nlm.nih.gov/protein/CAF0775408.1","unnamed protein product")</f>
        <v>unnamed protein product</v>
      </c>
      <c r="J1075" t="s">
        <v>1261</v>
      </c>
      <c r="K1075">
        <v>70.09</v>
      </c>
      <c r="L1075" t="s">
        <v>25</v>
      </c>
      <c r="M1075">
        <v>157</v>
      </c>
      <c r="N1075">
        <v>62.55</v>
      </c>
      <c r="O1075">
        <v>13.63</v>
      </c>
      <c r="P1075" t="s">
        <v>25</v>
      </c>
      <c r="Q1075" t="s">
        <v>1262</v>
      </c>
      <c r="R1075" t="s">
        <v>20</v>
      </c>
      <c r="S1075" t="str">
        <f>HYPERLINK("https://cfpub.epa.gov/ecotox/explore.cfm?ncbi=433720","Explore in ECOTOX")</f>
        <v>Explore in ECOTOX</v>
      </c>
    </row>
    <row r="1076" spans="1:19" x14ac:dyDescent="0.25">
      <c r="A1076">
        <v>6</v>
      </c>
      <c r="B1076" t="str">
        <f>HYPERLINK("http://www.ncbi.nlm.nih.gov/protein/XP_017785267.1","XP_017785267.1")</f>
        <v>XP_017785267.1</v>
      </c>
      <c r="C1076">
        <v>19616</v>
      </c>
      <c r="D1076" t="str">
        <f>HYPERLINK("http://www.ncbi.nlm.nih.gov/Taxonomy/Browser/wwwtax.cgi?mode=Info&amp;id=110193&amp;lvl=3&amp;lin=f&amp;keep=1&amp;srchmode=1&amp;unlock","110193")</f>
        <v>110193</v>
      </c>
      <c r="E1076" t="s">
        <v>698</v>
      </c>
      <c r="F1076" t="s">
        <v>698</v>
      </c>
      <c r="G1076" t="str">
        <f>HYPERLINK("http://www.ncbi.nlm.nih.gov/Taxonomy/Browser/wwwtax.cgi?mode=Info&amp;id=110193&amp;lvl=3&amp;lin=f&amp;keep=1&amp;srchmode=1&amp;unlock","Nicrophorus vespilloides")</f>
        <v>Nicrophorus vespilloides</v>
      </c>
      <c r="H1076" t="s">
        <v>935</v>
      </c>
      <c r="I1076" t="str">
        <f>HYPERLINK("http://www.ncbi.nlm.nih.gov/protein/XP_017785267.1","PREDICTED: steroid hormone receptor ERR2")</f>
        <v>PREDICTED: steroid hormone receptor ERR2</v>
      </c>
      <c r="J1076" t="s">
        <v>1261</v>
      </c>
      <c r="K1076">
        <v>70.09</v>
      </c>
      <c r="L1076" t="s">
        <v>25</v>
      </c>
      <c r="M1076">
        <v>157</v>
      </c>
      <c r="N1076">
        <v>62.55</v>
      </c>
      <c r="O1076">
        <v>13.63</v>
      </c>
      <c r="P1076" t="s">
        <v>25</v>
      </c>
      <c r="Q1076" t="s">
        <v>1262</v>
      </c>
      <c r="R1076" t="s">
        <v>20</v>
      </c>
      <c r="S1076" t="str">
        <f>HYPERLINK("https://cfpub.epa.gov/ecotox/explore.cfm?ncbi=110193","Explore in ECOTOX")</f>
        <v>Explore in ECOTOX</v>
      </c>
    </row>
    <row r="1077" spans="1:19" x14ac:dyDescent="0.25">
      <c r="A1077">
        <v>6</v>
      </c>
      <c r="B1077" t="str">
        <f>HYPERLINK("http://www.ncbi.nlm.nih.gov/protein/RUS86260.1","RUS86260.1")</f>
        <v>RUS86260.1</v>
      </c>
      <c r="C1077">
        <v>23933</v>
      </c>
      <c r="D1077" t="str">
        <f>HYPERLINK("http://www.ncbi.nlm.nih.gov/Taxonomy/Browser/wwwtax.cgi?mode=Info&amp;id=188477&amp;lvl=3&amp;lin=f&amp;keep=1&amp;srchmode=1&amp;unlock","188477")</f>
        <v>188477</v>
      </c>
      <c r="E1077" t="s">
        <v>763</v>
      </c>
      <c r="F1077" t="s">
        <v>763</v>
      </c>
      <c r="G1077" t="str">
        <f>HYPERLINK("http://www.ncbi.nlm.nih.gov/Taxonomy/Browser/wwwtax.cgi?mode=Info&amp;id=188477&amp;lvl=3&amp;lin=f&amp;keep=1&amp;srchmode=1&amp;unlock","Elysia chlorotica")</f>
        <v>Elysia chlorotica</v>
      </c>
      <c r="H1077" t="s">
        <v>899</v>
      </c>
      <c r="I1077" t="str">
        <f>HYPERLINK("http://www.ncbi.nlm.nih.gov/protein/RUS86260.1","hypothetical protein EGW08_006002")</f>
        <v>hypothetical protein EGW08_006002</v>
      </c>
      <c r="J1077" t="s">
        <v>1261</v>
      </c>
      <c r="K1077">
        <v>70.09</v>
      </c>
      <c r="L1077" t="s">
        <v>25</v>
      </c>
      <c r="M1077">
        <v>157</v>
      </c>
      <c r="N1077">
        <v>62.55</v>
      </c>
      <c r="O1077">
        <v>13.63</v>
      </c>
      <c r="P1077" t="s">
        <v>25</v>
      </c>
      <c r="Q1077" t="s">
        <v>1262</v>
      </c>
      <c r="R1077" t="s">
        <v>20</v>
      </c>
      <c r="S1077" t="str">
        <f>HYPERLINK("https://cfpub.epa.gov/ecotox/explore.cfm?ncbi=188477","Explore in ECOTOX")</f>
        <v>Explore in ECOTOX</v>
      </c>
    </row>
    <row r="1078" spans="1:19" x14ac:dyDescent="0.25">
      <c r="A1078">
        <v>6</v>
      </c>
      <c r="B1078" t="str">
        <f>HYPERLINK("http://www.ncbi.nlm.nih.gov/protein/QJE49261.1","QJE49261.1")</f>
        <v>QJE49261.1</v>
      </c>
      <c r="C1078">
        <v>182</v>
      </c>
      <c r="D1078" t="str">
        <f>HYPERLINK("http://www.ncbi.nlm.nih.gov/Taxonomy/Browser/wwwtax.cgi?mode=Info&amp;id=2184134&amp;lvl=3&amp;lin=f&amp;keep=1&amp;srchmode=1&amp;unlock","2184134")</f>
        <v>2184134</v>
      </c>
      <c r="E1078" t="s">
        <v>715</v>
      </c>
      <c r="F1078" t="s">
        <v>715</v>
      </c>
      <c r="G1078" t="str">
        <f>HYPERLINK("http://www.ncbi.nlm.nih.gov/Taxonomy/Browser/wwwtax.cgi?mode=Info&amp;id=2184134&amp;lvl=3&amp;lin=f&amp;keep=1&amp;srchmode=1&amp;unlock","Diaphanosoma celebensis")</f>
        <v>Diaphanosoma celebensis</v>
      </c>
      <c r="H1078" t="s">
        <v>1146</v>
      </c>
      <c r="I1078" t="str">
        <f>HYPERLINK("http://www.ncbi.nlm.nih.gov/protein/QJE49261.1","estrogen-related receptor")</f>
        <v>estrogen-related receptor</v>
      </c>
      <c r="J1078" t="s">
        <v>1261</v>
      </c>
      <c r="K1078">
        <v>70.09</v>
      </c>
      <c r="L1078" t="s">
        <v>25</v>
      </c>
      <c r="M1078">
        <v>157</v>
      </c>
      <c r="N1078">
        <v>62.55</v>
      </c>
      <c r="O1078">
        <v>13.63</v>
      </c>
      <c r="P1078" t="s">
        <v>25</v>
      </c>
      <c r="Q1078" t="s">
        <v>1262</v>
      </c>
      <c r="R1078" t="s">
        <v>20</v>
      </c>
      <c r="S1078" t="str">
        <f>HYPERLINK("https://cfpub.epa.gov/ecotox/explore.cfm?ncbi=2184134","Explore in ECOTOX")</f>
        <v>Explore in ECOTOX</v>
      </c>
    </row>
    <row r="1079" spans="1:19" x14ac:dyDescent="0.25">
      <c r="A1079">
        <v>6</v>
      </c>
      <c r="B1079" t="str">
        <f>HYPERLINK("http://www.ncbi.nlm.nih.gov/protein/AAT44330.1","AAT44330.1")</f>
        <v>AAT44330.1</v>
      </c>
      <c r="C1079">
        <v>207</v>
      </c>
      <c r="D1079" t="str">
        <f>HYPERLINK("http://www.ncbi.nlm.nih.gov/Taxonomy/Browser/wwwtax.cgi?mode=Info&amp;id=58824&amp;lvl=3&amp;lin=f&amp;keep=1&amp;srchmode=1&amp;unlock","58824")</f>
        <v>58824</v>
      </c>
      <c r="E1079" t="s">
        <v>698</v>
      </c>
      <c r="F1079" t="s">
        <v>698</v>
      </c>
      <c r="G1079" t="str">
        <f>HYPERLINK("http://www.ncbi.nlm.nih.gov/Taxonomy/Browser/wwwtax.cgi?mode=Info&amp;id=58824&amp;lvl=3&amp;lin=f&amp;keep=1&amp;srchmode=1&amp;unlock","Plodia interpunctella")</f>
        <v>Plodia interpunctella</v>
      </c>
      <c r="H1079" t="s">
        <v>1170</v>
      </c>
      <c r="I1079" t="str">
        <f>HYPERLINK("http://www.ncbi.nlm.nih.gov/protein/AAT44330.1","USP")</f>
        <v>USP</v>
      </c>
      <c r="J1079" t="s">
        <v>1261</v>
      </c>
      <c r="K1079">
        <v>70.09</v>
      </c>
      <c r="L1079" t="s">
        <v>25</v>
      </c>
      <c r="M1079">
        <v>157</v>
      </c>
      <c r="N1079">
        <v>62.55</v>
      </c>
      <c r="O1079">
        <v>13.63</v>
      </c>
      <c r="P1079" t="s">
        <v>25</v>
      </c>
      <c r="Q1079" t="s">
        <v>1262</v>
      </c>
      <c r="R1079" t="s">
        <v>20</v>
      </c>
      <c r="S1079" t="str">
        <f>HYPERLINK("https://cfpub.epa.gov/ecotox/explore.cfm?ncbi=58824","Explore in ECOTOX")</f>
        <v>Explore in ECOTOX</v>
      </c>
    </row>
    <row r="1080" spans="1:19" x14ac:dyDescent="0.25">
      <c r="A1080">
        <v>6</v>
      </c>
      <c r="B1080" t="str">
        <f>HYPERLINK("http://www.ncbi.nlm.nih.gov/protein/XP_037789095.1","XP_037789095.1")</f>
        <v>XP_037789095.1</v>
      </c>
      <c r="C1080">
        <v>33871</v>
      </c>
      <c r="D1080" t="str">
        <f>HYPERLINK("http://www.ncbi.nlm.nih.gov/Taxonomy/Browser/wwwtax.cgi?mode=Info&amp;id=6687&amp;lvl=3&amp;lin=f&amp;keep=1&amp;srchmode=1&amp;unlock","6687")</f>
        <v>6687</v>
      </c>
      <c r="E1080" t="s">
        <v>742</v>
      </c>
      <c r="F1080" t="s">
        <v>742</v>
      </c>
      <c r="G1080" t="str">
        <f>HYPERLINK("http://www.ncbi.nlm.nih.gov/Taxonomy/Browser/wwwtax.cgi?mode=Info&amp;id=6687&amp;lvl=3&amp;lin=f&amp;keep=1&amp;srchmode=1&amp;unlock","Penaeus monodon")</f>
        <v>Penaeus monodon</v>
      </c>
      <c r="H1080" t="s">
        <v>743</v>
      </c>
      <c r="I1080" t="str">
        <f>HYPERLINK("http://www.ncbi.nlm.nih.gov/protein/XP_037789095.1","steroid hormone receptor ERR1-like isoform X1")</f>
        <v>steroid hormone receptor ERR1-like isoform X1</v>
      </c>
      <c r="J1080" t="s">
        <v>1261</v>
      </c>
      <c r="K1080">
        <v>69.709999999999994</v>
      </c>
      <c r="L1080" t="s">
        <v>25</v>
      </c>
      <c r="M1080">
        <v>157</v>
      </c>
      <c r="N1080">
        <v>62.55</v>
      </c>
      <c r="O1080">
        <v>13.56</v>
      </c>
      <c r="P1080" t="s">
        <v>25</v>
      </c>
      <c r="Q1080" t="s">
        <v>1262</v>
      </c>
      <c r="R1080" t="s">
        <v>20</v>
      </c>
      <c r="S1080" t="str">
        <f>HYPERLINK("https://cfpub.epa.gov/ecotox/explore.cfm?ncbi=6687","Explore in ECOTOX")</f>
        <v>Explore in ECOTOX</v>
      </c>
    </row>
    <row r="1081" spans="1:19" x14ac:dyDescent="0.25">
      <c r="A1081">
        <v>6</v>
      </c>
      <c r="B1081" t="str">
        <f>HYPERLINK("http://www.ncbi.nlm.nih.gov/protein/ROT74072.1","ROT74072.1")</f>
        <v>ROT74072.1</v>
      </c>
      <c r="C1081">
        <v>60071</v>
      </c>
      <c r="D1081" t="str">
        <f>HYPERLINK("http://www.ncbi.nlm.nih.gov/Taxonomy/Browser/wwwtax.cgi?mode=Info&amp;id=6689&amp;lvl=3&amp;lin=f&amp;keep=1&amp;srchmode=1&amp;unlock","6689")</f>
        <v>6689</v>
      </c>
      <c r="E1081" t="s">
        <v>742</v>
      </c>
      <c r="F1081" t="s">
        <v>742</v>
      </c>
      <c r="G1081" t="str">
        <f>HYPERLINK("http://www.ncbi.nlm.nih.gov/Taxonomy/Browser/wwwtax.cgi?mode=Info&amp;id=6689&amp;lvl=3&amp;lin=f&amp;keep=1&amp;srchmode=1&amp;unlock","Penaeus vannamei")</f>
        <v>Penaeus vannamei</v>
      </c>
      <c r="H1081" t="s">
        <v>744</v>
      </c>
      <c r="I1081" t="str">
        <f>HYPERLINK("http://www.ncbi.nlm.nih.gov/protein/ROT74072.1","estrogen-related receptor")</f>
        <v>estrogen-related receptor</v>
      </c>
      <c r="J1081" t="s">
        <v>1261</v>
      </c>
      <c r="K1081">
        <v>69.709999999999994</v>
      </c>
      <c r="L1081" t="s">
        <v>25</v>
      </c>
      <c r="M1081">
        <v>157</v>
      </c>
      <c r="N1081">
        <v>62.55</v>
      </c>
      <c r="O1081">
        <v>13.56</v>
      </c>
      <c r="P1081" t="s">
        <v>25</v>
      </c>
      <c r="Q1081" t="s">
        <v>1262</v>
      </c>
      <c r="R1081" t="s">
        <v>20</v>
      </c>
      <c r="S1081" t="str">
        <f>HYPERLINK("https://cfpub.epa.gov/ecotox/explore.cfm?ncbi=6689","Explore in ECOTOX")</f>
        <v>Explore in ECOTOX</v>
      </c>
    </row>
    <row r="1082" spans="1:19" x14ac:dyDescent="0.25">
      <c r="A1082">
        <v>6</v>
      </c>
      <c r="B1082" t="str">
        <f>HYPERLINK("http://www.ncbi.nlm.nih.gov/protein/CAF1162890.1","CAF1162890.1")</f>
        <v>CAF1162890.1</v>
      </c>
      <c r="C1082">
        <v>348871</v>
      </c>
      <c r="D1082" t="str">
        <f>HYPERLINK("http://www.ncbi.nlm.nih.gov/Taxonomy/Browser/wwwtax.cgi?mode=Info&amp;id=392033&amp;lvl=3&amp;lin=f&amp;keep=1&amp;srchmode=1&amp;unlock","392033")</f>
        <v>392033</v>
      </c>
      <c r="E1082" t="s">
        <v>855</v>
      </c>
      <c r="F1082" t="s">
        <v>855</v>
      </c>
      <c r="G1082" t="str">
        <f>HYPERLINK("http://www.ncbi.nlm.nih.gov/Taxonomy/Browser/wwwtax.cgi?mode=Info&amp;id=392033&amp;lvl=3&amp;lin=f&amp;keep=1&amp;srchmode=1&amp;unlock","Rotaria sordida")</f>
        <v>Rotaria sordida</v>
      </c>
      <c r="H1082" t="s">
        <v>856</v>
      </c>
      <c r="I1082" t="str">
        <f>HYPERLINK("http://www.ncbi.nlm.nih.gov/protein/CAF1162890.1","unnamed protein product")</f>
        <v>unnamed protein product</v>
      </c>
      <c r="J1082" t="s">
        <v>1261</v>
      </c>
      <c r="K1082">
        <v>69.709999999999994</v>
      </c>
      <c r="L1082" t="s">
        <v>25</v>
      </c>
      <c r="M1082">
        <v>157</v>
      </c>
      <c r="N1082">
        <v>62.55</v>
      </c>
      <c r="O1082">
        <v>13.56</v>
      </c>
      <c r="P1082" t="s">
        <v>25</v>
      </c>
      <c r="Q1082" t="s">
        <v>1262</v>
      </c>
      <c r="R1082" t="s">
        <v>20</v>
      </c>
      <c r="S1082" t="str">
        <f>HYPERLINK("https://cfpub.epa.gov/ecotox/explore.cfm?ncbi=392033","Explore in ECOTOX")</f>
        <v>Explore in ECOTOX</v>
      </c>
    </row>
    <row r="1083" spans="1:19" x14ac:dyDescent="0.25">
      <c r="A1083">
        <v>6</v>
      </c>
      <c r="B1083" t="str">
        <f>HYPERLINK("http://www.ncbi.nlm.nih.gov/protein/EFX85143.1","EFX85143.1")</f>
        <v>EFX85143.1</v>
      </c>
      <c r="C1083">
        <v>33790</v>
      </c>
      <c r="D1083" t="str">
        <f>HYPERLINK("http://www.ncbi.nlm.nih.gov/Taxonomy/Browser/wwwtax.cgi?mode=Info&amp;id=6669&amp;lvl=3&amp;lin=f&amp;keep=1&amp;srchmode=1&amp;unlock","6669")</f>
        <v>6669</v>
      </c>
      <c r="E1083" t="s">
        <v>715</v>
      </c>
      <c r="F1083" t="s">
        <v>715</v>
      </c>
      <c r="G1083" t="str">
        <f>HYPERLINK("http://www.ncbi.nlm.nih.gov/Taxonomy/Browser/wwwtax.cgi?mode=Info&amp;id=6669&amp;lvl=3&amp;lin=f&amp;keep=1&amp;srchmode=1&amp;unlock","Daphnia pulex")</f>
        <v>Daphnia pulex</v>
      </c>
      <c r="H1083" t="s">
        <v>716</v>
      </c>
      <c r="I1083" t="str">
        <f>HYPERLINK("http://www.ncbi.nlm.nih.gov/protein/EFX85143.1","hypothetical protein DAPPUDRAFT_46682, partial")</f>
        <v>hypothetical protein DAPPUDRAFT_46682, partial</v>
      </c>
      <c r="J1083" t="s">
        <v>1261</v>
      </c>
      <c r="K1083">
        <v>69.709999999999994</v>
      </c>
      <c r="L1083" t="s">
        <v>25</v>
      </c>
      <c r="M1083">
        <v>157</v>
      </c>
      <c r="N1083">
        <v>62.55</v>
      </c>
      <c r="O1083">
        <v>13.56</v>
      </c>
      <c r="P1083" t="s">
        <v>25</v>
      </c>
      <c r="Q1083" t="s">
        <v>1262</v>
      </c>
      <c r="R1083" t="s">
        <v>20</v>
      </c>
      <c r="S1083" t="str">
        <f>HYPERLINK("https://cfpub.epa.gov/ecotox/explore.cfm?ncbi=6669","Explore in ECOTOX")</f>
        <v>Explore in ECOTOX</v>
      </c>
    </row>
    <row r="1084" spans="1:19" x14ac:dyDescent="0.25">
      <c r="A1084">
        <v>6</v>
      </c>
      <c r="B1084" t="str">
        <f>HYPERLINK("http://www.ncbi.nlm.nih.gov/protein/GBM86989.1","GBM86989.1")</f>
        <v>GBM86989.1</v>
      </c>
      <c r="C1084">
        <v>278502</v>
      </c>
      <c r="D1084" t="str">
        <f>HYPERLINK("http://www.ncbi.nlm.nih.gov/Taxonomy/Browser/wwwtax.cgi?mode=Info&amp;id=182803&amp;lvl=3&amp;lin=f&amp;keep=1&amp;srchmode=1&amp;unlock","182803")</f>
        <v>182803</v>
      </c>
      <c r="E1084" t="s">
        <v>700</v>
      </c>
      <c r="F1084" t="s">
        <v>700</v>
      </c>
      <c r="G1084" t="str">
        <f>HYPERLINK("http://www.ncbi.nlm.nih.gov/Taxonomy/Browser/wwwtax.cgi?mode=Info&amp;id=182803&amp;lvl=3&amp;lin=f&amp;keep=1&amp;srchmode=1&amp;unlock","Araneus ventricosus")</f>
        <v>Araneus ventricosus</v>
      </c>
      <c r="H1084" t="s">
        <v>722</v>
      </c>
      <c r="I1084" t="str">
        <f>HYPERLINK("http://www.ncbi.nlm.nih.gov/protein/GBM86989.1","Steroid hormone receptor ERR2")</f>
        <v>Steroid hormone receptor ERR2</v>
      </c>
      <c r="J1084" t="s">
        <v>1261</v>
      </c>
      <c r="K1084">
        <v>69.709999999999994</v>
      </c>
      <c r="L1084" t="s">
        <v>25</v>
      </c>
      <c r="M1084">
        <v>157</v>
      </c>
      <c r="N1084">
        <v>62.55</v>
      </c>
      <c r="O1084">
        <v>13.56</v>
      </c>
      <c r="P1084" t="s">
        <v>25</v>
      </c>
      <c r="Q1084" t="s">
        <v>1262</v>
      </c>
      <c r="R1084" t="s">
        <v>20</v>
      </c>
      <c r="S1084" t="str">
        <f>HYPERLINK("https://cfpub.epa.gov/ecotox/explore.cfm?ncbi=182803","Explore in ECOTOX")</f>
        <v>Explore in ECOTOX</v>
      </c>
    </row>
    <row r="1085" spans="1:19" x14ac:dyDescent="0.25">
      <c r="A1085">
        <v>6</v>
      </c>
      <c r="B1085" t="str">
        <f>HYPERLINK("http://www.ncbi.nlm.nih.gov/protein/RVE55258.1","RVE55258.1")</f>
        <v>RVE55258.1</v>
      </c>
      <c r="C1085">
        <v>16640</v>
      </c>
      <c r="D1085" t="str">
        <f>HYPERLINK("http://www.ncbi.nlm.nih.gov/Taxonomy/Browser/wwwtax.cgi?mode=Info&amp;id=168631&amp;lvl=3&amp;lin=f&amp;keep=1&amp;srchmode=1&amp;unlock","168631")</f>
        <v>168631</v>
      </c>
      <c r="E1085" t="s">
        <v>698</v>
      </c>
      <c r="F1085" t="s">
        <v>698</v>
      </c>
      <c r="G1085" t="str">
        <f>HYPERLINK("http://www.ncbi.nlm.nih.gov/Taxonomy/Browser/wwwtax.cgi?mode=Info&amp;id=168631&amp;lvl=3&amp;lin=f&amp;keep=1&amp;srchmode=1&amp;unlock","Chilo suppressalis")</f>
        <v>Chilo suppressalis</v>
      </c>
      <c r="H1085" t="s">
        <v>1152</v>
      </c>
      <c r="I1085" t="str">
        <f>HYPERLINK("http://www.ncbi.nlm.nih.gov/protein/RVE55258.1","hypothetical protein evm_000156")</f>
        <v>hypothetical protein evm_000156</v>
      </c>
      <c r="J1085" t="s">
        <v>1261</v>
      </c>
      <c r="K1085">
        <v>69.709999999999994</v>
      </c>
      <c r="L1085" t="s">
        <v>25</v>
      </c>
      <c r="M1085">
        <v>157</v>
      </c>
      <c r="N1085">
        <v>62.55</v>
      </c>
      <c r="O1085">
        <v>13.56</v>
      </c>
      <c r="P1085" t="s">
        <v>25</v>
      </c>
      <c r="Q1085" t="s">
        <v>1262</v>
      </c>
      <c r="R1085" t="s">
        <v>20</v>
      </c>
      <c r="S1085" t="str">
        <f>HYPERLINK("https://cfpub.epa.gov/ecotox/explore.cfm?ncbi=168631","Explore in ECOTOX")</f>
        <v>Explore in ECOTOX</v>
      </c>
    </row>
    <row r="1086" spans="1:19" x14ac:dyDescent="0.25">
      <c r="A1086">
        <v>6</v>
      </c>
      <c r="B1086" t="str">
        <f>HYPERLINK("http://www.ncbi.nlm.nih.gov/protein/KAF8777700.1","KAF8777700.1")</f>
        <v>KAF8777700.1</v>
      </c>
      <c r="C1086">
        <v>26463</v>
      </c>
      <c r="D1086" t="str">
        <f>HYPERLINK("http://www.ncbi.nlm.nih.gov/Taxonomy/Browser/wwwtax.cgi?mode=Info&amp;id=94029&amp;lvl=3&amp;lin=f&amp;keep=1&amp;srchmode=1&amp;unlock","94029")</f>
        <v>94029</v>
      </c>
      <c r="E1086" t="s">
        <v>700</v>
      </c>
      <c r="F1086" t="s">
        <v>700</v>
      </c>
      <c r="G1086" t="str">
        <f>HYPERLINK("http://www.ncbi.nlm.nih.gov/Taxonomy/Browser/wwwtax.cgi?mode=Info&amp;id=94029&amp;lvl=3&amp;lin=f&amp;keep=1&amp;srchmode=1&amp;unlock","Argiope bruennichi")</f>
        <v>Argiope bruennichi</v>
      </c>
      <c r="H1086" t="s">
        <v>722</v>
      </c>
      <c r="I1086" t="str">
        <f>HYPERLINK("http://www.ncbi.nlm.nih.gov/protein/KAF8777700.1","Steroid hormone receptor ERR2 like protein")</f>
        <v>Steroid hormone receptor ERR2 like protein</v>
      </c>
      <c r="J1086" t="s">
        <v>1261</v>
      </c>
      <c r="K1086">
        <v>69.709999999999994</v>
      </c>
      <c r="L1086" t="s">
        <v>25</v>
      </c>
      <c r="M1086">
        <v>157</v>
      </c>
      <c r="N1086">
        <v>62.55</v>
      </c>
      <c r="O1086">
        <v>13.56</v>
      </c>
      <c r="P1086" t="s">
        <v>25</v>
      </c>
      <c r="Q1086" t="s">
        <v>1262</v>
      </c>
      <c r="R1086" t="s">
        <v>20</v>
      </c>
      <c r="S1086" t="str">
        <f>HYPERLINK("https://cfpub.epa.gov/ecotox/explore.cfm?ncbi=94029","Explore in ECOTOX")</f>
        <v>Explore in ECOTOX</v>
      </c>
    </row>
    <row r="1087" spans="1:19" x14ac:dyDescent="0.25">
      <c r="A1087">
        <v>6</v>
      </c>
      <c r="B1087" t="str">
        <f>HYPERLINK("http://www.ncbi.nlm.nih.gov/protein/ACD39740.1","ACD39740.1")</f>
        <v>ACD39740.1</v>
      </c>
      <c r="C1087">
        <v>15823</v>
      </c>
      <c r="D1087" t="str">
        <f>HYPERLINK("http://www.ncbi.nlm.nih.gov/Taxonomy/Browser/wwwtax.cgi?mode=Info&amp;id=7107&amp;lvl=3&amp;lin=f&amp;keep=1&amp;srchmode=1&amp;unlock","7107")</f>
        <v>7107</v>
      </c>
      <c r="E1087" t="s">
        <v>698</v>
      </c>
      <c r="F1087" t="s">
        <v>698</v>
      </c>
      <c r="G1087" t="str">
        <f>HYPERLINK("http://www.ncbi.nlm.nih.gov/Taxonomy/Browser/wwwtax.cgi?mode=Info&amp;id=7107&amp;lvl=3&amp;lin=f&amp;keep=1&amp;srchmode=1&amp;unlock","Spodoptera exigua")</f>
        <v>Spodoptera exigua</v>
      </c>
      <c r="H1087" t="s">
        <v>1174</v>
      </c>
      <c r="I1087" t="str">
        <f>HYPERLINK("http://www.ncbi.nlm.nih.gov/protein/ACD39740.1","ultraspiracle protein")</f>
        <v>ultraspiracle protein</v>
      </c>
      <c r="J1087" t="s">
        <v>1261</v>
      </c>
      <c r="K1087">
        <v>69.709999999999994</v>
      </c>
      <c r="L1087" t="s">
        <v>25</v>
      </c>
      <c r="M1087">
        <v>157</v>
      </c>
      <c r="N1087">
        <v>62.55</v>
      </c>
      <c r="O1087">
        <v>13.56</v>
      </c>
      <c r="P1087" t="s">
        <v>25</v>
      </c>
      <c r="Q1087" t="s">
        <v>1262</v>
      </c>
      <c r="R1087" t="s">
        <v>20</v>
      </c>
      <c r="S1087" t="str">
        <f>HYPERLINK("https://cfpub.epa.gov/ecotox/explore.cfm?ncbi=7107","Explore in ECOTOX")</f>
        <v>Explore in ECOTOX</v>
      </c>
    </row>
    <row r="1088" spans="1:19" x14ac:dyDescent="0.25">
      <c r="A1088">
        <v>6</v>
      </c>
      <c r="B1088" t="str">
        <f>HYPERLINK("http://www.ncbi.nlm.nih.gov/protein/ADZ28327.1","ADZ28327.1")</f>
        <v>ADZ28327.1</v>
      </c>
      <c r="C1088">
        <v>56</v>
      </c>
      <c r="D1088" t="str">
        <f>HYPERLINK("http://www.ncbi.nlm.nih.gov/Taxonomy/Browser/wwwtax.cgi?mode=Info&amp;id=886298&amp;lvl=3&amp;lin=f&amp;keep=1&amp;srchmode=1&amp;unlock","886298")</f>
        <v>886298</v>
      </c>
      <c r="E1088" t="s">
        <v>384</v>
      </c>
      <c r="F1088" t="s">
        <v>384</v>
      </c>
      <c r="G1088" t="str">
        <f>HYPERLINK("http://www.ncbi.nlm.nih.gov/Taxonomy/Browser/wwwtax.cgi?mode=Info&amp;id=886298&amp;lvl=3&amp;lin=f&amp;keep=1&amp;srchmode=1&amp;unlock","Alburnus tarichi")</f>
        <v>Alburnus tarichi</v>
      </c>
      <c r="H1088" t="s">
        <v>1295</v>
      </c>
      <c r="I1088" t="str">
        <f>HYPERLINK("http://www.ncbi.nlm.nih.gov/protein/ADZ28327.1","estrogen receptor alpha, partial")</f>
        <v>estrogen receptor alpha, partial</v>
      </c>
      <c r="J1088" t="s">
        <v>1261</v>
      </c>
      <c r="K1088">
        <v>69.709999999999994</v>
      </c>
      <c r="L1088" t="s">
        <v>25</v>
      </c>
      <c r="M1088">
        <v>157</v>
      </c>
      <c r="N1088">
        <v>62.55</v>
      </c>
      <c r="O1088">
        <v>13.56</v>
      </c>
      <c r="P1088" t="s">
        <v>20</v>
      </c>
      <c r="Q1088" t="s">
        <v>1262</v>
      </c>
      <c r="R1088" t="s">
        <v>20</v>
      </c>
      <c r="S1088" t="str">
        <f>HYPERLINK("https://cfpub.epa.gov/ecotox/explore.cfm?ncbi=886298","Explore in ECOTOX")</f>
        <v>Explore in ECOTOX</v>
      </c>
    </row>
    <row r="1089" spans="1:19" x14ac:dyDescent="0.25">
      <c r="A1089">
        <v>6</v>
      </c>
      <c r="B1089" t="str">
        <f>HYPERLINK("http://www.ncbi.nlm.nih.gov/protein/XP_039262947.1","XP_039262947.1")</f>
        <v>XP_039262947.1</v>
      </c>
      <c r="C1089">
        <v>27543</v>
      </c>
      <c r="D1089" t="str">
        <f>HYPERLINK("http://www.ncbi.nlm.nih.gov/Taxonomy/Browser/wwwtax.cgi?mode=Info&amp;id=7725&amp;lvl=3&amp;lin=f&amp;keep=1&amp;srchmode=1&amp;unlock","7725")</f>
        <v>7725</v>
      </c>
      <c r="E1089" t="s">
        <v>691</v>
      </c>
      <c r="F1089" t="s">
        <v>691</v>
      </c>
      <c r="G1089" t="str">
        <f>HYPERLINK("http://www.ncbi.nlm.nih.gov/Taxonomy/Browser/wwwtax.cgi?mode=Info&amp;id=7725&amp;lvl=3&amp;lin=f&amp;keep=1&amp;srchmode=1&amp;unlock","Styela clava")</f>
        <v>Styela clava</v>
      </c>
      <c r="H1089" t="s">
        <v>693</v>
      </c>
      <c r="I1089" t="str">
        <f>HYPERLINK("http://www.ncbi.nlm.nih.gov/protein/XP_039262947.1","estrogen-related receptor gamma-like isoform X2")</f>
        <v>estrogen-related receptor gamma-like isoform X2</v>
      </c>
      <c r="J1089" t="s">
        <v>1261</v>
      </c>
      <c r="K1089">
        <v>69.319999999999993</v>
      </c>
      <c r="L1089" t="s">
        <v>25</v>
      </c>
      <c r="M1089">
        <v>157</v>
      </c>
      <c r="N1089">
        <v>62.55</v>
      </c>
      <c r="O1089">
        <v>13.48</v>
      </c>
      <c r="P1089" t="s">
        <v>25</v>
      </c>
      <c r="Q1089" t="s">
        <v>1262</v>
      </c>
      <c r="R1089" t="s">
        <v>20</v>
      </c>
      <c r="S1089" t="str">
        <f>HYPERLINK("https://cfpub.epa.gov/ecotox/explore.cfm?ncbi=7725","Explore in ECOTOX")</f>
        <v>Explore in ECOTOX</v>
      </c>
    </row>
    <row r="1090" spans="1:19" x14ac:dyDescent="0.25">
      <c r="A1090">
        <v>6</v>
      </c>
      <c r="B1090" t="str">
        <f>HYPERLINK("http://www.ncbi.nlm.nih.gov/protein/ABO42263.1","ABO42263.1")</f>
        <v>ABO42263.1</v>
      </c>
      <c r="C1090">
        <v>344</v>
      </c>
      <c r="D1090" t="str">
        <f>HYPERLINK("http://www.ncbi.nlm.nih.gov/Taxonomy/Browser/wwwtax.cgi?mode=Info&amp;id=7729&amp;lvl=3&amp;lin=f&amp;keep=1&amp;srchmode=1&amp;unlock","7729")</f>
        <v>7729</v>
      </c>
      <c r="E1090" t="s">
        <v>691</v>
      </c>
      <c r="F1090" t="s">
        <v>691</v>
      </c>
      <c r="G1090" t="str">
        <f>HYPERLINK("http://www.ncbi.nlm.nih.gov/Taxonomy/Browser/wwwtax.cgi?mode=Info&amp;id=7729&amp;lvl=3&amp;lin=f&amp;keep=1&amp;srchmode=1&amp;unlock","Halocynthia roretzi")</f>
        <v>Halocynthia roretzi</v>
      </c>
      <c r="H1090" t="s">
        <v>693</v>
      </c>
      <c r="I1090" t="str">
        <f>HYPERLINK("http://www.ncbi.nlm.nih.gov/protein/ABO42263.1","estrogen-related receptor isoform 1")</f>
        <v>estrogen-related receptor isoform 1</v>
      </c>
      <c r="J1090" t="s">
        <v>1261</v>
      </c>
      <c r="K1090">
        <v>69.319999999999993</v>
      </c>
      <c r="L1090" t="s">
        <v>25</v>
      </c>
      <c r="M1090">
        <v>157</v>
      </c>
      <c r="N1090">
        <v>62.55</v>
      </c>
      <c r="O1090">
        <v>13.48</v>
      </c>
      <c r="P1090" t="s">
        <v>25</v>
      </c>
      <c r="Q1090" t="s">
        <v>1262</v>
      </c>
      <c r="R1090" t="s">
        <v>20</v>
      </c>
      <c r="S1090" t="str">
        <f>HYPERLINK("https://cfpub.epa.gov/ecotox/explore.cfm?ncbi=7729","Explore in ECOTOX")</f>
        <v>Explore in ECOTOX</v>
      </c>
    </row>
    <row r="1091" spans="1:19" x14ac:dyDescent="0.25">
      <c r="A1091">
        <v>6</v>
      </c>
      <c r="B1091" t="str">
        <f>HYPERLINK("http://www.ncbi.nlm.nih.gov/protein/XP_039283298.1","XP_039283298.1")</f>
        <v>XP_039283298.1</v>
      </c>
      <c r="C1091">
        <v>35296</v>
      </c>
      <c r="D1091" t="str">
        <f>HYPERLINK("http://www.ncbi.nlm.nih.gov/Taxonomy/Browser/wwwtax.cgi?mode=Info&amp;id=108931&amp;lvl=3&amp;lin=f&amp;keep=1&amp;srchmode=1&amp;unlock","108931")</f>
        <v>108931</v>
      </c>
      <c r="E1091" t="s">
        <v>698</v>
      </c>
      <c r="F1091" t="s">
        <v>698</v>
      </c>
      <c r="G1091" t="str">
        <f>HYPERLINK("http://www.ncbi.nlm.nih.gov/Taxonomy/Browser/wwwtax.cgi?mode=Info&amp;id=108931&amp;lvl=3&amp;lin=f&amp;keep=1&amp;srchmode=1&amp;unlock","Nilaparvata lugens")</f>
        <v>Nilaparvata lugens</v>
      </c>
      <c r="H1091" t="s">
        <v>737</v>
      </c>
      <c r="I1091" t="str">
        <f>HYPERLINK("http://www.ncbi.nlm.nih.gov/protein/XP_039283298.1","steroid hormone receptor ERR2 isoform X7")</f>
        <v>steroid hormone receptor ERR2 isoform X7</v>
      </c>
      <c r="J1091" t="s">
        <v>1261</v>
      </c>
      <c r="K1091">
        <v>69.319999999999993</v>
      </c>
      <c r="L1091" t="s">
        <v>25</v>
      </c>
      <c r="M1091">
        <v>157</v>
      </c>
      <c r="N1091">
        <v>62.55</v>
      </c>
      <c r="O1091">
        <v>13.48</v>
      </c>
      <c r="P1091" t="s">
        <v>25</v>
      </c>
      <c r="Q1091" t="s">
        <v>1262</v>
      </c>
      <c r="R1091" t="s">
        <v>20</v>
      </c>
      <c r="S1091" t="str">
        <f>HYPERLINK("https://cfpub.epa.gov/ecotox/explore.cfm?ncbi=108931","Explore in ECOTOX")</f>
        <v>Explore in ECOTOX</v>
      </c>
    </row>
    <row r="1092" spans="1:19" x14ac:dyDescent="0.25">
      <c r="A1092">
        <v>6</v>
      </c>
      <c r="B1092" t="str">
        <f>HYPERLINK("http://www.ncbi.nlm.nih.gov/protein/XP_009064842.1","XP_009064842.1")</f>
        <v>XP_009064842.1</v>
      </c>
      <c r="C1092">
        <v>47717</v>
      </c>
      <c r="D1092" t="str">
        <f>HYPERLINK("http://www.ncbi.nlm.nih.gov/Taxonomy/Browser/wwwtax.cgi?mode=Info&amp;id=225164&amp;lvl=3&amp;lin=f&amp;keep=1&amp;srchmode=1&amp;unlock","225164")</f>
        <v>225164</v>
      </c>
      <c r="E1092" t="s">
        <v>763</v>
      </c>
      <c r="F1092" t="s">
        <v>763</v>
      </c>
      <c r="G1092" t="str">
        <f>HYPERLINK("http://www.ncbi.nlm.nih.gov/Taxonomy/Browser/wwwtax.cgi?mode=Info&amp;id=225164&amp;lvl=3&amp;lin=f&amp;keep=1&amp;srchmode=1&amp;unlock","Lottia gigantea")</f>
        <v>Lottia gigantea</v>
      </c>
      <c r="H1092" t="s">
        <v>839</v>
      </c>
      <c r="I1092" t="str">
        <f>HYPERLINK("http://www.ncbi.nlm.nih.gov/protein/XP_009064842.1","hypothetical protein LOTGIDRAFT_132166")</f>
        <v>hypothetical protein LOTGIDRAFT_132166</v>
      </c>
      <c r="J1092" t="s">
        <v>1261</v>
      </c>
      <c r="K1092">
        <v>68.94</v>
      </c>
      <c r="L1092" t="s">
        <v>25</v>
      </c>
      <c r="M1092">
        <v>157</v>
      </c>
      <c r="N1092">
        <v>62.55</v>
      </c>
      <c r="O1092">
        <v>13.41</v>
      </c>
      <c r="P1092" t="s">
        <v>25</v>
      </c>
      <c r="Q1092" t="s">
        <v>1262</v>
      </c>
      <c r="R1092" t="s">
        <v>20</v>
      </c>
      <c r="S1092" t="str">
        <f>HYPERLINK("https://cfpub.epa.gov/ecotox/explore.cfm?ncbi=225164","Explore in ECOTOX")</f>
        <v>Explore in ECOTOX</v>
      </c>
    </row>
    <row r="1093" spans="1:19" x14ac:dyDescent="0.25">
      <c r="A1093">
        <v>6</v>
      </c>
      <c r="B1093" t="str">
        <f>HYPERLINK("http://www.ncbi.nlm.nih.gov/protein/XP_019880248.1","XP_019880248.1")</f>
        <v>XP_019880248.1</v>
      </c>
      <c r="C1093">
        <v>17652</v>
      </c>
      <c r="D1093" t="str">
        <f>HYPERLINK("http://www.ncbi.nlm.nih.gov/Taxonomy/Browser/wwwtax.cgi?mode=Info&amp;id=116153&amp;lvl=3&amp;lin=f&amp;keep=1&amp;srchmode=1&amp;unlock","116153")</f>
        <v>116153</v>
      </c>
      <c r="E1093" t="s">
        <v>698</v>
      </c>
      <c r="F1093" t="s">
        <v>698</v>
      </c>
      <c r="G1093" t="str">
        <f>HYPERLINK("http://www.ncbi.nlm.nih.gov/Taxonomy/Browser/wwwtax.cgi?mode=Info&amp;id=116153&amp;lvl=3&amp;lin=f&amp;keep=1&amp;srchmode=1&amp;unlock","Aethina tumida")</f>
        <v>Aethina tumida</v>
      </c>
      <c r="H1093" t="s">
        <v>921</v>
      </c>
      <c r="I1093" t="str">
        <f>HYPERLINK("http://www.ncbi.nlm.nih.gov/protein/XP_019880248.1","PREDICTED: steroid hormone receptor ERR1 isoform X2")</f>
        <v>PREDICTED: steroid hormone receptor ERR1 isoform X2</v>
      </c>
      <c r="J1093" t="s">
        <v>1261</v>
      </c>
      <c r="K1093">
        <v>68.94</v>
      </c>
      <c r="L1093" t="s">
        <v>25</v>
      </c>
      <c r="M1093">
        <v>157</v>
      </c>
      <c r="N1093">
        <v>62.55</v>
      </c>
      <c r="O1093">
        <v>13.41</v>
      </c>
      <c r="P1093" t="s">
        <v>25</v>
      </c>
      <c r="Q1093" t="s">
        <v>1262</v>
      </c>
      <c r="R1093" t="s">
        <v>20</v>
      </c>
      <c r="S1093" t="str">
        <f>HYPERLINK("https://cfpub.epa.gov/ecotox/explore.cfm?ncbi=116153","Explore in ECOTOX")</f>
        <v>Explore in ECOTOX</v>
      </c>
    </row>
    <row r="1094" spans="1:19" x14ac:dyDescent="0.25">
      <c r="A1094">
        <v>6</v>
      </c>
      <c r="B1094" t="str">
        <f>HYPERLINK("http://www.ncbi.nlm.nih.gov/protein/XP_026276829.1","XP_026276829.1")</f>
        <v>XP_026276829.1</v>
      </c>
      <c r="C1094">
        <v>40710</v>
      </c>
      <c r="D1094" t="str">
        <f>HYPERLINK("http://www.ncbi.nlm.nih.gov/Taxonomy/Browser/wwwtax.cgi?mode=Info&amp;id=133901&amp;lvl=3&amp;lin=f&amp;keep=1&amp;srchmode=1&amp;unlock","133901")</f>
        <v>133901</v>
      </c>
      <c r="E1094" t="s">
        <v>698</v>
      </c>
      <c r="F1094" t="s">
        <v>698</v>
      </c>
      <c r="G1094" t="str">
        <f>HYPERLINK("http://www.ncbi.nlm.nih.gov/Taxonomy/Browser/wwwtax.cgi?mode=Info&amp;id=133901&amp;lvl=3&amp;lin=f&amp;keep=1&amp;srchmode=1&amp;unlock","Frankliniella occidentalis")</f>
        <v>Frankliniella occidentalis</v>
      </c>
      <c r="H1094" t="s">
        <v>1144</v>
      </c>
      <c r="I1094" t="str">
        <f>HYPERLINK("http://www.ncbi.nlm.nih.gov/protein/XP_026276829.1","steroid hormone receptor ERR1 isoform X3")</f>
        <v>steroid hormone receptor ERR1 isoform X3</v>
      </c>
      <c r="J1094" t="s">
        <v>1261</v>
      </c>
      <c r="K1094">
        <v>68.94</v>
      </c>
      <c r="L1094" t="s">
        <v>25</v>
      </c>
      <c r="M1094">
        <v>157</v>
      </c>
      <c r="N1094">
        <v>62.55</v>
      </c>
      <c r="O1094">
        <v>13.41</v>
      </c>
      <c r="P1094" t="s">
        <v>25</v>
      </c>
      <c r="Q1094" t="s">
        <v>1262</v>
      </c>
      <c r="R1094" t="s">
        <v>20</v>
      </c>
      <c r="S1094" t="str">
        <f>HYPERLINK("https://cfpub.epa.gov/ecotox/explore.cfm?ncbi=133901","Explore in ECOTOX")</f>
        <v>Explore in ECOTOX</v>
      </c>
    </row>
    <row r="1095" spans="1:19" x14ac:dyDescent="0.25">
      <c r="A1095">
        <v>6</v>
      </c>
      <c r="B1095" t="str">
        <f>HYPERLINK("http://www.ncbi.nlm.nih.gov/protein/XP_034238593.1","XP_034238593.1")</f>
        <v>XP_034238593.1</v>
      </c>
      <c r="C1095">
        <v>27547</v>
      </c>
      <c r="D1095" t="str">
        <f>HYPERLINK("http://www.ncbi.nlm.nih.gov/Taxonomy/Browser/wwwtax.cgi?mode=Info&amp;id=161013&amp;lvl=3&amp;lin=f&amp;keep=1&amp;srchmode=1&amp;unlock","161013")</f>
        <v>161013</v>
      </c>
      <c r="E1095" t="s">
        <v>698</v>
      </c>
      <c r="F1095" t="s">
        <v>698</v>
      </c>
      <c r="G1095" t="str">
        <f>HYPERLINK("http://www.ncbi.nlm.nih.gov/Taxonomy/Browser/wwwtax.cgi?mode=Info&amp;id=161013&amp;lvl=3&amp;lin=f&amp;keep=1&amp;srchmode=1&amp;unlock","Thrips palmi")</f>
        <v>Thrips palmi</v>
      </c>
      <c r="H1095" t="s">
        <v>1143</v>
      </c>
      <c r="I1095" t="str">
        <f>HYPERLINK("http://www.ncbi.nlm.nih.gov/protein/XP_034238593.1","steroid hormone receptor ERR1 isoform X2")</f>
        <v>steroid hormone receptor ERR1 isoform X2</v>
      </c>
      <c r="J1095" t="s">
        <v>1261</v>
      </c>
      <c r="K1095">
        <v>68.94</v>
      </c>
      <c r="L1095" t="s">
        <v>25</v>
      </c>
      <c r="M1095">
        <v>157</v>
      </c>
      <c r="N1095">
        <v>62.55</v>
      </c>
      <c r="O1095">
        <v>13.41</v>
      </c>
      <c r="P1095" t="s">
        <v>25</v>
      </c>
      <c r="Q1095" t="s">
        <v>1262</v>
      </c>
      <c r="R1095" t="s">
        <v>20</v>
      </c>
      <c r="S1095" t="str">
        <f>HYPERLINK("https://cfpub.epa.gov/ecotox/explore.cfm?ncbi=161013","Explore in ECOTOX")</f>
        <v>Explore in ECOTOX</v>
      </c>
    </row>
    <row r="1096" spans="1:19" x14ac:dyDescent="0.25">
      <c r="A1096">
        <v>6</v>
      </c>
      <c r="B1096" t="str">
        <f>HYPERLINK("http://www.ncbi.nlm.nih.gov/protein/XP_021944806.1","XP_021944806.1")</f>
        <v>XP_021944806.1</v>
      </c>
      <c r="C1096">
        <v>66111</v>
      </c>
      <c r="D1096" t="str">
        <f>HYPERLINK("http://www.ncbi.nlm.nih.gov/Taxonomy/Browser/wwwtax.cgi?mode=Info&amp;id=158441&amp;lvl=3&amp;lin=f&amp;keep=1&amp;srchmode=1&amp;unlock","158441")</f>
        <v>158441</v>
      </c>
      <c r="E1096" t="s">
        <v>765</v>
      </c>
      <c r="F1096" t="s">
        <v>765</v>
      </c>
      <c r="G1096" t="str">
        <f>HYPERLINK("http://www.ncbi.nlm.nih.gov/Taxonomy/Browser/wwwtax.cgi?mode=Info&amp;id=158441&amp;lvl=3&amp;lin=f&amp;keep=1&amp;srchmode=1&amp;unlock","Folsomia candida")</f>
        <v>Folsomia candida</v>
      </c>
      <c r="H1096" t="s">
        <v>804</v>
      </c>
      <c r="I1096" t="str">
        <f>HYPERLINK("http://www.ncbi.nlm.nih.gov/protein/XP_021944806.1","steroid hormone receptor ERR2")</f>
        <v>steroid hormone receptor ERR2</v>
      </c>
      <c r="J1096" t="s">
        <v>1261</v>
      </c>
      <c r="K1096">
        <v>68.94</v>
      </c>
      <c r="L1096" t="s">
        <v>25</v>
      </c>
      <c r="M1096">
        <v>157</v>
      </c>
      <c r="N1096">
        <v>62.55</v>
      </c>
      <c r="O1096">
        <v>13.41</v>
      </c>
      <c r="P1096" t="s">
        <v>25</v>
      </c>
      <c r="Q1096" t="s">
        <v>1262</v>
      </c>
      <c r="R1096" t="s">
        <v>20</v>
      </c>
      <c r="S1096" t="str">
        <f>HYPERLINK("https://cfpub.epa.gov/ecotox/explore.cfm?ncbi=158441","Explore in ECOTOX")</f>
        <v>Explore in ECOTOX</v>
      </c>
    </row>
    <row r="1097" spans="1:19" x14ac:dyDescent="0.25">
      <c r="A1097">
        <v>6</v>
      </c>
      <c r="B1097" t="str">
        <f>HYPERLINK("http://www.ncbi.nlm.nih.gov/protein/TRY71690.1","TRY71690.1")</f>
        <v>TRY71690.1</v>
      </c>
      <c r="C1097">
        <v>16349</v>
      </c>
      <c r="D1097" t="str">
        <f>HYPERLINK("http://www.ncbi.nlm.nih.gov/Taxonomy/Browser/wwwtax.cgi?mode=Info&amp;id=6832&amp;lvl=3&amp;lin=f&amp;keep=1&amp;srchmode=1&amp;unlock","6832")</f>
        <v>6832</v>
      </c>
      <c r="E1097" t="s">
        <v>760</v>
      </c>
      <c r="F1097" t="s">
        <v>760</v>
      </c>
      <c r="G1097" t="str">
        <f>HYPERLINK("http://www.ncbi.nlm.nih.gov/Taxonomy/Browser/wwwtax.cgi?mode=Info&amp;id=6832&amp;lvl=3&amp;lin=f&amp;keep=1&amp;srchmode=1&amp;unlock","Tigriopus californicus")</f>
        <v>Tigriopus californicus</v>
      </c>
      <c r="H1097" t="s">
        <v>795</v>
      </c>
      <c r="I1097" t="str">
        <f>HYPERLINK("http://www.ncbi.nlm.nih.gov/protein/TRY71690.1","hypothetical protein TCAL_01014")</f>
        <v>hypothetical protein TCAL_01014</v>
      </c>
      <c r="J1097" t="s">
        <v>1261</v>
      </c>
      <c r="K1097">
        <v>68.94</v>
      </c>
      <c r="L1097" t="s">
        <v>25</v>
      </c>
      <c r="M1097">
        <v>157</v>
      </c>
      <c r="N1097">
        <v>62.55</v>
      </c>
      <c r="O1097">
        <v>13.41</v>
      </c>
      <c r="P1097" t="s">
        <v>25</v>
      </c>
      <c r="Q1097" t="s">
        <v>1262</v>
      </c>
      <c r="R1097" t="s">
        <v>20</v>
      </c>
      <c r="S1097" t="str">
        <f>HYPERLINK("https://cfpub.epa.gov/ecotox/explore.cfm?ncbi=6832","Explore in ECOTOX")</f>
        <v>Explore in ECOTOX</v>
      </c>
    </row>
    <row r="1098" spans="1:19" x14ac:dyDescent="0.25">
      <c r="A1098">
        <v>6</v>
      </c>
      <c r="B1098" t="str">
        <f>HYPERLINK("http://www.ncbi.nlm.nih.gov/protein/ABP98990.1","ABP98990.1")</f>
        <v>ABP98990.1</v>
      </c>
      <c r="C1098">
        <v>802</v>
      </c>
      <c r="D1098" t="str">
        <f>HYPERLINK("http://www.ncbi.nlm.nih.gov/Taxonomy/Browser/wwwtax.cgi?mode=Info&amp;id=75329&amp;lvl=3&amp;lin=f&amp;keep=1&amp;srchmode=1&amp;unlock","75329")</f>
        <v>75329</v>
      </c>
      <c r="E1098" t="s">
        <v>384</v>
      </c>
      <c r="F1098" t="s">
        <v>384</v>
      </c>
      <c r="G1098" t="str">
        <f>HYPERLINK("http://www.ncbi.nlm.nih.gov/Taxonomy/Browser/wwwtax.cgi?mode=Info&amp;id=75329&amp;lvl=3&amp;lin=f&amp;keep=1&amp;srchmode=1&amp;unlock","Misgurnus anguillicaudatus")</f>
        <v>Misgurnus anguillicaudatus</v>
      </c>
      <c r="H1098" t="s">
        <v>1175</v>
      </c>
      <c r="I1098" t="str">
        <f>HYPERLINK("http://www.ncbi.nlm.nih.gov/protein/ABP98990.1","estrogen receptor beta, partial")</f>
        <v>estrogen receptor beta, partial</v>
      </c>
      <c r="J1098" t="s">
        <v>1261</v>
      </c>
      <c r="K1098">
        <v>68.94</v>
      </c>
      <c r="L1098" t="s">
        <v>25</v>
      </c>
      <c r="M1098">
        <v>157</v>
      </c>
      <c r="N1098">
        <v>62.55</v>
      </c>
      <c r="O1098">
        <v>13.41</v>
      </c>
      <c r="P1098" t="s">
        <v>20</v>
      </c>
      <c r="Q1098" t="s">
        <v>1262</v>
      </c>
      <c r="R1098" t="s">
        <v>20</v>
      </c>
      <c r="S1098" t="str">
        <f>HYPERLINK("https://cfpub.epa.gov/ecotox/explore.cfm?ncbi=75329","Explore in ECOTOX")</f>
        <v>Explore in ECOTOX</v>
      </c>
    </row>
    <row r="1099" spans="1:19" x14ac:dyDescent="0.25">
      <c r="A1099">
        <v>6</v>
      </c>
      <c r="B1099" t="str">
        <f>HYPERLINK("http://www.ncbi.nlm.nih.gov/protein/AOX49913.1","AOX49913.1")</f>
        <v>AOX49913.1</v>
      </c>
      <c r="C1099">
        <v>24</v>
      </c>
      <c r="D1099" t="str">
        <f>HYPERLINK("http://www.ncbi.nlm.nih.gov/Taxonomy/Browser/wwwtax.cgi?mode=Info&amp;id=185732&amp;lvl=3&amp;lin=f&amp;keep=1&amp;srchmode=1&amp;unlock","185732")</f>
        <v>185732</v>
      </c>
      <c r="E1099" t="s">
        <v>384</v>
      </c>
      <c r="F1099" t="s">
        <v>384</v>
      </c>
      <c r="G1099" t="str">
        <f>HYPERLINK("http://www.ncbi.nlm.nih.gov/Taxonomy/Browser/wwwtax.cgi?mode=Info&amp;id=185732&amp;lvl=3&amp;lin=f&amp;keep=1&amp;srchmode=1&amp;unlock","Clevelandia ios")</f>
        <v>Clevelandia ios</v>
      </c>
      <c r="H1099" t="s">
        <v>1240</v>
      </c>
      <c r="I1099" t="str">
        <f>HYPERLINK("http://www.ncbi.nlm.nih.gov/protein/AOX49913.1","estrogen receptor gamma, partial")</f>
        <v>estrogen receptor gamma, partial</v>
      </c>
      <c r="J1099" t="s">
        <v>1261</v>
      </c>
      <c r="K1099">
        <v>68.94</v>
      </c>
      <c r="L1099" t="s">
        <v>25</v>
      </c>
      <c r="M1099">
        <v>157</v>
      </c>
      <c r="N1099">
        <v>62.55</v>
      </c>
      <c r="O1099">
        <v>13.41</v>
      </c>
      <c r="P1099" t="s">
        <v>20</v>
      </c>
      <c r="Q1099" t="s">
        <v>1262</v>
      </c>
      <c r="R1099" t="s">
        <v>20</v>
      </c>
      <c r="S1099" t="str">
        <f>HYPERLINK("https://cfpub.epa.gov/ecotox/explore.cfm?ncbi=185732","Explore in ECOTOX")</f>
        <v>Explore in ECOTOX</v>
      </c>
    </row>
    <row r="1100" spans="1:19" x14ac:dyDescent="0.25">
      <c r="A1100">
        <v>6</v>
      </c>
      <c r="B1100" t="str">
        <f>HYPERLINK("http://www.ncbi.nlm.nih.gov/protein/ATU32602.1","ATU32602.1")</f>
        <v>ATU32602.1</v>
      </c>
      <c r="C1100">
        <v>7</v>
      </c>
      <c r="D1100" t="str">
        <f>HYPERLINK("http://www.ncbi.nlm.nih.gov/Taxonomy/Browser/wwwtax.cgi?mode=Info&amp;id=2005664&amp;lvl=3&amp;lin=f&amp;keep=1&amp;srchmode=1&amp;unlock","2005664")</f>
        <v>2005664</v>
      </c>
      <c r="E1100" t="s">
        <v>763</v>
      </c>
      <c r="F1100" t="s">
        <v>763</v>
      </c>
      <c r="G1100" t="str">
        <f>HYPERLINK("http://www.ncbi.nlm.nih.gov/Taxonomy/Browser/wwwtax.cgi?mode=Info&amp;id=2005664&amp;lvl=3&amp;lin=f&amp;keep=1&amp;srchmode=1&amp;unlock","Parafossarulus striatulus")</f>
        <v>Parafossarulus striatulus</v>
      </c>
      <c r="H1100" t="s">
        <v>946</v>
      </c>
      <c r="I1100" t="str">
        <f>HYPERLINK("http://www.ncbi.nlm.nih.gov/protein/ATU32602.1","estrogen receptor")</f>
        <v>estrogen receptor</v>
      </c>
      <c r="J1100" t="s">
        <v>1261</v>
      </c>
      <c r="K1100">
        <v>68.55</v>
      </c>
      <c r="L1100" t="s">
        <v>25</v>
      </c>
      <c r="M1100">
        <v>157</v>
      </c>
      <c r="N1100">
        <v>62.55</v>
      </c>
      <c r="O1100">
        <v>13.33</v>
      </c>
      <c r="P1100" t="s">
        <v>25</v>
      </c>
      <c r="Q1100" t="s">
        <v>1262</v>
      </c>
      <c r="R1100" t="s">
        <v>20</v>
      </c>
      <c r="S1100" t="str">
        <f>HYPERLINK("https://cfpub.epa.gov/ecotox/explore.cfm?ncbi=2005664","Explore in ECOTOX")</f>
        <v>Explore in ECOTOX</v>
      </c>
    </row>
    <row r="1101" spans="1:19" x14ac:dyDescent="0.25">
      <c r="A1101">
        <v>6</v>
      </c>
      <c r="B1101" t="str">
        <f>HYPERLINK("http://www.ncbi.nlm.nih.gov/protein/XP_013193713.1","XP_013193713.1")</f>
        <v>XP_013193713.1</v>
      </c>
      <c r="C1101">
        <v>18524</v>
      </c>
      <c r="D1101" t="str">
        <f>HYPERLINK("http://www.ncbi.nlm.nih.gov/Taxonomy/Browser/wwwtax.cgi?mode=Info&amp;id=680683&amp;lvl=3&amp;lin=f&amp;keep=1&amp;srchmode=1&amp;unlock","680683")</f>
        <v>680683</v>
      </c>
      <c r="E1101" t="s">
        <v>698</v>
      </c>
      <c r="F1101" t="s">
        <v>698</v>
      </c>
      <c r="G1101" t="str">
        <f>HYPERLINK("http://www.ncbi.nlm.nih.gov/Taxonomy/Browser/wwwtax.cgi?mode=Info&amp;id=680683&amp;lvl=3&amp;lin=f&amp;keep=1&amp;srchmode=1&amp;unlock","Amyelois transitella")</f>
        <v>Amyelois transitella</v>
      </c>
      <c r="H1101" t="s">
        <v>824</v>
      </c>
      <c r="I1101" t="str">
        <f>HYPERLINK("http://www.ncbi.nlm.nih.gov/protein/XP_013193713.1","PREDICTED: steroid hormone receptor ERR1 isoform X1")</f>
        <v>PREDICTED: steroid hormone receptor ERR1 isoform X1</v>
      </c>
      <c r="J1101" t="s">
        <v>1261</v>
      </c>
      <c r="K1101">
        <v>68.55</v>
      </c>
      <c r="L1101" t="s">
        <v>25</v>
      </c>
      <c r="M1101">
        <v>157</v>
      </c>
      <c r="N1101">
        <v>62.55</v>
      </c>
      <c r="O1101">
        <v>13.33</v>
      </c>
      <c r="P1101" t="s">
        <v>25</v>
      </c>
      <c r="Q1101" t="s">
        <v>1262</v>
      </c>
      <c r="R1101" t="s">
        <v>20</v>
      </c>
      <c r="S1101" t="str">
        <f>HYPERLINK("https://cfpub.epa.gov/ecotox/explore.cfm?ncbi=680683","Explore in ECOTOX")</f>
        <v>Explore in ECOTOX</v>
      </c>
    </row>
    <row r="1102" spans="1:19" x14ac:dyDescent="0.25">
      <c r="A1102">
        <v>6</v>
      </c>
      <c r="B1102" t="str">
        <f>HYPERLINK("http://www.ncbi.nlm.nih.gov/protein/XP_018913880.1","XP_018913880.1")</f>
        <v>XP_018913880.1</v>
      </c>
      <c r="C1102">
        <v>29850</v>
      </c>
      <c r="D1102" t="str">
        <f>HYPERLINK("http://www.ncbi.nlm.nih.gov/Taxonomy/Browser/wwwtax.cgi?mode=Info&amp;id=7038&amp;lvl=3&amp;lin=f&amp;keep=1&amp;srchmode=1&amp;unlock","7038")</f>
        <v>7038</v>
      </c>
      <c r="E1102" t="s">
        <v>698</v>
      </c>
      <c r="F1102" t="s">
        <v>698</v>
      </c>
      <c r="G1102" t="str">
        <f>HYPERLINK("http://www.ncbi.nlm.nih.gov/Taxonomy/Browser/wwwtax.cgi?mode=Info&amp;id=7038&amp;lvl=3&amp;lin=f&amp;keep=1&amp;srchmode=1&amp;unlock","Bemisia tabaci")</f>
        <v>Bemisia tabaci</v>
      </c>
      <c r="H1102" t="s">
        <v>799</v>
      </c>
      <c r="I1102" t="str">
        <f>HYPERLINK("http://www.ncbi.nlm.nih.gov/protein/XP_018913880.1","PREDICTED: steroid hormone receptor ERR1 isoform X4")</f>
        <v>PREDICTED: steroid hormone receptor ERR1 isoform X4</v>
      </c>
      <c r="J1102" t="s">
        <v>1261</v>
      </c>
      <c r="K1102">
        <v>68.55</v>
      </c>
      <c r="L1102" t="s">
        <v>25</v>
      </c>
      <c r="M1102">
        <v>157</v>
      </c>
      <c r="N1102">
        <v>62.55</v>
      </c>
      <c r="O1102">
        <v>13.33</v>
      </c>
      <c r="P1102" t="s">
        <v>25</v>
      </c>
      <c r="Q1102" t="s">
        <v>1262</v>
      </c>
      <c r="R1102" t="s">
        <v>20</v>
      </c>
      <c r="S1102" t="str">
        <f>HYPERLINK("https://cfpub.epa.gov/ecotox/explore.cfm?ncbi=7038","Explore in ECOTOX")</f>
        <v>Explore in ECOTOX</v>
      </c>
    </row>
    <row r="1103" spans="1:19" x14ac:dyDescent="0.25">
      <c r="A1103">
        <v>6</v>
      </c>
      <c r="B1103" t="str">
        <f>HYPERLINK("http://www.ncbi.nlm.nih.gov/protein/CAL09961.1","CAL09961.1")</f>
        <v>CAL09961.1</v>
      </c>
      <c r="C1103">
        <v>464</v>
      </c>
      <c r="D1103" t="str">
        <f>HYPERLINK("http://www.ncbi.nlm.nih.gov/Taxonomy/Browser/wwwtax.cgi?mode=Info&amp;id=90069&amp;lvl=3&amp;lin=f&amp;keep=1&amp;srchmode=1&amp;unlock","90069")</f>
        <v>90069</v>
      </c>
      <c r="E1103" t="s">
        <v>384</v>
      </c>
      <c r="F1103" t="s">
        <v>384</v>
      </c>
      <c r="G1103" t="str">
        <f>HYPERLINK("http://www.ncbi.nlm.nih.gov/Taxonomy/Browser/wwwtax.cgi?mode=Info&amp;id=90069&amp;lvl=3&amp;lin=f&amp;keep=1&amp;srchmode=1&amp;unlock","Solea solea")</f>
        <v>Solea solea</v>
      </c>
      <c r="H1103" t="s">
        <v>1141</v>
      </c>
      <c r="I1103" t="str">
        <f>HYPERLINK("http://www.ncbi.nlm.nih.gov/protein/CAL09961.1","estrogen receptor beta")</f>
        <v>estrogen receptor beta</v>
      </c>
      <c r="J1103" t="s">
        <v>1261</v>
      </c>
      <c r="K1103">
        <v>68.55</v>
      </c>
      <c r="L1103" t="s">
        <v>25</v>
      </c>
      <c r="M1103">
        <v>157</v>
      </c>
      <c r="N1103">
        <v>62.55</v>
      </c>
      <c r="O1103">
        <v>13.33</v>
      </c>
      <c r="P1103" t="s">
        <v>20</v>
      </c>
      <c r="Q1103" t="s">
        <v>1262</v>
      </c>
      <c r="R1103" t="s">
        <v>20</v>
      </c>
      <c r="S1103" t="str">
        <f>HYPERLINK("https://cfpub.epa.gov/ecotox/explore.cfm?ncbi=90069","Explore in ECOTOX")</f>
        <v>Explore in ECOTOX</v>
      </c>
    </row>
    <row r="1104" spans="1:19" x14ac:dyDescent="0.25">
      <c r="A1104">
        <v>6</v>
      </c>
      <c r="B1104" t="str">
        <f>HYPERLINK("http://www.ncbi.nlm.nih.gov/protein/KAF5273107.1","KAF5273107.1")</f>
        <v>KAF5273107.1</v>
      </c>
      <c r="C1104">
        <v>19498</v>
      </c>
      <c r="D1104" t="str">
        <f>HYPERLINK("http://www.ncbi.nlm.nih.gov/Taxonomy/Browser/wwwtax.cgi?mode=Info&amp;id=370605&amp;lvl=3&amp;lin=f&amp;keep=1&amp;srchmode=1&amp;unlock","370605")</f>
        <v>370605</v>
      </c>
      <c r="E1104" t="s">
        <v>698</v>
      </c>
      <c r="F1104" t="s">
        <v>698</v>
      </c>
      <c r="G1104" t="str">
        <f>HYPERLINK("http://www.ncbi.nlm.nih.gov/Taxonomy/Browser/wwwtax.cgi?mode=Info&amp;id=370605&amp;lvl=3&amp;lin=f&amp;keep=1&amp;srchmode=1&amp;unlock","Lamprigera yunnana")</f>
        <v>Lamprigera yunnana</v>
      </c>
      <c r="H1104" t="s">
        <v>892</v>
      </c>
      <c r="I1104" t="str">
        <f>HYPERLINK("http://www.ncbi.nlm.nih.gov/protein/KAF5273107.1","hypothetical protein FQA39_LY07597")</f>
        <v>hypothetical protein FQA39_LY07597</v>
      </c>
      <c r="J1104" t="s">
        <v>1261</v>
      </c>
      <c r="K1104">
        <v>68.55</v>
      </c>
      <c r="L1104" t="s">
        <v>25</v>
      </c>
      <c r="M1104">
        <v>157</v>
      </c>
      <c r="N1104">
        <v>62.55</v>
      </c>
      <c r="O1104">
        <v>13.33</v>
      </c>
      <c r="P1104" t="s">
        <v>25</v>
      </c>
      <c r="Q1104" t="s">
        <v>1262</v>
      </c>
      <c r="R1104" t="s">
        <v>20</v>
      </c>
      <c r="S1104" t="str">
        <f>HYPERLINK("https://cfpub.epa.gov/ecotox/explore.cfm?ncbi=370605","Explore in ECOTOX")</f>
        <v>Explore in ECOTOX</v>
      </c>
    </row>
    <row r="1105" spans="1:19" x14ac:dyDescent="0.25">
      <c r="A1105">
        <v>6</v>
      </c>
      <c r="B1105" t="str">
        <f>HYPERLINK("http://www.ncbi.nlm.nih.gov/protein/ALT07179.1","ALT07179.1")</f>
        <v>ALT07179.1</v>
      </c>
      <c r="C1105">
        <v>191</v>
      </c>
      <c r="D1105" t="str">
        <f>HYPERLINK("http://www.ncbi.nlm.nih.gov/Taxonomy/Browser/wwwtax.cgi?mode=Info&amp;id=1169899&amp;lvl=3&amp;lin=f&amp;keep=1&amp;srchmode=1&amp;unlock","1169899")</f>
        <v>1169899</v>
      </c>
      <c r="E1105" t="s">
        <v>698</v>
      </c>
      <c r="F1105" t="s">
        <v>698</v>
      </c>
      <c r="G1105" t="str">
        <f>HYPERLINK("http://www.ncbi.nlm.nih.gov/Taxonomy/Browser/wwwtax.cgi?mode=Info&amp;id=1169899&amp;lvl=3&amp;lin=f&amp;keep=1&amp;srchmode=1&amp;unlock","Dastarcus helophoroides")</f>
        <v>Dastarcus helophoroides</v>
      </c>
      <c r="H1105" t="s">
        <v>1149</v>
      </c>
      <c r="I1105" t="str">
        <f>HYPERLINK("http://www.ncbi.nlm.nih.gov/protein/ALT07179.1","estrogen-related receptor")</f>
        <v>estrogen-related receptor</v>
      </c>
      <c r="J1105" t="s">
        <v>1261</v>
      </c>
      <c r="K1105">
        <v>68.55</v>
      </c>
      <c r="L1105" t="s">
        <v>25</v>
      </c>
      <c r="M1105">
        <v>157</v>
      </c>
      <c r="N1105">
        <v>62.55</v>
      </c>
      <c r="O1105">
        <v>13.33</v>
      </c>
      <c r="P1105" t="s">
        <v>25</v>
      </c>
      <c r="Q1105" t="s">
        <v>1262</v>
      </c>
      <c r="R1105" t="s">
        <v>20</v>
      </c>
      <c r="S1105" t="str">
        <f>HYPERLINK("https://cfpub.epa.gov/ecotox/explore.cfm?ncbi=1169899","Explore in ECOTOX")</f>
        <v>Explore in ECOTOX</v>
      </c>
    </row>
    <row r="1106" spans="1:19" x14ac:dyDescent="0.25">
      <c r="A1106">
        <v>6</v>
      </c>
      <c r="B1106" t="str">
        <f>HYPERLINK("http://www.ncbi.nlm.nih.gov/protein/AUF71655.1","AUF71655.1")</f>
        <v>AUF71655.1</v>
      </c>
      <c r="C1106">
        <v>1688</v>
      </c>
      <c r="D1106" t="str">
        <f>HYPERLINK("http://www.ncbi.nlm.nih.gov/Taxonomy/Browser/wwwtax.cgi?mode=Info&amp;id=13123&amp;lvl=3&amp;lin=f&amp;keep=1&amp;srchmode=1&amp;unlock","13123")</f>
        <v>13123</v>
      </c>
      <c r="E1106" t="s">
        <v>698</v>
      </c>
      <c r="F1106" t="s">
        <v>698</v>
      </c>
      <c r="G1106" t="str">
        <f>HYPERLINK("http://www.ncbi.nlm.nih.gov/Taxonomy/Browser/wwwtax.cgi?mode=Info&amp;id=13123&amp;lvl=3&amp;lin=f&amp;keep=1&amp;srchmode=1&amp;unlock","Lymantria dispar")</f>
        <v>Lymantria dispar</v>
      </c>
      <c r="H1106" t="s">
        <v>1176</v>
      </c>
      <c r="I1106" t="str">
        <f>HYPERLINK("http://www.ncbi.nlm.nih.gov/protein/AUF71655.1","ultraspiracle")</f>
        <v>ultraspiracle</v>
      </c>
      <c r="J1106" t="s">
        <v>1261</v>
      </c>
      <c r="K1106">
        <v>68.55</v>
      </c>
      <c r="L1106" t="s">
        <v>25</v>
      </c>
      <c r="M1106">
        <v>157</v>
      </c>
      <c r="N1106">
        <v>62.55</v>
      </c>
      <c r="O1106">
        <v>13.33</v>
      </c>
      <c r="P1106" t="s">
        <v>25</v>
      </c>
      <c r="Q1106" t="s">
        <v>1262</v>
      </c>
      <c r="R1106" t="s">
        <v>20</v>
      </c>
      <c r="S1106" t="str">
        <f>HYPERLINK("https://cfpub.epa.gov/ecotox/explore.cfm?ncbi=13123","Explore in ECOTOX")</f>
        <v>Explore in ECOTOX</v>
      </c>
    </row>
    <row r="1107" spans="1:19" x14ac:dyDescent="0.25">
      <c r="A1107">
        <v>6</v>
      </c>
      <c r="B1107" t="str">
        <f>HYPERLINK("http://www.ncbi.nlm.nih.gov/protein/ADO51071.1","ADO51071.1")</f>
        <v>ADO51071.1</v>
      </c>
      <c r="C1107">
        <v>188</v>
      </c>
      <c r="D1107" t="str">
        <f>HYPERLINK("http://www.ncbi.nlm.nih.gov/Taxonomy/Browser/wwwtax.cgi?mode=Info&amp;id=6853&amp;lvl=3&amp;lin=f&amp;keep=1&amp;srchmode=1&amp;unlock","6853")</f>
        <v>6853</v>
      </c>
      <c r="E1107" t="s">
        <v>806</v>
      </c>
      <c r="F1107" t="s">
        <v>806</v>
      </c>
      <c r="G1107" t="str">
        <f>HYPERLINK("http://www.ncbi.nlm.nih.gov/Taxonomy/Browser/wwwtax.cgi?mode=Info&amp;id=6853&amp;lvl=3&amp;lin=f&amp;keep=1&amp;srchmode=1&amp;unlock","Tachypleus tridentatus")</f>
        <v>Tachypleus tridentatus</v>
      </c>
      <c r="H1107" t="s">
        <v>1142</v>
      </c>
      <c r="I1107" t="str">
        <f>HYPERLINK("http://www.ncbi.nlm.nih.gov/protein/ADO51071.1","estrogen-related receptor")</f>
        <v>estrogen-related receptor</v>
      </c>
      <c r="J1107" t="s">
        <v>1261</v>
      </c>
      <c r="K1107">
        <v>68.17</v>
      </c>
      <c r="L1107" t="s">
        <v>25</v>
      </c>
      <c r="M1107">
        <v>157</v>
      </c>
      <c r="N1107">
        <v>62.55</v>
      </c>
      <c r="O1107">
        <v>13.26</v>
      </c>
      <c r="P1107" t="s">
        <v>25</v>
      </c>
      <c r="Q1107" t="s">
        <v>1262</v>
      </c>
      <c r="R1107" t="s">
        <v>20</v>
      </c>
      <c r="S1107" t="str">
        <f>HYPERLINK("https://cfpub.epa.gov/ecotox/explore.cfm?ncbi=6853","Explore in ECOTOX")</f>
        <v>Explore in ECOTOX</v>
      </c>
    </row>
    <row r="1108" spans="1:19" x14ac:dyDescent="0.25">
      <c r="A1108">
        <v>6</v>
      </c>
      <c r="B1108" t="str">
        <f>HYPERLINK("http://www.ncbi.nlm.nih.gov/protein/XP_022244536.1","XP_022244536.1")</f>
        <v>XP_022244536.1</v>
      </c>
      <c r="C1108">
        <v>39074</v>
      </c>
      <c r="D1108" t="str">
        <f>HYPERLINK("http://www.ncbi.nlm.nih.gov/Taxonomy/Browser/wwwtax.cgi?mode=Info&amp;id=6850&amp;lvl=3&amp;lin=f&amp;keep=1&amp;srchmode=1&amp;unlock","6850")</f>
        <v>6850</v>
      </c>
      <c r="E1108" t="s">
        <v>806</v>
      </c>
      <c r="F1108" t="s">
        <v>806</v>
      </c>
      <c r="G1108" t="str">
        <f>HYPERLINK("http://www.ncbi.nlm.nih.gov/Taxonomy/Browser/wwwtax.cgi?mode=Info&amp;id=6850&amp;lvl=3&amp;lin=f&amp;keep=1&amp;srchmode=1&amp;unlock","Limulus polyphemus")</f>
        <v>Limulus polyphemus</v>
      </c>
      <c r="H1108" t="s">
        <v>807</v>
      </c>
      <c r="I1108" t="str">
        <f>HYPERLINK("http://www.ncbi.nlm.nih.gov/protein/XP_022244536.1","steroid hormone receptor ERR1-like")</f>
        <v>steroid hormone receptor ERR1-like</v>
      </c>
      <c r="J1108" t="s">
        <v>1261</v>
      </c>
      <c r="K1108">
        <v>68.17</v>
      </c>
      <c r="L1108" t="s">
        <v>25</v>
      </c>
      <c r="M1108">
        <v>157</v>
      </c>
      <c r="N1108">
        <v>62.55</v>
      </c>
      <c r="O1108">
        <v>13.26</v>
      </c>
      <c r="P1108" t="s">
        <v>25</v>
      </c>
      <c r="Q1108" t="s">
        <v>1262</v>
      </c>
      <c r="R1108" t="s">
        <v>20</v>
      </c>
      <c r="S1108" t="str">
        <f>HYPERLINK("https://cfpub.epa.gov/ecotox/explore.cfm?ncbi=6850","Explore in ECOTOX")</f>
        <v>Explore in ECOTOX</v>
      </c>
    </row>
    <row r="1109" spans="1:19" x14ac:dyDescent="0.25">
      <c r="A1109">
        <v>6</v>
      </c>
      <c r="B1109" t="str">
        <f>HYPERLINK("http://www.ncbi.nlm.nih.gov/protein/XP_026725744.1","XP_026725744.1")</f>
        <v>XP_026725744.1</v>
      </c>
      <c r="C1109">
        <v>24079</v>
      </c>
      <c r="D1109" t="str">
        <f>HYPERLINK("http://www.ncbi.nlm.nih.gov/Taxonomy/Browser/wwwtax.cgi?mode=Info&amp;id=7111&amp;lvl=3&amp;lin=f&amp;keep=1&amp;srchmode=1&amp;unlock","7111")</f>
        <v>7111</v>
      </c>
      <c r="E1109" t="s">
        <v>698</v>
      </c>
      <c r="F1109" t="s">
        <v>698</v>
      </c>
      <c r="G1109" t="str">
        <f>HYPERLINK("http://www.ncbi.nlm.nih.gov/Taxonomy/Browser/wwwtax.cgi?mode=Info&amp;id=7111&amp;lvl=3&amp;lin=f&amp;keep=1&amp;srchmode=1&amp;unlock","Trichoplusia ni")</f>
        <v>Trichoplusia ni</v>
      </c>
      <c r="H1109" t="s">
        <v>1156</v>
      </c>
      <c r="I1109" t="str">
        <f>HYPERLINK("http://www.ncbi.nlm.nih.gov/protein/XP_026725744.1","steroid hormone receptor ERR1 isoform X2")</f>
        <v>steroid hormone receptor ERR1 isoform X2</v>
      </c>
      <c r="J1109" t="s">
        <v>1261</v>
      </c>
      <c r="K1109">
        <v>68.17</v>
      </c>
      <c r="L1109" t="s">
        <v>25</v>
      </c>
      <c r="M1109">
        <v>157</v>
      </c>
      <c r="N1109">
        <v>62.55</v>
      </c>
      <c r="O1109">
        <v>13.26</v>
      </c>
      <c r="P1109" t="s">
        <v>25</v>
      </c>
      <c r="Q1109" t="s">
        <v>1262</v>
      </c>
      <c r="R1109" t="s">
        <v>20</v>
      </c>
      <c r="S1109" t="str">
        <f>HYPERLINK("https://cfpub.epa.gov/ecotox/explore.cfm?ncbi=7111","Explore in ECOTOX")</f>
        <v>Explore in ECOTOX</v>
      </c>
    </row>
    <row r="1110" spans="1:19" x14ac:dyDescent="0.25">
      <c r="A1110">
        <v>6</v>
      </c>
      <c r="B1110" t="str">
        <f>HYPERLINK("http://www.ncbi.nlm.nih.gov/protein/ADO64596.1","ADO64596.1")</f>
        <v>ADO64596.1</v>
      </c>
      <c r="C1110">
        <v>534</v>
      </c>
      <c r="D1110" t="str">
        <f>HYPERLINK("http://www.ncbi.nlm.nih.gov/Taxonomy/Browser/wwwtax.cgi?mode=Info&amp;id=7109&amp;lvl=3&amp;lin=f&amp;keep=1&amp;srchmode=1&amp;unlock","7109")</f>
        <v>7109</v>
      </c>
      <c r="E1110" t="s">
        <v>698</v>
      </c>
      <c r="F1110" t="s">
        <v>698</v>
      </c>
      <c r="G1110" t="str">
        <f>HYPERLINK("http://www.ncbi.nlm.nih.gov/Taxonomy/Browser/wwwtax.cgi?mode=Info&amp;id=7109&amp;lvl=3&amp;lin=f&amp;keep=1&amp;srchmode=1&amp;unlock","Spodoptera littoralis")</f>
        <v>Spodoptera littoralis</v>
      </c>
      <c r="H1110" t="s">
        <v>1165</v>
      </c>
      <c r="I1110" t="str">
        <f>HYPERLINK("http://www.ncbi.nlm.nih.gov/protein/ADO64596.1","ultraspiracle")</f>
        <v>ultraspiracle</v>
      </c>
      <c r="J1110" t="s">
        <v>1261</v>
      </c>
      <c r="K1110">
        <v>68.17</v>
      </c>
      <c r="L1110" t="s">
        <v>25</v>
      </c>
      <c r="M1110">
        <v>157</v>
      </c>
      <c r="N1110">
        <v>62.55</v>
      </c>
      <c r="O1110">
        <v>13.26</v>
      </c>
      <c r="P1110" t="s">
        <v>25</v>
      </c>
      <c r="Q1110" t="s">
        <v>1262</v>
      </c>
      <c r="R1110" t="s">
        <v>20</v>
      </c>
      <c r="S1110" t="str">
        <f>HYPERLINK("https://cfpub.epa.gov/ecotox/explore.cfm?ncbi=7109","Explore in ECOTOX")</f>
        <v>Explore in ECOTOX</v>
      </c>
    </row>
    <row r="1111" spans="1:19" x14ac:dyDescent="0.25">
      <c r="A1111">
        <v>6</v>
      </c>
      <c r="B1111" t="str">
        <f>HYPERLINK("http://www.ncbi.nlm.nih.gov/protein/KAF9796367.1","KAF9796367.1")</f>
        <v>KAF9796367.1</v>
      </c>
      <c r="C1111">
        <v>54042</v>
      </c>
      <c r="D1111" t="str">
        <f>HYPERLINK("http://www.ncbi.nlm.nih.gov/Taxonomy/Browser/wwwtax.cgi?mode=Info&amp;id=7108&amp;lvl=3&amp;lin=f&amp;keep=1&amp;srchmode=1&amp;unlock","7108")</f>
        <v>7108</v>
      </c>
      <c r="E1111" t="s">
        <v>698</v>
      </c>
      <c r="F1111" t="s">
        <v>698</v>
      </c>
      <c r="G1111" t="str">
        <f>HYPERLINK("http://www.ncbi.nlm.nih.gov/Taxonomy/Browser/wwwtax.cgi?mode=Info&amp;id=7108&amp;lvl=3&amp;lin=f&amp;keep=1&amp;srchmode=1&amp;unlock","Spodoptera frugiperda")</f>
        <v>Spodoptera frugiperda</v>
      </c>
      <c r="H1111" t="s">
        <v>933</v>
      </c>
      <c r="I1111" t="str">
        <f>HYPERLINK("http://www.ncbi.nlm.nih.gov/protein/KAF9796367.1","hypothetical protein SFRURICE_001940, partial")</f>
        <v>hypothetical protein SFRURICE_001940, partial</v>
      </c>
      <c r="J1111" t="s">
        <v>1261</v>
      </c>
      <c r="K1111">
        <v>67.78</v>
      </c>
      <c r="L1111" t="s">
        <v>25</v>
      </c>
      <c r="M1111">
        <v>157</v>
      </c>
      <c r="N1111">
        <v>62.55</v>
      </c>
      <c r="O1111">
        <v>13.18</v>
      </c>
      <c r="P1111" t="s">
        <v>25</v>
      </c>
      <c r="Q1111" t="s">
        <v>1262</v>
      </c>
      <c r="R1111" t="s">
        <v>20</v>
      </c>
      <c r="S1111" t="str">
        <f>HYPERLINK("https://cfpub.epa.gov/ecotox/explore.cfm?ncbi=7108","Explore in ECOTOX")</f>
        <v>Explore in ECOTOX</v>
      </c>
    </row>
    <row r="1112" spans="1:19" x14ac:dyDescent="0.25">
      <c r="A1112">
        <v>6</v>
      </c>
      <c r="B1112" t="str">
        <f>HYPERLINK("http://www.ncbi.nlm.nih.gov/protein/PCG77221.1","PCG77221.1")</f>
        <v>PCG77221.1</v>
      </c>
      <c r="C1112">
        <v>19089</v>
      </c>
      <c r="D1112" t="str">
        <f>HYPERLINK("http://www.ncbi.nlm.nih.gov/Taxonomy/Browser/wwwtax.cgi?mode=Info&amp;id=7102&amp;lvl=3&amp;lin=f&amp;keep=1&amp;srchmode=1&amp;unlock","7102")</f>
        <v>7102</v>
      </c>
      <c r="E1112" t="s">
        <v>698</v>
      </c>
      <c r="F1112" t="s">
        <v>698</v>
      </c>
      <c r="G1112" t="str">
        <f>HYPERLINK("http://www.ncbi.nlm.nih.gov/Taxonomy/Browser/wwwtax.cgi?mode=Info&amp;id=7102&amp;lvl=3&amp;lin=f&amp;keep=1&amp;srchmode=1&amp;unlock","Heliothis virescens")</f>
        <v>Heliothis virescens</v>
      </c>
      <c r="H1112" t="s">
        <v>902</v>
      </c>
      <c r="I1112" t="str">
        <f>HYPERLINK("http://www.ncbi.nlm.nih.gov/protein/PCG77221.1","hypothetical protein B5V51_7898")</f>
        <v>hypothetical protein B5V51_7898</v>
      </c>
      <c r="J1112" t="s">
        <v>1261</v>
      </c>
      <c r="K1112">
        <v>67.78</v>
      </c>
      <c r="L1112" t="s">
        <v>25</v>
      </c>
      <c r="M1112">
        <v>157</v>
      </c>
      <c r="N1112">
        <v>62.55</v>
      </c>
      <c r="O1112">
        <v>13.18</v>
      </c>
      <c r="P1112" t="s">
        <v>25</v>
      </c>
      <c r="Q1112" t="s">
        <v>1262</v>
      </c>
      <c r="R1112" t="s">
        <v>20</v>
      </c>
      <c r="S1112" t="str">
        <f>HYPERLINK("https://cfpub.epa.gov/ecotox/explore.cfm?ncbi=7102","Explore in ECOTOX")</f>
        <v>Explore in ECOTOX</v>
      </c>
    </row>
    <row r="1113" spans="1:19" x14ac:dyDescent="0.25">
      <c r="A1113">
        <v>6</v>
      </c>
      <c r="B1113" t="str">
        <f>HYPERLINK("http://www.ncbi.nlm.nih.gov/protein/XP_023939533.1","XP_023939533.1")</f>
        <v>XP_023939533.1</v>
      </c>
      <c r="C1113">
        <v>21983</v>
      </c>
      <c r="D1113" t="str">
        <f>HYPERLINK("http://www.ncbi.nlm.nih.gov/Taxonomy/Browser/wwwtax.cgi?mode=Info&amp;id=110368&amp;lvl=3&amp;lin=f&amp;keep=1&amp;srchmode=1&amp;unlock","110368")</f>
        <v>110368</v>
      </c>
      <c r="E1113" t="s">
        <v>698</v>
      </c>
      <c r="F1113" t="s">
        <v>698</v>
      </c>
      <c r="G1113" t="str">
        <f>HYPERLINK("http://www.ncbi.nlm.nih.gov/Taxonomy/Browser/wwwtax.cgi?mode=Info&amp;id=110368&amp;lvl=3&amp;lin=f&amp;keep=1&amp;srchmode=1&amp;unlock","Bicyclus anynana")</f>
        <v>Bicyclus anynana</v>
      </c>
      <c r="H1113" t="s">
        <v>909</v>
      </c>
      <c r="I1113" t="str">
        <f>HYPERLINK("http://www.ncbi.nlm.nih.gov/protein/XP_023939533.1","steroid hormone receptor ERR2")</f>
        <v>steroid hormone receptor ERR2</v>
      </c>
      <c r="J1113" t="s">
        <v>1261</v>
      </c>
      <c r="K1113">
        <v>67.78</v>
      </c>
      <c r="L1113" t="s">
        <v>25</v>
      </c>
      <c r="M1113">
        <v>157</v>
      </c>
      <c r="N1113">
        <v>62.55</v>
      </c>
      <c r="O1113">
        <v>13.18</v>
      </c>
      <c r="P1113" t="s">
        <v>25</v>
      </c>
      <c r="Q1113" t="s">
        <v>1262</v>
      </c>
      <c r="R1113" t="s">
        <v>20</v>
      </c>
      <c r="S1113" t="str">
        <f>HYPERLINK("https://cfpub.epa.gov/ecotox/explore.cfm?ncbi=110368","Explore in ECOTOX")</f>
        <v>Explore in ECOTOX</v>
      </c>
    </row>
    <row r="1114" spans="1:19" x14ac:dyDescent="0.25">
      <c r="A1114">
        <v>6</v>
      </c>
      <c r="B1114" t="str">
        <f>HYPERLINK("http://www.ncbi.nlm.nih.gov/protein/AXP83834.1","AXP83834.1")</f>
        <v>AXP83834.1</v>
      </c>
      <c r="C1114">
        <v>77</v>
      </c>
      <c r="D1114" t="str">
        <f>HYPERLINK("http://www.ncbi.nlm.nih.gov/Taxonomy/Browser/wwwtax.cgi?mode=Info&amp;id=279094&amp;lvl=3&amp;lin=f&amp;keep=1&amp;srchmode=1&amp;unlock","279094")</f>
        <v>279094</v>
      </c>
      <c r="E1114" t="s">
        <v>786</v>
      </c>
      <c r="F1114" t="s">
        <v>786</v>
      </c>
      <c r="G1114" t="str">
        <f>HYPERLINK("http://www.ncbi.nlm.nih.gov/Taxonomy/Browser/wwwtax.cgi?mode=Info&amp;id=279094&amp;lvl=3&amp;lin=f&amp;keep=1&amp;srchmode=1&amp;unlock","Sepiella japonica")</f>
        <v>Sepiella japonica</v>
      </c>
      <c r="H1114" t="s">
        <v>1160</v>
      </c>
      <c r="I1114" t="str">
        <f>HYPERLINK("http://www.ncbi.nlm.nih.gov/protein/AXP83834.1","estrogen-related receptor gamma")</f>
        <v>estrogen-related receptor gamma</v>
      </c>
      <c r="J1114" t="s">
        <v>1261</v>
      </c>
      <c r="K1114">
        <v>67.78</v>
      </c>
      <c r="L1114" t="s">
        <v>25</v>
      </c>
      <c r="M1114">
        <v>157</v>
      </c>
      <c r="N1114">
        <v>62.55</v>
      </c>
      <c r="O1114">
        <v>13.18</v>
      </c>
      <c r="P1114" t="s">
        <v>25</v>
      </c>
      <c r="Q1114" t="s">
        <v>1262</v>
      </c>
      <c r="R1114" t="s">
        <v>20</v>
      </c>
      <c r="S1114" t="str">
        <f>HYPERLINK("https://cfpub.epa.gov/ecotox/explore.cfm?ncbi=279094","Explore in ECOTOX")</f>
        <v>Explore in ECOTOX</v>
      </c>
    </row>
    <row r="1115" spans="1:19" x14ac:dyDescent="0.25">
      <c r="A1115">
        <v>6</v>
      </c>
      <c r="B1115" t="str">
        <f>HYPERLINK("http://www.ncbi.nlm.nih.gov/protein/GAV07733.1","GAV07733.1")</f>
        <v>GAV07733.1</v>
      </c>
      <c r="C1115">
        <v>23052</v>
      </c>
      <c r="D1115" t="str">
        <f>HYPERLINK("http://www.ncbi.nlm.nih.gov/Taxonomy/Browser/wwwtax.cgi?mode=Info&amp;id=947166&amp;lvl=3&amp;lin=f&amp;keep=1&amp;srchmode=1&amp;unlock","947166")</f>
        <v>947166</v>
      </c>
      <c r="E1115" t="s">
        <v>746</v>
      </c>
      <c r="F1115" t="s">
        <v>746</v>
      </c>
      <c r="G1115" t="str">
        <f>HYPERLINK("http://www.ncbi.nlm.nih.gov/Taxonomy/Browser/wwwtax.cgi?mode=Info&amp;id=947166&amp;lvl=3&amp;lin=f&amp;keep=1&amp;srchmode=1&amp;unlock","Ramazzottius varieornatus")</f>
        <v>Ramazzottius varieornatus</v>
      </c>
      <c r="H1115" t="s">
        <v>747</v>
      </c>
      <c r="I1115" t="str">
        <f>HYPERLINK("http://www.ncbi.nlm.nih.gov/protein/GAV07733.1","hypothetical protein RvY_17540")</f>
        <v>hypothetical protein RvY_17540</v>
      </c>
      <c r="J1115" t="s">
        <v>1261</v>
      </c>
      <c r="K1115">
        <v>67.78</v>
      </c>
      <c r="L1115" t="s">
        <v>25</v>
      </c>
      <c r="M1115">
        <v>157</v>
      </c>
      <c r="N1115">
        <v>62.55</v>
      </c>
      <c r="O1115">
        <v>13.18</v>
      </c>
      <c r="P1115" t="s">
        <v>25</v>
      </c>
      <c r="Q1115" t="s">
        <v>1262</v>
      </c>
      <c r="R1115" t="s">
        <v>20</v>
      </c>
      <c r="S1115" t="str">
        <f>HYPERLINK("https://cfpub.epa.gov/ecotox/explore.cfm?ncbi=947166","Explore in ECOTOX")</f>
        <v>Explore in ECOTOX</v>
      </c>
    </row>
    <row r="1116" spans="1:19" x14ac:dyDescent="0.25">
      <c r="A1116">
        <v>6</v>
      </c>
      <c r="B1116" t="str">
        <f>HYPERLINK("http://www.ncbi.nlm.nih.gov/protein/CAF1422525.1","CAF1422525.1")</f>
        <v>CAF1422525.1</v>
      </c>
      <c r="C1116">
        <v>113535</v>
      </c>
      <c r="D1116" t="str">
        <f>HYPERLINK("http://www.ncbi.nlm.nih.gov/Taxonomy/Browser/wwwtax.cgi?mode=Info&amp;id=249248&amp;lvl=3&amp;lin=f&amp;keep=1&amp;srchmode=1&amp;unlock","249248")</f>
        <v>249248</v>
      </c>
      <c r="E1116" t="s">
        <v>855</v>
      </c>
      <c r="F1116" t="s">
        <v>855</v>
      </c>
      <c r="G1116" t="str">
        <f>HYPERLINK("http://www.ncbi.nlm.nih.gov/Taxonomy/Browser/wwwtax.cgi?mode=Info&amp;id=249248&amp;lvl=3&amp;lin=f&amp;keep=1&amp;srchmode=1&amp;unlock","Adineta ricciae")</f>
        <v>Adineta ricciae</v>
      </c>
      <c r="H1116" t="s">
        <v>856</v>
      </c>
      <c r="I1116" t="str">
        <f>HYPERLINK("http://www.ncbi.nlm.nih.gov/protein/CAF1422525.1","unnamed protein product")</f>
        <v>unnamed protein product</v>
      </c>
      <c r="J1116" t="s">
        <v>1261</v>
      </c>
      <c r="K1116">
        <v>67.400000000000006</v>
      </c>
      <c r="L1116" t="s">
        <v>25</v>
      </c>
      <c r="M1116">
        <v>157</v>
      </c>
      <c r="N1116">
        <v>62.55</v>
      </c>
      <c r="O1116">
        <v>13.11</v>
      </c>
      <c r="P1116" t="s">
        <v>25</v>
      </c>
      <c r="Q1116" t="s">
        <v>1262</v>
      </c>
      <c r="R1116" t="s">
        <v>20</v>
      </c>
      <c r="S1116" t="str">
        <f>HYPERLINK("https://cfpub.epa.gov/ecotox/explore.cfm?ncbi=249248","Explore in ECOTOX")</f>
        <v>Explore in ECOTOX</v>
      </c>
    </row>
    <row r="1117" spans="1:19" x14ac:dyDescent="0.25">
      <c r="A1117">
        <v>6</v>
      </c>
      <c r="B1117" t="str">
        <f>HYPERLINK("http://www.ncbi.nlm.nih.gov/protein/CAF3816380.1","CAF3816380.1")</f>
        <v>CAF3816380.1</v>
      </c>
      <c r="C1117">
        <v>277955</v>
      </c>
      <c r="D1117" t="str">
        <f>HYPERLINK("http://www.ncbi.nlm.nih.gov/Taxonomy/Browser/wwwtax.cgi?mode=Info&amp;id=392030&amp;lvl=3&amp;lin=f&amp;keep=1&amp;srchmode=1&amp;unlock","392030")</f>
        <v>392030</v>
      </c>
      <c r="E1117" t="s">
        <v>855</v>
      </c>
      <c r="F1117" t="s">
        <v>855</v>
      </c>
      <c r="G1117" t="str">
        <f>HYPERLINK("http://www.ncbi.nlm.nih.gov/Taxonomy/Browser/wwwtax.cgi?mode=Info&amp;id=392030&amp;lvl=3&amp;lin=f&amp;keep=1&amp;srchmode=1&amp;unlock","Rotaria magnacalcarata")</f>
        <v>Rotaria magnacalcarata</v>
      </c>
      <c r="H1117" t="s">
        <v>856</v>
      </c>
      <c r="I1117" t="str">
        <f>HYPERLINK("http://www.ncbi.nlm.nih.gov/protein/CAF3816380.1","unnamed protein product")</f>
        <v>unnamed protein product</v>
      </c>
      <c r="J1117" t="s">
        <v>1261</v>
      </c>
      <c r="K1117">
        <v>67.400000000000006</v>
      </c>
      <c r="L1117" t="s">
        <v>25</v>
      </c>
      <c r="M1117">
        <v>157</v>
      </c>
      <c r="N1117">
        <v>62.55</v>
      </c>
      <c r="O1117">
        <v>13.11</v>
      </c>
      <c r="P1117" t="s">
        <v>25</v>
      </c>
      <c r="Q1117" t="s">
        <v>1262</v>
      </c>
      <c r="R1117" t="s">
        <v>20</v>
      </c>
      <c r="S1117" t="str">
        <f>HYPERLINK("https://cfpub.epa.gov/ecotox/explore.cfm?ncbi=392030","Explore in ECOTOX")</f>
        <v>Explore in ECOTOX</v>
      </c>
    </row>
    <row r="1118" spans="1:19" x14ac:dyDescent="0.25">
      <c r="A1118">
        <v>6</v>
      </c>
      <c r="B1118" t="str">
        <f>HYPERLINK("http://www.ncbi.nlm.nih.gov/protein/RXG52466.1","RXG52466.1")</f>
        <v>RXG52466.1</v>
      </c>
      <c r="C1118">
        <v>19211</v>
      </c>
      <c r="D1118" t="str">
        <f>HYPERLINK("http://www.ncbi.nlm.nih.gov/Taxonomy/Browser/wwwtax.cgi?mode=Info&amp;id=13347&amp;lvl=3&amp;lin=f&amp;keep=1&amp;srchmode=1&amp;unlock","13347")</f>
        <v>13347</v>
      </c>
      <c r="E1118" t="s">
        <v>742</v>
      </c>
      <c r="F1118" t="s">
        <v>742</v>
      </c>
      <c r="G1118" t="str">
        <f>HYPERLINK("http://www.ncbi.nlm.nih.gov/Taxonomy/Browser/wwwtax.cgi?mode=Info&amp;id=13347&amp;lvl=3&amp;lin=f&amp;keep=1&amp;srchmode=1&amp;unlock","Armadillidium vulgare")</f>
        <v>Armadillidium vulgare</v>
      </c>
      <c r="H1118" t="s">
        <v>1151</v>
      </c>
      <c r="I1118" t="str">
        <f>HYPERLINK("http://www.ncbi.nlm.nih.gov/protein/RXG52466.1","Estrogen-related receptor gamma, partial")</f>
        <v>Estrogen-related receptor gamma, partial</v>
      </c>
      <c r="J1118" t="s">
        <v>1261</v>
      </c>
      <c r="K1118">
        <v>67.400000000000006</v>
      </c>
      <c r="L1118" t="s">
        <v>25</v>
      </c>
      <c r="M1118">
        <v>157</v>
      </c>
      <c r="N1118">
        <v>62.55</v>
      </c>
      <c r="O1118">
        <v>13.11</v>
      </c>
      <c r="P1118" t="s">
        <v>25</v>
      </c>
      <c r="Q1118" t="s">
        <v>1262</v>
      </c>
      <c r="R1118" t="s">
        <v>20</v>
      </c>
      <c r="S1118" t="str">
        <f>HYPERLINK("https://cfpub.epa.gov/ecotox/explore.cfm?ncbi=13347","Explore in ECOTOX")</f>
        <v>Explore in ECOTOX</v>
      </c>
    </row>
    <row r="1119" spans="1:19" x14ac:dyDescent="0.25">
      <c r="A1119">
        <v>6</v>
      </c>
      <c r="B1119" t="str">
        <f>HYPERLINK("http://www.ncbi.nlm.nih.gov/protein/XP_023932889.1","XP_023932889.1")</f>
        <v>XP_023932889.1</v>
      </c>
      <c r="C1119">
        <v>41484</v>
      </c>
      <c r="D1119" t="str">
        <f>HYPERLINK("http://www.ncbi.nlm.nih.gov/Taxonomy/Browser/wwwtax.cgi?mode=Info&amp;id=7574&amp;lvl=3&amp;lin=f&amp;keep=1&amp;srchmode=1&amp;unlock","7574")</f>
        <v>7574</v>
      </c>
      <c r="E1119" t="s">
        <v>797</v>
      </c>
      <c r="F1119" t="s">
        <v>797</v>
      </c>
      <c r="G1119" t="str">
        <f>HYPERLINK("http://www.ncbi.nlm.nih.gov/Taxonomy/Browser/wwwtax.cgi?mode=Info&amp;id=7574&amp;lvl=3&amp;lin=f&amp;keep=1&amp;srchmode=1&amp;unlock","Lingula anatina")</f>
        <v>Lingula anatina</v>
      </c>
      <c r="H1119" t="s">
        <v>798</v>
      </c>
      <c r="I1119" t="str">
        <f>HYPERLINK("http://www.ncbi.nlm.nih.gov/protein/XP_023932889.1","estrogen-related receptor gamma")</f>
        <v>estrogen-related receptor gamma</v>
      </c>
      <c r="J1119" t="s">
        <v>1261</v>
      </c>
      <c r="K1119">
        <v>67.400000000000006</v>
      </c>
      <c r="L1119" t="s">
        <v>25</v>
      </c>
      <c r="M1119">
        <v>157</v>
      </c>
      <c r="N1119">
        <v>62.55</v>
      </c>
      <c r="O1119">
        <v>13.11</v>
      </c>
      <c r="P1119" t="s">
        <v>25</v>
      </c>
      <c r="Q1119" t="s">
        <v>1262</v>
      </c>
      <c r="R1119" t="s">
        <v>20</v>
      </c>
      <c r="S1119" t="str">
        <f>HYPERLINK("https://cfpub.epa.gov/ecotox/explore.cfm?ncbi=7574","Explore in ECOTOX")</f>
        <v>Explore in ECOTOX</v>
      </c>
    </row>
    <row r="1120" spans="1:19" x14ac:dyDescent="0.25">
      <c r="A1120">
        <v>6</v>
      </c>
      <c r="B1120" t="str">
        <f>HYPERLINK("http://www.ncbi.nlm.nih.gov/protein/BAL41655.1","BAL41655.1")</f>
        <v>BAL41655.1</v>
      </c>
      <c r="C1120">
        <v>130</v>
      </c>
      <c r="D1120" t="str">
        <f>HYPERLINK("http://www.ncbi.nlm.nih.gov/Taxonomy/Browser/wwwtax.cgi?mode=Info&amp;id=72366&amp;lvl=3&amp;lin=f&amp;keep=1&amp;srchmode=1&amp;unlock","72366")</f>
        <v>72366</v>
      </c>
      <c r="E1120" t="s">
        <v>698</v>
      </c>
      <c r="F1120" t="s">
        <v>698</v>
      </c>
      <c r="G1120" t="str">
        <f>HYPERLINK("http://www.ncbi.nlm.nih.gov/Taxonomy/Browser/wwwtax.cgi?mode=Info&amp;id=72366&amp;lvl=3&amp;lin=f&amp;keep=1&amp;srchmode=1&amp;unlock","Scirpophaga incertulas")</f>
        <v>Scirpophaga incertulas</v>
      </c>
      <c r="H1120" t="s">
        <v>1173</v>
      </c>
      <c r="I1120" t="str">
        <f>HYPERLINK("http://www.ncbi.nlm.nih.gov/protein/BAL41655.1","ultraspiracle protein")</f>
        <v>ultraspiracle protein</v>
      </c>
      <c r="J1120" t="s">
        <v>1261</v>
      </c>
      <c r="K1120">
        <v>67.400000000000006</v>
      </c>
      <c r="L1120" t="s">
        <v>25</v>
      </c>
      <c r="M1120">
        <v>157</v>
      </c>
      <c r="N1120">
        <v>62.55</v>
      </c>
      <c r="O1120">
        <v>13.11</v>
      </c>
      <c r="P1120" t="s">
        <v>25</v>
      </c>
      <c r="Q1120" t="s">
        <v>1262</v>
      </c>
      <c r="R1120" t="s">
        <v>20</v>
      </c>
      <c r="S1120" t="str">
        <f>HYPERLINK("https://cfpub.epa.gov/ecotox/explore.cfm?ncbi=72366","Explore in ECOTOX")</f>
        <v>Explore in ECOTOX</v>
      </c>
    </row>
    <row r="1121" spans="1:19" x14ac:dyDescent="0.25">
      <c r="A1121">
        <v>6</v>
      </c>
      <c r="B1121" t="str">
        <f>HYPERLINK("http://www.ncbi.nlm.nih.gov/protein/KZS19653.1","KZS19653.1")</f>
        <v>KZS19653.1</v>
      </c>
      <c r="C1121">
        <v>55137</v>
      </c>
      <c r="D1121" t="str">
        <f>HYPERLINK("http://www.ncbi.nlm.nih.gov/Taxonomy/Browser/wwwtax.cgi?mode=Info&amp;id=35525&amp;lvl=3&amp;lin=f&amp;keep=1&amp;srchmode=1&amp;unlock","35525")</f>
        <v>35525</v>
      </c>
      <c r="E1121" t="s">
        <v>715</v>
      </c>
      <c r="F1121" t="s">
        <v>715</v>
      </c>
      <c r="G1121" t="str">
        <f>HYPERLINK("http://www.ncbi.nlm.nih.gov/Taxonomy/Browser/wwwtax.cgi?mode=Info&amp;id=35525&amp;lvl=3&amp;lin=f&amp;keep=1&amp;srchmode=1&amp;unlock","Daphnia magna")</f>
        <v>Daphnia magna</v>
      </c>
      <c r="H1121" t="s">
        <v>717</v>
      </c>
      <c r="I1121" t="str">
        <f>HYPERLINK("http://www.ncbi.nlm.nih.gov/protein/KZS19653.1","Estrogen-related receptor splice variant")</f>
        <v>Estrogen-related receptor splice variant</v>
      </c>
      <c r="J1121" t="s">
        <v>1261</v>
      </c>
      <c r="K1121">
        <v>67.010000000000005</v>
      </c>
      <c r="L1121" t="s">
        <v>25</v>
      </c>
      <c r="M1121">
        <v>157</v>
      </c>
      <c r="N1121">
        <v>62.55</v>
      </c>
      <c r="O1121">
        <v>13.03</v>
      </c>
      <c r="P1121" t="s">
        <v>25</v>
      </c>
      <c r="Q1121" t="s">
        <v>1262</v>
      </c>
      <c r="R1121" t="s">
        <v>20</v>
      </c>
      <c r="S1121" t="str">
        <f>HYPERLINK("https://cfpub.epa.gov/ecotox/explore.cfm?ncbi=35525","Explore in ECOTOX")</f>
        <v>Explore in ECOTOX</v>
      </c>
    </row>
    <row r="1122" spans="1:19" x14ac:dyDescent="0.25">
      <c r="A1122">
        <v>6</v>
      </c>
      <c r="B1122" t="str">
        <f>HYPERLINK("http://www.ncbi.nlm.nih.gov/protein/XP_021196875.1","XP_021196875.1")</f>
        <v>XP_021196875.1</v>
      </c>
      <c r="C1122">
        <v>40265</v>
      </c>
      <c r="D1122" t="str">
        <f>HYPERLINK("http://www.ncbi.nlm.nih.gov/Taxonomy/Browser/wwwtax.cgi?mode=Info&amp;id=29058&amp;lvl=3&amp;lin=f&amp;keep=1&amp;srchmode=1&amp;unlock","29058")</f>
        <v>29058</v>
      </c>
      <c r="E1122" t="s">
        <v>698</v>
      </c>
      <c r="F1122" t="s">
        <v>698</v>
      </c>
      <c r="G1122" t="str">
        <f>HYPERLINK("http://www.ncbi.nlm.nih.gov/Taxonomy/Browser/wwwtax.cgi?mode=Info&amp;id=29058&amp;lvl=3&amp;lin=f&amp;keep=1&amp;srchmode=1&amp;unlock","Helicoverpa armigera")</f>
        <v>Helicoverpa armigera</v>
      </c>
      <c r="H1122" t="s">
        <v>932</v>
      </c>
      <c r="I1122" t="str">
        <f>HYPERLINK("http://www.ncbi.nlm.nih.gov/protein/XP_021196875.1","steroid hormone receptor ERR1 isoform X2")</f>
        <v>steroid hormone receptor ERR1 isoform X2</v>
      </c>
      <c r="J1122" t="s">
        <v>1261</v>
      </c>
      <c r="K1122">
        <v>67.010000000000005</v>
      </c>
      <c r="L1122" t="s">
        <v>25</v>
      </c>
      <c r="M1122">
        <v>157</v>
      </c>
      <c r="N1122">
        <v>62.55</v>
      </c>
      <c r="O1122">
        <v>13.03</v>
      </c>
      <c r="P1122" t="s">
        <v>25</v>
      </c>
      <c r="Q1122" t="s">
        <v>1262</v>
      </c>
      <c r="R1122" t="s">
        <v>20</v>
      </c>
      <c r="S1122" t="str">
        <f>HYPERLINK("https://cfpub.epa.gov/ecotox/explore.cfm?ncbi=29058","Explore in ECOTOX")</f>
        <v>Explore in ECOTOX</v>
      </c>
    </row>
    <row r="1123" spans="1:19" x14ac:dyDescent="0.25">
      <c r="A1123">
        <v>6</v>
      </c>
      <c r="B1123" t="str">
        <f>HYPERLINK("http://www.ncbi.nlm.nih.gov/protein/XP_038206722.1","XP_038206722.1")</f>
        <v>XP_038206722.1</v>
      </c>
      <c r="C1123">
        <v>17482</v>
      </c>
      <c r="D1123" t="str">
        <f>HYPERLINK("http://www.ncbi.nlm.nih.gov/Taxonomy/Browser/wwwtax.cgi?mode=Info&amp;id=33412&amp;lvl=3&amp;lin=f&amp;keep=1&amp;srchmode=1&amp;unlock","33412")</f>
        <v>33412</v>
      </c>
      <c r="E1123" t="s">
        <v>698</v>
      </c>
      <c r="F1123" t="s">
        <v>698</v>
      </c>
      <c r="G1123" t="str">
        <f>HYPERLINK("http://www.ncbi.nlm.nih.gov/Taxonomy/Browser/wwwtax.cgi?mode=Info&amp;id=33412&amp;lvl=3&amp;lin=f&amp;keep=1&amp;srchmode=1&amp;unlock","Zerene cesonia")</f>
        <v>Zerene cesonia</v>
      </c>
      <c r="H1123" t="s">
        <v>956</v>
      </c>
      <c r="I1123" t="str">
        <f>HYPERLINK("http://www.ncbi.nlm.nih.gov/protein/XP_038206722.1","steroid hormone receptor ERR2 isoform X3")</f>
        <v>steroid hormone receptor ERR2 isoform X3</v>
      </c>
      <c r="J1123" t="s">
        <v>1261</v>
      </c>
      <c r="K1123">
        <v>67.010000000000005</v>
      </c>
      <c r="L1123" t="s">
        <v>25</v>
      </c>
      <c r="M1123">
        <v>157</v>
      </c>
      <c r="N1123">
        <v>62.55</v>
      </c>
      <c r="O1123">
        <v>13.03</v>
      </c>
      <c r="P1123" t="s">
        <v>25</v>
      </c>
      <c r="Q1123" t="s">
        <v>1262</v>
      </c>
      <c r="R1123" t="s">
        <v>20</v>
      </c>
      <c r="S1123" t="str">
        <f>HYPERLINK("https://cfpub.epa.gov/ecotox/explore.cfm?ncbi=33412","Explore in ECOTOX")</f>
        <v>Explore in ECOTOX</v>
      </c>
    </row>
    <row r="1124" spans="1:19" x14ac:dyDescent="0.25">
      <c r="A1124">
        <v>6</v>
      </c>
      <c r="B1124" t="str">
        <f>HYPERLINK("http://www.ncbi.nlm.nih.gov/protein/ASL70079.1","ASL70079.1")</f>
        <v>ASL70079.1</v>
      </c>
      <c r="C1124">
        <v>18448</v>
      </c>
      <c r="D1124" t="str">
        <f>HYPERLINK("http://www.ncbi.nlm.nih.gov/Taxonomy/Browser/wwwtax.cgi?mode=Info&amp;id=195883&amp;lvl=3&amp;lin=f&amp;keep=1&amp;srchmode=1&amp;unlock","195883")</f>
        <v>195883</v>
      </c>
      <c r="E1124" t="s">
        <v>698</v>
      </c>
      <c r="F1124" t="s">
        <v>698</v>
      </c>
      <c r="G1124" t="str">
        <f>HYPERLINK("http://www.ncbi.nlm.nih.gov/Taxonomy/Browser/wwwtax.cgi?mode=Info&amp;id=195883&amp;lvl=3&amp;lin=f&amp;keep=1&amp;srchmode=1&amp;unlock","Laodelphax striatellus")</f>
        <v>Laodelphax striatellus</v>
      </c>
      <c r="H1124" t="s">
        <v>842</v>
      </c>
      <c r="I1124" t="str">
        <f>HYPERLINK("http://www.ncbi.nlm.nih.gov/protein/ASL70079.1","estrogen-related receptor")</f>
        <v>estrogen-related receptor</v>
      </c>
      <c r="J1124" t="s">
        <v>1261</v>
      </c>
      <c r="K1124">
        <v>67.010000000000005</v>
      </c>
      <c r="L1124" t="s">
        <v>25</v>
      </c>
      <c r="M1124">
        <v>157</v>
      </c>
      <c r="N1124">
        <v>62.55</v>
      </c>
      <c r="O1124">
        <v>13.03</v>
      </c>
      <c r="P1124" t="s">
        <v>25</v>
      </c>
      <c r="Q1124" t="s">
        <v>1262</v>
      </c>
      <c r="R1124" t="s">
        <v>20</v>
      </c>
      <c r="S1124" t="str">
        <f>HYPERLINK("https://cfpub.epa.gov/ecotox/explore.cfm?ncbi=195883","Explore in ECOTOX")</f>
        <v>Explore in ECOTOX</v>
      </c>
    </row>
    <row r="1125" spans="1:19" x14ac:dyDescent="0.25">
      <c r="A1125">
        <v>6</v>
      </c>
      <c r="B1125" t="str">
        <f>HYPERLINK("http://www.ncbi.nlm.nih.gov/protein/XP_035919033.1","XP_035919033.1")</f>
        <v>XP_035919033.1</v>
      </c>
      <c r="C1125">
        <v>30158</v>
      </c>
      <c r="D1125" t="str">
        <f>HYPERLINK("http://www.ncbi.nlm.nih.gov/Taxonomy/Browser/wwwtax.cgi?mode=Info&amp;id=30069&amp;lvl=3&amp;lin=f&amp;keep=1&amp;srchmode=1&amp;unlock","30069")</f>
        <v>30069</v>
      </c>
      <c r="E1125" t="s">
        <v>698</v>
      </c>
      <c r="F1125" t="s">
        <v>698</v>
      </c>
      <c r="G1125" t="str">
        <f>HYPERLINK("http://www.ncbi.nlm.nih.gov/Taxonomy/Browser/wwwtax.cgi?mode=Info&amp;id=30069&amp;lvl=3&amp;lin=f&amp;keep=1&amp;srchmode=1&amp;unlock","Anopheles stephensi")</f>
        <v>Anopheles stephensi</v>
      </c>
      <c r="H1125" t="s">
        <v>783</v>
      </c>
      <c r="I1125" t="str">
        <f>HYPERLINK("http://www.ncbi.nlm.nih.gov/protein/XP_035919033.1","steroid hormone receptor ERR2-like isoform X4")</f>
        <v>steroid hormone receptor ERR2-like isoform X4</v>
      </c>
      <c r="J1125" t="s">
        <v>1261</v>
      </c>
      <c r="K1125">
        <v>67.010000000000005</v>
      </c>
      <c r="L1125" t="s">
        <v>25</v>
      </c>
      <c r="M1125">
        <v>157</v>
      </c>
      <c r="N1125">
        <v>62.55</v>
      </c>
      <c r="O1125">
        <v>13.03</v>
      </c>
      <c r="P1125" t="s">
        <v>25</v>
      </c>
      <c r="Q1125" t="s">
        <v>1262</v>
      </c>
      <c r="R1125" t="s">
        <v>20</v>
      </c>
      <c r="S1125" t="str">
        <f>HYPERLINK("https://cfpub.epa.gov/ecotox/explore.cfm?ncbi=30069","Explore in ECOTOX")</f>
        <v>Explore in ECOTOX</v>
      </c>
    </row>
    <row r="1126" spans="1:19" x14ac:dyDescent="0.25">
      <c r="A1126">
        <v>6</v>
      </c>
      <c r="B1126" t="str">
        <f>HYPERLINK("http://www.ncbi.nlm.nih.gov/protein/ALD83751.1","ALD83751.1")</f>
        <v>ALD83751.1</v>
      </c>
      <c r="C1126">
        <v>453</v>
      </c>
      <c r="D1126" t="str">
        <f>HYPERLINK("http://www.ncbi.nlm.nih.gov/Taxonomy/Browser/wwwtax.cgi?mode=Info&amp;id=192188&amp;lvl=3&amp;lin=f&amp;keep=1&amp;srchmode=1&amp;unlock","192188")</f>
        <v>192188</v>
      </c>
      <c r="E1126" t="s">
        <v>698</v>
      </c>
      <c r="F1126" t="s">
        <v>698</v>
      </c>
      <c r="G1126" t="str">
        <f>HYPERLINK("http://www.ncbi.nlm.nih.gov/Taxonomy/Browser/wwwtax.cgi?mode=Info&amp;id=192188&amp;lvl=3&amp;lin=f&amp;keep=1&amp;srchmode=1&amp;unlock","Grapholita molesta")</f>
        <v>Grapholita molesta</v>
      </c>
      <c r="H1126" t="s">
        <v>1178</v>
      </c>
      <c r="I1126" t="str">
        <f>HYPERLINK("http://www.ncbi.nlm.nih.gov/protein/ALD83751.1","ultraspiracle")</f>
        <v>ultraspiracle</v>
      </c>
      <c r="J1126" t="s">
        <v>1261</v>
      </c>
      <c r="K1126">
        <v>67.010000000000005</v>
      </c>
      <c r="L1126" t="s">
        <v>25</v>
      </c>
      <c r="M1126">
        <v>157</v>
      </c>
      <c r="N1126">
        <v>62.55</v>
      </c>
      <c r="O1126">
        <v>13.03</v>
      </c>
      <c r="P1126" t="s">
        <v>25</v>
      </c>
      <c r="Q1126" t="s">
        <v>1262</v>
      </c>
      <c r="R1126" t="s">
        <v>20</v>
      </c>
      <c r="S1126" t="str">
        <f>HYPERLINK("https://cfpub.epa.gov/ecotox/explore.cfm?ncbi=192188","Explore in ECOTOX")</f>
        <v>Explore in ECOTOX</v>
      </c>
    </row>
    <row r="1127" spans="1:19" x14ac:dyDescent="0.25">
      <c r="A1127">
        <v>6</v>
      </c>
      <c r="B1127" t="str">
        <f>HYPERLINK("http://www.ncbi.nlm.nih.gov/protein/XP_009020000.1","XP_009020000.1")</f>
        <v>XP_009020000.1</v>
      </c>
      <c r="C1127">
        <v>46878</v>
      </c>
      <c r="D1127" t="str">
        <f>HYPERLINK("http://www.ncbi.nlm.nih.gov/Taxonomy/Browser/wwwtax.cgi?mode=Info&amp;id=6412&amp;lvl=3&amp;lin=f&amp;keep=1&amp;srchmode=1&amp;unlock","6412")</f>
        <v>6412</v>
      </c>
      <c r="E1127" t="s">
        <v>1153</v>
      </c>
      <c r="F1127" t="s">
        <v>1153</v>
      </c>
      <c r="G1127" t="str">
        <f>HYPERLINK("http://www.ncbi.nlm.nih.gov/Taxonomy/Browser/wwwtax.cgi?mode=Info&amp;id=6412&amp;lvl=3&amp;lin=f&amp;keep=1&amp;srchmode=1&amp;unlock","Helobdella robusta")</f>
        <v>Helobdella robusta</v>
      </c>
      <c r="H1127" t="s">
        <v>1155</v>
      </c>
      <c r="I1127" t="str">
        <f>HYPERLINK("http://www.ncbi.nlm.nih.gov/protein/XP_009020000.1","hypothetical protein HELRODRAFT_106750")</f>
        <v>hypothetical protein HELRODRAFT_106750</v>
      </c>
      <c r="J1127" t="s">
        <v>1261</v>
      </c>
      <c r="K1127">
        <v>66.63</v>
      </c>
      <c r="L1127" t="s">
        <v>25</v>
      </c>
      <c r="M1127">
        <v>157</v>
      </c>
      <c r="N1127">
        <v>62.55</v>
      </c>
      <c r="O1127">
        <v>12.96</v>
      </c>
      <c r="P1127" t="s">
        <v>25</v>
      </c>
      <c r="Q1127" t="s">
        <v>1262</v>
      </c>
      <c r="R1127" t="s">
        <v>20</v>
      </c>
      <c r="S1127" t="str">
        <f>HYPERLINK("https://cfpub.epa.gov/ecotox/explore.cfm?ncbi=6412","Explore in ECOTOX")</f>
        <v>Explore in ECOTOX</v>
      </c>
    </row>
    <row r="1128" spans="1:19" x14ac:dyDescent="0.25">
      <c r="A1128">
        <v>6</v>
      </c>
      <c r="B1128" t="str">
        <f>HYPERLINK("http://www.ncbi.nlm.nih.gov/protein/XP_039757573.1","XP_039757573.1")</f>
        <v>XP_039757573.1</v>
      </c>
      <c r="C1128">
        <v>21135</v>
      </c>
      <c r="D1128" t="str">
        <f>HYPERLINK("http://www.ncbi.nlm.nih.gov/Taxonomy/Browser/wwwtax.cgi?mode=Info&amp;id=116150&amp;lvl=3&amp;lin=f&amp;keep=1&amp;srchmode=1&amp;unlock","116150")</f>
        <v>116150</v>
      </c>
      <c r="E1128" t="s">
        <v>698</v>
      </c>
      <c r="F1128" t="s">
        <v>698</v>
      </c>
      <c r="G1128" t="str">
        <f>HYPERLINK("http://www.ncbi.nlm.nih.gov/Taxonomy/Browser/wwwtax.cgi?mode=Info&amp;id=116150&amp;lvl=3&amp;lin=f&amp;keep=1&amp;srchmode=1&amp;unlock","Pararge aegeria")</f>
        <v>Pararge aegeria</v>
      </c>
      <c r="H1128" t="s">
        <v>952</v>
      </c>
      <c r="I1128" t="str">
        <f>HYPERLINK("http://www.ncbi.nlm.nih.gov/protein/XP_039757573.1","steroid hormone receptor ERR1")</f>
        <v>steroid hormone receptor ERR1</v>
      </c>
      <c r="J1128" t="s">
        <v>1261</v>
      </c>
      <c r="K1128">
        <v>66.63</v>
      </c>
      <c r="L1128" t="s">
        <v>25</v>
      </c>
      <c r="M1128">
        <v>157</v>
      </c>
      <c r="N1128">
        <v>62.55</v>
      </c>
      <c r="O1128">
        <v>12.96</v>
      </c>
      <c r="P1128" t="s">
        <v>25</v>
      </c>
      <c r="Q1128" t="s">
        <v>1262</v>
      </c>
      <c r="R1128" t="s">
        <v>20</v>
      </c>
      <c r="S1128" t="str">
        <f>HYPERLINK("https://cfpub.epa.gov/ecotox/explore.cfm?ncbi=116150","Explore in ECOTOX")</f>
        <v>Explore in ECOTOX</v>
      </c>
    </row>
    <row r="1129" spans="1:19" x14ac:dyDescent="0.25">
      <c r="A1129">
        <v>6</v>
      </c>
      <c r="B1129" t="str">
        <f>HYPERLINK("http://www.ncbi.nlm.nih.gov/protein/CAD7004642.1","CAD7004642.1")</f>
        <v>CAD7004642.1</v>
      </c>
      <c r="C1129">
        <v>43760</v>
      </c>
      <c r="D1129" t="str">
        <f>HYPERLINK("http://www.ncbi.nlm.nih.gov/Taxonomy/Browser/wwwtax.cgi?mode=Info&amp;id=7213&amp;lvl=3&amp;lin=f&amp;keep=1&amp;srchmode=1&amp;unlock","7213")</f>
        <v>7213</v>
      </c>
      <c r="E1129" t="s">
        <v>698</v>
      </c>
      <c r="F1129" t="s">
        <v>698</v>
      </c>
      <c r="G1129" t="str">
        <f>HYPERLINK("http://www.ncbi.nlm.nih.gov/Taxonomy/Browser/wwwtax.cgi?mode=Info&amp;id=7213&amp;lvl=3&amp;lin=f&amp;keep=1&amp;srchmode=1&amp;unlock","Ceratitis capitata")</f>
        <v>Ceratitis capitata</v>
      </c>
      <c r="H1129" t="s">
        <v>809</v>
      </c>
      <c r="I1129" t="str">
        <f>HYPERLINK("http://www.ncbi.nlm.nih.gov/protein/CAD7004642.1","unnamed protein product")</f>
        <v>unnamed protein product</v>
      </c>
      <c r="J1129" t="s">
        <v>1261</v>
      </c>
      <c r="K1129">
        <v>66.63</v>
      </c>
      <c r="L1129" t="s">
        <v>25</v>
      </c>
      <c r="M1129">
        <v>157</v>
      </c>
      <c r="N1129">
        <v>62.55</v>
      </c>
      <c r="O1129">
        <v>12.96</v>
      </c>
      <c r="P1129" t="s">
        <v>25</v>
      </c>
      <c r="Q1129" t="s">
        <v>1262</v>
      </c>
      <c r="R1129" t="s">
        <v>20</v>
      </c>
      <c r="S1129" t="str">
        <f>HYPERLINK("https://cfpub.epa.gov/ecotox/explore.cfm?ncbi=7213","Explore in ECOTOX")</f>
        <v>Explore in ECOTOX</v>
      </c>
    </row>
    <row r="1130" spans="1:19" x14ac:dyDescent="0.25">
      <c r="A1130">
        <v>6</v>
      </c>
      <c r="B1130" t="str">
        <f>HYPERLINK("http://www.ncbi.nlm.nih.gov/protein/NP_001191648.1","NP_001191648.1")</f>
        <v>NP_001191648.1</v>
      </c>
      <c r="C1130">
        <v>27878</v>
      </c>
      <c r="D1130" t="str">
        <f>HYPERLINK("http://www.ncbi.nlm.nih.gov/Taxonomy/Browser/wwwtax.cgi?mode=Info&amp;id=6500&amp;lvl=3&amp;lin=f&amp;keep=1&amp;srchmode=1&amp;unlock","6500")</f>
        <v>6500</v>
      </c>
      <c r="E1130" t="s">
        <v>763</v>
      </c>
      <c r="F1130" t="s">
        <v>763</v>
      </c>
      <c r="G1130" t="str">
        <f>HYPERLINK("http://www.ncbi.nlm.nih.gov/Taxonomy/Browser/wwwtax.cgi?mode=Info&amp;id=6500&amp;lvl=3&amp;lin=f&amp;keep=1&amp;srchmode=1&amp;unlock","Aplysia californica")</f>
        <v>Aplysia californica</v>
      </c>
      <c r="H1130" t="s">
        <v>764</v>
      </c>
      <c r="I1130" t="str">
        <f>HYPERLINK("http://www.ncbi.nlm.nih.gov/protein/NP_001191648.1","estrogen receptor")</f>
        <v>estrogen receptor</v>
      </c>
      <c r="J1130" t="s">
        <v>1261</v>
      </c>
      <c r="K1130">
        <v>66.239999999999995</v>
      </c>
      <c r="L1130" t="s">
        <v>25</v>
      </c>
      <c r="M1130">
        <v>157</v>
      </c>
      <c r="N1130">
        <v>62.55</v>
      </c>
      <c r="O1130">
        <v>12.88</v>
      </c>
      <c r="P1130" t="s">
        <v>25</v>
      </c>
      <c r="Q1130" t="s">
        <v>1262</v>
      </c>
      <c r="R1130" t="s">
        <v>20</v>
      </c>
      <c r="S1130" t="str">
        <f>HYPERLINK("https://cfpub.epa.gov/ecotox/explore.cfm?ncbi=6500","Explore in ECOTOX")</f>
        <v>Explore in ECOTOX</v>
      </c>
    </row>
    <row r="1131" spans="1:19" x14ac:dyDescent="0.25">
      <c r="A1131">
        <v>6</v>
      </c>
      <c r="B1131" t="str">
        <f>HYPERLINK("http://www.ncbi.nlm.nih.gov/protein/ADJ96333.1","ADJ96333.1")</f>
        <v>ADJ96333.1</v>
      </c>
      <c r="C1131">
        <v>83</v>
      </c>
      <c r="D1131" t="str">
        <f>HYPERLINK("http://www.ncbi.nlm.nih.gov/Taxonomy/Browser/wwwtax.cgi?mode=Info&amp;id=229072&amp;lvl=3&amp;lin=f&amp;keep=1&amp;srchmode=1&amp;unlock","229072")</f>
        <v>229072</v>
      </c>
      <c r="E1131" t="s">
        <v>384</v>
      </c>
      <c r="F1131" t="s">
        <v>384</v>
      </c>
      <c r="G1131" t="str">
        <f>HYPERLINK("http://www.ncbi.nlm.nih.gov/Taxonomy/Browser/wwwtax.cgi?mode=Info&amp;id=229072&amp;lvl=3&amp;lin=f&amp;keep=1&amp;srchmode=1&amp;unlock","Amphiprion melanopus")</f>
        <v>Amphiprion melanopus</v>
      </c>
      <c r="H1131" t="s">
        <v>1130</v>
      </c>
      <c r="I1131" t="str">
        <f>HYPERLINK("http://www.ncbi.nlm.nih.gov/protein/ADJ96333.1","estrogen receptor beta 1, partial")</f>
        <v>estrogen receptor beta 1, partial</v>
      </c>
      <c r="J1131" t="s">
        <v>1261</v>
      </c>
      <c r="K1131">
        <v>66.239999999999995</v>
      </c>
      <c r="L1131" t="s">
        <v>25</v>
      </c>
      <c r="M1131">
        <v>157</v>
      </c>
      <c r="N1131">
        <v>62.55</v>
      </c>
      <c r="O1131">
        <v>12.88</v>
      </c>
      <c r="P1131" t="s">
        <v>20</v>
      </c>
      <c r="Q1131" t="s">
        <v>1262</v>
      </c>
      <c r="R1131" t="s">
        <v>20</v>
      </c>
      <c r="S1131" t="str">
        <f>HYPERLINK("https://cfpub.epa.gov/ecotox/explore.cfm?ncbi=229072","Explore in ECOTOX")</f>
        <v>Explore in ECOTOX</v>
      </c>
    </row>
    <row r="1132" spans="1:19" x14ac:dyDescent="0.25">
      <c r="A1132">
        <v>6</v>
      </c>
      <c r="B1132" t="str">
        <f>HYPERLINK("http://www.ncbi.nlm.nih.gov/protein/CAF4249112.1","CAF4249112.1")</f>
        <v>CAF4249112.1</v>
      </c>
      <c r="C1132">
        <v>331713</v>
      </c>
      <c r="D1132" t="str">
        <f>HYPERLINK("http://www.ncbi.nlm.nih.gov/Taxonomy/Browser/wwwtax.cgi?mode=Info&amp;id=392032&amp;lvl=3&amp;lin=f&amp;keep=1&amp;srchmode=1&amp;unlock","392032")</f>
        <v>392032</v>
      </c>
      <c r="E1132" t="s">
        <v>855</v>
      </c>
      <c r="F1132" t="s">
        <v>855</v>
      </c>
      <c r="G1132" t="str">
        <f>HYPERLINK("http://www.ncbi.nlm.nih.gov/Taxonomy/Browser/wwwtax.cgi?mode=Info&amp;id=392032&amp;lvl=3&amp;lin=f&amp;keep=1&amp;srchmode=1&amp;unlock","Rotaria socialis")</f>
        <v>Rotaria socialis</v>
      </c>
      <c r="H1132" t="s">
        <v>856</v>
      </c>
      <c r="I1132" t="str">
        <f>HYPERLINK("http://www.ncbi.nlm.nih.gov/protein/CAF4249112.1","unnamed protein product")</f>
        <v>unnamed protein product</v>
      </c>
      <c r="J1132" t="s">
        <v>1261</v>
      </c>
      <c r="K1132">
        <v>66.239999999999995</v>
      </c>
      <c r="L1132" t="s">
        <v>25</v>
      </c>
      <c r="M1132">
        <v>157</v>
      </c>
      <c r="N1132">
        <v>62.55</v>
      </c>
      <c r="O1132">
        <v>12.88</v>
      </c>
      <c r="P1132" t="s">
        <v>25</v>
      </c>
      <c r="Q1132" t="s">
        <v>1262</v>
      </c>
      <c r="R1132" t="s">
        <v>20</v>
      </c>
      <c r="S1132" t="str">
        <f>HYPERLINK("https://cfpub.epa.gov/ecotox/explore.cfm?ncbi=392032","Explore in ECOTOX")</f>
        <v>Explore in ECOTOX</v>
      </c>
    </row>
    <row r="1133" spans="1:19" x14ac:dyDescent="0.25">
      <c r="A1133">
        <v>6</v>
      </c>
      <c r="B1133" t="str">
        <f>HYPERLINK("http://www.ncbi.nlm.nih.gov/protein/XP_037913555.1","XP_037913555.1")</f>
        <v>XP_037913555.1</v>
      </c>
      <c r="C1133">
        <v>42562</v>
      </c>
      <c r="D1133" t="str">
        <f>HYPERLINK("http://www.ncbi.nlm.nih.gov/Taxonomy/Browser/wwwtax.cgi?mode=Info&amp;id=343691&amp;lvl=3&amp;lin=f&amp;keep=1&amp;srchmode=1&amp;unlock","343691")</f>
        <v>343691</v>
      </c>
      <c r="E1133" t="s">
        <v>698</v>
      </c>
      <c r="F1133" t="s">
        <v>698</v>
      </c>
      <c r="G1133" t="str">
        <f>HYPERLINK("http://www.ncbi.nlm.nih.gov/Taxonomy/Browser/wwwtax.cgi?mode=Info&amp;id=343691&amp;lvl=3&amp;lin=f&amp;keep=1&amp;srchmode=1&amp;unlock","Hermetia illucens")</f>
        <v>Hermetia illucens</v>
      </c>
      <c r="H1133" t="s">
        <v>741</v>
      </c>
      <c r="I1133" t="str">
        <f>HYPERLINK("http://www.ncbi.nlm.nih.gov/protein/XP_037913555.1","steroid hormone receptor ERR1 isoform X3")</f>
        <v>steroid hormone receptor ERR1 isoform X3</v>
      </c>
      <c r="J1133" t="s">
        <v>1261</v>
      </c>
      <c r="K1133">
        <v>66.239999999999995</v>
      </c>
      <c r="L1133" t="s">
        <v>25</v>
      </c>
      <c r="M1133">
        <v>157</v>
      </c>
      <c r="N1133">
        <v>62.55</v>
      </c>
      <c r="O1133">
        <v>12.88</v>
      </c>
      <c r="P1133" t="s">
        <v>25</v>
      </c>
      <c r="Q1133" t="s">
        <v>1262</v>
      </c>
      <c r="R1133" t="s">
        <v>20</v>
      </c>
      <c r="S1133" t="str">
        <f>HYPERLINK("https://cfpub.epa.gov/ecotox/explore.cfm?ncbi=343691","Explore in ECOTOX")</f>
        <v>Explore in ECOTOX</v>
      </c>
    </row>
    <row r="1134" spans="1:19" x14ac:dyDescent="0.25">
      <c r="A1134">
        <v>6</v>
      </c>
      <c r="B1134" t="str">
        <f>HYPERLINK("http://www.ncbi.nlm.nih.gov/protein/XP_022817483.1","XP_022817483.1")</f>
        <v>XP_022817483.1</v>
      </c>
      <c r="C1134">
        <v>25389</v>
      </c>
      <c r="D1134" t="str">
        <f>HYPERLINK("http://www.ncbi.nlm.nih.gov/Taxonomy/Browser/wwwtax.cgi?mode=Info&amp;id=69820&amp;lvl=3&amp;lin=f&amp;keep=1&amp;srchmode=1&amp;unlock","69820")</f>
        <v>69820</v>
      </c>
      <c r="E1134" t="s">
        <v>698</v>
      </c>
      <c r="F1134" t="s">
        <v>698</v>
      </c>
      <c r="G1134" t="str">
        <f>HYPERLINK("http://www.ncbi.nlm.nih.gov/Taxonomy/Browser/wwwtax.cgi?mode=Info&amp;id=69820&amp;lvl=3&amp;lin=f&amp;keep=1&amp;srchmode=1&amp;unlock","Spodoptera litura")</f>
        <v>Spodoptera litura</v>
      </c>
      <c r="H1134" t="s">
        <v>1148</v>
      </c>
      <c r="I1134" t="str">
        <f>HYPERLINK("http://www.ncbi.nlm.nih.gov/protein/XP_022817483.1","steroid hormone receptor ERR1 isoform X2")</f>
        <v>steroid hormone receptor ERR1 isoform X2</v>
      </c>
      <c r="J1134" t="s">
        <v>1261</v>
      </c>
      <c r="K1134">
        <v>66.239999999999995</v>
      </c>
      <c r="L1134" t="s">
        <v>25</v>
      </c>
      <c r="M1134">
        <v>157</v>
      </c>
      <c r="N1134">
        <v>62.55</v>
      </c>
      <c r="O1134">
        <v>12.88</v>
      </c>
      <c r="P1134" t="s">
        <v>25</v>
      </c>
      <c r="Q1134" t="s">
        <v>1262</v>
      </c>
      <c r="R1134" t="s">
        <v>20</v>
      </c>
      <c r="S1134" t="str">
        <f>HYPERLINK("https://cfpub.epa.gov/ecotox/explore.cfm?ncbi=69820","Explore in ECOTOX")</f>
        <v>Explore in ECOTOX</v>
      </c>
    </row>
    <row r="1135" spans="1:19" x14ac:dyDescent="0.25">
      <c r="A1135">
        <v>6</v>
      </c>
      <c r="B1135" t="str">
        <f>HYPERLINK("http://www.ncbi.nlm.nih.gov/protein/XP_031358871.1","XP_031358871.1")</f>
        <v>XP_031358871.1</v>
      </c>
      <c r="C1135">
        <v>48184</v>
      </c>
      <c r="D1135" t="str">
        <f>HYPERLINK("http://www.ncbi.nlm.nih.gov/Taxonomy/Browser/wwwtax.cgi?mode=Info&amp;id=7054&amp;lvl=3&amp;lin=f&amp;keep=1&amp;srchmode=1&amp;unlock","7054")</f>
        <v>7054</v>
      </c>
      <c r="E1135" t="s">
        <v>698</v>
      </c>
      <c r="F1135" t="s">
        <v>698</v>
      </c>
      <c r="G1135" t="str">
        <f>HYPERLINK("http://www.ncbi.nlm.nih.gov/Taxonomy/Browser/wwwtax.cgi?mode=Info&amp;id=7054&amp;lvl=3&amp;lin=f&amp;keep=1&amp;srchmode=1&amp;unlock","Photinus pyralis")</f>
        <v>Photinus pyralis</v>
      </c>
      <c r="H1135" t="s">
        <v>854</v>
      </c>
      <c r="I1135" t="str">
        <f>HYPERLINK("http://www.ncbi.nlm.nih.gov/protein/XP_031358871.1","steroid hormone receptor ERR1-like")</f>
        <v>steroid hormone receptor ERR1-like</v>
      </c>
      <c r="J1135" t="s">
        <v>1261</v>
      </c>
      <c r="K1135">
        <v>65.86</v>
      </c>
      <c r="L1135" t="s">
        <v>25</v>
      </c>
      <c r="M1135">
        <v>157</v>
      </c>
      <c r="N1135">
        <v>62.55</v>
      </c>
      <c r="O1135">
        <v>12.81</v>
      </c>
      <c r="P1135" t="s">
        <v>25</v>
      </c>
      <c r="Q1135" t="s">
        <v>1262</v>
      </c>
      <c r="R1135" t="s">
        <v>20</v>
      </c>
      <c r="S1135" t="str">
        <f>HYPERLINK("https://cfpub.epa.gov/ecotox/explore.cfm?ncbi=7054","Explore in ECOTOX")</f>
        <v>Explore in ECOTOX</v>
      </c>
    </row>
    <row r="1136" spans="1:19" x14ac:dyDescent="0.25">
      <c r="A1136">
        <v>6</v>
      </c>
      <c r="B1136" t="str">
        <f>HYPERLINK("http://www.ncbi.nlm.nih.gov/protein/XP_034833806.1","XP_034833806.1")</f>
        <v>XP_034833806.1</v>
      </c>
      <c r="C1136">
        <v>17742</v>
      </c>
      <c r="D1136" t="str">
        <f>HYPERLINK("http://www.ncbi.nlm.nih.gov/Taxonomy/Browser/wwwtax.cgi?mode=Info&amp;id=2795564&amp;lvl=3&amp;lin=f&amp;keep=1&amp;srchmode=1&amp;unlock","2795564")</f>
        <v>2795564</v>
      </c>
      <c r="E1136" t="s">
        <v>698</v>
      </c>
      <c r="F1136" t="s">
        <v>698</v>
      </c>
      <c r="G1136" t="str">
        <f>HYPERLINK("http://www.ncbi.nlm.nih.gov/Taxonomy/Browser/wwwtax.cgi?mode=Info&amp;id=2795564&amp;lvl=3&amp;lin=f&amp;keep=1&amp;srchmode=1&amp;unlock","Maniola hyperantus")</f>
        <v>Maniola hyperantus</v>
      </c>
      <c r="H1136" t="s">
        <v>844</v>
      </c>
      <c r="I1136" t="str">
        <f>HYPERLINK("http://www.ncbi.nlm.nih.gov/protein/XP_034833806.1","steroid hormone receptor ERR1 isoform X3")</f>
        <v>steroid hormone receptor ERR1 isoform X3</v>
      </c>
      <c r="J1136" t="s">
        <v>1261</v>
      </c>
      <c r="K1136">
        <v>65.86</v>
      </c>
      <c r="L1136" t="s">
        <v>25</v>
      </c>
      <c r="M1136">
        <v>157</v>
      </c>
      <c r="N1136">
        <v>62.55</v>
      </c>
      <c r="O1136">
        <v>12.81</v>
      </c>
      <c r="P1136" t="s">
        <v>25</v>
      </c>
      <c r="Q1136" t="s">
        <v>1262</v>
      </c>
      <c r="R1136" t="s">
        <v>20</v>
      </c>
      <c r="S1136" t="str">
        <f>HYPERLINK("https://cfpub.epa.gov/ecotox/explore.cfm?ncbi=2795564","Explore in ECOTOX")</f>
        <v>Explore in ECOTOX</v>
      </c>
    </row>
    <row r="1137" spans="1:19" x14ac:dyDescent="0.25">
      <c r="A1137">
        <v>6</v>
      </c>
      <c r="B1137" t="str">
        <f>HYPERLINK("http://www.ncbi.nlm.nih.gov/protein/XP_037963176.1","XP_037963176.1")</f>
        <v>XP_037963176.1</v>
      </c>
      <c r="C1137">
        <v>41454</v>
      </c>
      <c r="D1137" t="str">
        <f>HYPERLINK("http://www.ncbi.nlm.nih.gov/Taxonomy/Browser/wwwtax.cgi?mode=Info&amp;id=51655&amp;lvl=3&amp;lin=f&amp;keep=1&amp;srchmode=1&amp;unlock","51655")</f>
        <v>51655</v>
      </c>
      <c r="E1137" t="s">
        <v>698</v>
      </c>
      <c r="F1137" t="s">
        <v>698</v>
      </c>
      <c r="G1137" t="str">
        <f>HYPERLINK("http://www.ncbi.nlm.nih.gov/Taxonomy/Browser/wwwtax.cgi?mode=Info&amp;id=51655&amp;lvl=3&amp;lin=f&amp;keep=1&amp;srchmode=1&amp;unlock","Plutella xylostella")</f>
        <v>Plutella xylostella</v>
      </c>
      <c r="H1137" t="s">
        <v>891</v>
      </c>
      <c r="I1137" t="str">
        <f>HYPERLINK("http://www.ncbi.nlm.nih.gov/protein/XP_037963176.1","steroid hormone receptor ERR1 isoform X4")</f>
        <v>steroid hormone receptor ERR1 isoform X4</v>
      </c>
      <c r="J1137" t="s">
        <v>1261</v>
      </c>
      <c r="K1137">
        <v>65.86</v>
      </c>
      <c r="L1137" t="s">
        <v>25</v>
      </c>
      <c r="M1137">
        <v>157</v>
      </c>
      <c r="N1137">
        <v>62.55</v>
      </c>
      <c r="O1137">
        <v>12.81</v>
      </c>
      <c r="P1137" t="s">
        <v>25</v>
      </c>
      <c r="Q1137" t="s">
        <v>1262</v>
      </c>
      <c r="R1137" t="s">
        <v>20</v>
      </c>
      <c r="S1137" t="str">
        <f>HYPERLINK("https://cfpub.epa.gov/ecotox/explore.cfm?ncbi=51655","Explore in ECOTOX")</f>
        <v>Explore in ECOTOX</v>
      </c>
    </row>
    <row r="1138" spans="1:19" x14ac:dyDescent="0.25">
      <c r="A1138">
        <v>6</v>
      </c>
      <c r="B1138" t="str">
        <f>HYPERLINK("http://www.ncbi.nlm.nih.gov/protein/XP_030854544.1","XP_030854544.1")</f>
        <v>XP_030854544.1</v>
      </c>
      <c r="C1138">
        <v>40365</v>
      </c>
      <c r="D1138" t="str">
        <f>HYPERLINK("http://www.ncbi.nlm.nih.gov/Taxonomy/Browser/wwwtax.cgi?mode=Info&amp;id=7668&amp;lvl=3&amp;lin=f&amp;keep=1&amp;srchmode=1&amp;unlock","7668")</f>
        <v>7668</v>
      </c>
      <c r="E1138" t="s">
        <v>811</v>
      </c>
      <c r="F1138" t="s">
        <v>811</v>
      </c>
      <c r="G1138" t="str">
        <f>HYPERLINK("http://www.ncbi.nlm.nih.gov/Taxonomy/Browser/wwwtax.cgi?mode=Info&amp;id=7668&amp;lvl=3&amp;lin=f&amp;keep=1&amp;srchmode=1&amp;unlock","Strongylocentrotus purpuratus")</f>
        <v>Strongylocentrotus purpuratus</v>
      </c>
      <c r="H1138" t="s">
        <v>812</v>
      </c>
      <c r="I1138" t="str">
        <f>HYPERLINK("http://www.ncbi.nlm.nih.gov/protein/XP_030854544.1","estrogen-related receptor gamma")</f>
        <v>estrogen-related receptor gamma</v>
      </c>
      <c r="J1138" t="s">
        <v>1261</v>
      </c>
      <c r="K1138">
        <v>65.86</v>
      </c>
      <c r="L1138" t="s">
        <v>25</v>
      </c>
      <c r="M1138">
        <v>157</v>
      </c>
      <c r="N1138">
        <v>62.55</v>
      </c>
      <c r="O1138">
        <v>12.81</v>
      </c>
      <c r="P1138" t="s">
        <v>25</v>
      </c>
      <c r="Q1138" t="s">
        <v>1262</v>
      </c>
      <c r="R1138" t="s">
        <v>20</v>
      </c>
      <c r="S1138" t="str">
        <f>HYPERLINK("https://cfpub.epa.gov/ecotox/explore.cfm?ncbi=7668","Explore in ECOTOX")</f>
        <v>Explore in ECOTOX</v>
      </c>
    </row>
    <row r="1139" spans="1:19" x14ac:dyDescent="0.25">
      <c r="A1139">
        <v>6</v>
      </c>
      <c r="B1139" t="str">
        <f>HYPERLINK("http://www.ncbi.nlm.nih.gov/protein/XP_031627642.1","XP_031627642.1")</f>
        <v>XP_031627642.1</v>
      </c>
      <c r="C1139">
        <v>24972</v>
      </c>
      <c r="D1139" t="str">
        <f>HYPERLINK("http://www.ncbi.nlm.nih.gov/Taxonomy/Browser/wwwtax.cgi?mode=Info&amp;id=265458&amp;lvl=3&amp;lin=f&amp;keep=1&amp;srchmode=1&amp;unlock","265458")</f>
        <v>265458</v>
      </c>
      <c r="E1139" t="s">
        <v>698</v>
      </c>
      <c r="F1139" t="s">
        <v>698</v>
      </c>
      <c r="G1139" t="str">
        <f>HYPERLINK("http://www.ncbi.nlm.nih.gov/Taxonomy/Browser/wwwtax.cgi?mode=Info&amp;id=265458&amp;lvl=3&amp;lin=f&amp;keep=1&amp;srchmode=1&amp;unlock","Contarinia nasturtii")</f>
        <v>Contarinia nasturtii</v>
      </c>
      <c r="H1139" t="s">
        <v>789</v>
      </c>
      <c r="I1139" t="str">
        <f>HYPERLINK("http://www.ncbi.nlm.nih.gov/protein/XP_031627642.1","steroid hormone receptor ERR2 isoform X1")</f>
        <v>steroid hormone receptor ERR2 isoform X1</v>
      </c>
      <c r="J1139" t="s">
        <v>1261</v>
      </c>
      <c r="K1139">
        <v>65.86</v>
      </c>
      <c r="L1139" t="s">
        <v>25</v>
      </c>
      <c r="M1139">
        <v>157</v>
      </c>
      <c r="N1139">
        <v>62.55</v>
      </c>
      <c r="O1139">
        <v>12.81</v>
      </c>
      <c r="P1139" t="s">
        <v>25</v>
      </c>
      <c r="Q1139" t="s">
        <v>1262</v>
      </c>
      <c r="R1139" t="s">
        <v>20</v>
      </c>
      <c r="S1139" t="str">
        <f>HYPERLINK("https://cfpub.epa.gov/ecotox/explore.cfm?ncbi=265458","Explore in ECOTOX")</f>
        <v>Explore in ECOTOX</v>
      </c>
    </row>
    <row r="1140" spans="1:19" x14ac:dyDescent="0.25">
      <c r="A1140">
        <v>6</v>
      </c>
      <c r="B1140" t="str">
        <f>HYPERLINK("http://www.ncbi.nlm.nih.gov/protein/XP_020809519.1","XP_020809519.1")</f>
        <v>XP_020809519.1</v>
      </c>
      <c r="C1140">
        <v>20997</v>
      </c>
      <c r="D1140" t="str">
        <f>HYPERLINK("http://www.ncbi.nlm.nih.gov/Taxonomy/Browser/wwwtax.cgi?mode=Info&amp;id=7274&amp;lvl=3&amp;lin=f&amp;keep=1&amp;srchmode=1&amp;unlock","7274")</f>
        <v>7274</v>
      </c>
      <c r="E1140" t="s">
        <v>698</v>
      </c>
      <c r="F1140" t="s">
        <v>698</v>
      </c>
      <c r="G1140" t="str">
        <f>HYPERLINK("http://www.ncbi.nlm.nih.gov/Taxonomy/Browser/wwwtax.cgi?mode=Info&amp;id=7274&amp;lvl=3&amp;lin=f&amp;keep=1&amp;srchmode=1&amp;unlock","Drosophila serrata")</f>
        <v>Drosophila serrata</v>
      </c>
      <c r="H1140" t="s">
        <v>753</v>
      </c>
      <c r="I1140" t="str">
        <f>HYPERLINK("http://www.ncbi.nlm.nih.gov/protein/XP_020809519.1","steroid hormone receptor ERR2 isoform X1")</f>
        <v>steroid hormone receptor ERR2 isoform X1</v>
      </c>
      <c r="J1140" t="s">
        <v>1261</v>
      </c>
      <c r="K1140">
        <v>65.86</v>
      </c>
      <c r="L1140" t="s">
        <v>25</v>
      </c>
      <c r="M1140">
        <v>157</v>
      </c>
      <c r="N1140">
        <v>62.55</v>
      </c>
      <c r="O1140">
        <v>12.81</v>
      </c>
      <c r="P1140" t="s">
        <v>25</v>
      </c>
      <c r="Q1140" t="s">
        <v>1262</v>
      </c>
      <c r="R1140" t="s">
        <v>20</v>
      </c>
      <c r="S1140" t="str">
        <f>HYPERLINK("https://cfpub.epa.gov/ecotox/explore.cfm?ncbi=7274","Explore in ECOTOX")</f>
        <v>Explore in ECOTOX</v>
      </c>
    </row>
    <row r="1141" spans="1:19" x14ac:dyDescent="0.25">
      <c r="A1141">
        <v>6</v>
      </c>
      <c r="B1141" t="str">
        <f>HYPERLINK("http://www.ncbi.nlm.nih.gov/protein/AXP83841.1","AXP83841.1")</f>
        <v>AXP83841.1</v>
      </c>
      <c r="C1141">
        <v>65</v>
      </c>
      <c r="D1141" t="str">
        <f>HYPERLINK("http://www.ncbi.nlm.nih.gov/Taxonomy/Browser/wwwtax.cgi?mode=Info&amp;id=34528&amp;lvl=3&amp;lin=f&amp;keep=1&amp;srchmode=1&amp;unlock","34528")</f>
        <v>34528</v>
      </c>
      <c r="E1141" t="s">
        <v>786</v>
      </c>
      <c r="F1141" t="s">
        <v>786</v>
      </c>
      <c r="G1141" t="str">
        <f>HYPERLINK("http://www.ncbi.nlm.nih.gov/Taxonomy/Browser/wwwtax.cgi?mode=Info&amp;id=34528&amp;lvl=3&amp;lin=f&amp;keep=1&amp;srchmode=1&amp;unlock","Sepia latimanus")</f>
        <v>Sepia latimanus</v>
      </c>
      <c r="H1141" t="s">
        <v>1158</v>
      </c>
      <c r="I1141" t="str">
        <f>HYPERLINK("http://www.ncbi.nlm.nih.gov/protein/AXP83841.1","estrogen-related receptor gamma")</f>
        <v>estrogen-related receptor gamma</v>
      </c>
      <c r="J1141" t="s">
        <v>1261</v>
      </c>
      <c r="K1141">
        <v>65.86</v>
      </c>
      <c r="L1141" t="s">
        <v>25</v>
      </c>
      <c r="M1141">
        <v>157</v>
      </c>
      <c r="N1141">
        <v>62.55</v>
      </c>
      <c r="O1141">
        <v>12.81</v>
      </c>
      <c r="P1141" t="s">
        <v>25</v>
      </c>
      <c r="Q1141" t="s">
        <v>1262</v>
      </c>
      <c r="R1141" t="s">
        <v>20</v>
      </c>
      <c r="S1141" t="str">
        <f>HYPERLINK("https://cfpub.epa.gov/ecotox/explore.cfm?ncbi=34528","Explore in ECOTOX")</f>
        <v>Explore in ECOTOX</v>
      </c>
    </row>
    <row r="1142" spans="1:19" x14ac:dyDescent="0.25">
      <c r="A1142">
        <v>6</v>
      </c>
      <c r="B1142" t="str">
        <f>HYPERLINK("http://www.ncbi.nlm.nih.gov/protein/AOZ56905.1","AOZ56905.1")</f>
        <v>AOZ56905.1</v>
      </c>
      <c r="C1142">
        <v>280</v>
      </c>
      <c r="D1142" t="str">
        <f>HYPERLINK("http://www.ncbi.nlm.nih.gov/Taxonomy/Browser/wwwtax.cgi?mode=Info&amp;id=56364&amp;lvl=3&amp;lin=f&amp;keep=1&amp;srchmode=1&amp;unlock","56364")</f>
        <v>56364</v>
      </c>
      <c r="E1142" t="s">
        <v>698</v>
      </c>
      <c r="F1142" t="s">
        <v>698</v>
      </c>
      <c r="G1142" t="str">
        <f>HYPERLINK("http://www.ncbi.nlm.nih.gov/Taxonomy/Browser/wwwtax.cgi?mode=Info&amp;id=56364&amp;lvl=3&amp;lin=f&amp;keep=1&amp;srchmode=1&amp;unlock","Agrotis ipsilon")</f>
        <v>Agrotis ipsilon</v>
      </c>
      <c r="H1142" t="s">
        <v>1147</v>
      </c>
      <c r="I1142" t="str">
        <f>HYPERLINK("http://www.ncbi.nlm.nih.gov/protein/AOZ56905.1","estrogen-related receptor")</f>
        <v>estrogen-related receptor</v>
      </c>
      <c r="J1142" t="s">
        <v>1261</v>
      </c>
      <c r="K1142">
        <v>65.47</v>
      </c>
      <c r="L1142" t="s">
        <v>25</v>
      </c>
      <c r="M1142">
        <v>157</v>
      </c>
      <c r="N1142">
        <v>62.55</v>
      </c>
      <c r="O1142">
        <v>12.73</v>
      </c>
      <c r="P1142" t="s">
        <v>25</v>
      </c>
      <c r="Q1142" t="s">
        <v>1262</v>
      </c>
      <c r="R1142" t="s">
        <v>20</v>
      </c>
      <c r="S1142" t="str">
        <f>HYPERLINK("https://cfpub.epa.gov/ecotox/explore.cfm?ncbi=56364","Explore in ECOTOX")</f>
        <v>Explore in ECOTOX</v>
      </c>
    </row>
    <row r="1143" spans="1:19" x14ac:dyDescent="0.25">
      <c r="A1143">
        <v>6</v>
      </c>
      <c r="B1143" t="str">
        <f>HYPERLINK("http://www.ncbi.nlm.nih.gov/protein/ODN05709.1","ODN05709.1")</f>
        <v>ODN05709.1</v>
      </c>
      <c r="C1143">
        <v>20400</v>
      </c>
      <c r="D1143" t="str">
        <f>HYPERLINK("http://www.ncbi.nlm.nih.gov/Taxonomy/Browser/wwwtax.cgi?mode=Info&amp;id=48709&amp;lvl=3&amp;lin=f&amp;keep=1&amp;srchmode=1&amp;unlock","48709")</f>
        <v>48709</v>
      </c>
      <c r="E1143" t="s">
        <v>765</v>
      </c>
      <c r="F1143" t="s">
        <v>765</v>
      </c>
      <c r="G1143" t="str">
        <f>HYPERLINK("http://www.ncbi.nlm.nih.gov/Taxonomy/Browser/wwwtax.cgi?mode=Info&amp;id=48709&amp;lvl=3&amp;lin=f&amp;keep=1&amp;srchmode=1&amp;unlock","Orchesella cincta")</f>
        <v>Orchesella cincta</v>
      </c>
      <c r="H1143" t="s">
        <v>766</v>
      </c>
      <c r="I1143" t="str">
        <f>HYPERLINK("http://www.ncbi.nlm.nih.gov/protein/ODN05709.1","Estrogen-related receptor gamma")</f>
        <v>Estrogen-related receptor gamma</v>
      </c>
      <c r="J1143" t="s">
        <v>1261</v>
      </c>
      <c r="K1143">
        <v>65.47</v>
      </c>
      <c r="L1143" t="s">
        <v>25</v>
      </c>
      <c r="M1143">
        <v>157</v>
      </c>
      <c r="N1143">
        <v>62.55</v>
      </c>
      <c r="O1143">
        <v>12.73</v>
      </c>
      <c r="P1143" t="s">
        <v>25</v>
      </c>
      <c r="Q1143" t="s">
        <v>1262</v>
      </c>
      <c r="R1143" t="s">
        <v>20</v>
      </c>
      <c r="S1143" t="str">
        <f>HYPERLINK("https://cfpub.epa.gov/ecotox/explore.cfm?ncbi=48709","Explore in ECOTOX")</f>
        <v>Explore in ECOTOX</v>
      </c>
    </row>
    <row r="1144" spans="1:19" x14ac:dyDescent="0.25">
      <c r="A1144">
        <v>6</v>
      </c>
      <c r="B1144" t="str">
        <f>HYPERLINK("http://www.ncbi.nlm.nih.gov/protein/XP_001983597.1","XP_001983597.1")</f>
        <v>XP_001983597.1</v>
      </c>
      <c r="C1144">
        <v>35106</v>
      </c>
      <c r="D1144" t="str">
        <f>HYPERLINK("http://www.ncbi.nlm.nih.gov/Taxonomy/Browser/wwwtax.cgi?mode=Info&amp;id=7222&amp;lvl=3&amp;lin=f&amp;keep=1&amp;srchmode=1&amp;unlock","7222")</f>
        <v>7222</v>
      </c>
      <c r="E1144" t="s">
        <v>698</v>
      </c>
      <c r="F1144" t="s">
        <v>698</v>
      </c>
      <c r="G1144" t="str">
        <f>HYPERLINK("http://www.ncbi.nlm.nih.gov/Taxonomy/Browser/wwwtax.cgi?mode=Info&amp;id=7222&amp;lvl=3&amp;lin=f&amp;keep=1&amp;srchmode=1&amp;unlock","Drosophila grimshawi")</f>
        <v>Drosophila grimshawi</v>
      </c>
      <c r="H1144" t="s">
        <v>753</v>
      </c>
      <c r="I1144" t="str">
        <f>HYPERLINK("http://www.ncbi.nlm.nih.gov/protein/XP_001983597.1","steroid hormone receptor ERR2")</f>
        <v>steroid hormone receptor ERR2</v>
      </c>
      <c r="J1144" t="s">
        <v>1261</v>
      </c>
      <c r="K1144">
        <v>65.47</v>
      </c>
      <c r="L1144" t="s">
        <v>25</v>
      </c>
      <c r="M1144">
        <v>157</v>
      </c>
      <c r="N1144">
        <v>62.55</v>
      </c>
      <c r="O1144">
        <v>12.73</v>
      </c>
      <c r="P1144" t="s">
        <v>25</v>
      </c>
      <c r="Q1144" t="s">
        <v>1262</v>
      </c>
      <c r="R1144" t="s">
        <v>20</v>
      </c>
      <c r="S1144" t="str">
        <f>HYPERLINK("https://cfpub.epa.gov/ecotox/explore.cfm?ncbi=7222","Explore in ECOTOX")</f>
        <v>Explore in ECOTOX</v>
      </c>
    </row>
    <row r="1145" spans="1:19" x14ac:dyDescent="0.25">
      <c r="A1145">
        <v>6</v>
      </c>
      <c r="B1145" t="str">
        <f>HYPERLINK("http://www.ncbi.nlm.nih.gov/protein/XP_034482804.1","XP_034482804.1")</f>
        <v>XP_034482804.1</v>
      </c>
      <c r="C1145">
        <v>19612</v>
      </c>
      <c r="D1145" t="str">
        <f>HYPERLINK("http://www.ncbi.nlm.nih.gov/Taxonomy/Browser/wwwtax.cgi?mode=Info&amp;id=198719&amp;lvl=3&amp;lin=f&amp;keep=1&amp;srchmode=1&amp;unlock","198719")</f>
        <v>198719</v>
      </c>
      <c r="E1145" t="s">
        <v>698</v>
      </c>
      <c r="F1145" t="s">
        <v>698</v>
      </c>
      <c r="G1145" t="str">
        <f>HYPERLINK("http://www.ncbi.nlm.nih.gov/Taxonomy/Browser/wwwtax.cgi?mode=Info&amp;id=198719&amp;lvl=3&amp;lin=f&amp;keep=1&amp;srchmode=1&amp;unlock","Drosophila innubila")</f>
        <v>Drosophila innubila</v>
      </c>
      <c r="H1145" t="s">
        <v>753</v>
      </c>
      <c r="I1145" t="str">
        <f>HYPERLINK("http://www.ncbi.nlm.nih.gov/protein/XP_034482804.1","steroid hormone receptor ERR2")</f>
        <v>steroid hormone receptor ERR2</v>
      </c>
      <c r="J1145" t="s">
        <v>1261</v>
      </c>
      <c r="K1145">
        <v>65.47</v>
      </c>
      <c r="L1145" t="s">
        <v>25</v>
      </c>
      <c r="M1145">
        <v>157</v>
      </c>
      <c r="N1145">
        <v>62.55</v>
      </c>
      <c r="O1145">
        <v>12.73</v>
      </c>
      <c r="P1145" t="s">
        <v>25</v>
      </c>
      <c r="Q1145" t="s">
        <v>1262</v>
      </c>
      <c r="R1145" t="s">
        <v>20</v>
      </c>
      <c r="S1145" t="str">
        <f>HYPERLINK("https://cfpub.epa.gov/ecotox/explore.cfm?ncbi=198719","Explore in ECOTOX")</f>
        <v>Explore in ECOTOX</v>
      </c>
    </row>
    <row r="1146" spans="1:19" x14ac:dyDescent="0.25">
      <c r="A1146">
        <v>6</v>
      </c>
      <c r="B1146" t="str">
        <f>HYPERLINK("http://www.ncbi.nlm.nih.gov/protein/AHN16691.1","AHN16691.1")</f>
        <v>AHN16691.1</v>
      </c>
      <c r="C1146">
        <v>42</v>
      </c>
      <c r="D1146" t="str">
        <f>HYPERLINK("http://www.ncbi.nlm.nih.gov/Taxonomy/Browser/wwwtax.cgi?mode=Info&amp;id=6837&amp;lvl=3&amp;lin=f&amp;keep=1&amp;srchmode=1&amp;unlock","6837")</f>
        <v>6837</v>
      </c>
      <c r="E1146" t="s">
        <v>760</v>
      </c>
      <c r="F1146" t="s">
        <v>760</v>
      </c>
      <c r="G1146" t="str">
        <f>HYPERLINK("http://www.ncbi.nlm.nih.gov/Taxonomy/Browser/wwwtax.cgi?mode=Info&amp;id=6837&amp;lvl=3&amp;lin=f&amp;keep=1&amp;srchmode=1&amp;unlock","Calanus finmarchicus")</f>
        <v>Calanus finmarchicus</v>
      </c>
      <c r="H1146" t="s">
        <v>778</v>
      </c>
      <c r="I1146" t="str">
        <f>HYPERLINK("http://www.ncbi.nlm.nih.gov/protein/AHN16691.1","putative estrogen related nuclear receptor, partial")</f>
        <v>putative estrogen related nuclear receptor, partial</v>
      </c>
      <c r="J1146" t="s">
        <v>1261</v>
      </c>
      <c r="K1146">
        <v>65.08</v>
      </c>
      <c r="L1146" t="s">
        <v>25</v>
      </c>
      <c r="M1146">
        <v>157</v>
      </c>
      <c r="N1146">
        <v>62.55</v>
      </c>
      <c r="O1146">
        <v>12.66</v>
      </c>
      <c r="P1146" t="s">
        <v>25</v>
      </c>
      <c r="Q1146" t="s">
        <v>1262</v>
      </c>
      <c r="R1146" t="s">
        <v>20</v>
      </c>
      <c r="S1146" t="str">
        <f>HYPERLINK("https://cfpub.epa.gov/ecotox/explore.cfm?ncbi=6837","Explore in ECOTOX")</f>
        <v>Explore in ECOTOX</v>
      </c>
    </row>
    <row r="1147" spans="1:19" x14ac:dyDescent="0.25">
      <c r="A1147">
        <v>6</v>
      </c>
      <c r="B1147" t="str">
        <f>HYPERLINK("http://www.ncbi.nlm.nih.gov/protein/QIH29348.2","QIH29348.2")</f>
        <v>QIH29348.2</v>
      </c>
      <c r="C1147">
        <v>1177</v>
      </c>
      <c r="D1147" t="str">
        <f>HYPERLINK("http://www.ncbi.nlm.nih.gov/Taxonomy/Browser/wwwtax.cgi?mode=Info&amp;id=6523&amp;lvl=3&amp;lin=f&amp;keep=1&amp;srchmode=1&amp;unlock","6523")</f>
        <v>6523</v>
      </c>
      <c r="E1147" t="s">
        <v>763</v>
      </c>
      <c r="F1147" t="s">
        <v>763</v>
      </c>
      <c r="G1147" t="str">
        <f>HYPERLINK("http://www.ncbi.nlm.nih.gov/Taxonomy/Browser/wwwtax.cgi?mode=Info&amp;id=6523&amp;lvl=3&amp;lin=f&amp;keep=1&amp;srchmode=1&amp;unlock","Lymnaea stagnalis")</f>
        <v>Lymnaea stagnalis</v>
      </c>
      <c r="H1147" t="s">
        <v>1135</v>
      </c>
      <c r="I1147" t="str">
        <f>HYPERLINK("http://www.ncbi.nlm.nih.gov/protein/QIH29348.2","NR3D nuclear hormone receptor")</f>
        <v>NR3D nuclear hormone receptor</v>
      </c>
      <c r="J1147" t="s">
        <v>1261</v>
      </c>
      <c r="K1147">
        <v>64.7</v>
      </c>
      <c r="L1147" t="s">
        <v>25</v>
      </c>
      <c r="M1147">
        <v>157</v>
      </c>
      <c r="N1147">
        <v>62.55</v>
      </c>
      <c r="O1147">
        <v>12.58</v>
      </c>
      <c r="P1147" t="s">
        <v>25</v>
      </c>
      <c r="Q1147" t="s">
        <v>1262</v>
      </c>
      <c r="R1147" t="s">
        <v>20</v>
      </c>
      <c r="S1147" t="str">
        <f>HYPERLINK("https://cfpub.epa.gov/ecotox/explore.cfm?ncbi=6523","Explore in ECOTOX")</f>
        <v>Explore in ECOTOX</v>
      </c>
    </row>
    <row r="1148" spans="1:19" x14ac:dyDescent="0.25">
      <c r="A1148">
        <v>6</v>
      </c>
      <c r="B1148" t="str">
        <f>HYPERLINK("http://www.ncbi.nlm.nih.gov/protein/XP_028031248.1","XP_028031248.1")</f>
        <v>XP_028031248.1</v>
      </c>
      <c r="C1148">
        <v>19923</v>
      </c>
      <c r="D1148" t="str">
        <f>HYPERLINK("http://www.ncbi.nlm.nih.gov/Taxonomy/Browser/wwwtax.cgi?mode=Info&amp;id=7092&amp;lvl=3&amp;lin=f&amp;keep=1&amp;srchmode=1&amp;unlock","7092")</f>
        <v>7092</v>
      </c>
      <c r="E1148" t="s">
        <v>698</v>
      </c>
      <c r="F1148" t="s">
        <v>698</v>
      </c>
      <c r="G1148" t="str">
        <f>HYPERLINK("http://www.ncbi.nlm.nih.gov/Taxonomy/Browser/wwwtax.cgi?mode=Info&amp;id=7092&amp;lvl=3&amp;lin=f&amp;keep=1&amp;srchmode=1&amp;unlock","Bombyx mandarina")</f>
        <v>Bombyx mandarina</v>
      </c>
      <c r="H1148" t="s">
        <v>927</v>
      </c>
      <c r="I1148" t="str">
        <f>HYPERLINK("http://www.ncbi.nlm.nih.gov/protein/XP_028031248.1","steroid hormone receptor ERR1 isoform X4")</f>
        <v>steroid hormone receptor ERR1 isoform X4</v>
      </c>
      <c r="J1148" t="s">
        <v>1261</v>
      </c>
      <c r="K1148">
        <v>64.7</v>
      </c>
      <c r="L1148" t="s">
        <v>25</v>
      </c>
      <c r="M1148">
        <v>157</v>
      </c>
      <c r="N1148">
        <v>62.55</v>
      </c>
      <c r="O1148">
        <v>12.58</v>
      </c>
      <c r="P1148" t="s">
        <v>25</v>
      </c>
      <c r="Q1148" t="s">
        <v>1262</v>
      </c>
      <c r="R1148" t="s">
        <v>20</v>
      </c>
      <c r="S1148" t="str">
        <f>HYPERLINK("https://cfpub.epa.gov/ecotox/explore.cfm?ncbi=7092","Explore in ECOTOX")</f>
        <v>Explore in ECOTOX</v>
      </c>
    </row>
    <row r="1149" spans="1:19" x14ac:dyDescent="0.25">
      <c r="A1149">
        <v>6</v>
      </c>
      <c r="B1149" t="str">
        <f>HYPERLINK("http://www.ncbi.nlm.nih.gov/protein/XP_037876255.1","XP_037876255.1")</f>
        <v>XP_037876255.1</v>
      </c>
      <c r="C1149">
        <v>33238</v>
      </c>
      <c r="D1149" t="str">
        <f>HYPERLINK("http://www.ncbi.nlm.nih.gov/Taxonomy/Browser/wwwtax.cgi?mode=Info&amp;id=7091&amp;lvl=3&amp;lin=f&amp;keep=1&amp;srchmode=1&amp;unlock","7091")</f>
        <v>7091</v>
      </c>
      <c r="E1149" t="s">
        <v>698</v>
      </c>
      <c r="F1149" t="s">
        <v>698</v>
      </c>
      <c r="G1149" t="str">
        <f>HYPERLINK("http://www.ncbi.nlm.nih.gov/Taxonomy/Browser/wwwtax.cgi?mode=Info&amp;id=7091&amp;lvl=3&amp;lin=f&amp;keep=1&amp;srchmode=1&amp;unlock","Bombyx mori")</f>
        <v>Bombyx mori</v>
      </c>
      <c r="H1149" t="s">
        <v>926</v>
      </c>
      <c r="I1149" t="str">
        <f>HYPERLINK("http://www.ncbi.nlm.nih.gov/protein/XP_037876255.1","steroid hormone receptor ERR1 isoform X4")</f>
        <v>steroid hormone receptor ERR1 isoform X4</v>
      </c>
      <c r="J1149" t="s">
        <v>1261</v>
      </c>
      <c r="K1149">
        <v>64.7</v>
      </c>
      <c r="L1149" t="s">
        <v>25</v>
      </c>
      <c r="M1149">
        <v>157</v>
      </c>
      <c r="N1149">
        <v>62.55</v>
      </c>
      <c r="O1149">
        <v>12.58</v>
      </c>
      <c r="P1149" t="s">
        <v>25</v>
      </c>
      <c r="Q1149" t="s">
        <v>1262</v>
      </c>
      <c r="R1149" t="s">
        <v>20</v>
      </c>
      <c r="S1149" t="str">
        <f>HYPERLINK("https://cfpub.epa.gov/ecotox/explore.cfm?ncbi=7091","Explore in ECOTOX")</f>
        <v>Explore in ECOTOX</v>
      </c>
    </row>
    <row r="1150" spans="1:19" x14ac:dyDescent="0.25">
      <c r="A1150">
        <v>6</v>
      </c>
      <c r="B1150" t="str">
        <f>HYPERLINK("http://www.ncbi.nlm.nih.gov/protein/XP_021712962.1","XP_021712962.1")</f>
        <v>XP_021712962.1</v>
      </c>
      <c r="C1150">
        <v>49790</v>
      </c>
      <c r="D1150" t="str">
        <f>HYPERLINK("http://www.ncbi.nlm.nih.gov/Taxonomy/Browser/wwwtax.cgi?mode=Info&amp;id=7159&amp;lvl=3&amp;lin=f&amp;keep=1&amp;srchmode=1&amp;unlock","7159")</f>
        <v>7159</v>
      </c>
      <c r="E1150" t="s">
        <v>698</v>
      </c>
      <c r="F1150" t="s">
        <v>698</v>
      </c>
      <c r="G1150" t="str">
        <f>HYPERLINK("http://www.ncbi.nlm.nih.gov/Taxonomy/Browser/wwwtax.cgi?mode=Info&amp;id=7159&amp;lvl=3&amp;lin=f&amp;keep=1&amp;srchmode=1&amp;unlock","Aedes aegypti")</f>
        <v>Aedes aegypti</v>
      </c>
      <c r="H1150" t="s">
        <v>712</v>
      </c>
      <c r="I1150" t="str">
        <f>HYPERLINK("http://www.ncbi.nlm.nih.gov/protein/XP_021712962.1","steroid hormone receptor ERR2 isoform X2")</f>
        <v>steroid hormone receptor ERR2 isoform X2</v>
      </c>
      <c r="J1150" t="s">
        <v>1261</v>
      </c>
      <c r="K1150">
        <v>64.7</v>
      </c>
      <c r="L1150" t="s">
        <v>25</v>
      </c>
      <c r="M1150">
        <v>157</v>
      </c>
      <c r="N1150">
        <v>62.55</v>
      </c>
      <c r="O1150">
        <v>12.58</v>
      </c>
      <c r="P1150" t="s">
        <v>25</v>
      </c>
      <c r="Q1150" t="s">
        <v>1262</v>
      </c>
      <c r="R1150" t="s">
        <v>20</v>
      </c>
      <c r="S1150" t="str">
        <f>HYPERLINK("https://cfpub.epa.gov/ecotox/explore.cfm?ncbi=7159","Explore in ECOTOX")</f>
        <v>Explore in ECOTOX</v>
      </c>
    </row>
    <row r="1151" spans="1:19" x14ac:dyDescent="0.25">
      <c r="A1151">
        <v>6</v>
      </c>
      <c r="B1151" t="str">
        <f>HYPERLINK("http://www.ncbi.nlm.nih.gov/protein/XP_017842967.2","XP_017842967.2")</f>
        <v>XP_017842967.2</v>
      </c>
      <c r="C1151">
        <v>31279</v>
      </c>
      <c r="D1151" t="str">
        <f>HYPERLINK("http://www.ncbi.nlm.nih.gov/Taxonomy/Browser/wwwtax.cgi?mode=Info&amp;id=30019&amp;lvl=3&amp;lin=f&amp;keep=1&amp;srchmode=1&amp;unlock","30019")</f>
        <v>30019</v>
      </c>
      <c r="E1151" t="s">
        <v>698</v>
      </c>
      <c r="F1151" t="s">
        <v>698</v>
      </c>
      <c r="G1151" t="str">
        <f>HYPERLINK("http://www.ncbi.nlm.nih.gov/Taxonomy/Browser/wwwtax.cgi?mode=Info&amp;id=30019&amp;lvl=3&amp;lin=f&amp;keep=1&amp;srchmode=1&amp;unlock","Drosophila busckii")</f>
        <v>Drosophila busckii</v>
      </c>
      <c r="H1151" t="s">
        <v>753</v>
      </c>
      <c r="I1151" t="str">
        <f>HYPERLINK("http://www.ncbi.nlm.nih.gov/protein/XP_017842967.2","LOW QUALITY PROTEIN: steroid hormone receptor ERR2")</f>
        <v>LOW QUALITY PROTEIN: steroid hormone receptor ERR2</v>
      </c>
      <c r="J1151" t="s">
        <v>1261</v>
      </c>
      <c r="K1151">
        <v>64.7</v>
      </c>
      <c r="L1151" t="s">
        <v>25</v>
      </c>
      <c r="M1151">
        <v>157</v>
      </c>
      <c r="N1151">
        <v>62.55</v>
      </c>
      <c r="O1151">
        <v>12.58</v>
      </c>
      <c r="P1151" t="s">
        <v>25</v>
      </c>
      <c r="Q1151" t="s">
        <v>1262</v>
      </c>
      <c r="R1151" t="s">
        <v>20</v>
      </c>
      <c r="S1151" t="str">
        <f>HYPERLINK("https://cfpub.epa.gov/ecotox/explore.cfm?ncbi=30019","Explore in ECOTOX")</f>
        <v>Explore in ECOTOX</v>
      </c>
    </row>
    <row r="1152" spans="1:19" x14ac:dyDescent="0.25">
      <c r="A1152">
        <v>6</v>
      </c>
      <c r="B1152" t="str">
        <f>HYPERLINK("http://www.ncbi.nlm.nih.gov/protein/XP_014095280.1","XP_014095280.1")</f>
        <v>XP_014095280.1</v>
      </c>
      <c r="C1152">
        <v>34294</v>
      </c>
      <c r="D1152" t="str">
        <f>HYPERLINK("http://www.ncbi.nlm.nih.gov/Taxonomy/Browser/wwwtax.cgi?mode=Info&amp;id=104688&amp;lvl=3&amp;lin=f&amp;keep=1&amp;srchmode=1&amp;unlock","104688")</f>
        <v>104688</v>
      </c>
      <c r="E1152" t="s">
        <v>698</v>
      </c>
      <c r="F1152" t="s">
        <v>698</v>
      </c>
      <c r="G1152" t="str">
        <f>HYPERLINK("http://www.ncbi.nlm.nih.gov/Taxonomy/Browser/wwwtax.cgi?mode=Info&amp;id=104688&amp;lvl=3&amp;lin=f&amp;keep=1&amp;srchmode=1&amp;unlock","Bactrocera oleae")</f>
        <v>Bactrocera oleae</v>
      </c>
      <c r="H1152" t="s">
        <v>924</v>
      </c>
      <c r="I1152" t="str">
        <f>HYPERLINK("http://www.ncbi.nlm.nih.gov/protein/XP_014095280.1","steroid hormone receptor ERR1")</f>
        <v>steroid hormone receptor ERR1</v>
      </c>
      <c r="J1152" t="s">
        <v>1261</v>
      </c>
      <c r="K1152">
        <v>64.7</v>
      </c>
      <c r="L1152" t="s">
        <v>25</v>
      </c>
      <c r="M1152">
        <v>157</v>
      </c>
      <c r="N1152">
        <v>62.55</v>
      </c>
      <c r="O1152">
        <v>12.58</v>
      </c>
      <c r="P1152" t="s">
        <v>25</v>
      </c>
      <c r="Q1152" t="s">
        <v>1262</v>
      </c>
      <c r="R1152" t="s">
        <v>20</v>
      </c>
      <c r="S1152" t="str">
        <f>HYPERLINK("https://cfpub.epa.gov/ecotox/explore.cfm?ncbi=104688","Explore in ECOTOX")</f>
        <v>Explore in ECOTOX</v>
      </c>
    </row>
    <row r="1153" spans="1:19" x14ac:dyDescent="0.25">
      <c r="A1153">
        <v>6</v>
      </c>
      <c r="B1153" t="str">
        <f>HYPERLINK("http://www.ncbi.nlm.nih.gov/protein/XP_039963422.1","XP_039963422.1")</f>
        <v>XP_039963422.1</v>
      </c>
      <c r="C1153">
        <v>24218</v>
      </c>
      <c r="D1153" t="str">
        <f>HYPERLINK("http://www.ncbi.nlm.nih.gov/Taxonomy/Browser/wwwtax.cgi?mode=Info&amp;id=59916&amp;lvl=3&amp;lin=f&amp;keep=1&amp;srchmode=1&amp;unlock","59916")</f>
        <v>59916</v>
      </c>
      <c r="E1153" t="s">
        <v>698</v>
      </c>
      <c r="F1153" t="s">
        <v>698</v>
      </c>
      <c r="G1153" t="str">
        <f>HYPERLINK("http://www.ncbi.nlm.nih.gov/Taxonomy/Browser/wwwtax.cgi?mode=Info&amp;id=59916&amp;lvl=3&amp;lin=f&amp;keep=1&amp;srchmode=1&amp;unlock","Bactrocera tryoni")</f>
        <v>Bactrocera tryoni</v>
      </c>
      <c r="H1153" t="s">
        <v>914</v>
      </c>
      <c r="I1153" t="str">
        <f>HYPERLINK("http://www.ncbi.nlm.nih.gov/protein/XP_039963422.1","steroid hormone receptor ERR1")</f>
        <v>steroid hormone receptor ERR1</v>
      </c>
      <c r="J1153" t="s">
        <v>1261</v>
      </c>
      <c r="K1153">
        <v>64.7</v>
      </c>
      <c r="L1153" t="s">
        <v>25</v>
      </c>
      <c r="M1153">
        <v>157</v>
      </c>
      <c r="N1153">
        <v>62.55</v>
      </c>
      <c r="O1153">
        <v>12.58</v>
      </c>
      <c r="P1153" t="s">
        <v>25</v>
      </c>
      <c r="Q1153" t="s">
        <v>1262</v>
      </c>
      <c r="R1153" t="s">
        <v>20</v>
      </c>
      <c r="S1153" t="str">
        <f>HYPERLINK("https://cfpub.epa.gov/ecotox/explore.cfm?ncbi=59916","Explore in ECOTOX")</f>
        <v>Explore in ECOTOX</v>
      </c>
    </row>
    <row r="1154" spans="1:19" x14ac:dyDescent="0.25">
      <c r="A1154">
        <v>6</v>
      </c>
      <c r="B1154" t="str">
        <f>HYPERLINK("http://www.ncbi.nlm.nih.gov/protein/XP_013094385.1","XP_013094385.1")</f>
        <v>XP_013094385.1</v>
      </c>
      <c r="C1154">
        <v>37594</v>
      </c>
      <c r="D1154" t="str">
        <f>HYPERLINK("http://www.ncbi.nlm.nih.gov/Taxonomy/Browser/wwwtax.cgi?mode=Info&amp;id=6526&amp;lvl=3&amp;lin=f&amp;keep=1&amp;srchmode=1&amp;unlock","6526")</f>
        <v>6526</v>
      </c>
      <c r="E1154" t="s">
        <v>763</v>
      </c>
      <c r="F1154" t="s">
        <v>763</v>
      </c>
      <c r="G1154" t="str">
        <f>HYPERLINK("http://www.ncbi.nlm.nih.gov/Taxonomy/Browser/wwwtax.cgi?mode=Info&amp;id=6526&amp;lvl=3&amp;lin=f&amp;keep=1&amp;srchmode=1&amp;unlock","Biomphalaria glabrata")</f>
        <v>Biomphalaria glabrata</v>
      </c>
      <c r="H1154" t="s">
        <v>919</v>
      </c>
      <c r="I1154" t="str">
        <f>HYPERLINK("http://www.ncbi.nlm.nih.gov/protein/XP_013094385.1","PREDICTED: probable nuclear hormone receptor HR38")</f>
        <v>PREDICTED: probable nuclear hormone receptor HR38</v>
      </c>
      <c r="J1154" t="s">
        <v>1261</v>
      </c>
      <c r="K1154">
        <v>64.31</v>
      </c>
      <c r="L1154" t="s">
        <v>25</v>
      </c>
      <c r="M1154">
        <v>157</v>
      </c>
      <c r="N1154">
        <v>62.55</v>
      </c>
      <c r="O1154">
        <v>12.51</v>
      </c>
      <c r="P1154" t="s">
        <v>25</v>
      </c>
      <c r="Q1154" t="s">
        <v>1262</v>
      </c>
      <c r="R1154" t="s">
        <v>20</v>
      </c>
      <c r="S1154" t="str">
        <f>HYPERLINK("https://cfpub.epa.gov/ecotox/explore.cfm?ncbi=6526","Explore in ECOTOX")</f>
        <v>Explore in ECOTOX</v>
      </c>
    </row>
    <row r="1155" spans="1:19" x14ac:dyDescent="0.25">
      <c r="A1155">
        <v>6</v>
      </c>
      <c r="B1155" t="str">
        <f>HYPERLINK("http://www.ncbi.nlm.nih.gov/protein/XP_028134004.1","XP_028134004.1")</f>
        <v>XP_028134004.1</v>
      </c>
      <c r="C1155">
        <v>28186</v>
      </c>
      <c r="D1155" t="str">
        <f>HYPERLINK("http://www.ncbi.nlm.nih.gov/Taxonomy/Browser/wwwtax.cgi?mode=Info&amp;id=50390&amp;lvl=3&amp;lin=f&amp;keep=1&amp;srchmode=1&amp;unlock","50390")</f>
        <v>50390</v>
      </c>
      <c r="E1155" t="s">
        <v>698</v>
      </c>
      <c r="F1155" t="s">
        <v>698</v>
      </c>
      <c r="G1155" t="str">
        <f>HYPERLINK("http://www.ncbi.nlm.nih.gov/Taxonomy/Browser/wwwtax.cgi?mode=Info&amp;id=50390&amp;lvl=3&amp;lin=f&amp;keep=1&amp;srchmode=1&amp;unlock","Diabrotica virgifera virgifera")</f>
        <v>Diabrotica virgifera virgifera</v>
      </c>
      <c r="H1155" t="s">
        <v>876</v>
      </c>
      <c r="I1155" t="str">
        <f>HYPERLINK("http://www.ncbi.nlm.nih.gov/protein/XP_028134004.1","steroid hormone receptor ERR1")</f>
        <v>steroid hormone receptor ERR1</v>
      </c>
      <c r="J1155" t="s">
        <v>1261</v>
      </c>
      <c r="K1155">
        <v>64.31</v>
      </c>
      <c r="L1155" t="s">
        <v>25</v>
      </c>
      <c r="M1155">
        <v>157</v>
      </c>
      <c r="N1155">
        <v>62.55</v>
      </c>
      <c r="O1155">
        <v>12.51</v>
      </c>
      <c r="P1155" t="s">
        <v>25</v>
      </c>
      <c r="Q1155" t="s">
        <v>1262</v>
      </c>
      <c r="R1155" t="s">
        <v>20</v>
      </c>
      <c r="S1155" t="str">
        <f>HYPERLINK("https://cfpub.epa.gov/ecotox/explore.cfm?ncbi=50390","Explore in ECOTOX")</f>
        <v>Explore in ECOTOX</v>
      </c>
    </row>
    <row r="1156" spans="1:19" x14ac:dyDescent="0.25">
      <c r="A1156">
        <v>6</v>
      </c>
      <c r="B1156" t="str">
        <f>HYPERLINK("http://www.ncbi.nlm.nih.gov/protein/XP_026478160.1","XP_026478160.1")</f>
        <v>XP_026478160.1</v>
      </c>
      <c r="C1156">
        <v>22235</v>
      </c>
      <c r="D1156" t="str">
        <f>HYPERLINK("http://www.ncbi.nlm.nih.gov/Taxonomy/Browser/wwwtax.cgi?mode=Info&amp;id=7515&amp;lvl=3&amp;lin=f&amp;keep=1&amp;srchmode=1&amp;unlock","7515")</f>
        <v>7515</v>
      </c>
      <c r="E1156" t="s">
        <v>698</v>
      </c>
      <c r="F1156" t="s">
        <v>698</v>
      </c>
      <c r="G1156" t="str">
        <f>HYPERLINK("http://www.ncbi.nlm.nih.gov/Taxonomy/Browser/wwwtax.cgi?mode=Info&amp;id=7515&amp;lvl=3&amp;lin=f&amp;keep=1&amp;srchmode=1&amp;unlock","Ctenocephalides felis")</f>
        <v>Ctenocephalides felis</v>
      </c>
      <c r="H1156" t="s">
        <v>780</v>
      </c>
      <c r="I1156" t="str">
        <f>HYPERLINK("http://www.ncbi.nlm.nih.gov/protein/XP_026478160.1","steroid hormone receptor ERR2-like")</f>
        <v>steroid hormone receptor ERR2-like</v>
      </c>
      <c r="J1156" t="s">
        <v>1261</v>
      </c>
      <c r="K1156">
        <v>64.31</v>
      </c>
      <c r="L1156" t="s">
        <v>25</v>
      </c>
      <c r="M1156">
        <v>157</v>
      </c>
      <c r="N1156">
        <v>62.55</v>
      </c>
      <c r="O1156">
        <v>12.51</v>
      </c>
      <c r="P1156" t="s">
        <v>25</v>
      </c>
      <c r="Q1156" t="s">
        <v>1262</v>
      </c>
      <c r="R1156" t="s">
        <v>20</v>
      </c>
      <c r="S1156" t="str">
        <f>HYPERLINK("https://cfpub.epa.gov/ecotox/explore.cfm?ncbi=7515","Explore in ECOTOX")</f>
        <v>Explore in ECOTOX</v>
      </c>
    </row>
    <row r="1157" spans="1:19" x14ac:dyDescent="0.25">
      <c r="A1157">
        <v>6</v>
      </c>
      <c r="B1157" t="str">
        <f>HYPERLINK("http://www.ncbi.nlm.nih.gov/protein/XP_034102522.1","XP_034102522.1")</f>
        <v>XP_034102522.1</v>
      </c>
      <c r="C1157">
        <v>23268</v>
      </c>
      <c r="D1157" t="str">
        <f>HYPERLINK("http://www.ncbi.nlm.nih.gov/Taxonomy/Browser/wwwtax.cgi?mode=Info&amp;id=7291&amp;lvl=3&amp;lin=f&amp;keep=1&amp;srchmode=1&amp;unlock","7291")</f>
        <v>7291</v>
      </c>
      <c r="E1157" t="s">
        <v>698</v>
      </c>
      <c r="F1157" t="s">
        <v>698</v>
      </c>
      <c r="G1157" t="str">
        <f>HYPERLINK("http://www.ncbi.nlm.nih.gov/Taxonomy/Browser/wwwtax.cgi?mode=Info&amp;id=7291&amp;lvl=3&amp;lin=f&amp;keep=1&amp;srchmode=1&amp;unlock","Drosophila albomicans")</f>
        <v>Drosophila albomicans</v>
      </c>
      <c r="H1157" t="s">
        <v>753</v>
      </c>
      <c r="I1157" t="str">
        <f>HYPERLINK("http://www.ncbi.nlm.nih.gov/protein/XP_034102522.1","steroid hormone receptor ERR2")</f>
        <v>steroid hormone receptor ERR2</v>
      </c>
      <c r="J1157" t="s">
        <v>1261</v>
      </c>
      <c r="K1157">
        <v>64.31</v>
      </c>
      <c r="L1157" t="s">
        <v>25</v>
      </c>
      <c r="M1157">
        <v>157</v>
      </c>
      <c r="N1157">
        <v>62.55</v>
      </c>
      <c r="O1157">
        <v>12.51</v>
      </c>
      <c r="P1157" t="s">
        <v>25</v>
      </c>
      <c r="Q1157" t="s">
        <v>1262</v>
      </c>
      <c r="R1157" t="s">
        <v>20</v>
      </c>
      <c r="S1157" t="str">
        <f>HYPERLINK("https://cfpub.epa.gov/ecotox/explore.cfm?ncbi=7291","Explore in ECOTOX")</f>
        <v>Explore in ECOTOX</v>
      </c>
    </row>
    <row r="1158" spans="1:19" x14ac:dyDescent="0.25">
      <c r="A1158">
        <v>6</v>
      </c>
      <c r="B1158" t="str">
        <f>HYPERLINK("http://www.ncbi.nlm.nih.gov/protein/XP_025103791.1","XP_025103791.1")</f>
        <v>XP_025103791.1</v>
      </c>
      <c r="C1158">
        <v>62143</v>
      </c>
      <c r="D1158" t="str">
        <f>HYPERLINK("http://www.ncbi.nlm.nih.gov/Taxonomy/Browser/wwwtax.cgi?mode=Info&amp;id=400727&amp;lvl=3&amp;lin=f&amp;keep=1&amp;srchmode=1&amp;unlock","400727")</f>
        <v>400727</v>
      </c>
      <c r="E1158" t="s">
        <v>763</v>
      </c>
      <c r="F1158" t="s">
        <v>763</v>
      </c>
      <c r="G1158" t="str">
        <f>HYPERLINK("http://www.ncbi.nlm.nih.gov/Taxonomy/Browser/wwwtax.cgi?mode=Info&amp;id=400727&amp;lvl=3&amp;lin=f&amp;keep=1&amp;srchmode=1&amp;unlock","Pomacea canaliculata")</f>
        <v>Pomacea canaliculata</v>
      </c>
      <c r="H1158" t="s">
        <v>946</v>
      </c>
      <c r="I1158" t="str">
        <f>HYPERLINK("http://www.ncbi.nlm.nih.gov/protein/XP_025103791.1","uncharacterized protein LOC112569923")</f>
        <v>uncharacterized protein LOC112569923</v>
      </c>
      <c r="J1158" t="s">
        <v>1261</v>
      </c>
      <c r="K1158">
        <v>63.93</v>
      </c>
      <c r="L1158" t="s">
        <v>25</v>
      </c>
      <c r="M1158">
        <v>157</v>
      </c>
      <c r="N1158">
        <v>62.55</v>
      </c>
      <c r="O1158">
        <v>12.43</v>
      </c>
      <c r="P1158" t="s">
        <v>25</v>
      </c>
      <c r="Q1158" t="s">
        <v>1262</v>
      </c>
      <c r="R1158" t="s">
        <v>20</v>
      </c>
      <c r="S1158" t="str">
        <f>HYPERLINK("https://cfpub.epa.gov/ecotox/explore.cfm?ncbi=400727","Explore in ECOTOX")</f>
        <v>Explore in ECOTOX</v>
      </c>
    </row>
    <row r="1159" spans="1:19" x14ac:dyDescent="0.25">
      <c r="A1159">
        <v>6</v>
      </c>
      <c r="B1159" t="str">
        <f>HYPERLINK("http://www.ncbi.nlm.nih.gov/protein/ABI97117.1","ABI97117.1")</f>
        <v>ABI97117.1</v>
      </c>
      <c r="C1159">
        <v>45</v>
      </c>
      <c r="D1159" t="str">
        <f>HYPERLINK("http://www.ncbi.nlm.nih.gov/Taxonomy/Browser/wwwtax.cgi?mode=Info&amp;id=75126&amp;lvl=3&amp;lin=f&amp;keep=1&amp;srchmode=1&amp;unlock","75126")</f>
        <v>75126</v>
      </c>
      <c r="E1159" t="s">
        <v>763</v>
      </c>
      <c r="F1159" t="s">
        <v>763</v>
      </c>
      <c r="G1159" t="str">
        <f>HYPERLINK("http://www.ncbi.nlm.nih.gov/Taxonomy/Browser/wwwtax.cgi?mode=Info&amp;id=75126&amp;lvl=3&amp;lin=f&amp;keep=1&amp;srchmode=1&amp;unlock","Marisa cornuarietis")</f>
        <v>Marisa cornuarietis</v>
      </c>
      <c r="H1159" t="s">
        <v>946</v>
      </c>
      <c r="I1159" t="str">
        <f>HYPERLINK("http://www.ncbi.nlm.nih.gov/protein/ABI97117.1","estrogen receptor-like protein isoform variant 1")</f>
        <v>estrogen receptor-like protein isoform variant 1</v>
      </c>
      <c r="J1159" t="s">
        <v>1261</v>
      </c>
      <c r="K1159">
        <v>63.93</v>
      </c>
      <c r="L1159" t="s">
        <v>25</v>
      </c>
      <c r="M1159">
        <v>157</v>
      </c>
      <c r="N1159">
        <v>62.55</v>
      </c>
      <c r="O1159">
        <v>12.43</v>
      </c>
      <c r="P1159" t="s">
        <v>25</v>
      </c>
      <c r="Q1159" t="s">
        <v>1262</v>
      </c>
      <c r="R1159" t="s">
        <v>20</v>
      </c>
      <c r="S1159" t="str">
        <f>HYPERLINK("https://cfpub.epa.gov/ecotox/explore.cfm?ncbi=75126","Explore in ECOTOX")</f>
        <v>Explore in ECOTOX</v>
      </c>
    </row>
    <row r="1160" spans="1:19" x14ac:dyDescent="0.25">
      <c r="A1160">
        <v>6</v>
      </c>
      <c r="B1160" t="str">
        <f>HYPERLINK("http://www.ncbi.nlm.nih.gov/protein/KAF6216280.1","KAF6216280.1")</f>
        <v>KAF6216280.1</v>
      </c>
      <c r="C1160">
        <v>20517</v>
      </c>
      <c r="D1160" t="str">
        <f>HYPERLINK("http://www.ncbi.nlm.nih.gov/Taxonomy/Browser/wwwtax.cgi?mode=Info&amp;id=248454&amp;lvl=3&amp;lin=f&amp;keep=1&amp;srchmode=1&amp;unlock","248454")</f>
        <v>248454</v>
      </c>
      <c r="E1160" t="s">
        <v>698</v>
      </c>
      <c r="F1160" t="s">
        <v>698</v>
      </c>
      <c r="G1160" t="str">
        <f>HYPERLINK("http://www.ncbi.nlm.nih.gov/Taxonomy/Browser/wwwtax.cgi?mode=Info&amp;id=248454&amp;lvl=3&amp;lin=f&amp;keep=1&amp;srchmode=1&amp;unlock","Apolygus lucorum")</f>
        <v>Apolygus lucorum</v>
      </c>
      <c r="H1160" t="s">
        <v>729</v>
      </c>
      <c r="I1160" t="str">
        <f>HYPERLINK("http://www.ncbi.nlm.nih.gov/protein/KAF6216280.1","hypothetical protein GE061_000620")</f>
        <v>hypothetical protein GE061_000620</v>
      </c>
      <c r="J1160" t="s">
        <v>1261</v>
      </c>
      <c r="K1160">
        <v>63.93</v>
      </c>
      <c r="L1160" t="s">
        <v>25</v>
      </c>
      <c r="M1160">
        <v>157</v>
      </c>
      <c r="N1160">
        <v>62.55</v>
      </c>
      <c r="O1160">
        <v>12.43</v>
      </c>
      <c r="P1160" t="s">
        <v>25</v>
      </c>
      <c r="Q1160" t="s">
        <v>1262</v>
      </c>
      <c r="R1160" t="s">
        <v>20</v>
      </c>
      <c r="S1160" t="str">
        <f>HYPERLINK("https://cfpub.epa.gov/ecotox/explore.cfm?ncbi=248454","Explore in ECOTOX")</f>
        <v>Explore in ECOTOX</v>
      </c>
    </row>
    <row r="1161" spans="1:19" x14ac:dyDescent="0.25">
      <c r="A1161">
        <v>6</v>
      </c>
      <c r="B1161" t="str">
        <f>HYPERLINK("http://www.ncbi.nlm.nih.gov/protein/ADL71443.1","ADL71443.1")</f>
        <v>ADL71443.1</v>
      </c>
      <c r="C1161">
        <v>148</v>
      </c>
      <c r="D1161" t="str">
        <f>HYPERLINK("http://www.ncbi.nlm.nih.gov/Taxonomy/Browser/wwwtax.cgi?mode=Info&amp;id=7666&amp;lvl=3&amp;lin=f&amp;keep=1&amp;srchmode=1&amp;unlock","7666")</f>
        <v>7666</v>
      </c>
      <c r="E1161" t="s">
        <v>811</v>
      </c>
      <c r="F1161" t="s">
        <v>811</v>
      </c>
      <c r="G1161" t="str">
        <f>HYPERLINK("http://www.ncbi.nlm.nih.gov/Taxonomy/Browser/wwwtax.cgi?mode=Info&amp;id=7666&amp;lvl=3&amp;lin=f&amp;keep=1&amp;srchmode=1&amp;unlock","Mesocentrotus nudus")</f>
        <v>Mesocentrotus nudus</v>
      </c>
      <c r="H1161" t="s">
        <v>1169</v>
      </c>
      <c r="I1161" t="str">
        <f>HYPERLINK("http://www.ncbi.nlm.nih.gov/protein/ADL71443.1","estrogen receptor-like receptor")</f>
        <v>estrogen receptor-like receptor</v>
      </c>
      <c r="J1161" t="s">
        <v>1261</v>
      </c>
      <c r="K1161">
        <v>63.93</v>
      </c>
      <c r="L1161" t="s">
        <v>25</v>
      </c>
      <c r="M1161">
        <v>157</v>
      </c>
      <c r="N1161">
        <v>62.55</v>
      </c>
      <c r="O1161">
        <v>12.43</v>
      </c>
      <c r="P1161" t="s">
        <v>25</v>
      </c>
      <c r="Q1161" t="s">
        <v>1262</v>
      </c>
      <c r="R1161" t="s">
        <v>20</v>
      </c>
      <c r="S1161" t="str">
        <f>HYPERLINK("https://cfpub.epa.gov/ecotox/explore.cfm?ncbi=7666","Explore in ECOTOX")</f>
        <v>Explore in ECOTOX</v>
      </c>
    </row>
    <row r="1162" spans="1:19" x14ac:dyDescent="0.25">
      <c r="A1162">
        <v>6</v>
      </c>
      <c r="B1162" t="str">
        <f>HYPERLINK("http://www.ncbi.nlm.nih.gov/protein/AZZ69695.1","AZZ69695.1")</f>
        <v>AZZ69695.1</v>
      </c>
      <c r="C1162">
        <v>106</v>
      </c>
      <c r="D1162" t="str">
        <f>HYPERLINK("http://www.ncbi.nlm.nih.gov/Taxonomy/Browser/wwwtax.cgi?mode=Info&amp;id=148819&amp;lvl=3&amp;lin=f&amp;keep=1&amp;srchmode=1&amp;unlock","148819")</f>
        <v>148819</v>
      </c>
      <c r="E1162" t="s">
        <v>709</v>
      </c>
      <c r="F1162" t="s">
        <v>709</v>
      </c>
      <c r="G1162" t="str">
        <f>HYPERLINK("http://www.ncbi.nlm.nih.gov/Taxonomy/Browser/wwwtax.cgi?mode=Info&amp;id=148819&amp;lvl=3&amp;lin=f&amp;keep=1&amp;srchmode=1&amp;unlock","Anadara broughtonii")</f>
        <v>Anadara broughtonii</v>
      </c>
      <c r="H1162" t="s">
        <v>1168</v>
      </c>
      <c r="I1162" t="str">
        <f>HYPERLINK("http://www.ncbi.nlm.nih.gov/protein/AZZ69695.1","estrogen receptor")</f>
        <v>estrogen receptor</v>
      </c>
      <c r="J1162" t="s">
        <v>1261</v>
      </c>
      <c r="K1162">
        <v>63.93</v>
      </c>
      <c r="L1162" t="s">
        <v>25</v>
      </c>
      <c r="M1162">
        <v>157</v>
      </c>
      <c r="N1162">
        <v>62.55</v>
      </c>
      <c r="O1162">
        <v>12.43</v>
      </c>
      <c r="P1162" t="s">
        <v>25</v>
      </c>
      <c r="Q1162" t="s">
        <v>1262</v>
      </c>
      <c r="R1162" t="s">
        <v>20</v>
      </c>
      <c r="S1162" t="str">
        <f>HYPERLINK("https://cfpub.epa.gov/ecotox/explore.cfm?ncbi=148819","Explore in ECOTOX")</f>
        <v>Explore in ECOTOX</v>
      </c>
    </row>
    <row r="1163" spans="1:19" x14ac:dyDescent="0.25">
      <c r="A1163">
        <v>6</v>
      </c>
      <c r="B1163" t="str">
        <f>HYPERLINK("http://www.ncbi.nlm.nih.gov/protein/XP_023033105.1","XP_023033105.1")</f>
        <v>XP_023033105.1</v>
      </c>
      <c r="C1163">
        <v>34285</v>
      </c>
      <c r="D1163" t="str">
        <f>HYPERLINK("http://www.ncbi.nlm.nih.gov/Taxonomy/Browser/wwwtax.cgi?mode=Info&amp;id=7260&amp;lvl=3&amp;lin=f&amp;keep=1&amp;srchmode=1&amp;unlock","7260")</f>
        <v>7260</v>
      </c>
      <c r="E1163" t="s">
        <v>698</v>
      </c>
      <c r="F1163" t="s">
        <v>698</v>
      </c>
      <c r="G1163" t="str">
        <f>HYPERLINK("http://www.ncbi.nlm.nih.gov/Taxonomy/Browser/wwwtax.cgi?mode=Info&amp;id=7260&amp;lvl=3&amp;lin=f&amp;keep=1&amp;srchmode=1&amp;unlock","Drosophila willistoni")</f>
        <v>Drosophila willistoni</v>
      </c>
      <c r="H1163" t="s">
        <v>753</v>
      </c>
      <c r="I1163" t="str">
        <f>HYPERLINK("http://www.ncbi.nlm.nih.gov/protein/XP_023033105.1","steroid hormone receptor ERR2")</f>
        <v>steroid hormone receptor ERR2</v>
      </c>
      <c r="J1163" t="s">
        <v>1261</v>
      </c>
      <c r="K1163">
        <v>63.93</v>
      </c>
      <c r="L1163" t="s">
        <v>25</v>
      </c>
      <c r="M1163">
        <v>157</v>
      </c>
      <c r="N1163">
        <v>62.55</v>
      </c>
      <c r="O1163">
        <v>12.43</v>
      </c>
      <c r="P1163" t="s">
        <v>25</v>
      </c>
      <c r="Q1163" t="s">
        <v>1262</v>
      </c>
      <c r="R1163" t="s">
        <v>20</v>
      </c>
      <c r="S1163" t="str">
        <f>HYPERLINK("https://cfpub.epa.gov/ecotox/explore.cfm?ncbi=7260","Explore in ECOTOX")</f>
        <v>Explore in ECOTOX</v>
      </c>
    </row>
    <row r="1164" spans="1:19" x14ac:dyDescent="0.25">
      <c r="A1164">
        <v>6</v>
      </c>
      <c r="B1164" t="str">
        <f>HYPERLINK("http://www.ncbi.nlm.nih.gov/protein/CAD7645481.1","CAD7645481.1")</f>
        <v>CAD7645481.1</v>
      </c>
      <c r="C1164">
        <v>23751</v>
      </c>
      <c r="D1164" t="str">
        <f>HYPERLINK("http://www.ncbi.nlm.nih.gov/Taxonomy/Browser/wwwtax.cgi?mode=Info&amp;id=334625&amp;lvl=3&amp;lin=f&amp;keep=1&amp;srchmode=1&amp;unlock","334625")</f>
        <v>334625</v>
      </c>
      <c r="E1164" t="s">
        <v>700</v>
      </c>
      <c r="F1164" t="s">
        <v>700</v>
      </c>
      <c r="G1164" t="str">
        <f>HYPERLINK("http://www.ncbi.nlm.nih.gov/Taxonomy/Browser/wwwtax.cgi?mode=Info&amp;id=334625&amp;lvl=3&amp;lin=f&amp;keep=1&amp;srchmode=1&amp;unlock","Oppiella nova")</f>
        <v>Oppiella nova</v>
      </c>
      <c r="H1164" t="s">
        <v>714</v>
      </c>
      <c r="I1164" t="str">
        <f>HYPERLINK("http://www.ncbi.nlm.nih.gov/protein/CAD7645481.1","unnamed protein product")</f>
        <v>unnamed protein product</v>
      </c>
      <c r="J1164" t="s">
        <v>1261</v>
      </c>
      <c r="K1164">
        <v>63.54</v>
      </c>
      <c r="L1164" t="s">
        <v>25</v>
      </c>
      <c r="M1164">
        <v>157</v>
      </c>
      <c r="N1164">
        <v>62.55</v>
      </c>
      <c r="O1164">
        <v>12.36</v>
      </c>
      <c r="P1164" t="s">
        <v>25</v>
      </c>
      <c r="Q1164" t="s">
        <v>1262</v>
      </c>
      <c r="R1164" t="s">
        <v>20</v>
      </c>
      <c r="S1164" t="str">
        <f>HYPERLINK("https://cfpub.epa.gov/ecotox/explore.cfm?ncbi=334625","Explore in ECOTOX")</f>
        <v>Explore in ECOTOX</v>
      </c>
    </row>
    <row r="1165" spans="1:19" x14ac:dyDescent="0.25">
      <c r="A1165">
        <v>6</v>
      </c>
      <c r="B1165" t="str">
        <f>HYPERLINK("http://www.ncbi.nlm.nih.gov/protein/AER38412.1","AER38412.1")</f>
        <v>AER38412.1</v>
      </c>
      <c r="C1165">
        <v>255</v>
      </c>
      <c r="D1165" t="str">
        <f>HYPERLINK("http://www.ncbi.nlm.nih.gov/Taxonomy/Browser/wwwtax.cgi?mode=Info&amp;id=236805&amp;lvl=3&amp;lin=f&amp;keep=1&amp;srchmode=1&amp;unlock","236805")</f>
        <v>236805</v>
      </c>
      <c r="E1165" t="s">
        <v>698</v>
      </c>
      <c r="F1165" t="s">
        <v>698</v>
      </c>
      <c r="G1165" t="str">
        <f>HYPERLINK("http://www.ncbi.nlm.nih.gov/Taxonomy/Browser/wwwtax.cgi?mode=Info&amp;id=236805&amp;lvl=3&amp;lin=f&amp;keep=1&amp;srchmode=1&amp;unlock","Sesamia nonagrioides")</f>
        <v>Sesamia nonagrioides</v>
      </c>
      <c r="H1165" t="s">
        <v>1177</v>
      </c>
      <c r="I1165" t="str">
        <f>HYPERLINK("http://www.ncbi.nlm.nih.gov/protein/AER38412.1","ultraspiracle, partial")</f>
        <v>ultraspiracle, partial</v>
      </c>
      <c r="J1165" t="s">
        <v>1261</v>
      </c>
      <c r="K1165">
        <v>63.54</v>
      </c>
      <c r="L1165" t="s">
        <v>25</v>
      </c>
      <c r="M1165">
        <v>157</v>
      </c>
      <c r="N1165">
        <v>62.55</v>
      </c>
      <c r="O1165">
        <v>12.36</v>
      </c>
      <c r="P1165" t="s">
        <v>25</v>
      </c>
      <c r="Q1165" t="s">
        <v>1262</v>
      </c>
      <c r="R1165" t="s">
        <v>20</v>
      </c>
      <c r="S1165" t="str">
        <f>HYPERLINK("https://cfpub.epa.gov/ecotox/explore.cfm?ncbi=236805","Explore in ECOTOX")</f>
        <v>Explore in ECOTOX</v>
      </c>
    </row>
    <row r="1166" spans="1:19" x14ac:dyDescent="0.25">
      <c r="A1166">
        <v>6</v>
      </c>
      <c r="B1166" t="str">
        <f>HYPERLINK("http://www.ncbi.nlm.nih.gov/protein/XP_017018410.1","XP_017018410.1")</f>
        <v>XP_017018410.1</v>
      </c>
      <c r="C1166">
        <v>22493</v>
      </c>
      <c r="D1166" t="str">
        <f>HYPERLINK("http://www.ncbi.nlm.nih.gov/Taxonomy/Browser/wwwtax.cgi?mode=Info&amp;id=30033&amp;lvl=3&amp;lin=f&amp;keep=1&amp;srchmode=1&amp;unlock","30033")</f>
        <v>30033</v>
      </c>
      <c r="E1166" t="s">
        <v>698</v>
      </c>
      <c r="F1166" t="s">
        <v>698</v>
      </c>
      <c r="G1166" t="str">
        <f>HYPERLINK("http://www.ncbi.nlm.nih.gov/Taxonomy/Browser/wwwtax.cgi?mode=Info&amp;id=30033&amp;lvl=3&amp;lin=f&amp;keep=1&amp;srchmode=1&amp;unlock","Drosophila kikkawai")</f>
        <v>Drosophila kikkawai</v>
      </c>
      <c r="H1166" t="s">
        <v>753</v>
      </c>
      <c r="I1166" t="str">
        <f>HYPERLINK("http://www.ncbi.nlm.nih.gov/protein/XP_017018410.1","PREDICTED: steroid hormone receptor ERR1 isoform X1")</f>
        <v>PREDICTED: steroid hormone receptor ERR1 isoform X1</v>
      </c>
      <c r="J1166" t="s">
        <v>1261</v>
      </c>
      <c r="K1166">
        <v>63.54</v>
      </c>
      <c r="L1166" t="s">
        <v>25</v>
      </c>
      <c r="M1166">
        <v>157</v>
      </c>
      <c r="N1166">
        <v>62.55</v>
      </c>
      <c r="O1166">
        <v>12.36</v>
      </c>
      <c r="P1166" t="s">
        <v>25</v>
      </c>
      <c r="Q1166" t="s">
        <v>1262</v>
      </c>
      <c r="R1166" t="s">
        <v>20</v>
      </c>
      <c r="S1166" t="str">
        <f>HYPERLINK("https://cfpub.epa.gov/ecotox/explore.cfm?ncbi=30033","Explore in ECOTOX")</f>
        <v>Explore in ECOTOX</v>
      </c>
    </row>
    <row r="1167" spans="1:19" x14ac:dyDescent="0.25">
      <c r="A1167">
        <v>6</v>
      </c>
      <c r="B1167" t="str">
        <f>HYPERLINK("http://www.ncbi.nlm.nih.gov/protein/XP_026490955.1","XP_026490955.1")</f>
        <v>XP_026490955.1</v>
      </c>
      <c r="C1167">
        <v>18776</v>
      </c>
      <c r="D1167" t="str">
        <f>HYPERLINK("http://www.ncbi.nlm.nih.gov/Taxonomy/Browser/wwwtax.cgi?mode=Info&amp;id=334116&amp;lvl=3&amp;lin=f&amp;keep=1&amp;srchmode=1&amp;unlock","334116")</f>
        <v>334116</v>
      </c>
      <c r="E1167" t="s">
        <v>698</v>
      </c>
      <c r="F1167" t="s">
        <v>698</v>
      </c>
      <c r="G1167" t="str">
        <f>HYPERLINK("http://www.ncbi.nlm.nih.gov/Taxonomy/Browser/wwwtax.cgi?mode=Info&amp;id=334116&amp;lvl=3&amp;lin=f&amp;keep=1&amp;srchmode=1&amp;unlock","Vanessa tameamea")</f>
        <v>Vanessa tameamea</v>
      </c>
      <c r="H1167" t="s">
        <v>962</v>
      </c>
      <c r="I1167" t="str">
        <f>HYPERLINK("http://www.ncbi.nlm.nih.gov/protein/XP_026490955.1","steroid hormone receptor ERR1 isoform X3")</f>
        <v>steroid hormone receptor ERR1 isoform X3</v>
      </c>
      <c r="J1167" t="s">
        <v>1261</v>
      </c>
      <c r="K1167">
        <v>63.16</v>
      </c>
      <c r="L1167" t="s">
        <v>25</v>
      </c>
      <c r="M1167">
        <v>157</v>
      </c>
      <c r="N1167">
        <v>62.55</v>
      </c>
      <c r="O1167">
        <v>12.28</v>
      </c>
      <c r="P1167" t="s">
        <v>25</v>
      </c>
      <c r="Q1167" t="s">
        <v>1262</v>
      </c>
      <c r="R1167" t="s">
        <v>20</v>
      </c>
      <c r="S1167" t="str">
        <f>HYPERLINK("https://cfpub.epa.gov/ecotox/explore.cfm?ncbi=334116","Explore in ECOTOX")</f>
        <v>Explore in ECOTOX</v>
      </c>
    </row>
    <row r="1168" spans="1:19" x14ac:dyDescent="0.25">
      <c r="A1168">
        <v>6</v>
      </c>
      <c r="B1168" t="str">
        <f>HYPERLINK("http://www.ncbi.nlm.nih.gov/protein/XP_029713781.1","XP_029713781.1")</f>
        <v>XP_029713781.1</v>
      </c>
      <c r="C1168">
        <v>59378</v>
      </c>
      <c r="D1168" t="str">
        <f>HYPERLINK("http://www.ncbi.nlm.nih.gov/Taxonomy/Browser/wwwtax.cgi?mode=Info&amp;id=7160&amp;lvl=3&amp;lin=f&amp;keep=1&amp;srchmode=1&amp;unlock","7160")</f>
        <v>7160</v>
      </c>
      <c r="E1168" t="s">
        <v>698</v>
      </c>
      <c r="F1168" t="s">
        <v>698</v>
      </c>
      <c r="G1168" t="str">
        <f>HYPERLINK("http://www.ncbi.nlm.nih.gov/Taxonomy/Browser/wwwtax.cgi?mode=Info&amp;id=7160&amp;lvl=3&amp;lin=f&amp;keep=1&amp;srchmode=1&amp;unlock","Aedes albopictus")</f>
        <v>Aedes albopictus</v>
      </c>
      <c r="H1168" t="s">
        <v>703</v>
      </c>
      <c r="I1168" t="str">
        <f>HYPERLINK("http://www.ncbi.nlm.nih.gov/protein/XP_029713781.1","steroid hormone receptor ERR2-like isoform X2")</f>
        <v>steroid hormone receptor ERR2-like isoform X2</v>
      </c>
      <c r="J1168" t="s">
        <v>1261</v>
      </c>
      <c r="K1168">
        <v>63.16</v>
      </c>
      <c r="L1168" t="s">
        <v>25</v>
      </c>
      <c r="M1168">
        <v>157</v>
      </c>
      <c r="N1168">
        <v>62.55</v>
      </c>
      <c r="O1168">
        <v>12.28</v>
      </c>
      <c r="P1168" t="s">
        <v>25</v>
      </c>
      <c r="Q1168" t="s">
        <v>1262</v>
      </c>
      <c r="R1168" t="s">
        <v>20</v>
      </c>
      <c r="S1168" t="str">
        <f>HYPERLINK("https://cfpub.epa.gov/ecotox/explore.cfm?ncbi=7160","Explore in ECOTOX")</f>
        <v>Explore in ECOTOX</v>
      </c>
    </row>
    <row r="1169" spans="1:19" x14ac:dyDescent="0.25">
      <c r="A1169">
        <v>6</v>
      </c>
      <c r="B1169" t="str">
        <f>HYPERLINK("http://www.ncbi.nlm.nih.gov/protein/XP_030037836.1","XP_030037836.1")</f>
        <v>XP_030037836.1</v>
      </c>
      <c r="C1169">
        <v>25955</v>
      </c>
      <c r="D1169" t="str">
        <f>HYPERLINK("http://www.ncbi.nlm.nih.gov/Taxonomy/Browser/wwwtax.cgi?mode=Info&amp;id=7130&amp;lvl=3&amp;lin=f&amp;keep=1&amp;srchmode=1&amp;unlock","7130")</f>
        <v>7130</v>
      </c>
      <c r="E1169" t="s">
        <v>698</v>
      </c>
      <c r="F1169" t="s">
        <v>698</v>
      </c>
      <c r="G1169" t="str">
        <f>HYPERLINK("http://www.ncbi.nlm.nih.gov/Taxonomy/Browser/wwwtax.cgi?mode=Info&amp;id=7130&amp;lvl=3&amp;lin=f&amp;keep=1&amp;srchmode=1&amp;unlock","Manduca sexta")</f>
        <v>Manduca sexta</v>
      </c>
      <c r="H1169" t="s">
        <v>915</v>
      </c>
      <c r="I1169" t="str">
        <f>HYPERLINK("http://www.ncbi.nlm.nih.gov/protein/XP_030037836.1","steroid hormone receptor ERR2 isoform X2")</f>
        <v>steroid hormone receptor ERR2 isoform X2</v>
      </c>
      <c r="J1169" t="s">
        <v>1261</v>
      </c>
      <c r="K1169">
        <v>63.16</v>
      </c>
      <c r="L1169" t="s">
        <v>25</v>
      </c>
      <c r="M1169">
        <v>157</v>
      </c>
      <c r="N1169">
        <v>62.55</v>
      </c>
      <c r="O1169">
        <v>12.28</v>
      </c>
      <c r="P1169" t="s">
        <v>25</v>
      </c>
      <c r="Q1169" t="s">
        <v>1262</v>
      </c>
      <c r="R1169" t="s">
        <v>20</v>
      </c>
      <c r="S1169" t="str">
        <f>HYPERLINK("https://cfpub.epa.gov/ecotox/explore.cfm?ncbi=7130","Explore in ECOTOX")</f>
        <v>Explore in ECOTOX</v>
      </c>
    </row>
    <row r="1170" spans="1:19" x14ac:dyDescent="0.25">
      <c r="A1170">
        <v>6</v>
      </c>
      <c r="B1170" t="str">
        <f>HYPERLINK("http://www.ncbi.nlm.nih.gov/protein/KAF7487730.1","KAF7487730.1")</f>
        <v>KAF7487730.1</v>
      </c>
      <c r="C1170">
        <v>20026</v>
      </c>
      <c r="D1170" t="str">
        <f>HYPERLINK("http://www.ncbi.nlm.nih.gov/Taxonomy/Browser/wwwtax.cgi?mode=Info&amp;id=52283&amp;lvl=3&amp;lin=f&amp;keep=1&amp;srchmode=1&amp;unlock","52283")</f>
        <v>52283</v>
      </c>
      <c r="E1170" t="s">
        <v>700</v>
      </c>
      <c r="F1170" t="s">
        <v>700</v>
      </c>
      <c r="G1170" t="str">
        <f>HYPERLINK("http://www.ncbi.nlm.nih.gov/Taxonomy/Browser/wwwtax.cgi?mode=Info&amp;id=52283&amp;lvl=3&amp;lin=f&amp;keep=1&amp;srchmode=1&amp;unlock","Sarcoptes scabiei")</f>
        <v>Sarcoptes scabiei</v>
      </c>
      <c r="H1170" t="s">
        <v>701</v>
      </c>
      <c r="I1170" t="str">
        <f>HYPERLINK("http://www.ncbi.nlm.nih.gov/protein/KAF7487730.1","Estrogen-related receptor gamma")</f>
        <v>Estrogen-related receptor gamma</v>
      </c>
      <c r="J1170" t="s">
        <v>1261</v>
      </c>
      <c r="K1170">
        <v>63.16</v>
      </c>
      <c r="L1170" t="s">
        <v>25</v>
      </c>
      <c r="M1170">
        <v>157</v>
      </c>
      <c r="N1170">
        <v>62.55</v>
      </c>
      <c r="O1170">
        <v>12.28</v>
      </c>
      <c r="P1170" t="s">
        <v>25</v>
      </c>
      <c r="Q1170" t="s">
        <v>1262</v>
      </c>
      <c r="R1170" t="s">
        <v>20</v>
      </c>
      <c r="S1170" t="str">
        <f>HYPERLINK("https://cfpub.epa.gov/ecotox/explore.cfm?ncbi=52283","Explore in ECOTOX")</f>
        <v>Explore in ECOTOX</v>
      </c>
    </row>
    <row r="1171" spans="1:19" x14ac:dyDescent="0.25">
      <c r="A1171">
        <v>6</v>
      </c>
      <c r="B1171" t="str">
        <f>HYPERLINK("http://www.ncbi.nlm.nih.gov/protein/XP_037930664.1","XP_037930664.1")</f>
        <v>XP_037930664.1</v>
      </c>
      <c r="C1171">
        <v>34229</v>
      </c>
      <c r="D1171" t="str">
        <f>HYPERLINK("http://www.ncbi.nlm.nih.gov/Taxonomy/Browser/wwwtax.cgi?mode=Info&amp;id=139649&amp;lvl=3&amp;lin=f&amp;keep=1&amp;srchmode=1&amp;unlock","139649")</f>
        <v>139649</v>
      </c>
      <c r="E1171" t="s">
        <v>698</v>
      </c>
      <c r="F1171" t="s">
        <v>698</v>
      </c>
      <c r="G1171" t="str">
        <f>HYPERLINK("http://www.ncbi.nlm.nih.gov/Taxonomy/Browser/wwwtax.cgi?mode=Info&amp;id=139649&amp;lvl=3&amp;lin=f&amp;keep=1&amp;srchmode=1&amp;unlock","Teleopsis dalmanni")</f>
        <v>Teleopsis dalmanni</v>
      </c>
      <c r="H1171" t="s">
        <v>762</v>
      </c>
      <c r="I1171" t="str">
        <f>HYPERLINK("http://www.ncbi.nlm.nih.gov/protein/XP_037930664.1","steroid hormone receptor ERR2")</f>
        <v>steroid hormone receptor ERR2</v>
      </c>
      <c r="J1171" t="s">
        <v>1261</v>
      </c>
      <c r="K1171">
        <v>63.16</v>
      </c>
      <c r="L1171" t="s">
        <v>25</v>
      </c>
      <c r="M1171">
        <v>157</v>
      </c>
      <c r="N1171">
        <v>62.55</v>
      </c>
      <c r="O1171">
        <v>12.28</v>
      </c>
      <c r="P1171" t="s">
        <v>25</v>
      </c>
      <c r="Q1171" t="s">
        <v>1262</v>
      </c>
      <c r="R1171" t="s">
        <v>20</v>
      </c>
      <c r="S1171" t="str">
        <f>HYPERLINK("https://cfpub.epa.gov/ecotox/explore.cfm?ncbi=139649","Explore in ECOTOX")</f>
        <v>Explore in ECOTOX</v>
      </c>
    </row>
    <row r="1172" spans="1:19" x14ac:dyDescent="0.25">
      <c r="A1172">
        <v>6</v>
      </c>
      <c r="B1172" t="str">
        <f>HYPERLINK("http://www.ncbi.nlm.nih.gov/protein/XP_023215958.1","XP_023215958.1")</f>
        <v>XP_023215958.1</v>
      </c>
      <c r="C1172">
        <v>35591</v>
      </c>
      <c r="D1172" t="str">
        <f>HYPERLINK("http://www.ncbi.nlm.nih.gov/Taxonomy/Browser/wwwtax.cgi?mode=Info&amp;id=218467&amp;lvl=3&amp;lin=f&amp;keep=1&amp;srchmode=1&amp;unlock","218467")</f>
        <v>218467</v>
      </c>
      <c r="E1172" t="s">
        <v>700</v>
      </c>
      <c r="F1172" t="s">
        <v>700</v>
      </c>
      <c r="G1172" t="str">
        <f>HYPERLINK("http://www.ncbi.nlm.nih.gov/Taxonomy/Browser/wwwtax.cgi?mode=Info&amp;id=218467&amp;lvl=3&amp;lin=f&amp;keep=1&amp;srchmode=1&amp;unlock","Centruroides sculpturatus")</f>
        <v>Centruroides sculpturatus</v>
      </c>
      <c r="H1172" t="s">
        <v>759</v>
      </c>
      <c r="I1172" t="str">
        <f>HYPERLINK("http://www.ncbi.nlm.nih.gov/protein/XP_023215958.1","nuclear hormone receptor FTZ-F1 beta-like isoform X3")</f>
        <v>nuclear hormone receptor FTZ-F1 beta-like isoform X3</v>
      </c>
      <c r="J1172" t="s">
        <v>1261</v>
      </c>
      <c r="K1172">
        <v>63.16</v>
      </c>
      <c r="L1172" t="s">
        <v>25</v>
      </c>
      <c r="M1172">
        <v>157</v>
      </c>
      <c r="N1172">
        <v>62.55</v>
      </c>
      <c r="O1172">
        <v>12.28</v>
      </c>
      <c r="P1172" t="s">
        <v>25</v>
      </c>
      <c r="Q1172" t="s">
        <v>1262</v>
      </c>
      <c r="R1172" t="s">
        <v>20</v>
      </c>
      <c r="S1172" t="str">
        <f>HYPERLINK("https://cfpub.epa.gov/ecotox/explore.cfm?ncbi=218467","Explore in ECOTOX")</f>
        <v>Explore in ECOTOX</v>
      </c>
    </row>
    <row r="1173" spans="1:19" x14ac:dyDescent="0.25">
      <c r="A1173">
        <v>6</v>
      </c>
      <c r="B1173" t="str">
        <f>HYPERLINK("http://www.ncbi.nlm.nih.gov/protein/CAD7459316.1","CAD7459316.1")</f>
        <v>CAD7459316.1</v>
      </c>
      <c r="C1173">
        <v>13064</v>
      </c>
      <c r="D1173" t="str">
        <f>HYPERLINK("http://www.ncbi.nlm.nih.gov/Taxonomy/Browser/wwwtax.cgi?mode=Info&amp;id=61484&amp;lvl=3&amp;lin=f&amp;keep=1&amp;srchmode=1&amp;unlock","61484")</f>
        <v>61484</v>
      </c>
      <c r="E1173" t="s">
        <v>698</v>
      </c>
      <c r="F1173" t="s">
        <v>698</v>
      </c>
      <c r="G1173" t="str">
        <f>HYPERLINK("http://www.ncbi.nlm.nih.gov/Taxonomy/Browser/wwwtax.cgi?mode=Info&amp;id=61484&amp;lvl=3&amp;lin=f&amp;keep=1&amp;srchmode=1&amp;unlock","Timema tahoe")</f>
        <v>Timema tahoe</v>
      </c>
      <c r="H1173" t="s">
        <v>728</v>
      </c>
      <c r="I1173" t="str">
        <f>HYPERLINK("http://www.ncbi.nlm.nih.gov/protein/CAD7459316.1","unnamed protein product")</f>
        <v>unnamed protein product</v>
      </c>
      <c r="J1173" t="s">
        <v>1261</v>
      </c>
      <c r="K1173">
        <v>62.77</v>
      </c>
      <c r="L1173" t="s">
        <v>25</v>
      </c>
      <c r="M1173">
        <v>157</v>
      </c>
      <c r="N1173">
        <v>62.55</v>
      </c>
      <c r="O1173">
        <v>12.21</v>
      </c>
      <c r="P1173" t="s">
        <v>25</v>
      </c>
      <c r="Q1173" t="s">
        <v>1262</v>
      </c>
      <c r="R1173" t="s">
        <v>20</v>
      </c>
      <c r="S1173" t="str">
        <f>HYPERLINK("https://cfpub.epa.gov/ecotox/explore.cfm?ncbi=61484","Explore in ECOTOX")</f>
        <v>Explore in ECOTOX</v>
      </c>
    </row>
    <row r="1174" spans="1:19" x14ac:dyDescent="0.25">
      <c r="A1174">
        <v>6</v>
      </c>
      <c r="B1174" t="str">
        <f>HYPERLINK("http://www.ncbi.nlm.nih.gov/protein/CAD7445281.1","CAD7445281.1")</f>
        <v>CAD7445281.1</v>
      </c>
      <c r="C1174">
        <v>14365</v>
      </c>
      <c r="D1174" t="str">
        <f>HYPERLINK("http://www.ncbi.nlm.nih.gov/Taxonomy/Browser/wwwtax.cgi?mode=Info&amp;id=61472&amp;lvl=3&amp;lin=f&amp;keep=1&amp;srchmode=1&amp;unlock","61472")</f>
        <v>61472</v>
      </c>
      <c r="E1174" t="s">
        <v>698</v>
      </c>
      <c r="F1174" t="s">
        <v>698</v>
      </c>
      <c r="G1174" t="str">
        <f>HYPERLINK("http://www.ncbi.nlm.nih.gov/Taxonomy/Browser/wwwtax.cgi?mode=Info&amp;id=61472&amp;lvl=3&amp;lin=f&amp;keep=1&amp;srchmode=1&amp;unlock","Timema bartmani")</f>
        <v>Timema bartmani</v>
      </c>
      <c r="H1174" t="s">
        <v>728</v>
      </c>
      <c r="I1174" t="str">
        <f>HYPERLINK("http://www.ncbi.nlm.nih.gov/protein/CAD7445281.1","unnamed protein product")</f>
        <v>unnamed protein product</v>
      </c>
      <c r="J1174" t="s">
        <v>1261</v>
      </c>
      <c r="K1174">
        <v>62.77</v>
      </c>
      <c r="L1174" t="s">
        <v>25</v>
      </c>
      <c r="M1174">
        <v>157</v>
      </c>
      <c r="N1174">
        <v>62.55</v>
      </c>
      <c r="O1174">
        <v>12.21</v>
      </c>
      <c r="P1174" t="s">
        <v>25</v>
      </c>
      <c r="Q1174" t="s">
        <v>1262</v>
      </c>
      <c r="R1174" t="s">
        <v>20</v>
      </c>
      <c r="S1174" t="str">
        <f>HYPERLINK("https://cfpub.epa.gov/ecotox/explore.cfm?ncbi=61472","Explore in ECOTOX")</f>
        <v>Explore in ECOTOX</v>
      </c>
    </row>
    <row r="1175" spans="1:19" x14ac:dyDescent="0.25">
      <c r="A1175">
        <v>6</v>
      </c>
      <c r="B1175" t="str">
        <f>HYPERLINK("http://www.ncbi.nlm.nih.gov/protein/XP_015042418.2","XP_015042418.2")</f>
        <v>XP_015042418.2</v>
      </c>
      <c r="C1175">
        <v>29498</v>
      </c>
      <c r="D1175" t="str">
        <f>HYPERLINK("http://www.ncbi.nlm.nih.gov/Taxonomy/Browser/wwwtax.cgi?mode=Info&amp;id=7237&amp;lvl=3&amp;lin=f&amp;keep=1&amp;srchmode=1&amp;unlock","7237")</f>
        <v>7237</v>
      </c>
      <c r="E1175" t="s">
        <v>698</v>
      </c>
      <c r="F1175" t="s">
        <v>698</v>
      </c>
      <c r="G1175" t="str">
        <f>HYPERLINK("http://www.ncbi.nlm.nih.gov/Taxonomy/Browser/wwwtax.cgi?mode=Info&amp;id=7237&amp;lvl=3&amp;lin=f&amp;keep=1&amp;srchmode=1&amp;unlock","Drosophila pseudoobscura")</f>
        <v>Drosophila pseudoobscura</v>
      </c>
      <c r="H1175" t="s">
        <v>753</v>
      </c>
      <c r="I1175" t="str">
        <f>HYPERLINK("http://www.ncbi.nlm.nih.gov/protein/XP_015042418.2","steroid hormone receptor ERR2 isoform X2")</f>
        <v>steroid hormone receptor ERR2 isoform X2</v>
      </c>
      <c r="J1175" t="s">
        <v>1261</v>
      </c>
      <c r="K1175">
        <v>62.77</v>
      </c>
      <c r="L1175" t="s">
        <v>25</v>
      </c>
      <c r="M1175">
        <v>157</v>
      </c>
      <c r="N1175">
        <v>62.55</v>
      </c>
      <c r="O1175">
        <v>12.21</v>
      </c>
      <c r="P1175" t="s">
        <v>25</v>
      </c>
      <c r="Q1175" t="s">
        <v>1262</v>
      </c>
      <c r="R1175" t="s">
        <v>20</v>
      </c>
      <c r="S1175" t="str">
        <f>HYPERLINK("https://cfpub.epa.gov/ecotox/explore.cfm?ncbi=7237","Explore in ECOTOX")</f>
        <v>Explore in ECOTOX</v>
      </c>
    </row>
    <row r="1176" spans="1:19" x14ac:dyDescent="0.25">
      <c r="A1176">
        <v>6</v>
      </c>
      <c r="B1176" t="str">
        <f>HYPERLINK("http://www.ncbi.nlm.nih.gov/protein/XP_002024605.1","XP_002024605.1")</f>
        <v>XP_002024605.1</v>
      </c>
      <c r="C1176">
        <v>37444</v>
      </c>
      <c r="D1176" t="str">
        <f>HYPERLINK("http://www.ncbi.nlm.nih.gov/Taxonomy/Browser/wwwtax.cgi?mode=Info&amp;id=7234&amp;lvl=3&amp;lin=f&amp;keep=1&amp;srchmode=1&amp;unlock","7234")</f>
        <v>7234</v>
      </c>
      <c r="E1176" t="s">
        <v>698</v>
      </c>
      <c r="F1176" t="s">
        <v>698</v>
      </c>
      <c r="G1176" t="str">
        <f>HYPERLINK("http://www.ncbi.nlm.nih.gov/Taxonomy/Browser/wwwtax.cgi?mode=Info&amp;id=7234&amp;lvl=3&amp;lin=f&amp;keep=1&amp;srchmode=1&amp;unlock","Drosophila persimilis")</f>
        <v>Drosophila persimilis</v>
      </c>
      <c r="H1176" t="s">
        <v>753</v>
      </c>
      <c r="I1176" t="str">
        <f>HYPERLINK("http://www.ncbi.nlm.nih.gov/protein/XP_002024605.1","steroid hormone receptor ERR2")</f>
        <v>steroid hormone receptor ERR2</v>
      </c>
      <c r="J1176" t="s">
        <v>1261</v>
      </c>
      <c r="K1176">
        <v>62.77</v>
      </c>
      <c r="L1176" t="s">
        <v>25</v>
      </c>
      <c r="M1176">
        <v>157</v>
      </c>
      <c r="N1176">
        <v>62.55</v>
      </c>
      <c r="O1176">
        <v>12.21</v>
      </c>
      <c r="P1176" t="s">
        <v>25</v>
      </c>
      <c r="Q1176" t="s">
        <v>1262</v>
      </c>
      <c r="R1176" t="s">
        <v>20</v>
      </c>
      <c r="S1176" t="str">
        <f>HYPERLINK("https://cfpub.epa.gov/ecotox/explore.cfm?ncbi=7234","Explore in ECOTOX")</f>
        <v>Explore in ECOTOX</v>
      </c>
    </row>
    <row r="1177" spans="1:19" x14ac:dyDescent="0.25">
      <c r="A1177">
        <v>6</v>
      </c>
      <c r="B1177" t="str">
        <f>HYPERLINK("http://www.ncbi.nlm.nih.gov/protein/XP_017157033.1","XP_017157033.1")</f>
        <v>XP_017157033.1</v>
      </c>
      <c r="C1177">
        <v>33726</v>
      </c>
      <c r="D1177" t="str">
        <f>HYPERLINK("http://www.ncbi.nlm.nih.gov/Taxonomy/Browser/wwwtax.cgi?mode=Info&amp;id=7229&amp;lvl=3&amp;lin=f&amp;keep=1&amp;srchmode=1&amp;unlock","7229")</f>
        <v>7229</v>
      </c>
      <c r="E1177" t="s">
        <v>698</v>
      </c>
      <c r="F1177" t="s">
        <v>698</v>
      </c>
      <c r="G1177" t="str">
        <f>HYPERLINK("http://www.ncbi.nlm.nih.gov/Taxonomy/Browser/wwwtax.cgi?mode=Info&amp;id=7229&amp;lvl=3&amp;lin=f&amp;keep=1&amp;srchmode=1&amp;unlock","Drosophila miranda")</f>
        <v>Drosophila miranda</v>
      </c>
      <c r="H1177" t="s">
        <v>753</v>
      </c>
      <c r="I1177" t="str">
        <f>HYPERLINK("http://www.ncbi.nlm.nih.gov/protein/XP_017157033.1","steroid hormone receptor ERR2")</f>
        <v>steroid hormone receptor ERR2</v>
      </c>
      <c r="J1177" t="s">
        <v>1261</v>
      </c>
      <c r="K1177">
        <v>62.77</v>
      </c>
      <c r="L1177" t="s">
        <v>25</v>
      </c>
      <c r="M1177">
        <v>157</v>
      </c>
      <c r="N1177">
        <v>62.55</v>
      </c>
      <c r="O1177">
        <v>12.21</v>
      </c>
      <c r="P1177" t="s">
        <v>25</v>
      </c>
      <c r="Q1177" t="s">
        <v>1262</v>
      </c>
      <c r="R1177" t="s">
        <v>20</v>
      </c>
      <c r="S1177" t="str">
        <f>HYPERLINK("https://cfpub.epa.gov/ecotox/explore.cfm?ncbi=7229","Explore in ECOTOX")</f>
        <v>Explore in ECOTOX</v>
      </c>
    </row>
    <row r="1178" spans="1:19" x14ac:dyDescent="0.25">
      <c r="A1178">
        <v>6</v>
      </c>
      <c r="B1178" t="str">
        <f>HYPERLINK("http://www.ncbi.nlm.nih.gov/protein/XP_034136819.1","XP_034136819.1")</f>
        <v>XP_034136819.1</v>
      </c>
      <c r="C1178">
        <v>40503</v>
      </c>
      <c r="D1178" t="str">
        <f>HYPERLINK("http://www.ncbi.nlm.nih.gov/Taxonomy/Browser/wwwtax.cgi?mode=Info&amp;id=7266&amp;lvl=3&amp;lin=f&amp;keep=1&amp;srchmode=1&amp;unlock","7266")</f>
        <v>7266</v>
      </c>
      <c r="E1178" t="s">
        <v>698</v>
      </c>
      <c r="F1178" t="s">
        <v>698</v>
      </c>
      <c r="G1178" t="str">
        <f>HYPERLINK("http://www.ncbi.nlm.nih.gov/Taxonomy/Browser/wwwtax.cgi?mode=Info&amp;id=7266&amp;lvl=3&amp;lin=f&amp;keep=1&amp;srchmode=1&amp;unlock","Drosophila guanche")</f>
        <v>Drosophila guanche</v>
      </c>
      <c r="H1178" t="s">
        <v>753</v>
      </c>
      <c r="I1178" t="str">
        <f>HYPERLINK("http://www.ncbi.nlm.nih.gov/protein/XP_034136819.1","steroid hormone receptor ERR2 isoform X2")</f>
        <v>steroid hormone receptor ERR2 isoform X2</v>
      </c>
      <c r="J1178" t="s">
        <v>1261</v>
      </c>
      <c r="K1178">
        <v>62.77</v>
      </c>
      <c r="L1178" t="s">
        <v>25</v>
      </c>
      <c r="M1178">
        <v>157</v>
      </c>
      <c r="N1178">
        <v>62.55</v>
      </c>
      <c r="O1178">
        <v>12.21</v>
      </c>
      <c r="P1178" t="s">
        <v>25</v>
      </c>
      <c r="Q1178" t="s">
        <v>1262</v>
      </c>
      <c r="R1178" t="s">
        <v>20</v>
      </c>
      <c r="S1178" t="str">
        <f>HYPERLINK("https://cfpub.epa.gov/ecotox/explore.cfm?ncbi=7266","Explore in ECOTOX")</f>
        <v>Explore in ECOTOX</v>
      </c>
    </row>
    <row r="1179" spans="1:19" x14ac:dyDescent="0.25">
      <c r="A1179">
        <v>6</v>
      </c>
      <c r="B1179" t="str">
        <f>HYPERLINK("http://www.ncbi.nlm.nih.gov/protein/XP_034655283.1","XP_034655283.1")</f>
        <v>XP_034655283.1</v>
      </c>
      <c r="C1179">
        <v>23553</v>
      </c>
      <c r="D1179" t="str">
        <f>HYPERLINK("http://www.ncbi.nlm.nih.gov/Taxonomy/Browser/wwwtax.cgi?mode=Info&amp;id=7241&amp;lvl=3&amp;lin=f&amp;keep=1&amp;srchmode=1&amp;unlock","7241")</f>
        <v>7241</v>
      </c>
      <c r="E1179" t="s">
        <v>698</v>
      </c>
      <c r="F1179" t="s">
        <v>698</v>
      </c>
      <c r="G1179" t="str">
        <f>HYPERLINK("http://www.ncbi.nlm.nih.gov/Taxonomy/Browser/wwwtax.cgi?mode=Info&amp;id=7241&amp;lvl=3&amp;lin=f&amp;keep=1&amp;srchmode=1&amp;unlock","Drosophila subobscura")</f>
        <v>Drosophila subobscura</v>
      </c>
      <c r="H1179" t="s">
        <v>753</v>
      </c>
      <c r="I1179" t="str">
        <f>HYPERLINK("http://www.ncbi.nlm.nih.gov/protein/XP_034655283.1","steroid hormone receptor ERR2")</f>
        <v>steroid hormone receptor ERR2</v>
      </c>
      <c r="J1179" t="s">
        <v>1261</v>
      </c>
      <c r="K1179">
        <v>62.77</v>
      </c>
      <c r="L1179" t="s">
        <v>25</v>
      </c>
      <c r="M1179">
        <v>157</v>
      </c>
      <c r="N1179">
        <v>62.55</v>
      </c>
      <c r="O1179">
        <v>12.21</v>
      </c>
      <c r="P1179" t="s">
        <v>25</v>
      </c>
      <c r="Q1179" t="s">
        <v>1262</v>
      </c>
      <c r="R1179" t="s">
        <v>20</v>
      </c>
      <c r="S1179" t="str">
        <f>HYPERLINK("https://cfpub.epa.gov/ecotox/explore.cfm?ncbi=7241","Explore in ECOTOX")</f>
        <v>Explore in ECOTOX</v>
      </c>
    </row>
    <row r="1180" spans="1:19" x14ac:dyDescent="0.25">
      <c r="A1180">
        <v>6</v>
      </c>
      <c r="B1180" t="str">
        <f>HYPERLINK("http://www.ncbi.nlm.nih.gov/protein/XP_038105868.1","XP_038105868.1")</f>
        <v>XP_038105868.1</v>
      </c>
      <c r="C1180">
        <v>44279</v>
      </c>
      <c r="D1180" t="str">
        <f>HYPERLINK("http://www.ncbi.nlm.nih.gov/Taxonomy/Browser/wwwtax.cgi?mode=Info&amp;id=7176&amp;lvl=3&amp;lin=f&amp;keep=1&amp;srchmode=1&amp;unlock","7176")</f>
        <v>7176</v>
      </c>
      <c r="E1180" t="s">
        <v>698</v>
      </c>
      <c r="F1180" t="s">
        <v>698</v>
      </c>
      <c r="G1180" t="str">
        <f>HYPERLINK("http://www.ncbi.nlm.nih.gov/Taxonomy/Browser/wwwtax.cgi?mode=Info&amp;id=7176&amp;lvl=3&amp;lin=f&amp;keep=1&amp;srchmode=1&amp;unlock","Culex quinquefasciatus")</f>
        <v>Culex quinquefasciatus</v>
      </c>
      <c r="H1180" t="s">
        <v>724</v>
      </c>
      <c r="I1180" t="str">
        <f>HYPERLINK("http://www.ncbi.nlm.nih.gov/protein/XP_038105868.1","steroid hormone receptor ERR2 isoform X3")</f>
        <v>steroid hormone receptor ERR2 isoform X3</v>
      </c>
      <c r="J1180" t="s">
        <v>1261</v>
      </c>
      <c r="K1180">
        <v>62.39</v>
      </c>
      <c r="L1180" t="s">
        <v>25</v>
      </c>
      <c r="M1180">
        <v>157</v>
      </c>
      <c r="N1180">
        <v>62.55</v>
      </c>
      <c r="O1180">
        <v>12.13</v>
      </c>
      <c r="P1180" t="s">
        <v>25</v>
      </c>
      <c r="Q1180" t="s">
        <v>1262</v>
      </c>
      <c r="R1180" t="s">
        <v>20</v>
      </c>
      <c r="S1180" t="str">
        <f>HYPERLINK("https://cfpub.epa.gov/ecotox/explore.cfm?ncbi=7176","Explore in ECOTOX")</f>
        <v>Explore in ECOTOX</v>
      </c>
    </row>
    <row r="1181" spans="1:19" x14ac:dyDescent="0.25">
      <c r="A1181">
        <v>6</v>
      </c>
      <c r="B1181" t="str">
        <f>HYPERLINK("http://www.ncbi.nlm.nih.gov/protein/XP_039452505.1","XP_039452505.1")</f>
        <v>XP_039452505.1</v>
      </c>
      <c r="C1181">
        <v>25415</v>
      </c>
      <c r="D1181" t="str">
        <f>HYPERLINK("http://www.ncbi.nlm.nih.gov/Taxonomy/Browser/wwwtax.cgi?mode=Info&amp;id=42434&amp;lvl=3&amp;lin=f&amp;keep=1&amp;srchmode=1&amp;unlock","42434")</f>
        <v>42434</v>
      </c>
      <c r="E1181" t="s">
        <v>698</v>
      </c>
      <c r="F1181" t="s">
        <v>698</v>
      </c>
      <c r="G1181" t="str">
        <f>HYPERLINK("http://www.ncbi.nlm.nih.gov/Taxonomy/Browser/wwwtax.cgi?mode=Info&amp;id=42434&amp;lvl=3&amp;lin=f&amp;keep=1&amp;srchmode=1&amp;unlock","Culex pipiens pallens")</f>
        <v>Culex pipiens pallens</v>
      </c>
      <c r="H1181" t="s">
        <v>723</v>
      </c>
      <c r="I1181" t="str">
        <f>HYPERLINK("http://www.ncbi.nlm.nih.gov/protein/XP_039452505.1","steroid hormone receptor ERR2 isoform X2")</f>
        <v>steroid hormone receptor ERR2 isoform X2</v>
      </c>
      <c r="J1181" t="s">
        <v>1261</v>
      </c>
      <c r="K1181">
        <v>62.39</v>
      </c>
      <c r="L1181" t="s">
        <v>25</v>
      </c>
      <c r="M1181">
        <v>157</v>
      </c>
      <c r="N1181">
        <v>62.55</v>
      </c>
      <c r="O1181">
        <v>12.13</v>
      </c>
      <c r="P1181" t="s">
        <v>25</v>
      </c>
      <c r="Q1181" t="s">
        <v>1262</v>
      </c>
      <c r="R1181" t="s">
        <v>20</v>
      </c>
      <c r="S1181" t="str">
        <f>HYPERLINK("https://cfpub.epa.gov/ecotox/explore.cfm?ncbi=42434","Explore in ECOTOX")</f>
        <v>Explore in ECOTOX</v>
      </c>
    </row>
    <row r="1182" spans="1:19" x14ac:dyDescent="0.25">
      <c r="A1182">
        <v>6</v>
      </c>
      <c r="B1182" t="str">
        <f>HYPERLINK("http://www.ncbi.nlm.nih.gov/protein/XP_022215374.1","XP_022215374.1")</f>
        <v>XP_022215374.1</v>
      </c>
      <c r="C1182">
        <v>26945</v>
      </c>
      <c r="D1182" t="str">
        <f>HYPERLINK("http://www.ncbi.nlm.nih.gov/Taxonomy/Browser/wwwtax.cgi?mode=Info&amp;id=7282&amp;lvl=3&amp;lin=f&amp;keep=1&amp;srchmode=1&amp;unlock","7282")</f>
        <v>7282</v>
      </c>
      <c r="E1182" t="s">
        <v>698</v>
      </c>
      <c r="F1182" t="s">
        <v>698</v>
      </c>
      <c r="G1182" t="str">
        <f>HYPERLINK("http://www.ncbi.nlm.nih.gov/Taxonomy/Browser/wwwtax.cgi?mode=Info&amp;id=7282&amp;lvl=3&amp;lin=f&amp;keep=1&amp;srchmode=1&amp;unlock","Drosophila obscura")</f>
        <v>Drosophila obscura</v>
      </c>
      <c r="H1182" t="s">
        <v>753</v>
      </c>
      <c r="I1182" t="str">
        <f>HYPERLINK("http://www.ncbi.nlm.nih.gov/protein/XP_022215374.1","steroid hormone receptor ERR2")</f>
        <v>steroid hormone receptor ERR2</v>
      </c>
      <c r="J1182" t="s">
        <v>1261</v>
      </c>
      <c r="K1182">
        <v>62.39</v>
      </c>
      <c r="L1182" t="s">
        <v>25</v>
      </c>
      <c r="M1182">
        <v>157</v>
      </c>
      <c r="N1182">
        <v>62.55</v>
      </c>
      <c r="O1182">
        <v>12.13</v>
      </c>
      <c r="P1182" t="s">
        <v>25</v>
      </c>
      <c r="Q1182" t="s">
        <v>1262</v>
      </c>
      <c r="R1182" t="s">
        <v>20</v>
      </c>
      <c r="S1182" t="str">
        <f>HYPERLINK("https://cfpub.epa.gov/ecotox/explore.cfm?ncbi=7282","Explore in ECOTOX")</f>
        <v>Explore in ECOTOX</v>
      </c>
    </row>
    <row r="1183" spans="1:19" x14ac:dyDescent="0.25">
      <c r="A1183">
        <v>6</v>
      </c>
      <c r="B1183" t="str">
        <f>HYPERLINK("http://www.ncbi.nlm.nih.gov/protein/PIK58754.1","PIK58754.1")</f>
        <v>PIK58754.1</v>
      </c>
      <c r="C1183">
        <v>30827</v>
      </c>
      <c r="D1183" t="str">
        <f>HYPERLINK("http://www.ncbi.nlm.nih.gov/Taxonomy/Browser/wwwtax.cgi?mode=Info&amp;id=307972&amp;lvl=3&amp;lin=f&amp;keep=1&amp;srchmode=1&amp;unlock","307972")</f>
        <v>307972</v>
      </c>
      <c r="E1183" t="s">
        <v>826</v>
      </c>
      <c r="F1183" t="s">
        <v>826</v>
      </c>
      <c r="G1183" t="str">
        <f>HYPERLINK("http://www.ncbi.nlm.nih.gov/Taxonomy/Browser/wwwtax.cgi?mode=Info&amp;id=307972&amp;lvl=3&amp;lin=f&amp;keep=1&amp;srchmode=1&amp;unlock","Apostichopus japonicus")</f>
        <v>Apostichopus japonicus</v>
      </c>
      <c r="H1183" t="s">
        <v>827</v>
      </c>
      <c r="I1183" t="str">
        <f>HYPERLINK("http://www.ncbi.nlm.nih.gov/protein/PIK58754.1","estrogen receptor-like receptor")</f>
        <v>estrogen receptor-like receptor</v>
      </c>
      <c r="J1183" t="s">
        <v>1261</v>
      </c>
      <c r="K1183">
        <v>62.39</v>
      </c>
      <c r="L1183" t="s">
        <v>25</v>
      </c>
      <c r="M1183">
        <v>157</v>
      </c>
      <c r="N1183">
        <v>62.55</v>
      </c>
      <c r="O1183">
        <v>12.13</v>
      </c>
      <c r="P1183" t="s">
        <v>25</v>
      </c>
      <c r="Q1183" t="s">
        <v>1262</v>
      </c>
      <c r="R1183" t="s">
        <v>20</v>
      </c>
      <c r="S1183" t="str">
        <f>HYPERLINK("https://cfpub.epa.gov/ecotox/explore.cfm?ncbi=307972","Explore in ECOTOX")</f>
        <v>Explore in ECOTOX</v>
      </c>
    </row>
    <row r="1184" spans="1:19" x14ac:dyDescent="0.25">
      <c r="A1184">
        <v>6</v>
      </c>
      <c r="B1184" t="str">
        <f>HYPERLINK("http://www.ncbi.nlm.nih.gov/protein/XP_033096325.1","XP_033096325.1")</f>
        <v>XP_033096325.1</v>
      </c>
      <c r="C1184">
        <v>32797</v>
      </c>
      <c r="D1184" t="str">
        <f>HYPERLINK("http://www.ncbi.nlm.nih.gov/Taxonomy/Browser/wwwtax.cgi?mode=Info&amp;id=1529436&amp;lvl=3&amp;lin=f&amp;keep=1&amp;srchmode=1&amp;unlock","1529436")</f>
        <v>1529436</v>
      </c>
      <c r="E1184" t="s">
        <v>768</v>
      </c>
      <c r="F1184" t="s">
        <v>768</v>
      </c>
      <c r="G1184" t="str">
        <f>HYPERLINK("http://www.ncbi.nlm.nih.gov/Taxonomy/Browser/wwwtax.cgi?mode=Info&amp;id=1529436&amp;lvl=3&amp;lin=f&amp;keep=1&amp;srchmode=1&amp;unlock","Anneissia japonica")</f>
        <v>Anneissia japonica</v>
      </c>
      <c r="H1184" t="s">
        <v>769</v>
      </c>
      <c r="I1184" t="str">
        <f>HYPERLINK("http://www.ncbi.nlm.nih.gov/protein/XP_033096325.1","steroid hormone receptor ERR1-like")</f>
        <v>steroid hormone receptor ERR1-like</v>
      </c>
      <c r="J1184" t="s">
        <v>1261</v>
      </c>
      <c r="K1184">
        <v>62.39</v>
      </c>
      <c r="L1184" t="s">
        <v>25</v>
      </c>
      <c r="M1184">
        <v>157</v>
      </c>
      <c r="N1184">
        <v>62.55</v>
      </c>
      <c r="O1184">
        <v>12.13</v>
      </c>
      <c r="P1184" t="s">
        <v>25</v>
      </c>
      <c r="Q1184" t="s">
        <v>1262</v>
      </c>
      <c r="R1184" t="s">
        <v>20</v>
      </c>
      <c r="S1184" t="str">
        <f>HYPERLINK("https://cfpub.epa.gov/ecotox/explore.cfm?ncbi=1529436","Explore in ECOTOX")</f>
        <v>Explore in ECOTOX</v>
      </c>
    </row>
    <row r="1185" spans="1:19" x14ac:dyDescent="0.25">
      <c r="A1185">
        <v>6</v>
      </c>
      <c r="B1185" t="str">
        <f>HYPERLINK("http://www.ncbi.nlm.nih.gov/protein/CAB3246412.1","CAB3246412.1")</f>
        <v>CAB3246412.1</v>
      </c>
      <c r="C1185">
        <v>38600</v>
      </c>
      <c r="D1185" t="str">
        <f>HYPERLINK("http://www.ncbi.nlm.nih.gov/Taxonomy/Browser/wwwtax.cgi?mode=Info&amp;id=874455&amp;lvl=3&amp;lin=f&amp;keep=1&amp;srchmode=1&amp;unlock","874455")</f>
        <v>874455</v>
      </c>
      <c r="E1185" t="s">
        <v>698</v>
      </c>
      <c r="F1185" t="s">
        <v>698</v>
      </c>
      <c r="G1185" t="str">
        <f>HYPERLINK("http://www.ncbi.nlm.nih.gov/Taxonomy/Browser/wwwtax.cgi?mode=Info&amp;id=874455&amp;lvl=3&amp;lin=f&amp;keep=1&amp;srchmode=1&amp;unlock","Arctia plantaginis")</f>
        <v>Arctia plantaginis</v>
      </c>
      <c r="H1185" t="s">
        <v>904</v>
      </c>
      <c r="I1185" t="str">
        <f>HYPERLINK("http://www.ncbi.nlm.nih.gov/protein/CAB3246412.1","unnamed protein product")</f>
        <v>unnamed protein product</v>
      </c>
      <c r="J1185" t="s">
        <v>1261</v>
      </c>
      <c r="K1185">
        <v>62</v>
      </c>
      <c r="L1185" t="s">
        <v>25</v>
      </c>
      <c r="M1185">
        <v>157</v>
      </c>
      <c r="N1185">
        <v>62.55</v>
      </c>
      <c r="O1185">
        <v>12.06</v>
      </c>
      <c r="P1185" t="s">
        <v>25</v>
      </c>
      <c r="Q1185" t="s">
        <v>1262</v>
      </c>
      <c r="R1185" t="s">
        <v>20</v>
      </c>
      <c r="S1185" t="str">
        <f>HYPERLINK("https://cfpub.epa.gov/ecotox/explore.cfm?ncbi=874455","Explore in ECOTOX")</f>
        <v>Explore in ECOTOX</v>
      </c>
    </row>
    <row r="1186" spans="1:19" x14ac:dyDescent="0.25">
      <c r="A1186">
        <v>6</v>
      </c>
      <c r="B1186" t="str">
        <f>HYPERLINK("http://www.ncbi.nlm.nih.gov/protein/OWR55793.1","OWR55793.1")</f>
        <v>OWR55793.1</v>
      </c>
      <c r="C1186">
        <v>34969</v>
      </c>
      <c r="D1186" t="str">
        <f>HYPERLINK("http://www.ncbi.nlm.nih.gov/Taxonomy/Browser/wwwtax.cgi?mode=Info&amp;id=278856&amp;lvl=3&amp;lin=f&amp;keep=1&amp;srchmode=1&amp;unlock","278856")</f>
        <v>278856</v>
      </c>
      <c r="E1186" t="s">
        <v>698</v>
      </c>
      <c r="F1186" t="s">
        <v>698</v>
      </c>
      <c r="G1186" t="str">
        <f>HYPERLINK("http://www.ncbi.nlm.nih.gov/Taxonomy/Browser/wwwtax.cgi?mode=Info&amp;id=278856&amp;lvl=3&amp;lin=f&amp;keep=1&amp;srchmode=1&amp;unlock","Danaus plexippus plexippus")</f>
        <v>Danaus plexippus plexippus</v>
      </c>
      <c r="H1186" t="s">
        <v>901</v>
      </c>
      <c r="I1186" t="str">
        <f>HYPERLINK("http://www.ncbi.nlm.nih.gov/protein/OWR55793.1","Steroid hormone receptor ERR2")</f>
        <v>Steroid hormone receptor ERR2</v>
      </c>
      <c r="J1186" t="s">
        <v>1261</v>
      </c>
      <c r="K1186">
        <v>62</v>
      </c>
      <c r="L1186" t="s">
        <v>25</v>
      </c>
      <c r="M1186">
        <v>157</v>
      </c>
      <c r="N1186">
        <v>62.55</v>
      </c>
      <c r="O1186">
        <v>12.06</v>
      </c>
      <c r="P1186" t="s">
        <v>25</v>
      </c>
      <c r="Q1186" t="s">
        <v>1262</v>
      </c>
      <c r="R1186" t="s">
        <v>20</v>
      </c>
      <c r="S1186" t="str">
        <f>HYPERLINK("https://cfpub.epa.gov/ecotox/explore.cfm?ncbi=278856","Explore in ECOTOX")</f>
        <v>Explore in ECOTOX</v>
      </c>
    </row>
    <row r="1187" spans="1:19" x14ac:dyDescent="0.25">
      <c r="A1187">
        <v>6</v>
      </c>
      <c r="B1187" t="str">
        <f>HYPERLINK("http://www.ncbi.nlm.nih.gov/protein/CAF0884844.1","CAF0884844.1")</f>
        <v>CAF0884844.1</v>
      </c>
      <c r="C1187">
        <v>54041</v>
      </c>
      <c r="D1187" t="str">
        <f>HYPERLINK("http://www.ncbi.nlm.nih.gov/Taxonomy/Browser/wwwtax.cgi?mode=Info&amp;id=1234261&amp;lvl=3&amp;lin=f&amp;keep=1&amp;srchmode=1&amp;unlock","1234261")</f>
        <v>1234261</v>
      </c>
      <c r="E1187" t="s">
        <v>855</v>
      </c>
      <c r="F1187" t="s">
        <v>855</v>
      </c>
      <c r="G1187" t="str">
        <f>HYPERLINK("http://www.ncbi.nlm.nih.gov/Taxonomy/Browser/wwwtax.cgi?mode=Info&amp;id=1234261&amp;lvl=3&amp;lin=f&amp;keep=1&amp;srchmode=1&amp;unlock","Didymodactylos carnosus")</f>
        <v>Didymodactylos carnosus</v>
      </c>
      <c r="H1187" t="s">
        <v>856</v>
      </c>
      <c r="I1187" t="str">
        <f>HYPERLINK("http://www.ncbi.nlm.nih.gov/protein/CAF0884844.1","unnamed protein product")</f>
        <v>unnamed protein product</v>
      </c>
      <c r="J1187" t="s">
        <v>1261</v>
      </c>
      <c r="K1187">
        <v>62</v>
      </c>
      <c r="L1187" t="s">
        <v>25</v>
      </c>
      <c r="M1187">
        <v>157</v>
      </c>
      <c r="N1187">
        <v>62.55</v>
      </c>
      <c r="O1187">
        <v>12.06</v>
      </c>
      <c r="P1187" t="s">
        <v>25</v>
      </c>
      <c r="Q1187" t="s">
        <v>1262</v>
      </c>
      <c r="R1187" t="s">
        <v>20</v>
      </c>
      <c r="S1187" t="str">
        <f>HYPERLINK("https://cfpub.epa.gov/ecotox/explore.cfm?ncbi=1234261","Explore in ECOTOX")</f>
        <v>Explore in ECOTOX</v>
      </c>
    </row>
    <row r="1188" spans="1:19" x14ac:dyDescent="0.25">
      <c r="A1188">
        <v>6</v>
      </c>
      <c r="B1188" t="str">
        <f>HYPERLINK("http://www.ncbi.nlm.nih.gov/protein/XP_022113315.1","XP_022113315.1")</f>
        <v>XP_022113315.1</v>
      </c>
      <c r="C1188">
        <v>19670</v>
      </c>
      <c r="D1188" t="str">
        <f>HYPERLINK("http://www.ncbi.nlm.nih.gov/Taxonomy/Browser/wwwtax.cgi?mode=Info&amp;id=64459&amp;lvl=3&amp;lin=f&amp;keep=1&amp;srchmode=1&amp;unlock","64459")</f>
        <v>64459</v>
      </c>
      <c r="E1188" t="s">
        <v>698</v>
      </c>
      <c r="F1188" t="s">
        <v>698</v>
      </c>
      <c r="G1188" t="str">
        <f>HYPERLINK("http://www.ncbi.nlm.nih.gov/Taxonomy/Browser/wwwtax.cgi?mode=Info&amp;id=64459&amp;lvl=3&amp;lin=f&amp;keep=1&amp;srchmode=1&amp;unlock","Pieris rapae")</f>
        <v>Pieris rapae</v>
      </c>
      <c r="H1188" t="s">
        <v>1163</v>
      </c>
      <c r="I1188" t="str">
        <f>HYPERLINK("http://www.ncbi.nlm.nih.gov/protein/XP_022113315.1","steroid hormone receptor ERR2 isoform X3")</f>
        <v>steroid hormone receptor ERR2 isoform X3</v>
      </c>
      <c r="J1188" t="s">
        <v>1261</v>
      </c>
      <c r="K1188">
        <v>62</v>
      </c>
      <c r="L1188" t="s">
        <v>25</v>
      </c>
      <c r="M1188">
        <v>157</v>
      </c>
      <c r="N1188">
        <v>62.55</v>
      </c>
      <c r="O1188">
        <v>12.06</v>
      </c>
      <c r="P1188" t="s">
        <v>25</v>
      </c>
      <c r="Q1188" t="s">
        <v>1262</v>
      </c>
      <c r="R1188" t="s">
        <v>20</v>
      </c>
      <c r="S1188" t="str">
        <f>HYPERLINK("https://cfpub.epa.gov/ecotox/explore.cfm?ncbi=64459","Explore in ECOTOX")</f>
        <v>Explore in ECOTOX</v>
      </c>
    </row>
    <row r="1189" spans="1:19" x14ac:dyDescent="0.25">
      <c r="A1189">
        <v>6</v>
      </c>
      <c r="B1189" t="str">
        <f>HYPERLINK("http://www.ncbi.nlm.nih.gov/protein/CAF4797690.1","CAF4797690.1")</f>
        <v>CAF4797690.1</v>
      </c>
      <c r="C1189">
        <v>18656</v>
      </c>
      <c r="D1189" t="str">
        <f>HYPERLINK("http://www.ncbi.nlm.nih.gov/Taxonomy/Browser/wwwtax.cgi?mode=Info&amp;id=345717&amp;lvl=3&amp;lin=f&amp;keep=1&amp;srchmode=1&amp;unlock","345717")</f>
        <v>345717</v>
      </c>
      <c r="E1189" t="s">
        <v>698</v>
      </c>
      <c r="F1189" t="s">
        <v>698</v>
      </c>
      <c r="G1189" t="str">
        <f>HYPERLINK("http://www.ncbi.nlm.nih.gov/Taxonomy/Browser/wwwtax.cgi?mode=Info&amp;id=345717&amp;lvl=3&amp;lin=f&amp;keep=1&amp;srchmode=1&amp;unlock","Pieris macdunnoughi")</f>
        <v>Pieris macdunnoughi</v>
      </c>
      <c r="H1189" t="s">
        <v>951</v>
      </c>
      <c r="I1189" t="str">
        <f>HYPERLINK("http://www.ncbi.nlm.nih.gov/protein/CAF4797690.1","unnamed protein product")</f>
        <v>unnamed protein product</v>
      </c>
      <c r="J1189" t="s">
        <v>1261</v>
      </c>
      <c r="K1189">
        <v>62</v>
      </c>
      <c r="L1189" t="s">
        <v>25</v>
      </c>
      <c r="M1189">
        <v>157</v>
      </c>
      <c r="N1189">
        <v>62.55</v>
      </c>
      <c r="O1189">
        <v>12.06</v>
      </c>
      <c r="P1189" t="s">
        <v>25</v>
      </c>
      <c r="Q1189" t="s">
        <v>1262</v>
      </c>
      <c r="R1189" t="s">
        <v>20</v>
      </c>
      <c r="S1189" t="str">
        <f>HYPERLINK("https://cfpub.epa.gov/ecotox/explore.cfm?ncbi=345717","Explore in ECOTOX")</f>
        <v>Explore in ECOTOX</v>
      </c>
    </row>
    <row r="1190" spans="1:19" x14ac:dyDescent="0.25">
      <c r="A1190">
        <v>6</v>
      </c>
      <c r="B1190" t="str">
        <f>HYPERLINK("http://www.ncbi.nlm.nih.gov/protein/XP_017957580.1","XP_017957580.1")</f>
        <v>XP_017957580.1</v>
      </c>
      <c r="C1190">
        <v>35896</v>
      </c>
      <c r="D1190" t="str">
        <f>HYPERLINK("http://www.ncbi.nlm.nih.gov/Taxonomy/Browser/wwwtax.cgi?mode=Info&amp;id=7232&amp;lvl=3&amp;lin=f&amp;keep=1&amp;srchmode=1&amp;unlock","7232")</f>
        <v>7232</v>
      </c>
      <c r="E1190" t="s">
        <v>698</v>
      </c>
      <c r="F1190" t="s">
        <v>698</v>
      </c>
      <c r="G1190" t="str">
        <f>HYPERLINK("http://www.ncbi.nlm.nih.gov/Taxonomy/Browser/wwwtax.cgi?mode=Info&amp;id=7232&amp;lvl=3&amp;lin=f&amp;keep=1&amp;srchmode=1&amp;unlock","Drosophila navojoa")</f>
        <v>Drosophila navojoa</v>
      </c>
      <c r="H1190" t="s">
        <v>753</v>
      </c>
      <c r="I1190" t="str">
        <f>HYPERLINK("http://www.ncbi.nlm.nih.gov/protein/XP_017957580.1","steroid hormone receptor ERR2")</f>
        <v>steroid hormone receptor ERR2</v>
      </c>
      <c r="J1190" t="s">
        <v>1261</v>
      </c>
      <c r="K1190">
        <v>62</v>
      </c>
      <c r="L1190" t="s">
        <v>25</v>
      </c>
      <c r="M1190">
        <v>157</v>
      </c>
      <c r="N1190">
        <v>62.55</v>
      </c>
      <c r="O1190">
        <v>12.06</v>
      </c>
      <c r="P1190" t="s">
        <v>25</v>
      </c>
      <c r="Q1190" t="s">
        <v>1262</v>
      </c>
      <c r="R1190" t="s">
        <v>20</v>
      </c>
      <c r="S1190" t="str">
        <f>HYPERLINK("https://cfpub.epa.gov/ecotox/explore.cfm?ncbi=7232","Explore in ECOTOX")</f>
        <v>Explore in ECOTOX</v>
      </c>
    </row>
    <row r="1191" spans="1:19" x14ac:dyDescent="0.25">
      <c r="A1191">
        <v>6</v>
      </c>
      <c r="B1191" t="str">
        <f>HYPERLINK("http://www.ncbi.nlm.nih.gov/protein/XP_023161034.2","XP_023161034.2")</f>
        <v>XP_023161034.2</v>
      </c>
      <c r="C1191">
        <v>21591</v>
      </c>
      <c r="D1191" t="str">
        <f>HYPERLINK("http://www.ncbi.nlm.nih.gov/Taxonomy/Browser/wwwtax.cgi?mode=Info&amp;id=7224&amp;lvl=3&amp;lin=f&amp;keep=1&amp;srchmode=1&amp;unlock","7224")</f>
        <v>7224</v>
      </c>
      <c r="E1191" t="s">
        <v>698</v>
      </c>
      <c r="F1191" t="s">
        <v>698</v>
      </c>
      <c r="G1191" t="str">
        <f>HYPERLINK("http://www.ncbi.nlm.nih.gov/Taxonomy/Browser/wwwtax.cgi?mode=Info&amp;id=7224&amp;lvl=3&amp;lin=f&amp;keep=1&amp;srchmode=1&amp;unlock","Drosophila hydei")</f>
        <v>Drosophila hydei</v>
      </c>
      <c r="H1191" t="s">
        <v>753</v>
      </c>
      <c r="I1191" t="str">
        <f>HYPERLINK("http://www.ncbi.nlm.nih.gov/protein/XP_023161034.2","steroid hormone receptor ERR2")</f>
        <v>steroid hormone receptor ERR2</v>
      </c>
      <c r="J1191" t="s">
        <v>1261</v>
      </c>
      <c r="K1191">
        <v>62</v>
      </c>
      <c r="L1191" t="s">
        <v>25</v>
      </c>
      <c r="M1191">
        <v>157</v>
      </c>
      <c r="N1191">
        <v>62.55</v>
      </c>
      <c r="O1191">
        <v>12.06</v>
      </c>
      <c r="P1191" t="s">
        <v>25</v>
      </c>
      <c r="Q1191" t="s">
        <v>1262</v>
      </c>
      <c r="R1191" t="s">
        <v>20</v>
      </c>
      <c r="S1191" t="str">
        <f>HYPERLINK("https://cfpub.epa.gov/ecotox/explore.cfm?ncbi=7224","Explore in ECOTOX")</f>
        <v>Explore in ECOTOX</v>
      </c>
    </row>
    <row r="1192" spans="1:19" x14ac:dyDescent="0.25">
      <c r="A1192">
        <v>6</v>
      </c>
      <c r="B1192" t="str">
        <f>HYPERLINK("http://www.ncbi.nlm.nih.gov/protein/XP_017863345.1","XP_017863345.1")</f>
        <v>XP_017863345.1</v>
      </c>
      <c r="C1192">
        <v>20062</v>
      </c>
      <c r="D1192" t="str">
        <f>HYPERLINK("http://www.ncbi.nlm.nih.gov/Taxonomy/Browser/wwwtax.cgi?mode=Info&amp;id=7263&amp;lvl=3&amp;lin=f&amp;keep=1&amp;srchmode=1&amp;unlock","7263")</f>
        <v>7263</v>
      </c>
      <c r="E1192" t="s">
        <v>698</v>
      </c>
      <c r="F1192" t="s">
        <v>698</v>
      </c>
      <c r="G1192" t="str">
        <f>HYPERLINK("http://www.ncbi.nlm.nih.gov/Taxonomy/Browser/wwwtax.cgi?mode=Info&amp;id=7263&amp;lvl=3&amp;lin=f&amp;keep=1&amp;srchmode=1&amp;unlock","Drosophila arizonae")</f>
        <v>Drosophila arizonae</v>
      </c>
      <c r="H1192" t="s">
        <v>753</v>
      </c>
      <c r="I1192" t="str">
        <f>HYPERLINK("http://www.ncbi.nlm.nih.gov/protein/XP_017863345.1","PREDICTED: steroid hormone receptor ERR2 isoform X2")</f>
        <v>PREDICTED: steroid hormone receptor ERR2 isoform X2</v>
      </c>
      <c r="J1192" t="s">
        <v>1261</v>
      </c>
      <c r="K1192">
        <v>62</v>
      </c>
      <c r="L1192" t="s">
        <v>25</v>
      </c>
      <c r="M1192">
        <v>157</v>
      </c>
      <c r="N1192">
        <v>62.55</v>
      </c>
      <c r="O1192">
        <v>12.06</v>
      </c>
      <c r="P1192" t="s">
        <v>25</v>
      </c>
      <c r="Q1192" t="s">
        <v>1262</v>
      </c>
      <c r="R1192" t="s">
        <v>20</v>
      </c>
      <c r="S1192" t="str">
        <f>HYPERLINK("https://cfpub.epa.gov/ecotox/explore.cfm?ncbi=7263","Explore in ECOTOX")</f>
        <v>Explore in ECOTOX</v>
      </c>
    </row>
    <row r="1193" spans="1:19" x14ac:dyDescent="0.25">
      <c r="A1193">
        <v>6</v>
      </c>
      <c r="B1193" t="str">
        <f>HYPERLINK("http://www.ncbi.nlm.nih.gov/protein/XP_002012072.1","XP_002012072.1")</f>
        <v>XP_002012072.1</v>
      </c>
      <c r="C1193">
        <v>42659</v>
      </c>
      <c r="D1193" t="str">
        <f>HYPERLINK("http://www.ncbi.nlm.nih.gov/Taxonomy/Browser/wwwtax.cgi?mode=Info&amp;id=7230&amp;lvl=3&amp;lin=f&amp;keep=1&amp;srchmode=1&amp;unlock","7230")</f>
        <v>7230</v>
      </c>
      <c r="E1193" t="s">
        <v>698</v>
      </c>
      <c r="F1193" t="s">
        <v>698</v>
      </c>
      <c r="G1193" t="str">
        <f>HYPERLINK("http://www.ncbi.nlm.nih.gov/Taxonomy/Browser/wwwtax.cgi?mode=Info&amp;id=7230&amp;lvl=3&amp;lin=f&amp;keep=1&amp;srchmode=1&amp;unlock","Drosophila mojavensis")</f>
        <v>Drosophila mojavensis</v>
      </c>
      <c r="H1193" t="s">
        <v>753</v>
      </c>
      <c r="I1193" t="str">
        <f>HYPERLINK("http://www.ncbi.nlm.nih.gov/protein/XP_002012072.1","steroid hormone receptor ERR2")</f>
        <v>steroid hormone receptor ERR2</v>
      </c>
      <c r="J1193" t="s">
        <v>1261</v>
      </c>
      <c r="K1193">
        <v>62</v>
      </c>
      <c r="L1193" t="s">
        <v>25</v>
      </c>
      <c r="M1193">
        <v>157</v>
      </c>
      <c r="N1193">
        <v>62.55</v>
      </c>
      <c r="O1193">
        <v>12.06</v>
      </c>
      <c r="P1193" t="s">
        <v>25</v>
      </c>
      <c r="Q1193" t="s">
        <v>1262</v>
      </c>
      <c r="R1193" t="s">
        <v>20</v>
      </c>
      <c r="S1193" t="str">
        <f>HYPERLINK("https://cfpub.epa.gov/ecotox/explore.cfm?ncbi=7230","Explore in ECOTOX")</f>
        <v>Explore in ECOTOX</v>
      </c>
    </row>
    <row r="1194" spans="1:19" x14ac:dyDescent="0.25">
      <c r="A1194">
        <v>6</v>
      </c>
      <c r="B1194" t="str">
        <f>HYPERLINK("http://www.ncbi.nlm.nih.gov/protein/XP_027197908.1","XP_027197908.1")</f>
        <v>XP_027197908.1</v>
      </c>
      <c r="C1194">
        <v>13040</v>
      </c>
      <c r="D1194" t="str">
        <f>HYPERLINK("http://www.ncbi.nlm.nih.gov/Taxonomy/Browser/wwwtax.cgi?mode=Info&amp;id=6956&amp;lvl=3&amp;lin=f&amp;keep=1&amp;srchmode=1&amp;unlock","6956")</f>
        <v>6956</v>
      </c>
      <c r="E1194" t="s">
        <v>700</v>
      </c>
      <c r="F1194" t="s">
        <v>700</v>
      </c>
      <c r="G1194" t="str">
        <f>HYPERLINK("http://www.ncbi.nlm.nih.gov/Taxonomy/Browser/wwwtax.cgi?mode=Info&amp;id=6956&amp;lvl=3&amp;lin=f&amp;keep=1&amp;srchmode=1&amp;unlock","Dermatophagoides pteronyssinus")</f>
        <v>Dermatophagoides pteronyssinus</v>
      </c>
      <c r="H1194" t="s">
        <v>711</v>
      </c>
      <c r="I1194" t="str">
        <f>HYPERLINK("http://www.ncbi.nlm.nih.gov/protein/XP_027197908.1","estrogen-related receptor gamma-like")</f>
        <v>estrogen-related receptor gamma-like</v>
      </c>
      <c r="J1194" t="s">
        <v>1261</v>
      </c>
      <c r="K1194">
        <v>61.62</v>
      </c>
      <c r="L1194" t="s">
        <v>25</v>
      </c>
      <c r="M1194">
        <v>157</v>
      </c>
      <c r="N1194">
        <v>62.55</v>
      </c>
      <c r="O1194">
        <v>11.98</v>
      </c>
      <c r="P1194" t="s">
        <v>25</v>
      </c>
      <c r="Q1194" t="s">
        <v>1262</v>
      </c>
      <c r="R1194" t="s">
        <v>20</v>
      </c>
      <c r="S1194" t="str">
        <f>HYPERLINK("https://cfpub.epa.gov/ecotox/explore.cfm?ncbi=6956","Explore in ECOTOX")</f>
        <v>Explore in ECOTOX</v>
      </c>
    </row>
    <row r="1195" spans="1:19" x14ac:dyDescent="0.25">
      <c r="A1195">
        <v>6</v>
      </c>
      <c r="B1195" t="str">
        <f>HYPERLINK("http://www.ncbi.nlm.nih.gov/protein/OQV20521.1","OQV20521.1")</f>
        <v>OQV20521.1</v>
      </c>
      <c r="C1195">
        <v>20953</v>
      </c>
      <c r="D1195" t="str">
        <f>HYPERLINK("http://www.ncbi.nlm.nih.gov/Taxonomy/Browser/wwwtax.cgi?mode=Info&amp;id=232323&amp;lvl=3&amp;lin=f&amp;keep=1&amp;srchmode=1&amp;unlock","232323")</f>
        <v>232323</v>
      </c>
      <c r="E1195" t="s">
        <v>746</v>
      </c>
      <c r="F1195" t="s">
        <v>746</v>
      </c>
      <c r="G1195" t="str">
        <f>HYPERLINK("http://www.ncbi.nlm.nih.gov/Taxonomy/Browser/wwwtax.cgi?mode=Info&amp;id=232323&amp;lvl=3&amp;lin=f&amp;keep=1&amp;srchmode=1&amp;unlock","Hypsibius dujardini")</f>
        <v>Hypsibius dujardini</v>
      </c>
      <c r="H1195" t="s">
        <v>747</v>
      </c>
      <c r="I1195" t="str">
        <f>HYPERLINK("http://www.ncbi.nlm.nih.gov/protein/OQV20521.1","Estrogen-related receptor gamma")</f>
        <v>Estrogen-related receptor gamma</v>
      </c>
      <c r="J1195" t="s">
        <v>1261</v>
      </c>
      <c r="K1195">
        <v>61.62</v>
      </c>
      <c r="L1195" t="s">
        <v>25</v>
      </c>
      <c r="M1195">
        <v>157</v>
      </c>
      <c r="N1195">
        <v>62.55</v>
      </c>
      <c r="O1195">
        <v>11.98</v>
      </c>
      <c r="P1195" t="s">
        <v>25</v>
      </c>
      <c r="Q1195" t="s">
        <v>1262</v>
      </c>
      <c r="R1195" t="s">
        <v>20</v>
      </c>
      <c r="S1195" t="str">
        <f>HYPERLINK("https://cfpub.epa.gov/ecotox/explore.cfm?ncbi=232323","Explore in ECOTOX")</f>
        <v>Explore in ECOTOX</v>
      </c>
    </row>
    <row r="1196" spans="1:19" x14ac:dyDescent="0.25">
      <c r="A1196">
        <v>6</v>
      </c>
      <c r="B1196" t="str">
        <f>HYPERLINK("http://www.ncbi.nlm.nih.gov/protein/ABI24187.1","ABI24187.1")</f>
        <v>ABI24187.1</v>
      </c>
      <c r="C1196">
        <v>143</v>
      </c>
      <c r="D1196" t="str">
        <f>HYPERLINK("http://www.ncbi.nlm.nih.gov/Taxonomy/Browser/wwwtax.cgi?mode=Info&amp;id=37273&amp;lvl=3&amp;lin=f&amp;keep=1&amp;srchmode=1&amp;unlock","37273")</f>
        <v>37273</v>
      </c>
      <c r="E1196" t="s">
        <v>384</v>
      </c>
      <c r="F1196" t="s">
        <v>384</v>
      </c>
      <c r="G1196" t="str">
        <f>HYPERLINK("http://www.ncbi.nlm.nih.gov/Taxonomy/Browser/wwwtax.cgi?mode=Info&amp;id=37273&amp;lvl=3&amp;lin=f&amp;keep=1&amp;srchmode=1&amp;unlock","Gambusia holbrooki")</f>
        <v>Gambusia holbrooki</v>
      </c>
      <c r="H1196" t="s">
        <v>1296</v>
      </c>
      <c r="I1196" t="str">
        <f>HYPERLINK("http://www.ncbi.nlm.nih.gov/protein/ABI24187.1","estrogen receptor beta-like 2, partial")</f>
        <v>estrogen receptor beta-like 2, partial</v>
      </c>
      <c r="J1196" t="s">
        <v>1261</v>
      </c>
      <c r="K1196">
        <v>61.62</v>
      </c>
      <c r="L1196" t="s">
        <v>25</v>
      </c>
      <c r="M1196">
        <v>157</v>
      </c>
      <c r="N1196">
        <v>62.55</v>
      </c>
      <c r="O1196">
        <v>11.98</v>
      </c>
      <c r="P1196" t="s">
        <v>20</v>
      </c>
      <c r="Q1196" t="s">
        <v>1262</v>
      </c>
      <c r="R1196" t="s">
        <v>20</v>
      </c>
      <c r="S1196" t="str">
        <f>HYPERLINK("https://cfpub.epa.gov/ecotox/explore.cfm?ncbi=37273","Explore in ECOTOX")</f>
        <v>Explore in ECOTOX</v>
      </c>
    </row>
    <row r="1197" spans="1:19" x14ac:dyDescent="0.25">
      <c r="A1197">
        <v>6</v>
      </c>
      <c r="B1197" t="str">
        <f>HYPERLINK("http://www.ncbi.nlm.nih.gov/protein/GBP51082.1","GBP51082.1")</f>
        <v>GBP51082.1</v>
      </c>
      <c r="C1197">
        <v>96443</v>
      </c>
      <c r="D1197" t="str">
        <f>HYPERLINK("http://www.ncbi.nlm.nih.gov/Taxonomy/Browser/wwwtax.cgi?mode=Info&amp;id=151549&amp;lvl=3&amp;lin=f&amp;keep=1&amp;srchmode=1&amp;unlock","151549")</f>
        <v>151549</v>
      </c>
      <c r="E1197" t="s">
        <v>698</v>
      </c>
      <c r="F1197" t="s">
        <v>698</v>
      </c>
      <c r="G1197" t="str">
        <f>HYPERLINK("http://www.ncbi.nlm.nih.gov/Taxonomy/Browser/wwwtax.cgi?mode=Info&amp;id=151549&amp;lvl=3&amp;lin=f&amp;keep=1&amp;srchmode=1&amp;unlock","Eumeta japonica")</f>
        <v>Eumeta japonica</v>
      </c>
      <c r="H1197" t="s">
        <v>751</v>
      </c>
      <c r="I1197" t="str">
        <f>HYPERLINK("http://www.ncbi.nlm.nih.gov/protein/GBP51082.1","Estrogen-related receptor gamma")</f>
        <v>Estrogen-related receptor gamma</v>
      </c>
      <c r="J1197" t="s">
        <v>1261</v>
      </c>
      <c r="K1197">
        <v>61.62</v>
      </c>
      <c r="L1197" t="s">
        <v>25</v>
      </c>
      <c r="M1197">
        <v>157</v>
      </c>
      <c r="N1197">
        <v>62.55</v>
      </c>
      <c r="O1197">
        <v>11.98</v>
      </c>
      <c r="P1197" t="s">
        <v>25</v>
      </c>
      <c r="Q1197" t="s">
        <v>1262</v>
      </c>
      <c r="R1197" t="s">
        <v>20</v>
      </c>
      <c r="S1197" t="str">
        <f>HYPERLINK("https://cfpub.epa.gov/ecotox/explore.cfm?ncbi=151549","Explore in ECOTOX")</f>
        <v>Explore in ECOTOX</v>
      </c>
    </row>
    <row r="1198" spans="1:19" x14ac:dyDescent="0.25">
      <c r="A1198">
        <v>6</v>
      </c>
      <c r="B1198" t="str">
        <f>HYPERLINK("http://www.ncbi.nlm.nih.gov/protein/XP_037073014.1","XP_037073014.1")</f>
        <v>XP_037073014.1</v>
      </c>
      <c r="C1198">
        <v>27127</v>
      </c>
      <c r="D1198" t="str">
        <f>HYPERLINK("http://www.ncbi.nlm.nih.gov/Taxonomy/Browser/wwwtax.cgi?mode=Info&amp;id=41117&amp;lvl=3&amp;lin=f&amp;keep=1&amp;srchmode=1&amp;unlock","41117")</f>
        <v>41117</v>
      </c>
      <c r="E1198" t="s">
        <v>760</v>
      </c>
      <c r="F1198" t="s">
        <v>760</v>
      </c>
      <c r="G1198" t="str">
        <f>HYPERLINK("http://www.ncbi.nlm.nih.gov/Taxonomy/Browser/wwwtax.cgi?mode=Info&amp;id=41117&amp;lvl=3&amp;lin=f&amp;keep=1&amp;srchmode=1&amp;unlock","Pollicipes pollicipes")</f>
        <v>Pollicipes pollicipes</v>
      </c>
      <c r="H1198" t="s">
        <v>816</v>
      </c>
      <c r="I1198" t="str">
        <f>HYPERLINK("http://www.ncbi.nlm.nih.gov/protein/XP_037073014.1","steroid hormone receptor ERR1-like")</f>
        <v>steroid hormone receptor ERR1-like</v>
      </c>
      <c r="J1198" t="s">
        <v>1261</v>
      </c>
      <c r="K1198">
        <v>61.23</v>
      </c>
      <c r="L1198" t="s">
        <v>25</v>
      </c>
      <c r="M1198">
        <v>157</v>
      </c>
      <c r="N1198">
        <v>62.55</v>
      </c>
      <c r="O1198">
        <v>11.91</v>
      </c>
      <c r="P1198" t="s">
        <v>25</v>
      </c>
      <c r="Q1198" t="s">
        <v>1262</v>
      </c>
      <c r="R1198" t="s">
        <v>20</v>
      </c>
      <c r="S1198" t="str">
        <f>HYPERLINK("https://cfpub.epa.gov/ecotox/explore.cfm?ncbi=41117","Explore in ECOTOX")</f>
        <v>Explore in ECOTOX</v>
      </c>
    </row>
    <row r="1199" spans="1:19" x14ac:dyDescent="0.25">
      <c r="A1199">
        <v>6</v>
      </c>
      <c r="B1199" t="str">
        <f>HYPERLINK("http://www.ncbi.nlm.nih.gov/protein/KAG4067952.1","KAG4067952.1")</f>
        <v>KAG4067952.1</v>
      </c>
      <c r="C1199">
        <v>16460</v>
      </c>
      <c r="D1199" t="str">
        <f>HYPERLINK("http://www.ncbi.nlm.nih.gov/Taxonomy/Browser/wwwtax.cgi?mode=Info&amp;id=1564500&amp;lvl=3&amp;lin=f&amp;keep=1&amp;srchmode=1&amp;unlock","1564500")</f>
        <v>1564500</v>
      </c>
      <c r="E1199" t="s">
        <v>698</v>
      </c>
      <c r="F1199" t="s">
        <v>698</v>
      </c>
      <c r="G1199" t="str">
        <f>HYPERLINK("http://www.ncbi.nlm.nih.gov/Taxonomy/Browser/wwwtax.cgi?mode=Info&amp;id=1564500&amp;lvl=3&amp;lin=f&amp;keep=1&amp;srchmode=1&amp;unlock","Bradysia odoriphaga")</f>
        <v>Bradysia odoriphaga</v>
      </c>
      <c r="H1199" t="s">
        <v>774</v>
      </c>
      <c r="I1199" t="str">
        <f>HYPERLINK("http://www.ncbi.nlm.nih.gov/protein/KAG4067952.1","hypothetical protein HA402_010638")</f>
        <v>hypothetical protein HA402_010638</v>
      </c>
      <c r="J1199" t="s">
        <v>1261</v>
      </c>
      <c r="K1199">
        <v>61.23</v>
      </c>
      <c r="L1199" t="s">
        <v>25</v>
      </c>
      <c r="M1199">
        <v>157</v>
      </c>
      <c r="N1199">
        <v>62.55</v>
      </c>
      <c r="O1199">
        <v>11.91</v>
      </c>
      <c r="P1199" t="s">
        <v>25</v>
      </c>
      <c r="Q1199" t="s">
        <v>1262</v>
      </c>
      <c r="R1199" t="s">
        <v>20</v>
      </c>
      <c r="S1199" t="str">
        <f>HYPERLINK("https://cfpub.epa.gov/ecotox/explore.cfm?ncbi=1564500","Explore in ECOTOX")</f>
        <v>Explore in ECOTOX</v>
      </c>
    </row>
    <row r="1200" spans="1:19" x14ac:dyDescent="0.25">
      <c r="A1200">
        <v>6</v>
      </c>
      <c r="B1200" t="str">
        <f>HYPERLINK("http://www.ncbi.nlm.nih.gov/protein/XP_037030098.1","XP_037030098.1")</f>
        <v>XP_037030098.1</v>
      </c>
      <c r="C1200">
        <v>28500</v>
      </c>
      <c r="D1200" t="str">
        <f>HYPERLINK("http://www.ncbi.nlm.nih.gov/Taxonomy/Browser/wwwtax.cgi?mode=Info&amp;id=38358&amp;lvl=3&amp;lin=f&amp;keep=1&amp;srchmode=1&amp;unlock","38358")</f>
        <v>38358</v>
      </c>
      <c r="E1200" t="s">
        <v>698</v>
      </c>
      <c r="F1200" t="s">
        <v>698</v>
      </c>
      <c r="G1200" t="str">
        <f>HYPERLINK("http://www.ncbi.nlm.nih.gov/Taxonomy/Browser/wwwtax.cgi?mode=Info&amp;id=38358&amp;lvl=3&amp;lin=f&amp;keep=1&amp;srchmode=1&amp;unlock","Bradysia coprophila")</f>
        <v>Bradysia coprophila</v>
      </c>
      <c r="H1200" t="s">
        <v>774</v>
      </c>
      <c r="I1200" t="str">
        <f>HYPERLINK("http://www.ncbi.nlm.nih.gov/protein/XP_037030098.1","steroid hormone receptor ERR1 isoform X2")</f>
        <v>steroid hormone receptor ERR1 isoform X2</v>
      </c>
      <c r="J1200" t="s">
        <v>1261</v>
      </c>
      <c r="K1200">
        <v>61.23</v>
      </c>
      <c r="L1200" t="s">
        <v>25</v>
      </c>
      <c r="M1200">
        <v>157</v>
      </c>
      <c r="N1200">
        <v>62.55</v>
      </c>
      <c r="O1200">
        <v>11.91</v>
      </c>
      <c r="P1200" t="s">
        <v>25</v>
      </c>
      <c r="Q1200" t="s">
        <v>1262</v>
      </c>
      <c r="R1200" t="s">
        <v>20</v>
      </c>
      <c r="S1200" t="str">
        <f>HYPERLINK("https://cfpub.epa.gov/ecotox/explore.cfm?ncbi=38358","Explore in ECOTOX")</f>
        <v>Explore in ECOTOX</v>
      </c>
    </row>
    <row r="1201" spans="1:19" x14ac:dyDescent="0.25">
      <c r="A1201">
        <v>6</v>
      </c>
      <c r="B1201" t="str">
        <f>HYPERLINK("http://www.ncbi.nlm.nih.gov/protein/XP_030560705.1","XP_030560705.1")</f>
        <v>XP_030560705.1</v>
      </c>
      <c r="C1201">
        <v>20258</v>
      </c>
      <c r="D1201" t="str">
        <f>HYPERLINK("http://www.ncbi.nlm.nih.gov/Taxonomy/Browser/wwwtax.cgi?mode=Info&amp;id=47314&amp;lvl=3&amp;lin=f&amp;keep=1&amp;srchmode=1&amp;unlock","47314")</f>
        <v>47314</v>
      </c>
      <c r="E1201" t="s">
        <v>698</v>
      </c>
      <c r="F1201" t="s">
        <v>698</v>
      </c>
      <c r="G1201" t="str">
        <f>HYPERLINK("http://www.ncbi.nlm.nih.gov/Taxonomy/Browser/wwwtax.cgi?mode=Info&amp;id=47314&amp;lvl=3&amp;lin=f&amp;keep=1&amp;srchmode=1&amp;unlock","Drosophila novamexicana")</f>
        <v>Drosophila novamexicana</v>
      </c>
      <c r="H1201" t="s">
        <v>753</v>
      </c>
      <c r="I1201" t="str">
        <f>HYPERLINK("http://www.ncbi.nlm.nih.gov/protein/XP_030560705.1","steroid hormone receptor ERR2")</f>
        <v>steroid hormone receptor ERR2</v>
      </c>
      <c r="J1201" t="s">
        <v>1261</v>
      </c>
      <c r="K1201">
        <v>60.85</v>
      </c>
      <c r="L1201" t="s">
        <v>25</v>
      </c>
      <c r="M1201">
        <v>157</v>
      </c>
      <c r="N1201">
        <v>62.55</v>
      </c>
      <c r="O1201">
        <v>11.83</v>
      </c>
      <c r="P1201" t="s">
        <v>25</v>
      </c>
      <c r="Q1201" t="s">
        <v>1262</v>
      </c>
      <c r="R1201" t="s">
        <v>20</v>
      </c>
      <c r="S1201" t="str">
        <f>HYPERLINK("https://cfpub.epa.gov/ecotox/explore.cfm?ncbi=47314","Explore in ECOTOX")</f>
        <v>Explore in ECOTOX</v>
      </c>
    </row>
    <row r="1202" spans="1:19" x14ac:dyDescent="0.25">
      <c r="A1202">
        <v>6</v>
      </c>
      <c r="B1202" t="str">
        <f>HYPERLINK("http://www.ncbi.nlm.nih.gov/protein/XP_002046422.1","XP_002046422.1")</f>
        <v>XP_002046422.1</v>
      </c>
      <c r="C1202">
        <v>44766</v>
      </c>
      <c r="D1202" t="str">
        <f>HYPERLINK("http://www.ncbi.nlm.nih.gov/Taxonomy/Browser/wwwtax.cgi?mode=Info&amp;id=7244&amp;lvl=3&amp;lin=f&amp;keep=1&amp;srchmode=1&amp;unlock","7244")</f>
        <v>7244</v>
      </c>
      <c r="E1202" t="s">
        <v>698</v>
      </c>
      <c r="F1202" t="s">
        <v>698</v>
      </c>
      <c r="G1202" t="str">
        <f>HYPERLINK("http://www.ncbi.nlm.nih.gov/Taxonomy/Browser/wwwtax.cgi?mode=Info&amp;id=7244&amp;lvl=3&amp;lin=f&amp;keep=1&amp;srchmode=1&amp;unlock","Drosophila virilis")</f>
        <v>Drosophila virilis</v>
      </c>
      <c r="H1202" t="s">
        <v>753</v>
      </c>
      <c r="I1202" t="str">
        <f>HYPERLINK("http://www.ncbi.nlm.nih.gov/protein/XP_002046422.1","steroid hormone receptor ERR2")</f>
        <v>steroid hormone receptor ERR2</v>
      </c>
      <c r="J1202" t="s">
        <v>1261</v>
      </c>
      <c r="K1202">
        <v>60.85</v>
      </c>
      <c r="L1202" t="s">
        <v>25</v>
      </c>
      <c r="M1202">
        <v>157</v>
      </c>
      <c r="N1202">
        <v>62.55</v>
      </c>
      <c r="O1202">
        <v>11.83</v>
      </c>
      <c r="P1202" t="s">
        <v>25</v>
      </c>
      <c r="Q1202" t="s">
        <v>1262</v>
      </c>
      <c r="R1202" t="s">
        <v>20</v>
      </c>
      <c r="S1202" t="str">
        <f>HYPERLINK("https://cfpub.epa.gov/ecotox/explore.cfm?ncbi=7244","Explore in ECOTOX")</f>
        <v>Explore in ECOTOX</v>
      </c>
    </row>
    <row r="1203" spans="1:19" x14ac:dyDescent="0.25">
      <c r="A1203">
        <v>6</v>
      </c>
      <c r="B1203" t="str">
        <f>HYPERLINK("http://www.ncbi.nlm.nih.gov/protein/XP_025208908.1","XP_025208908.1")</f>
        <v>XP_025208908.1</v>
      </c>
      <c r="C1203">
        <v>19221</v>
      </c>
      <c r="D1203" t="str">
        <f>HYPERLINK("http://www.ncbi.nlm.nih.gov/Taxonomy/Browser/wwwtax.cgi?mode=Info&amp;id=742174&amp;lvl=3&amp;lin=f&amp;keep=1&amp;srchmode=1&amp;unlock","742174")</f>
        <v>742174</v>
      </c>
      <c r="E1203" t="s">
        <v>698</v>
      </c>
      <c r="F1203" t="s">
        <v>698</v>
      </c>
      <c r="G1203" t="str">
        <f>HYPERLINK("http://www.ncbi.nlm.nih.gov/Taxonomy/Browser/wwwtax.cgi?mode=Info&amp;id=742174&amp;lvl=3&amp;lin=f&amp;keep=1&amp;srchmode=1&amp;unlock","Melanaphis sacchari")</f>
        <v>Melanaphis sacchari</v>
      </c>
      <c r="H1203" t="s">
        <v>847</v>
      </c>
      <c r="I1203" t="str">
        <f>HYPERLINK("http://www.ncbi.nlm.nih.gov/protein/XP_025208908.1","nuclear hormone receptor FTZ-F1 beta")</f>
        <v>nuclear hormone receptor FTZ-F1 beta</v>
      </c>
      <c r="J1203" t="s">
        <v>1261</v>
      </c>
      <c r="K1203">
        <v>60.85</v>
      </c>
      <c r="L1203" t="s">
        <v>25</v>
      </c>
      <c r="M1203">
        <v>157</v>
      </c>
      <c r="N1203">
        <v>62.55</v>
      </c>
      <c r="O1203">
        <v>11.83</v>
      </c>
      <c r="P1203" t="s">
        <v>25</v>
      </c>
      <c r="Q1203" t="s">
        <v>1262</v>
      </c>
      <c r="R1203" t="s">
        <v>20</v>
      </c>
      <c r="S1203" t="str">
        <f>HYPERLINK("https://cfpub.epa.gov/ecotox/explore.cfm?ncbi=742174","Explore in ECOTOX")</f>
        <v>Explore in ECOTOX</v>
      </c>
    </row>
    <row r="1204" spans="1:19" x14ac:dyDescent="0.25">
      <c r="A1204">
        <v>6</v>
      </c>
      <c r="B1204" t="str">
        <f>HYPERLINK("http://www.ncbi.nlm.nih.gov/protein/XP_029345434.1","XP_029345434.1")</f>
        <v>XP_029345434.1</v>
      </c>
      <c r="C1204">
        <v>31430</v>
      </c>
      <c r="D1204" t="str">
        <f>HYPERLINK("http://www.ncbi.nlm.nih.gov/Taxonomy/Browser/wwwtax.cgi?mode=Info&amp;id=7029&amp;lvl=3&amp;lin=f&amp;keep=1&amp;srchmode=1&amp;unlock","7029")</f>
        <v>7029</v>
      </c>
      <c r="E1204" t="s">
        <v>698</v>
      </c>
      <c r="F1204" t="s">
        <v>698</v>
      </c>
      <c r="G1204" t="str">
        <f>HYPERLINK("http://www.ncbi.nlm.nih.gov/Taxonomy/Browser/wwwtax.cgi?mode=Info&amp;id=7029&amp;lvl=3&amp;lin=f&amp;keep=1&amp;srchmode=1&amp;unlock","Acyrthosiphon pisum")</f>
        <v>Acyrthosiphon pisum</v>
      </c>
      <c r="H1204" t="s">
        <v>887</v>
      </c>
      <c r="I1204" t="str">
        <f>HYPERLINK("http://www.ncbi.nlm.nih.gov/protein/XP_029345434.1","nuclear hormone receptor FTZ-F1 beta isoform X2")</f>
        <v>nuclear hormone receptor FTZ-F1 beta isoform X2</v>
      </c>
      <c r="J1204" t="s">
        <v>1261</v>
      </c>
      <c r="K1204">
        <v>60.85</v>
      </c>
      <c r="L1204" t="s">
        <v>25</v>
      </c>
      <c r="M1204">
        <v>157</v>
      </c>
      <c r="N1204">
        <v>62.55</v>
      </c>
      <c r="O1204">
        <v>11.83</v>
      </c>
      <c r="P1204" t="s">
        <v>25</v>
      </c>
      <c r="Q1204" t="s">
        <v>1262</v>
      </c>
      <c r="R1204" t="s">
        <v>20</v>
      </c>
      <c r="S1204" t="str">
        <f>HYPERLINK("https://cfpub.epa.gov/ecotox/explore.cfm?ncbi=7029","Explore in ECOTOX")</f>
        <v>Explore in ECOTOX</v>
      </c>
    </row>
    <row r="1205" spans="1:19" x14ac:dyDescent="0.25">
      <c r="A1205">
        <v>6</v>
      </c>
      <c r="B1205" t="str">
        <f>HYPERLINK("http://www.ncbi.nlm.nih.gov/protein/KPJ10088.1","KPJ10088.1")</f>
        <v>KPJ10088.1</v>
      </c>
      <c r="C1205">
        <v>33312</v>
      </c>
      <c r="D1205" t="str">
        <f>HYPERLINK("http://www.ncbi.nlm.nih.gov/Taxonomy/Browser/wwwtax.cgi?mode=Info&amp;id=76193&amp;lvl=3&amp;lin=f&amp;keep=1&amp;srchmode=1&amp;unlock","76193")</f>
        <v>76193</v>
      </c>
      <c r="E1205" t="s">
        <v>698</v>
      </c>
      <c r="F1205" t="s">
        <v>698</v>
      </c>
      <c r="G1205" t="str">
        <f>HYPERLINK("http://www.ncbi.nlm.nih.gov/Taxonomy/Browser/wwwtax.cgi?mode=Info&amp;id=76193&amp;lvl=3&amp;lin=f&amp;keep=1&amp;srchmode=1&amp;unlock","Papilio machaon")</f>
        <v>Papilio machaon</v>
      </c>
      <c r="H1205" t="s">
        <v>870</v>
      </c>
      <c r="I1205" t="str">
        <f>HYPERLINK("http://www.ncbi.nlm.nih.gov/protein/KPJ10088.1","Steroid hormone receptor ERR2")</f>
        <v>Steroid hormone receptor ERR2</v>
      </c>
      <c r="J1205" t="s">
        <v>1261</v>
      </c>
      <c r="K1205">
        <v>60.08</v>
      </c>
      <c r="L1205" t="s">
        <v>25</v>
      </c>
      <c r="M1205">
        <v>157</v>
      </c>
      <c r="N1205">
        <v>62.55</v>
      </c>
      <c r="O1205">
        <v>11.68</v>
      </c>
      <c r="P1205" t="s">
        <v>25</v>
      </c>
      <c r="Q1205" t="s">
        <v>1262</v>
      </c>
      <c r="R1205" t="s">
        <v>20</v>
      </c>
      <c r="S1205" t="str">
        <f>HYPERLINK("https://cfpub.epa.gov/ecotox/explore.cfm?ncbi=76193","Explore in ECOTOX")</f>
        <v>Explore in ECOTOX</v>
      </c>
    </row>
    <row r="1206" spans="1:19" x14ac:dyDescent="0.25">
      <c r="A1206">
        <v>6</v>
      </c>
      <c r="B1206" t="str">
        <f>HYPERLINK("http://www.ncbi.nlm.nih.gov/protein/CCA61270.1","CCA61270.1")</f>
        <v>CCA61270.1</v>
      </c>
      <c r="C1206">
        <v>11</v>
      </c>
      <c r="D1206" t="str">
        <f>HYPERLINK("http://www.ncbi.nlm.nih.gov/Taxonomy/Browser/wwwtax.cgi?mode=Info&amp;id=908279&amp;lvl=3&amp;lin=f&amp;keep=1&amp;srchmode=1&amp;unlock","908279")</f>
        <v>908279</v>
      </c>
      <c r="E1206" t="s">
        <v>1206</v>
      </c>
      <c r="F1206" t="s">
        <v>1206</v>
      </c>
      <c r="G1206" t="str">
        <f>HYPERLINK("http://www.ncbi.nlm.nih.gov/Taxonomy/Browser/wwwtax.cgi?mode=Info&amp;id=908279&amp;lvl=3&amp;lin=f&amp;keep=1&amp;srchmode=1&amp;unlock","Lithobius peregrinus")</f>
        <v>Lithobius peregrinus</v>
      </c>
      <c r="H1206" t="s">
        <v>1207</v>
      </c>
      <c r="I1206" t="str">
        <f>HYPERLINK("http://www.ncbi.nlm.nih.gov/protein/CCA61270.1","retinoid X receptor, isoform M, partial")</f>
        <v>retinoid X receptor, isoform M, partial</v>
      </c>
      <c r="J1206" t="s">
        <v>1261</v>
      </c>
      <c r="K1206">
        <v>60.08</v>
      </c>
      <c r="L1206" t="s">
        <v>25</v>
      </c>
      <c r="M1206">
        <v>157</v>
      </c>
      <c r="N1206">
        <v>62.55</v>
      </c>
      <c r="O1206">
        <v>11.68</v>
      </c>
      <c r="P1206" t="s">
        <v>25</v>
      </c>
      <c r="Q1206" t="s">
        <v>1262</v>
      </c>
      <c r="R1206" t="s">
        <v>20</v>
      </c>
      <c r="S1206" t="str">
        <f>HYPERLINK("https://cfpub.epa.gov/ecotox/explore.cfm?ncbi=908279","Explore in ECOTOX")</f>
        <v>Explore in ECOTOX</v>
      </c>
    </row>
    <row r="1207" spans="1:19" x14ac:dyDescent="0.25">
      <c r="A1207">
        <v>6</v>
      </c>
      <c r="B1207" t="str">
        <f>HYPERLINK("http://www.ncbi.nlm.nih.gov/protein/ETN59829.1","ETN59829.1")</f>
        <v>ETN59829.1</v>
      </c>
      <c r="C1207">
        <v>10794</v>
      </c>
      <c r="D1207" t="str">
        <f>HYPERLINK("http://www.ncbi.nlm.nih.gov/Taxonomy/Browser/wwwtax.cgi?mode=Info&amp;id=43151&amp;lvl=3&amp;lin=f&amp;keep=1&amp;srchmode=1&amp;unlock","43151")</f>
        <v>43151</v>
      </c>
      <c r="E1207" t="s">
        <v>698</v>
      </c>
      <c r="F1207" t="s">
        <v>698</v>
      </c>
      <c r="G1207" t="str">
        <f>HYPERLINK("http://www.ncbi.nlm.nih.gov/Taxonomy/Browser/wwwtax.cgi?mode=Info&amp;id=43151&amp;lvl=3&amp;lin=f&amp;keep=1&amp;srchmode=1&amp;unlock","Anopheles darlingi")</f>
        <v>Anopheles darlingi</v>
      </c>
      <c r="H1207" t="s">
        <v>1188</v>
      </c>
      <c r="I1207" t="str">
        <f>HYPERLINK("http://www.ncbi.nlm.nih.gov/protein/ETN59829.1","retinoid x receptor (rxr)")</f>
        <v>retinoid x receptor (rxr)</v>
      </c>
      <c r="J1207" t="s">
        <v>1261</v>
      </c>
      <c r="K1207">
        <v>59.69</v>
      </c>
      <c r="L1207" t="s">
        <v>25</v>
      </c>
      <c r="M1207">
        <v>157</v>
      </c>
      <c r="N1207">
        <v>62.55</v>
      </c>
      <c r="O1207">
        <v>11.61</v>
      </c>
      <c r="P1207" t="s">
        <v>25</v>
      </c>
      <c r="Q1207" t="s">
        <v>1262</v>
      </c>
      <c r="R1207" t="s">
        <v>20</v>
      </c>
      <c r="S1207" t="str">
        <f>HYPERLINK("https://cfpub.epa.gov/ecotox/explore.cfm?ncbi=43151","Explore in ECOTOX")</f>
        <v>Explore in ECOTOX</v>
      </c>
    </row>
    <row r="1208" spans="1:19" x14ac:dyDescent="0.25">
      <c r="A1208">
        <v>6</v>
      </c>
      <c r="B1208" t="str">
        <f>HYPERLINK("http://www.ncbi.nlm.nih.gov/protein/XP_035778919.1","XP_035778919.1")</f>
        <v>XP_035778919.1</v>
      </c>
      <c r="C1208">
        <v>24117</v>
      </c>
      <c r="D1208" t="str">
        <f>HYPERLINK("http://www.ncbi.nlm.nih.gov/Taxonomy/Browser/wwwtax.cgi?mode=Info&amp;id=7167&amp;lvl=3&amp;lin=f&amp;keep=1&amp;srchmode=1&amp;unlock","7167")</f>
        <v>7167</v>
      </c>
      <c r="E1208" t="s">
        <v>698</v>
      </c>
      <c r="F1208" t="s">
        <v>698</v>
      </c>
      <c r="G1208" t="str">
        <f>HYPERLINK("http://www.ncbi.nlm.nih.gov/Taxonomy/Browser/wwwtax.cgi?mode=Info&amp;id=7167&amp;lvl=3&amp;lin=f&amp;keep=1&amp;srchmode=1&amp;unlock","Anopheles albimanus")</f>
        <v>Anopheles albimanus</v>
      </c>
      <c r="H1208" t="s">
        <v>758</v>
      </c>
      <c r="I1208" t="str">
        <f>HYPERLINK("http://www.ncbi.nlm.nih.gov/protein/XP_035778919.1","protein ultraspiracle homolog")</f>
        <v>protein ultraspiracle homolog</v>
      </c>
      <c r="J1208" t="s">
        <v>1261</v>
      </c>
      <c r="K1208">
        <v>59.69</v>
      </c>
      <c r="L1208" t="s">
        <v>25</v>
      </c>
      <c r="M1208">
        <v>157</v>
      </c>
      <c r="N1208">
        <v>62.55</v>
      </c>
      <c r="O1208">
        <v>11.61</v>
      </c>
      <c r="P1208" t="s">
        <v>25</v>
      </c>
      <c r="Q1208" t="s">
        <v>1262</v>
      </c>
      <c r="R1208" t="s">
        <v>20</v>
      </c>
      <c r="S1208" t="str">
        <f>HYPERLINK("https://cfpub.epa.gov/ecotox/explore.cfm?ncbi=7167","Explore in ECOTOX")</f>
        <v>Explore in ECOTOX</v>
      </c>
    </row>
    <row r="1209" spans="1:19" x14ac:dyDescent="0.25">
      <c r="A1209">
        <v>6</v>
      </c>
      <c r="B1209" t="str">
        <f>HYPERLINK("http://www.ncbi.nlm.nih.gov/protein/QCI03097.1","QCI03097.1")</f>
        <v>QCI03097.1</v>
      </c>
      <c r="C1209">
        <v>297</v>
      </c>
      <c r="D1209" t="str">
        <f>HYPERLINK("http://www.ncbi.nlm.nih.gov/Taxonomy/Browser/wwwtax.cgi?mode=Info&amp;id=6396&amp;lvl=3&amp;lin=f&amp;keep=1&amp;srchmode=1&amp;unlock","6396")</f>
        <v>6396</v>
      </c>
      <c r="E1209" t="s">
        <v>1153</v>
      </c>
      <c r="F1209" t="s">
        <v>1153</v>
      </c>
      <c r="G1209" t="str">
        <f>HYPERLINK("http://www.ncbi.nlm.nih.gov/Taxonomy/Browser/wwwtax.cgi?mode=Info&amp;id=6396&amp;lvl=3&amp;lin=f&amp;keep=1&amp;srchmode=1&amp;unlock","Eisenia fetida")</f>
        <v>Eisenia fetida</v>
      </c>
      <c r="H1209" t="s">
        <v>1154</v>
      </c>
      <c r="I1209" t="str">
        <f>HYPERLINK("http://www.ncbi.nlm.nih.gov/protein/QCI03097.1","estrogen receptor")</f>
        <v>estrogen receptor</v>
      </c>
      <c r="J1209" t="s">
        <v>1261</v>
      </c>
      <c r="K1209">
        <v>58.92</v>
      </c>
      <c r="L1209" t="s">
        <v>25</v>
      </c>
      <c r="M1209">
        <v>157</v>
      </c>
      <c r="N1209">
        <v>62.55</v>
      </c>
      <c r="O1209">
        <v>11.46</v>
      </c>
      <c r="P1209" t="s">
        <v>25</v>
      </c>
      <c r="Q1209" t="s">
        <v>1262</v>
      </c>
      <c r="R1209" t="s">
        <v>20</v>
      </c>
      <c r="S1209" t="str">
        <f>HYPERLINK("https://cfpub.epa.gov/ecotox/explore.cfm?ncbi=6396","Explore in ECOTOX")</f>
        <v>Explore in ECOTOX</v>
      </c>
    </row>
    <row r="1210" spans="1:19" x14ac:dyDescent="0.25">
      <c r="A1210">
        <v>6</v>
      </c>
      <c r="B1210" t="str">
        <f>HYPERLINK("http://www.ncbi.nlm.nih.gov/protein/TKR93290.1","TKR93290.1")</f>
        <v>TKR93290.1</v>
      </c>
      <c r="C1210">
        <v>36673</v>
      </c>
      <c r="D1210" t="str">
        <f>HYPERLINK("http://www.ncbi.nlm.nih.gov/Taxonomy/Browser/wwwtax.cgi?mode=Info&amp;id=34508&amp;lvl=3&amp;lin=f&amp;keep=1&amp;srchmode=1&amp;unlock","34508")</f>
        <v>34508</v>
      </c>
      <c r="E1210" t="s">
        <v>869</v>
      </c>
      <c r="F1210" t="s">
        <v>869</v>
      </c>
      <c r="G1210" t="str">
        <f>HYPERLINK("http://www.ncbi.nlm.nih.gov/Taxonomy/Browser/wwwtax.cgi?mode=Info&amp;id=34508&amp;lvl=3&amp;lin=f&amp;keep=1&amp;srchmode=1&amp;unlock","Steinernema carpocapsae")</f>
        <v>Steinernema carpocapsae</v>
      </c>
      <c r="H1210" t="s">
        <v>803</v>
      </c>
      <c r="I1210" t="str">
        <f>HYPERLINK("http://www.ncbi.nlm.nih.gov/protein/TKR93290.1","hypothetical protein L596_007774")</f>
        <v>hypothetical protein L596_007774</v>
      </c>
      <c r="J1210" t="s">
        <v>1261</v>
      </c>
      <c r="K1210">
        <v>58.15</v>
      </c>
      <c r="L1210" t="s">
        <v>25</v>
      </c>
      <c r="M1210">
        <v>157</v>
      </c>
      <c r="N1210">
        <v>62.55</v>
      </c>
      <c r="O1210">
        <v>11.31</v>
      </c>
      <c r="P1210" t="s">
        <v>25</v>
      </c>
      <c r="Q1210" t="s">
        <v>1262</v>
      </c>
      <c r="R1210" t="s">
        <v>20</v>
      </c>
      <c r="S1210" t="str">
        <f>HYPERLINK("https://cfpub.epa.gov/ecotox/explore.cfm?ncbi=34508","Explore in ECOTOX")</f>
        <v>Explore in ECOTOX</v>
      </c>
    </row>
    <row r="1211" spans="1:19" x14ac:dyDescent="0.25">
      <c r="A1211">
        <v>6</v>
      </c>
      <c r="B1211" t="str">
        <f>HYPERLINK("http://www.ncbi.nlm.nih.gov/protein/XP_040220964.1","XP_040220964.1")</f>
        <v>XP_040220964.1</v>
      </c>
      <c r="C1211">
        <v>24656</v>
      </c>
      <c r="D1211" t="str">
        <f>HYPERLINK("http://www.ncbi.nlm.nih.gov/Taxonomy/Browser/wwwtax.cgi?mode=Info&amp;id=1518534&amp;lvl=3&amp;lin=f&amp;keep=1&amp;srchmode=1&amp;unlock","1518534")</f>
        <v>1518534</v>
      </c>
      <c r="E1211" t="s">
        <v>698</v>
      </c>
      <c r="F1211" t="s">
        <v>698</v>
      </c>
      <c r="G1211" t="str">
        <f>HYPERLINK("http://www.ncbi.nlm.nih.gov/Taxonomy/Browser/wwwtax.cgi?mode=Info&amp;id=1518534&amp;lvl=3&amp;lin=f&amp;keep=1&amp;srchmode=1&amp;unlock","Anopheles coluzzii")</f>
        <v>Anopheles coluzzii</v>
      </c>
      <c r="H1211" t="s">
        <v>758</v>
      </c>
      <c r="I1211" t="str">
        <f>HYPERLINK("http://www.ncbi.nlm.nih.gov/protein/XP_040220964.1","protein ultraspiracle homolog isoform X1")</f>
        <v>protein ultraspiracle homolog isoform X1</v>
      </c>
      <c r="J1211" t="s">
        <v>1261</v>
      </c>
      <c r="K1211">
        <v>57.77</v>
      </c>
      <c r="L1211" t="s">
        <v>25</v>
      </c>
      <c r="M1211">
        <v>157</v>
      </c>
      <c r="N1211">
        <v>62.55</v>
      </c>
      <c r="O1211">
        <v>11.23</v>
      </c>
      <c r="P1211" t="s">
        <v>25</v>
      </c>
      <c r="Q1211" t="s">
        <v>1262</v>
      </c>
      <c r="R1211" t="s">
        <v>20</v>
      </c>
      <c r="S1211" t="str">
        <f>HYPERLINK("https://cfpub.epa.gov/ecotox/explore.cfm?ncbi=1518534","Explore in ECOTOX")</f>
        <v>Explore in ECOTOX</v>
      </c>
    </row>
    <row r="1212" spans="1:19" x14ac:dyDescent="0.25">
      <c r="A1212">
        <v>6</v>
      </c>
      <c r="B1212" t="str">
        <f>HYPERLINK("http://www.ncbi.nlm.nih.gov/protein/XP_040171636.1","XP_040171636.1")</f>
        <v>XP_040171636.1</v>
      </c>
      <c r="C1212">
        <v>27479</v>
      </c>
      <c r="D1212" t="str">
        <f>HYPERLINK("http://www.ncbi.nlm.nih.gov/Taxonomy/Browser/wwwtax.cgi?mode=Info&amp;id=7173&amp;lvl=3&amp;lin=f&amp;keep=1&amp;srchmode=1&amp;unlock","7173")</f>
        <v>7173</v>
      </c>
      <c r="E1212" t="s">
        <v>698</v>
      </c>
      <c r="F1212" t="s">
        <v>698</v>
      </c>
      <c r="G1212" t="str">
        <f>HYPERLINK("http://www.ncbi.nlm.nih.gov/Taxonomy/Browser/wwwtax.cgi?mode=Info&amp;id=7173&amp;lvl=3&amp;lin=f&amp;keep=1&amp;srchmode=1&amp;unlock","Anopheles arabiensis")</f>
        <v>Anopheles arabiensis</v>
      </c>
      <c r="H1212" t="s">
        <v>758</v>
      </c>
      <c r="I1212" t="str">
        <f>HYPERLINK("http://www.ncbi.nlm.nih.gov/protein/XP_040171636.1","protein ultraspiracle homolog isoform X1")</f>
        <v>protein ultraspiracle homolog isoform X1</v>
      </c>
      <c r="J1212" t="s">
        <v>1261</v>
      </c>
      <c r="K1212">
        <v>57.77</v>
      </c>
      <c r="L1212" t="s">
        <v>25</v>
      </c>
      <c r="M1212">
        <v>157</v>
      </c>
      <c r="N1212">
        <v>62.55</v>
      </c>
      <c r="O1212">
        <v>11.23</v>
      </c>
      <c r="P1212" t="s">
        <v>25</v>
      </c>
      <c r="Q1212" t="s">
        <v>1262</v>
      </c>
      <c r="R1212" t="s">
        <v>20</v>
      </c>
      <c r="S1212" t="str">
        <f>HYPERLINK("https://cfpub.epa.gov/ecotox/explore.cfm?ncbi=7173","Explore in ECOTOX")</f>
        <v>Explore in ECOTOX</v>
      </c>
    </row>
    <row r="1213" spans="1:19" x14ac:dyDescent="0.25">
      <c r="A1213">
        <v>6</v>
      </c>
      <c r="B1213" t="str">
        <f>HYPERLINK("http://www.ncbi.nlm.nih.gov/protein/XP_003436029.1","XP_003436029.1")</f>
        <v>XP_003436029.1</v>
      </c>
      <c r="C1213">
        <v>28138</v>
      </c>
      <c r="D1213" t="str">
        <f>HYPERLINK("http://www.ncbi.nlm.nih.gov/Taxonomy/Browser/wwwtax.cgi?mode=Info&amp;id=180454&amp;lvl=3&amp;lin=f&amp;keep=1&amp;srchmode=1&amp;unlock","180454")</f>
        <v>180454</v>
      </c>
      <c r="E1213" t="s">
        <v>698</v>
      </c>
      <c r="F1213" t="s">
        <v>698</v>
      </c>
      <c r="G1213" t="str">
        <f>HYPERLINK("http://www.ncbi.nlm.nih.gov/Taxonomy/Browser/wwwtax.cgi?mode=Info&amp;id=180454&amp;lvl=3&amp;lin=f&amp;keep=1&amp;srchmode=1&amp;unlock","Anopheles gambiae str. PEST")</f>
        <v>Anopheles gambiae str. PEST</v>
      </c>
      <c r="H1213" t="s">
        <v>782</v>
      </c>
      <c r="I1213" t="str">
        <f>HYPERLINK("http://www.ncbi.nlm.nih.gov/protein/XP_003436029.1","AGAP002095-PB")</f>
        <v>AGAP002095-PB</v>
      </c>
      <c r="J1213" t="s">
        <v>1261</v>
      </c>
      <c r="K1213">
        <v>57.77</v>
      </c>
      <c r="L1213" t="s">
        <v>25</v>
      </c>
      <c r="M1213">
        <v>157</v>
      </c>
      <c r="N1213">
        <v>62.55</v>
      </c>
      <c r="O1213">
        <v>11.23</v>
      </c>
      <c r="P1213" t="s">
        <v>25</v>
      </c>
      <c r="Q1213" t="s">
        <v>1262</v>
      </c>
      <c r="R1213" t="s">
        <v>20</v>
      </c>
      <c r="S1213" t="str">
        <f>HYPERLINK("https://cfpub.epa.gov/ecotox/explore.cfm?ncbi=180454","Explore in ECOTOX")</f>
        <v>Explore in ECOTOX</v>
      </c>
    </row>
    <row r="1214" spans="1:19" x14ac:dyDescent="0.25">
      <c r="A1214">
        <v>6</v>
      </c>
      <c r="B1214" t="str">
        <f>HYPERLINK("http://www.ncbi.nlm.nih.gov/protein/ADM73292.1","ADM73292.1")</f>
        <v>ADM73292.1</v>
      </c>
      <c r="C1214">
        <v>43</v>
      </c>
      <c r="D1214" t="str">
        <f>HYPERLINK("http://www.ncbi.nlm.nih.gov/Taxonomy/Browser/wwwtax.cgi?mode=Info&amp;id=187732&amp;lvl=3&amp;lin=f&amp;keep=1&amp;srchmode=1&amp;unlock","187732")</f>
        <v>187732</v>
      </c>
      <c r="E1214" t="s">
        <v>1219</v>
      </c>
      <c r="F1214" t="s">
        <v>1219</v>
      </c>
      <c r="G1214" t="str">
        <f>HYPERLINK("http://www.ncbi.nlm.nih.gov/Taxonomy/Browser/wwwtax.cgi?mode=Info&amp;id=187732&amp;lvl=3&amp;lin=f&amp;keep=1&amp;srchmode=1&amp;unlock","Paranemertes peregrina")</f>
        <v>Paranemertes peregrina</v>
      </c>
      <c r="H1214" t="s">
        <v>1220</v>
      </c>
      <c r="I1214" t="str">
        <f>HYPERLINK("http://www.ncbi.nlm.nih.gov/protein/ADM73292.1","estrogen-related receptor")</f>
        <v>estrogen-related receptor</v>
      </c>
      <c r="J1214" t="s">
        <v>1261</v>
      </c>
      <c r="K1214">
        <v>57.77</v>
      </c>
      <c r="L1214" t="s">
        <v>25</v>
      </c>
      <c r="M1214">
        <v>157</v>
      </c>
      <c r="N1214">
        <v>62.55</v>
      </c>
      <c r="O1214">
        <v>11.23</v>
      </c>
      <c r="P1214" t="s">
        <v>25</v>
      </c>
      <c r="Q1214" t="s">
        <v>1262</v>
      </c>
      <c r="R1214" t="s">
        <v>20</v>
      </c>
      <c r="S1214" t="str">
        <f>HYPERLINK("https://cfpub.epa.gov/ecotox/explore.cfm?ncbi=187732","Explore in ECOTOX")</f>
        <v>Explore in ECOTOX</v>
      </c>
    </row>
    <row r="1215" spans="1:19" x14ac:dyDescent="0.25">
      <c r="A1215">
        <v>6</v>
      </c>
      <c r="B1215" t="str">
        <f>HYPERLINK("http://www.ncbi.nlm.nih.gov/protein/AAS89002.1","AAS89002.1")</f>
        <v>AAS89002.1</v>
      </c>
      <c r="C1215">
        <v>47</v>
      </c>
      <c r="D1215" t="str">
        <f>HYPERLINK("http://www.ncbi.nlm.nih.gov/Taxonomy/Browser/wwwtax.cgi?mode=Info&amp;id=76338&amp;lvl=3&amp;lin=f&amp;keep=1&amp;srchmode=1&amp;unlock","76338")</f>
        <v>76338</v>
      </c>
      <c r="E1215" t="s">
        <v>384</v>
      </c>
      <c r="F1215" t="s">
        <v>384</v>
      </c>
      <c r="G1215" t="str">
        <f>HYPERLINK("http://www.ncbi.nlm.nih.gov/Taxonomy/Browser/wwwtax.cgi?mode=Info&amp;id=76338&amp;lvl=3&amp;lin=f&amp;keep=1&amp;srchmode=1&amp;unlock","Thalassoma bifasciatum")</f>
        <v>Thalassoma bifasciatum</v>
      </c>
      <c r="H1215" t="s">
        <v>1297</v>
      </c>
      <c r="I1215" t="str">
        <f>HYPERLINK("http://www.ncbi.nlm.nih.gov/protein/AAS89002.1","estrogen receptor beta a, partial")</f>
        <v>estrogen receptor beta a, partial</v>
      </c>
      <c r="J1215" t="s">
        <v>1261</v>
      </c>
      <c r="K1215">
        <v>57.77</v>
      </c>
      <c r="L1215" t="s">
        <v>25</v>
      </c>
      <c r="M1215">
        <v>157</v>
      </c>
      <c r="N1215">
        <v>62.55</v>
      </c>
      <c r="O1215">
        <v>11.23</v>
      </c>
      <c r="P1215" t="s">
        <v>20</v>
      </c>
      <c r="Q1215" t="s">
        <v>1262</v>
      </c>
      <c r="R1215" t="s">
        <v>20</v>
      </c>
      <c r="S1215" t="str">
        <f>HYPERLINK("https://cfpub.epa.gov/ecotox/explore.cfm?ncbi=76338","Explore in ECOTOX")</f>
        <v>Explore in ECOTOX</v>
      </c>
    </row>
    <row r="1216" spans="1:19" x14ac:dyDescent="0.25">
      <c r="A1216">
        <v>6</v>
      </c>
      <c r="B1216" t="str">
        <f>HYPERLINK("http://www.ncbi.nlm.nih.gov/protein/KPJ01521.1","KPJ01521.1")</f>
        <v>KPJ01521.1</v>
      </c>
      <c r="C1216">
        <v>39510</v>
      </c>
      <c r="D1216" t="str">
        <f>HYPERLINK("http://www.ncbi.nlm.nih.gov/Taxonomy/Browser/wwwtax.cgi?mode=Info&amp;id=66420&amp;lvl=3&amp;lin=f&amp;keep=1&amp;srchmode=1&amp;unlock","66420")</f>
        <v>66420</v>
      </c>
      <c r="E1216" t="s">
        <v>698</v>
      </c>
      <c r="F1216" t="s">
        <v>698</v>
      </c>
      <c r="G1216" t="str">
        <f>HYPERLINK("http://www.ncbi.nlm.nih.gov/Taxonomy/Browser/wwwtax.cgi?mode=Info&amp;id=66420&amp;lvl=3&amp;lin=f&amp;keep=1&amp;srchmode=1&amp;unlock","Papilio xuthus")</f>
        <v>Papilio xuthus</v>
      </c>
      <c r="H1216" t="s">
        <v>923</v>
      </c>
      <c r="I1216" t="str">
        <f>HYPERLINK("http://www.ncbi.nlm.nih.gov/protein/KPJ01521.1","Estrogen-related receptor gamma")</f>
        <v>Estrogen-related receptor gamma</v>
      </c>
      <c r="J1216" t="s">
        <v>1261</v>
      </c>
      <c r="K1216">
        <v>57.38</v>
      </c>
      <c r="L1216" t="s">
        <v>25</v>
      </c>
      <c r="M1216">
        <v>157</v>
      </c>
      <c r="N1216">
        <v>62.55</v>
      </c>
      <c r="O1216">
        <v>11.16</v>
      </c>
      <c r="P1216" t="s">
        <v>25</v>
      </c>
      <c r="Q1216" t="s">
        <v>1262</v>
      </c>
      <c r="R1216" t="s">
        <v>20</v>
      </c>
      <c r="S1216" t="str">
        <f>HYPERLINK("https://cfpub.epa.gov/ecotox/explore.cfm?ncbi=66420","Explore in ECOTOX")</f>
        <v>Explore in ECOTOX</v>
      </c>
    </row>
    <row r="1217" spans="1:19" x14ac:dyDescent="0.25">
      <c r="A1217">
        <v>6</v>
      </c>
      <c r="B1217" t="str">
        <f>HYPERLINK("http://www.ncbi.nlm.nih.gov/protein/OAF71737.1","OAF71737.1")</f>
        <v>OAF71737.1</v>
      </c>
      <c r="C1217">
        <v>8724</v>
      </c>
      <c r="D1217" t="str">
        <f>HYPERLINK("http://www.ncbi.nlm.nih.gov/Taxonomy/Browser/wwwtax.cgi?mode=Info&amp;id=1819745&amp;lvl=3&amp;lin=f&amp;keep=1&amp;srchmode=1&amp;unlock","1819745")</f>
        <v>1819745</v>
      </c>
      <c r="E1217" t="s">
        <v>1185</v>
      </c>
      <c r="F1217" t="s">
        <v>1185</v>
      </c>
      <c r="G1217" t="str">
        <f>HYPERLINK("http://www.ncbi.nlm.nih.gov/Taxonomy/Browser/wwwtax.cgi?mode=Info&amp;id=1819745&amp;lvl=3&amp;lin=f&amp;keep=1&amp;srchmode=1&amp;unlock","Intoshia linei")</f>
        <v>Intoshia linei</v>
      </c>
      <c r="H1217" t="s">
        <v>1186</v>
      </c>
      <c r="I1217" t="str">
        <f>HYPERLINK("http://www.ncbi.nlm.nih.gov/protein/OAF71737.1","ER-beta")</f>
        <v>ER-beta</v>
      </c>
      <c r="J1217" t="s">
        <v>1261</v>
      </c>
      <c r="K1217">
        <v>57.38</v>
      </c>
      <c r="L1217" t="s">
        <v>25</v>
      </c>
      <c r="M1217">
        <v>157</v>
      </c>
      <c r="N1217">
        <v>62.55</v>
      </c>
      <c r="O1217">
        <v>11.16</v>
      </c>
      <c r="P1217" t="s">
        <v>25</v>
      </c>
      <c r="Q1217" t="s">
        <v>1262</v>
      </c>
      <c r="R1217" t="s">
        <v>20</v>
      </c>
      <c r="S1217" t="str">
        <f>HYPERLINK("https://cfpub.epa.gov/ecotox/explore.cfm?ncbi=1819745","Explore in ECOTOX")</f>
        <v>Explore in ECOTOX</v>
      </c>
    </row>
    <row r="1218" spans="1:19" x14ac:dyDescent="0.25">
      <c r="A1218">
        <v>6</v>
      </c>
      <c r="B1218" t="str">
        <f>HYPERLINK("http://www.ncbi.nlm.nih.gov/protein/XP_014765163.1","XP_014765163.1")</f>
        <v>XP_014765163.1</v>
      </c>
      <c r="C1218">
        <v>45607</v>
      </c>
      <c r="D1218" t="str">
        <f>HYPERLINK("http://www.ncbi.nlm.nih.gov/Taxonomy/Browser/wwwtax.cgi?mode=Info&amp;id=7217&amp;lvl=3&amp;lin=f&amp;keep=1&amp;srchmode=1&amp;unlock","7217")</f>
        <v>7217</v>
      </c>
      <c r="E1218" t="s">
        <v>698</v>
      </c>
      <c r="F1218" t="s">
        <v>698</v>
      </c>
      <c r="G1218" t="str">
        <f>HYPERLINK("http://www.ncbi.nlm.nih.gov/Taxonomy/Browser/wwwtax.cgi?mode=Info&amp;id=7217&amp;lvl=3&amp;lin=f&amp;keep=1&amp;srchmode=1&amp;unlock","Drosophila ananassae")</f>
        <v>Drosophila ananassae</v>
      </c>
      <c r="H1218" t="s">
        <v>753</v>
      </c>
      <c r="I1218" t="str">
        <f>HYPERLINK("http://www.ncbi.nlm.nih.gov/protein/XP_014765163.1","steroid hormone receptor ERR2 isoform X2")</f>
        <v>steroid hormone receptor ERR2 isoform X2</v>
      </c>
      <c r="J1218" t="s">
        <v>1261</v>
      </c>
      <c r="K1218">
        <v>57</v>
      </c>
      <c r="L1218" t="s">
        <v>25</v>
      </c>
      <c r="M1218">
        <v>157</v>
      </c>
      <c r="N1218">
        <v>62.55</v>
      </c>
      <c r="O1218">
        <v>11.08</v>
      </c>
      <c r="P1218" t="s">
        <v>25</v>
      </c>
      <c r="Q1218" t="s">
        <v>1262</v>
      </c>
      <c r="R1218" t="s">
        <v>20</v>
      </c>
      <c r="S1218" t="str">
        <f>HYPERLINK("https://cfpub.epa.gov/ecotox/explore.cfm?ncbi=7217","Explore in ECOTOX")</f>
        <v>Explore in ECOTOX</v>
      </c>
    </row>
    <row r="1219" spans="1:19" x14ac:dyDescent="0.25">
      <c r="A1219">
        <v>6</v>
      </c>
      <c r="B1219" t="str">
        <f>HYPERLINK("http://www.ncbi.nlm.nih.gov/protein/XP_017088436.1","XP_017088436.1")</f>
        <v>XP_017088436.1</v>
      </c>
      <c r="C1219">
        <v>23647</v>
      </c>
      <c r="D1219" t="str">
        <f>HYPERLINK("http://www.ncbi.nlm.nih.gov/Taxonomy/Browser/wwwtax.cgi?mode=Info&amp;id=42026&amp;lvl=3&amp;lin=f&amp;keep=1&amp;srchmode=1&amp;unlock","42026")</f>
        <v>42026</v>
      </c>
      <c r="E1219" t="s">
        <v>698</v>
      </c>
      <c r="F1219" t="s">
        <v>698</v>
      </c>
      <c r="G1219" t="str">
        <f>HYPERLINK("http://www.ncbi.nlm.nih.gov/Taxonomy/Browser/wwwtax.cgi?mode=Info&amp;id=42026&amp;lvl=3&amp;lin=f&amp;keep=1&amp;srchmode=1&amp;unlock","Drosophila bipectinata")</f>
        <v>Drosophila bipectinata</v>
      </c>
      <c r="H1219" t="s">
        <v>753</v>
      </c>
      <c r="I1219" t="str">
        <f>HYPERLINK("http://www.ncbi.nlm.nih.gov/protein/XP_017088436.1","PREDICTED: steroid hormone receptor ERR2 isoform X2")</f>
        <v>PREDICTED: steroid hormone receptor ERR2 isoform X2</v>
      </c>
      <c r="J1219" t="s">
        <v>1261</v>
      </c>
      <c r="K1219">
        <v>57</v>
      </c>
      <c r="L1219" t="s">
        <v>25</v>
      </c>
      <c r="M1219">
        <v>157</v>
      </c>
      <c r="N1219">
        <v>62.55</v>
      </c>
      <c r="O1219">
        <v>11.08</v>
      </c>
      <c r="P1219" t="s">
        <v>25</v>
      </c>
      <c r="Q1219" t="s">
        <v>1262</v>
      </c>
      <c r="R1219" t="s">
        <v>20</v>
      </c>
      <c r="S1219" t="str">
        <f>HYPERLINK("https://cfpub.epa.gov/ecotox/explore.cfm?ncbi=42026","Explore in ECOTOX")</f>
        <v>Explore in ECOTOX</v>
      </c>
    </row>
    <row r="1220" spans="1:19" x14ac:dyDescent="0.25">
      <c r="A1220">
        <v>6</v>
      </c>
      <c r="B1220" t="str">
        <f>HYPERLINK("http://www.ncbi.nlm.nih.gov/protein/XP_017492231.1","XP_017492231.1")</f>
        <v>XP_017492231.1</v>
      </c>
      <c r="C1220">
        <v>34640</v>
      </c>
      <c r="D1220" t="str">
        <f>HYPERLINK("http://www.ncbi.nlm.nih.gov/Taxonomy/Browser/wwwtax.cgi?mode=Info&amp;id=28612&amp;lvl=3&amp;lin=f&amp;keep=1&amp;srchmode=1&amp;unlock","28612")</f>
        <v>28612</v>
      </c>
      <c r="E1220" t="s">
        <v>698</v>
      </c>
      <c r="F1220" t="s">
        <v>698</v>
      </c>
      <c r="G1220" t="str">
        <f>HYPERLINK("http://www.ncbi.nlm.nih.gov/Taxonomy/Browser/wwwtax.cgi?mode=Info&amp;id=28612&amp;lvl=3&amp;lin=f&amp;keep=1&amp;srchmode=1&amp;unlock","Rhagoletis zephyria")</f>
        <v>Rhagoletis zephyria</v>
      </c>
      <c r="H1220" t="s">
        <v>708</v>
      </c>
      <c r="I1220" t="str">
        <f>HYPERLINK("http://www.ncbi.nlm.nih.gov/protein/XP_017492231.1","PREDICTED: steroid hormone receptor ERR2-like, partial")</f>
        <v>PREDICTED: steroid hormone receptor ERR2-like, partial</v>
      </c>
      <c r="J1220" t="s">
        <v>1261</v>
      </c>
      <c r="K1220">
        <v>56.61</v>
      </c>
      <c r="L1220" t="s">
        <v>25</v>
      </c>
      <c r="M1220">
        <v>157</v>
      </c>
      <c r="N1220">
        <v>62.55</v>
      </c>
      <c r="O1220">
        <v>11.01</v>
      </c>
      <c r="P1220" t="s">
        <v>25</v>
      </c>
      <c r="Q1220" t="s">
        <v>1262</v>
      </c>
      <c r="R1220" t="s">
        <v>20</v>
      </c>
      <c r="S1220" t="str">
        <f>HYPERLINK("https://cfpub.epa.gov/ecotox/explore.cfm?ncbi=28612","Explore in ECOTOX")</f>
        <v>Explore in ECOTOX</v>
      </c>
    </row>
    <row r="1221" spans="1:19" x14ac:dyDescent="0.25">
      <c r="A1221">
        <v>6</v>
      </c>
      <c r="B1221" t="str">
        <f>HYPERLINK("http://www.ncbi.nlm.nih.gov/protein/XP_013147747.1","XP_013147747.1")</f>
        <v>XP_013147747.1</v>
      </c>
      <c r="C1221">
        <v>17827</v>
      </c>
      <c r="D1221" t="str">
        <f>HYPERLINK("http://www.ncbi.nlm.nih.gov/Taxonomy/Browser/wwwtax.cgi?mode=Info&amp;id=76194&amp;lvl=3&amp;lin=f&amp;keep=1&amp;srchmode=1&amp;unlock","76194")</f>
        <v>76194</v>
      </c>
      <c r="E1221" t="s">
        <v>698</v>
      </c>
      <c r="F1221" t="s">
        <v>698</v>
      </c>
      <c r="G1221" t="str">
        <f>HYPERLINK("http://www.ncbi.nlm.nih.gov/Taxonomy/Browser/wwwtax.cgi?mode=Info&amp;id=76194&amp;lvl=3&amp;lin=f&amp;keep=1&amp;srchmode=1&amp;unlock","Papilio polytes")</f>
        <v>Papilio polytes</v>
      </c>
      <c r="H1221" t="s">
        <v>881</v>
      </c>
      <c r="I1221" t="str">
        <f>HYPERLINK("http://www.ncbi.nlm.nih.gov/protein/XP_013147747.1","PREDICTED: steroid hormone receptor ERR1-like isoform X4")</f>
        <v>PREDICTED: steroid hormone receptor ERR1-like isoform X4</v>
      </c>
      <c r="J1221" t="s">
        <v>1261</v>
      </c>
      <c r="K1221">
        <v>56.61</v>
      </c>
      <c r="L1221" t="s">
        <v>25</v>
      </c>
      <c r="M1221">
        <v>157</v>
      </c>
      <c r="N1221">
        <v>62.55</v>
      </c>
      <c r="O1221">
        <v>11.01</v>
      </c>
      <c r="P1221" t="s">
        <v>25</v>
      </c>
      <c r="Q1221" t="s">
        <v>1262</v>
      </c>
      <c r="R1221" t="s">
        <v>20</v>
      </c>
      <c r="S1221" t="str">
        <f>HYPERLINK("https://cfpub.epa.gov/ecotox/explore.cfm?ncbi=76194","Explore in ECOTOX")</f>
        <v>Explore in ECOTOX</v>
      </c>
    </row>
    <row r="1222" spans="1:19" x14ac:dyDescent="0.25">
      <c r="A1222">
        <v>6</v>
      </c>
      <c r="B1222" t="str">
        <f>HYPERLINK("http://www.ncbi.nlm.nih.gov/protein/BAD02929.1","BAD02929.1")</f>
        <v>BAD02929.1</v>
      </c>
      <c r="C1222">
        <v>120</v>
      </c>
      <c r="D1222" t="str">
        <f>HYPERLINK("http://www.ncbi.nlm.nih.gov/Taxonomy/Browser/wwwtax.cgi?mode=Info&amp;id=7943&amp;lvl=3&amp;lin=f&amp;keep=1&amp;srchmode=1&amp;unlock","7943")</f>
        <v>7943</v>
      </c>
      <c r="E1222" t="s">
        <v>384</v>
      </c>
      <c r="F1222" t="s">
        <v>384</v>
      </c>
      <c r="G1222" t="str">
        <f>HYPERLINK("http://www.ncbi.nlm.nih.gov/Taxonomy/Browser/wwwtax.cgi?mode=Info&amp;id=7943&amp;lvl=3&amp;lin=f&amp;keep=1&amp;srchmode=1&amp;unlock","Conger myriaster")</f>
        <v>Conger myriaster</v>
      </c>
      <c r="H1222" t="s">
        <v>1159</v>
      </c>
      <c r="I1222" t="str">
        <f>HYPERLINK("http://www.ncbi.nlm.nih.gov/protein/BAD02929.1","estrogen receptor beta")</f>
        <v>estrogen receptor beta</v>
      </c>
      <c r="J1222" t="s">
        <v>1261</v>
      </c>
      <c r="K1222">
        <v>56.23</v>
      </c>
      <c r="L1222" t="s">
        <v>25</v>
      </c>
      <c r="M1222">
        <v>157</v>
      </c>
      <c r="N1222">
        <v>62.55</v>
      </c>
      <c r="O1222">
        <v>10.93</v>
      </c>
      <c r="P1222" t="s">
        <v>20</v>
      </c>
      <c r="Q1222" t="s">
        <v>1262</v>
      </c>
      <c r="R1222" t="s">
        <v>20</v>
      </c>
      <c r="S1222" t="str">
        <f>HYPERLINK("https://cfpub.epa.gov/ecotox/explore.cfm?ncbi=7943","Explore in ECOTOX")</f>
        <v>Explore in ECOTOX</v>
      </c>
    </row>
    <row r="1223" spans="1:19" x14ac:dyDescent="0.25">
      <c r="A1223">
        <v>6</v>
      </c>
      <c r="B1223" t="str">
        <f>HYPERLINK("http://www.ncbi.nlm.nih.gov/protein/XP_023331701.1","XP_023331701.1")</f>
        <v>XP_023331701.1</v>
      </c>
      <c r="C1223">
        <v>30734</v>
      </c>
      <c r="D1223" t="str">
        <f>HYPERLINK("http://www.ncbi.nlm.nih.gov/Taxonomy/Browser/wwwtax.cgi?mode=Info&amp;id=88015&amp;lvl=3&amp;lin=f&amp;keep=1&amp;srchmode=1&amp;unlock","88015")</f>
        <v>88015</v>
      </c>
      <c r="E1223" t="s">
        <v>760</v>
      </c>
      <c r="F1223" t="s">
        <v>760</v>
      </c>
      <c r="G1223" t="str">
        <f>HYPERLINK("http://www.ncbi.nlm.nih.gov/Taxonomy/Browser/wwwtax.cgi?mode=Info&amp;id=88015&amp;lvl=3&amp;lin=f&amp;keep=1&amp;srchmode=1&amp;unlock","Eurytemora affinis")</f>
        <v>Eurytemora affinis</v>
      </c>
      <c r="H1223" t="s">
        <v>778</v>
      </c>
      <c r="I1223" t="str">
        <f>HYPERLINK("http://www.ncbi.nlm.nih.gov/protein/XP_023331701.1","uncharacterized protein LOC111703860 isoform X2")</f>
        <v>uncharacterized protein LOC111703860 isoform X2</v>
      </c>
      <c r="J1223" t="s">
        <v>1261</v>
      </c>
      <c r="K1223">
        <v>56.23</v>
      </c>
      <c r="L1223" t="s">
        <v>25</v>
      </c>
      <c r="M1223">
        <v>157</v>
      </c>
      <c r="N1223">
        <v>62.55</v>
      </c>
      <c r="O1223">
        <v>10.93</v>
      </c>
      <c r="P1223" t="s">
        <v>25</v>
      </c>
      <c r="Q1223" t="s">
        <v>1262</v>
      </c>
      <c r="R1223" t="s">
        <v>20</v>
      </c>
      <c r="S1223" t="str">
        <f>HYPERLINK("https://cfpub.epa.gov/ecotox/explore.cfm?ncbi=88015","Explore in ECOTOX")</f>
        <v>Explore in ECOTOX</v>
      </c>
    </row>
    <row r="1224" spans="1:19" x14ac:dyDescent="0.25">
      <c r="A1224">
        <v>6</v>
      </c>
      <c r="B1224" t="str">
        <f>HYPERLINK("http://www.ncbi.nlm.nih.gov/protein/KAG1665017.1","KAG1665017.1")</f>
        <v>KAG1665017.1</v>
      </c>
      <c r="C1224">
        <v>28507</v>
      </c>
      <c r="D1224" t="str">
        <f>HYPERLINK("http://www.ncbi.nlm.nih.gov/Taxonomy/Browser/wwwtax.cgi?mode=Info&amp;id=424472&amp;lvl=3&amp;lin=f&amp;keep=1&amp;srchmode=1&amp;unlock","424472")</f>
        <v>424472</v>
      </c>
      <c r="E1224" t="s">
        <v>1179</v>
      </c>
      <c r="F1224" t="s">
        <v>1179</v>
      </c>
      <c r="G1224" t="str">
        <f>HYPERLINK("http://www.ncbi.nlm.nih.gov/Taxonomy/Browser/wwwtax.cgi?mode=Info&amp;id=424472&amp;lvl=3&amp;lin=f&amp;keep=1&amp;srchmode=1&amp;unlock","Nymphon striatum")</f>
        <v>Nymphon striatum</v>
      </c>
      <c r="H1224" t="s">
        <v>1180</v>
      </c>
      <c r="I1224" t="str">
        <f>HYPERLINK("http://www.ncbi.nlm.nih.gov/protein/KAG1665017.1","Estrogen-related receptor gamma")</f>
        <v>Estrogen-related receptor gamma</v>
      </c>
      <c r="J1224" t="s">
        <v>1261</v>
      </c>
      <c r="K1224">
        <v>56.23</v>
      </c>
      <c r="L1224" t="s">
        <v>25</v>
      </c>
      <c r="M1224">
        <v>157</v>
      </c>
      <c r="N1224">
        <v>62.55</v>
      </c>
      <c r="O1224">
        <v>10.93</v>
      </c>
      <c r="P1224" t="s">
        <v>25</v>
      </c>
      <c r="Q1224" t="s">
        <v>1262</v>
      </c>
      <c r="R1224" t="s">
        <v>20</v>
      </c>
      <c r="S1224" t="str">
        <f>HYPERLINK("https://cfpub.epa.gov/ecotox/explore.cfm?ncbi=424472","Explore in ECOTOX")</f>
        <v>Explore in ECOTOX</v>
      </c>
    </row>
    <row r="1225" spans="1:19" x14ac:dyDescent="0.25">
      <c r="A1225">
        <v>6</v>
      </c>
      <c r="B1225" t="str">
        <f>HYPERLINK("http://www.ncbi.nlm.nih.gov/protein/NP_729340.1","NP_729340.1")</f>
        <v>NP_729340.1</v>
      </c>
      <c r="C1225">
        <v>112894</v>
      </c>
      <c r="D1225" t="str">
        <f>HYPERLINK("http://www.ncbi.nlm.nih.gov/Taxonomy/Browser/wwwtax.cgi?mode=Info&amp;id=7227&amp;lvl=3&amp;lin=f&amp;keep=1&amp;srchmode=1&amp;unlock","7227")</f>
        <v>7227</v>
      </c>
      <c r="E1225" t="s">
        <v>698</v>
      </c>
      <c r="F1225" t="s">
        <v>698</v>
      </c>
      <c r="G1225" t="str">
        <f>HYPERLINK("http://www.ncbi.nlm.nih.gov/Taxonomy/Browser/wwwtax.cgi?mode=Info&amp;id=7227&amp;lvl=3&amp;lin=f&amp;keep=1&amp;srchmode=1&amp;unlock","Drosophila melanogaster")</f>
        <v>Drosophila melanogaster</v>
      </c>
      <c r="H1225" t="s">
        <v>944</v>
      </c>
      <c r="I1225" t="str">
        <f>HYPERLINK("http://www.ncbi.nlm.nih.gov/protein/NP_729340.1","estrogen-related receptor, isoform A")</f>
        <v>estrogen-related receptor, isoform A</v>
      </c>
      <c r="J1225" t="s">
        <v>1261</v>
      </c>
      <c r="K1225">
        <v>56.23</v>
      </c>
      <c r="L1225" t="s">
        <v>25</v>
      </c>
      <c r="M1225">
        <v>157</v>
      </c>
      <c r="N1225">
        <v>62.55</v>
      </c>
      <c r="O1225">
        <v>10.93</v>
      </c>
      <c r="P1225" t="s">
        <v>25</v>
      </c>
      <c r="Q1225" t="s">
        <v>1262</v>
      </c>
      <c r="R1225" t="s">
        <v>20</v>
      </c>
      <c r="S1225" t="str">
        <f>HYPERLINK("https://cfpub.epa.gov/ecotox/explore.cfm?ncbi=7227","Explore in ECOTOX")</f>
        <v>Explore in ECOTOX</v>
      </c>
    </row>
    <row r="1226" spans="1:19" x14ac:dyDescent="0.25">
      <c r="A1226">
        <v>6</v>
      </c>
      <c r="B1226" t="str">
        <f>HYPERLINK("http://www.ncbi.nlm.nih.gov/protein/XP_026833630.1","XP_026833630.1")</f>
        <v>XP_026833630.1</v>
      </c>
      <c r="C1226">
        <v>42790</v>
      </c>
      <c r="D1226" t="str">
        <f>HYPERLINK("http://www.ncbi.nlm.nih.gov/Taxonomy/Browser/wwwtax.cgi?mode=Info&amp;id=7220&amp;lvl=3&amp;lin=f&amp;keep=1&amp;srchmode=1&amp;unlock","7220")</f>
        <v>7220</v>
      </c>
      <c r="E1226" t="s">
        <v>698</v>
      </c>
      <c r="F1226" t="s">
        <v>698</v>
      </c>
      <c r="G1226" t="str">
        <f>HYPERLINK("http://www.ncbi.nlm.nih.gov/Taxonomy/Browser/wwwtax.cgi?mode=Info&amp;id=7220&amp;lvl=3&amp;lin=f&amp;keep=1&amp;srchmode=1&amp;unlock","Drosophila erecta")</f>
        <v>Drosophila erecta</v>
      </c>
      <c r="H1226" t="s">
        <v>753</v>
      </c>
      <c r="I1226" t="str">
        <f>HYPERLINK("http://www.ncbi.nlm.nih.gov/protein/XP_026833630.1","steroid hormone receptor ERR2 isoform X1")</f>
        <v>steroid hormone receptor ERR2 isoform X1</v>
      </c>
      <c r="J1226" t="s">
        <v>1261</v>
      </c>
      <c r="K1226">
        <v>56.23</v>
      </c>
      <c r="L1226" t="s">
        <v>25</v>
      </c>
      <c r="M1226">
        <v>157</v>
      </c>
      <c r="N1226">
        <v>62.55</v>
      </c>
      <c r="O1226">
        <v>10.93</v>
      </c>
      <c r="P1226" t="s">
        <v>25</v>
      </c>
      <c r="Q1226" t="s">
        <v>1262</v>
      </c>
      <c r="R1226" t="s">
        <v>20</v>
      </c>
      <c r="S1226" t="str">
        <f>HYPERLINK("https://cfpub.epa.gov/ecotox/explore.cfm?ncbi=7220","Explore in ECOTOX")</f>
        <v>Explore in ECOTOX</v>
      </c>
    </row>
    <row r="1227" spans="1:19" x14ac:dyDescent="0.25">
      <c r="A1227">
        <v>6</v>
      </c>
      <c r="B1227" t="str">
        <f>HYPERLINK("http://www.ncbi.nlm.nih.gov/protein/XP_002084068.2","XP_002084068.2")</f>
        <v>XP_002084068.2</v>
      </c>
      <c r="C1227">
        <v>72158</v>
      </c>
      <c r="D1227" t="str">
        <f>HYPERLINK("http://www.ncbi.nlm.nih.gov/Taxonomy/Browser/wwwtax.cgi?mode=Info&amp;id=7240&amp;lvl=3&amp;lin=f&amp;keep=1&amp;srchmode=1&amp;unlock","7240")</f>
        <v>7240</v>
      </c>
      <c r="E1227" t="s">
        <v>698</v>
      </c>
      <c r="F1227" t="s">
        <v>698</v>
      </c>
      <c r="G1227" t="str">
        <f>HYPERLINK("http://www.ncbi.nlm.nih.gov/Taxonomy/Browser/wwwtax.cgi?mode=Info&amp;id=7240&amp;lvl=3&amp;lin=f&amp;keep=1&amp;srchmode=1&amp;unlock","Drosophila simulans")</f>
        <v>Drosophila simulans</v>
      </c>
      <c r="H1227" t="s">
        <v>753</v>
      </c>
      <c r="I1227" t="str">
        <f>HYPERLINK("http://www.ncbi.nlm.nih.gov/protein/XP_002084068.2","steroid hormone receptor ERR2 isoform X1")</f>
        <v>steroid hormone receptor ERR2 isoform X1</v>
      </c>
      <c r="J1227" t="s">
        <v>1261</v>
      </c>
      <c r="K1227">
        <v>56.23</v>
      </c>
      <c r="L1227" t="s">
        <v>25</v>
      </c>
      <c r="M1227">
        <v>157</v>
      </c>
      <c r="N1227">
        <v>62.55</v>
      </c>
      <c r="O1227">
        <v>10.93</v>
      </c>
      <c r="P1227" t="s">
        <v>25</v>
      </c>
      <c r="Q1227" t="s">
        <v>1262</v>
      </c>
      <c r="R1227" t="s">
        <v>20</v>
      </c>
      <c r="S1227" t="str">
        <f>HYPERLINK("https://cfpub.epa.gov/ecotox/explore.cfm?ncbi=7240","Explore in ECOTOX")</f>
        <v>Explore in ECOTOX</v>
      </c>
    </row>
    <row r="1228" spans="1:19" x14ac:dyDescent="0.25">
      <c r="A1228">
        <v>6</v>
      </c>
      <c r="B1228" t="str">
        <f>HYPERLINK("http://www.ncbi.nlm.nih.gov/protein/XP_033157227.1","XP_033157227.1")</f>
        <v>XP_033157227.1</v>
      </c>
      <c r="C1228">
        <v>24096</v>
      </c>
      <c r="D1228" t="str">
        <f>HYPERLINK("http://www.ncbi.nlm.nih.gov/Taxonomy/Browser/wwwtax.cgi?mode=Info&amp;id=7226&amp;lvl=3&amp;lin=f&amp;keep=1&amp;srchmode=1&amp;unlock","7226")</f>
        <v>7226</v>
      </c>
      <c r="E1228" t="s">
        <v>698</v>
      </c>
      <c r="F1228" t="s">
        <v>698</v>
      </c>
      <c r="G1228" t="str">
        <f>HYPERLINK("http://www.ncbi.nlm.nih.gov/Taxonomy/Browser/wwwtax.cgi?mode=Info&amp;id=7226&amp;lvl=3&amp;lin=f&amp;keep=1&amp;srchmode=1&amp;unlock","Drosophila mauritiana")</f>
        <v>Drosophila mauritiana</v>
      </c>
      <c r="H1228" t="s">
        <v>753</v>
      </c>
      <c r="I1228" t="str">
        <f>HYPERLINK("http://www.ncbi.nlm.nih.gov/protein/XP_033157227.1","steroid hormone receptor ERR2 isoform X1")</f>
        <v>steroid hormone receptor ERR2 isoform X1</v>
      </c>
      <c r="J1228" t="s">
        <v>1261</v>
      </c>
      <c r="K1228">
        <v>56.23</v>
      </c>
      <c r="L1228" t="s">
        <v>25</v>
      </c>
      <c r="M1228">
        <v>157</v>
      </c>
      <c r="N1228">
        <v>62.55</v>
      </c>
      <c r="O1228">
        <v>10.93</v>
      </c>
      <c r="P1228" t="s">
        <v>25</v>
      </c>
      <c r="Q1228" t="s">
        <v>1262</v>
      </c>
      <c r="R1228" t="s">
        <v>20</v>
      </c>
      <c r="S1228" t="str">
        <f>HYPERLINK("https://cfpub.epa.gov/ecotox/explore.cfm?ncbi=7226","Explore in ECOTOX")</f>
        <v>Explore in ECOTOX</v>
      </c>
    </row>
    <row r="1229" spans="1:19" x14ac:dyDescent="0.25">
      <c r="A1229">
        <v>6</v>
      </c>
      <c r="B1229" t="str">
        <f>HYPERLINK("http://www.ncbi.nlm.nih.gov/protein/XP_002029675.1","XP_002029675.1")</f>
        <v>XP_002029675.1</v>
      </c>
      <c r="C1229">
        <v>40453</v>
      </c>
      <c r="D1229" t="str">
        <f>HYPERLINK("http://www.ncbi.nlm.nih.gov/Taxonomy/Browser/wwwtax.cgi?mode=Info&amp;id=7238&amp;lvl=3&amp;lin=f&amp;keep=1&amp;srchmode=1&amp;unlock","7238")</f>
        <v>7238</v>
      </c>
      <c r="E1229" t="s">
        <v>698</v>
      </c>
      <c r="F1229" t="s">
        <v>698</v>
      </c>
      <c r="G1229" t="str">
        <f>HYPERLINK("http://www.ncbi.nlm.nih.gov/Taxonomy/Browser/wwwtax.cgi?mode=Info&amp;id=7238&amp;lvl=3&amp;lin=f&amp;keep=1&amp;srchmode=1&amp;unlock","Drosophila sechellia")</f>
        <v>Drosophila sechellia</v>
      </c>
      <c r="H1229" t="s">
        <v>753</v>
      </c>
      <c r="I1229" t="str">
        <f>HYPERLINK("http://www.ncbi.nlm.nih.gov/protein/XP_002029675.1","steroid hormone receptor ERR2 isoform X1")</f>
        <v>steroid hormone receptor ERR2 isoform X1</v>
      </c>
      <c r="J1229" t="s">
        <v>1261</v>
      </c>
      <c r="K1229">
        <v>56.23</v>
      </c>
      <c r="L1229" t="s">
        <v>25</v>
      </c>
      <c r="M1229">
        <v>157</v>
      </c>
      <c r="N1229">
        <v>62.55</v>
      </c>
      <c r="O1229">
        <v>10.93</v>
      </c>
      <c r="P1229" t="s">
        <v>25</v>
      </c>
      <c r="Q1229" t="s">
        <v>1262</v>
      </c>
      <c r="R1229" t="s">
        <v>20</v>
      </c>
      <c r="S1229" t="str">
        <f>HYPERLINK("https://cfpub.epa.gov/ecotox/explore.cfm?ncbi=7238","Explore in ECOTOX")</f>
        <v>Explore in ECOTOX</v>
      </c>
    </row>
    <row r="1230" spans="1:19" x14ac:dyDescent="0.25">
      <c r="A1230">
        <v>6</v>
      </c>
      <c r="B1230" t="str">
        <f>HYPERLINK("http://www.ncbi.nlm.nih.gov/protein/XP_002094133.1","XP_002094133.1")</f>
        <v>XP_002094133.1</v>
      </c>
      <c r="C1230">
        <v>50596</v>
      </c>
      <c r="D1230" t="str">
        <f>HYPERLINK("http://www.ncbi.nlm.nih.gov/Taxonomy/Browser/wwwtax.cgi?mode=Info&amp;id=7245&amp;lvl=3&amp;lin=f&amp;keep=1&amp;srchmode=1&amp;unlock","7245")</f>
        <v>7245</v>
      </c>
      <c r="E1230" t="s">
        <v>698</v>
      </c>
      <c r="F1230" t="s">
        <v>698</v>
      </c>
      <c r="G1230" t="str">
        <f>HYPERLINK("http://www.ncbi.nlm.nih.gov/Taxonomy/Browser/wwwtax.cgi?mode=Info&amp;id=7245&amp;lvl=3&amp;lin=f&amp;keep=1&amp;srchmode=1&amp;unlock","Drosophila yakuba")</f>
        <v>Drosophila yakuba</v>
      </c>
      <c r="H1230" t="s">
        <v>753</v>
      </c>
      <c r="I1230" t="str">
        <f>HYPERLINK("http://www.ncbi.nlm.nih.gov/protein/XP_002094133.1","steroid hormone receptor ERR2 isoform X1")</f>
        <v>steroid hormone receptor ERR2 isoform X1</v>
      </c>
      <c r="J1230" t="s">
        <v>1261</v>
      </c>
      <c r="K1230">
        <v>56.23</v>
      </c>
      <c r="L1230" t="s">
        <v>25</v>
      </c>
      <c r="M1230">
        <v>157</v>
      </c>
      <c r="N1230">
        <v>62.55</v>
      </c>
      <c r="O1230">
        <v>10.93</v>
      </c>
      <c r="P1230" t="s">
        <v>25</v>
      </c>
      <c r="Q1230" t="s">
        <v>1262</v>
      </c>
      <c r="R1230" t="s">
        <v>20</v>
      </c>
      <c r="S1230" t="str">
        <f>HYPERLINK("https://cfpub.epa.gov/ecotox/explore.cfm?ncbi=7245","Explore in ECOTOX")</f>
        <v>Explore in ECOTOX</v>
      </c>
    </row>
    <row r="1231" spans="1:19" x14ac:dyDescent="0.25">
      <c r="A1231">
        <v>6</v>
      </c>
      <c r="B1231" t="str">
        <f>HYPERLINK("http://www.ncbi.nlm.nih.gov/protein/XP_039488796.1","XP_039488796.1")</f>
        <v>XP_039488796.1</v>
      </c>
      <c r="C1231">
        <v>24792</v>
      </c>
      <c r="D1231" t="str">
        <f>HYPERLINK("http://www.ncbi.nlm.nih.gov/Taxonomy/Browser/wwwtax.cgi?mode=Info&amp;id=129105&amp;lvl=3&amp;lin=f&amp;keep=1&amp;srchmode=1&amp;unlock","129105")</f>
        <v>129105</v>
      </c>
      <c r="E1231" t="s">
        <v>698</v>
      </c>
      <c r="F1231" t="s">
        <v>698</v>
      </c>
      <c r="G1231" t="str">
        <f>HYPERLINK("http://www.ncbi.nlm.nih.gov/Taxonomy/Browser/wwwtax.cgi?mode=Info&amp;id=129105&amp;lvl=3&amp;lin=f&amp;keep=1&amp;srchmode=1&amp;unlock","Drosophila santomea")</f>
        <v>Drosophila santomea</v>
      </c>
      <c r="H1231" t="s">
        <v>753</v>
      </c>
      <c r="I1231" t="str">
        <f>HYPERLINK("http://www.ncbi.nlm.nih.gov/protein/XP_039488796.1","steroid hormone receptor ERR2 isoform X1")</f>
        <v>steroid hormone receptor ERR2 isoform X1</v>
      </c>
      <c r="J1231" t="s">
        <v>1261</v>
      </c>
      <c r="K1231">
        <v>56.23</v>
      </c>
      <c r="L1231" t="s">
        <v>25</v>
      </c>
      <c r="M1231">
        <v>157</v>
      </c>
      <c r="N1231">
        <v>62.55</v>
      </c>
      <c r="O1231">
        <v>10.93</v>
      </c>
      <c r="P1231" t="s">
        <v>25</v>
      </c>
      <c r="Q1231" t="s">
        <v>1262</v>
      </c>
      <c r="R1231" t="s">
        <v>20</v>
      </c>
      <c r="S1231" t="str">
        <f>HYPERLINK("https://cfpub.epa.gov/ecotox/explore.cfm?ncbi=129105","Explore in ECOTOX")</f>
        <v>Explore in ECOTOX</v>
      </c>
    </row>
    <row r="1232" spans="1:19" x14ac:dyDescent="0.25">
      <c r="A1232">
        <v>6</v>
      </c>
      <c r="B1232" t="str">
        <f>HYPERLINK("http://www.ncbi.nlm.nih.gov/protein/KFB42164.1","KFB42164.1")</f>
        <v>KFB42164.1</v>
      </c>
      <c r="C1232">
        <v>19893</v>
      </c>
      <c r="D1232" t="str">
        <f>HYPERLINK("http://www.ncbi.nlm.nih.gov/Taxonomy/Browser/wwwtax.cgi?mode=Info&amp;id=74873&amp;lvl=3&amp;lin=f&amp;keep=1&amp;srchmode=1&amp;unlock","74873")</f>
        <v>74873</v>
      </c>
      <c r="E1232" t="s">
        <v>698</v>
      </c>
      <c r="F1232" t="s">
        <v>698</v>
      </c>
      <c r="G1232" t="str">
        <f>HYPERLINK("http://www.ncbi.nlm.nih.gov/Taxonomy/Browser/wwwtax.cgi?mode=Info&amp;id=74873&amp;lvl=3&amp;lin=f&amp;keep=1&amp;srchmode=1&amp;unlock","Anopheles sinensis")</f>
        <v>Anopheles sinensis</v>
      </c>
      <c r="H1232" t="s">
        <v>758</v>
      </c>
      <c r="I1232" t="str">
        <f>HYPERLINK("http://www.ncbi.nlm.nih.gov/protein/KFB42164.1","AGAP002095-PA-like protein")</f>
        <v>AGAP002095-PA-like protein</v>
      </c>
      <c r="J1232" t="s">
        <v>1261</v>
      </c>
      <c r="K1232">
        <v>56.23</v>
      </c>
      <c r="L1232" t="s">
        <v>25</v>
      </c>
      <c r="M1232">
        <v>157</v>
      </c>
      <c r="N1232">
        <v>62.55</v>
      </c>
      <c r="O1232">
        <v>10.93</v>
      </c>
      <c r="P1232" t="s">
        <v>25</v>
      </c>
      <c r="Q1232" t="s">
        <v>1262</v>
      </c>
      <c r="R1232" t="s">
        <v>20</v>
      </c>
      <c r="S1232" t="str">
        <f>HYPERLINK("https://cfpub.epa.gov/ecotox/explore.cfm?ncbi=74873","Explore in ECOTOX")</f>
        <v>Explore in ECOTOX</v>
      </c>
    </row>
    <row r="1233" spans="1:19" x14ac:dyDescent="0.25">
      <c r="A1233">
        <v>6</v>
      </c>
      <c r="B1233" t="str">
        <f>HYPERLINK("http://www.ncbi.nlm.nih.gov/protein/KAF4514233.1","KAF4514233.1")</f>
        <v>KAF4514233.1</v>
      </c>
      <c r="C1233">
        <v>18568</v>
      </c>
      <c r="D1233" t="str">
        <f>HYPERLINK("http://www.ncbi.nlm.nih.gov/Taxonomy/Browser/wwwtax.cgi?mode=Info&amp;id=1049336&amp;lvl=3&amp;lin=f&amp;keep=1&amp;srchmode=1&amp;unlock","1049336")</f>
        <v>1049336</v>
      </c>
      <c r="E1233" t="s">
        <v>698</v>
      </c>
      <c r="F1233" t="s">
        <v>698</v>
      </c>
      <c r="G1233" t="str">
        <f>HYPERLINK("http://www.ncbi.nlm.nih.gov/Taxonomy/Browser/wwwtax.cgi?mode=Info&amp;id=1049336&amp;lvl=3&amp;lin=f&amp;keep=1&amp;srchmode=1&amp;unlock","Ephemera danica")</f>
        <v>Ephemera danica</v>
      </c>
      <c r="H1233" t="s">
        <v>1198</v>
      </c>
      <c r="I1233" t="str">
        <f>HYPERLINK("http://www.ncbi.nlm.nih.gov/protein/KAF4514233.1","hypothetical protein B566_EDAN019510")</f>
        <v>hypothetical protein B566_EDAN019510</v>
      </c>
      <c r="J1233" t="s">
        <v>1261</v>
      </c>
      <c r="K1233">
        <v>56.23</v>
      </c>
      <c r="L1233" t="s">
        <v>25</v>
      </c>
      <c r="M1233">
        <v>157</v>
      </c>
      <c r="N1233">
        <v>62.55</v>
      </c>
      <c r="O1233">
        <v>10.93</v>
      </c>
      <c r="P1233" t="s">
        <v>25</v>
      </c>
      <c r="Q1233" t="s">
        <v>1262</v>
      </c>
      <c r="R1233" t="s">
        <v>20</v>
      </c>
      <c r="S1233" t="str">
        <f>HYPERLINK("https://cfpub.epa.gov/ecotox/explore.cfm?ncbi=1049336","Explore in ECOTOX")</f>
        <v>Explore in ECOTOX</v>
      </c>
    </row>
    <row r="1234" spans="1:19" x14ac:dyDescent="0.25">
      <c r="A1234">
        <v>6</v>
      </c>
      <c r="B1234" t="str">
        <f>HYPERLINK("http://www.ncbi.nlm.nih.gov/protein/QJG66098.1","QJG66098.1")</f>
        <v>QJG66098.1</v>
      </c>
      <c r="C1234">
        <v>127</v>
      </c>
      <c r="D1234" t="str">
        <f>HYPERLINK("http://www.ncbi.nlm.nih.gov/Taxonomy/Browser/wwwtax.cgi?mode=Info&amp;id=242395&amp;lvl=3&amp;lin=f&amp;keep=1&amp;srchmode=1&amp;unlock","242395")</f>
        <v>242395</v>
      </c>
      <c r="E1234" t="s">
        <v>1197</v>
      </c>
      <c r="F1234" t="s">
        <v>1197</v>
      </c>
      <c r="G1234" t="str">
        <f>HYPERLINK("http://www.ncbi.nlm.nih.gov/Taxonomy/Browser/wwwtax.cgi?mode=Info&amp;id=242395&amp;lvl=3&amp;lin=f&amp;keep=1&amp;srchmode=1&amp;unlock","Xenoturbella bocki")</f>
        <v>Xenoturbella bocki</v>
      </c>
      <c r="H1234" t="s">
        <v>1186</v>
      </c>
      <c r="I1234" t="str">
        <f>HYPERLINK("http://www.ncbi.nlm.nih.gov/protein/QJG66098.1","retinoid X receptor")</f>
        <v>retinoid X receptor</v>
      </c>
      <c r="J1234" t="s">
        <v>1261</v>
      </c>
      <c r="K1234">
        <v>56.23</v>
      </c>
      <c r="L1234" t="s">
        <v>25</v>
      </c>
      <c r="M1234">
        <v>157</v>
      </c>
      <c r="N1234">
        <v>62.55</v>
      </c>
      <c r="O1234">
        <v>10.93</v>
      </c>
      <c r="P1234" t="s">
        <v>25</v>
      </c>
      <c r="Q1234" t="s">
        <v>1262</v>
      </c>
      <c r="R1234" t="s">
        <v>20</v>
      </c>
      <c r="S1234" t="str">
        <f>HYPERLINK("https://cfpub.epa.gov/ecotox/explore.cfm?ncbi=242395","Explore in ECOTOX")</f>
        <v>Explore in ECOTOX</v>
      </c>
    </row>
    <row r="1235" spans="1:19" x14ac:dyDescent="0.25">
      <c r="A1235">
        <v>6</v>
      </c>
      <c r="B1235" t="str">
        <f>HYPERLINK("http://www.ncbi.nlm.nih.gov/protein/ANP24206.1","ANP24206.1")</f>
        <v>ANP24206.1</v>
      </c>
      <c r="C1235">
        <v>610</v>
      </c>
      <c r="D1235" t="str">
        <f>HYPERLINK("http://www.ncbi.nlm.nih.gov/Taxonomy/Browser/wwwtax.cgi?mode=Info&amp;id=7740&amp;lvl=3&amp;lin=f&amp;keep=1&amp;srchmode=1&amp;unlock","7740")</f>
        <v>7740</v>
      </c>
      <c r="E1235" t="s">
        <v>725</v>
      </c>
      <c r="F1235" t="s">
        <v>725</v>
      </c>
      <c r="G1235" t="str">
        <f>HYPERLINK("http://www.ncbi.nlm.nih.gov/Taxonomy/Browser/wwwtax.cgi?mode=Info&amp;id=7740&amp;lvl=3&amp;lin=f&amp;keep=1&amp;srchmode=1&amp;unlock","Branchiostoma lanceolatum")</f>
        <v>Branchiostoma lanceolatum</v>
      </c>
      <c r="H1235" t="s">
        <v>1171</v>
      </c>
      <c r="I1235" t="str">
        <f>HYPERLINK("http://www.ncbi.nlm.nih.gov/protein/ANP24206.1","retinoid X receptor")</f>
        <v>retinoid X receptor</v>
      </c>
      <c r="J1235" t="s">
        <v>1261</v>
      </c>
      <c r="K1235">
        <v>55.84</v>
      </c>
      <c r="L1235" t="s">
        <v>25</v>
      </c>
      <c r="M1235">
        <v>157</v>
      </c>
      <c r="N1235">
        <v>62.55</v>
      </c>
      <c r="O1235">
        <v>10.86</v>
      </c>
      <c r="P1235" t="s">
        <v>25</v>
      </c>
      <c r="Q1235" t="s">
        <v>1262</v>
      </c>
      <c r="R1235" t="s">
        <v>20</v>
      </c>
      <c r="S1235" t="str">
        <f>HYPERLINK("https://cfpub.epa.gov/ecotox/explore.cfm?ncbi=7740","Explore in ECOTOX")</f>
        <v>Explore in ECOTOX</v>
      </c>
    </row>
    <row r="1236" spans="1:19" x14ac:dyDescent="0.25">
      <c r="A1236">
        <v>6</v>
      </c>
      <c r="B1236" t="str">
        <f>HYPERLINK("http://www.ncbi.nlm.nih.gov/protein/ATB56337.1","ATB56337.1")</f>
        <v>ATB56337.1</v>
      </c>
      <c r="C1236">
        <v>189</v>
      </c>
      <c r="D1236" t="str">
        <f>HYPERLINK("http://www.ncbi.nlm.nih.gov/Taxonomy/Browser/wwwtax.cgi?mode=Info&amp;id=50023&amp;lvl=3&amp;lin=f&amp;keep=1&amp;srchmode=1&amp;unlock","50023")</f>
        <v>50023</v>
      </c>
      <c r="E1236" t="s">
        <v>700</v>
      </c>
      <c r="F1236" t="s">
        <v>700</v>
      </c>
      <c r="G1236" t="str">
        <f>HYPERLINK("http://www.ncbi.nlm.nih.gov/Taxonomy/Browser/wwwtax.cgi?mode=Info&amp;id=50023&amp;lvl=3&amp;lin=f&amp;keep=1&amp;srchmode=1&amp;unlock","Panonychus citri")</f>
        <v>Panonychus citri</v>
      </c>
      <c r="H1236" t="s">
        <v>1189</v>
      </c>
      <c r="I1236" t="str">
        <f>HYPERLINK("http://www.ncbi.nlm.nih.gov/protein/ATB56337.1","retinoid-X-receptor 1")</f>
        <v>retinoid-X-receptor 1</v>
      </c>
      <c r="J1236" t="s">
        <v>1261</v>
      </c>
      <c r="K1236">
        <v>55.84</v>
      </c>
      <c r="L1236" t="s">
        <v>25</v>
      </c>
      <c r="M1236">
        <v>157</v>
      </c>
      <c r="N1236">
        <v>62.55</v>
      </c>
      <c r="O1236">
        <v>10.86</v>
      </c>
      <c r="P1236" t="s">
        <v>25</v>
      </c>
      <c r="Q1236" t="s">
        <v>1262</v>
      </c>
      <c r="R1236" t="s">
        <v>20</v>
      </c>
      <c r="S1236" t="str">
        <f>HYPERLINK("https://cfpub.epa.gov/ecotox/explore.cfm?ncbi=50023","Explore in ECOTOX")</f>
        <v>Explore in ECOTOX</v>
      </c>
    </row>
    <row r="1237" spans="1:19" x14ac:dyDescent="0.25">
      <c r="A1237">
        <v>6</v>
      </c>
      <c r="B1237" t="str">
        <f>HYPERLINK("http://www.ncbi.nlm.nih.gov/protein/XP_012558006.1","XP_012558006.1")</f>
        <v>XP_012558006.1</v>
      </c>
      <c r="C1237">
        <v>23181</v>
      </c>
      <c r="D1237" t="str">
        <f>HYPERLINK("http://www.ncbi.nlm.nih.gov/Taxonomy/Browser/wwwtax.cgi?mode=Info&amp;id=6087&amp;lvl=3&amp;lin=f&amp;keep=1&amp;srchmode=1&amp;unlock","6087")</f>
        <v>6087</v>
      </c>
      <c r="E1237" t="s">
        <v>1214</v>
      </c>
      <c r="F1237" t="s">
        <v>1214</v>
      </c>
      <c r="G1237" t="str">
        <f>HYPERLINK("http://www.ncbi.nlm.nih.gov/Taxonomy/Browser/wwwtax.cgi?mode=Info&amp;id=6087&amp;lvl=3&amp;lin=f&amp;keep=1&amp;srchmode=1&amp;unlock","Hydra vulgaris")</f>
        <v>Hydra vulgaris</v>
      </c>
      <c r="H1237" t="s">
        <v>1215</v>
      </c>
      <c r="I1237" t="str">
        <f>HYPERLINK("http://www.ncbi.nlm.nih.gov/protein/XP_012558006.1","PREDICTED: retinoic acid receptor RXR-alpha-B-like")</f>
        <v>PREDICTED: retinoic acid receptor RXR-alpha-B-like</v>
      </c>
      <c r="J1237" t="s">
        <v>1261</v>
      </c>
      <c r="K1237">
        <v>55.84</v>
      </c>
      <c r="L1237" t="s">
        <v>25</v>
      </c>
      <c r="M1237">
        <v>157</v>
      </c>
      <c r="N1237">
        <v>62.55</v>
      </c>
      <c r="O1237">
        <v>10.86</v>
      </c>
      <c r="P1237" t="s">
        <v>25</v>
      </c>
      <c r="Q1237" t="s">
        <v>1262</v>
      </c>
      <c r="R1237" t="s">
        <v>20</v>
      </c>
      <c r="S1237" t="str">
        <f>HYPERLINK("https://cfpub.epa.gov/ecotox/explore.cfm?ncbi=6087","Explore in ECOTOX")</f>
        <v>Explore in ECOTOX</v>
      </c>
    </row>
    <row r="1238" spans="1:19" x14ac:dyDescent="0.25">
      <c r="A1238">
        <v>6</v>
      </c>
      <c r="B1238" t="str">
        <f>HYPERLINK("http://www.ncbi.nlm.nih.gov/protein/XP_017074092.1","XP_017074092.1")</f>
        <v>XP_017074092.1</v>
      </c>
      <c r="C1238">
        <v>24307</v>
      </c>
      <c r="D1238" t="str">
        <f>HYPERLINK("http://www.ncbi.nlm.nih.gov/Taxonomy/Browser/wwwtax.cgi?mode=Info&amp;id=29029&amp;lvl=3&amp;lin=f&amp;keep=1&amp;srchmode=1&amp;unlock","29029")</f>
        <v>29029</v>
      </c>
      <c r="E1238" t="s">
        <v>698</v>
      </c>
      <c r="F1238" t="s">
        <v>698</v>
      </c>
      <c r="G1238" t="str">
        <f>HYPERLINK("http://www.ncbi.nlm.nih.gov/Taxonomy/Browser/wwwtax.cgi?mode=Info&amp;id=29029&amp;lvl=3&amp;lin=f&amp;keep=1&amp;srchmode=1&amp;unlock","Drosophila eugracilis")</f>
        <v>Drosophila eugracilis</v>
      </c>
      <c r="H1238" t="s">
        <v>753</v>
      </c>
      <c r="I1238" t="str">
        <f>HYPERLINK("http://www.ncbi.nlm.nih.gov/protein/XP_017074092.1","PREDICTED: steroid hormone receptor ERR2 isoform X1")</f>
        <v>PREDICTED: steroid hormone receptor ERR2 isoform X1</v>
      </c>
      <c r="J1238" t="s">
        <v>1261</v>
      </c>
      <c r="K1238">
        <v>55.45</v>
      </c>
      <c r="L1238" t="s">
        <v>25</v>
      </c>
      <c r="M1238">
        <v>157</v>
      </c>
      <c r="N1238">
        <v>62.55</v>
      </c>
      <c r="O1238">
        <v>10.78</v>
      </c>
      <c r="P1238" t="s">
        <v>25</v>
      </c>
      <c r="Q1238" t="s">
        <v>1262</v>
      </c>
      <c r="R1238" t="s">
        <v>20</v>
      </c>
      <c r="S1238" t="str">
        <f>HYPERLINK("https://cfpub.epa.gov/ecotox/explore.cfm?ncbi=29029","Explore in ECOTOX")</f>
        <v>Explore in ECOTOX</v>
      </c>
    </row>
    <row r="1239" spans="1:19" x14ac:dyDescent="0.25">
      <c r="A1239">
        <v>6</v>
      </c>
      <c r="B1239" t="str">
        <f>HYPERLINK("http://www.ncbi.nlm.nih.gov/protein/QOE77678.1","QOE77678.1")</f>
        <v>QOE77678.1</v>
      </c>
      <c r="C1239">
        <v>211</v>
      </c>
      <c r="D1239" t="str">
        <f>HYPERLINK("http://www.ncbi.nlm.nih.gov/Taxonomy/Browser/wwwtax.cgi?mode=Info&amp;id=263140&amp;lvl=3&amp;lin=f&amp;keep=1&amp;srchmode=1&amp;unlock","263140")</f>
        <v>263140</v>
      </c>
      <c r="E1239" t="s">
        <v>698</v>
      </c>
      <c r="F1239" t="s">
        <v>698</v>
      </c>
      <c r="G1239" t="str">
        <f>HYPERLINK("http://www.ncbi.nlm.nih.gov/Taxonomy/Browser/wwwtax.cgi?mode=Info&amp;id=263140&amp;lvl=3&amp;lin=f&amp;keep=1&amp;srchmode=1&amp;unlock","Sitodiplosis mosellana")</f>
        <v>Sitodiplosis mosellana</v>
      </c>
      <c r="H1239" t="s">
        <v>1224</v>
      </c>
      <c r="I1239" t="str">
        <f>HYPERLINK("http://www.ncbi.nlm.nih.gov/protein/QOE77678.1","ultraspiracle isoform-B")</f>
        <v>ultraspiracle isoform-B</v>
      </c>
      <c r="J1239" t="s">
        <v>1261</v>
      </c>
      <c r="K1239">
        <v>55.45</v>
      </c>
      <c r="L1239" t="s">
        <v>25</v>
      </c>
      <c r="M1239">
        <v>157</v>
      </c>
      <c r="N1239">
        <v>62.55</v>
      </c>
      <c r="O1239">
        <v>10.78</v>
      </c>
      <c r="P1239" t="s">
        <v>25</v>
      </c>
      <c r="Q1239" t="s">
        <v>1262</v>
      </c>
      <c r="R1239" t="s">
        <v>20</v>
      </c>
      <c r="S1239" t="str">
        <f>HYPERLINK("https://cfpub.epa.gov/ecotox/explore.cfm?ncbi=263140","Explore in ECOTOX")</f>
        <v>Explore in ECOTOX</v>
      </c>
    </row>
    <row r="1240" spans="1:19" x14ac:dyDescent="0.25">
      <c r="A1240">
        <v>6</v>
      </c>
      <c r="B1240" t="str">
        <f>HYPERLINK("http://www.ncbi.nlm.nih.gov/protein/AMR55387.1","AMR55387.1")</f>
        <v>AMR55387.1</v>
      </c>
      <c r="C1240">
        <v>53</v>
      </c>
      <c r="D1240" t="str">
        <f>HYPERLINK("http://www.ncbi.nlm.nih.gov/Taxonomy/Browser/wwwtax.cgi?mode=Info&amp;id=153280&amp;lvl=3&amp;lin=f&amp;keep=1&amp;srchmode=1&amp;unlock","153280")</f>
        <v>153280</v>
      </c>
      <c r="E1240" t="s">
        <v>786</v>
      </c>
      <c r="F1240" t="s">
        <v>786</v>
      </c>
      <c r="G1240" t="str">
        <f>HYPERLINK("http://www.ncbi.nlm.nih.gov/Taxonomy/Browser/wwwtax.cgi?mode=Info&amp;id=153280&amp;lvl=3&amp;lin=f&amp;keep=1&amp;srchmode=1&amp;unlock","Sepiella maindroni")</f>
        <v>Sepiella maindroni</v>
      </c>
      <c r="H1240" t="s">
        <v>1158</v>
      </c>
      <c r="I1240" t="str">
        <f>HYPERLINK("http://www.ncbi.nlm.nih.gov/protein/AMR55387.1","estrogen receptor")</f>
        <v>estrogen receptor</v>
      </c>
      <c r="J1240" t="s">
        <v>1261</v>
      </c>
      <c r="K1240">
        <v>55.07</v>
      </c>
      <c r="L1240" t="s">
        <v>25</v>
      </c>
      <c r="M1240">
        <v>157</v>
      </c>
      <c r="N1240">
        <v>62.55</v>
      </c>
      <c r="O1240">
        <v>10.71</v>
      </c>
      <c r="P1240" t="s">
        <v>25</v>
      </c>
      <c r="Q1240" t="s">
        <v>1262</v>
      </c>
      <c r="R1240" t="s">
        <v>20</v>
      </c>
      <c r="S1240" t="str">
        <f>HYPERLINK("https://cfpub.epa.gov/ecotox/explore.cfm?ncbi=153280","Explore in ECOTOX")</f>
        <v>Explore in ECOTOX</v>
      </c>
    </row>
    <row r="1241" spans="1:19" x14ac:dyDescent="0.25">
      <c r="A1241">
        <v>6</v>
      </c>
      <c r="B1241" t="str">
        <f>HYPERLINK("http://www.ncbi.nlm.nih.gov/protein/CAE1287858.1","CAE1287858.1")</f>
        <v>CAE1287858.1</v>
      </c>
      <c r="C1241">
        <v>53695</v>
      </c>
      <c r="D1241" t="str">
        <f>HYPERLINK("http://www.ncbi.nlm.nih.gov/Taxonomy/Browser/wwwtax.cgi?mode=Info&amp;id=158019&amp;lvl=3&amp;lin=f&amp;keep=1&amp;srchmode=1&amp;unlock","158019")</f>
        <v>158019</v>
      </c>
      <c r="E1241" t="s">
        <v>786</v>
      </c>
      <c r="F1241" t="s">
        <v>786</v>
      </c>
      <c r="G1241" t="str">
        <f>HYPERLINK("http://www.ncbi.nlm.nih.gov/Taxonomy/Browser/wwwtax.cgi?mode=Info&amp;id=158019&amp;lvl=3&amp;lin=f&amp;keep=1&amp;srchmode=1&amp;unlock","Sepia pharaonis")</f>
        <v>Sepia pharaonis</v>
      </c>
      <c r="H1241" t="s">
        <v>1158</v>
      </c>
      <c r="I1241" t="str">
        <f>HYPERLINK("http://www.ncbi.nlm.nih.gov/protein/CAE1287858.1","ESR1")</f>
        <v>ESR1</v>
      </c>
      <c r="J1241" t="s">
        <v>1261</v>
      </c>
      <c r="K1241">
        <v>55.07</v>
      </c>
      <c r="L1241" t="s">
        <v>25</v>
      </c>
      <c r="M1241">
        <v>157</v>
      </c>
      <c r="N1241">
        <v>62.55</v>
      </c>
      <c r="O1241">
        <v>10.71</v>
      </c>
      <c r="P1241" t="s">
        <v>25</v>
      </c>
      <c r="Q1241" t="s">
        <v>1262</v>
      </c>
      <c r="R1241" t="s">
        <v>20</v>
      </c>
      <c r="S1241" t="str">
        <f>HYPERLINK("https://cfpub.epa.gov/ecotox/explore.cfm?ncbi=158019","Explore in ECOTOX")</f>
        <v>Explore in ECOTOX</v>
      </c>
    </row>
    <row r="1242" spans="1:19" x14ac:dyDescent="0.25">
      <c r="A1242">
        <v>6</v>
      </c>
      <c r="B1242" t="str">
        <f>HYPERLINK("http://www.ncbi.nlm.nih.gov/protein/XP_028393411.1","XP_028393411.1")</f>
        <v>XP_028393411.1</v>
      </c>
      <c r="C1242">
        <v>28759</v>
      </c>
      <c r="D1242" t="str">
        <f>HYPERLINK("http://www.ncbi.nlm.nih.gov/Taxonomy/Browser/wwwtax.cgi?mode=Info&amp;id=151771&amp;lvl=3&amp;lin=f&amp;keep=1&amp;srchmode=1&amp;unlock","151771")</f>
        <v>151771</v>
      </c>
      <c r="E1242" t="s">
        <v>1183</v>
      </c>
      <c r="F1242" t="s">
        <v>1183</v>
      </c>
      <c r="G1242" t="str">
        <f>HYPERLINK("http://www.ncbi.nlm.nih.gov/Taxonomy/Browser/wwwtax.cgi?mode=Info&amp;id=151771&amp;lvl=3&amp;lin=f&amp;keep=1&amp;srchmode=1&amp;unlock","Dendronephthya gigantea")</f>
        <v>Dendronephthya gigantea</v>
      </c>
      <c r="H1242" t="s">
        <v>1194</v>
      </c>
      <c r="I1242" t="str">
        <f>HYPERLINK("http://www.ncbi.nlm.nih.gov/protein/XP_028393411.1","nuclear receptor subfamily 4 group A member 1-like")</f>
        <v>nuclear receptor subfamily 4 group A member 1-like</v>
      </c>
      <c r="J1242" t="s">
        <v>1261</v>
      </c>
      <c r="K1242">
        <v>55.07</v>
      </c>
      <c r="L1242" t="s">
        <v>25</v>
      </c>
      <c r="M1242">
        <v>157</v>
      </c>
      <c r="N1242">
        <v>62.55</v>
      </c>
      <c r="O1242">
        <v>10.71</v>
      </c>
      <c r="P1242" t="s">
        <v>25</v>
      </c>
      <c r="Q1242" t="s">
        <v>1262</v>
      </c>
      <c r="R1242" t="s">
        <v>20</v>
      </c>
      <c r="S1242" t="str">
        <f>HYPERLINK("https://cfpub.epa.gov/ecotox/explore.cfm?ncbi=151771","Explore in ECOTOX")</f>
        <v>Explore in ECOTOX</v>
      </c>
    </row>
    <row r="1243" spans="1:19" x14ac:dyDescent="0.25">
      <c r="A1243">
        <v>6</v>
      </c>
      <c r="B1243" t="str">
        <f>HYPERLINK("http://www.ncbi.nlm.nih.gov/protein/XP_016934212.2","XP_016934212.2")</f>
        <v>XP_016934212.2</v>
      </c>
      <c r="C1243">
        <v>25805</v>
      </c>
      <c r="D1243" t="str">
        <f>HYPERLINK("http://www.ncbi.nlm.nih.gov/Taxonomy/Browser/wwwtax.cgi?mode=Info&amp;id=28584&amp;lvl=3&amp;lin=f&amp;keep=1&amp;srchmode=1&amp;unlock","28584")</f>
        <v>28584</v>
      </c>
      <c r="E1243" t="s">
        <v>698</v>
      </c>
      <c r="F1243" t="s">
        <v>698</v>
      </c>
      <c r="G1243" t="str">
        <f>HYPERLINK("http://www.ncbi.nlm.nih.gov/Taxonomy/Browser/wwwtax.cgi?mode=Info&amp;id=28584&amp;lvl=3&amp;lin=f&amp;keep=1&amp;srchmode=1&amp;unlock","Drosophila suzukii")</f>
        <v>Drosophila suzukii</v>
      </c>
      <c r="H1243" t="s">
        <v>753</v>
      </c>
      <c r="I1243" t="str">
        <f>HYPERLINK("http://www.ncbi.nlm.nih.gov/protein/XP_016934212.2","steroid hormone receptor ERR2 isoform X1")</f>
        <v>steroid hormone receptor ERR2 isoform X1</v>
      </c>
      <c r="J1243" t="s">
        <v>1261</v>
      </c>
      <c r="K1243">
        <v>54.68</v>
      </c>
      <c r="L1243" t="s">
        <v>25</v>
      </c>
      <c r="M1243">
        <v>157</v>
      </c>
      <c r="N1243">
        <v>62.55</v>
      </c>
      <c r="O1243">
        <v>10.63</v>
      </c>
      <c r="P1243" t="s">
        <v>25</v>
      </c>
      <c r="Q1243" t="s">
        <v>1262</v>
      </c>
      <c r="R1243" t="s">
        <v>20</v>
      </c>
      <c r="S1243" t="str">
        <f>HYPERLINK("https://cfpub.epa.gov/ecotox/explore.cfm?ncbi=28584","Explore in ECOTOX")</f>
        <v>Explore in ECOTOX</v>
      </c>
    </row>
    <row r="1244" spans="1:19" x14ac:dyDescent="0.25">
      <c r="A1244">
        <v>6</v>
      </c>
      <c r="B1244" t="str">
        <f>HYPERLINK("http://www.ncbi.nlm.nih.gov/protein/XP_017042642.1","XP_017042642.1")</f>
        <v>XP_017042642.1</v>
      </c>
      <c r="C1244">
        <v>23940</v>
      </c>
      <c r="D1244" t="str">
        <f>HYPERLINK("http://www.ncbi.nlm.nih.gov/Taxonomy/Browser/wwwtax.cgi?mode=Info&amp;id=30025&amp;lvl=3&amp;lin=f&amp;keep=1&amp;srchmode=1&amp;unlock","30025")</f>
        <v>30025</v>
      </c>
      <c r="E1244" t="s">
        <v>698</v>
      </c>
      <c r="F1244" t="s">
        <v>698</v>
      </c>
      <c r="G1244" t="str">
        <f>HYPERLINK("http://www.ncbi.nlm.nih.gov/Taxonomy/Browser/wwwtax.cgi?mode=Info&amp;id=30025&amp;lvl=3&amp;lin=f&amp;keep=1&amp;srchmode=1&amp;unlock","Drosophila ficusphila")</f>
        <v>Drosophila ficusphila</v>
      </c>
      <c r="H1244" t="s">
        <v>753</v>
      </c>
      <c r="I1244" t="str">
        <f>HYPERLINK("http://www.ncbi.nlm.nih.gov/protein/XP_017042642.1","PREDICTED: steroid hormone receptor ERR2 isoform X2")</f>
        <v>PREDICTED: steroid hormone receptor ERR2 isoform X2</v>
      </c>
      <c r="J1244" t="s">
        <v>1261</v>
      </c>
      <c r="K1244">
        <v>54.68</v>
      </c>
      <c r="L1244" t="s">
        <v>25</v>
      </c>
      <c r="M1244">
        <v>157</v>
      </c>
      <c r="N1244">
        <v>62.55</v>
      </c>
      <c r="O1244">
        <v>10.63</v>
      </c>
      <c r="P1244" t="s">
        <v>25</v>
      </c>
      <c r="Q1244" t="s">
        <v>1262</v>
      </c>
      <c r="R1244" t="s">
        <v>20</v>
      </c>
      <c r="S1244" t="str">
        <f>HYPERLINK("https://cfpub.epa.gov/ecotox/explore.cfm?ncbi=30025","Explore in ECOTOX")</f>
        <v>Explore in ECOTOX</v>
      </c>
    </row>
    <row r="1245" spans="1:19" x14ac:dyDescent="0.25">
      <c r="A1245">
        <v>6</v>
      </c>
      <c r="B1245" t="str">
        <f>HYPERLINK("http://www.ncbi.nlm.nih.gov/protein/XP_016969063.1","XP_016969063.1")</f>
        <v>XP_016969063.1</v>
      </c>
      <c r="C1245">
        <v>23499</v>
      </c>
      <c r="D1245" t="str">
        <f>HYPERLINK("http://www.ncbi.nlm.nih.gov/Taxonomy/Browser/wwwtax.cgi?mode=Info&amp;id=1041015&amp;lvl=3&amp;lin=f&amp;keep=1&amp;srchmode=1&amp;unlock","1041015")</f>
        <v>1041015</v>
      </c>
      <c r="E1245" t="s">
        <v>698</v>
      </c>
      <c r="F1245" t="s">
        <v>698</v>
      </c>
      <c r="G1245" t="str">
        <f>HYPERLINK("http://www.ncbi.nlm.nih.gov/Taxonomy/Browser/wwwtax.cgi?mode=Info&amp;id=1041015&amp;lvl=3&amp;lin=f&amp;keep=1&amp;srchmode=1&amp;unlock","Drosophila rhopaloa")</f>
        <v>Drosophila rhopaloa</v>
      </c>
      <c r="H1245" t="s">
        <v>753</v>
      </c>
      <c r="I1245" t="str">
        <f>HYPERLINK("http://www.ncbi.nlm.nih.gov/protein/XP_016969063.1","PREDICTED: steroid hormone receptor ERR2 isoform X1")</f>
        <v>PREDICTED: steroid hormone receptor ERR2 isoform X1</v>
      </c>
      <c r="J1245" t="s">
        <v>1261</v>
      </c>
      <c r="K1245">
        <v>54.68</v>
      </c>
      <c r="L1245" t="s">
        <v>25</v>
      </c>
      <c r="M1245">
        <v>157</v>
      </c>
      <c r="N1245">
        <v>62.55</v>
      </c>
      <c r="O1245">
        <v>10.63</v>
      </c>
      <c r="P1245" t="s">
        <v>25</v>
      </c>
      <c r="Q1245" t="s">
        <v>1262</v>
      </c>
      <c r="R1245" t="s">
        <v>20</v>
      </c>
      <c r="S1245" t="str">
        <f>HYPERLINK("https://cfpub.epa.gov/ecotox/explore.cfm?ncbi=1041015","Explore in ECOTOX")</f>
        <v>Explore in ECOTOX</v>
      </c>
    </row>
    <row r="1246" spans="1:19" x14ac:dyDescent="0.25">
      <c r="A1246">
        <v>6</v>
      </c>
      <c r="B1246" t="str">
        <f>HYPERLINK("http://www.ncbi.nlm.nih.gov/protein/XP_037718105.1","XP_037718105.1")</f>
        <v>XP_037718105.1</v>
      </c>
      <c r="C1246">
        <v>25724</v>
      </c>
      <c r="D1246" t="str">
        <f>HYPERLINK("http://www.ncbi.nlm.nih.gov/Taxonomy/Browser/wwwtax.cgi?mode=Info&amp;id=1486046&amp;lvl=3&amp;lin=f&amp;keep=1&amp;srchmode=1&amp;unlock","1486046")</f>
        <v>1486046</v>
      </c>
      <c r="E1246" t="s">
        <v>698</v>
      </c>
      <c r="F1246" t="s">
        <v>698</v>
      </c>
      <c r="G1246" t="str">
        <f>HYPERLINK("http://www.ncbi.nlm.nih.gov/Taxonomy/Browser/wwwtax.cgi?mode=Info&amp;id=1486046&amp;lvl=3&amp;lin=f&amp;keep=1&amp;srchmode=1&amp;unlock","Drosophila subpulchrella")</f>
        <v>Drosophila subpulchrella</v>
      </c>
      <c r="H1246" t="s">
        <v>753</v>
      </c>
      <c r="I1246" t="str">
        <f>HYPERLINK("http://www.ncbi.nlm.nih.gov/protein/XP_037718105.1","steroid hormone receptor ERR2 isoform X2")</f>
        <v>steroid hormone receptor ERR2 isoform X2</v>
      </c>
      <c r="J1246" t="s">
        <v>1261</v>
      </c>
      <c r="K1246">
        <v>54.68</v>
      </c>
      <c r="L1246" t="s">
        <v>25</v>
      </c>
      <c r="M1246">
        <v>157</v>
      </c>
      <c r="N1246">
        <v>62.55</v>
      </c>
      <c r="O1246">
        <v>10.63</v>
      </c>
      <c r="P1246" t="s">
        <v>25</v>
      </c>
      <c r="Q1246" t="s">
        <v>1262</v>
      </c>
      <c r="R1246" t="s">
        <v>20</v>
      </c>
      <c r="S1246" t="str">
        <f>HYPERLINK("https://cfpub.epa.gov/ecotox/explore.cfm?ncbi=1486046","Explore in ECOTOX")</f>
        <v>Explore in ECOTOX</v>
      </c>
    </row>
    <row r="1247" spans="1:19" x14ac:dyDescent="0.25">
      <c r="A1247">
        <v>6</v>
      </c>
      <c r="B1247" t="str">
        <f>HYPERLINK("http://www.ncbi.nlm.nih.gov/protein/XP_017129532.1","XP_017129532.1")</f>
        <v>XP_017129532.1</v>
      </c>
      <c r="C1247">
        <v>24328</v>
      </c>
      <c r="D1247" t="str">
        <f>HYPERLINK("http://www.ncbi.nlm.nih.gov/Taxonomy/Browser/wwwtax.cgi?mode=Info&amp;id=30023&amp;lvl=3&amp;lin=f&amp;keep=1&amp;srchmode=1&amp;unlock","30023")</f>
        <v>30023</v>
      </c>
      <c r="E1247" t="s">
        <v>698</v>
      </c>
      <c r="F1247" t="s">
        <v>698</v>
      </c>
      <c r="G1247" t="str">
        <f>HYPERLINK("http://www.ncbi.nlm.nih.gov/Taxonomy/Browser/wwwtax.cgi?mode=Info&amp;id=30023&amp;lvl=3&amp;lin=f&amp;keep=1&amp;srchmode=1&amp;unlock","Drosophila elegans")</f>
        <v>Drosophila elegans</v>
      </c>
      <c r="H1247" t="s">
        <v>753</v>
      </c>
      <c r="I1247" t="str">
        <f>HYPERLINK("http://www.ncbi.nlm.nih.gov/protein/XP_017129532.1","PREDICTED: steroid hormone receptor ERR2 isoform X2")</f>
        <v>PREDICTED: steroid hormone receptor ERR2 isoform X2</v>
      </c>
      <c r="J1247" t="s">
        <v>1261</v>
      </c>
      <c r="K1247">
        <v>54.68</v>
      </c>
      <c r="L1247" t="s">
        <v>25</v>
      </c>
      <c r="M1247">
        <v>157</v>
      </c>
      <c r="N1247">
        <v>62.55</v>
      </c>
      <c r="O1247">
        <v>10.63</v>
      </c>
      <c r="P1247" t="s">
        <v>25</v>
      </c>
      <c r="Q1247" t="s">
        <v>1262</v>
      </c>
      <c r="R1247" t="s">
        <v>20</v>
      </c>
      <c r="S1247" t="str">
        <f>HYPERLINK("https://cfpub.epa.gov/ecotox/explore.cfm?ncbi=30023","Explore in ECOTOX")</f>
        <v>Explore in ECOTOX</v>
      </c>
    </row>
    <row r="1248" spans="1:19" x14ac:dyDescent="0.25">
      <c r="A1248">
        <v>6</v>
      </c>
      <c r="B1248" t="str">
        <f>HYPERLINK("http://www.ncbi.nlm.nih.gov/protein/XP_016966351.1","XP_016966351.1")</f>
        <v>XP_016966351.1</v>
      </c>
      <c r="C1248">
        <v>22747</v>
      </c>
      <c r="D1248" t="str">
        <f>HYPERLINK("http://www.ncbi.nlm.nih.gov/Taxonomy/Browser/wwwtax.cgi?mode=Info&amp;id=125945&amp;lvl=3&amp;lin=f&amp;keep=1&amp;srchmode=1&amp;unlock","125945")</f>
        <v>125945</v>
      </c>
      <c r="E1248" t="s">
        <v>698</v>
      </c>
      <c r="F1248" t="s">
        <v>698</v>
      </c>
      <c r="G1248" t="str">
        <f>HYPERLINK("http://www.ncbi.nlm.nih.gov/Taxonomy/Browser/wwwtax.cgi?mode=Info&amp;id=125945&amp;lvl=3&amp;lin=f&amp;keep=1&amp;srchmode=1&amp;unlock","Drosophila biarmipes")</f>
        <v>Drosophila biarmipes</v>
      </c>
      <c r="H1248" t="s">
        <v>753</v>
      </c>
      <c r="I1248" t="str">
        <f>HYPERLINK("http://www.ncbi.nlm.nih.gov/protein/XP_016966351.1","PREDICTED: steroid hormone receptor ERR2 isoform X2")</f>
        <v>PREDICTED: steroid hormone receptor ERR2 isoform X2</v>
      </c>
      <c r="J1248" t="s">
        <v>1261</v>
      </c>
      <c r="K1248">
        <v>54.68</v>
      </c>
      <c r="L1248" t="s">
        <v>25</v>
      </c>
      <c r="M1248">
        <v>157</v>
      </c>
      <c r="N1248">
        <v>62.55</v>
      </c>
      <c r="O1248">
        <v>10.63</v>
      </c>
      <c r="P1248" t="s">
        <v>25</v>
      </c>
      <c r="Q1248" t="s">
        <v>1262</v>
      </c>
      <c r="R1248" t="s">
        <v>20</v>
      </c>
      <c r="S1248" t="str">
        <f>HYPERLINK("https://cfpub.epa.gov/ecotox/explore.cfm?ncbi=125945","Explore in ECOTOX")</f>
        <v>Explore in ECOTOX</v>
      </c>
    </row>
    <row r="1249" spans="1:19" x14ac:dyDescent="0.25">
      <c r="A1249">
        <v>6</v>
      </c>
      <c r="B1249" t="str">
        <f>HYPERLINK("http://www.ncbi.nlm.nih.gov/protein/XP_031559605.1","XP_031559605.1")</f>
        <v>XP_031559605.1</v>
      </c>
      <c r="C1249">
        <v>27085</v>
      </c>
      <c r="D1249" t="str">
        <f>HYPERLINK("http://www.ncbi.nlm.nih.gov/Taxonomy/Browser/wwwtax.cgi?mode=Info&amp;id=6105&amp;lvl=3&amp;lin=f&amp;keep=1&amp;srchmode=1&amp;unlock","6105")</f>
        <v>6105</v>
      </c>
      <c r="E1249" t="s">
        <v>1183</v>
      </c>
      <c r="F1249" t="s">
        <v>1183</v>
      </c>
      <c r="G1249" t="str">
        <f>HYPERLINK("http://www.ncbi.nlm.nih.gov/Taxonomy/Browser/wwwtax.cgi?mode=Info&amp;id=6105&amp;lvl=3&amp;lin=f&amp;keep=1&amp;srchmode=1&amp;unlock","Actinia tenebrosa")</f>
        <v>Actinia tenebrosa</v>
      </c>
      <c r="H1249" t="s">
        <v>1199</v>
      </c>
      <c r="I1249" t="str">
        <f>HYPERLINK("http://www.ncbi.nlm.nih.gov/protein/XP_031559605.1","hepatocyte nuclear factor 4-gamma-like isoform X1")</f>
        <v>hepatocyte nuclear factor 4-gamma-like isoform X1</v>
      </c>
      <c r="J1249" t="s">
        <v>1261</v>
      </c>
      <c r="K1249">
        <v>54.68</v>
      </c>
      <c r="L1249" t="s">
        <v>25</v>
      </c>
      <c r="M1249">
        <v>157</v>
      </c>
      <c r="N1249">
        <v>62.55</v>
      </c>
      <c r="O1249">
        <v>10.63</v>
      </c>
      <c r="P1249" t="s">
        <v>25</v>
      </c>
      <c r="Q1249" t="s">
        <v>1262</v>
      </c>
      <c r="R1249" t="s">
        <v>20</v>
      </c>
      <c r="S1249" t="str">
        <f>HYPERLINK("https://cfpub.epa.gov/ecotox/explore.cfm?ncbi=6105","Explore in ECOTOX")</f>
        <v>Explore in ECOTOX</v>
      </c>
    </row>
    <row r="1250" spans="1:19" x14ac:dyDescent="0.25">
      <c r="A1250">
        <v>6</v>
      </c>
      <c r="B1250" t="str">
        <f>HYPERLINK("http://www.ncbi.nlm.nih.gov/protein/XP_017011886.1","XP_017011886.1")</f>
        <v>XP_017011886.1</v>
      </c>
      <c r="C1250">
        <v>24128</v>
      </c>
      <c r="D1250" t="str">
        <f>HYPERLINK("http://www.ncbi.nlm.nih.gov/Taxonomy/Browser/wwwtax.cgi?mode=Info&amp;id=29030&amp;lvl=3&amp;lin=f&amp;keep=1&amp;srchmode=1&amp;unlock","29030")</f>
        <v>29030</v>
      </c>
      <c r="E1250" t="s">
        <v>698</v>
      </c>
      <c r="F1250" t="s">
        <v>698</v>
      </c>
      <c r="G1250" t="str">
        <f>HYPERLINK("http://www.ncbi.nlm.nih.gov/Taxonomy/Browser/wwwtax.cgi?mode=Info&amp;id=29030&amp;lvl=3&amp;lin=f&amp;keep=1&amp;srchmode=1&amp;unlock","Drosophila takahashii")</f>
        <v>Drosophila takahashii</v>
      </c>
      <c r="H1250" t="s">
        <v>753</v>
      </c>
      <c r="I1250" t="str">
        <f>HYPERLINK("http://www.ncbi.nlm.nih.gov/protein/XP_017011886.1","PREDICTED: steroid hormone receptor ERR2 isoform X1")</f>
        <v>PREDICTED: steroid hormone receptor ERR2 isoform X1</v>
      </c>
      <c r="J1250" t="s">
        <v>1261</v>
      </c>
      <c r="K1250">
        <v>54.3</v>
      </c>
      <c r="L1250" t="s">
        <v>25</v>
      </c>
      <c r="M1250">
        <v>157</v>
      </c>
      <c r="N1250">
        <v>62.55</v>
      </c>
      <c r="O1250">
        <v>10.56</v>
      </c>
      <c r="P1250" t="s">
        <v>25</v>
      </c>
      <c r="Q1250" t="s">
        <v>1262</v>
      </c>
      <c r="R1250" t="s">
        <v>20</v>
      </c>
      <c r="S1250" t="str">
        <f>HYPERLINK("https://cfpub.epa.gov/ecotox/explore.cfm?ncbi=29030","Explore in ECOTOX")</f>
        <v>Explore in ECOTOX</v>
      </c>
    </row>
    <row r="1251" spans="1:19" x14ac:dyDescent="0.25">
      <c r="A1251">
        <v>6</v>
      </c>
      <c r="B1251" t="str">
        <f>HYPERLINK("http://www.ncbi.nlm.nih.gov/protein/AYJ00905.1","AYJ00905.1")</f>
        <v>AYJ00905.1</v>
      </c>
      <c r="C1251">
        <v>807</v>
      </c>
      <c r="D1251" t="str">
        <f>HYPERLINK("http://www.ncbi.nlm.nih.gov/Taxonomy/Browser/wwwtax.cgi?mode=Info&amp;id=129788&amp;lvl=3&amp;lin=f&amp;keep=1&amp;srchmode=1&amp;unlock","129788")</f>
        <v>129788</v>
      </c>
      <c r="E1251" t="s">
        <v>709</v>
      </c>
      <c r="F1251" t="s">
        <v>709</v>
      </c>
      <c r="G1251" t="str">
        <f>HYPERLINK("http://www.ncbi.nlm.nih.gov/Taxonomy/Browser/wwwtax.cgi?mode=Info&amp;id=129788&amp;lvl=3&amp;lin=f&amp;keep=1&amp;srchmode=1&amp;unlock","Ruditapes philippinarum")</f>
        <v>Ruditapes philippinarum</v>
      </c>
      <c r="H1251" t="s">
        <v>1167</v>
      </c>
      <c r="I1251" t="str">
        <f>HYPERLINK("http://www.ncbi.nlm.nih.gov/protein/AYJ00905.1","estrogen receptor, partial")</f>
        <v>estrogen receptor, partial</v>
      </c>
      <c r="J1251" t="s">
        <v>1261</v>
      </c>
      <c r="K1251">
        <v>53.91</v>
      </c>
      <c r="L1251" t="s">
        <v>25</v>
      </c>
      <c r="M1251">
        <v>157</v>
      </c>
      <c r="N1251">
        <v>62.55</v>
      </c>
      <c r="O1251">
        <v>10.48</v>
      </c>
      <c r="P1251" t="s">
        <v>25</v>
      </c>
      <c r="Q1251" t="s">
        <v>1262</v>
      </c>
      <c r="R1251" t="s">
        <v>20</v>
      </c>
      <c r="S1251" t="str">
        <f>HYPERLINK("https://cfpub.epa.gov/ecotox/explore.cfm?ncbi=129788","Explore in ECOTOX")</f>
        <v>Explore in ECOTOX</v>
      </c>
    </row>
    <row r="1252" spans="1:19" x14ac:dyDescent="0.25">
      <c r="A1252">
        <v>6</v>
      </c>
      <c r="B1252" t="str">
        <f>HYPERLINK("http://www.ncbi.nlm.nih.gov/protein/BAF85823.1","BAF85823.1")</f>
        <v>BAF85823.1</v>
      </c>
      <c r="C1252">
        <v>10</v>
      </c>
      <c r="D1252" t="str">
        <f>HYPERLINK("http://www.ncbi.nlm.nih.gov/Taxonomy/Browser/wwwtax.cgi?mode=Info&amp;id=431266&amp;lvl=3&amp;lin=f&amp;keep=1&amp;srchmode=1&amp;unlock","431266")</f>
        <v>431266</v>
      </c>
      <c r="E1252" t="s">
        <v>700</v>
      </c>
      <c r="F1252" t="s">
        <v>700</v>
      </c>
      <c r="G1252" t="str">
        <f>HYPERLINK("http://www.ncbi.nlm.nih.gov/Taxonomy/Browser/wwwtax.cgi?mode=Info&amp;id=431266&amp;lvl=3&amp;lin=f&amp;keep=1&amp;srchmode=1&amp;unlock","Liocheles australasiae")</f>
        <v>Liocheles australasiae</v>
      </c>
      <c r="H1252" t="s">
        <v>1204</v>
      </c>
      <c r="I1252" t="str">
        <f>HYPERLINK("http://www.ncbi.nlm.nih.gov/protein/BAF85823.1","ultraspiracle")</f>
        <v>ultraspiracle</v>
      </c>
      <c r="J1252" t="s">
        <v>1261</v>
      </c>
      <c r="K1252">
        <v>53.91</v>
      </c>
      <c r="L1252" t="s">
        <v>25</v>
      </c>
      <c r="M1252">
        <v>157</v>
      </c>
      <c r="N1252">
        <v>62.55</v>
      </c>
      <c r="O1252">
        <v>10.48</v>
      </c>
      <c r="P1252" t="s">
        <v>25</v>
      </c>
      <c r="Q1252" t="s">
        <v>1262</v>
      </c>
      <c r="R1252" t="s">
        <v>20</v>
      </c>
      <c r="S1252" t="str">
        <f>HYPERLINK("https://cfpub.epa.gov/ecotox/explore.cfm?ncbi=431266","Explore in ECOTOX")</f>
        <v>Explore in ECOTOX</v>
      </c>
    </row>
    <row r="1253" spans="1:19" x14ac:dyDescent="0.25">
      <c r="A1253">
        <v>6</v>
      </c>
      <c r="B1253" t="str">
        <f>HYPERLINK("http://www.ncbi.nlm.nih.gov/protein/QGX48189.1","QGX48189.1")</f>
        <v>QGX48189.1</v>
      </c>
      <c r="C1253">
        <v>252</v>
      </c>
      <c r="D1253" t="str">
        <f>HYPERLINK("http://www.ncbi.nlm.nih.gov/Taxonomy/Browser/wwwtax.cgi?mode=Info&amp;id=98310&amp;lvl=3&amp;lin=f&amp;keep=1&amp;srchmode=1&amp;unlock","98310")</f>
        <v>98310</v>
      </c>
      <c r="E1253" t="s">
        <v>709</v>
      </c>
      <c r="F1253" t="s">
        <v>709</v>
      </c>
      <c r="G1253" t="str">
        <f>HYPERLINK("http://www.ncbi.nlm.nih.gov/Taxonomy/Browser/wwwtax.cgi?mode=Info&amp;id=98310&amp;lvl=3&amp;lin=f&amp;keep=1&amp;srchmode=1&amp;unlock","Sinonovacula constricta")</f>
        <v>Sinonovacula constricta</v>
      </c>
      <c r="H1253" t="s">
        <v>1212</v>
      </c>
      <c r="I1253" t="str">
        <f>HYPERLINK("http://www.ncbi.nlm.nih.gov/protein/QGX48189.1","RXR")</f>
        <v>RXR</v>
      </c>
      <c r="J1253" t="s">
        <v>1261</v>
      </c>
      <c r="K1253">
        <v>53.91</v>
      </c>
      <c r="L1253" t="s">
        <v>25</v>
      </c>
      <c r="M1253">
        <v>157</v>
      </c>
      <c r="N1253">
        <v>62.55</v>
      </c>
      <c r="O1253">
        <v>10.48</v>
      </c>
      <c r="P1253" t="s">
        <v>25</v>
      </c>
      <c r="Q1253" t="s">
        <v>1262</v>
      </c>
      <c r="R1253" t="s">
        <v>20</v>
      </c>
      <c r="S1253" t="str">
        <f>HYPERLINK("https://cfpub.epa.gov/ecotox/explore.cfm?ncbi=98310","Explore in ECOTOX")</f>
        <v>Explore in ECOTOX</v>
      </c>
    </row>
    <row r="1254" spans="1:19" x14ac:dyDescent="0.25">
      <c r="A1254">
        <v>6</v>
      </c>
      <c r="B1254" t="str">
        <f>HYPERLINK("http://www.ncbi.nlm.nih.gov/protein/BBG43847.1","BBG43847.1")</f>
        <v>BBG43847.1</v>
      </c>
      <c r="C1254">
        <v>223</v>
      </c>
      <c r="D1254" t="str">
        <f>HYPERLINK("http://www.ncbi.nlm.nih.gov/Taxonomy/Browser/wwwtax.cgi?mode=Info&amp;id=82174&amp;lvl=3&amp;lin=f&amp;keep=1&amp;srchmode=1&amp;unlock","82174")</f>
        <v>82174</v>
      </c>
      <c r="E1254" t="s">
        <v>18</v>
      </c>
      <c r="F1254" t="s">
        <v>18</v>
      </c>
      <c r="G1254" t="str">
        <f>HYPERLINK("http://www.ncbi.nlm.nih.gov/Taxonomy/Browser/wwwtax.cgi?mode=Info&amp;id=82174&amp;lvl=3&amp;lin=f&amp;keep=1&amp;srchmode=1&amp;unlock","Pseudorca crassidens")</f>
        <v>Pseudorca crassidens</v>
      </c>
      <c r="H1254" t="s">
        <v>1205</v>
      </c>
      <c r="I1254" t="str">
        <f>HYPERLINK("http://www.ncbi.nlm.nih.gov/protein/BBG43847.1","retinoid X receptor, beta")</f>
        <v>retinoid X receptor, beta</v>
      </c>
      <c r="J1254" t="s">
        <v>1261</v>
      </c>
      <c r="K1254">
        <v>53.91</v>
      </c>
      <c r="L1254" t="s">
        <v>25</v>
      </c>
      <c r="M1254">
        <v>157</v>
      </c>
      <c r="N1254">
        <v>62.55</v>
      </c>
      <c r="O1254">
        <v>10.48</v>
      </c>
      <c r="P1254" t="s">
        <v>20</v>
      </c>
      <c r="Q1254" t="s">
        <v>1262</v>
      </c>
      <c r="R1254" t="s">
        <v>20</v>
      </c>
      <c r="S1254" t="str">
        <f>HYPERLINK("https://cfpub.epa.gov/ecotox/explore.cfm?ncbi=82174","Explore in ECOTOX")</f>
        <v>Explore in ECOTOX</v>
      </c>
    </row>
    <row r="1255" spans="1:19" x14ac:dyDescent="0.25">
      <c r="A1255">
        <v>6</v>
      </c>
      <c r="B1255" t="str">
        <f>HYPERLINK("http://www.ncbi.nlm.nih.gov/protein/KAG0424185.1","KAG0424185.1")</f>
        <v>KAG0424185.1</v>
      </c>
      <c r="C1255">
        <v>28479</v>
      </c>
      <c r="D1255" t="str">
        <f>HYPERLINK("http://www.ncbi.nlm.nih.gov/Taxonomy/Browser/wwwtax.cgi?mode=Info&amp;id=34615&amp;lvl=3&amp;lin=f&amp;keep=1&amp;srchmode=1&amp;unlock","34615")</f>
        <v>34615</v>
      </c>
      <c r="E1255" t="s">
        <v>700</v>
      </c>
      <c r="F1255" t="s">
        <v>700</v>
      </c>
      <c r="G1255" t="str">
        <f>HYPERLINK("http://www.ncbi.nlm.nih.gov/Taxonomy/Browser/wwwtax.cgi?mode=Info&amp;id=34615&amp;lvl=3&amp;lin=f&amp;keep=1&amp;srchmode=1&amp;unlock","Ixodes persulcatus")</f>
        <v>Ixodes persulcatus</v>
      </c>
      <c r="H1255" t="s">
        <v>910</v>
      </c>
      <c r="I1255" t="str">
        <f>HYPERLINK("http://www.ncbi.nlm.nih.gov/protein/KAG0424185.1","hypothetical protein HPB47_000076")</f>
        <v>hypothetical protein HPB47_000076</v>
      </c>
      <c r="J1255" t="s">
        <v>1261</v>
      </c>
      <c r="K1255">
        <v>53.91</v>
      </c>
      <c r="L1255" t="s">
        <v>25</v>
      </c>
      <c r="M1255">
        <v>157</v>
      </c>
      <c r="N1255">
        <v>62.55</v>
      </c>
      <c r="O1255">
        <v>10.48</v>
      </c>
      <c r="P1255" t="s">
        <v>25</v>
      </c>
      <c r="Q1255" t="s">
        <v>1262</v>
      </c>
      <c r="R1255" t="s">
        <v>20</v>
      </c>
      <c r="S1255" t="str">
        <f>HYPERLINK("https://cfpub.epa.gov/ecotox/explore.cfm?ncbi=34615","Explore in ECOTOX")</f>
        <v>Explore in ECOTOX</v>
      </c>
    </row>
    <row r="1256" spans="1:19" x14ac:dyDescent="0.25">
      <c r="A1256">
        <v>6</v>
      </c>
      <c r="B1256" t="str">
        <f>HYPERLINK("http://www.ncbi.nlm.nih.gov/protein/VDO41287.1","VDO41287.1")</f>
        <v>VDO41287.1</v>
      </c>
      <c r="C1256">
        <v>21560</v>
      </c>
      <c r="D1256" t="str">
        <f>HYPERLINK("http://www.ncbi.nlm.nih.gov/Taxonomy/Browser/wwwtax.cgi?mode=Info&amp;id=6290&amp;lvl=3&amp;lin=f&amp;keep=1&amp;srchmode=1&amp;unlock","6290")</f>
        <v>6290</v>
      </c>
      <c r="E1256" t="s">
        <v>869</v>
      </c>
      <c r="F1256" t="s">
        <v>869</v>
      </c>
      <c r="G1256" t="str">
        <f>HYPERLINK("http://www.ncbi.nlm.nih.gov/Taxonomy/Browser/wwwtax.cgi?mode=Info&amp;id=6290&amp;lvl=3&amp;lin=f&amp;keep=1&amp;srchmode=1&amp;unlock","Haemonchus placei")</f>
        <v>Haemonchus placei</v>
      </c>
      <c r="H1256" t="s">
        <v>803</v>
      </c>
      <c r="I1256" t="str">
        <f>HYPERLINK("http://www.ncbi.nlm.nih.gov/protein/VDO41287.1","unnamed protein product")</f>
        <v>unnamed protein product</v>
      </c>
      <c r="J1256" t="s">
        <v>1261</v>
      </c>
      <c r="K1256">
        <v>53.91</v>
      </c>
      <c r="L1256" t="s">
        <v>25</v>
      </c>
      <c r="M1256">
        <v>157</v>
      </c>
      <c r="N1256">
        <v>62.55</v>
      </c>
      <c r="O1256">
        <v>10.48</v>
      </c>
      <c r="P1256" t="s">
        <v>25</v>
      </c>
      <c r="Q1256" t="s">
        <v>1262</v>
      </c>
      <c r="R1256" t="s">
        <v>20</v>
      </c>
      <c r="S1256" t="str">
        <f>HYPERLINK("https://cfpub.epa.gov/ecotox/explore.cfm?ncbi=6290","Explore in ECOTOX")</f>
        <v>Explore in ECOTOX</v>
      </c>
    </row>
    <row r="1257" spans="1:19" x14ac:dyDescent="0.25">
      <c r="A1257">
        <v>6</v>
      </c>
      <c r="B1257" t="str">
        <f>HYPERLINK("http://www.ncbi.nlm.nih.gov/protein/ABG00286.1","ABG00286.1")</f>
        <v>ABG00286.1</v>
      </c>
      <c r="C1257">
        <v>549</v>
      </c>
      <c r="D1257" t="str">
        <f>HYPERLINK("http://www.ncbi.nlm.nih.gov/Taxonomy/Browser/wwwtax.cgi?mode=Info&amp;id=6645&amp;lvl=3&amp;lin=f&amp;keep=1&amp;srchmode=1&amp;unlock","6645")</f>
        <v>6645</v>
      </c>
      <c r="E1257" t="s">
        <v>786</v>
      </c>
      <c r="F1257" t="s">
        <v>786</v>
      </c>
      <c r="G1257" t="str">
        <f>HYPERLINK("http://www.ncbi.nlm.nih.gov/Taxonomy/Browser/wwwtax.cgi?mode=Info&amp;id=6645&amp;lvl=3&amp;lin=f&amp;keep=1&amp;srchmode=1&amp;unlock","Octopus vulgaris")</f>
        <v>Octopus vulgaris</v>
      </c>
      <c r="H1257" t="s">
        <v>1164</v>
      </c>
      <c r="I1257" t="str">
        <f>HYPERLINK("http://www.ncbi.nlm.nih.gov/protein/ABG00286.1","estrogen receptor")</f>
        <v>estrogen receptor</v>
      </c>
      <c r="J1257" t="s">
        <v>1261</v>
      </c>
      <c r="K1257">
        <v>53.53</v>
      </c>
      <c r="L1257" t="s">
        <v>25</v>
      </c>
      <c r="M1257">
        <v>157</v>
      </c>
      <c r="N1257">
        <v>62.55</v>
      </c>
      <c r="O1257">
        <v>10.41</v>
      </c>
      <c r="P1257" t="s">
        <v>25</v>
      </c>
      <c r="Q1257" t="s">
        <v>1262</v>
      </c>
      <c r="R1257" t="s">
        <v>20</v>
      </c>
      <c r="S1257" t="str">
        <f>HYPERLINK("https://cfpub.epa.gov/ecotox/explore.cfm?ncbi=6645","Explore in ECOTOX")</f>
        <v>Explore in ECOTOX</v>
      </c>
    </row>
    <row r="1258" spans="1:19" x14ac:dyDescent="0.25">
      <c r="A1258">
        <v>6</v>
      </c>
      <c r="B1258" t="str">
        <f>HYPERLINK("http://www.ncbi.nlm.nih.gov/protein/XP_029644785.1","XP_029644785.1")</f>
        <v>XP_029644785.1</v>
      </c>
      <c r="C1258">
        <v>36125</v>
      </c>
      <c r="D1258" t="str">
        <f>HYPERLINK("http://www.ncbi.nlm.nih.gov/Taxonomy/Browser/wwwtax.cgi?mode=Info&amp;id=2607531&amp;lvl=3&amp;lin=f&amp;keep=1&amp;srchmode=1&amp;unlock","2607531")</f>
        <v>2607531</v>
      </c>
      <c r="E1258" t="s">
        <v>786</v>
      </c>
      <c r="F1258" t="s">
        <v>786</v>
      </c>
      <c r="G1258" t="str">
        <f>HYPERLINK("http://www.ncbi.nlm.nih.gov/Taxonomy/Browser/wwwtax.cgi?mode=Info&amp;id=2607531&amp;lvl=3&amp;lin=f&amp;keep=1&amp;srchmode=1&amp;unlock","Octopus sinensis")</f>
        <v>Octopus sinensis</v>
      </c>
      <c r="H1258" t="s">
        <v>787</v>
      </c>
      <c r="I1258" t="str">
        <f>HYPERLINK("http://www.ncbi.nlm.nih.gov/protein/XP_029644785.1","estrogen receptor isoform X4")</f>
        <v>estrogen receptor isoform X4</v>
      </c>
      <c r="J1258" t="s">
        <v>1261</v>
      </c>
      <c r="K1258">
        <v>53.53</v>
      </c>
      <c r="L1258" t="s">
        <v>25</v>
      </c>
      <c r="M1258">
        <v>157</v>
      </c>
      <c r="N1258">
        <v>62.55</v>
      </c>
      <c r="O1258">
        <v>10.41</v>
      </c>
      <c r="P1258" t="s">
        <v>25</v>
      </c>
      <c r="Q1258" t="s">
        <v>1262</v>
      </c>
      <c r="R1258" t="s">
        <v>20</v>
      </c>
      <c r="S1258" t="str">
        <f>HYPERLINK("https://cfpub.epa.gov/ecotox/explore.cfm?ncbi=2607531","Explore in ECOTOX")</f>
        <v>Explore in ECOTOX</v>
      </c>
    </row>
    <row r="1259" spans="1:19" x14ac:dyDescent="0.25">
      <c r="A1259">
        <v>6</v>
      </c>
      <c r="B1259" t="str">
        <f>HYPERLINK("http://www.ncbi.nlm.nih.gov/protein/ANW09591.1","ANW09591.1")</f>
        <v>ANW09591.1</v>
      </c>
      <c r="C1259">
        <v>261</v>
      </c>
      <c r="D1259" t="str">
        <f>HYPERLINK("http://www.ncbi.nlm.nih.gov/Taxonomy/Browser/wwwtax.cgi?mode=Info&amp;id=192382&amp;lvl=3&amp;lin=f&amp;keep=1&amp;srchmode=1&amp;unlock","192382")</f>
        <v>192382</v>
      </c>
      <c r="E1259" t="s">
        <v>698</v>
      </c>
      <c r="F1259" t="s">
        <v>698</v>
      </c>
      <c r="G1259" t="str">
        <f>HYPERLINK("http://www.ncbi.nlm.nih.gov/Taxonomy/Browser/wwwtax.cgi?mode=Info&amp;id=192382&amp;lvl=3&amp;lin=f&amp;keep=1&amp;srchmode=1&amp;unlock","Monochamus alternatus")</f>
        <v>Monochamus alternatus</v>
      </c>
      <c r="H1259" t="s">
        <v>1196</v>
      </c>
      <c r="I1259" t="str">
        <f>HYPERLINK("http://www.ncbi.nlm.nih.gov/protein/ANW09591.1","USP")</f>
        <v>USP</v>
      </c>
      <c r="J1259" t="s">
        <v>1261</v>
      </c>
      <c r="K1259">
        <v>53.53</v>
      </c>
      <c r="L1259" t="s">
        <v>25</v>
      </c>
      <c r="M1259">
        <v>157</v>
      </c>
      <c r="N1259">
        <v>62.55</v>
      </c>
      <c r="O1259">
        <v>10.41</v>
      </c>
      <c r="P1259" t="s">
        <v>25</v>
      </c>
      <c r="Q1259" t="s">
        <v>1262</v>
      </c>
      <c r="R1259" t="s">
        <v>20</v>
      </c>
      <c r="S1259" t="str">
        <f>HYPERLINK("https://cfpub.epa.gov/ecotox/explore.cfm?ncbi=192382","Explore in ECOTOX")</f>
        <v>Explore in ECOTOX</v>
      </c>
    </row>
    <row r="1260" spans="1:19" x14ac:dyDescent="0.25">
      <c r="A1260">
        <v>6</v>
      </c>
      <c r="B1260" t="str">
        <f>HYPERLINK("http://www.ncbi.nlm.nih.gov/protein/CAF2816228.1","CAF2816228.1")</f>
        <v>CAF2816228.1</v>
      </c>
      <c r="C1260">
        <v>379546</v>
      </c>
      <c r="D1260" t="str">
        <f>HYPERLINK("http://www.ncbi.nlm.nih.gov/Taxonomy/Browser/wwwtax.cgi?mode=Info&amp;id=2762512&amp;lvl=3&amp;lin=f&amp;keep=1&amp;srchmode=1&amp;unlock","2762512")</f>
        <v>2762512</v>
      </c>
      <c r="E1260" t="s">
        <v>855</v>
      </c>
      <c r="F1260" t="s">
        <v>855</v>
      </c>
      <c r="G1260" t="str">
        <f>HYPERLINK("http://www.ncbi.nlm.nih.gov/Taxonomy/Browser/wwwtax.cgi?mode=Info&amp;id=2762512&amp;lvl=3&amp;lin=f&amp;keep=1&amp;srchmode=1&amp;unlock","Rotaria sp. Silwood2")</f>
        <v>Rotaria sp. Silwood2</v>
      </c>
      <c r="H1260" t="s">
        <v>856</v>
      </c>
      <c r="I1260" t="str">
        <f>HYPERLINK("http://www.ncbi.nlm.nih.gov/protein/CAF2816228.1","unnamed protein product")</f>
        <v>unnamed protein product</v>
      </c>
      <c r="J1260" t="s">
        <v>1261</v>
      </c>
      <c r="K1260">
        <v>53.53</v>
      </c>
      <c r="L1260" t="s">
        <v>25</v>
      </c>
      <c r="M1260">
        <v>157</v>
      </c>
      <c r="N1260">
        <v>62.55</v>
      </c>
      <c r="O1260">
        <v>10.41</v>
      </c>
      <c r="P1260" t="s">
        <v>25</v>
      </c>
      <c r="Q1260" t="s">
        <v>1262</v>
      </c>
      <c r="R1260" t="s">
        <v>20</v>
      </c>
      <c r="S1260" t="str">
        <f>HYPERLINK("https://cfpub.epa.gov/ecotox/explore.cfm?ncbi=2762512","Explore in ECOTOX")</f>
        <v>Explore in ECOTOX</v>
      </c>
    </row>
    <row r="1261" spans="1:19" x14ac:dyDescent="0.25">
      <c r="A1261">
        <v>6</v>
      </c>
      <c r="B1261" t="str">
        <f>HYPERLINK("http://www.ncbi.nlm.nih.gov/protein/CAD7274908.1","CAD7274908.1")</f>
        <v>CAD7274908.1</v>
      </c>
      <c r="C1261">
        <v>14068</v>
      </c>
      <c r="D1261" t="str">
        <f>HYPERLINK("http://www.ncbi.nlm.nih.gov/Taxonomy/Browser/wwwtax.cgi?mode=Info&amp;id=399045&amp;lvl=3&amp;lin=f&amp;keep=1&amp;srchmode=1&amp;unlock","399045")</f>
        <v>399045</v>
      </c>
      <c r="E1261" t="s">
        <v>1131</v>
      </c>
      <c r="F1261" t="s">
        <v>1131</v>
      </c>
      <c r="G1261" t="str">
        <f>HYPERLINK("http://www.ncbi.nlm.nih.gov/Taxonomy/Browser/wwwtax.cgi?mode=Info&amp;id=399045&amp;lvl=3&amp;lin=f&amp;keep=1&amp;srchmode=1&amp;unlock","Notodromas monacha")</f>
        <v>Notodromas monacha</v>
      </c>
      <c r="H1261" t="s">
        <v>1132</v>
      </c>
      <c r="I1261" t="str">
        <f>HYPERLINK("http://www.ncbi.nlm.nih.gov/protein/CAD7274908.1","unnamed protein product")</f>
        <v>unnamed protein product</v>
      </c>
      <c r="J1261" t="s">
        <v>1261</v>
      </c>
      <c r="K1261">
        <v>53.53</v>
      </c>
      <c r="L1261" t="s">
        <v>25</v>
      </c>
      <c r="M1261">
        <v>157</v>
      </c>
      <c r="N1261">
        <v>62.55</v>
      </c>
      <c r="O1261">
        <v>10.41</v>
      </c>
      <c r="P1261" t="s">
        <v>25</v>
      </c>
      <c r="Q1261" t="s">
        <v>1262</v>
      </c>
      <c r="R1261" t="s">
        <v>20</v>
      </c>
      <c r="S1261" t="str">
        <f>HYPERLINK("https://cfpub.epa.gov/ecotox/explore.cfm?ncbi=399045","Explore in ECOTOX")</f>
        <v>Explore in ECOTOX</v>
      </c>
    </row>
    <row r="1262" spans="1:19" x14ac:dyDescent="0.25">
      <c r="A1262">
        <v>6</v>
      </c>
      <c r="B1262" t="str">
        <f>HYPERLINK("http://www.ncbi.nlm.nih.gov/protein/AVD96648.1","AVD96648.1")</f>
        <v>AVD96648.1</v>
      </c>
      <c r="C1262">
        <v>60</v>
      </c>
      <c r="D1262" t="str">
        <f>HYPERLINK("http://www.ncbi.nlm.nih.gov/Taxonomy/Browser/wwwtax.cgi?mode=Info&amp;id=31192&amp;lvl=3&amp;lin=f&amp;keep=1&amp;srchmode=1&amp;unlock","31192")</f>
        <v>31192</v>
      </c>
      <c r="E1262" t="s">
        <v>826</v>
      </c>
      <c r="F1262" t="s">
        <v>826</v>
      </c>
      <c r="G1262" t="str">
        <f>HYPERLINK("http://www.ncbi.nlm.nih.gov/Taxonomy/Browser/wwwtax.cgi?mode=Info&amp;id=31192&amp;lvl=3&amp;lin=f&amp;keep=1&amp;srchmode=1&amp;unlock","Holothuria glaberrima")</f>
        <v>Holothuria glaberrima</v>
      </c>
      <c r="H1262" t="s">
        <v>1208</v>
      </c>
      <c r="I1262" t="str">
        <f>HYPERLINK("http://www.ncbi.nlm.nih.gov/protein/AVD96648.1","retinoic acid receptor isoform 1")</f>
        <v>retinoic acid receptor isoform 1</v>
      </c>
      <c r="J1262" t="s">
        <v>1261</v>
      </c>
      <c r="K1262">
        <v>53.14</v>
      </c>
      <c r="L1262" t="s">
        <v>25</v>
      </c>
      <c r="M1262">
        <v>157</v>
      </c>
      <c r="N1262">
        <v>62.55</v>
      </c>
      <c r="O1262">
        <v>10.33</v>
      </c>
      <c r="P1262" t="s">
        <v>25</v>
      </c>
      <c r="Q1262" t="s">
        <v>1262</v>
      </c>
      <c r="R1262" t="s">
        <v>20</v>
      </c>
      <c r="S1262" t="str">
        <f>HYPERLINK("https://cfpub.epa.gov/ecotox/explore.cfm?ncbi=31192","Explore in ECOTOX")</f>
        <v>Explore in ECOTOX</v>
      </c>
    </row>
    <row r="1263" spans="1:19" x14ac:dyDescent="0.25">
      <c r="A1263">
        <v>6</v>
      </c>
      <c r="B1263" t="str">
        <f>HYPERLINK("http://www.ncbi.nlm.nih.gov/protein/KAF6023430.1","KAF6023430.1")</f>
        <v>KAF6023430.1</v>
      </c>
      <c r="C1263">
        <v>25600</v>
      </c>
      <c r="D1263" t="str">
        <f>HYPERLINK("http://www.ncbi.nlm.nih.gov/Taxonomy/Browser/wwwtax.cgi?mode=Info&amp;id=10212&amp;lvl=3&amp;lin=f&amp;keep=1&amp;srchmode=1&amp;unlock","10212")</f>
        <v>10212</v>
      </c>
      <c r="E1263" t="s">
        <v>1191</v>
      </c>
      <c r="F1263" t="s">
        <v>1191</v>
      </c>
      <c r="G1263" t="str">
        <f>HYPERLINK("http://www.ncbi.nlm.nih.gov/Taxonomy/Browser/wwwtax.cgi?mode=Info&amp;id=10212&amp;lvl=3&amp;lin=f&amp;keep=1&amp;srchmode=1&amp;unlock","Bugula neritina")</f>
        <v>Bugula neritina</v>
      </c>
      <c r="H1263" t="s">
        <v>1192</v>
      </c>
      <c r="I1263" t="str">
        <f>HYPERLINK("http://www.ncbi.nlm.nih.gov/protein/KAF6023430.1","Hr39")</f>
        <v>Hr39</v>
      </c>
      <c r="J1263" t="s">
        <v>1261</v>
      </c>
      <c r="K1263">
        <v>53.14</v>
      </c>
      <c r="L1263" t="s">
        <v>25</v>
      </c>
      <c r="M1263">
        <v>157</v>
      </c>
      <c r="N1263">
        <v>62.55</v>
      </c>
      <c r="O1263">
        <v>10.33</v>
      </c>
      <c r="P1263" t="s">
        <v>25</v>
      </c>
      <c r="Q1263" t="s">
        <v>1262</v>
      </c>
      <c r="R1263" t="s">
        <v>20</v>
      </c>
      <c r="S1263" t="str">
        <f>HYPERLINK("https://cfpub.epa.gov/ecotox/explore.cfm?ncbi=10212","Explore in ECOTOX")</f>
        <v>Explore in ECOTOX</v>
      </c>
    </row>
    <row r="1264" spans="1:19" x14ac:dyDescent="0.25">
      <c r="A1264">
        <v>6</v>
      </c>
      <c r="B1264" t="str">
        <f>HYPERLINK("http://www.ncbi.nlm.nih.gov/protein/AGB34183.1","AGB34183.1")</f>
        <v>AGB34183.1</v>
      </c>
      <c r="C1264">
        <v>350</v>
      </c>
      <c r="D1264" t="str">
        <f>HYPERLINK("http://www.ncbi.nlm.nih.gov/Taxonomy/Browser/wwwtax.cgi?mode=Info&amp;id=6763&amp;lvl=3&amp;lin=f&amp;keep=1&amp;srchmode=1&amp;unlock","6763")</f>
        <v>6763</v>
      </c>
      <c r="E1264" t="s">
        <v>742</v>
      </c>
      <c r="F1264" t="s">
        <v>742</v>
      </c>
      <c r="G1264" t="str">
        <f>HYPERLINK("http://www.ncbi.nlm.nih.gov/Taxonomy/Browser/wwwtax.cgi?mode=Info&amp;id=6763&amp;lvl=3&amp;lin=f&amp;keep=1&amp;srchmode=1&amp;unlock","Callinectes sapidus")</f>
        <v>Callinectes sapidus</v>
      </c>
      <c r="H1264" t="s">
        <v>1223</v>
      </c>
      <c r="I1264" t="str">
        <f>HYPERLINK("http://www.ncbi.nlm.nih.gov/protein/AGB34183.1","retinoid-X receptor-2")</f>
        <v>retinoid-X receptor-2</v>
      </c>
      <c r="J1264" t="s">
        <v>1261</v>
      </c>
      <c r="K1264">
        <v>53.14</v>
      </c>
      <c r="L1264" t="s">
        <v>25</v>
      </c>
      <c r="M1264">
        <v>157</v>
      </c>
      <c r="N1264">
        <v>62.55</v>
      </c>
      <c r="O1264">
        <v>10.33</v>
      </c>
      <c r="P1264" t="s">
        <v>25</v>
      </c>
      <c r="Q1264" t="s">
        <v>1262</v>
      </c>
      <c r="R1264" t="s">
        <v>20</v>
      </c>
      <c r="S1264" t="str">
        <f>HYPERLINK("https://cfpub.epa.gov/ecotox/explore.cfm?ncbi=6763","Explore in ECOTOX")</f>
        <v>Explore in ECOTOX</v>
      </c>
    </row>
    <row r="1265" spans="1:19" x14ac:dyDescent="0.25">
      <c r="A1265">
        <v>6</v>
      </c>
      <c r="B1265" t="str">
        <f>HYPERLINK("http://www.ncbi.nlm.nih.gov/protein/XP_014784337.1","XP_014784337.1")</f>
        <v>XP_014784337.1</v>
      </c>
      <c r="C1265">
        <v>62925</v>
      </c>
      <c r="D1265" t="str">
        <f>HYPERLINK("http://www.ncbi.nlm.nih.gov/Taxonomy/Browser/wwwtax.cgi?mode=Info&amp;id=37653&amp;lvl=3&amp;lin=f&amp;keep=1&amp;srchmode=1&amp;unlock","37653")</f>
        <v>37653</v>
      </c>
      <c r="E1265" t="s">
        <v>786</v>
      </c>
      <c r="F1265" t="s">
        <v>786</v>
      </c>
      <c r="G1265" t="str">
        <f>HYPERLINK("http://www.ncbi.nlm.nih.gov/Taxonomy/Browser/wwwtax.cgi?mode=Info&amp;id=37653&amp;lvl=3&amp;lin=f&amp;keep=1&amp;srchmode=1&amp;unlock","Octopus bimaculoides")</f>
        <v>Octopus bimaculoides</v>
      </c>
      <c r="H1265" t="s">
        <v>834</v>
      </c>
      <c r="I1265" t="str">
        <f>HYPERLINK("http://www.ncbi.nlm.nih.gov/protein/XP_014784337.1","PREDICTED: estrogen receptor-like, partial")</f>
        <v>PREDICTED: estrogen receptor-like, partial</v>
      </c>
      <c r="J1265" t="s">
        <v>1261</v>
      </c>
      <c r="K1265">
        <v>52.76</v>
      </c>
      <c r="L1265" t="s">
        <v>25</v>
      </c>
      <c r="M1265">
        <v>157</v>
      </c>
      <c r="N1265">
        <v>62.55</v>
      </c>
      <c r="O1265">
        <v>10.26</v>
      </c>
      <c r="P1265" t="s">
        <v>25</v>
      </c>
      <c r="Q1265" t="s">
        <v>1262</v>
      </c>
      <c r="R1265" t="s">
        <v>20</v>
      </c>
      <c r="S1265" t="str">
        <f>HYPERLINK("https://cfpub.epa.gov/ecotox/explore.cfm?ncbi=37653","Explore in ECOTOX")</f>
        <v>Explore in ECOTOX</v>
      </c>
    </row>
    <row r="1266" spans="1:19" x14ac:dyDescent="0.25">
      <c r="A1266">
        <v>6</v>
      </c>
      <c r="B1266" t="str">
        <f>HYPERLINK("http://www.ncbi.nlm.nih.gov/protein/ASL70522.1","ASL70522.1")</f>
        <v>ASL70522.1</v>
      </c>
      <c r="C1266">
        <v>25285</v>
      </c>
      <c r="D1266" t="str">
        <f>HYPERLINK("http://www.ncbi.nlm.nih.gov/Taxonomy/Browser/wwwtax.cgi?mode=Info&amp;id=104777&amp;lvl=3&amp;lin=f&amp;keep=1&amp;srchmode=1&amp;unlock","104777")</f>
        <v>104777</v>
      </c>
      <c r="E1266" t="s">
        <v>855</v>
      </c>
      <c r="F1266" t="s">
        <v>855</v>
      </c>
      <c r="G1266" t="str">
        <f>HYPERLINK("http://www.ncbi.nlm.nih.gov/Taxonomy/Browser/wwwtax.cgi?mode=Info&amp;id=104777&amp;lvl=3&amp;lin=f&amp;keep=1&amp;srchmode=1&amp;unlock","Brachionus calyciflorus")</f>
        <v>Brachionus calyciflorus</v>
      </c>
      <c r="H1266" t="s">
        <v>856</v>
      </c>
      <c r="I1266" t="str">
        <f>HYPERLINK("http://www.ncbi.nlm.nih.gov/protein/ASL70522.1","nuclear receptor")</f>
        <v>nuclear receptor</v>
      </c>
      <c r="J1266" t="s">
        <v>1261</v>
      </c>
      <c r="K1266">
        <v>52.76</v>
      </c>
      <c r="L1266" t="s">
        <v>25</v>
      </c>
      <c r="M1266">
        <v>157</v>
      </c>
      <c r="N1266">
        <v>62.55</v>
      </c>
      <c r="O1266">
        <v>10.26</v>
      </c>
      <c r="P1266" t="s">
        <v>25</v>
      </c>
      <c r="Q1266" t="s">
        <v>1262</v>
      </c>
      <c r="R1266" t="s">
        <v>20</v>
      </c>
      <c r="S1266" t="str">
        <f>HYPERLINK("https://cfpub.epa.gov/ecotox/explore.cfm?ncbi=104777","Explore in ECOTOX")</f>
        <v>Explore in ECOTOX</v>
      </c>
    </row>
    <row r="1267" spans="1:19" x14ac:dyDescent="0.25">
      <c r="A1267">
        <v>6</v>
      </c>
      <c r="B1267" t="str">
        <f>HYPERLINK("http://www.ncbi.nlm.nih.gov/protein/AGX85511.1","AGX85511.1")</f>
        <v>AGX85511.1</v>
      </c>
      <c r="C1267">
        <v>254</v>
      </c>
      <c r="D1267" t="str">
        <f>HYPERLINK("http://www.ncbi.nlm.nih.gov/Taxonomy/Browser/wwwtax.cgi?mode=Info&amp;id=6761&amp;lvl=3&amp;lin=f&amp;keep=1&amp;srchmode=1&amp;unlock","6761")</f>
        <v>6761</v>
      </c>
      <c r="E1267" t="s">
        <v>742</v>
      </c>
      <c r="F1267" t="s">
        <v>742</v>
      </c>
      <c r="G1267" t="str">
        <f>HYPERLINK("http://www.ncbi.nlm.nih.gov/Taxonomy/Browser/wwwtax.cgi?mode=Info&amp;id=6761&amp;lvl=3&amp;lin=f&amp;keep=1&amp;srchmode=1&amp;unlock","Scylla serrata")</f>
        <v>Scylla serrata</v>
      </c>
      <c r="H1267" t="s">
        <v>1251</v>
      </c>
      <c r="I1267" t="str">
        <f>HYPERLINK("http://www.ncbi.nlm.nih.gov/protein/AGX85511.1","retinoid X receptor, partial")</f>
        <v>retinoid X receptor, partial</v>
      </c>
      <c r="J1267" t="s">
        <v>1261</v>
      </c>
      <c r="K1267">
        <v>52.76</v>
      </c>
      <c r="L1267" t="s">
        <v>25</v>
      </c>
      <c r="M1267">
        <v>157</v>
      </c>
      <c r="N1267">
        <v>62.55</v>
      </c>
      <c r="O1267">
        <v>10.26</v>
      </c>
      <c r="P1267" t="s">
        <v>25</v>
      </c>
      <c r="Q1267" t="s">
        <v>1262</v>
      </c>
      <c r="R1267" t="s">
        <v>20</v>
      </c>
      <c r="S1267" t="str">
        <f>HYPERLINK("https://cfpub.epa.gov/ecotox/explore.cfm?ncbi=6761","Explore in ECOTOX")</f>
        <v>Explore in ECOTOX</v>
      </c>
    </row>
    <row r="1268" spans="1:19" x14ac:dyDescent="0.25">
      <c r="A1268">
        <v>6</v>
      </c>
      <c r="B1268" t="str">
        <f>HYPERLINK("http://www.ncbi.nlm.nih.gov/protein/BAM66778.1","BAM66778.1")</f>
        <v>BAM66778.1</v>
      </c>
      <c r="C1268">
        <v>80</v>
      </c>
      <c r="D1268" t="str">
        <f>HYPERLINK("http://www.ncbi.nlm.nih.gov/Taxonomy/Browser/wwwtax.cgi?mode=Info&amp;id=7723&amp;lvl=3&amp;lin=f&amp;keep=1&amp;srchmode=1&amp;unlock","7723")</f>
        <v>7723</v>
      </c>
      <c r="E1268" t="s">
        <v>691</v>
      </c>
      <c r="F1268" t="s">
        <v>691</v>
      </c>
      <c r="G1268" t="str">
        <f>HYPERLINK("http://www.ncbi.nlm.nih.gov/Taxonomy/Browser/wwwtax.cgi?mode=Info&amp;id=7723&amp;lvl=3&amp;lin=f&amp;keep=1&amp;srchmode=1&amp;unlock","Polyandrocarpa misakiensis")</f>
        <v>Polyandrocarpa misakiensis</v>
      </c>
      <c r="H1268" t="s">
        <v>693</v>
      </c>
      <c r="I1268" t="str">
        <f>HYPERLINK("http://www.ncbi.nlm.nih.gov/protein/BAM66778.1","retinoid X receptor")</f>
        <v>retinoid X receptor</v>
      </c>
      <c r="J1268" t="s">
        <v>1261</v>
      </c>
      <c r="K1268">
        <v>52.37</v>
      </c>
      <c r="L1268" t="s">
        <v>25</v>
      </c>
      <c r="M1268">
        <v>157</v>
      </c>
      <c r="N1268">
        <v>62.55</v>
      </c>
      <c r="O1268">
        <v>10.18</v>
      </c>
      <c r="P1268" t="s">
        <v>25</v>
      </c>
      <c r="Q1268" t="s">
        <v>1262</v>
      </c>
      <c r="R1268" t="s">
        <v>20</v>
      </c>
      <c r="S1268" t="str">
        <f>HYPERLINK("https://cfpub.epa.gov/ecotox/explore.cfm?ncbi=7723","Explore in ECOTOX")</f>
        <v>Explore in ECOTOX</v>
      </c>
    </row>
    <row r="1269" spans="1:19" x14ac:dyDescent="0.25">
      <c r="A1269">
        <v>6</v>
      </c>
      <c r="B1269" t="str">
        <f>HYPERLINK("http://www.ncbi.nlm.nih.gov/protein/AJT60337.1","AJT60337.1")</f>
        <v>AJT60337.1</v>
      </c>
      <c r="C1269">
        <v>507</v>
      </c>
      <c r="D1269" t="str">
        <f>HYPERLINK("http://www.ncbi.nlm.nih.gov/Taxonomy/Browser/wwwtax.cgi?mode=Info&amp;id=27406&amp;lvl=3&amp;lin=f&amp;keep=1&amp;srchmode=1&amp;unlock","27406")</f>
        <v>27406</v>
      </c>
      <c r="E1269" t="s">
        <v>742</v>
      </c>
      <c r="F1269" t="s">
        <v>742</v>
      </c>
      <c r="G1269" t="str">
        <f>HYPERLINK("http://www.ncbi.nlm.nih.gov/Taxonomy/Browser/wwwtax.cgi?mode=Info&amp;id=27406&amp;lvl=3&amp;lin=f&amp;keep=1&amp;srchmode=1&amp;unlock","Cherax quadricarinatus")</f>
        <v>Cherax quadricarinatus</v>
      </c>
      <c r="H1269" t="s">
        <v>836</v>
      </c>
      <c r="I1269" t="str">
        <f>HYPERLINK("http://www.ncbi.nlm.nih.gov/protein/AJT60337.1","retinoid X receptor")</f>
        <v>retinoid X receptor</v>
      </c>
      <c r="J1269" t="s">
        <v>1261</v>
      </c>
      <c r="K1269">
        <v>52.37</v>
      </c>
      <c r="L1269" t="s">
        <v>25</v>
      </c>
      <c r="M1269">
        <v>157</v>
      </c>
      <c r="N1269">
        <v>62.55</v>
      </c>
      <c r="O1269">
        <v>10.18</v>
      </c>
      <c r="P1269" t="s">
        <v>25</v>
      </c>
      <c r="Q1269" t="s">
        <v>1262</v>
      </c>
      <c r="R1269" t="s">
        <v>20</v>
      </c>
      <c r="S1269" t="str">
        <f>HYPERLINK("https://cfpub.epa.gov/ecotox/explore.cfm?ncbi=27406","Explore in ECOTOX")</f>
        <v>Explore in ECOTOX</v>
      </c>
    </row>
    <row r="1270" spans="1:19" x14ac:dyDescent="0.25">
      <c r="A1270">
        <v>6</v>
      </c>
      <c r="B1270" t="str">
        <f>HYPERLINK("http://www.ncbi.nlm.nih.gov/protein/AEB21388.1","AEB21388.1")</f>
        <v>AEB21388.1</v>
      </c>
      <c r="C1270">
        <v>147</v>
      </c>
      <c r="D1270" t="str">
        <f>HYPERLINK("http://www.ncbi.nlm.nih.gov/Taxonomy/Browser/wwwtax.cgi?mode=Info&amp;id=35630&amp;lvl=3&amp;lin=f&amp;keep=1&amp;srchmode=1&amp;unlock","35630")</f>
        <v>35630</v>
      </c>
      <c r="E1270" t="s">
        <v>1214</v>
      </c>
      <c r="F1270" t="s">
        <v>1214</v>
      </c>
      <c r="G1270" t="str">
        <f>HYPERLINK("http://www.ncbi.nlm.nih.gov/Taxonomy/Browser/wwwtax.cgi?mode=Info&amp;id=35630&amp;lvl=3&amp;lin=f&amp;keep=1&amp;srchmode=1&amp;unlock","Hydractinia echinata")</f>
        <v>Hydractinia echinata</v>
      </c>
      <c r="H1270" t="s">
        <v>1257</v>
      </c>
      <c r="I1270" t="str">
        <f>HYPERLINK("http://www.ncbi.nlm.nih.gov/protein/AEB21388.1","COUP-TF protein, partial")</f>
        <v>COUP-TF protein, partial</v>
      </c>
      <c r="J1270" t="s">
        <v>1261</v>
      </c>
      <c r="K1270">
        <v>52.37</v>
      </c>
      <c r="L1270" t="s">
        <v>25</v>
      </c>
      <c r="M1270">
        <v>157</v>
      </c>
      <c r="N1270">
        <v>62.55</v>
      </c>
      <c r="O1270">
        <v>10.18</v>
      </c>
      <c r="P1270" t="s">
        <v>25</v>
      </c>
      <c r="Q1270" t="s">
        <v>1262</v>
      </c>
      <c r="R1270" t="s">
        <v>20</v>
      </c>
      <c r="S1270" t="str">
        <f>HYPERLINK("https://cfpub.epa.gov/ecotox/explore.cfm?ncbi=35630","Explore in ECOTOX")</f>
        <v>Explore in ECOTOX</v>
      </c>
    </row>
    <row r="1271" spans="1:19" x14ac:dyDescent="0.25">
      <c r="A1271">
        <v>6</v>
      </c>
      <c r="B1271" t="str">
        <f>HYPERLINK("http://www.ncbi.nlm.nih.gov/protein/KAE9555720.1","KAE9555720.1")</f>
        <v>KAE9555720.1</v>
      </c>
      <c r="C1271">
        <v>10997</v>
      </c>
      <c r="D1271" t="str">
        <f>HYPERLINK("http://www.ncbi.nlm.nih.gov/Taxonomy/Browser/wwwtax.cgi?mode=Info&amp;id=2598192&amp;lvl=3&amp;lin=f&amp;keep=1&amp;srchmode=1&amp;unlock","2598192")</f>
        <v>2598192</v>
      </c>
      <c r="E1271" t="s">
        <v>869</v>
      </c>
      <c r="F1271" t="s">
        <v>869</v>
      </c>
      <c r="G1271" t="str">
        <f>HYPERLINK("http://www.ncbi.nlm.nih.gov/Taxonomy/Browser/wwwtax.cgi?mode=Info&amp;id=2598192&amp;lvl=3&amp;lin=f&amp;keep=1&amp;srchmode=1&amp;unlock","Halicephalobus sp. NKZ332")</f>
        <v>Halicephalobus sp. NKZ332</v>
      </c>
      <c r="H1271" t="s">
        <v>803</v>
      </c>
      <c r="I1271" t="str">
        <f>HYPERLINK("http://www.ncbi.nlm.nih.gov/protein/KAE9555720.1","hypothetical protein FO519_001072")</f>
        <v>hypothetical protein FO519_001072</v>
      </c>
      <c r="J1271" t="s">
        <v>1261</v>
      </c>
      <c r="K1271">
        <v>51.99</v>
      </c>
      <c r="L1271" t="s">
        <v>25</v>
      </c>
      <c r="M1271">
        <v>157</v>
      </c>
      <c r="N1271">
        <v>62.55</v>
      </c>
      <c r="O1271">
        <v>10.11</v>
      </c>
      <c r="P1271" t="s">
        <v>25</v>
      </c>
      <c r="Q1271" t="s">
        <v>1262</v>
      </c>
      <c r="R1271" t="s">
        <v>20</v>
      </c>
      <c r="S1271" t="str">
        <f>HYPERLINK("https://cfpub.epa.gov/ecotox/explore.cfm?ncbi=2598192","Explore in ECOTOX")</f>
        <v>Explore in ECOTOX</v>
      </c>
    </row>
    <row r="1272" spans="1:19" x14ac:dyDescent="0.25">
      <c r="A1272">
        <v>6</v>
      </c>
      <c r="B1272" t="str">
        <f>HYPERLINK("http://www.ncbi.nlm.nih.gov/protein/EYB91076.1","EYB91076.1")</f>
        <v>EYB91076.1</v>
      </c>
      <c r="C1272">
        <v>81587</v>
      </c>
      <c r="D1272" t="str">
        <f>HYPERLINK("http://www.ncbi.nlm.nih.gov/Taxonomy/Browser/wwwtax.cgi?mode=Info&amp;id=53326&amp;lvl=3&amp;lin=f&amp;keep=1&amp;srchmode=1&amp;unlock","53326")</f>
        <v>53326</v>
      </c>
      <c r="E1272" t="s">
        <v>869</v>
      </c>
      <c r="F1272" t="s">
        <v>869</v>
      </c>
      <c r="G1272" t="str">
        <f>HYPERLINK("http://www.ncbi.nlm.nih.gov/Taxonomy/Browser/wwwtax.cgi?mode=Info&amp;id=53326&amp;lvl=3&amp;lin=f&amp;keep=1&amp;srchmode=1&amp;unlock","Ancylostoma ceylanicum")</f>
        <v>Ancylostoma ceylanicum</v>
      </c>
      <c r="H1272" t="s">
        <v>803</v>
      </c>
      <c r="I1272" t="str">
        <f>HYPERLINK("http://www.ncbi.nlm.nih.gov/protein/EYB91076.1","hypothetical protein Y032_0211g2217")</f>
        <v>hypothetical protein Y032_0211g2217</v>
      </c>
      <c r="J1272" t="s">
        <v>1261</v>
      </c>
      <c r="K1272">
        <v>51.99</v>
      </c>
      <c r="L1272" t="s">
        <v>25</v>
      </c>
      <c r="M1272">
        <v>157</v>
      </c>
      <c r="N1272">
        <v>62.55</v>
      </c>
      <c r="O1272">
        <v>10.11</v>
      </c>
      <c r="P1272" t="s">
        <v>25</v>
      </c>
      <c r="Q1272" t="s">
        <v>1262</v>
      </c>
      <c r="R1272" t="s">
        <v>20</v>
      </c>
      <c r="S1272" t="str">
        <f>HYPERLINK("https://cfpub.epa.gov/ecotox/explore.cfm?ncbi=53326","Explore in ECOTOX")</f>
        <v>Explore in ECOTOX</v>
      </c>
    </row>
    <row r="1273" spans="1:19" x14ac:dyDescent="0.25">
      <c r="A1273">
        <v>6</v>
      </c>
      <c r="B1273" t="str">
        <f>HYPERLINK("http://www.ncbi.nlm.nih.gov/protein/RCN46524.1","RCN46524.1")</f>
        <v>RCN46524.1</v>
      </c>
      <c r="C1273">
        <v>30347</v>
      </c>
      <c r="D1273" t="str">
        <f>HYPERLINK("http://www.ncbi.nlm.nih.gov/Taxonomy/Browser/wwwtax.cgi?mode=Info&amp;id=29170&amp;lvl=3&amp;lin=f&amp;keep=1&amp;srchmode=1&amp;unlock","29170")</f>
        <v>29170</v>
      </c>
      <c r="E1273" t="s">
        <v>869</v>
      </c>
      <c r="F1273" t="s">
        <v>869</v>
      </c>
      <c r="G1273" t="str">
        <f>HYPERLINK("http://www.ncbi.nlm.nih.gov/Taxonomy/Browser/wwwtax.cgi?mode=Info&amp;id=29170&amp;lvl=3&amp;lin=f&amp;keep=1&amp;srchmode=1&amp;unlock","Ancylostoma caninum")</f>
        <v>Ancylostoma caninum</v>
      </c>
      <c r="H1273" t="s">
        <v>961</v>
      </c>
      <c r="I1273" t="str">
        <f>HYPERLINK("http://www.ncbi.nlm.nih.gov/protein/RCN46524.1","Ligand-binding domain of nuclear hormone receptor")</f>
        <v>Ligand-binding domain of nuclear hormone receptor</v>
      </c>
      <c r="J1273" t="s">
        <v>1261</v>
      </c>
      <c r="K1273">
        <v>51.99</v>
      </c>
      <c r="L1273" t="s">
        <v>25</v>
      </c>
      <c r="M1273">
        <v>157</v>
      </c>
      <c r="N1273">
        <v>62.55</v>
      </c>
      <c r="O1273">
        <v>10.11</v>
      </c>
      <c r="P1273" t="s">
        <v>25</v>
      </c>
      <c r="Q1273" t="s">
        <v>1262</v>
      </c>
      <c r="R1273" t="s">
        <v>20</v>
      </c>
      <c r="S1273" t="str">
        <f>HYPERLINK("https://cfpub.epa.gov/ecotox/explore.cfm?ncbi=29170","Explore in ECOTOX")</f>
        <v>Explore in ECOTOX</v>
      </c>
    </row>
    <row r="1274" spans="1:19" x14ac:dyDescent="0.25">
      <c r="A1274">
        <v>6</v>
      </c>
      <c r="B1274" t="str">
        <f>HYPERLINK("http://www.ncbi.nlm.nih.gov/protein/CAD7619791.1","CAD7619791.1")</f>
        <v>CAD7619791.1</v>
      </c>
      <c r="C1274">
        <v>23367</v>
      </c>
      <c r="D1274" t="str">
        <f>HYPERLINK("http://www.ncbi.nlm.nih.gov/Taxonomy/Browser/wwwtax.cgi?mode=Info&amp;id=1979941&amp;lvl=3&amp;lin=f&amp;keep=1&amp;srchmode=1&amp;unlock","1979941")</f>
        <v>1979941</v>
      </c>
      <c r="E1274" t="s">
        <v>700</v>
      </c>
      <c r="F1274" t="s">
        <v>700</v>
      </c>
      <c r="G1274" t="str">
        <f>HYPERLINK("http://www.ncbi.nlm.nih.gov/Taxonomy/Browser/wwwtax.cgi?mode=Info&amp;id=1979941&amp;lvl=3&amp;lin=f&amp;keep=1&amp;srchmode=1&amp;unlock","Medioppia subpectinata")</f>
        <v>Medioppia subpectinata</v>
      </c>
      <c r="H1274" t="s">
        <v>714</v>
      </c>
      <c r="I1274" t="str">
        <f>HYPERLINK("http://www.ncbi.nlm.nih.gov/protein/CAD7619791.1","unnamed protein product")</f>
        <v>unnamed protein product</v>
      </c>
      <c r="J1274" t="s">
        <v>1261</v>
      </c>
      <c r="K1274">
        <v>51.99</v>
      </c>
      <c r="L1274" t="s">
        <v>25</v>
      </c>
      <c r="M1274">
        <v>157</v>
      </c>
      <c r="N1274">
        <v>62.55</v>
      </c>
      <c r="O1274">
        <v>10.11</v>
      </c>
      <c r="P1274" t="s">
        <v>25</v>
      </c>
      <c r="Q1274" t="s">
        <v>1262</v>
      </c>
      <c r="R1274" t="s">
        <v>20</v>
      </c>
      <c r="S1274" t="str">
        <f>HYPERLINK("https://cfpub.epa.gov/ecotox/explore.cfm?ncbi=1979941","Explore in ECOTOX")</f>
        <v>Explore in ECOTOX</v>
      </c>
    </row>
    <row r="1275" spans="1:19" x14ac:dyDescent="0.25">
      <c r="A1275">
        <v>6</v>
      </c>
      <c r="B1275" t="str">
        <f>HYPERLINK("http://www.ncbi.nlm.nih.gov/protein/KAF0288423.1","KAF0288423.1")</f>
        <v>KAF0288423.1</v>
      </c>
      <c r="C1275">
        <v>28245</v>
      </c>
      <c r="D1275" t="str">
        <f>HYPERLINK("http://www.ncbi.nlm.nih.gov/Taxonomy/Browser/wwwtax.cgi?mode=Info&amp;id=1232801&amp;lvl=3&amp;lin=f&amp;keep=1&amp;srchmode=1&amp;unlock","1232801")</f>
        <v>1232801</v>
      </c>
      <c r="E1275" t="s">
        <v>760</v>
      </c>
      <c r="F1275" t="s">
        <v>760</v>
      </c>
      <c r="G1275" t="str">
        <f>HYPERLINK("http://www.ncbi.nlm.nih.gov/Taxonomy/Browser/wwwtax.cgi?mode=Info&amp;id=1232801&amp;lvl=3&amp;lin=f&amp;keep=1&amp;srchmode=1&amp;unlock","Amphibalanus amphitrite")</f>
        <v>Amphibalanus amphitrite</v>
      </c>
      <c r="H1275" t="s">
        <v>761</v>
      </c>
      <c r="I1275" t="str">
        <f>HYPERLINK("http://www.ncbi.nlm.nih.gov/protein/KAF0288423.1","Steroid hormone receptor ERR2")</f>
        <v>Steroid hormone receptor ERR2</v>
      </c>
      <c r="J1275" t="s">
        <v>1261</v>
      </c>
      <c r="K1275">
        <v>51.6</v>
      </c>
      <c r="L1275" t="s">
        <v>25</v>
      </c>
      <c r="M1275">
        <v>157</v>
      </c>
      <c r="N1275">
        <v>62.55</v>
      </c>
      <c r="O1275">
        <v>10.029999999999999</v>
      </c>
      <c r="P1275" t="s">
        <v>25</v>
      </c>
      <c r="Q1275" t="s">
        <v>1262</v>
      </c>
      <c r="R1275" t="s">
        <v>20</v>
      </c>
      <c r="S1275" t="str">
        <f>HYPERLINK("https://cfpub.epa.gov/ecotox/explore.cfm?ncbi=1232801","Explore in ECOTOX")</f>
        <v>Explore in ECOTOX</v>
      </c>
    </row>
    <row r="1276" spans="1:19" x14ac:dyDescent="0.25">
      <c r="A1276">
        <v>6</v>
      </c>
      <c r="B1276" t="str">
        <f>HYPERLINK("http://www.ncbi.nlm.nih.gov/protein/ASL70568.1","ASL70568.1")</f>
        <v>ASL70568.1</v>
      </c>
      <c r="C1276">
        <v>53037</v>
      </c>
      <c r="D1276" t="str">
        <f>HYPERLINK("http://www.ncbi.nlm.nih.gov/Taxonomy/Browser/wwwtax.cgi?mode=Info&amp;id=10195&amp;lvl=3&amp;lin=f&amp;keep=1&amp;srchmode=1&amp;unlock","10195")</f>
        <v>10195</v>
      </c>
      <c r="E1276" t="s">
        <v>855</v>
      </c>
      <c r="F1276" t="s">
        <v>855</v>
      </c>
      <c r="G1276" t="str">
        <f>HYPERLINK("http://www.ncbi.nlm.nih.gov/Taxonomy/Browser/wwwtax.cgi?mode=Info&amp;id=10195&amp;lvl=3&amp;lin=f&amp;keep=1&amp;srchmode=1&amp;unlock","Brachionus plicatilis")</f>
        <v>Brachionus plicatilis</v>
      </c>
      <c r="H1276" t="s">
        <v>856</v>
      </c>
      <c r="I1276" t="str">
        <f>HYPERLINK("http://www.ncbi.nlm.nih.gov/protein/ASL70568.1","nuclear receptor")</f>
        <v>nuclear receptor</v>
      </c>
      <c r="J1276" t="s">
        <v>1261</v>
      </c>
      <c r="K1276">
        <v>51.6</v>
      </c>
      <c r="L1276" t="s">
        <v>25</v>
      </c>
      <c r="M1276">
        <v>157</v>
      </c>
      <c r="N1276">
        <v>62.55</v>
      </c>
      <c r="O1276">
        <v>10.029999999999999</v>
      </c>
      <c r="P1276" t="s">
        <v>25</v>
      </c>
      <c r="Q1276" t="s">
        <v>1262</v>
      </c>
      <c r="R1276" t="s">
        <v>20</v>
      </c>
      <c r="S1276" t="str">
        <f>HYPERLINK("https://cfpub.epa.gov/ecotox/explore.cfm?ncbi=10195","Explore in ECOTOX")</f>
        <v>Explore in ECOTOX</v>
      </c>
    </row>
    <row r="1277" spans="1:19" x14ac:dyDescent="0.25">
      <c r="A1277">
        <v>6</v>
      </c>
      <c r="B1277" t="str">
        <f>HYPERLINK("http://www.ncbi.nlm.nih.gov/protein/QDK54779.1","QDK54779.1")</f>
        <v>QDK54779.1</v>
      </c>
      <c r="C1277">
        <v>83</v>
      </c>
      <c r="D1277" t="str">
        <f>HYPERLINK("http://www.ncbi.nlm.nih.gov/Taxonomy/Browser/wwwtax.cgi?mode=Info&amp;id=426483&amp;lvl=3&amp;lin=f&amp;keep=1&amp;srchmode=1&amp;unlock","426483")</f>
        <v>426483</v>
      </c>
      <c r="E1277" t="s">
        <v>384</v>
      </c>
      <c r="F1277" t="s">
        <v>384</v>
      </c>
      <c r="G1277" t="str">
        <f>HYPERLINK("http://www.ncbi.nlm.nih.gov/Taxonomy/Browser/wwwtax.cgi?mode=Info&amp;id=426483&amp;lvl=3&amp;lin=f&amp;keep=1&amp;srchmode=1&amp;unlock","Mugil incilis")</f>
        <v>Mugil incilis</v>
      </c>
      <c r="H1277" t="s">
        <v>1218</v>
      </c>
      <c r="I1277" t="str">
        <f>HYPERLINK("http://www.ncbi.nlm.nih.gov/protein/QDK54779.1","retinoic acid receptor RXR-alpha isoform X2, partial")</f>
        <v>retinoic acid receptor RXR-alpha isoform X2, partial</v>
      </c>
      <c r="J1277" t="s">
        <v>1261</v>
      </c>
      <c r="K1277">
        <v>51.22</v>
      </c>
      <c r="L1277" t="s">
        <v>25</v>
      </c>
      <c r="M1277">
        <v>157</v>
      </c>
      <c r="N1277">
        <v>62.55</v>
      </c>
      <c r="O1277">
        <v>9.9600000000000009</v>
      </c>
      <c r="P1277" t="s">
        <v>20</v>
      </c>
      <c r="Q1277" t="s">
        <v>1262</v>
      </c>
      <c r="R1277" t="s">
        <v>20</v>
      </c>
      <c r="S1277" t="str">
        <f>HYPERLINK("https://cfpub.epa.gov/ecotox/explore.cfm?ncbi=426483","Explore in ECOTOX")</f>
        <v>Explore in ECOTOX</v>
      </c>
    </row>
    <row r="1278" spans="1:19" x14ac:dyDescent="0.25">
      <c r="A1278">
        <v>6</v>
      </c>
      <c r="B1278" t="str">
        <f>HYPERLINK("http://www.ncbi.nlm.nih.gov/protein/VDM59965.1","VDM59965.1")</f>
        <v>VDM59965.1</v>
      </c>
      <c r="C1278">
        <v>13409</v>
      </c>
      <c r="D1278" t="str">
        <f>HYPERLINK("http://www.ncbi.nlm.nih.gov/Taxonomy/Browser/wwwtax.cgi?mode=Info&amp;id=334426&amp;lvl=3&amp;lin=f&amp;keep=1&amp;srchmode=1&amp;unlock","334426")</f>
        <v>334426</v>
      </c>
      <c r="E1278" t="s">
        <v>869</v>
      </c>
      <c r="F1278" t="s">
        <v>869</v>
      </c>
      <c r="G1278" t="str">
        <f>HYPERLINK("http://www.ncbi.nlm.nih.gov/Taxonomy/Browser/wwwtax.cgi?mode=Info&amp;id=334426&amp;lvl=3&amp;lin=f&amp;keep=1&amp;srchmode=1&amp;unlock","Angiostrongylus costaricensis")</f>
        <v>Angiostrongylus costaricensis</v>
      </c>
      <c r="H1278" t="s">
        <v>1229</v>
      </c>
      <c r="I1278" t="str">
        <f>HYPERLINK("http://www.ncbi.nlm.nih.gov/protein/VDM59965.1","unnamed protein product")</f>
        <v>unnamed protein product</v>
      </c>
      <c r="J1278" t="s">
        <v>1261</v>
      </c>
      <c r="K1278">
        <v>51.22</v>
      </c>
      <c r="L1278" t="s">
        <v>25</v>
      </c>
      <c r="M1278">
        <v>157</v>
      </c>
      <c r="N1278">
        <v>62.55</v>
      </c>
      <c r="O1278">
        <v>9.9600000000000009</v>
      </c>
      <c r="P1278" t="s">
        <v>25</v>
      </c>
      <c r="Q1278" t="s">
        <v>1262</v>
      </c>
      <c r="R1278" t="s">
        <v>20</v>
      </c>
      <c r="S1278" t="str">
        <f>HYPERLINK("https://cfpub.epa.gov/ecotox/explore.cfm?ncbi=334426","Explore in ECOTOX")</f>
        <v>Explore in ECOTOX</v>
      </c>
    </row>
    <row r="1279" spans="1:19" x14ac:dyDescent="0.25">
      <c r="A1279">
        <v>6</v>
      </c>
      <c r="B1279" t="str">
        <f>HYPERLINK("http://www.ncbi.nlm.nih.gov/protein/XP_013297850.1","XP_013297850.1")</f>
        <v>XP_013297850.1</v>
      </c>
      <c r="C1279">
        <v>38486</v>
      </c>
      <c r="D1279" t="str">
        <f>HYPERLINK("http://www.ncbi.nlm.nih.gov/Taxonomy/Browser/wwwtax.cgi?mode=Info&amp;id=51031&amp;lvl=3&amp;lin=f&amp;keep=1&amp;srchmode=1&amp;unlock","51031")</f>
        <v>51031</v>
      </c>
      <c r="E1279" t="s">
        <v>869</v>
      </c>
      <c r="F1279" t="s">
        <v>869</v>
      </c>
      <c r="G1279" t="str">
        <f>HYPERLINK("http://www.ncbi.nlm.nih.gov/Taxonomy/Browser/wwwtax.cgi?mode=Info&amp;id=51031&amp;lvl=3&amp;lin=f&amp;keep=1&amp;srchmode=1&amp;unlock","Necator americanus")</f>
        <v>Necator americanus</v>
      </c>
      <c r="H1279" t="s">
        <v>803</v>
      </c>
      <c r="I1279" t="str">
        <f>HYPERLINK("http://www.ncbi.nlm.nih.gov/protein/XP_013297850.1","Ligand-binding domain of nuclear hormone receptor")</f>
        <v>Ligand-binding domain of nuclear hormone receptor</v>
      </c>
      <c r="J1279" t="s">
        <v>1261</v>
      </c>
      <c r="K1279">
        <v>51.22</v>
      </c>
      <c r="L1279" t="s">
        <v>25</v>
      </c>
      <c r="M1279">
        <v>157</v>
      </c>
      <c r="N1279">
        <v>62.55</v>
      </c>
      <c r="O1279">
        <v>9.9600000000000009</v>
      </c>
      <c r="P1279" t="s">
        <v>25</v>
      </c>
      <c r="Q1279" t="s">
        <v>1262</v>
      </c>
      <c r="R1279" t="s">
        <v>20</v>
      </c>
      <c r="S1279" t="str">
        <f>HYPERLINK("https://cfpub.epa.gov/ecotox/explore.cfm?ncbi=51031","Explore in ECOTOX")</f>
        <v>Explore in ECOTOX</v>
      </c>
    </row>
    <row r="1280" spans="1:19" x14ac:dyDescent="0.25">
      <c r="A1280">
        <v>6</v>
      </c>
      <c r="B1280" t="str">
        <f>HYPERLINK("http://www.ncbi.nlm.nih.gov/protein/BBC78045.1","BBC78045.1")</f>
        <v>BBC78045.1</v>
      </c>
      <c r="C1280">
        <v>27</v>
      </c>
      <c r="D1280" t="str">
        <f>HYPERLINK("http://www.ncbi.nlm.nih.gov/Taxonomy/Browser/wwwtax.cgi?mode=Info&amp;id=1970748&amp;lvl=3&amp;lin=f&amp;keep=1&amp;srchmode=1&amp;unlock","1970748")</f>
        <v>1970748</v>
      </c>
      <c r="E1280" t="s">
        <v>709</v>
      </c>
      <c r="F1280" t="s">
        <v>709</v>
      </c>
      <c r="G1280" t="str">
        <f>HYPERLINK("http://www.ncbi.nlm.nih.gov/Taxonomy/Browser/wwwtax.cgi?mode=Info&amp;id=1970748&amp;lvl=3&amp;lin=f&amp;keep=1&amp;srchmode=1&amp;unlock","Nodularia douglasiae biwae")</f>
        <v>Nodularia douglasiae biwae</v>
      </c>
      <c r="H1280" t="s">
        <v>1094</v>
      </c>
      <c r="I1280" t="str">
        <f>HYPERLINK("http://www.ncbi.nlm.nih.gov/protein/BBC78045.1","retinoid X receptor")</f>
        <v>retinoid X receptor</v>
      </c>
      <c r="J1280" t="s">
        <v>1261</v>
      </c>
      <c r="K1280">
        <v>50.83</v>
      </c>
      <c r="L1280" t="s">
        <v>25</v>
      </c>
      <c r="M1280">
        <v>157</v>
      </c>
      <c r="N1280">
        <v>62.55</v>
      </c>
      <c r="O1280">
        <v>9.89</v>
      </c>
      <c r="P1280" t="s">
        <v>25</v>
      </c>
      <c r="Q1280" t="s">
        <v>1262</v>
      </c>
      <c r="R1280" t="s">
        <v>20</v>
      </c>
      <c r="S1280" t="str">
        <f>HYPERLINK("https://cfpub.epa.gov/ecotox/explore.cfm?ncbi=1970748","Explore in ECOTOX")</f>
        <v>Explore in ECOTOX</v>
      </c>
    </row>
    <row r="1281" spans="1:19" x14ac:dyDescent="0.25">
      <c r="A1281">
        <v>6</v>
      </c>
      <c r="B1281" t="str">
        <f>HYPERLINK("http://www.ncbi.nlm.nih.gov/protein/AAL14642.1","AAL14642.1")</f>
        <v>AAL14642.1</v>
      </c>
      <c r="C1281">
        <v>380</v>
      </c>
      <c r="D1281" t="str">
        <f>HYPERLINK("http://www.ncbi.nlm.nih.gov/Taxonomy/Browser/wwwtax.cgi?mode=Info&amp;id=452646&amp;lvl=3&amp;lin=f&amp;keep=1&amp;srchmode=1&amp;unlock","452646")</f>
        <v>452646</v>
      </c>
      <c r="E1281" t="s">
        <v>18</v>
      </c>
      <c r="F1281" t="s">
        <v>18</v>
      </c>
      <c r="G1281" t="str">
        <f>HYPERLINK("http://www.ncbi.nlm.nih.gov/Taxonomy/Browser/wwwtax.cgi?mode=Info&amp;id=452646&amp;lvl=3&amp;lin=f&amp;keep=1&amp;srchmode=1&amp;unlock","Neovison vison")</f>
        <v>Neovison vison</v>
      </c>
      <c r="H1281" t="s">
        <v>1242</v>
      </c>
      <c r="I1281" t="str">
        <f>HYPERLINK("http://www.ncbi.nlm.nih.gov/protein/AAL14642.1","retinoid X receptor beta, partial")</f>
        <v>retinoid X receptor beta, partial</v>
      </c>
      <c r="J1281" t="s">
        <v>1261</v>
      </c>
      <c r="K1281">
        <v>50.83</v>
      </c>
      <c r="L1281" t="s">
        <v>25</v>
      </c>
      <c r="M1281">
        <v>157</v>
      </c>
      <c r="N1281">
        <v>62.55</v>
      </c>
      <c r="O1281">
        <v>9.89</v>
      </c>
      <c r="P1281" t="s">
        <v>20</v>
      </c>
      <c r="Q1281" t="s">
        <v>1262</v>
      </c>
      <c r="R1281" t="s">
        <v>20</v>
      </c>
      <c r="S1281" t="str">
        <f>HYPERLINK("https://cfpub.epa.gov/ecotox/explore.cfm?ncbi=452646","Explore in ECOTOX")</f>
        <v>Explore in ECOTOX</v>
      </c>
    </row>
    <row r="1282" spans="1:19" x14ac:dyDescent="0.25">
      <c r="A1282">
        <v>6</v>
      </c>
      <c r="B1282" t="str">
        <f>HYPERLINK("http://www.ncbi.nlm.nih.gov/protein/XP_032219162.1","XP_032219162.1")</f>
        <v>XP_032219162.1</v>
      </c>
      <c r="C1282">
        <v>60012</v>
      </c>
      <c r="D1282" t="str">
        <f>HYPERLINK("http://www.ncbi.nlm.nih.gov/Taxonomy/Browser/wwwtax.cgi?mode=Info&amp;id=45351&amp;lvl=3&amp;lin=f&amp;keep=1&amp;srchmode=1&amp;unlock","45351")</f>
        <v>45351</v>
      </c>
      <c r="E1282" t="s">
        <v>1183</v>
      </c>
      <c r="F1282" t="s">
        <v>1183</v>
      </c>
      <c r="G1282" t="str">
        <f>HYPERLINK("http://www.ncbi.nlm.nih.gov/Taxonomy/Browser/wwwtax.cgi?mode=Info&amp;id=45351&amp;lvl=3&amp;lin=f&amp;keep=1&amp;srchmode=1&amp;unlock","Nematostella vectensis")</f>
        <v>Nematostella vectensis</v>
      </c>
      <c r="H1282" t="s">
        <v>1184</v>
      </c>
      <c r="I1282" t="str">
        <f>HYPERLINK("http://www.ncbi.nlm.nih.gov/protein/XP_032219162.1","hepatocyte nuclear factor 4-gamma")</f>
        <v>hepatocyte nuclear factor 4-gamma</v>
      </c>
      <c r="J1282" t="s">
        <v>1261</v>
      </c>
      <c r="K1282">
        <v>50.45</v>
      </c>
      <c r="L1282" t="s">
        <v>25</v>
      </c>
      <c r="M1282">
        <v>157</v>
      </c>
      <c r="N1282">
        <v>62.55</v>
      </c>
      <c r="O1282">
        <v>9.81</v>
      </c>
      <c r="P1282" t="s">
        <v>25</v>
      </c>
      <c r="Q1282" t="s">
        <v>1262</v>
      </c>
      <c r="R1282" t="s">
        <v>20</v>
      </c>
      <c r="S1282" t="str">
        <f>HYPERLINK("https://cfpub.epa.gov/ecotox/explore.cfm?ncbi=45351","Explore in ECOTOX")</f>
        <v>Explore in ECOTOX</v>
      </c>
    </row>
    <row r="1283" spans="1:19" x14ac:dyDescent="0.25">
      <c r="A1283">
        <v>6</v>
      </c>
      <c r="B1283" t="str">
        <f>HYPERLINK("http://www.ncbi.nlm.nih.gov/protein/RWS30537.1","RWS30537.1")</f>
        <v>RWS30537.1</v>
      </c>
      <c r="C1283">
        <v>14705</v>
      </c>
      <c r="D1283" t="str">
        <f>HYPERLINK("http://www.ncbi.nlm.nih.gov/Taxonomy/Browser/wwwtax.cgi?mode=Info&amp;id=299467&amp;lvl=3&amp;lin=f&amp;keep=1&amp;srchmode=1&amp;unlock","299467")</f>
        <v>299467</v>
      </c>
      <c r="E1283" t="s">
        <v>700</v>
      </c>
      <c r="F1283" t="s">
        <v>700</v>
      </c>
      <c r="G1283" t="str">
        <f>HYPERLINK("http://www.ncbi.nlm.nih.gov/Taxonomy/Browser/wwwtax.cgi?mode=Info&amp;id=299467&amp;lvl=3&amp;lin=f&amp;keep=1&amp;srchmode=1&amp;unlock","Leptotrombidium deliense")</f>
        <v>Leptotrombidium deliense</v>
      </c>
      <c r="H1283" t="s">
        <v>1190</v>
      </c>
      <c r="I1283" t="str">
        <f>HYPERLINK("http://www.ncbi.nlm.nih.gov/protein/RWS30537.1","Estrogen-related receptor gamma-like protein, partial")</f>
        <v>Estrogen-related receptor gamma-like protein, partial</v>
      </c>
      <c r="J1283" t="s">
        <v>1261</v>
      </c>
      <c r="K1283">
        <v>50.45</v>
      </c>
      <c r="L1283" t="s">
        <v>25</v>
      </c>
      <c r="M1283">
        <v>157</v>
      </c>
      <c r="N1283">
        <v>62.55</v>
      </c>
      <c r="O1283">
        <v>9.81</v>
      </c>
      <c r="P1283" t="s">
        <v>25</v>
      </c>
      <c r="Q1283" t="s">
        <v>1262</v>
      </c>
      <c r="R1283" t="s">
        <v>20</v>
      </c>
      <c r="S1283" t="str">
        <f>HYPERLINK("https://cfpub.epa.gov/ecotox/explore.cfm?ncbi=299467","Explore in ECOTOX")</f>
        <v>Explore in ECOTOX</v>
      </c>
    </row>
    <row r="1284" spans="1:19" x14ac:dyDescent="0.25">
      <c r="A1284">
        <v>6</v>
      </c>
      <c r="B1284" t="str">
        <f>HYPERLINK("http://www.ncbi.nlm.nih.gov/protein/AAC80008.1","AAC80008.1")</f>
        <v>AAC80008.1</v>
      </c>
      <c r="C1284">
        <v>98</v>
      </c>
      <c r="D1284" t="str">
        <f>HYPERLINK("http://www.ncbi.nlm.nih.gov/Taxonomy/Browser/wwwtax.cgi?mode=Info&amp;id=6141&amp;lvl=3&amp;lin=f&amp;keep=1&amp;srchmode=1&amp;unlock","6141")</f>
        <v>6141</v>
      </c>
      <c r="E1284" t="s">
        <v>1226</v>
      </c>
      <c r="F1284" t="s">
        <v>1226</v>
      </c>
      <c r="G1284" t="str">
        <f>HYPERLINK("http://www.ncbi.nlm.nih.gov/Taxonomy/Browser/wwwtax.cgi?mode=Info&amp;id=6141&amp;lvl=3&amp;lin=f&amp;keep=1&amp;srchmode=1&amp;unlock","Tripedalia cystophora")</f>
        <v>Tripedalia cystophora</v>
      </c>
      <c r="H1284" t="s">
        <v>1227</v>
      </c>
      <c r="I1284" t="str">
        <f>HYPERLINK("http://www.ncbi.nlm.nih.gov/protein/AAC80008.1","retinoic acid X receptor")</f>
        <v>retinoic acid X receptor</v>
      </c>
      <c r="J1284" t="s">
        <v>1261</v>
      </c>
      <c r="K1284">
        <v>50.45</v>
      </c>
      <c r="L1284" t="s">
        <v>25</v>
      </c>
      <c r="M1284">
        <v>157</v>
      </c>
      <c r="N1284">
        <v>62.55</v>
      </c>
      <c r="O1284">
        <v>9.81</v>
      </c>
      <c r="P1284" t="s">
        <v>25</v>
      </c>
      <c r="Q1284" t="s">
        <v>1262</v>
      </c>
      <c r="R1284" t="s">
        <v>20</v>
      </c>
      <c r="S1284" t="str">
        <f>HYPERLINK("https://cfpub.epa.gov/ecotox/explore.cfm?ncbi=6141","Explore in ECOTOX")</f>
        <v>Explore in ECOTOX</v>
      </c>
    </row>
    <row r="1285" spans="1:19" x14ac:dyDescent="0.25">
      <c r="A1285">
        <v>6</v>
      </c>
      <c r="B1285" t="str">
        <f>HYPERLINK("http://www.ncbi.nlm.nih.gov/protein/AGS58253.1","AGS58253.1")</f>
        <v>AGS58253.1</v>
      </c>
      <c r="C1285">
        <v>629</v>
      </c>
      <c r="D1285" t="str">
        <f>HYPERLINK("http://www.ncbi.nlm.nih.gov/Taxonomy/Browser/wwwtax.cgi?mode=Info&amp;id=59899&amp;lvl=3&amp;lin=f&amp;keep=1&amp;srchmode=1&amp;unlock","59899")</f>
        <v>59899</v>
      </c>
      <c r="E1285" t="s">
        <v>384</v>
      </c>
      <c r="F1285" t="s">
        <v>384</v>
      </c>
      <c r="G1285" t="str">
        <f>HYPERLINK("http://www.ncbi.nlm.nih.gov/Taxonomy/Browser/wwwtax.cgi?mode=Info&amp;id=59899&amp;lvl=3&amp;lin=f&amp;keep=1&amp;srchmode=1&amp;unlock","Clarias batrachus")</f>
        <v>Clarias batrachus</v>
      </c>
      <c r="H1285" t="s">
        <v>1256</v>
      </c>
      <c r="I1285" t="str">
        <f>HYPERLINK("http://www.ncbi.nlm.nih.gov/protein/AGS58253.1","retinoid X receptor beta b")</f>
        <v>retinoid X receptor beta b</v>
      </c>
      <c r="J1285" t="s">
        <v>1261</v>
      </c>
      <c r="K1285">
        <v>50.45</v>
      </c>
      <c r="L1285" t="s">
        <v>25</v>
      </c>
      <c r="M1285">
        <v>157</v>
      </c>
      <c r="N1285">
        <v>62.55</v>
      </c>
      <c r="O1285">
        <v>9.81</v>
      </c>
      <c r="P1285" t="s">
        <v>20</v>
      </c>
      <c r="Q1285" t="s">
        <v>1262</v>
      </c>
      <c r="R1285" t="s">
        <v>20</v>
      </c>
      <c r="S1285" t="str">
        <f>HYPERLINK("https://cfpub.epa.gov/ecotox/explore.cfm?ncbi=59899","Explore in ECOTOX")</f>
        <v>Explore in ECOTOX</v>
      </c>
    </row>
    <row r="1286" spans="1:19" x14ac:dyDescent="0.25">
      <c r="A1286">
        <v>6</v>
      </c>
      <c r="B1286" t="str">
        <f>HYPERLINK("http://www.ncbi.nlm.nih.gov/protein/AOZ21145.1","AOZ21145.1")</f>
        <v>AOZ21145.1</v>
      </c>
      <c r="C1286">
        <v>1015</v>
      </c>
      <c r="D1286" t="str">
        <f>HYPERLINK("http://www.ncbi.nlm.nih.gov/Taxonomy/Browser/wwwtax.cgi?mode=Info&amp;id=6728&amp;lvl=3&amp;lin=f&amp;keep=1&amp;srchmode=1&amp;unlock","6728")</f>
        <v>6728</v>
      </c>
      <c r="E1286" t="s">
        <v>742</v>
      </c>
      <c r="F1286" t="s">
        <v>742</v>
      </c>
      <c r="G1286" t="str">
        <f>HYPERLINK("http://www.ncbi.nlm.nih.gov/Taxonomy/Browser/wwwtax.cgi?mode=Info&amp;id=6728&amp;lvl=3&amp;lin=f&amp;keep=1&amp;srchmode=1&amp;unlock","Procambarus clarkii")</f>
        <v>Procambarus clarkii</v>
      </c>
      <c r="H1286" t="s">
        <v>912</v>
      </c>
      <c r="I1286" t="str">
        <f>HYPERLINK("http://www.ncbi.nlm.nih.gov/protein/AOZ21145.1","retinoid X receptor 3")</f>
        <v>retinoid X receptor 3</v>
      </c>
      <c r="J1286" t="s">
        <v>1261</v>
      </c>
      <c r="K1286">
        <v>50.06</v>
      </c>
      <c r="L1286" t="s">
        <v>25</v>
      </c>
      <c r="M1286">
        <v>157</v>
      </c>
      <c r="N1286">
        <v>62.55</v>
      </c>
      <c r="O1286">
        <v>9.74</v>
      </c>
      <c r="P1286" t="s">
        <v>25</v>
      </c>
      <c r="Q1286" t="s">
        <v>1262</v>
      </c>
      <c r="R1286" t="s">
        <v>20</v>
      </c>
      <c r="S1286" t="str">
        <f>HYPERLINK("https://cfpub.epa.gov/ecotox/explore.cfm?ncbi=6728","Explore in ECOTOX")</f>
        <v>Explore in ECOTOX</v>
      </c>
    </row>
    <row r="1287" spans="1:19" x14ac:dyDescent="0.25">
      <c r="A1287">
        <v>6</v>
      </c>
      <c r="B1287" t="str">
        <f>HYPERLINK("http://www.ncbi.nlm.nih.gov/protein/BBC78046.1","BBC78046.1")</f>
        <v>BBC78046.1</v>
      </c>
      <c r="C1287">
        <v>12</v>
      </c>
      <c r="D1287" t="str">
        <f>HYPERLINK("http://www.ncbi.nlm.nih.gov/Taxonomy/Browser/wwwtax.cgi?mode=Info&amp;id=141465&amp;lvl=3&amp;lin=f&amp;keep=1&amp;srchmode=1&amp;unlock","141465")</f>
        <v>141465</v>
      </c>
      <c r="E1287" t="s">
        <v>709</v>
      </c>
      <c r="F1287" t="s">
        <v>709</v>
      </c>
      <c r="G1287" t="str">
        <f>HYPERLINK("http://www.ncbi.nlm.nih.gov/Taxonomy/Browser/wwwtax.cgi?mode=Info&amp;id=141465&amp;lvl=3&amp;lin=f&amp;keep=1&amp;srchmode=1&amp;unlock","Corbicula sandai")</f>
        <v>Corbicula sandai</v>
      </c>
      <c r="H1287" t="s">
        <v>1094</v>
      </c>
      <c r="I1287" t="str">
        <f>HYPERLINK("http://www.ncbi.nlm.nih.gov/protein/BBC78046.1","retinoid X receptor")</f>
        <v>retinoid X receptor</v>
      </c>
      <c r="J1287" t="s">
        <v>1261</v>
      </c>
      <c r="K1287">
        <v>50.06</v>
      </c>
      <c r="L1287" t="s">
        <v>25</v>
      </c>
      <c r="M1287">
        <v>157</v>
      </c>
      <c r="N1287">
        <v>62.55</v>
      </c>
      <c r="O1287">
        <v>9.74</v>
      </c>
      <c r="P1287" t="s">
        <v>25</v>
      </c>
      <c r="Q1287" t="s">
        <v>1262</v>
      </c>
      <c r="R1287" t="s">
        <v>20</v>
      </c>
      <c r="S1287" t="str">
        <f>HYPERLINK("https://cfpub.epa.gov/ecotox/explore.cfm?ncbi=141465","Explore in ECOTOX")</f>
        <v>Explore in ECOTOX</v>
      </c>
    </row>
    <row r="1288" spans="1:19" x14ac:dyDescent="0.25">
      <c r="A1288">
        <v>6</v>
      </c>
      <c r="B1288" t="str">
        <f>HYPERLINK("http://www.ncbi.nlm.nih.gov/protein/ACN78601.1","ACN78601.1")</f>
        <v>ACN78601.1</v>
      </c>
      <c r="C1288">
        <v>326</v>
      </c>
      <c r="D1288" t="str">
        <f>HYPERLINK("http://www.ncbi.nlm.nih.gov/Taxonomy/Browser/wwwtax.cgi?mode=Info&amp;id=139456&amp;lvl=3&amp;lin=f&amp;keep=1&amp;srchmode=1&amp;unlock","139456")</f>
        <v>139456</v>
      </c>
      <c r="E1288" t="s">
        <v>742</v>
      </c>
      <c r="F1288" t="s">
        <v>742</v>
      </c>
      <c r="G1288" t="str">
        <f>HYPERLINK("http://www.ncbi.nlm.nih.gov/Taxonomy/Browser/wwwtax.cgi?mode=Info&amp;id=139456&amp;lvl=3&amp;lin=f&amp;keep=1&amp;srchmode=1&amp;unlock","Penaeus chinensis")</f>
        <v>Penaeus chinensis</v>
      </c>
      <c r="H1288" t="s">
        <v>790</v>
      </c>
      <c r="I1288" t="str">
        <f>HYPERLINK("http://www.ncbi.nlm.nih.gov/protein/ACN78601.1","retinoid X receptor 1")</f>
        <v>retinoid X receptor 1</v>
      </c>
      <c r="J1288" t="s">
        <v>1261</v>
      </c>
      <c r="K1288">
        <v>50.06</v>
      </c>
      <c r="L1288" t="s">
        <v>25</v>
      </c>
      <c r="M1288">
        <v>157</v>
      </c>
      <c r="N1288">
        <v>62.55</v>
      </c>
      <c r="O1288">
        <v>9.74</v>
      </c>
      <c r="P1288" t="s">
        <v>25</v>
      </c>
      <c r="Q1288" t="s">
        <v>1262</v>
      </c>
      <c r="R1288" t="s">
        <v>20</v>
      </c>
      <c r="S1288" t="str">
        <f>HYPERLINK("https://cfpub.epa.gov/ecotox/explore.cfm?ncbi=139456","Explore in ECOTOX")</f>
        <v>Explore in ECOTOX</v>
      </c>
    </row>
    <row r="1289" spans="1:19" x14ac:dyDescent="0.25">
      <c r="A1289">
        <v>6</v>
      </c>
      <c r="B1289" t="str">
        <f>HYPERLINK("http://www.ncbi.nlm.nih.gov/protein/ALO17612.1","ALO17612.1")</f>
        <v>ALO17612.1</v>
      </c>
      <c r="C1289">
        <v>411</v>
      </c>
      <c r="D1289" t="str">
        <f>HYPERLINK("http://www.ncbi.nlm.nih.gov/Taxonomy/Browser/wwwtax.cgi?mode=Info&amp;id=7010&amp;lvl=3&amp;lin=f&amp;keep=1&amp;srchmode=1&amp;unlock","7010")</f>
        <v>7010</v>
      </c>
      <c r="E1289" t="s">
        <v>698</v>
      </c>
      <c r="F1289" t="s">
        <v>698</v>
      </c>
      <c r="G1289" t="str">
        <f>HYPERLINK("http://www.ncbi.nlm.nih.gov/Taxonomy/Browser/wwwtax.cgi?mode=Info&amp;id=7010&amp;lvl=3&amp;lin=f&amp;keep=1&amp;srchmode=1&amp;unlock","Schistocerca gregaria")</f>
        <v>Schistocerca gregaria</v>
      </c>
      <c r="H1289" t="s">
        <v>738</v>
      </c>
      <c r="I1289" t="str">
        <f>HYPERLINK("http://www.ncbi.nlm.nih.gov/protein/ALO17612.1","ecysone receptor isoform A")</f>
        <v>ecysone receptor isoform A</v>
      </c>
      <c r="J1289" t="s">
        <v>1261</v>
      </c>
      <c r="K1289">
        <v>49.68</v>
      </c>
      <c r="L1289" t="s">
        <v>25</v>
      </c>
      <c r="M1289">
        <v>157</v>
      </c>
      <c r="N1289">
        <v>62.55</v>
      </c>
      <c r="O1289">
        <v>9.66</v>
      </c>
      <c r="P1289" t="s">
        <v>25</v>
      </c>
      <c r="Q1289" t="s">
        <v>1262</v>
      </c>
      <c r="R1289" t="s">
        <v>20</v>
      </c>
      <c r="S1289" t="str">
        <f>HYPERLINK("https://cfpub.epa.gov/ecotox/explore.cfm?ncbi=7010","Explore in ECOTOX")</f>
        <v>Explore in ECOTOX</v>
      </c>
    </row>
    <row r="1290" spans="1:19" x14ac:dyDescent="0.25">
      <c r="A1290">
        <v>6</v>
      </c>
      <c r="B1290" t="str">
        <f>HYPERLINK("http://www.ncbi.nlm.nih.gov/protein/AVP39744.1","AVP39744.1")</f>
        <v>AVP39744.1</v>
      </c>
      <c r="C1290">
        <v>23210</v>
      </c>
      <c r="D1290" t="str">
        <f>HYPERLINK("http://www.ncbi.nlm.nih.gov/Taxonomy/Browser/wwwtax.cgi?mode=Info&amp;id=10228&amp;lvl=3&amp;lin=f&amp;keep=1&amp;srchmode=1&amp;unlock","10228")</f>
        <v>10228</v>
      </c>
      <c r="E1290" t="s">
        <v>864</v>
      </c>
      <c r="F1290" t="s">
        <v>864</v>
      </c>
      <c r="G1290" t="str">
        <f>HYPERLINK("http://www.ncbi.nlm.nih.gov/Taxonomy/Browser/wwwtax.cgi?mode=Info&amp;id=10228&amp;lvl=3&amp;lin=f&amp;keep=1&amp;srchmode=1&amp;unlock","Trichoplax adhaerens")</f>
        <v>Trichoplax adhaerens</v>
      </c>
      <c r="H1290" t="s">
        <v>865</v>
      </c>
      <c r="I1290" t="str">
        <f>HYPERLINK("http://www.ncbi.nlm.nih.gov/protein/AVP39744.1","retinoid X receptor")</f>
        <v>retinoid X receptor</v>
      </c>
      <c r="J1290" t="s">
        <v>1261</v>
      </c>
      <c r="K1290">
        <v>49.68</v>
      </c>
      <c r="L1290" t="s">
        <v>25</v>
      </c>
      <c r="M1290">
        <v>157</v>
      </c>
      <c r="N1290">
        <v>62.55</v>
      </c>
      <c r="O1290">
        <v>9.66</v>
      </c>
      <c r="P1290" t="s">
        <v>25</v>
      </c>
      <c r="Q1290" t="s">
        <v>1262</v>
      </c>
      <c r="R1290" t="s">
        <v>20</v>
      </c>
      <c r="S1290" t="str">
        <f>HYPERLINK("https://cfpub.epa.gov/ecotox/explore.cfm?ncbi=10228","Explore in ECOTOX")</f>
        <v>Explore in ECOTOX</v>
      </c>
    </row>
    <row r="1291" spans="1:19" x14ac:dyDescent="0.25">
      <c r="A1291">
        <v>6</v>
      </c>
      <c r="B1291" t="str">
        <f>HYPERLINK("http://www.ncbi.nlm.nih.gov/protein/RDD45367.1","RDD45367.1")</f>
        <v>RDD45367.1</v>
      </c>
      <c r="C1291">
        <v>12180</v>
      </c>
      <c r="D1291" t="str">
        <f>HYPERLINK("http://www.ncbi.nlm.nih.gov/Taxonomy/Browser/wwwtax.cgi?mode=Info&amp;id=287889&amp;lvl=3&amp;lin=f&amp;keep=1&amp;srchmode=1&amp;unlock","287889")</f>
        <v>287889</v>
      </c>
      <c r="E1291" t="s">
        <v>864</v>
      </c>
      <c r="F1291" t="s">
        <v>864</v>
      </c>
      <c r="G1291" t="str">
        <f>HYPERLINK("http://www.ncbi.nlm.nih.gov/Taxonomy/Browser/wwwtax.cgi?mode=Info&amp;id=287889&amp;lvl=3&amp;lin=f&amp;keep=1&amp;srchmode=1&amp;unlock","Trichoplax sp. H2")</f>
        <v>Trichoplax sp. H2</v>
      </c>
      <c r="H1291" t="s">
        <v>865</v>
      </c>
      <c r="I1291" t="str">
        <f>HYPERLINK("http://www.ncbi.nlm.nih.gov/protein/RDD45367.1","Retinoic acid receptor RXR-gamma-A")</f>
        <v>Retinoic acid receptor RXR-gamma-A</v>
      </c>
      <c r="J1291" t="s">
        <v>1261</v>
      </c>
      <c r="K1291">
        <v>49.68</v>
      </c>
      <c r="L1291" t="s">
        <v>25</v>
      </c>
      <c r="M1291">
        <v>157</v>
      </c>
      <c r="N1291">
        <v>62.55</v>
      </c>
      <c r="O1291">
        <v>9.66</v>
      </c>
      <c r="P1291" t="s">
        <v>25</v>
      </c>
      <c r="Q1291" t="s">
        <v>1262</v>
      </c>
      <c r="R1291" t="s">
        <v>20</v>
      </c>
      <c r="S1291" t="str">
        <f>HYPERLINK("https://cfpub.epa.gov/ecotox/explore.cfm?ncbi=287889","Explore in ECOTOX")</f>
        <v>Explore in ECOTOX</v>
      </c>
    </row>
    <row r="1292" spans="1:19" x14ac:dyDescent="0.25">
      <c r="A1292">
        <v>6</v>
      </c>
      <c r="B1292" t="str">
        <f>HYPERLINK("http://www.ncbi.nlm.nih.gov/protein/AAD19828.1","AAD19828.1")</f>
        <v>AAD19828.1</v>
      </c>
      <c r="C1292">
        <v>1660</v>
      </c>
      <c r="D1292" t="str">
        <f>HYPERLINK("http://www.ncbi.nlm.nih.gov/Taxonomy/Browser/wwwtax.cgi?mode=Info&amp;id=7004&amp;lvl=3&amp;lin=f&amp;keep=1&amp;srchmode=1&amp;unlock","7004")</f>
        <v>7004</v>
      </c>
      <c r="E1292" t="s">
        <v>698</v>
      </c>
      <c r="F1292" t="s">
        <v>698</v>
      </c>
      <c r="G1292" t="str">
        <f>HYPERLINK("http://www.ncbi.nlm.nih.gov/Taxonomy/Browser/wwwtax.cgi?mode=Info&amp;id=7004&amp;lvl=3&amp;lin=f&amp;keep=1&amp;srchmode=1&amp;unlock","Locusta migratoria")</f>
        <v>Locusta migratoria</v>
      </c>
      <c r="H1292" t="s">
        <v>734</v>
      </c>
      <c r="I1292" t="str">
        <f>HYPERLINK("http://www.ncbi.nlm.nih.gov/protein/AAD19828.1","ecdysone receptor")</f>
        <v>ecdysone receptor</v>
      </c>
      <c r="J1292" t="s">
        <v>1261</v>
      </c>
      <c r="K1292">
        <v>49.68</v>
      </c>
      <c r="L1292" t="s">
        <v>25</v>
      </c>
      <c r="M1292">
        <v>157</v>
      </c>
      <c r="N1292">
        <v>62.55</v>
      </c>
      <c r="O1292">
        <v>9.66</v>
      </c>
      <c r="P1292" t="s">
        <v>25</v>
      </c>
      <c r="Q1292" t="s">
        <v>1262</v>
      </c>
      <c r="R1292" t="s">
        <v>20</v>
      </c>
      <c r="S1292" t="str">
        <f>HYPERLINK("https://cfpub.epa.gov/ecotox/explore.cfm?ncbi=7004","Explore in ECOTOX")</f>
        <v>Explore in ECOTOX</v>
      </c>
    </row>
    <row r="1293" spans="1:19" x14ac:dyDescent="0.25">
      <c r="A1293">
        <v>6</v>
      </c>
      <c r="B1293" t="str">
        <f>HYPERLINK("http://www.ncbi.nlm.nih.gov/protein/XP_020896637.1","XP_020896637.1")</f>
        <v>XP_020896637.1</v>
      </c>
      <c r="C1293">
        <v>53976</v>
      </c>
      <c r="D1293" t="str">
        <f>HYPERLINK("http://www.ncbi.nlm.nih.gov/Taxonomy/Browser/wwwtax.cgi?mode=Info&amp;id=2652724&amp;lvl=3&amp;lin=f&amp;keep=1&amp;srchmode=1&amp;unlock","2652724")</f>
        <v>2652724</v>
      </c>
      <c r="E1293" t="s">
        <v>1183</v>
      </c>
      <c r="F1293" t="s">
        <v>1183</v>
      </c>
      <c r="G1293" t="str">
        <f>HYPERLINK("http://www.ncbi.nlm.nih.gov/Taxonomy/Browser/wwwtax.cgi?mode=Info&amp;id=2652724&amp;lvl=3&amp;lin=f&amp;keep=1&amp;srchmode=1&amp;unlock","Exaiptasia diaphana")</f>
        <v>Exaiptasia diaphana</v>
      </c>
      <c r="H1293" t="s">
        <v>1213</v>
      </c>
      <c r="I1293" t="str">
        <f>HYPERLINK("http://www.ncbi.nlm.nih.gov/protein/XP_020896637.1","hepatocyte nuclear factor 4-gamma isoform X1")</f>
        <v>hepatocyte nuclear factor 4-gamma isoform X1</v>
      </c>
      <c r="J1293" t="s">
        <v>1261</v>
      </c>
      <c r="K1293">
        <v>49.29</v>
      </c>
      <c r="L1293" t="s">
        <v>25</v>
      </c>
      <c r="M1293">
        <v>157</v>
      </c>
      <c r="N1293">
        <v>62.55</v>
      </c>
      <c r="O1293">
        <v>9.59</v>
      </c>
      <c r="P1293" t="s">
        <v>25</v>
      </c>
      <c r="Q1293" t="s">
        <v>1262</v>
      </c>
      <c r="R1293" t="s">
        <v>20</v>
      </c>
      <c r="S1293" t="str">
        <f>HYPERLINK("https://cfpub.epa.gov/ecotox/explore.cfm?ncbi=2652724","Explore in ECOTOX")</f>
        <v>Explore in ECOTOX</v>
      </c>
    </row>
    <row r="1294" spans="1:19" x14ac:dyDescent="0.25">
      <c r="A1294">
        <v>6</v>
      </c>
      <c r="B1294" t="str">
        <f>HYPERLINK("http://www.ncbi.nlm.nih.gov/protein/AVR59237.1","AVR59237.1")</f>
        <v>AVR59237.1</v>
      </c>
      <c r="C1294">
        <v>810</v>
      </c>
      <c r="D1294" t="str">
        <f>HYPERLINK("http://www.ncbi.nlm.nih.gov/Taxonomy/Browser/wwwtax.cgi?mode=Info&amp;id=6359&amp;lvl=3&amp;lin=f&amp;keep=1&amp;srchmode=1&amp;unlock","6359")</f>
        <v>6359</v>
      </c>
      <c r="E1294" t="s">
        <v>822</v>
      </c>
      <c r="F1294" t="s">
        <v>822</v>
      </c>
      <c r="G1294" t="str">
        <f>HYPERLINK("http://www.ncbi.nlm.nih.gov/Taxonomy/Browser/wwwtax.cgi?mode=Info&amp;id=6359&amp;lvl=3&amp;lin=f&amp;keep=1&amp;srchmode=1&amp;unlock","Platynereis dumerilii")</f>
        <v>Platynereis dumerilii</v>
      </c>
      <c r="H1294" t="s">
        <v>1202</v>
      </c>
      <c r="I1294" t="str">
        <f>HYPERLINK("http://www.ncbi.nlm.nih.gov/protein/AVR59237.1","retinoid X receptor")</f>
        <v>retinoid X receptor</v>
      </c>
      <c r="J1294" t="s">
        <v>1261</v>
      </c>
      <c r="K1294">
        <v>48.91</v>
      </c>
      <c r="L1294" t="s">
        <v>25</v>
      </c>
      <c r="M1294">
        <v>157</v>
      </c>
      <c r="N1294">
        <v>62.55</v>
      </c>
      <c r="O1294">
        <v>9.51</v>
      </c>
      <c r="P1294" t="s">
        <v>25</v>
      </c>
      <c r="Q1294" t="s">
        <v>1262</v>
      </c>
      <c r="R1294" t="s">
        <v>20</v>
      </c>
      <c r="S1294" t="str">
        <f>HYPERLINK("https://cfpub.epa.gov/ecotox/explore.cfm?ncbi=6359","Explore in ECOTOX")</f>
        <v>Explore in ECOTOX</v>
      </c>
    </row>
    <row r="1295" spans="1:19" x14ac:dyDescent="0.25">
      <c r="A1295">
        <v>6</v>
      </c>
      <c r="B1295" t="str">
        <f>HYPERLINK("http://www.ncbi.nlm.nih.gov/protein/AEZ64364.1","AEZ64364.1")</f>
        <v>AEZ64364.1</v>
      </c>
      <c r="C1295">
        <v>125</v>
      </c>
      <c r="D1295" t="str">
        <f>HYPERLINK("http://www.ncbi.nlm.nih.gov/Taxonomy/Browser/wwwtax.cgi?mode=Info&amp;id=6984&amp;lvl=3&amp;lin=f&amp;keep=1&amp;srchmode=1&amp;unlock","6984")</f>
        <v>6984</v>
      </c>
      <c r="E1295" t="s">
        <v>698</v>
      </c>
      <c r="F1295" t="s">
        <v>698</v>
      </c>
      <c r="G1295" t="str">
        <f>HYPERLINK("http://www.ncbi.nlm.nih.gov/Taxonomy/Browser/wwwtax.cgi?mode=Info&amp;id=6984&amp;lvl=3&amp;lin=f&amp;keep=1&amp;srchmode=1&amp;unlock","Diploptera punctata")</f>
        <v>Diploptera punctata</v>
      </c>
      <c r="H1295" t="s">
        <v>1211</v>
      </c>
      <c r="I1295" t="str">
        <f>HYPERLINK("http://www.ncbi.nlm.nih.gov/protein/AEZ64364.1","ecdysone receptor isoform B1")</f>
        <v>ecdysone receptor isoform B1</v>
      </c>
      <c r="J1295" t="s">
        <v>1261</v>
      </c>
      <c r="K1295">
        <v>48.91</v>
      </c>
      <c r="L1295" t="s">
        <v>25</v>
      </c>
      <c r="M1295">
        <v>157</v>
      </c>
      <c r="N1295">
        <v>62.55</v>
      </c>
      <c r="O1295">
        <v>9.51</v>
      </c>
      <c r="P1295" t="s">
        <v>25</v>
      </c>
      <c r="Q1295" t="s">
        <v>1262</v>
      </c>
      <c r="R1295" t="s">
        <v>20</v>
      </c>
      <c r="S1295" t="str">
        <f>HYPERLINK("https://cfpub.epa.gov/ecotox/explore.cfm?ncbi=6984","Explore in ECOTOX")</f>
        <v>Explore in ECOTOX</v>
      </c>
    </row>
    <row r="1296" spans="1:19" x14ac:dyDescent="0.25">
      <c r="A1296">
        <v>6</v>
      </c>
      <c r="B1296" t="str">
        <f>HYPERLINK("http://www.ncbi.nlm.nih.gov/protein/AAM08268.1","AAM08268.1")</f>
        <v>AAM08268.1</v>
      </c>
      <c r="C1296">
        <v>266</v>
      </c>
      <c r="D1296" t="str">
        <f>HYPERLINK("http://www.ncbi.nlm.nih.gov/Taxonomy/Browser/wwwtax.cgi?mode=Info&amp;id=6287&amp;lvl=3&amp;lin=f&amp;keep=1&amp;srchmode=1&amp;unlock","6287")</f>
        <v>6287</v>
      </c>
      <c r="E1296" t="s">
        <v>869</v>
      </c>
      <c r="F1296" t="s">
        <v>869</v>
      </c>
      <c r="G1296" t="str">
        <f>HYPERLINK("http://www.ncbi.nlm.nih.gov/Taxonomy/Browser/wwwtax.cgi?mode=Info&amp;id=6287&amp;lvl=3&amp;lin=f&amp;keep=1&amp;srchmode=1&amp;unlock","Dirofilaria immitis")</f>
        <v>Dirofilaria immitis</v>
      </c>
      <c r="H1296" t="s">
        <v>1237</v>
      </c>
      <c r="I1296" t="str">
        <f>HYPERLINK("http://www.ncbi.nlm.nih.gov/protein/AAM08268.1","nuclear receptor RXR")</f>
        <v>nuclear receptor RXR</v>
      </c>
      <c r="J1296" t="s">
        <v>1261</v>
      </c>
      <c r="K1296">
        <v>48.91</v>
      </c>
      <c r="L1296" t="s">
        <v>25</v>
      </c>
      <c r="M1296">
        <v>157</v>
      </c>
      <c r="N1296">
        <v>62.55</v>
      </c>
      <c r="O1296">
        <v>9.51</v>
      </c>
      <c r="P1296" t="s">
        <v>25</v>
      </c>
      <c r="Q1296" t="s">
        <v>1262</v>
      </c>
      <c r="R1296" t="s">
        <v>20</v>
      </c>
      <c r="S1296" t="str">
        <f>HYPERLINK("https://cfpub.epa.gov/ecotox/explore.cfm?ncbi=6287","Explore in ECOTOX")</f>
        <v>Explore in ECOTOX</v>
      </c>
    </row>
    <row r="1297" spans="1:19" x14ac:dyDescent="0.25">
      <c r="A1297">
        <v>6</v>
      </c>
      <c r="B1297" t="str">
        <f>HYPERLINK("http://www.ncbi.nlm.nih.gov/protein/BAF75376.1","BAF75376.1")</f>
        <v>BAF75376.1</v>
      </c>
      <c r="C1297">
        <v>875</v>
      </c>
      <c r="D1297" t="str">
        <f>HYPERLINK("http://www.ncbi.nlm.nih.gov/Taxonomy/Browser/wwwtax.cgi?mode=Info&amp;id=27405&amp;lvl=3&amp;lin=f&amp;keep=1&amp;srchmode=1&amp;unlock","27405")</f>
        <v>27405</v>
      </c>
      <c r="E1297" t="s">
        <v>742</v>
      </c>
      <c r="F1297" t="s">
        <v>742</v>
      </c>
      <c r="G1297" t="str">
        <f>HYPERLINK("http://www.ncbi.nlm.nih.gov/Taxonomy/Browser/wwwtax.cgi?mode=Info&amp;id=27405&amp;lvl=3&amp;lin=f&amp;keep=1&amp;srchmode=1&amp;unlock","Penaeus japonicus")</f>
        <v>Penaeus japonicus</v>
      </c>
      <c r="H1297" t="s">
        <v>833</v>
      </c>
      <c r="I1297" t="str">
        <f>HYPERLINK("http://www.ncbi.nlm.nih.gov/protein/BAF75376.1","retinoid X receptor")</f>
        <v>retinoid X receptor</v>
      </c>
      <c r="J1297" t="s">
        <v>1261</v>
      </c>
      <c r="K1297">
        <v>48.91</v>
      </c>
      <c r="L1297" t="s">
        <v>25</v>
      </c>
      <c r="M1297">
        <v>157</v>
      </c>
      <c r="N1297">
        <v>62.55</v>
      </c>
      <c r="O1297">
        <v>9.51</v>
      </c>
      <c r="P1297" t="s">
        <v>25</v>
      </c>
      <c r="Q1297" t="s">
        <v>1262</v>
      </c>
      <c r="R1297" t="s">
        <v>20</v>
      </c>
      <c r="S1297" t="str">
        <f>HYPERLINK("https://cfpub.epa.gov/ecotox/explore.cfm?ncbi=27405","Explore in ECOTOX")</f>
        <v>Explore in ECOTOX</v>
      </c>
    </row>
    <row r="1298" spans="1:19" x14ac:dyDescent="0.25">
      <c r="A1298">
        <v>6</v>
      </c>
      <c r="B1298" t="str">
        <f>HYPERLINK("http://www.ncbi.nlm.nih.gov/protein/XP_038067671.1","XP_038067671.1")</f>
        <v>XP_038067671.1</v>
      </c>
      <c r="C1298">
        <v>35628</v>
      </c>
      <c r="D1298" t="str">
        <f>HYPERLINK("http://www.ncbi.nlm.nih.gov/Taxonomy/Browser/wwwtax.cgi?mode=Info&amp;id=46514&amp;lvl=3&amp;lin=f&amp;keep=1&amp;srchmode=1&amp;unlock","46514")</f>
        <v>46514</v>
      </c>
      <c r="E1298" t="s">
        <v>704</v>
      </c>
      <c r="F1298" t="s">
        <v>704</v>
      </c>
      <c r="G1298" t="str">
        <f>HYPERLINK("http://www.ncbi.nlm.nih.gov/Taxonomy/Browser/wwwtax.cgi?mode=Info&amp;id=46514&amp;lvl=3&amp;lin=f&amp;keep=1&amp;srchmode=1&amp;unlock","Patiria miniata")</f>
        <v>Patiria miniata</v>
      </c>
      <c r="H1298" t="s">
        <v>719</v>
      </c>
      <c r="I1298" t="str">
        <f>HYPERLINK("http://www.ncbi.nlm.nih.gov/protein/XP_038067671.1","hepatocyte nuclear factor 4-gamma-like isoform X1")</f>
        <v>hepatocyte nuclear factor 4-gamma-like isoform X1</v>
      </c>
      <c r="J1298" t="s">
        <v>1261</v>
      </c>
      <c r="K1298">
        <v>48.52</v>
      </c>
      <c r="L1298" t="s">
        <v>25</v>
      </c>
      <c r="M1298">
        <v>157</v>
      </c>
      <c r="N1298">
        <v>62.55</v>
      </c>
      <c r="O1298">
        <v>9.44</v>
      </c>
      <c r="P1298" t="s">
        <v>25</v>
      </c>
      <c r="Q1298" t="s">
        <v>1262</v>
      </c>
      <c r="R1298" t="s">
        <v>20</v>
      </c>
      <c r="S1298" t="str">
        <f>HYPERLINK("https://cfpub.epa.gov/ecotox/explore.cfm?ncbi=46514","Explore in ECOTOX")</f>
        <v>Explore in ECOTOX</v>
      </c>
    </row>
    <row r="1299" spans="1:19" x14ac:dyDescent="0.25">
      <c r="A1299">
        <v>6</v>
      </c>
      <c r="B1299" t="str">
        <f>HYPERLINK("http://www.ncbi.nlm.nih.gov/protein/XP_027056739.1","XP_027056739.1")</f>
        <v>XP_027056739.1</v>
      </c>
      <c r="C1299">
        <v>51031</v>
      </c>
      <c r="D1299" t="str">
        <f>HYPERLINK("http://www.ncbi.nlm.nih.gov/Taxonomy/Browser/wwwtax.cgi?mode=Info&amp;id=46731&amp;lvl=3&amp;lin=f&amp;keep=1&amp;srchmode=1&amp;unlock","46731")</f>
        <v>46731</v>
      </c>
      <c r="E1299" t="s">
        <v>1183</v>
      </c>
      <c r="F1299" t="s">
        <v>1183</v>
      </c>
      <c r="G1299" t="str">
        <f>HYPERLINK("http://www.ncbi.nlm.nih.gov/Taxonomy/Browser/wwwtax.cgi?mode=Info&amp;id=46731&amp;lvl=3&amp;lin=f&amp;keep=1&amp;srchmode=1&amp;unlock","Pocillopora damicornis")</f>
        <v>Pocillopora damicornis</v>
      </c>
      <c r="H1299" t="s">
        <v>1200</v>
      </c>
      <c r="I1299" t="str">
        <f>HYPERLINK("http://www.ncbi.nlm.nih.gov/protein/XP_027056739.1","hepatocyte nuclear factor 4-gamma-like")</f>
        <v>hepatocyte nuclear factor 4-gamma-like</v>
      </c>
      <c r="J1299" t="s">
        <v>1261</v>
      </c>
      <c r="K1299">
        <v>48.52</v>
      </c>
      <c r="L1299" t="s">
        <v>25</v>
      </c>
      <c r="M1299">
        <v>157</v>
      </c>
      <c r="N1299">
        <v>62.55</v>
      </c>
      <c r="O1299">
        <v>9.44</v>
      </c>
      <c r="P1299" t="s">
        <v>25</v>
      </c>
      <c r="Q1299" t="s">
        <v>1262</v>
      </c>
      <c r="R1299" t="s">
        <v>20</v>
      </c>
      <c r="S1299" t="str">
        <f>HYPERLINK("https://cfpub.epa.gov/ecotox/explore.cfm?ncbi=46731","Explore in ECOTOX")</f>
        <v>Explore in ECOTOX</v>
      </c>
    </row>
    <row r="1300" spans="1:19" x14ac:dyDescent="0.25">
      <c r="A1300">
        <v>6</v>
      </c>
      <c r="B1300" t="str">
        <f>HYPERLINK("http://www.ncbi.nlm.nih.gov/protein/XP_022808660.1","XP_022808660.1")</f>
        <v>XP_022808660.1</v>
      </c>
      <c r="C1300">
        <v>57618</v>
      </c>
      <c r="D1300" t="str">
        <f>HYPERLINK("http://www.ncbi.nlm.nih.gov/Taxonomy/Browser/wwwtax.cgi?mode=Info&amp;id=50429&amp;lvl=3&amp;lin=f&amp;keep=1&amp;srchmode=1&amp;unlock","50429")</f>
        <v>50429</v>
      </c>
      <c r="E1300" t="s">
        <v>1183</v>
      </c>
      <c r="F1300" t="s">
        <v>1183</v>
      </c>
      <c r="G1300" t="str">
        <f>HYPERLINK("http://www.ncbi.nlm.nih.gov/Taxonomy/Browser/wwwtax.cgi?mode=Info&amp;id=50429&amp;lvl=3&amp;lin=f&amp;keep=1&amp;srchmode=1&amp;unlock","Stylophora pistillata")</f>
        <v>Stylophora pistillata</v>
      </c>
      <c r="H1300" t="s">
        <v>1201</v>
      </c>
      <c r="I1300" t="str">
        <f>HYPERLINK("http://www.ncbi.nlm.nih.gov/protein/XP_022808660.1","hepatocyte nuclear factor 4-gamma-like isoform X2")</f>
        <v>hepatocyte nuclear factor 4-gamma-like isoform X2</v>
      </c>
      <c r="J1300" t="s">
        <v>1261</v>
      </c>
      <c r="K1300">
        <v>48.52</v>
      </c>
      <c r="L1300" t="s">
        <v>25</v>
      </c>
      <c r="M1300">
        <v>157</v>
      </c>
      <c r="N1300">
        <v>62.55</v>
      </c>
      <c r="O1300">
        <v>9.44</v>
      </c>
      <c r="P1300" t="s">
        <v>25</v>
      </c>
      <c r="Q1300" t="s">
        <v>1262</v>
      </c>
      <c r="R1300" t="s">
        <v>20</v>
      </c>
      <c r="S1300" t="str">
        <f>HYPERLINK("https://cfpub.epa.gov/ecotox/explore.cfm?ncbi=50429","Explore in ECOTOX")</f>
        <v>Explore in ECOTOX</v>
      </c>
    </row>
    <row r="1301" spans="1:19" x14ac:dyDescent="0.25">
      <c r="A1301">
        <v>6</v>
      </c>
      <c r="B1301" t="str">
        <f>HYPERLINK("http://www.ncbi.nlm.nih.gov/protein/VDN02678.1","VDN02678.1")</f>
        <v>VDN02678.1</v>
      </c>
      <c r="C1301">
        <v>11037</v>
      </c>
      <c r="D1301" t="str">
        <f>HYPERLINK("http://www.ncbi.nlm.nih.gov/Taxonomy/Browser/wwwtax.cgi?mode=Info&amp;id=103827&amp;lvl=3&amp;lin=f&amp;keep=1&amp;srchmode=1&amp;unlock","103827")</f>
        <v>103827</v>
      </c>
      <c r="E1301" t="s">
        <v>869</v>
      </c>
      <c r="F1301" t="s">
        <v>869</v>
      </c>
      <c r="G1301" t="str">
        <f>HYPERLINK("http://www.ncbi.nlm.nih.gov/Taxonomy/Browser/wwwtax.cgi?mode=Info&amp;id=103827&amp;lvl=3&amp;lin=f&amp;keep=1&amp;srchmode=1&amp;unlock","Thelazia callipaeda")</f>
        <v>Thelazia callipaeda</v>
      </c>
      <c r="H1301" t="s">
        <v>1217</v>
      </c>
      <c r="I1301" t="str">
        <f>HYPERLINK("http://www.ncbi.nlm.nih.gov/protein/VDN02678.1","unnamed protein product")</f>
        <v>unnamed protein product</v>
      </c>
      <c r="J1301" t="s">
        <v>1261</v>
      </c>
      <c r="K1301">
        <v>48.52</v>
      </c>
      <c r="L1301" t="s">
        <v>25</v>
      </c>
      <c r="M1301">
        <v>157</v>
      </c>
      <c r="N1301">
        <v>62.55</v>
      </c>
      <c r="O1301">
        <v>9.44</v>
      </c>
      <c r="P1301" t="s">
        <v>25</v>
      </c>
      <c r="Q1301" t="s">
        <v>1262</v>
      </c>
      <c r="R1301" t="s">
        <v>20</v>
      </c>
      <c r="S1301" t="str">
        <f>HYPERLINK("https://cfpub.epa.gov/ecotox/explore.cfm?ncbi=103827","Explore in ECOTOX")</f>
        <v>Explore in ECOTOX</v>
      </c>
    </row>
    <row r="1302" spans="1:19" x14ac:dyDescent="0.25">
      <c r="A1302">
        <v>6</v>
      </c>
      <c r="B1302" t="str">
        <f>HYPERLINK("http://www.ncbi.nlm.nih.gov/protein/ADK60866.1","ADK60866.1")</f>
        <v>ADK60866.1</v>
      </c>
      <c r="C1302">
        <v>217</v>
      </c>
      <c r="D1302" t="str">
        <f>HYPERLINK("http://www.ncbi.nlm.nih.gov/Taxonomy/Browser/wwwtax.cgi?mode=Info&amp;id=36095&amp;lvl=3&amp;lin=f&amp;keep=1&amp;srchmode=1&amp;unlock","36095")</f>
        <v>36095</v>
      </c>
      <c r="E1302" t="s">
        <v>763</v>
      </c>
      <c r="F1302" t="s">
        <v>763</v>
      </c>
      <c r="G1302" t="str">
        <f>HYPERLINK("http://www.ncbi.nlm.nih.gov/Taxonomy/Browser/wwwtax.cgi?mode=Info&amp;id=36095&amp;lvl=3&amp;lin=f&amp;keep=1&amp;srchmode=1&amp;unlock","Haliotis diversicolor")</f>
        <v>Haliotis diversicolor</v>
      </c>
      <c r="H1302" t="s">
        <v>1221</v>
      </c>
      <c r="I1302" t="str">
        <f>HYPERLINK("http://www.ncbi.nlm.nih.gov/protein/ADK60866.1","retinoid X receptor")</f>
        <v>retinoid X receptor</v>
      </c>
      <c r="J1302" t="s">
        <v>1261</v>
      </c>
      <c r="K1302">
        <v>48.52</v>
      </c>
      <c r="L1302" t="s">
        <v>25</v>
      </c>
      <c r="M1302">
        <v>157</v>
      </c>
      <c r="N1302">
        <v>62.55</v>
      </c>
      <c r="O1302">
        <v>9.44</v>
      </c>
      <c r="P1302" t="s">
        <v>25</v>
      </c>
      <c r="Q1302" t="s">
        <v>1262</v>
      </c>
      <c r="R1302" t="s">
        <v>20</v>
      </c>
      <c r="S1302" t="str">
        <f>HYPERLINK("https://cfpub.epa.gov/ecotox/explore.cfm?ncbi=36095","Explore in ECOTOX")</f>
        <v>Explore in ECOTOX</v>
      </c>
    </row>
    <row r="1303" spans="1:19" x14ac:dyDescent="0.25">
      <c r="A1303">
        <v>6</v>
      </c>
      <c r="B1303" t="str">
        <f>HYPERLINK("http://www.ncbi.nlm.nih.gov/protein/XP_035587880.1","XP_035587880.1")</f>
        <v>XP_035587880.1</v>
      </c>
      <c r="C1303">
        <v>18329</v>
      </c>
      <c r="D1303" t="str">
        <f>HYPERLINK("http://www.ncbi.nlm.nih.gov/Taxonomy/Browser/wwwtax.cgi?mode=Info&amp;id=6185&amp;lvl=3&amp;lin=f&amp;keep=1&amp;srchmode=1&amp;unlock","6185")</f>
        <v>6185</v>
      </c>
      <c r="E1303" t="s">
        <v>793</v>
      </c>
      <c r="F1303" t="s">
        <v>793</v>
      </c>
      <c r="G1303" t="str">
        <f>HYPERLINK("http://www.ncbi.nlm.nih.gov/Taxonomy/Browser/wwwtax.cgi?mode=Info&amp;id=6185&amp;lvl=3&amp;lin=f&amp;keep=1&amp;srchmode=1&amp;unlock","Schistosoma haematobium")</f>
        <v>Schistosoma haematobium</v>
      </c>
      <c r="H1303" t="s">
        <v>794</v>
      </c>
      <c r="I1303" t="str">
        <f>HYPERLINK("http://www.ncbi.nlm.nih.gov/protein/XP_035587880.1","putative hepatocyte nuclear factor 4-alpha (hnf-4-alpha)")</f>
        <v>putative hepatocyte nuclear factor 4-alpha (hnf-4-alpha)</v>
      </c>
      <c r="J1303" t="s">
        <v>1261</v>
      </c>
      <c r="K1303">
        <v>48.52</v>
      </c>
      <c r="L1303" t="s">
        <v>25</v>
      </c>
      <c r="M1303">
        <v>157</v>
      </c>
      <c r="N1303">
        <v>62.55</v>
      </c>
      <c r="O1303">
        <v>9.44</v>
      </c>
      <c r="P1303" t="s">
        <v>25</v>
      </c>
      <c r="Q1303" t="s">
        <v>1262</v>
      </c>
      <c r="R1303" t="s">
        <v>20</v>
      </c>
      <c r="S1303" t="str">
        <f>HYPERLINK("https://cfpub.epa.gov/ecotox/explore.cfm?ncbi=6185","Explore in ECOTOX")</f>
        <v>Explore in ECOTOX</v>
      </c>
    </row>
    <row r="1304" spans="1:19" x14ac:dyDescent="0.25">
      <c r="A1304">
        <v>6</v>
      </c>
      <c r="B1304" t="str">
        <f>HYPERLINK("http://www.ncbi.nlm.nih.gov/protein/RWS15167.1","RWS15167.1")</f>
        <v>RWS15167.1</v>
      </c>
      <c r="C1304">
        <v>19014</v>
      </c>
      <c r="D1304" t="str">
        <f>HYPERLINK("http://www.ncbi.nlm.nih.gov/Taxonomy/Browser/wwwtax.cgi?mode=Info&amp;id=1965070&amp;lvl=3&amp;lin=f&amp;keep=1&amp;srchmode=1&amp;unlock","1965070")</f>
        <v>1965070</v>
      </c>
      <c r="E1304" t="s">
        <v>700</v>
      </c>
      <c r="F1304" t="s">
        <v>700</v>
      </c>
      <c r="G1304" t="str">
        <f>HYPERLINK("http://www.ncbi.nlm.nih.gov/Taxonomy/Browser/wwwtax.cgi?mode=Info&amp;id=1965070&amp;lvl=3&amp;lin=f&amp;keep=1&amp;srchmode=1&amp;unlock","Dinothrombium tinctorium")</f>
        <v>Dinothrombium tinctorium</v>
      </c>
      <c r="H1304" t="s">
        <v>1187</v>
      </c>
      <c r="I1304" t="str">
        <f>HYPERLINK("http://www.ncbi.nlm.nih.gov/protein/RWS15167.1","Estrogen-related receptor gamma-like protein, partial")</f>
        <v>Estrogen-related receptor gamma-like protein, partial</v>
      </c>
      <c r="J1304" t="s">
        <v>1261</v>
      </c>
      <c r="K1304">
        <v>48.14</v>
      </c>
      <c r="L1304" t="s">
        <v>25</v>
      </c>
      <c r="M1304">
        <v>157</v>
      </c>
      <c r="N1304">
        <v>62.55</v>
      </c>
      <c r="O1304">
        <v>9.36</v>
      </c>
      <c r="P1304" t="s">
        <v>25</v>
      </c>
      <c r="Q1304" t="s">
        <v>1262</v>
      </c>
      <c r="R1304" t="s">
        <v>20</v>
      </c>
      <c r="S1304" t="str">
        <f>HYPERLINK("https://cfpub.epa.gov/ecotox/explore.cfm?ncbi=1965070","Explore in ECOTOX")</f>
        <v>Explore in ECOTOX</v>
      </c>
    </row>
    <row r="1305" spans="1:19" x14ac:dyDescent="0.25">
      <c r="A1305">
        <v>6</v>
      </c>
      <c r="B1305" t="str">
        <f>HYPERLINK("http://www.ncbi.nlm.nih.gov/protein/XP_030535137.1","XP_030535137.1")</f>
        <v>XP_030535137.1</v>
      </c>
      <c r="C1305">
        <v>42574</v>
      </c>
      <c r="D1305" t="str">
        <f>HYPERLINK("http://www.ncbi.nlm.nih.gov/Taxonomy/Browser/wwwtax.cgi?mode=Info&amp;id=178133&amp;lvl=3&amp;lin=f&amp;keep=1&amp;srchmode=1&amp;unlock","178133")</f>
        <v>178133</v>
      </c>
      <c r="E1305" t="s">
        <v>1181</v>
      </c>
      <c r="F1305" t="s">
        <v>1181</v>
      </c>
      <c r="G1305" t="str">
        <f>HYPERLINK("http://www.ncbi.nlm.nih.gov/Taxonomy/Browser/wwwtax.cgi?mode=Info&amp;id=178133&amp;lvl=3&amp;lin=f&amp;keep=1&amp;srchmode=1&amp;unlock","Rhodamnia argentea")</f>
        <v>Rhodamnia argentea</v>
      </c>
      <c r="H1305" t="s">
        <v>1182</v>
      </c>
      <c r="I1305" t="str">
        <f>HYPERLINK("http://www.ncbi.nlm.nih.gov/protein/XP_030535137.1","steroid hormone receptor ERR2-like")</f>
        <v>steroid hormone receptor ERR2-like</v>
      </c>
      <c r="J1305" t="s">
        <v>1261</v>
      </c>
      <c r="K1305">
        <v>48.14</v>
      </c>
      <c r="L1305" t="s">
        <v>25</v>
      </c>
      <c r="M1305">
        <v>157</v>
      </c>
      <c r="N1305">
        <v>62.55</v>
      </c>
      <c r="O1305">
        <v>9.36</v>
      </c>
      <c r="P1305" t="s">
        <v>25</v>
      </c>
      <c r="Q1305" t="s">
        <v>1262</v>
      </c>
      <c r="R1305" t="s">
        <v>20</v>
      </c>
      <c r="S1305" t="str">
        <f>HYPERLINK("https://cfpub.epa.gov/ecotox/explore.cfm?ncbi=178133","Explore in ECOTOX")</f>
        <v>Explore in ECOTOX</v>
      </c>
    </row>
    <row r="1306" spans="1:19" x14ac:dyDescent="0.25">
      <c r="A1306">
        <v>6</v>
      </c>
      <c r="B1306" t="str">
        <f>HYPERLINK("http://www.ncbi.nlm.nih.gov/protein/AIG59977.1","AIG59977.1")</f>
        <v>AIG59977.1</v>
      </c>
      <c r="C1306">
        <v>793</v>
      </c>
      <c r="D1306" t="str">
        <f>HYPERLINK("http://www.ncbi.nlm.nih.gov/Taxonomy/Browser/wwwtax.cgi?mode=Info&amp;id=75352&amp;lvl=3&amp;lin=f&amp;keep=1&amp;srchmode=1&amp;unlock","75352")</f>
        <v>75352</v>
      </c>
      <c r="E1306" t="s">
        <v>384</v>
      </c>
      <c r="F1306" t="s">
        <v>384</v>
      </c>
      <c r="G1306" t="str">
        <f>HYPERLINK("http://www.ncbi.nlm.nih.gov/Taxonomy/Browser/wwwtax.cgi?mode=Info&amp;id=75352&amp;lvl=3&amp;lin=f&amp;keep=1&amp;srchmode=1&amp;unlock","Megalobrama amblycephala")</f>
        <v>Megalobrama amblycephala</v>
      </c>
      <c r="H1306" t="s">
        <v>1216</v>
      </c>
      <c r="I1306" t="str">
        <f>HYPERLINK("http://www.ncbi.nlm.nih.gov/protein/AIG59977.1","nr2f6a")</f>
        <v>nr2f6a</v>
      </c>
      <c r="J1306" t="s">
        <v>1261</v>
      </c>
      <c r="K1306">
        <v>48.14</v>
      </c>
      <c r="L1306" t="s">
        <v>25</v>
      </c>
      <c r="M1306">
        <v>157</v>
      </c>
      <c r="N1306">
        <v>62.55</v>
      </c>
      <c r="O1306">
        <v>9.36</v>
      </c>
      <c r="P1306" t="s">
        <v>20</v>
      </c>
      <c r="Q1306" t="s">
        <v>1262</v>
      </c>
      <c r="R1306" t="s">
        <v>20</v>
      </c>
      <c r="S1306" t="str">
        <f>HYPERLINK("https://cfpub.epa.gov/ecotox/explore.cfm?ncbi=75352","Explore in ECOTOX")</f>
        <v>Explore in ECOTOX</v>
      </c>
    </row>
    <row r="1307" spans="1:19" x14ac:dyDescent="0.25">
      <c r="A1307">
        <v>6</v>
      </c>
      <c r="B1307" t="str">
        <f>HYPERLINK("http://www.ncbi.nlm.nih.gov/protein/BBB46091.1","BBB46091.1")</f>
        <v>BBB46091.1</v>
      </c>
      <c r="C1307">
        <v>5</v>
      </c>
      <c r="D1307" t="str">
        <f>HYPERLINK("http://www.ncbi.nlm.nih.gov/Taxonomy/Browser/wwwtax.cgi?mode=Info&amp;id=167134&amp;lvl=3&amp;lin=f&amp;keep=1&amp;srchmode=1&amp;unlock","167134")</f>
        <v>167134</v>
      </c>
      <c r="E1307" t="s">
        <v>763</v>
      </c>
      <c r="F1307" t="s">
        <v>763</v>
      </c>
      <c r="G1307" t="str">
        <f>HYPERLINK("http://www.ncbi.nlm.nih.gov/Taxonomy/Browser/wwwtax.cgi?mode=Info&amp;id=167134&amp;lvl=3&amp;lin=f&amp;keep=1&amp;srchmode=1&amp;unlock","Babylonia japonica")</f>
        <v>Babylonia japonica</v>
      </c>
      <c r="H1307" t="s">
        <v>946</v>
      </c>
      <c r="I1307" t="str">
        <f>HYPERLINK("http://www.ncbi.nlm.nih.gov/protein/BBB46091.1","retinoid X receptor isoform 1")</f>
        <v>retinoid X receptor isoform 1</v>
      </c>
      <c r="J1307" t="s">
        <v>1261</v>
      </c>
      <c r="K1307">
        <v>48.14</v>
      </c>
      <c r="L1307" t="s">
        <v>25</v>
      </c>
      <c r="M1307">
        <v>157</v>
      </c>
      <c r="N1307">
        <v>62.55</v>
      </c>
      <c r="O1307">
        <v>9.36</v>
      </c>
      <c r="P1307" t="s">
        <v>25</v>
      </c>
      <c r="Q1307" t="s">
        <v>1262</v>
      </c>
      <c r="R1307" t="s">
        <v>20</v>
      </c>
      <c r="S1307" t="str">
        <f>HYPERLINK("https://cfpub.epa.gov/ecotox/explore.cfm?ncbi=167134","Explore in ECOTOX")</f>
        <v>Explore in ECOTOX</v>
      </c>
    </row>
    <row r="1308" spans="1:19" x14ac:dyDescent="0.25">
      <c r="A1308">
        <v>6</v>
      </c>
      <c r="B1308" t="str">
        <f>HYPERLINK("http://www.ncbi.nlm.nih.gov/protein/KOB70144.1","KOB70144.1")</f>
        <v>KOB70144.1</v>
      </c>
      <c r="C1308">
        <v>17113</v>
      </c>
      <c r="D1308" t="str">
        <f>HYPERLINK("http://www.ncbi.nlm.nih.gov/Taxonomy/Browser/wwwtax.cgi?mode=Info&amp;id=104452&amp;lvl=3&amp;lin=f&amp;keep=1&amp;srchmode=1&amp;unlock","104452")</f>
        <v>104452</v>
      </c>
      <c r="E1308" t="s">
        <v>698</v>
      </c>
      <c r="F1308" t="s">
        <v>698</v>
      </c>
      <c r="G1308" t="str">
        <f>HYPERLINK("http://www.ncbi.nlm.nih.gov/Taxonomy/Browser/wwwtax.cgi?mode=Info&amp;id=104452&amp;lvl=3&amp;lin=f&amp;keep=1&amp;srchmode=1&amp;unlock","Operophtera brumata")</f>
        <v>Operophtera brumata</v>
      </c>
      <c r="H1308" t="s">
        <v>1234</v>
      </c>
      <c r="I1308" t="str">
        <f>HYPERLINK("http://www.ncbi.nlm.nih.gov/protein/KOB70144.1","Hormone receptor 39, partial")</f>
        <v>Hormone receptor 39, partial</v>
      </c>
      <c r="J1308" t="s">
        <v>1261</v>
      </c>
      <c r="K1308">
        <v>48.14</v>
      </c>
      <c r="L1308" t="s">
        <v>25</v>
      </c>
      <c r="M1308">
        <v>157</v>
      </c>
      <c r="N1308">
        <v>62.55</v>
      </c>
      <c r="O1308">
        <v>9.36</v>
      </c>
      <c r="P1308" t="s">
        <v>25</v>
      </c>
      <c r="Q1308" t="s">
        <v>1262</v>
      </c>
      <c r="R1308" t="s">
        <v>20</v>
      </c>
      <c r="S1308" t="str">
        <f>HYPERLINK("https://cfpub.epa.gov/ecotox/explore.cfm?ncbi=104452","Explore in ECOTOX")</f>
        <v>Explore in ECOTOX</v>
      </c>
    </row>
    <row r="1309" spans="1:19" x14ac:dyDescent="0.25">
      <c r="A1309">
        <v>6</v>
      </c>
      <c r="B1309" t="str">
        <f>HYPERLINK("http://www.ncbi.nlm.nih.gov/protein/QAX24918.1","QAX24918.1")</f>
        <v>QAX24918.1</v>
      </c>
      <c r="C1309">
        <v>41</v>
      </c>
      <c r="D1309" t="str">
        <f>HYPERLINK("http://www.ncbi.nlm.nih.gov/Taxonomy/Browser/wwwtax.cgi?mode=Info&amp;id=126420&amp;lvl=3&amp;lin=f&amp;keep=1&amp;srchmode=1&amp;unlock","126420")</f>
        <v>126420</v>
      </c>
      <c r="E1309" t="s">
        <v>1244</v>
      </c>
      <c r="F1309" t="s">
        <v>1244</v>
      </c>
      <c r="G1309" t="str">
        <f>HYPERLINK("http://www.ncbi.nlm.nih.gov/Taxonomy/Browser/wwwtax.cgi?mode=Info&amp;id=126420&amp;lvl=3&amp;lin=f&amp;keep=1&amp;srchmode=1&amp;unlock","Acanthochitona crinita")</f>
        <v>Acanthochitona crinita</v>
      </c>
      <c r="H1309" t="s">
        <v>1245</v>
      </c>
      <c r="I1309" t="str">
        <f>HYPERLINK("http://www.ncbi.nlm.nih.gov/protein/QAX24918.1","retinoid X receptor")</f>
        <v>retinoid X receptor</v>
      </c>
      <c r="J1309" t="s">
        <v>1261</v>
      </c>
      <c r="K1309">
        <v>47.75</v>
      </c>
      <c r="L1309" t="s">
        <v>25</v>
      </c>
      <c r="M1309">
        <v>157</v>
      </c>
      <c r="N1309">
        <v>62.55</v>
      </c>
      <c r="O1309">
        <v>9.2899999999999991</v>
      </c>
      <c r="P1309" t="s">
        <v>25</v>
      </c>
      <c r="Q1309" t="s">
        <v>1262</v>
      </c>
      <c r="R1309" t="s">
        <v>20</v>
      </c>
      <c r="S1309" t="str">
        <f>HYPERLINK("https://cfpub.epa.gov/ecotox/explore.cfm?ncbi=126420","Explore in ECOTOX")</f>
        <v>Explore in ECOTOX</v>
      </c>
    </row>
    <row r="1310" spans="1:19" x14ac:dyDescent="0.25">
      <c r="A1310">
        <v>6</v>
      </c>
      <c r="B1310" t="str">
        <f>HYPERLINK("http://www.ncbi.nlm.nih.gov/protein/XP_022080403.1","XP_022080403.1")</f>
        <v>XP_022080403.1</v>
      </c>
      <c r="C1310">
        <v>33325</v>
      </c>
      <c r="D1310" t="str">
        <f>HYPERLINK("http://www.ncbi.nlm.nih.gov/Taxonomy/Browser/wwwtax.cgi?mode=Info&amp;id=133434&amp;lvl=3&amp;lin=f&amp;keep=1&amp;srchmode=1&amp;unlock","133434")</f>
        <v>133434</v>
      </c>
      <c r="E1310" t="s">
        <v>704</v>
      </c>
      <c r="F1310" t="s">
        <v>704</v>
      </c>
      <c r="G1310" t="str">
        <f>HYPERLINK("http://www.ncbi.nlm.nih.gov/Taxonomy/Browser/wwwtax.cgi?mode=Info&amp;id=133434&amp;lvl=3&amp;lin=f&amp;keep=1&amp;srchmode=1&amp;unlock","Acanthaster planci")</f>
        <v>Acanthaster planci</v>
      </c>
      <c r="H1310" t="s">
        <v>706</v>
      </c>
      <c r="I1310" t="str">
        <f>HYPERLINK("http://www.ncbi.nlm.nih.gov/protein/XP_022080403.1","hepatocyte nuclear factor 4-gamma-like isoform X3")</f>
        <v>hepatocyte nuclear factor 4-gamma-like isoform X3</v>
      </c>
      <c r="J1310" t="s">
        <v>1261</v>
      </c>
      <c r="K1310">
        <v>47.37</v>
      </c>
      <c r="L1310" t="s">
        <v>25</v>
      </c>
      <c r="M1310">
        <v>157</v>
      </c>
      <c r="N1310">
        <v>62.55</v>
      </c>
      <c r="O1310">
        <v>9.2100000000000009</v>
      </c>
      <c r="P1310" t="s">
        <v>25</v>
      </c>
      <c r="Q1310" t="s">
        <v>1262</v>
      </c>
      <c r="R1310" t="s">
        <v>20</v>
      </c>
      <c r="S1310" t="str">
        <f>HYPERLINK("https://cfpub.epa.gov/ecotox/explore.cfm?ncbi=133434","Explore in ECOTOX")</f>
        <v>Explore in ECOTOX</v>
      </c>
    </row>
    <row r="1311" spans="1:19" x14ac:dyDescent="0.25">
      <c r="A1311">
        <v>6</v>
      </c>
      <c r="B1311" t="str">
        <f>HYPERLINK("http://www.ncbi.nlm.nih.gov/protein/XP_033625708.1","XP_033625708.1")</f>
        <v>XP_033625708.1</v>
      </c>
      <c r="C1311">
        <v>24290</v>
      </c>
      <c r="D1311" t="str">
        <f>HYPERLINK("http://www.ncbi.nlm.nih.gov/Taxonomy/Browser/wwwtax.cgi?mode=Info&amp;id=7604&amp;lvl=3&amp;lin=f&amp;keep=1&amp;srchmode=1&amp;unlock","7604")</f>
        <v>7604</v>
      </c>
      <c r="E1311" t="s">
        <v>704</v>
      </c>
      <c r="F1311" t="s">
        <v>704</v>
      </c>
      <c r="G1311" t="str">
        <f>HYPERLINK("http://www.ncbi.nlm.nih.gov/Taxonomy/Browser/wwwtax.cgi?mode=Info&amp;id=7604&amp;lvl=3&amp;lin=f&amp;keep=1&amp;srchmode=1&amp;unlock","Asterias rubens")</f>
        <v>Asterias rubens</v>
      </c>
      <c r="H1311" t="s">
        <v>705</v>
      </c>
      <c r="I1311" t="str">
        <f>HYPERLINK("http://www.ncbi.nlm.nih.gov/protein/XP_033625708.1","hepatocyte nuclear factor 4-beta-like")</f>
        <v>hepatocyte nuclear factor 4-beta-like</v>
      </c>
      <c r="J1311" t="s">
        <v>1261</v>
      </c>
      <c r="K1311">
        <v>47.37</v>
      </c>
      <c r="L1311" t="s">
        <v>25</v>
      </c>
      <c r="M1311">
        <v>157</v>
      </c>
      <c r="N1311">
        <v>62.55</v>
      </c>
      <c r="O1311">
        <v>9.2100000000000009</v>
      </c>
      <c r="P1311" t="s">
        <v>25</v>
      </c>
      <c r="Q1311" t="s">
        <v>1262</v>
      </c>
      <c r="R1311" t="s">
        <v>20</v>
      </c>
      <c r="S1311" t="str">
        <f>HYPERLINK("https://cfpub.epa.gov/ecotox/explore.cfm?ncbi=7604","Explore in ECOTOX")</f>
        <v>Explore in ECOTOX</v>
      </c>
    </row>
    <row r="1312" spans="1:19" x14ac:dyDescent="0.25">
      <c r="A1312">
        <v>6</v>
      </c>
      <c r="B1312" t="str">
        <f>HYPERLINK("http://www.ncbi.nlm.nih.gov/protein/ASL70607.1","ASL70607.1")</f>
        <v>ASL70607.1</v>
      </c>
      <c r="C1312">
        <v>419</v>
      </c>
      <c r="D1312" t="str">
        <f>HYPERLINK("http://www.ncbi.nlm.nih.gov/Taxonomy/Browser/wwwtax.cgi?mode=Info&amp;id=1199090&amp;lvl=3&amp;lin=f&amp;keep=1&amp;srchmode=1&amp;unlock","1199090")</f>
        <v>1199090</v>
      </c>
      <c r="E1312" t="s">
        <v>855</v>
      </c>
      <c r="F1312" t="s">
        <v>855</v>
      </c>
      <c r="G1312" t="str">
        <f>HYPERLINK("http://www.ncbi.nlm.nih.gov/Taxonomy/Browser/wwwtax.cgi?mode=Info&amp;id=1199090&amp;lvl=3&amp;lin=f&amp;keep=1&amp;srchmode=1&amp;unlock","Brachionus koreanus")</f>
        <v>Brachionus koreanus</v>
      </c>
      <c r="H1312" t="s">
        <v>856</v>
      </c>
      <c r="I1312" t="str">
        <f>HYPERLINK("http://www.ncbi.nlm.nih.gov/protein/ASL70607.1","nuclear receptor")</f>
        <v>nuclear receptor</v>
      </c>
      <c r="J1312" t="s">
        <v>1261</v>
      </c>
      <c r="K1312">
        <v>47.37</v>
      </c>
      <c r="L1312" t="s">
        <v>25</v>
      </c>
      <c r="M1312">
        <v>157</v>
      </c>
      <c r="N1312">
        <v>62.55</v>
      </c>
      <c r="O1312">
        <v>9.2100000000000009</v>
      </c>
      <c r="P1312" t="s">
        <v>25</v>
      </c>
      <c r="Q1312" t="s">
        <v>1262</v>
      </c>
      <c r="R1312" t="s">
        <v>20</v>
      </c>
      <c r="S1312" t="str">
        <f>HYPERLINK("https://cfpub.epa.gov/ecotox/explore.cfm?ncbi=1199090","Explore in ECOTOX")</f>
        <v>Explore in ECOTOX</v>
      </c>
    </row>
    <row r="1313" spans="1:19" x14ac:dyDescent="0.25">
      <c r="A1313">
        <v>6</v>
      </c>
      <c r="B1313" t="str">
        <f>HYPERLINK("http://www.ncbi.nlm.nih.gov/protein/XP_025425458.1","XP_025425458.1")</f>
        <v>XP_025425458.1</v>
      </c>
      <c r="C1313">
        <v>21321</v>
      </c>
      <c r="D1313" t="str">
        <f>HYPERLINK("http://www.ncbi.nlm.nih.gov/Taxonomy/Browser/wwwtax.cgi?mode=Info&amp;id=143950&amp;lvl=3&amp;lin=f&amp;keep=1&amp;srchmode=1&amp;unlock","143950")</f>
        <v>143950</v>
      </c>
      <c r="E1313" t="s">
        <v>698</v>
      </c>
      <c r="F1313" t="s">
        <v>698</v>
      </c>
      <c r="G1313" t="str">
        <f>HYPERLINK("http://www.ncbi.nlm.nih.gov/Taxonomy/Browser/wwwtax.cgi?mode=Info&amp;id=143950&amp;lvl=3&amp;lin=f&amp;keep=1&amp;srchmode=1&amp;unlock","Sipha flava")</f>
        <v>Sipha flava</v>
      </c>
      <c r="H1313" t="s">
        <v>829</v>
      </c>
      <c r="I1313" t="str">
        <f>HYPERLINK("http://www.ncbi.nlm.nih.gov/protein/XP_025425458.1","transcription factor HNF-4 homolog isoform X3")</f>
        <v>transcription factor HNF-4 homolog isoform X3</v>
      </c>
      <c r="J1313" t="s">
        <v>1261</v>
      </c>
      <c r="K1313">
        <v>47.37</v>
      </c>
      <c r="L1313" t="s">
        <v>25</v>
      </c>
      <c r="M1313">
        <v>157</v>
      </c>
      <c r="N1313">
        <v>62.55</v>
      </c>
      <c r="O1313">
        <v>9.2100000000000009</v>
      </c>
      <c r="P1313" t="s">
        <v>25</v>
      </c>
      <c r="Q1313" t="s">
        <v>1262</v>
      </c>
      <c r="R1313" t="s">
        <v>20</v>
      </c>
      <c r="S1313" t="str">
        <f>HYPERLINK("https://cfpub.epa.gov/ecotox/explore.cfm?ncbi=143950","Explore in ECOTOX")</f>
        <v>Explore in ECOTOX</v>
      </c>
    </row>
    <row r="1314" spans="1:19" x14ac:dyDescent="0.25">
      <c r="A1314">
        <v>6</v>
      </c>
      <c r="B1314" t="str">
        <f>HYPERLINK("http://www.ncbi.nlm.nih.gov/protein/AEA29832.1","AEA29832.1")</f>
        <v>AEA29832.1</v>
      </c>
      <c r="C1314">
        <v>383</v>
      </c>
      <c r="D1314" t="str">
        <f>HYPERLINK("http://www.ncbi.nlm.nih.gov/Taxonomy/Browser/wwwtax.cgi?mode=Info&amp;id=6706&amp;lvl=3&amp;lin=f&amp;keep=1&amp;srchmode=1&amp;unlock","6706")</f>
        <v>6706</v>
      </c>
      <c r="E1314" t="s">
        <v>742</v>
      </c>
      <c r="F1314" t="s">
        <v>742</v>
      </c>
      <c r="G1314" t="str">
        <f>HYPERLINK("http://www.ncbi.nlm.nih.gov/Taxonomy/Browser/wwwtax.cgi?mode=Info&amp;id=6706&amp;lvl=3&amp;lin=f&amp;keep=1&amp;srchmode=1&amp;unlock","Homarus americanus")</f>
        <v>Homarus americanus</v>
      </c>
      <c r="H1314" t="s">
        <v>1225</v>
      </c>
      <c r="I1314" t="str">
        <f>HYPERLINK("http://www.ncbi.nlm.nih.gov/protein/AEA29832.1","retinoid X receptor splice variant")</f>
        <v>retinoid X receptor splice variant</v>
      </c>
      <c r="J1314" t="s">
        <v>1261</v>
      </c>
      <c r="K1314">
        <v>46.98</v>
      </c>
      <c r="L1314" t="s">
        <v>25</v>
      </c>
      <c r="M1314">
        <v>157</v>
      </c>
      <c r="N1314">
        <v>62.55</v>
      </c>
      <c r="O1314">
        <v>9.14</v>
      </c>
      <c r="P1314" t="s">
        <v>25</v>
      </c>
      <c r="Q1314" t="s">
        <v>1262</v>
      </c>
      <c r="R1314" t="s">
        <v>20</v>
      </c>
      <c r="S1314" t="str">
        <f>HYPERLINK("https://cfpub.epa.gov/ecotox/explore.cfm?ncbi=6706","Explore in ECOTOX")</f>
        <v>Explore in ECOTOX</v>
      </c>
    </row>
    <row r="1315" spans="1:19" x14ac:dyDescent="0.25">
      <c r="A1315">
        <v>6</v>
      </c>
      <c r="B1315" t="str">
        <f>HYPERLINK("http://www.ncbi.nlm.nih.gov/protein/BAP15929.1","BAP15929.1")</f>
        <v>BAP15929.1</v>
      </c>
      <c r="C1315">
        <v>84</v>
      </c>
      <c r="D1315" t="str">
        <f>HYPERLINK("http://www.ncbi.nlm.nih.gov/Taxonomy/Browser/wwwtax.cgi?mode=Info&amp;id=420089&amp;lvl=3&amp;lin=f&amp;keep=1&amp;srchmode=1&amp;unlock","420089")</f>
        <v>420089</v>
      </c>
      <c r="E1315" t="s">
        <v>698</v>
      </c>
      <c r="F1315" t="s">
        <v>698</v>
      </c>
      <c r="G1315" t="str">
        <f>HYPERLINK("http://www.ncbi.nlm.nih.gov/Taxonomy/Browser/wwwtax.cgi?mode=Info&amp;id=420089&amp;lvl=3&amp;lin=f&amp;keep=1&amp;srchmode=1&amp;unlock","Henosepilachna vigintioctopunctata")</f>
        <v>Henosepilachna vigintioctopunctata</v>
      </c>
      <c r="H1315" t="s">
        <v>1243</v>
      </c>
      <c r="I1315" t="str">
        <f>HYPERLINK("http://www.ncbi.nlm.nih.gov/protein/BAP15929.1","ultraspiracle 2 isoform")</f>
        <v>ultraspiracle 2 isoform</v>
      </c>
      <c r="J1315" t="s">
        <v>1261</v>
      </c>
      <c r="K1315">
        <v>46.98</v>
      </c>
      <c r="L1315" t="s">
        <v>25</v>
      </c>
      <c r="M1315">
        <v>157</v>
      </c>
      <c r="N1315">
        <v>62.55</v>
      </c>
      <c r="O1315">
        <v>9.14</v>
      </c>
      <c r="P1315" t="s">
        <v>25</v>
      </c>
      <c r="Q1315" t="s">
        <v>1262</v>
      </c>
      <c r="R1315" t="s">
        <v>20</v>
      </c>
      <c r="S1315" t="str">
        <f>HYPERLINK("https://cfpub.epa.gov/ecotox/explore.cfm?ncbi=420089","Explore in ECOTOX")</f>
        <v>Explore in ECOTOX</v>
      </c>
    </row>
    <row r="1316" spans="1:19" x14ac:dyDescent="0.25">
      <c r="A1316">
        <v>6</v>
      </c>
      <c r="B1316" t="str">
        <f>HYPERLINK("http://www.ncbi.nlm.nih.gov/protein/ALQ43971.1","ALQ43971.1")</f>
        <v>ALQ43971.1</v>
      </c>
      <c r="C1316">
        <v>122</v>
      </c>
      <c r="D1316" t="str">
        <f>HYPERLINK("http://www.ncbi.nlm.nih.gov/Taxonomy/Browser/wwwtax.cgi?mode=Info&amp;id=6465&amp;lvl=3&amp;lin=f&amp;keep=1&amp;srchmode=1&amp;unlock","6465")</f>
        <v>6465</v>
      </c>
      <c r="E1316" t="s">
        <v>763</v>
      </c>
      <c r="F1316" t="s">
        <v>763</v>
      </c>
      <c r="G1316" t="str">
        <f>HYPERLINK("http://www.ncbi.nlm.nih.gov/Taxonomy/Browser/wwwtax.cgi?mode=Info&amp;id=6465&amp;lvl=3&amp;lin=f&amp;keep=1&amp;srchmode=1&amp;unlock","Patella vulgata")</f>
        <v>Patella vulgata</v>
      </c>
      <c r="H1316" t="s">
        <v>1250</v>
      </c>
      <c r="I1316" t="str">
        <f>HYPERLINK("http://www.ncbi.nlm.nih.gov/protein/ALQ43971.1","retinoid X receptor")</f>
        <v>retinoid X receptor</v>
      </c>
      <c r="J1316" t="s">
        <v>1261</v>
      </c>
      <c r="K1316">
        <v>46.98</v>
      </c>
      <c r="L1316" t="s">
        <v>25</v>
      </c>
      <c r="M1316">
        <v>157</v>
      </c>
      <c r="N1316">
        <v>62.55</v>
      </c>
      <c r="O1316">
        <v>9.14</v>
      </c>
      <c r="P1316" t="s">
        <v>25</v>
      </c>
      <c r="Q1316" t="s">
        <v>1262</v>
      </c>
      <c r="R1316" t="s">
        <v>20</v>
      </c>
      <c r="S1316" t="str">
        <f>HYPERLINK("https://cfpub.epa.gov/ecotox/explore.cfm?ncbi=6465","Explore in ECOTOX")</f>
        <v>Explore in ECOTOX</v>
      </c>
    </row>
    <row r="1317" spans="1:19" x14ac:dyDescent="0.25">
      <c r="A1317">
        <v>6</v>
      </c>
      <c r="B1317" t="str">
        <f>HYPERLINK("http://www.ncbi.nlm.nih.gov/protein/XP_028893569.1","XP_028893569.1")</f>
        <v>XP_028893569.1</v>
      </c>
      <c r="C1317">
        <v>24845</v>
      </c>
      <c r="D1317" t="str">
        <f>HYPERLINK("http://www.ncbi.nlm.nih.gov/Taxonomy/Browser/wwwtax.cgi?mode=Info&amp;id=28588&amp;lvl=3&amp;lin=f&amp;keep=1&amp;srchmode=1&amp;unlock","28588")</f>
        <v>28588</v>
      </c>
      <c r="E1317" t="s">
        <v>698</v>
      </c>
      <c r="F1317" t="s">
        <v>698</v>
      </c>
      <c r="G1317" t="str">
        <f>HYPERLINK("http://www.ncbi.nlm.nih.gov/Taxonomy/Browser/wwwtax.cgi?mode=Info&amp;id=28588&amp;lvl=3&amp;lin=f&amp;keep=1&amp;srchmode=1&amp;unlock","Zeugodacus cucurbitae")</f>
        <v>Zeugodacus cucurbitae</v>
      </c>
      <c r="H1317" t="s">
        <v>939</v>
      </c>
      <c r="I1317" t="str">
        <f>HYPERLINK("http://www.ncbi.nlm.nih.gov/protein/XP_028893569.1","steroid receptor seven-up, isoforms B/C isoform X1")</f>
        <v>steroid receptor seven-up, isoforms B/C isoform X1</v>
      </c>
      <c r="J1317" t="s">
        <v>1261</v>
      </c>
      <c r="K1317">
        <v>46.59</v>
      </c>
      <c r="L1317" t="s">
        <v>25</v>
      </c>
      <c r="M1317">
        <v>157</v>
      </c>
      <c r="N1317">
        <v>62.55</v>
      </c>
      <c r="O1317">
        <v>9.06</v>
      </c>
      <c r="P1317" t="s">
        <v>25</v>
      </c>
      <c r="Q1317" t="s">
        <v>1262</v>
      </c>
      <c r="R1317" t="s">
        <v>20</v>
      </c>
      <c r="S1317" t="str">
        <f>HYPERLINK("https://cfpub.epa.gov/ecotox/explore.cfm?ncbi=28588","Explore in ECOTOX")</f>
        <v>Explore in ECOTOX</v>
      </c>
    </row>
    <row r="1318" spans="1:19" x14ac:dyDescent="0.25">
      <c r="A1318">
        <v>6</v>
      </c>
      <c r="B1318" t="str">
        <f>HYPERLINK("http://www.ncbi.nlm.nih.gov/protein/XP_018797749.1","XP_018797749.1")</f>
        <v>XP_018797749.1</v>
      </c>
      <c r="C1318">
        <v>22773</v>
      </c>
      <c r="D1318" t="str">
        <f>HYPERLINK("http://www.ncbi.nlm.nih.gov/Taxonomy/Browser/wwwtax.cgi?mode=Info&amp;id=174628&amp;lvl=3&amp;lin=f&amp;keep=1&amp;srchmode=1&amp;unlock","174628")</f>
        <v>174628</v>
      </c>
      <c r="E1318" t="s">
        <v>698</v>
      </c>
      <c r="F1318" t="s">
        <v>698</v>
      </c>
      <c r="G1318" t="str">
        <f>HYPERLINK("http://www.ncbi.nlm.nih.gov/Taxonomy/Browser/wwwtax.cgi?mode=Info&amp;id=174628&amp;lvl=3&amp;lin=f&amp;keep=1&amp;srchmode=1&amp;unlock","Bactrocera latifrons")</f>
        <v>Bactrocera latifrons</v>
      </c>
      <c r="H1318" t="s">
        <v>753</v>
      </c>
      <c r="I1318" t="str">
        <f>HYPERLINK("http://www.ncbi.nlm.nih.gov/protein/XP_018797749.1","PREDICTED: steroid receptor seven-up, isoforms B/C isoform X1")</f>
        <v>PREDICTED: steroid receptor seven-up, isoforms B/C isoform X1</v>
      </c>
      <c r="J1318" t="s">
        <v>1261</v>
      </c>
      <c r="K1318">
        <v>46.59</v>
      </c>
      <c r="L1318" t="s">
        <v>25</v>
      </c>
      <c r="M1318">
        <v>157</v>
      </c>
      <c r="N1318">
        <v>62.55</v>
      </c>
      <c r="O1318">
        <v>9.06</v>
      </c>
      <c r="P1318" t="s">
        <v>25</v>
      </c>
      <c r="Q1318" t="s">
        <v>1262</v>
      </c>
      <c r="R1318" t="s">
        <v>20</v>
      </c>
      <c r="S1318" t="str">
        <f>HYPERLINK("https://cfpub.epa.gov/ecotox/explore.cfm?ncbi=174628","Explore in ECOTOX")</f>
        <v>Explore in ECOTOX</v>
      </c>
    </row>
    <row r="1319" spans="1:19" x14ac:dyDescent="0.25">
      <c r="A1319">
        <v>6</v>
      </c>
      <c r="B1319" t="str">
        <f>HYPERLINK("http://www.ncbi.nlm.nih.gov/protein/XP_011208146.1","XP_011208146.1")</f>
        <v>XP_011208146.1</v>
      </c>
      <c r="C1319">
        <v>23873</v>
      </c>
      <c r="D1319" t="str">
        <f>HYPERLINK("http://www.ncbi.nlm.nih.gov/Taxonomy/Browser/wwwtax.cgi?mode=Info&amp;id=27457&amp;lvl=3&amp;lin=f&amp;keep=1&amp;srchmode=1&amp;unlock","27457")</f>
        <v>27457</v>
      </c>
      <c r="E1319" t="s">
        <v>698</v>
      </c>
      <c r="F1319" t="s">
        <v>698</v>
      </c>
      <c r="G1319" t="str">
        <f>HYPERLINK("http://www.ncbi.nlm.nih.gov/Taxonomy/Browser/wwwtax.cgi?mode=Info&amp;id=27457&amp;lvl=3&amp;lin=f&amp;keep=1&amp;srchmode=1&amp;unlock","Bactrocera dorsalis")</f>
        <v>Bactrocera dorsalis</v>
      </c>
      <c r="H1319" t="s">
        <v>916</v>
      </c>
      <c r="I1319" t="str">
        <f>HYPERLINK("http://www.ncbi.nlm.nih.gov/protein/XP_011208146.1","steroid receptor seven-up, isoforms B/C isoform X1")</f>
        <v>steroid receptor seven-up, isoforms B/C isoform X1</v>
      </c>
      <c r="J1319" t="s">
        <v>1261</v>
      </c>
      <c r="K1319">
        <v>46.59</v>
      </c>
      <c r="L1319" t="s">
        <v>25</v>
      </c>
      <c r="M1319">
        <v>157</v>
      </c>
      <c r="N1319">
        <v>62.55</v>
      </c>
      <c r="O1319">
        <v>9.06</v>
      </c>
      <c r="P1319" t="s">
        <v>25</v>
      </c>
      <c r="Q1319" t="s">
        <v>1262</v>
      </c>
      <c r="R1319" t="s">
        <v>20</v>
      </c>
      <c r="S1319" t="str">
        <f>HYPERLINK("https://cfpub.epa.gov/ecotox/explore.cfm?ncbi=27457","Explore in ECOTOX")</f>
        <v>Explore in ECOTOX</v>
      </c>
    </row>
    <row r="1320" spans="1:19" x14ac:dyDescent="0.25">
      <c r="A1320">
        <v>6</v>
      </c>
      <c r="B1320" t="str">
        <f>HYPERLINK("http://www.ncbi.nlm.nih.gov/protein/XP_036321406.1","XP_036321406.1")</f>
        <v>XP_036321406.1</v>
      </c>
      <c r="C1320">
        <v>30873</v>
      </c>
      <c r="D1320" t="str">
        <f>HYPERLINK("http://www.ncbi.nlm.nih.gov/Taxonomy/Browser/wwwtax.cgi?mode=Info&amp;id=28610&amp;lvl=3&amp;lin=f&amp;keep=1&amp;srchmode=1&amp;unlock","28610")</f>
        <v>28610</v>
      </c>
      <c r="E1320" t="s">
        <v>698</v>
      </c>
      <c r="F1320" t="s">
        <v>698</v>
      </c>
      <c r="G1320" t="str">
        <f>HYPERLINK("http://www.ncbi.nlm.nih.gov/Taxonomy/Browser/wwwtax.cgi?mode=Info&amp;id=28610&amp;lvl=3&amp;lin=f&amp;keep=1&amp;srchmode=1&amp;unlock","Rhagoletis pomonella")</f>
        <v>Rhagoletis pomonella</v>
      </c>
      <c r="H1320" t="s">
        <v>841</v>
      </c>
      <c r="I1320" t="str">
        <f>HYPERLINK("http://www.ncbi.nlm.nih.gov/protein/XP_036321406.1","steroid receptor seven-up, isoforms B/C isoform X1")</f>
        <v>steroid receptor seven-up, isoforms B/C isoform X1</v>
      </c>
      <c r="J1320" t="s">
        <v>1261</v>
      </c>
      <c r="K1320">
        <v>46.59</v>
      </c>
      <c r="L1320" t="s">
        <v>25</v>
      </c>
      <c r="M1320">
        <v>157</v>
      </c>
      <c r="N1320">
        <v>62.55</v>
      </c>
      <c r="O1320">
        <v>9.06</v>
      </c>
      <c r="P1320" t="s">
        <v>25</v>
      </c>
      <c r="Q1320" t="s">
        <v>1262</v>
      </c>
      <c r="R1320" t="s">
        <v>20</v>
      </c>
      <c r="S1320" t="str">
        <f>HYPERLINK("https://cfpub.epa.gov/ecotox/explore.cfm?ncbi=28610","Explore in ECOTOX")</f>
        <v>Explore in ECOTOX</v>
      </c>
    </row>
    <row r="1321" spans="1:19" x14ac:dyDescent="0.25">
      <c r="A1321">
        <v>6</v>
      </c>
      <c r="B1321" t="str">
        <f>HYPERLINK("http://www.ncbi.nlm.nih.gov/protein/KAF2881561.1","KAF2881561.1")</f>
        <v>KAF2881561.1</v>
      </c>
      <c r="C1321">
        <v>27570</v>
      </c>
      <c r="D1321" t="str">
        <f>HYPERLINK("http://www.ncbi.nlm.nih.gov/Taxonomy/Browser/wwwtax.cgi?mode=Info&amp;id=2038154&amp;lvl=3&amp;lin=f&amp;keep=1&amp;srchmode=1&amp;unlock","2038154")</f>
        <v>2038154</v>
      </c>
      <c r="E1321" t="s">
        <v>698</v>
      </c>
      <c r="F1321" t="s">
        <v>698</v>
      </c>
      <c r="G1321" t="str">
        <f>HYPERLINK("http://www.ncbi.nlm.nih.gov/Taxonomy/Browser/wwwtax.cgi?mode=Info&amp;id=2038154&amp;lvl=3&amp;lin=f&amp;keep=1&amp;srchmode=1&amp;unlock","Ignelater luminosus")</f>
        <v>Ignelater luminosus</v>
      </c>
      <c r="H1321" t="s">
        <v>857</v>
      </c>
      <c r="I1321" t="str">
        <f>HYPERLINK("http://www.ncbi.nlm.nih.gov/protein/KAF2881561.1","hypothetical protein ILUMI_24610")</f>
        <v>hypothetical protein ILUMI_24610</v>
      </c>
      <c r="J1321" t="s">
        <v>1261</v>
      </c>
      <c r="K1321">
        <v>46.59</v>
      </c>
      <c r="L1321" t="s">
        <v>25</v>
      </c>
      <c r="M1321">
        <v>157</v>
      </c>
      <c r="N1321">
        <v>62.55</v>
      </c>
      <c r="O1321">
        <v>9.06</v>
      </c>
      <c r="P1321" t="s">
        <v>25</v>
      </c>
      <c r="Q1321" t="s">
        <v>1262</v>
      </c>
      <c r="R1321" t="s">
        <v>20</v>
      </c>
      <c r="S1321" t="str">
        <f>HYPERLINK("https://cfpub.epa.gov/ecotox/explore.cfm?ncbi=2038154","Explore in ECOTOX")</f>
        <v>Explore in ECOTOX</v>
      </c>
    </row>
    <row r="1322" spans="1:19" x14ac:dyDescent="0.25">
      <c r="A1322">
        <v>6</v>
      </c>
      <c r="B1322" t="str">
        <f>HYPERLINK("http://www.ncbi.nlm.nih.gov/protein/BAN21221.1","BAN21221.1")</f>
        <v>BAN21221.1</v>
      </c>
      <c r="C1322">
        <v>1726</v>
      </c>
      <c r="D1322" t="str">
        <f>HYPERLINK("http://www.ncbi.nlm.nih.gov/Taxonomy/Browser/wwwtax.cgi?mode=Info&amp;id=329032&amp;lvl=3&amp;lin=f&amp;keep=1&amp;srchmode=1&amp;unlock","329032")</f>
        <v>329032</v>
      </c>
      <c r="E1322" t="s">
        <v>698</v>
      </c>
      <c r="F1322" t="s">
        <v>698</v>
      </c>
      <c r="G1322" t="str">
        <f>HYPERLINK("http://www.ncbi.nlm.nih.gov/Taxonomy/Browser/wwwtax.cgi?mode=Info&amp;id=329032&amp;lvl=3&amp;lin=f&amp;keep=1&amp;srchmode=1&amp;unlock","Riptortus pedestris")</f>
        <v>Riptortus pedestris</v>
      </c>
      <c r="H1322" t="s">
        <v>699</v>
      </c>
      <c r="I1322" t="str">
        <f>HYPERLINK("http://www.ncbi.nlm.nih.gov/protein/BAN21221.1","hepatocyte nuclear factor 4")</f>
        <v>hepatocyte nuclear factor 4</v>
      </c>
      <c r="J1322" t="s">
        <v>1261</v>
      </c>
      <c r="K1322">
        <v>46.59</v>
      </c>
      <c r="L1322" t="s">
        <v>25</v>
      </c>
      <c r="M1322">
        <v>157</v>
      </c>
      <c r="N1322">
        <v>62.55</v>
      </c>
      <c r="O1322">
        <v>9.06</v>
      </c>
      <c r="P1322" t="s">
        <v>25</v>
      </c>
      <c r="Q1322" t="s">
        <v>1262</v>
      </c>
      <c r="R1322" t="s">
        <v>20</v>
      </c>
      <c r="S1322" t="str">
        <f>HYPERLINK("https://cfpub.epa.gov/ecotox/explore.cfm?ncbi=329032","Explore in ECOTOX")</f>
        <v>Explore in ECOTOX</v>
      </c>
    </row>
    <row r="1323" spans="1:19" x14ac:dyDescent="0.25">
      <c r="A1323">
        <v>6</v>
      </c>
      <c r="B1323" t="str">
        <f>HYPERLINK("http://www.ncbi.nlm.nih.gov/protein/OQR80014.1","OQR80014.1")</f>
        <v>OQR80014.1</v>
      </c>
      <c r="C1323">
        <v>14378</v>
      </c>
      <c r="D1323" t="str">
        <f>HYPERLINK("http://www.ncbi.nlm.nih.gov/Taxonomy/Browser/wwwtax.cgi?mode=Info&amp;id=418985&amp;lvl=3&amp;lin=f&amp;keep=1&amp;srchmode=1&amp;unlock","418985")</f>
        <v>418985</v>
      </c>
      <c r="E1323" t="s">
        <v>700</v>
      </c>
      <c r="F1323" t="s">
        <v>700</v>
      </c>
      <c r="G1323" t="str">
        <f>HYPERLINK("http://www.ncbi.nlm.nih.gov/Taxonomy/Browser/wwwtax.cgi?mode=Info&amp;id=418985&amp;lvl=3&amp;lin=f&amp;keep=1&amp;srchmode=1&amp;unlock","Tropilaelaps mercedesae")</f>
        <v>Tropilaelaps mercedesae</v>
      </c>
      <c r="H1323" t="s">
        <v>701</v>
      </c>
      <c r="I1323" t="str">
        <f>HYPERLINK("http://www.ncbi.nlm.nih.gov/protein/OQR80014.1","transcription factor HNF-4-like")</f>
        <v>transcription factor HNF-4-like</v>
      </c>
      <c r="J1323" t="s">
        <v>1261</v>
      </c>
      <c r="K1323">
        <v>46.21</v>
      </c>
      <c r="L1323" t="s">
        <v>25</v>
      </c>
      <c r="M1323">
        <v>157</v>
      </c>
      <c r="N1323">
        <v>62.55</v>
      </c>
      <c r="O1323">
        <v>8.99</v>
      </c>
      <c r="P1323" t="s">
        <v>25</v>
      </c>
      <c r="Q1323" t="s">
        <v>1262</v>
      </c>
      <c r="R1323" t="s">
        <v>20</v>
      </c>
      <c r="S1323" t="str">
        <f>HYPERLINK("https://cfpub.epa.gov/ecotox/explore.cfm?ncbi=418985","Explore in ECOTOX")</f>
        <v>Explore in ECOTOX</v>
      </c>
    </row>
    <row r="1324" spans="1:19" x14ac:dyDescent="0.25">
      <c r="A1324">
        <v>6</v>
      </c>
      <c r="B1324" t="str">
        <f>HYPERLINK("http://www.ncbi.nlm.nih.gov/protein/XP_015751727.1","XP_015751727.1")</f>
        <v>XP_015751727.1</v>
      </c>
      <c r="C1324">
        <v>34225</v>
      </c>
      <c r="D1324" t="str">
        <f>HYPERLINK("http://www.ncbi.nlm.nih.gov/Taxonomy/Browser/wwwtax.cgi?mode=Info&amp;id=70779&amp;lvl=3&amp;lin=f&amp;keep=1&amp;srchmode=1&amp;unlock","70779")</f>
        <v>70779</v>
      </c>
      <c r="E1324" t="s">
        <v>1183</v>
      </c>
      <c r="F1324" t="s">
        <v>1183</v>
      </c>
      <c r="G1324" t="str">
        <f>HYPERLINK("http://www.ncbi.nlm.nih.gov/Taxonomy/Browser/wwwtax.cgi?mode=Info&amp;id=70779&amp;lvl=3&amp;lin=f&amp;keep=1&amp;srchmode=1&amp;unlock","Acropora digitifera")</f>
        <v>Acropora digitifera</v>
      </c>
      <c r="H1324" t="s">
        <v>1209</v>
      </c>
      <c r="I1324" t="str">
        <f>HYPERLINK("http://www.ncbi.nlm.nih.gov/protein/XP_015751727.1","PREDICTED: hepatocyte nuclear factor 4-gamma-like isoform X1")</f>
        <v>PREDICTED: hepatocyte nuclear factor 4-gamma-like isoform X1</v>
      </c>
      <c r="J1324" t="s">
        <v>1261</v>
      </c>
      <c r="K1324">
        <v>46.21</v>
      </c>
      <c r="L1324" t="s">
        <v>25</v>
      </c>
      <c r="M1324">
        <v>157</v>
      </c>
      <c r="N1324">
        <v>62.55</v>
      </c>
      <c r="O1324">
        <v>8.99</v>
      </c>
      <c r="P1324" t="s">
        <v>25</v>
      </c>
      <c r="Q1324" t="s">
        <v>1262</v>
      </c>
      <c r="R1324" t="s">
        <v>20</v>
      </c>
      <c r="S1324" t="str">
        <f>HYPERLINK("https://cfpub.epa.gov/ecotox/explore.cfm?ncbi=70779","Explore in ECOTOX")</f>
        <v>Explore in ECOTOX</v>
      </c>
    </row>
    <row r="1325" spans="1:19" x14ac:dyDescent="0.25">
      <c r="A1325">
        <v>6</v>
      </c>
      <c r="B1325" t="str">
        <f>HYPERLINK("http://www.ncbi.nlm.nih.gov/protein/XP_013101025.1","XP_013101025.1")</f>
        <v>XP_013101025.1</v>
      </c>
      <c r="C1325">
        <v>22831</v>
      </c>
      <c r="D1325" t="str">
        <f>HYPERLINK("http://www.ncbi.nlm.nih.gov/Taxonomy/Browser/wwwtax.cgi?mode=Info&amp;id=35570&amp;lvl=3&amp;lin=f&amp;keep=1&amp;srchmode=1&amp;unlock","35570")</f>
        <v>35570</v>
      </c>
      <c r="E1325" t="s">
        <v>698</v>
      </c>
      <c r="F1325" t="s">
        <v>698</v>
      </c>
      <c r="G1325" t="str">
        <f>HYPERLINK("http://www.ncbi.nlm.nih.gov/Taxonomy/Browser/wwwtax.cgi?mode=Info&amp;id=35570&amp;lvl=3&amp;lin=f&amp;keep=1&amp;srchmode=1&amp;unlock","Stomoxys calcitrans")</f>
        <v>Stomoxys calcitrans</v>
      </c>
      <c r="H1325" t="s">
        <v>889</v>
      </c>
      <c r="I1325" t="str">
        <f>HYPERLINK("http://www.ncbi.nlm.nih.gov/protein/XP_013101025.1","PREDICTED: steroid receptor seven-up, isoforms B/C isoform X1")</f>
        <v>PREDICTED: steroid receptor seven-up, isoforms B/C isoform X1</v>
      </c>
      <c r="J1325" t="s">
        <v>1261</v>
      </c>
      <c r="K1325">
        <v>46.21</v>
      </c>
      <c r="L1325" t="s">
        <v>25</v>
      </c>
      <c r="M1325">
        <v>157</v>
      </c>
      <c r="N1325">
        <v>62.55</v>
      </c>
      <c r="O1325">
        <v>8.99</v>
      </c>
      <c r="P1325" t="s">
        <v>25</v>
      </c>
      <c r="Q1325" t="s">
        <v>1262</v>
      </c>
      <c r="R1325" t="s">
        <v>20</v>
      </c>
      <c r="S1325" t="str">
        <f>HYPERLINK("https://cfpub.epa.gov/ecotox/explore.cfm?ncbi=35570","Explore in ECOTOX")</f>
        <v>Explore in ECOTOX</v>
      </c>
    </row>
    <row r="1326" spans="1:19" x14ac:dyDescent="0.25">
      <c r="A1326">
        <v>6</v>
      </c>
      <c r="B1326" t="str">
        <f>HYPERLINK("http://www.ncbi.nlm.nih.gov/protein/XP_005179658.2","XP_005179658.2")</f>
        <v>XP_005179658.2</v>
      </c>
      <c r="C1326">
        <v>22201</v>
      </c>
      <c r="D1326" t="str">
        <f>HYPERLINK("http://www.ncbi.nlm.nih.gov/Taxonomy/Browser/wwwtax.cgi?mode=Info&amp;id=7370&amp;lvl=3&amp;lin=f&amp;keep=1&amp;srchmode=1&amp;unlock","7370")</f>
        <v>7370</v>
      </c>
      <c r="E1326" t="s">
        <v>698</v>
      </c>
      <c r="F1326" t="s">
        <v>698</v>
      </c>
      <c r="G1326" t="str">
        <f>HYPERLINK("http://www.ncbi.nlm.nih.gov/Taxonomy/Browser/wwwtax.cgi?mode=Info&amp;id=7370&amp;lvl=3&amp;lin=f&amp;keep=1&amp;srchmode=1&amp;unlock","Musca domestica")</f>
        <v>Musca domestica</v>
      </c>
      <c r="H1326" t="s">
        <v>850</v>
      </c>
      <c r="I1326" t="str">
        <f>HYPERLINK("http://www.ncbi.nlm.nih.gov/protein/XP_005179658.2","PREDICTED: steroid receptor seven-up, isoforms B/C isoform X2")</f>
        <v>PREDICTED: steroid receptor seven-up, isoforms B/C isoform X2</v>
      </c>
      <c r="J1326" t="s">
        <v>1261</v>
      </c>
      <c r="K1326">
        <v>46.21</v>
      </c>
      <c r="L1326" t="s">
        <v>25</v>
      </c>
      <c r="M1326">
        <v>157</v>
      </c>
      <c r="N1326">
        <v>62.55</v>
      </c>
      <c r="O1326">
        <v>8.99</v>
      </c>
      <c r="P1326" t="s">
        <v>25</v>
      </c>
      <c r="Q1326" t="s">
        <v>1262</v>
      </c>
      <c r="R1326" t="s">
        <v>20</v>
      </c>
      <c r="S1326" t="str">
        <f>HYPERLINK("https://cfpub.epa.gov/ecotox/explore.cfm?ncbi=7370","Explore in ECOTOX")</f>
        <v>Explore in ECOTOX</v>
      </c>
    </row>
    <row r="1327" spans="1:19" x14ac:dyDescent="0.25">
      <c r="A1327">
        <v>6</v>
      </c>
      <c r="B1327" t="str">
        <f>HYPERLINK("http://www.ncbi.nlm.nih.gov/protein/XP_037892795.1","XP_037892795.1")</f>
        <v>XP_037892795.1</v>
      </c>
      <c r="C1327">
        <v>22364</v>
      </c>
      <c r="D1327" t="str">
        <f>HYPERLINK("http://www.ncbi.nlm.nih.gov/Taxonomy/Browser/wwwtax.cgi?mode=Info&amp;id=7396&amp;lvl=3&amp;lin=f&amp;keep=1&amp;srchmode=1&amp;unlock","7396")</f>
        <v>7396</v>
      </c>
      <c r="E1327" t="s">
        <v>698</v>
      </c>
      <c r="F1327" t="s">
        <v>698</v>
      </c>
      <c r="G1327" t="str">
        <f>HYPERLINK("http://www.ncbi.nlm.nih.gov/Taxonomy/Browser/wwwtax.cgi?mode=Info&amp;id=7396&amp;lvl=3&amp;lin=f&amp;keep=1&amp;srchmode=1&amp;unlock","Glossina fuscipes")</f>
        <v>Glossina fuscipes</v>
      </c>
      <c r="H1327" t="s">
        <v>805</v>
      </c>
      <c r="I1327" t="str">
        <f>HYPERLINK("http://www.ncbi.nlm.nih.gov/protein/XP_037892795.1","steroid receptor seven-up, isoforms B/C isoform X2")</f>
        <v>steroid receptor seven-up, isoforms B/C isoform X2</v>
      </c>
      <c r="J1327" t="s">
        <v>1261</v>
      </c>
      <c r="K1327">
        <v>46.21</v>
      </c>
      <c r="L1327" t="s">
        <v>25</v>
      </c>
      <c r="M1327">
        <v>157</v>
      </c>
      <c r="N1327">
        <v>62.55</v>
      </c>
      <c r="O1327">
        <v>8.99</v>
      </c>
      <c r="P1327" t="s">
        <v>25</v>
      </c>
      <c r="Q1327" t="s">
        <v>1262</v>
      </c>
      <c r="R1327" t="s">
        <v>20</v>
      </c>
      <c r="S1327" t="str">
        <f>HYPERLINK("https://cfpub.epa.gov/ecotox/explore.cfm?ncbi=7396","Explore in ECOTOX")</f>
        <v>Explore in ECOTOX</v>
      </c>
    </row>
    <row r="1328" spans="1:19" x14ac:dyDescent="0.25">
      <c r="A1328">
        <v>6</v>
      </c>
      <c r="B1328" t="str">
        <f>HYPERLINK("http://www.ncbi.nlm.nih.gov/protein/CAB75361.1","CAB75361.1")</f>
        <v>CAB75361.1</v>
      </c>
      <c r="C1328">
        <v>726</v>
      </c>
      <c r="D1328" t="str">
        <f>HYPERLINK("http://www.ncbi.nlm.nih.gov/Taxonomy/Browser/wwwtax.cgi?mode=Info&amp;id=7067&amp;lvl=3&amp;lin=f&amp;keep=1&amp;srchmode=1&amp;unlock","7067")</f>
        <v>7067</v>
      </c>
      <c r="E1328" t="s">
        <v>698</v>
      </c>
      <c r="F1328" t="s">
        <v>698</v>
      </c>
      <c r="G1328" t="str">
        <f>HYPERLINK("http://www.ncbi.nlm.nih.gov/Taxonomy/Browser/wwwtax.cgi?mode=Info&amp;id=7067&amp;lvl=3&amp;lin=f&amp;keep=1&amp;srchmode=1&amp;unlock","Tenebrio molitor")</f>
        <v>Tenebrio molitor</v>
      </c>
      <c r="H1328" t="s">
        <v>1230</v>
      </c>
      <c r="I1328" t="str">
        <f>HYPERLINK("http://www.ncbi.nlm.nih.gov/protein/CAB75361.1","USP protein")</f>
        <v>USP protein</v>
      </c>
      <c r="J1328" t="s">
        <v>1261</v>
      </c>
      <c r="K1328">
        <v>46.21</v>
      </c>
      <c r="L1328" t="s">
        <v>25</v>
      </c>
      <c r="M1328">
        <v>157</v>
      </c>
      <c r="N1328">
        <v>62.55</v>
      </c>
      <c r="O1328">
        <v>8.99</v>
      </c>
      <c r="P1328" t="s">
        <v>25</v>
      </c>
      <c r="Q1328" t="s">
        <v>1262</v>
      </c>
      <c r="R1328" t="s">
        <v>20</v>
      </c>
      <c r="S1328" t="str">
        <f>HYPERLINK("https://cfpub.epa.gov/ecotox/explore.cfm?ncbi=7067","Explore in ECOTOX")</f>
        <v>Explore in ECOTOX</v>
      </c>
    </row>
    <row r="1329" spans="1:19" x14ac:dyDescent="0.25">
      <c r="A1329">
        <v>6</v>
      </c>
      <c r="B1329" t="str">
        <f>HYPERLINK("http://www.ncbi.nlm.nih.gov/protein/XP_023291701.1","XP_023291701.1")</f>
        <v>XP_023291701.1</v>
      </c>
      <c r="C1329">
        <v>33832</v>
      </c>
      <c r="D1329" t="str">
        <f>HYPERLINK("http://www.ncbi.nlm.nih.gov/Taxonomy/Browser/wwwtax.cgi?mode=Info&amp;id=7375&amp;lvl=3&amp;lin=f&amp;keep=1&amp;srchmode=1&amp;unlock","7375")</f>
        <v>7375</v>
      </c>
      <c r="E1329" t="s">
        <v>698</v>
      </c>
      <c r="F1329" t="s">
        <v>698</v>
      </c>
      <c r="G1329" t="str">
        <f>HYPERLINK("http://www.ncbi.nlm.nih.gov/Taxonomy/Browser/wwwtax.cgi?mode=Info&amp;id=7375&amp;lvl=3&amp;lin=f&amp;keep=1&amp;srchmode=1&amp;unlock","Lucilia cuprina")</f>
        <v>Lucilia cuprina</v>
      </c>
      <c r="H1329" t="s">
        <v>832</v>
      </c>
      <c r="I1329" t="str">
        <f>HYPERLINK("http://www.ncbi.nlm.nih.gov/protein/XP_023291701.1","steroid receptor seven-up, isoforms B/C isoform X2")</f>
        <v>steroid receptor seven-up, isoforms B/C isoform X2</v>
      </c>
      <c r="J1329" t="s">
        <v>1261</v>
      </c>
      <c r="K1329">
        <v>46.21</v>
      </c>
      <c r="L1329" t="s">
        <v>25</v>
      </c>
      <c r="M1329">
        <v>157</v>
      </c>
      <c r="N1329">
        <v>62.55</v>
      </c>
      <c r="O1329">
        <v>8.99</v>
      </c>
      <c r="P1329" t="s">
        <v>25</v>
      </c>
      <c r="Q1329" t="s">
        <v>1262</v>
      </c>
      <c r="R1329" t="s">
        <v>20</v>
      </c>
      <c r="S1329" t="str">
        <f>HYPERLINK("https://cfpub.epa.gov/ecotox/explore.cfm?ncbi=7375","Explore in ECOTOX")</f>
        <v>Explore in ECOTOX</v>
      </c>
    </row>
    <row r="1330" spans="1:19" x14ac:dyDescent="0.25">
      <c r="A1330">
        <v>6</v>
      </c>
      <c r="B1330" t="str">
        <f>HYPERLINK("http://www.ncbi.nlm.nih.gov/protein/XP_037828696.1","XP_037828696.1")</f>
        <v>XP_037828696.1</v>
      </c>
      <c r="C1330">
        <v>24184</v>
      </c>
      <c r="D1330" t="str">
        <f>HYPERLINK("http://www.ncbi.nlm.nih.gov/Taxonomy/Browser/wwwtax.cgi?mode=Info&amp;id=13632&amp;lvl=3&amp;lin=f&amp;keep=1&amp;srchmode=1&amp;unlock","13632")</f>
        <v>13632</v>
      </c>
      <c r="E1330" t="s">
        <v>698</v>
      </c>
      <c r="F1330" t="s">
        <v>698</v>
      </c>
      <c r="G1330" t="str">
        <f>HYPERLINK("http://www.ncbi.nlm.nih.gov/Taxonomy/Browser/wwwtax.cgi?mode=Info&amp;id=13632&amp;lvl=3&amp;lin=f&amp;keep=1&amp;srchmode=1&amp;unlock","Lucilia sericata")</f>
        <v>Lucilia sericata</v>
      </c>
      <c r="H1330" t="s">
        <v>837</v>
      </c>
      <c r="I1330" t="str">
        <f>HYPERLINK("http://www.ncbi.nlm.nih.gov/protein/XP_037828696.1","steroid receptor seven-up, isoforms B/C isoform X2")</f>
        <v>steroid receptor seven-up, isoforms B/C isoform X2</v>
      </c>
      <c r="J1330" t="s">
        <v>1261</v>
      </c>
      <c r="K1330">
        <v>46.21</v>
      </c>
      <c r="L1330" t="s">
        <v>25</v>
      </c>
      <c r="M1330">
        <v>157</v>
      </c>
      <c r="N1330">
        <v>62.55</v>
      </c>
      <c r="O1330">
        <v>8.99</v>
      </c>
      <c r="P1330" t="s">
        <v>25</v>
      </c>
      <c r="Q1330" t="s">
        <v>1262</v>
      </c>
      <c r="R1330" t="s">
        <v>20</v>
      </c>
      <c r="S1330" t="str">
        <f>HYPERLINK("https://cfpub.epa.gov/ecotox/explore.cfm?ncbi=13632","Explore in ECOTOX")</f>
        <v>Explore in ECOTOX</v>
      </c>
    </row>
    <row r="1331" spans="1:19" x14ac:dyDescent="0.25">
      <c r="A1331">
        <v>6</v>
      </c>
      <c r="B1331" t="str">
        <f>HYPERLINK("http://www.ncbi.nlm.nih.gov/protein/TMW47646.1","TMW47646.1")</f>
        <v>TMW47646.1</v>
      </c>
      <c r="C1331">
        <v>15895</v>
      </c>
      <c r="D1331" t="str">
        <f>HYPERLINK("http://www.ncbi.nlm.nih.gov/Taxonomy/Browser/wwwtax.cgi?mode=Info&amp;id=7385&amp;lvl=3&amp;lin=f&amp;keep=1&amp;srchmode=1&amp;unlock","7385")</f>
        <v>7385</v>
      </c>
      <c r="E1331" t="s">
        <v>698</v>
      </c>
      <c r="F1331" t="s">
        <v>698</v>
      </c>
      <c r="G1331" t="str">
        <f>HYPERLINK("http://www.ncbi.nlm.nih.gov/Taxonomy/Browser/wwwtax.cgi?mode=Info&amp;id=7385&amp;lvl=3&amp;lin=f&amp;keep=1&amp;srchmode=1&amp;unlock","Sarcophaga bullata")</f>
        <v>Sarcophaga bullata</v>
      </c>
      <c r="H1331" t="s">
        <v>814</v>
      </c>
      <c r="I1331" t="str">
        <f>HYPERLINK("http://www.ncbi.nlm.nih.gov/protein/TMW47646.1","hypothetical protein DOY81_007273")</f>
        <v>hypothetical protein DOY81_007273</v>
      </c>
      <c r="J1331" t="s">
        <v>1261</v>
      </c>
      <c r="K1331">
        <v>46.21</v>
      </c>
      <c r="L1331" t="s">
        <v>25</v>
      </c>
      <c r="M1331">
        <v>157</v>
      </c>
      <c r="N1331">
        <v>62.55</v>
      </c>
      <c r="O1331">
        <v>8.99</v>
      </c>
      <c r="P1331" t="s">
        <v>25</v>
      </c>
      <c r="Q1331" t="s">
        <v>1262</v>
      </c>
      <c r="R1331" t="s">
        <v>20</v>
      </c>
      <c r="S1331" t="str">
        <f>HYPERLINK("https://cfpub.epa.gov/ecotox/explore.cfm?ncbi=7385","Explore in ECOTOX")</f>
        <v>Explore in ECOTOX</v>
      </c>
    </row>
    <row r="1332" spans="1:19" x14ac:dyDescent="0.25">
      <c r="A1332">
        <v>6</v>
      </c>
      <c r="B1332" t="str">
        <f>HYPERLINK("http://www.ncbi.nlm.nih.gov/protein/ASL70496.1","ASL70496.1")</f>
        <v>ASL70496.1</v>
      </c>
      <c r="C1332">
        <v>245</v>
      </c>
      <c r="D1332" t="str">
        <f>HYPERLINK("http://www.ncbi.nlm.nih.gov/Taxonomy/Browser/wwwtax.cgi?mode=Info&amp;id=96890&amp;lvl=3&amp;lin=f&amp;keep=1&amp;srchmode=1&amp;unlock","96890")</f>
        <v>96890</v>
      </c>
      <c r="E1332" t="s">
        <v>855</v>
      </c>
      <c r="F1332" t="s">
        <v>855</v>
      </c>
      <c r="G1332" t="str">
        <f>HYPERLINK("http://www.ncbi.nlm.nih.gov/Taxonomy/Browser/wwwtax.cgi?mode=Info&amp;id=96890&amp;lvl=3&amp;lin=f&amp;keep=1&amp;srchmode=1&amp;unlock","Brachionus rotundiformis")</f>
        <v>Brachionus rotundiformis</v>
      </c>
      <c r="H1332" t="s">
        <v>856</v>
      </c>
      <c r="I1332" t="str">
        <f>HYPERLINK("http://www.ncbi.nlm.nih.gov/protein/ASL70496.1","nuclear receptor")</f>
        <v>nuclear receptor</v>
      </c>
      <c r="J1332" t="s">
        <v>1261</v>
      </c>
      <c r="K1332">
        <v>46.21</v>
      </c>
      <c r="L1332" t="s">
        <v>25</v>
      </c>
      <c r="M1332">
        <v>157</v>
      </c>
      <c r="N1332">
        <v>62.55</v>
      </c>
      <c r="O1332">
        <v>8.99</v>
      </c>
      <c r="P1332" t="s">
        <v>25</v>
      </c>
      <c r="Q1332" t="s">
        <v>1262</v>
      </c>
      <c r="R1332" t="s">
        <v>20</v>
      </c>
      <c r="S1332" t="str">
        <f>HYPERLINK("https://cfpub.epa.gov/ecotox/explore.cfm?ncbi=96890","Explore in ECOTOX")</f>
        <v>Explore in ECOTOX</v>
      </c>
    </row>
    <row r="1333" spans="1:19" x14ac:dyDescent="0.25">
      <c r="A1333">
        <v>6</v>
      </c>
      <c r="B1333" t="str">
        <f>HYPERLINK("http://www.ncbi.nlm.nih.gov/protein/RZC35155.1","RZC35155.1")</f>
        <v>RZC35155.1</v>
      </c>
      <c r="C1333">
        <v>15282</v>
      </c>
      <c r="D1333" t="str">
        <f>HYPERLINK("http://www.ncbi.nlm.nih.gov/Taxonomy/Browser/wwwtax.cgi?mode=Info&amp;id=1661398&amp;lvl=3&amp;lin=f&amp;keep=1&amp;srchmode=1&amp;unlock","1661398")</f>
        <v>1661398</v>
      </c>
      <c r="E1333" t="s">
        <v>698</v>
      </c>
      <c r="F1333" t="s">
        <v>698</v>
      </c>
      <c r="G1333" t="str">
        <f>HYPERLINK("http://www.ncbi.nlm.nih.gov/Taxonomy/Browser/wwwtax.cgi?mode=Info&amp;id=1661398&amp;lvl=3&amp;lin=f&amp;keep=1&amp;srchmode=1&amp;unlock","Asbolus verrucosus")</f>
        <v>Asbolus verrucosus</v>
      </c>
      <c r="H1333" t="s">
        <v>1203</v>
      </c>
      <c r="I1333" t="str">
        <f>HYPERLINK("http://www.ncbi.nlm.nih.gov/protein/RZC35155.1","hepatocyte nuclear factor 4-gamma, partial")</f>
        <v>hepatocyte nuclear factor 4-gamma, partial</v>
      </c>
      <c r="J1333" t="s">
        <v>1261</v>
      </c>
      <c r="K1333">
        <v>45.82</v>
      </c>
      <c r="L1333" t="s">
        <v>25</v>
      </c>
      <c r="M1333">
        <v>157</v>
      </c>
      <c r="N1333">
        <v>62.55</v>
      </c>
      <c r="O1333">
        <v>8.91</v>
      </c>
      <c r="P1333" t="s">
        <v>25</v>
      </c>
      <c r="Q1333" t="s">
        <v>1262</v>
      </c>
      <c r="R1333" t="s">
        <v>20</v>
      </c>
      <c r="S1333" t="str">
        <f>HYPERLINK("https://cfpub.epa.gov/ecotox/explore.cfm?ncbi=1661398","Explore in ECOTOX")</f>
        <v>Explore in ECOTOX</v>
      </c>
    </row>
    <row r="1334" spans="1:19" x14ac:dyDescent="0.25">
      <c r="A1334">
        <v>6</v>
      </c>
      <c r="B1334" t="str">
        <f>HYPERLINK("http://www.ncbi.nlm.nih.gov/protein/XP_020624574.1","XP_020624574.1")</f>
        <v>XP_020624574.1</v>
      </c>
      <c r="C1334">
        <v>32639</v>
      </c>
      <c r="D1334" t="str">
        <f>HYPERLINK("http://www.ncbi.nlm.nih.gov/Taxonomy/Browser/wwwtax.cgi?mode=Info&amp;id=48498&amp;lvl=3&amp;lin=f&amp;keep=1&amp;srchmode=1&amp;unlock","48498")</f>
        <v>48498</v>
      </c>
      <c r="E1334" t="s">
        <v>1183</v>
      </c>
      <c r="F1334" t="s">
        <v>1183</v>
      </c>
      <c r="G1334" t="str">
        <f>HYPERLINK("http://www.ncbi.nlm.nih.gov/Taxonomy/Browser/wwwtax.cgi?mode=Info&amp;id=48498&amp;lvl=3&amp;lin=f&amp;keep=1&amp;srchmode=1&amp;unlock","Orbicella faveolata")</f>
        <v>Orbicella faveolata</v>
      </c>
      <c r="H1334" t="s">
        <v>1201</v>
      </c>
      <c r="I1334" t="str">
        <f>HYPERLINK("http://www.ncbi.nlm.nih.gov/protein/XP_020624574.1","hepatocyte nuclear factor 4-gamma-like isoform X4")</f>
        <v>hepatocyte nuclear factor 4-gamma-like isoform X4</v>
      </c>
      <c r="J1334" t="s">
        <v>1261</v>
      </c>
      <c r="K1334">
        <v>45.82</v>
      </c>
      <c r="L1334" t="s">
        <v>25</v>
      </c>
      <c r="M1334">
        <v>157</v>
      </c>
      <c r="N1334">
        <v>62.55</v>
      </c>
      <c r="O1334">
        <v>8.91</v>
      </c>
      <c r="P1334" t="s">
        <v>25</v>
      </c>
      <c r="Q1334" t="s">
        <v>1262</v>
      </c>
      <c r="R1334" t="s">
        <v>20</v>
      </c>
      <c r="S1334" t="str">
        <f>HYPERLINK("https://cfpub.epa.gov/ecotox/explore.cfm?ncbi=48498","Explore in ECOTOX")</f>
        <v>Explore in ECOTOX</v>
      </c>
    </row>
    <row r="1335" spans="1:19" x14ac:dyDescent="0.25">
      <c r="A1335">
        <v>6</v>
      </c>
      <c r="B1335" t="str">
        <f>HYPERLINK("http://www.ncbi.nlm.nih.gov/protein/VIO89460.1","VIO89460.1")</f>
        <v>VIO89460.1</v>
      </c>
      <c r="C1335">
        <v>43429</v>
      </c>
      <c r="D1335" t="str">
        <f>HYPERLINK("http://www.ncbi.nlm.nih.gov/Taxonomy/Browser/wwwtax.cgi?mode=Info&amp;id=6279&amp;lvl=3&amp;lin=f&amp;keep=1&amp;srchmode=1&amp;unlock","6279")</f>
        <v>6279</v>
      </c>
      <c r="E1335" t="s">
        <v>869</v>
      </c>
      <c r="F1335" t="s">
        <v>869</v>
      </c>
      <c r="G1335" t="str">
        <f>HYPERLINK("http://www.ncbi.nlm.nih.gov/Taxonomy/Browser/wwwtax.cgi?mode=Info&amp;id=6279&amp;lvl=3&amp;lin=f&amp;keep=1&amp;srchmode=1&amp;unlock","Brugia malayi")</f>
        <v>Brugia malayi</v>
      </c>
      <c r="H1335" t="s">
        <v>1228</v>
      </c>
      <c r="I1335" t="str">
        <f>HYPERLINK("http://www.ncbi.nlm.nih.gov/protein/VIO89460.1","nuclear receptor RXR, putative")</f>
        <v>nuclear receptor RXR, putative</v>
      </c>
      <c r="J1335" t="s">
        <v>1261</v>
      </c>
      <c r="K1335">
        <v>45.82</v>
      </c>
      <c r="L1335" t="s">
        <v>25</v>
      </c>
      <c r="M1335">
        <v>157</v>
      </c>
      <c r="N1335">
        <v>62.55</v>
      </c>
      <c r="O1335">
        <v>8.91</v>
      </c>
      <c r="P1335" t="s">
        <v>25</v>
      </c>
      <c r="Q1335" t="s">
        <v>1262</v>
      </c>
      <c r="R1335" t="s">
        <v>20</v>
      </c>
      <c r="S1335" t="str">
        <f>HYPERLINK("https://cfpub.epa.gov/ecotox/explore.cfm?ncbi=6279","Explore in ECOTOX")</f>
        <v>Explore in ECOTOX</v>
      </c>
    </row>
    <row r="1336" spans="1:19" x14ac:dyDescent="0.25">
      <c r="A1336">
        <v>6</v>
      </c>
      <c r="B1336" t="str">
        <f>HYPERLINK("http://www.ncbi.nlm.nih.gov/protein/AFH35109.1","AFH35109.1")</f>
        <v>AFH35109.1</v>
      </c>
      <c r="C1336">
        <v>100</v>
      </c>
      <c r="D1336" t="str">
        <f>HYPERLINK("http://www.ncbi.nlm.nih.gov/Taxonomy/Browser/wwwtax.cgi?mode=Info&amp;id=75042&amp;lvl=3&amp;lin=f&amp;keep=1&amp;srchmode=1&amp;unlock","75042")</f>
        <v>75042</v>
      </c>
      <c r="E1336" t="s">
        <v>384</v>
      </c>
      <c r="F1336" t="s">
        <v>384</v>
      </c>
      <c r="G1336" t="str">
        <f>HYPERLINK("http://www.ncbi.nlm.nih.gov/Taxonomy/Browser/wwwtax.cgi?mode=Info&amp;id=75042&amp;lvl=3&amp;lin=f&amp;keep=1&amp;srchmode=1&amp;unlock","Siganus canaliculatus")</f>
        <v>Siganus canaliculatus</v>
      </c>
      <c r="H1336" t="s">
        <v>1231</v>
      </c>
      <c r="I1336" t="str">
        <f>HYPERLINK("http://www.ncbi.nlm.nih.gov/protein/AFH35109.1","hepatic nuclear factor 4 alpha")</f>
        <v>hepatic nuclear factor 4 alpha</v>
      </c>
      <c r="J1336" t="s">
        <v>1261</v>
      </c>
      <c r="K1336">
        <v>45.44</v>
      </c>
      <c r="L1336" t="s">
        <v>25</v>
      </c>
      <c r="M1336">
        <v>157</v>
      </c>
      <c r="N1336">
        <v>62.55</v>
      </c>
      <c r="O1336">
        <v>8.84</v>
      </c>
      <c r="P1336" t="s">
        <v>20</v>
      </c>
      <c r="Q1336" t="s">
        <v>1262</v>
      </c>
      <c r="R1336" t="s">
        <v>20</v>
      </c>
      <c r="S1336" t="str">
        <f>HYPERLINK("https://cfpub.epa.gov/ecotox/explore.cfm?ncbi=75042","Explore in ECOTOX")</f>
        <v>Explore in ECOTOX</v>
      </c>
    </row>
    <row r="1337" spans="1:19" x14ac:dyDescent="0.25">
      <c r="A1337">
        <v>6</v>
      </c>
      <c r="B1337" t="str">
        <f>HYPERLINK("http://www.ncbi.nlm.nih.gov/protein/VUY41779.1","VUY41779.1")</f>
        <v>VUY41779.1</v>
      </c>
      <c r="C1337">
        <v>145</v>
      </c>
      <c r="D1337" t="str">
        <f>HYPERLINK("http://www.ncbi.nlm.nih.gov/Taxonomy/Browser/wwwtax.cgi?mode=Info&amp;id=1612340&amp;lvl=3&amp;lin=f&amp;keep=1&amp;srchmode=1&amp;unlock","1612340")</f>
        <v>1612340</v>
      </c>
      <c r="E1337" t="s">
        <v>698</v>
      </c>
      <c r="F1337" t="s">
        <v>698</v>
      </c>
      <c r="G1337" t="str">
        <f>HYPERLINK("http://www.ncbi.nlm.nih.gov/Taxonomy/Browser/wwwtax.cgi?mode=Info&amp;id=1612340&amp;lvl=3&amp;lin=f&amp;keep=1&amp;srchmode=1&amp;unlock","Contacyphon laevipennis")</f>
        <v>Contacyphon laevipennis</v>
      </c>
      <c r="H1337" t="s">
        <v>1246</v>
      </c>
      <c r="I1337" t="str">
        <f>HYPERLINK("http://www.ncbi.nlm.nih.gov/protein/VUY41779.1","Ecdysone receptor, partial")</f>
        <v>Ecdysone receptor, partial</v>
      </c>
      <c r="J1337" t="s">
        <v>1261</v>
      </c>
      <c r="K1337">
        <v>45.44</v>
      </c>
      <c r="L1337" t="s">
        <v>25</v>
      </c>
      <c r="M1337">
        <v>157</v>
      </c>
      <c r="N1337">
        <v>62.55</v>
      </c>
      <c r="O1337">
        <v>8.84</v>
      </c>
      <c r="P1337" t="s">
        <v>25</v>
      </c>
      <c r="Q1337" t="s">
        <v>1262</v>
      </c>
      <c r="R1337" t="s">
        <v>20</v>
      </c>
      <c r="S1337" t="str">
        <f>HYPERLINK("https://cfpub.epa.gov/ecotox/explore.cfm?ncbi=1612340","Explore in ECOTOX")</f>
        <v>Explore in ECOTOX</v>
      </c>
    </row>
    <row r="1338" spans="1:19" x14ac:dyDescent="0.25">
      <c r="A1338">
        <v>6</v>
      </c>
      <c r="B1338" t="str">
        <f>HYPERLINK("http://www.ncbi.nlm.nih.gov/protein/AHA33388.1","AHA33388.1")</f>
        <v>AHA33388.1</v>
      </c>
      <c r="C1338">
        <v>509</v>
      </c>
      <c r="D1338" t="str">
        <f>HYPERLINK("http://www.ncbi.nlm.nih.gov/Taxonomy/Browser/wwwtax.cgi?mode=Info&amp;id=159736&amp;lvl=3&amp;lin=f&amp;keep=1&amp;srchmode=1&amp;unlock","159736")</f>
        <v>159736</v>
      </c>
      <c r="E1338" t="s">
        <v>742</v>
      </c>
      <c r="F1338" t="s">
        <v>742</v>
      </c>
      <c r="G1338" t="str">
        <f>HYPERLINK("http://www.ncbi.nlm.nih.gov/Taxonomy/Browser/wwwtax.cgi?mode=Info&amp;id=159736&amp;lvl=3&amp;lin=f&amp;keep=1&amp;srchmode=1&amp;unlock","Macrobrachium nipponense")</f>
        <v>Macrobrachium nipponense</v>
      </c>
      <c r="H1338" t="s">
        <v>884</v>
      </c>
      <c r="I1338" t="str">
        <f>HYPERLINK("http://www.ncbi.nlm.nih.gov/protein/AHA33388.1","retinoid X receptor")</f>
        <v>retinoid X receptor</v>
      </c>
      <c r="J1338" t="s">
        <v>1261</v>
      </c>
      <c r="K1338">
        <v>45.44</v>
      </c>
      <c r="L1338" t="s">
        <v>25</v>
      </c>
      <c r="M1338">
        <v>157</v>
      </c>
      <c r="N1338">
        <v>62.55</v>
      </c>
      <c r="O1338">
        <v>8.84</v>
      </c>
      <c r="P1338" t="s">
        <v>25</v>
      </c>
      <c r="Q1338" t="s">
        <v>1262</v>
      </c>
      <c r="R1338" t="s">
        <v>20</v>
      </c>
      <c r="S1338" t="str">
        <f>HYPERLINK("https://cfpub.epa.gov/ecotox/explore.cfm?ncbi=159736","Explore in ECOTOX")</f>
        <v>Explore in ECOTOX</v>
      </c>
    </row>
    <row r="1339" spans="1:19" x14ac:dyDescent="0.25">
      <c r="A1339">
        <v>6</v>
      </c>
      <c r="B1339" t="str">
        <f>HYPERLINK("http://www.ncbi.nlm.nih.gov/protein/XP_014243600.1","XP_014243600.1")</f>
        <v>XP_014243600.1</v>
      </c>
      <c r="C1339">
        <v>24336</v>
      </c>
      <c r="D1339" t="str">
        <f>HYPERLINK("http://www.ncbi.nlm.nih.gov/Taxonomy/Browser/wwwtax.cgi?mode=Info&amp;id=79782&amp;lvl=3&amp;lin=f&amp;keep=1&amp;srchmode=1&amp;unlock","79782")</f>
        <v>79782</v>
      </c>
      <c r="E1339" t="s">
        <v>698</v>
      </c>
      <c r="F1339" t="s">
        <v>698</v>
      </c>
      <c r="G1339" t="str">
        <f>HYPERLINK("http://www.ncbi.nlm.nih.gov/Taxonomy/Browser/wwwtax.cgi?mode=Info&amp;id=79782&amp;lvl=3&amp;lin=f&amp;keep=1&amp;srchmode=1&amp;unlock","Cimex lectularius")</f>
        <v>Cimex lectularius</v>
      </c>
      <c r="H1339" t="s">
        <v>801</v>
      </c>
      <c r="I1339" t="str">
        <f>HYPERLINK("http://www.ncbi.nlm.nih.gov/protein/XP_014243600.1","transcription factor HNF-4 homolog isoform X8")</f>
        <v>transcription factor HNF-4 homolog isoform X8</v>
      </c>
      <c r="J1339" t="s">
        <v>1261</v>
      </c>
      <c r="K1339">
        <v>45.05</v>
      </c>
      <c r="L1339" t="s">
        <v>25</v>
      </c>
      <c r="M1339">
        <v>157</v>
      </c>
      <c r="N1339">
        <v>62.55</v>
      </c>
      <c r="O1339">
        <v>8.76</v>
      </c>
      <c r="P1339" t="s">
        <v>25</v>
      </c>
      <c r="Q1339" t="s">
        <v>1262</v>
      </c>
      <c r="R1339" t="s">
        <v>20</v>
      </c>
      <c r="S1339" t="str">
        <f>HYPERLINK("https://cfpub.epa.gov/ecotox/explore.cfm?ncbi=79782","Explore in ECOTOX")</f>
        <v>Explore in ECOTOX</v>
      </c>
    </row>
    <row r="1340" spans="1:19" x14ac:dyDescent="0.25">
      <c r="A1340">
        <v>6</v>
      </c>
      <c r="B1340" t="str">
        <f>HYPERLINK("http://www.ncbi.nlm.nih.gov/protein/ACG63787.1","ACG63787.1")</f>
        <v>ACG63787.1</v>
      </c>
      <c r="C1340">
        <v>225</v>
      </c>
      <c r="D1340" t="str">
        <f>HYPERLINK("http://www.ncbi.nlm.nih.gov/Taxonomy/Browser/wwwtax.cgi?mode=Info&amp;id=6759&amp;lvl=3&amp;lin=f&amp;keep=1&amp;srchmode=1&amp;unlock","6759")</f>
        <v>6759</v>
      </c>
      <c r="E1340" t="s">
        <v>742</v>
      </c>
      <c r="F1340" t="s">
        <v>742</v>
      </c>
      <c r="G1340" t="str">
        <f>HYPERLINK("http://www.ncbi.nlm.nih.gov/Taxonomy/Browser/wwwtax.cgi?mode=Info&amp;id=6759&amp;lvl=3&amp;lin=f&amp;keep=1&amp;srchmode=1&amp;unlock","Carcinus maenas")</f>
        <v>Carcinus maenas</v>
      </c>
      <c r="H1340" t="s">
        <v>1222</v>
      </c>
      <c r="I1340" t="str">
        <f>HYPERLINK("http://www.ncbi.nlm.nih.gov/protein/ACG63787.1","retinoid X receptor splice variant RXR-I")</f>
        <v>retinoid X receptor splice variant RXR-I</v>
      </c>
      <c r="J1340" t="s">
        <v>1261</v>
      </c>
      <c r="K1340">
        <v>45.05</v>
      </c>
      <c r="L1340" t="s">
        <v>25</v>
      </c>
      <c r="M1340">
        <v>157</v>
      </c>
      <c r="N1340">
        <v>62.55</v>
      </c>
      <c r="O1340">
        <v>8.76</v>
      </c>
      <c r="P1340" t="s">
        <v>25</v>
      </c>
      <c r="Q1340" t="s">
        <v>1262</v>
      </c>
      <c r="R1340" t="s">
        <v>20</v>
      </c>
      <c r="S1340" t="str">
        <f>HYPERLINK("https://cfpub.epa.gov/ecotox/explore.cfm?ncbi=6759","Explore in ECOTOX")</f>
        <v>Explore in ECOTOX</v>
      </c>
    </row>
    <row r="1341" spans="1:19" x14ac:dyDescent="0.25">
      <c r="A1341">
        <v>6</v>
      </c>
      <c r="B1341" t="str">
        <f>HYPERLINK("http://www.ncbi.nlm.nih.gov/protein/ATO74592.1","ATO74592.1")</f>
        <v>ATO74592.1</v>
      </c>
      <c r="C1341">
        <v>249</v>
      </c>
      <c r="D1341" t="str">
        <f>HYPERLINK("http://www.ncbi.nlm.nih.gov/Taxonomy/Browser/wwwtax.cgi?mode=Info&amp;id=93129&amp;lvl=3&amp;lin=f&amp;keep=1&amp;srchmode=1&amp;unlock","93129")</f>
        <v>93129</v>
      </c>
      <c r="E1341" t="s">
        <v>700</v>
      </c>
      <c r="F1341" t="s">
        <v>700</v>
      </c>
      <c r="G1341" t="str">
        <f>HYPERLINK("http://www.ncbi.nlm.nih.gov/Taxonomy/Browser/wwwtax.cgi?mode=Info&amp;id=93129&amp;lvl=3&amp;lin=f&amp;keep=1&amp;srchmode=1&amp;unlock","Tetranychus cinnabarinus")</f>
        <v>Tetranychus cinnabarinus</v>
      </c>
      <c r="H1341" t="s">
        <v>1195</v>
      </c>
      <c r="I1341" t="str">
        <f>HYPERLINK("http://www.ncbi.nlm.nih.gov/protein/ATO74592.1","hepatocyte nuclear factor 4")</f>
        <v>hepatocyte nuclear factor 4</v>
      </c>
      <c r="J1341" t="s">
        <v>1261</v>
      </c>
      <c r="K1341">
        <v>44.67</v>
      </c>
      <c r="L1341" t="s">
        <v>25</v>
      </c>
      <c r="M1341">
        <v>157</v>
      </c>
      <c r="N1341">
        <v>62.55</v>
      </c>
      <c r="O1341">
        <v>8.69</v>
      </c>
      <c r="P1341" t="s">
        <v>25</v>
      </c>
      <c r="Q1341" t="s">
        <v>1262</v>
      </c>
      <c r="R1341" t="s">
        <v>20</v>
      </c>
      <c r="S1341" t="str">
        <f>HYPERLINK("https://cfpub.epa.gov/ecotox/explore.cfm?ncbi=93129","Explore in ECOTOX")</f>
        <v>Explore in ECOTOX</v>
      </c>
    </row>
    <row r="1342" spans="1:19" x14ac:dyDescent="0.25">
      <c r="A1342">
        <v>6</v>
      </c>
      <c r="B1342" t="str">
        <f>HYPERLINK("http://www.ncbi.nlm.nih.gov/protein/XP_030373548.1","XP_030373548.1")</f>
        <v>XP_030373548.1</v>
      </c>
      <c r="C1342">
        <v>19868</v>
      </c>
      <c r="D1342" t="str">
        <f>HYPERLINK("http://www.ncbi.nlm.nih.gov/Taxonomy/Browser/wwwtax.cgi?mode=Info&amp;id=7225&amp;lvl=3&amp;lin=f&amp;keep=1&amp;srchmode=1&amp;unlock","7225")</f>
        <v>7225</v>
      </c>
      <c r="E1342" t="s">
        <v>698</v>
      </c>
      <c r="F1342" t="s">
        <v>698</v>
      </c>
      <c r="G1342" t="str">
        <f>HYPERLINK("http://www.ncbi.nlm.nih.gov/Taxonomy/Browser/wwwtax.cgi?mode=Info&amp;id=7225&amp;lvl=3&amp;lin=f&amp;keep=1&amp;srchmode=1&amp;unlock","Scaptodrosophila lebanonensis")</f>
        <v>Scaptodrosophila lebanonensis</v>
      </c>
      <c r="H1342" t="s">
        <v>846</v>
      </c>
      <c r="I1342" t="str">
        <f>HYPERLINK("http://www.ncbi.nlm.nih.gov/protein/XP_030373548.1","steroid receptor seven-up isoform X1")</f>
        <v>steroid receptor seven-up isoform X1</v>
      </c>
      <c r="J1342" t="s">
        <v>1261</v>
      </c>
      <c r="K1342">
        <v>44.67</v>
      </c>
      <c r="L1342" t="s">
        <v>25</v>
      </c>
      <c r="M1342">
        <v>157</v>
      </c>
      <c r="N1342">
        <v>62.55</v>
      </c>
      <c r="O1342">
        <v>8.69</v>
      </c>
      <c r="P1342" t="s">
        <v>25</v>
      </c>
      <c r="Q1342" t="s">
        <v>1262</v>
      </c>
      <c r="R1342" t="s">
        <v>20</v>
      </c>
      <c r="S1342" t="str">
        <f>HYPERLINK("https://cfpub.epa.gov/ecotox/explore.cfm?ncbi=7225","Explore in ECOTOX")</f>
        <v>Explore in ECOTOX</v>
      </c>
    </row>
    <row r="1343" spans="1:19" x14ac:dyDescent="0.25">
      <c r="A1343">
        <v>6</v>
      </c>
      <c r="B1343" t="str">
        <f>HYPERLINK("http://www.ncbi.nlm.nih.gov/protein/ACY76263.1","ACY76263.1")</f>
        <v>ACY76263.1</v>
      </c>
      <c r="C1343">
        <v>208</v>
      </c>
      <c r="D1343" t="str">
        <f>HYPERLINK("http://www.ncbi.nlm.nih.gov/Taxonomy/Browser/wwwtax.cgi?mode=Info&amp;id=8855&amp;lvl=3&amp;lin=f&amp;keep=1&amp;srchmode=1&amp;unlock","8855")</f>
        <v>8855</v>
      </c>
      <c r="E1343" t="s">
        <v>167</v>
      </c>
      <c r="F1343" t="s">
        <v>167</v>
      </c>
      <c r="G1343" t="str">
        <f>HYPERLINK("http://www.ncbi.nlm.nih.gov/Taxonomy/Browser/wwwtax.cgi?mode=Info&amp;id=8855&amp;lvl=3&amp;lin=f&amp;keep=1&amp;srchmode=1&amp;unlock","Cairina moschata")</f>
        <v>Cairina moschata</v>
      </c>
      <c r="H1343" t="s">
        <v>1232</v>
      </c>
      <c r="I1343" t="str">
        <f>HYPERLINK("http://www.ncbi.nlm.nih.gov/protein/ACY76263.1","liver X receptor alpha protein")</f>
        <v>liver X receptor alpha protein</v>
      </c>
      <c r="J1343" t="s">
        <v>1261</v>
      </c>
      <c r="K1343">
        <v>44.67</v>
      </c>
      <c r="L1343" t="s">
        <v>25</v>
      </c>
      <c r="M1343">
        <v>157</v>
      </c>
      <c r="N1343">
        <v>62.55</v>
      </c>
      <c r="O1343">
        <v>8.69</v>
      </c>
      <c r="P1343" t="s">
        <v>20</v>
      </c>
      <c r="Q1343" t="s">
        <v>1262</v>
      </c>
      <c r="R1343" t="s">
        <v>20</v>
      </c>
      <c r="S1343" t="str">
        <f>HYPERLINK("https://cfpub.epa.gov/ecotox/explore.cfm?ncbi=8855","Explore in ECOTOX")</f>
        <v>Explore in ECOTOX</v>
      </c>
    </row>
    <row r="1344" spans="1:19" x14ac:dyDescent="0.25">
      <c r="A1344">
        <v>6</v>
      </c>
      <c r="B1344" t="str">
        <f>HYPERLINK("http://www.ncbi.nlm.nih.gov/protein/AAB37686.1","AAB37686.1")</f>
        <v>AAB37686.1</v>
      </c>
      <c r="C1344">
        <v>25</v>
      </c>
      <c r="D1344" t="str">
        <f>HYPERLINK("http://www.ncbi.nlm.nih.gov/Taxonomy/Browser/wwwtax.cgi?mode=Info&amp;id=8353&amp;lvl=3&amp;lin=f&amp;keep=1&amp;srchmode=1&amp;unlock","8353")</f>
        <v>8353</v>
      </c>
      <c r="E1344" t="s">
        <v>134</v>
      </c>
      <c r="F1344" t="s">
        <v>134</v>
      </c>
      <c r="G1344" t="str">
        <f>HYPERLINK("http://www.ncbi.nlm.nih.gov/Taxonomy/Browser/wwwtax.cgi?mode=Info&amp;id=8353&amp;lvl=3&amp;lin=f&amp;keep=1&amp;srchmode=1&amp;unlock","Xenopus")</f>
        <v>Xenopus</v>
      </c>
      <c r="H1344" t="s">
        <v>1233</v>
      </c>
      <c r="I1344" t="str">
        <f>HYPERLINK("http://www.ncbi.nlm.nih.gov/protein/AAB37686.1","xCOUP-TF-B=proposed retinoid receptor-mediated transcriptional activation negative regulator ")</f>
        <v xml:space="preserve">xCOUP-TF-B=proposed retinoid receptor-mediated transcriptional activation negative regulator </v>
      </c>
      <c r="J1344" t="s">
        <v>1261</v>
      </c>
      <c r="K1344">
        <v>44.67</v>
      </c>
      <c r="L1344" t="s">
        <v>25</v>
      </c>
      <c r="M1344">
        <v>157</v>
      </c>
      <c r="N1344">
        <v>62.55</v>
      </c>
      <c r="O1344">
        <v>8.69</v>
      </c>
      <c r="P1344" t="s">
        <v>20</v>
      </c>
      <c r="Q1344" t="s">
        <v>1262</v>
      </c>
      <c r="R1344" t="s">
        <v>20</v>
      </c>
      <c r="S1344" t="str">
        <f>HYPERLINK("https://cfpub.epa.gov/ecotox/explore.cfm?ncbi=8353","Explore in ECOTOX")</f>
        <v>Explore in ECOTOX</v>
      </c>
    </row>
    <row r="1345" spans="1:19" x14ac:dyDescent="0.25">
      <c r="A1345">
        <v>6</v>
      </c>
      <c r="B1345" t="str">
        <f>HYPERLINK("http://www.ncbi.nlm.nih.gov/protein/ACO44668.1","ACO44668.1")</f>
        <v>ACO44668.1</v>
      </c>
      <c r="C1345">
        <v>416</v>
      </c>
      <c r="D1345" t="str">
        <f>HYPERLINK("http://www.ncbi.nlm.nih.gov/Taxonomy/Browser/wwwtax.cgi?mode=Info&amp;id=491138&amp;lvl=3&amp;lin=f&amp;keep=1&amp;srchmode=1&amp;unlock","491138")</f>
        <v>491138</v>
      </c>
      <c r="E1345" t="s">
        <v>742</v>
      </c>
      <c r="F1345" t="s">
        <v>742</v>
      </c>
      <c r="G1345" t="str">
        <f>HYPERLINK("http://www.ncbi.nlm.nih.gov/Taxonomy/Browser/wwwtax.cgi?mode=Info&amp;id=491138&amp;lvl=3&amp;lin=f&amp;keep=1&amp;srchmode=1&amp;unlock","Crangon crangon")</f>
        <v>Crangon crangon</v>
      </c>
      <c r="H1345" t="s">
        <v>792</v>
      </c>
      <c r="I1345" t="str">
        <f>HYPERLINK("http://www.ncbi.nlm.nih.gov/protein/ACO44668.1","retinoid X receptor isoform 1")</f>
        <v>retinoid X receptor isoform 1</v>
      </c>
      <c r="J1345" t="s">
        <v>1261</v>
      </c>
      <c r="K1345">
        <v>44.67</v>
      </c>
      <c r="L1345" t="s">
        <v>25</v>
      </c>
      <c r="M1345">
        <v>157</v>
      </c>
      <c r="N1345">
        <v>62.55</v>
      </c>
      <c r="O1345">
        <v>8.69</v>
      </c>
      <c r="P1345" t="s">
        <v>25</v>
      </c>
      <c r="Q1345" t="s">
        <v>1262</v>
      </c>
      <c r="R1345" t="s">
        <v>20</v>
      </c>
      <c r="S1345" t="str">
        <f>HYPERLINK("https://cfpub.epa.gov/ecotox/explore.cfm?ncbi=491138","Explore in ECOTOX")</f>
        <v>Explore in ECOTOX</v>
      </c>
    </row>
    <row r="1346" spans="1:19" x14ac:dyDescent="0.25">
      <c r="A1346">
        <v>6</v>
      </c>
      <c r="B1346" t="str">
        <f>HYPERLINK("http://www.ncbi.nlm.nih.gov/protein/VUY41861.1","VUY41861.1")</f>
        <v>VUY41861.1</v>
      </c>
      <c r="C1346">
        <v>39</v>
      </c>
      <c r="D1346" t="str">
        <f>HYPERLINK("http://www.ncbi.nlm.nih.gov/Taxonomy/Browser/wwwtax.cgi?mode=Info&amp;id=931173&amp;lvl=3&amp;lin=f&amp;keep=1&amp;srchmode=1&amp;unlock","931173")</f>
        <v>931173</v>
      </c>
      <c r="E1346" t="s">
        <v>698</v>
      </c>
      <c r="F1346" t="s">
        <v>698</v>
      </c>
      <c r="G1346" t="str">
        <f>HYPERLINK("http://www.ncbi.nlm.nih.gov/Taxonomy/Browser/wwwtax.cgi?mode=Info&amp;id=931173&amp;lvl=3&amp;lin=f&amp;keep=1&amp;srchmode=1&amp;unlock","Hydroscapha redfordi")</f>
        <v>Hydroscapha redfordi</v>
      </c>
      <c r="H1346" t="s">
        <v>1247</v>
      </c>
      <c r="I1346" t="str">
        <f>HYPERLINK("http://www.ncbi.nlm.nih.gov/protein/VUY41861.1","Ecdysone receptor, partial")</f>
        <v>Ecdysone receptor, partial</v>
      </c>
      <c r="J1346" t="s">
        <v>1261</v>
      </c>
      <c r="K1346">
        <v>44.67</v>
      </c>
      <c r="L1346" t="s">
        <v>25</v>
      </c>
      <c r="M1346">
        <v>157</v>
      </c>
      <c r="N1346">
        <v>62.55</v>
      </c>
      <c r="O1346">
        <v>8.69</v>
      </c>
      <c r="P1346" t="s">
        <v>25</v>
      </c>
      <c r="Q1346" t="s">
        <v>1262</v>
      </c>
      <c r="R1346" t="s">
        <v>20</v>
      </c>
      <c r="S1346" t="str">
        <f>HYPERLINK("https://cfpub.epa.gov/ecotox/explore.cfm?ncbi=931173","Explore in ECOTOX")</f>
        <v>Explore in ECOTOX</v>
      </c>
    </row>
    <row r="1347" spans="1:19" x14ac:dyDescent="0.25">
      <c r="A1347">
        <v>6</v>
      </c>
      <c r="B1347" t="str">
        <f>HYPERLINK("http://www.ncbi.nlm.nih.gov/protein/VDK73104.1","VDK73104.1")</f>
        <v>VDK73104.1</v>
      </c>
      <c r="C1347">
        <v>10063</v>
      </c>
      <c r="D1347" t="str">
        <f>HYPERLINK("http://www.ncbi.nlm.nih.gov/Taxonomy/Browser/wwwtax.cgi?mode=Info&amp;id=42156&amp;lvl=3&amp;lin=f&amp;keep=1&amp;srchmode=1&amp;unlock","42156")</f>
        <v>42156</v>
      </c>
      <c r="E1347" t="s">
        <v>869</v>
      </c>
      <c r="F1347" t="s">
        <v>869</v>
      </c>
      <c r="G1347" t="str">
        <f>HYPERLINK("http://www.ncbi.nlm.nih.gov/Taxonomy/Browser/wwwtax.cgi?mode=Info&amp;id=42156&amp;lvl=3&amp;lin=f&amp;keep=1&amp;srchmode=1&amp;unlock","Litomosoides sigmodontis")</f>
        <v>Litomosoides sigmodontis</v>
      </c>
      <c r="H1347" t="s">
        <v>803</v>
      </c>
      <c r="I1347" t="str">
        <f>HYPERLINK("http://www.ncbi.nlm.nih.gov/protein/VDK73104.1","unnamed protein product")</f>
        <v>unnamed protein product</v>
      </c>
      <c r="J1347" t="s">
        <v>1261</v>
      </c>
      <c r="K1347">
        <v>44.67</v>
      </c>
      <c r="L1347" t="s">
        <v>25</v>
      </c>
      <c r="M1347">
        <v>157</v>
      </c>
      <c r="N1347">
        <v>62.55</v>
      </c>
      <c r="O1347">
        <v>8.69</v>
      </c>
      <c r="P1347" t="s">
        <v>25</v>
      </c>
      <c r="Q1347" t="s">
        <v>1262</v>
      </c>
      <c r="R1347" t="s">
        <v>20</v>
      </c>
      <c r="S1347" t="str">
        <f>HYPERLINK("https://cfpub.epa.gov/ecotox/explore.cfm?ncbi=42156","Explore in ECOTOX")</f>
        <v>Explore in ECOTOX</v>
      </c>
    </row>
    <row r="1348" spans="1:19" x14ac:dyDescent="0.25">
      <c r="A1348">
        <v>6</v>
      </c>
      <c r="B1348" t="str">
        <f>HYPERLINK("http://www.ncbi.nlm.nih.gov/protein/ACJ22907.1","ACJ22907.1")</f>
        <v>ACJ22907.1</v>
      </c>
      <c r="C1348">
        <v>557</v>
      </c>
      <c r="D1348" t="str">
        <f>HYPERLINK("http://www.ncbi.nlm.nih.gov/Taxonomy/Browser/wwwtax.cgi?mode=Info&amp;id=8346&amp;lvl=3&amp;lin=f&amp;keep=1&amp;srchmode=1&amp;unlock","8346")</f>
        <v>8346</v>
      </c>
      <c r="E1348" t="s">
        <v>134</v>
      </c>
      <c r="F1348" t="s">
        <v>134</v>
      </c>
      <c r="G1348" t="str">
        <f>HYPERLINK("http://www.ncbi.nlm.nih.gov/Taxonomy/Browser/wwwtax.cgi?mode=Info&amp;id=8346&amp;lvl=3&amp;lin=f&amp;keep=1&amp;srchmode=1&amp;unlock","Bombina orientalis")</f>
        <v>Bombina orientalis</v>
      </c>
      <c r="H1348" t="s">
        <v>1157</v>
      </c>
      <c r="I1348" t="str">
        <f>HYPERLINK("http://www.ncbi.nlm.nih.gov/protein/ACJ22907.1","estrogen receptor alpha 1, partial")</f>
        <v>estrogen receptor alpha 1, partial</v>
      </c>
      <c r="J1348" t="s">
        <v>1261</v>
      </c>
      <c r="K1348">
        <v>44.28</v>
      </c>
      <c r="L1348" t="s">
        <v>25</v>
      </c>
      <c r="M1348">
        <v>157</v>
      </c>
      <c r="N1348">
        <v>62.55</v>
      </c>
      <c r="O1348">
        <v>8.61</v>
      </c>
      <c r="P1348" t="s">
        <v>20</v>
      </c>
      <c r="Q1348" t="s">
        <v>1262</v>
      </c>
      <c r="R1348" t="s">
        <v>20</v>
      </c>
      <c r="S1348" t="str">
        <f>HYPERLINK("https://cfpub.epa.gov/ecotox/explore.cfm?ncbi=8346","Explore in ECOTOX")</f>
        <v>Explore in ECOTOX</v>
      </c>
    </row>
    <row r="1349" spans="1:19" x14ac:dyDescent="0.25">
      <c r="A1349">
        <v>6</v>
      </c>
      <c r="B1349" t="str">
        <f>HYPERLINK("http://www.ncbi.nlm.nih.gov/protein/VUY41968.1","VUY41968.1")</f>
        <v>VUY41968.1</v>
      </c>
      <c r="C1349">
        <v>50</v>
      </c>
      <c r="D1349" t="str">
        <f>HYPERLINK("http://www.ncbi.nlm.nih.gov/Taxonomy/Browser/wwwtax.cgi?mode=Info&amp;id=1323541&amp;lvl=3&amp;lin=f&amp;keep=1&amp;srchmode=1&amp;unlock","1323541")</f>
        <v>1323541</v>
      </c>
      <c r="E1349" t="s">
        <v>698</v>
      </c>
      <c r="F1349" t="s">
        <v>698</v>
      </c>
      <c r="G1349" t="str">
        <f>HYPERLINK("http://www.ncbi.nlm.nih.gov/Taxonomy/Browser/wwwtax.cgi?mode=Info&amp;id=1323541&amp;lvl=3&amp;lin=f&amp;keep=1&amp;srchmode=1&amp;unlock","Meloe violaceus")</f>
        <v>Meloe violaceus</v>
      </c>
      <c r="H1349" t="s">
        <v>1252</v>
      </c>
      <c r="I1349" t="str">
        <f>HYPERLINK("http://www.ncbi.nlm.nih.gov/protein/VUY41968.1","Ecdysone receptor, partial")</f>
        <v>Ecdysone receptor, partial</v>
      </c>
      <c r="J1349" t="s">
        <v>1261</v>
      </c>
      <c r="K1349">
        <v>44.28</v>
      </c>
      <c r="L1349" t="s">
        <v>25</v>
      </c>
      <c r="M1349">
        <v>157</v>
      </c>
      <c r="N1349">
        <v>62.55</v>
      </c>
      <c r="O1349">
        <v>8.61</v>
      </c>
      <c r="P1349" t="s">
        <v>25</v>
      </c>
      <c r="Q1349" t="s">
        <v>1262</v>
      </c>
      <c r="R1349" t="s">
        <v>20</v>
      </c>
      <c r="S1349" t="str">
        <f>HYPERLINK("https://cfpub.epa.gov/ecotox/explore.cfm?ncbi=1323541","Explore in ECOTOX")</f>
        <v>Explore in ECOTOX</v>
      </c>
    </row>
    <row r="1350" spans="1:19" x14ac:dyDescent="0.25">
      <c r="A1350">
        <v>6</v>
      </c>
      <c r="B1350" t="str">
        <f>HYPERLINK("http://www.ncbi.nlm.nih.gov/protein/XP_026810076.1","XP_026810076.1")</f>
        <v>XP_026810076.1</v>
      </c>
      <c r="C1350">
        <v>19583</v>
      </c>
      <c r="D1350" t="str">
        <f>HYPERLINK("http://www.ncbi.nlm.nih.gov/Taxonomy/Browser/wwwtax.cgi?mode=Info&amp;id=43146&amp;lvl=3&amp;lin=f&amp;keep=1&amp;srchmode=1&amp;unlock","43146")</f>
        <v>43146</v>
      </c>
      <c r="E1350" t="s">
        <v>698</v>
      </c>
      <c r="F1350" t="s">
        <v>698</v>
      </c>
      <c r="G1350" t="str">
        <f>HYPERLINK("http://www.ncbi.nlm.nih.gov/Taxonomy/Browser/wwwtax.cgi?mode=Info&amp;id=43146&amp;lvl=3&amp;lin=f&amp;keep=1&amp;srchmode=1&amp;unlock","Rhopalosiphum maidis")</f>
        <v>Rhopalosiphum maidis</v>
      </c>
      <c r="H1350" t="s">
        <v>845</v>
      </c>
      <c r="I1350" t="str">
        <f>HYPERLINK("http://www.ncbi.nlm.nih.gov/protein/XP_026810076.1","nuclear receptor subfamily 2 group F member 1-B")</f>
        <v>nuclear receptor subfamily 2 group F member 1-B</v>
      </c>
      <c r="J1350" t="s">
        <v>1261</v>
      </c>
      <c r="K1350">
        <v>44.28</v>
      </c>
      <c r="L1350" t="s">
        <v>25</v>
      </c>
      <c r="M1350">
        <v>157</v>
      </c>
      <c r="N1350">
        <v>62.55</v>
      </c>
      <c r="O1350">
        <v>8.61</v>
      </c>
      <c r="P1350" t="s">
        <v>25</v>
      </c>
      <c r="Q1350" t="s">
        <v>1262</v>
      </c>
      <c r="R1350" t="s">
        <v>20</v>
      </c>
      <c r="S1350" t="str">
        <f>HYPERLINK("https://cfpub.epa.gov/ecotox/explore.cfm?ncbi=43146","Explore in ECOTOX")</f>
        <v>Explore in ECOTOX</v>
      </c>
    </row>
    <row r="1351" spans="1:19" x14ac:dyDescent="0.25">
      <c r="A1351">
        <v>6</v>
      </c>
      <c r="B1351" t="str">
        <f>HYPERLINK("http://www.ncbi.nlm.nih.gov/protein/VUY41593.1","VUY41593.1")</f>
        <v>VUY41593.1</v>
      </c>
      <c r="C1351">
        <v>33</v>
      </c>
      <c r="D1351" t="str">
        <f>HYPERLINK("http://www.ncbi.nlm.nih.gov/Taxonomy/Browser/wwwtax.cgi?mode=Info&amp;id=1661817&amp;lvl=3&amp;lin=f&amp;keep=1&amp;srchmode=1&amp;unlock","1661817")</f>
        <v>1661817</v>
      </c>
      <c r="E1351" t="s">
        <v>698</v>
      </c>
      <c r="F1351" t="s">
        <v>698</v>
      </c>
      <c r="G1351" t="str">
        <f>HYPERLINK("http://www.ncbi.nlm.nih.gov/Taxonomy/Browser/wwwtax.cgi?mode=Info&amp;id=1661817&amp;lvl=3&amp;lin=f&amp;keep=1&amp;srchmode=1&amp;unlock","Bitoma cylindrica")</f>
        <v>Bitoma cylindrica</v>
      </c>
      <c r="H1351" t="s">
        <v>1238</v>
      </c>
      <c r="I1351" t="str">
        <f>HYPERLINK("http://www.ncbi.nlm.nih.gov/protein/VUY41593.1","Ecdysone receptor, partial")</f>
        <v>Ecdysone receptor, partial</v>
      </c>
      <c r="J1351" t="s">
        <v>1261</v>
      </c>
      <c r="K1351">
        <v>43.9</v>
      </c>
      <c r="L1351" t="s">
        <v>25</v>
      </c>
      <c r="M1351">
        <v>157</v>
      </c>
      <c r="N1351">
        <v>62.55</v>
      </c>
      <c r="O1351">
        <v>8.5399999999999991</v>
      </c>
      <c r="P1351" t="s">
        <v>25</v>
      </c>
      <c r="Q1351" t="s">
        <v>1262</v>
      </c>
      <c r="R1351" t="s">
        <v>20</v>
      </c>
      <c r="S1351" t="str">
        <f>HYPERLINK("https://cfpub.epa.gov/ecotox/explore.cfm?ncbi=1661817","Explore in ECOTOX")</f>
        <v>Explore in ECOTOX</v>
      </c>
    </row>
    <row r="1352" spans="1:19" x14ac:dyDescent="0.25">
      <c r="A1352">
        <v>6</v>
      </c>
      <c r="B1352" t="str">
        <f>HYPERLINK("http://www.ncbi.nlm.nih.gov/protein/QJG66094.1","QJG66094.1")</f>
        <v>QJG66094.1</v>
      </c>
      <c r="C1352">
        <v>1</v>
      </c>
      <c r="D1352" t="str">
        <f>HYPERLINK("http://www.ncbi.nlm.nih.gov/Taxonomy/Browser/wwwtax.cgi?mode=Info&amp;id=1027923&amp;lvl=3&amp;lin=f&amp;keep=1&amp;srchmode=1&amp;unlock","1027923")</f>
        <v>1027923</v>
      </c>
      <c r="E1352" t="s">
        <v>1210</v>
      </c>
      <c r="F1352" t="s">
        <v>1210</v>
      </c>
      <c r="G1352" t="str">
        <f>HYPERLINK("http://www.ncbi.nlm.nih.gov/Taxonomy/Browser/wwwtax.cgi?mode=Info&amp;id=1027923&amp;lvl=3&amp;lin=f&amp;keep=1&amp;srchmode=1&amp;unlock","Megathiris detruncata")</f>
        <v>Megathiris detruncata</v>
      </c>
      <c r="H1352" t="s">
        <v>798</v>
      </c>
      <c r="I1352" t="str">
        <f>HYPERLINK("http://www.ncbi.nlm.nih.gov/protein/QJG66094.1","retinoid X receptor")</f>
        <v>retinoid X receptor</v>
      </c>
      <c r="J1352" t="s">
        <v>1261</v>
      </c>
      <c r="K1352">
        <v>43.51</v>
      </c>
      <c r="L1352" t="s">
        <v>25</v>
      </c>
      <c r="M1352">
        <v>157</v>
      </c>
      <c r="N1352">
        <v>62.55</v>
      </c>
      <c r="O1352">
        <v>8.4600000000000009</v>
      </c>
      <c r="P1352" t="s">
        <v>25</v>
      </c>
      <c r="Q1352" t="s">
        <v>1262</v>
      </c>
      <c r="R1352" t="s">
        <v>20</v>
      </c>
      <c r="S1352" t="str">
        <f>HYPERLINK("https://cfpub.epa.gov/ecotox/explore.cfm?ncbi=1027923","Explore in ECOTOX")</f>
        <v>Explore in ECOTOX</v>
      </c>
    </row>
    <row r="1353" spans="1:19" x14ac:dyDescent="0.25">
      <c r="A1353">
        <v>6</v>
      </c>
      <c r="B1353" t="str">
        <f>HYPERLINK("http://www.ncbi.nlm.nih.gov/protein/CAP27470.2","CAP27470.2")</f>
        <v>CAP27470.2</v>
      </c>
      <c r="C1353">
        <v>42502</v>
      </c>
      <c r="D1353" t="str">
        <f>HYPERLINK("http://www.ncbi.nlm.nih.gov/Taxonomy/Browser/wwwtax.cgi?mode=Info&amp;id=6238&amp;lvl=3&amp;lin=f&amp;keep=1&amp;srchmode=1&amp;unlock","6238")</f>
        <v>6238</v>
      </c>
      <c r="E1353" t="s">
        <v>869</v>
      </c>
      <c r="F1353" t="s">
        <v>869</v>
      </c>
      <c r="G1353" t="str">
        <f>HYPERLINK("http://www.ncbi.nlm.nih.gov/Taxonomy/Browser/wwwtax.cgi?mode=Info&amp;id=6238&amp;lvl=3&amp;lin=f&amp;keep=1&amp;srchmode=1&amp;unlock","Caenorhabditis briggsae")</f>
        <v>Caenorhabditis briggsae</v>
      </c>
      <c r="H1353" t="s">
        <v>803</v>
      </c>
      <c r="I1353" t="str">
        <f>HYPERLINK("http://www.ncbi.nlm.nih.gov/protein/CAP27470.2","Protein CBR-NHR-91")</f>
        <v>Protein CBR-NHR-91</v>
      </c>
      <c r="J1353" t="s">
        <v>1261</v>
      </c>
      <c r="K1353">
        <v>43.51</v>
      </c>
      <c r="L1353" t="s">
        <v>25</v>
      </c>
      <c r="M1353">
        <v>157</v>
      </c>
      <c r="N1353">
        <v>62.55</v>
      </c>
      <c r="O1353">
        <v>8.4600000000000009</v>
      </c>
      <c r="P1353" t="s">
        <v>25</v>
      </c>
      <c r="Q1353" t="s">
        <v>1262</v>
      </c>
      <c r="R1353" t="s">
        <v>20</v>
      </c>
      <c r="S1353" t="str">
        <f>HYPERLINK("https://cfpub.epa.gov/ecotox/explore.cfm?ncbi=6238","Explore in ECOTOX")</f>
        <v>Explore in ECOTOX</v>
      </c>
    </row>
    <row r="1354" spans="1:19" x14ac:dyDescent="0.25">
      <c r="A1354">
        <v>6</v>
      </c>
      <c r="B1354" t="str">
        <f>HYPERLINK("http://www.ncbi.nlm.nih.gov/protein/PIC20754.1","PIC20754.1")</f>
        <v>PIC20754.1</v>
      </c>
      <c r="C1354">
        <v>44576</v>
      </c>
      <c r="D1354" t="str">
        <f>HYPERLINK("http://www.ncbi.nlm.nih.gov/Taxonomy/Browser/wwwtax.cgi?mode=Info&amp;id=1611254&amp;lvl=3&amp;lin=f&amp;keep=1&amp;srchmode=1&amp;unlock","1611254")</f>
        <v>1611254</v>
      </c>
      <c r="E1354" t="s">
        <v>869</v>
      </c>
      <c r="F1354" t="s">
        <v>869</v>
      </c>
      <c r="G1354" t="str">
        <f>HYPERLINK("http://www.ncbi.nlm.nih.gov/Taxonomy/Browser/wwwtax.cgi?mode=Info&amp;id=1611254&amp;lvl=3&amp;lin=f&amp;keep=1&amp;srchmode=1&amp;unlock","Caenorhabditis nigoni")</f>
        <v>Caenorhabditis nigoni</v>
      </c>
      <c r="H1354" t="s">
        <v>803</v>
      </c>
      <c r="I1354" t="str">
        <f>HYPERLINK("http://www.ncbi.nlm.nih.gov/protein/PIC20754.1","hypothetical protein B9Z55_025837")</f>
        <v>hypothetical protein B9Z55_025837</v>
      </c>
      <c r="J1354" t="s">
        <v>1261</v>
      </c>
      <c r="K1354">
        <v>43.51</v>
      </c>
      <c r="L1354" t="s">
        <v>25</v>
      </c>
      <c r="M1354">
        <v>157</v>
      </c>
      <c r="N1354">
        <v>62.55</v>
      </c>
      <c r="O1354">
        <v>8.4600000000000009</v>
      </c>
      <c r="P1354" t="s">
        <v>25</v>
      </c>
      <c r="Q1354" t="s">
        <v>1262</v>
      </c>
      <c r="R1354" t="s">
        <v>20</v>
      </c>
      <c r="S1354" t="str">
        <f>HYPERLINK("https://cfpub.epa.gov/ecotox/explore.cfm?ncbi=1611254","Explore in ECOTOX")</f>
        <v>Explore in ECOTOX</v>
      </c>
    </row>
    <row r="1355" spans="1:19" x14ac:dyDescent="0.25">
      <c r="A1355">
        <v>6</v>
      </c>
      <c r="B1355" t="str">
        <f>HYPERLINK("http://www.ncbi.nlm.nih.gov/protein/XP_018652848.1","XP_018652848.1")</f>
        <v>XP_018652848.1</v>
      </c>
      <c r="C1355">
        <v>14704</v>
      </c>
      <c r="D1355" t="str">
        <f>HYPERLINK("http://www.ncbi.nlm.nih.gov/Taxonomy/Browser/wwwtax.cgi?mode=Info&amp;id=6183&amp;lvl=3&amp;lin=f&amp;keep=1&amp;srchmode=1&amp;unlock","6183")</f>
        <v>6183</v>
      </c>
      <c r="E1355" t="s">
        <v>793</v>
      </c>
      <c r="F1355" t="s">
        <v>793</v>
      </c>
      <c r="G1355" t="str">
        <f>HYPERLINK("http://www.ncbi.nlm.nih.gov/Taxonomy/Browser/wwwtax.cgi?mode=Info&amp;id=6183&amp;lvl=3&amp;lin=f&amp;keep=1&amp;srchmode=1&amp;unlock","Schistosoma mansoni")</f>
        <v>Schistosoma mansoni</v>
      </c>
      <c r="H1355" t="s">
        <v>794</v>
      </c>
      <c r="I1355" t="str">
        <f>HYPERLINK("http://www.ncbi.nlm.nih.gov/protein/XP_018652848.1","putative hepatocyte nuclear factor 4-alpha (hnf-4-alpha)")</f>
        <v>putative hepatocyte nuclear factor 4-alpha (hnf-4-alpha)</v>
      </c>
      <c r="J1355" t="s">
        <v>1261</v>
      </c>
      <c r="K1355">
        <v>43.51</v>
      </c>
      <c r="L1355" t="s">
        <v>25</v>
      </c>
      <c r="M1355">
        <v>157</v>
      </c>
      <c r="N1355">
        <v>62.55</v>
      </c>
      <c r="O1355">
        <v>8.4600000000000009</v>
      </c>
      <c r="P1355" t="s">
        <v>25</v>
      </c>
      <c r="Q1355" t="s">
        <v>1262</v>
      </c>
      <c r="R1355" t="s">
        <v>20</v>
      </c>
      <c r="S1355" t="str">
        <f>HYPERLINK("https://cfpub.epa.gov/ecotox/explore.cfm?ncbi=6183","Explore in ECOTOX")</f>
        <v>Explore in ECOTOX</v>
      </c>
    </row>
    <row r="1356" spans="1:19" x14ac:dyDescent="0.25">
      <c r="A1356">
        <v>6</v>
      </c>
      <c r="B1356" t="str">
        <f>HYPERLINK("http://www.ncbi.nlm.nih.gov/protein/VUY41710.1","VUY41710.1")</f>
        <v>VUY41710.1</v>
      </c>
      <c r="C1356">
        <v>119</v>
      </c>
      <c r="D1356" t="str">
        <f>HYPERLINK("http://www.ncbi.nlm.nih.gov/Taxonomy/Browser/wwwtax.cgi?mode=Info&amp;id=247075&amp;lvl=3&amp;lin=f&amp;keep=1&amp;srchmode=1&amp;unlock","247075")</f>
        <v>247075</v>
      </c>
      <c r="E1356" t="s">
        <v>698</v>
      </c>
      <c r="F1356" t="s">
        <v>698</v>
      </c>
      <c r="G1356" t="str">
        <f>HYPERLINK("http://www.ncbi.nlm.nih.gov/Taxonomy/Browser/wwwtax.cgi?mode=Info&amp;id=247075&amp;lvl=3&amp;lin=f&amp;keep=1&amp;srchmode=1&amp;unlock","Cicindela hybrida")</f>
        <v>Cicindela hybrida</v>
      </c>
      <c r="H1356" t="s">
        <v>1241</v>
      </c>
      <c r="I1356" t="str">
        <f>HYPERLINK("http://www.ncbi.nlm.nih.gov/protein/VUY41710.1","Ecdysone receptor, partial")</f>
        <v>Ecdysone receptor, partial</v>
      </c>
      <c r="J1356" t="s">
        <v>1261</v>
      </c>
      <c r="K1356">
        <v>43.51</v>
      </c>
      <c r="L1356" t="s">
        <v>25</v>
      </c>
      <c r="M1356">
        <v>157</v>
      </c>
      <c r="N1356">
        <v>62.55</v>
      </c>
      <c r="O1356">
        <v>8.4600000000000009</v>
      </c>
      <c r="P1356" t="s">
        <v>25</v>
      </c>
      <c r="Q1356" t="s">
        <v>1262</v>
      </c>
      <c r="R1356" t="s">
        <v>20</v>
      </c>
      <c r="S1356" t="str">
        <f>HYPERLINK("https://cfpub.epa.gov/ecotox/explore.cfm?ncbi=247075","Explore in ECOTOX")</f>
        <v>Explore in ECOTOX</v>
      </c>
    </row>
    <row r="1357" spans="1:19" x14ac:dyDescent="0.25">
      <c r="A1357">
        <v>6</v>
      </c>
      <c r="B1357" t="str">
        <f>HYPERLINK("http://www.ncbi.nlm.nih.gov/protein/VUY41898.1","VUY41898.1")</f>
        <v>VUY41898.1</v>
      </c>
      <c r="C1357">
        <v>41</v>
      </c>
      <c r="D1357" t="str">
        <f>HYPERLINK("http://www.ncbi.nlm.nih.gov/Taxonomy/Browser/wwwtax.cgi?mode=Info&amp;id=454563&amp;lvl=3&amp;lin=f&amp;keep=1&amp;srchmode=1&amp;unlock","454563")</f>
        <v>454563</v>
      </c>
      <c r="E1357" t="s">
        <v>698</v>
      </c>
      <c r="F1357" t="s">
        <v>698</v>
      </c>
      <c r="G1357" t="str">
        <f>HYPERLINK("http://www.ncbi.nlm.nih.gov/Taxonomy/Browser/wwwtax.cgi?mode=Info&amp;id=454563&amp;lvl=3&amp;lin=f&amp;keep=1&amp;srchmode=1&amp;unlock","Lamprohiza splendidula")</f>
        <v>Lamprohiza splendidula</v>
      </c>
      <c r="H1357" t="s">
        <v>892</v>
      </c>
      <c r="I1357" t="str">
        <f>HYPERLINK("http://www.ncbi.nlm.nih.gov/protein/VUY41898.1","Ecdysone receptor, partial")</f>
        <v>Ecdysone receptor, partial</v>
      </c>
      <c r="J1357" t="s">
        <v>1261</v>
      </c>
      <c r="K1357">
        <v>43.51</v>
      </c>
      <c r="L1357" t="s">
        <v>25</v>
      </c>
      <c r="M1357">
        <v>157</v>
      </c>
      <c r="N1357">
        <v>62.55</v>
      </c>
      <c r="O1357">
        <v>8.4600000000000009</v>
      </c>
      <c r="P1357" t="s">
        <v>25</v>
      </c>
      <c r="Q1357" t="s">
        <v>1262</v>
      </c>
      <c r="R1357" t="s">
        <v>20</v>
      </c>
      <c r="S1357" t="str">
        <f>HYPERLINK("https://cfpub.epa.gov/ecotox/explore.cfm?ncbi=454563","Explore in ECOTOX")</f>
        <v>Explore in ECOTOX</v>
      </c>
    </row>
    <row r="1358" spans="1:19" x14ac:dyDescent="0.25">
      <c r="A1358">
        <v>6</v>
      </c>
      <c r="B1358" t="str">
        <f>HYPERLINK("http://www.ncbi.nlm.nih.gov/protein/AAC15588.1","AAC15588.1")</f>
        <v>AAC15588.1</v>
      </c>
      <c r="C1358">
        <v>116</v>
      </c>
      <c r="D1358" t="str">
        <f>HYPERLINK("http://www.ncbi.nlm.nih.gov/Taxonomy/Browser/wwwtax.cgi?mode=Info&amp;id=6943&amp;lvl=3&amp;lin=f&amp;keep=1&amp;srchmode=1&amp;unlock","6943")</f>
        <v>6943</v>
      </c>
      <c r="E1358" t="s">
        <v>700</v>
      </c>
      <c r="F1358" t="s">
        <v>700</v>
      </c>
      <c r="G1358" t="str">
        <f>HYPERLINK("http://www.ncbi.nlm.nih.gov/Taxonomy/Browser/wwwtax.cgi?mode=Info&amp;id=6943&amp;lvl=3&amp;lin=f&amp;keep=1&amp;srchmode=1&amp;unlock","Amblyomma americanum")</f>
        <v>Amblyomma americanum</v>
      </c>
      <c r="H1358" t="s">
        <v>1255</v>
      </c>
      <c r="I1358" t="str">
        <f>HYPERLINK("http://www.ncbi.nlm.nih.gov/protein/AAC15588.1","retinoid X receptor")</f>
        <v>retinoid X receptor</v>
      </c>
      <c r="J1358" t="s">
        <v>1261</v>
      </c>
      <c r="K1358">
        <v>43.51</v>
      </c>
      <c r="L1358" t="s">
        <v>25</v>
      </c>
      <c r="M1358">
        <v>157</v>
      </c>
      <c r="N1358">
        <v>62.55</v>
      </c>
      <c r="O1358">
        <v>8.4600000000000009</v>
      </c>
      <c r="P1358" t="s">
        <v>25</v>
      </c>
      <c r="Q1358" t="s">
        <v>1262</v>
      </c>
      <c r="R1358" t="s">
        <v>20</v>
      </c>
      <c r="S1358" t="str">
        <f>HYPERLINK("https://cfpub.epa.gov/ecotox/explore.cfm?ncbi=6943","Explore in ECOTOX")</f>
        <v>Explore in ECOTOX</v>
      </c>
    </row>
    <row r="1359" spans="1:19" x14ac:dyDescent="0.25">
      <c r="A1359">
        <v>6</v>
      </c>
      <c r="B1359" t="str">
        <f>HYPERLINK("http://www.ncbi.nlm.nih.gov/protein/ACD77184.1","ACD77184.1")</f>
        <v>ACD77184.1</v>
      </c>
      <c r="C1359">
        <v>31417</v>
      </c>
      <c r="D1359" t="str">
        <f>HYPERLINK("http://www.ncbi.nlm.nih.gov/Taxonomy/Browser/wwwtax.cgi?mode=Info&amp;id=64391&amp;lvl=3&amp;lin=f&amp;keep=1&amp;srchmode=1&amp;unlock","64391")</f>
        <v>64391</v>
      </c>
      <c r="E1359" t="s">
        <v>698</v>
      </c>
      <c r="F1359" t="s">
        <v>698</v>
      </c>
      <c r="G1359" t="str">
        <f>HYPERLINK("http://www.ncbi.nlm.nih.gov/Taxonomy/Browser/wwwtax.cgi?mode=Info&amp;id=64391&amp;lvl=3&amp;lin=f&amp;keep=1&amp;srchmode=1&amp;unlock","Callosobruchus maculatus")</f>
        <v>Callosobruchus maculatus</v>
      </c>
      <c r="H1359" t="s">
        <v>879</v>
      </c>
      <c r="I1359" t="str">
        <f>HYPERLINK("http://www.ncbi.nlm.nih.gov/protein/ACD77184.1","putative hepatocyte nuclear factor 4 nuclear hormone receptor")</f>
        <v>putative hepatocyte nuclear factor 4 nuclear hormone receptor</v>
      </c>
      <c r="J1359" t="s">
        <v>1261</v>
      </c>
      <c r="K1359">
        <v>43.13</v>
      </c>
      <c r="L1359" t="s">
        <v>25</v>
      </c>
      <c r="M1359">
        <v>157</v>
      </c>
      <c r="N1359">
        <v>62.55</v>
      </c>
      <c r="O1359">
        <v>8.39</v>
      </c>
      <c r="P1359" t="s">
        <v>25</v>
      </c>
      <c r="Q1359" t="s">
        <v>1262</v>
      </c>
      <c r="R1359" t="s">
        <v>20</v>
      </c>
      <c r="S1359" t="str">
        <f>HYPERLINK("https://cfpub.epa.gov/ecotox/explore.cfm?ncbi=64391","Explore in ECOTOX")</f>
        <v>Explore in ECOTOX</v>
      </c>
    </row>
    <row r="1360" spans="1:19" x14ac:dyDescent="0.25">
      <c r="A1360">
        <v>6</v>
      </c>
      <c r="B1360" t="str">
        <f>HYPERLINK("http://www.ncbi.nlm.nih.gov/protein/AMM72863.1","AMM72863.1")</f>
        <v>AMM72863.1</v>
      </c>
      <c r="C1360">
        <v>204</v>
      </c>
      <c r="D1360" t="str">
        <f>HYPERLINK("http://www.ncbi.nlm.nih.gov/Taxonomy/Browser/wwwtax.cgi?mode=Info&amp;id=267130&amp;lvl=3&amp;lin=f&amp;keep=1&amp;srchmode=1&amp;unlock","267130")</f>
        <v>267130</v>
      </c>
      <c r="E1360" t="s">
        <v>384</v>
      </c>
      <c r="F1360" t="s">
        <v>384</v>
      </c>
      <c r="G1360" t="str">
        <f>HYPERLINK("http://www.ncbi.nlm.nih.gov/Taxonomy/Browser/wwwtax.cgi?mode=Info&amp;id=267130&amp;lvl=3&amp;lin=f&amp;keep=1&amp;srchmode=1&amp;unlock","Acanthogobius hasta")</f>
        <v>Acanthogobius hasta</v>
      </c>
      <c r="H1360" t="s">
        <v>678</v>
      </c>
      <c r="I1360" t="str">
        <f>HYPERLINK("http://www.ncbi.nlm.nih.gov/protein/AMM72863.1","liver X receptor")</f>
        <v>liver X receptor</v>
      </c>
      <c r="J1360" t="s">
        <v>1261</v>
      </c>
      <c r="K1360">
        <v>43.13</v>
      </c>
      <c r="L1360" t="s">
        <v>25</v>
      </c>
      <c r="M1360">
        <v>157</v>
      </c>
      <c r="N1360">
        <v>62.55</v>
      </c>
      <c r="O1360">
        <v>8.39</v>
      </c>
      <c r="P1360" t="s">
        <v>20</v>
      </c>
      <c r="Q1360" t="s">
        <v>1262</v>
      </c>
      <c r="R1360" t="s">
        <v>20</v>
      </c>
      <c r="S1360" t="str">
        <f>HYPERLINK("https://cfpub.epa.gov/ecotox/explore.cfm?ncbi=267130","Explore in ECOTOX")</f>
        <v>Explore in ECOTOX</v>
      </c>
    </row>
    <row r="1361" spans="1:19" x14ac:dyDescent="0.25">
      <c r="A1361">
        <v>6</v>
      </c>
      <c r="B1361" t="str">
        <f>HYPERLINK("http://www.ncbi.nlm.nih.gov/protein/BAB03286.1","BAB03286.1")</f>
        <v>BAB03286.1</v>
      </c>
      <c r="C1361">
        <v>227</v>
      </c>
      <c r="D1361" t="str">
        <f>HYPERLINK("http://www.ncbi.nlm.nih.gov/Taxonomy/Browser/wwwtax.cgi?mode=Info&amp;id=64680&amp;lvl=3&amp;lin=f&amp;keep=1&amp;srchmode=1&amp;unlock","64680")</f>
        <v>64680</v>
      </c>
      <c r="E1361" t="s">
        <v>18</v>
      </c>
      <c r="F1361" t="s">
        <v>18</v>
      </c>
      <c r="G1361" t="str">
        <f>HYPERLINK("http://www.ncbi.nlm.nih.gov/Taxonomy/Browser/wwwtax.cgi?mode=Info&amp;id=64680&amp;lvl=3&amp;lin=f&amp;keep=1&amp;srchmode=1&amp;unlock","Tamias sibiricus")</f>
        <v>Tamias sibiricus</v>
      </c>
      <c r="H1361" t="s">
        <v>1249</v>
      </c>
      <c r="I1361" t="str">
        <f>HYPERLINK("http://www.ncbi.nlm.nih.gov/protein/BAB03286.1","hepatocyte nuclear factor 4")</f>
        <v>hepatocyte nuclear factor 4</v>
      </c>
      <c r="J1361" t="s">
        <v>1261</v>
      </c>
      <c r="K1361">
        <v>43.13</v>
      </c>
      <c r="L1361" t="s">
        <v>25</v>
      </c>
      <c r="M1361">
        <v>157</v>
      </c>
      <c r="N1361">
        <v>62.55</v>
      </c>
      <c r="O1361">
        <v>8.39</v>
      </c>
      <c r="P1361" t="s">
        <v>20</v>
      </c>
      <c r="Q1361" t="s">
        <v>1262</v>
      </c>
      <c r="R1361" t="s">
        <v>20</v>
      </c>
      <c r="S1361" t="str">
        <f>HYPERLINK("https://cfpub.epa.gov/ecotox/explore.cfm?ncbi=64680","Explore in ECOTOX")</f>
        <v>Explore in ECOTOX</v>
      </c>
    </row>
    <row r="1362" spans="1:19" x14ac:dyDescent="0.25">
      <c r="A1362">
        <v>6</v>
      </c>
      <c r="B1362" t="str">
        <f>HYPERLINK("http://www.ncbi.nlm.nih.gov/protein/AWI62944.1","AWI62944.1")</f>
        <v>AWI62944.1</v>
      </c>
      <c r="C1362">
        <v>509</v>
      </c>
      <c r="D1362" t="str">
        <f>HYPERLINK("http://www.ncbi.nlm.nih.gov/Taxonomy/Browser/wwwtax.cgi?mode=Info&amp;id=173339&amp;lvl=3&amp;lin=f&amp;keep=1&amp;srchmode=1&amp;unlock","173339")</f>
        <v>173339</v>
      </c>
      <c r="E1362" t="s">
        <v>384</v>
      </c>
      <c r="F1362" t="s">
        <v>384</v>
      </c>
      <c r="G1362" t="str">
        <f>HYPERLINK("http://www.ncbi.nlm.nih.gov/Taxonomy/Browser/wwwtax.cgi?mode=Info&amp;id=173339&amp;lvl=3&amp;lin=f&amp;keep=1&amp;srchmode=1&amp;unlock","Trachinotus ovatus")</f>
        <v>Trachinotus ovatus</v>
      </c>
      <c r="H1362" t="s">
        <v>659</v>
      </c>
      <c r="I1362" t="str">
        <f>HYPERLINK("http://www.ncbi.nlm.nih.gov/protein/AWI62944.1","NR1H3")</f>
        <v>NR1H3</v>
      </c>
      <c r="J1362" t="s">
        <v>1261</v>
      </c>
      <c r="K1362">
        <v>42.74</v>
      </c>
      <c r="L1362" t="s">
        <v>25</v>
      </c>
      <c r="M1362">
        <v>157</v>
      </c>
      <c r="N1362">
        <v>62.55</v>
      </c>
      <c r="O1362">
        <v>8.31</v>
      </c>
      <c r="P1362" t="s">
        <v>20</v>
      </c>
      <c r="Q1362" t="s">
        <v>1262</v>
      </c>
      <c r="R1362" t="s">
        <v>20</v>
      </c>
      <c r="S1362" t="str">
        <f>HYPERLINK("https://cfpub.epa.gov/ecotox/explore.cfm?ncbi=173339","Explore in ECOTOX")</f>
        <v>Explore in ECOTOX</v>
      </c>
    </row>
    <row r="1363" spans="1:19" x14ac:dyDescent="0.25">
      <c r="A1363">
        <v>6</v>
      </c>
      <c r="B1363" t="str">
        <f>HYPERLINK("http://www.ncbi.nlm.nih.gov/protein/VVC45261.1","VVC45261.1")</f>
        <v>VVC45261.1</v>
      </c>
      <c r="C1363">
        <v>22242</v>
      </c>
      <c r="D1363" t="str">
        <f>HYPERLINK("http://www.ncbi.nlm.nih.gov/Taxonomy/Browser/wwwtax.cgi?mode=Info&amp;id=506608&amp;lvl=3&amp;lin=f&amp;keep=1&amp;srchmode=1&amp;unlock","506608")</f>
        <v>506608</v>
      </c>
      <c r="E1363" t="s">
        <v>698</v>
      </c>
      <c r="F1363" t="s">
        <v>698</v>
      </c>
      <c r="G1363" t="str">
        <f>HYPERLINK("http://www.ncbi.nlm.nih.gov/Taxonomy/Browser/wwwtax.cgi?mode=Info&amp;id=506608&amp;lvl=3&amp;lin=f&amp;keep=1&amp;srchmode=1&amp;unlock","Cinara cedri")</f>
        <v>Cinara cedri</v>
      </c>
      <c r="H1363" t="s">
        <v>847</v>
      </c>
      <c r="I1363" t="str">
        <f>HYPERLINK("http://www.ncbi.nlm.nih.gov/protein/VVC45261.1","Zinc finger, nuclear hormone receptor-type,Retinoid X receptor/HNF4,Nuclear hormone receptor")</f>
        <v>Zinc finger, nuclear hormone receptor-type,Retinoid X receptor/HNF4,Nuclear hormone receptor</v>
      </c>
      <c r="J1363" t="s">
        <v>1261</v>
      </c>
      <c r="K1363">
        <v>42.36</v>
      </c>
      <c r="L1363" t="s">
        <v>25</v>
      </c>
      <c r="M1363">
        <v>157</v>
      </c>
      <c r="N1363">
        <v>62.55</v>
      </c>
      <c r="O1363">
        <v>8.24</v>
      </c>
      <c r="P1363" t="s">
        <v>25</v>
      </c>
      <c r="Q1363" t="s">
        <v>1262</v>
      </c>
      <c r="R1363" t="s">
        <v>20</v>
      </c>
      <c r="S1363" t="str">
        <f>HYPERLINK("https://cfpub.epa.gov/ecotox/explore.cfm?ncbi=506608","Explore in ECOTOX")</f>
        <v>Explore in ECOTOX</v>
      </c>
    </row>
    <row r="1364" spans="1:19" x14ac:dyDescent="0.25">
      <c r="A1364">
        <v>6</v>
      </c>
      <c r="B1364" t="str">
        <f>HYPERLINK("http://www.ncbi.nlm.nih.gov/protein/XP_015369584.1","XP_015369584.1")</f>
        <v>XP_015369584.1</v>
      </c>
      <c r="C1364">
        <v>17638</v>
      </c>
      <c r="D1364" t="str">
        <f>HYPERLINK("http://www.ncbi.nlm.nih.gov/Taxonomy/Browser/wwwtax.cgi?mode=Info&amp;id=143948&amp;lvl=3&amp;lin=f&amp;keep=1&amp;srchmode=1&amp;unlock","143948")</f>
        <v>143948</v>
      </c>
      <c r="E1364" t="s">
        <v>698</v>
      </c>
      <c r="F1364" t="s">
        <v>698</v>
      </c>
      <c r="G1364" t="str">
        <f>HYPERLINK("http://www.ncbi.nlm.nih.gov/Taxonomy/Browser/wwwtax.cgi?mode=Info&amp;id=143948&amp;lvl=3&amp;lin=f&amp;keep=1&amp;srchmode=1&amp;unlock","Diuraphis noxia")</f>
        <v>Diuraphis noxia</v>
      </c>
      <c r="H1364" t="s">
        <v>918</v>
      </c>
      <c r="I1364" t="str">
        <f>HYPERLINK("http://www.ncbi.nlm.nih.gov/protein/XP_015369584.1","PREDICTED: retinoic acid receptor RXR-alpha-B-like")</f>
        <v>PREDICTED: retinoic acid receptor RXR-alpha-B-like</v>
      </c>
      <c r="J1364" t="s">
        <v>1261</v>
      </c>
      <c r="K1364">
        <v>42.36</v>
      </c>
      <c r="L1364" t="s">
        <v>25</v>
      </c>
      <c r="M1364">
        <v>157</v>
      </c>
      <c r="N1364">
        <v>62.55</v>
      </c>
      <c r="O1364">
        <v>8.24</v>
      </c>
      <c r="P1364" t="s">
        <v>25</v>
      </c>
      <c r="Q1364" t="s">
        <v>1262</v>
      </c>
      <c r="R1364" t="s">
        <v>20</v>
      </c>
      <c r="S1364" t="str">
        <f>HYPERLINK("https://cfpub.epa.gov/ecotox/explore.cfm?ncbi=143948","Explore in ECOTOX")</f>
        <v>Explore in ECOTOX</v>
      </c>
    </row>
    <row r="1365" spans="1:19" x14ac:dyDescent="0.25">
      <c r="A1365">
        <v>6</v>
      </c>
      <c r="B1365" t="str">
        <f>HYPERLINK("http://www.ncbi.nlm.nih.gov/protein/VDP16058.1","VDP16058.1")</f>
        <v>VDP16058.1</v>
      </c>
      <c r="C1365">
        <v>25608</v>
      </c>
      <c r="D1365" t="str">
        <f>HYPERLINK("http://www.ncbi.nlm.nih.gov/Taxonomy/Browser/wwwtax.cgi?mode=Info&amp;id=48269&amp;lvl=3&amp;lin=f&amp;keep=1&amp;srchmode=1&amp;unlock","48269")</f>
        <v>48269</v>
      </c>
      <c r="E1365" t="s">
        <v>793</v>
      </c>
      <c r="F1365" t="s">
        <v>793</v>
      </c>
      <c r="G1365" t="str">
        <f>HYPERLINK("http://www.ncbi.nlm.nih.gov/Taxonomy/Browser/wwwtax.cgi?mode=Info&amp;id=48269&amp;lvl=3&amp;lin=f&amp;keep=1&amp;srchmode=1&amp;unlock","Schistosoma margrebowiei")</f>
        <v>Schistosoma margrebowiei</v>
      </c>
      <c r="H1365" t="s">
        <v>794</v>
      </c>
      <c r="I1365" t="str">
        <f>HYPERLINK("http://www.ncbi.nlm.nih.gov/protein/VDP16058.1","unnamed protein product")</f>
        <v>unnamed protein product</v>
      </c>
      <c r="J1365" t="s">
        <v>1261</v>
      </c>
      <c r="K1365">
        <v>42.36</v>
      </c>
      <c r="L1365" t="s">
        <v>25</v>
      </c>
      <c r="M1365">
        <v>157</v>
      </c>
      <c r="N1365">
        <v>62.55</v>
      </c>
      <c r="O1365">
        <v>8.24</v>
      </c>
      <c r="P1365" t="s">
        <v>25</v>
      </c>
      <c r="Q1365" t="s">
        <v>1262</v>
      </c>
      <c r="R1365" t="s">
        <v>20</v>
      </c>
      <c r="S1365" t="str">
        <f>HYPERLINK("https://cfpub.epa.gov/ecotox/explore.cfm?ncbi=48269","Explore in ECOTOX")</f>
        <v>Explore in ECOTOX</v>
      </c>
    </row>
    <row r="1366" spans="1:19" x14ac:dyDescent="0.25">
      <c r="A1366">
        <v>6</v>
      </c>
      <c r="B1366" t="str">
        <f>HYPERLINK("http://www.ncbi.nlm.nih.gov/protein/AAG15181.1","AAG15181.1")</f>
        <v>AAG15181.1</v>
      </c>
      <c r="C1366">
        <v>67176</v>
      </c>
      <c r="D1366" t="str">
        <f>HYPERLINK("http://www.ncbi.nlm.nih.gov/Taxonomy/Browser/wwwtax.cgi?mode=Info&amp;id=6239&amp;lvl=3&amp;lin=f&amp;keep=1&amp;srchmode=1&amp;unlock","6239")</f>
        <v>6239</v>
      </c>
      <c r="E1366" t="s">
        <v>869</v>
      </c>
      <c r="F1366" t="s">
        <v>869</v>
      </c>
      <c r="G1366" t="str">
        <f>HYPERLINK("http://www.ncbi.nlm.nih.gov/Taxonomy/Browser/wwwtax.cgi?mode=Info&amp;id=6239&amp;lvl=3&amp;lin=f&amp;keep=1&amp;srchmode=1&amp;unlock","Caenorhabditis elegans")</f>
        <v>Caenorhabditis elegans</v>
      </c>
      <c r="H1366" t="s">
        <v>1239</v>
      </c>
      <c r="I1366" t="str">
        <f>HYPERLINK("http://www.ncbi.nlm.nih.gov/protein/AAG15181.1","nuclear receptor NHR-91, partial")</f>
        <v>nuclear receptor NHR-91, partial</v>
      </c>
      <c r="J1366" t="s">
        <v>1261</v>
      </c>
      <c r="K1366">
        <v>41.2</v>
      </c>
      <c r="L1366" t="s">
        <v>25</v>
      </c>
      <c r="M1366">
        <v>157</v>
      </c>
      <c r="N1366">
        <v>62.55</v>
      </c>
      <c r="O1366">
        <v>8.01</v>
      </c>
      <c r="P1366" t="s">
        <v>25</v>
      </c>
      <c r="Q1366" t="s">
        <v>1262</v>
      </c>
      <c r="R1366" t="s">
        <v>20</v>
      </c>
      <c r="S1366" t="str">
        <f>HYPERLINK("https://cfpub.epa.gov/ecotox/explore.cfm?ncbi=6239","Explore in ECOTOX")</f>
        <v>Explore in ECOTOX</v>
      </c>
    </row>
    <row r="1367" spans="1:19" x14ac:dyDescent="0.25">
      <c r="A1367">
        <v>6</v>
      </c>
      <c r="B1367" t="str">
        <f>HYPERLINK("http://www.ncbi.nlm.nih.gov/protein/ALP73432.1","ALP73432.1")</f>
        <v>ALP73432.1</v>
      </c>
      <c r="C1367">
        <v>199</v>
      </c>
      <c r="D1367" t="str">
        <f>HYPERLINK("http://www.ncbi.nlm.nih.gov/Taxonomy/Browser/wwwtax.cgi?mode=Info&amp;id=7902&amp;lvl=3&amp;lin=f&amp;keep=1&amp;srchmode=1&amp;unlock","7902")</f>
        <v>7902</v>
      </c>
      <c r="E1367" t="s">
        <v>384</v>
      </c>
      <c r="F1367" t="s">
        <v>384</v>
      </c>
      <c r="G1367" t="str">
        <f>HYPERLINK("http://www.ncbi.nlm.nih.gov/Taxonomy/Browser/wwwtax.cgi?mode=Info&amp;id=7902&amp;lvl=3&amp;lin=f&amp;keep=1&amp;srchmode=1&amp;unlock","Acipenser gueldenstaedtii")</f>
        <v>Acipenser gueldenstaedtii</v>
      </c>
      <c r="H1367" t="s">
        <v>1248</v>
      </c>
      <c r="I1367" t="str">
        <f>HYPERLINK("http://www.ncbi.nlm.nih.gov/protein/ALP73432.1","liver X recepor")</f>
        <v>liver X recepor</v>
      </c>
      <c r="J1367" t="s">
        <v>1261</v>
      </c>
      <c r="K1367">
        <v>40.82</v>
      </c>
      <c r="L1367" t="s">
        <v>25</v>
      </c>
      <c r="M1367">
        <v>157</v>
      </c>
      <c r="N1367">
        <v>62.55</v>
      </c>
      <c r="O1367">
        <v>7.94</v>
      </c>
      <c r="P1367" t="s">
        <v>20</v>
      </c>
      <c r="Q1367" t="s">
        <v>1262</v>
      </c>
      <c r="R1367" t="s">
        <v>20</v>
      </c>
      <c r="S1367" t="str">
        <f>HYPERLINK("https://cfpub.epa.gov/ecotox/explore.cfm?ncbi=7902","Explore in ECOTOX")</f>
        <v>Explore in ECOTOX</v>
      </c>
    </row>
    <row r="1368" spans="1:19" x14ac:dyDescent="0.25">
      <c r="A1368">
        <v>6</v>
      </c>
      <c r="B1368" t="str">
        <f>HYPERLINK("http://www.ncbi.nlm.nih.gov/protein/CAB0029380.1","CAB0029380.1")</f>
        <v>CAB0029380.1</v>
      </c>
      <c r="C1368">
        <v>16951</v>
      </c>
      <c r="D1368" t="str">
        <f>HYPERLINK("http://www.ncbi.nlm.nih.gov/Taxonomy/Browser/wwwtax.cgi?mode=Info&amp;id=86971&amp;lvl=3&amp;lin=f&amp;keep=1&amp;srchmode=1&amp;unlock","86971")</f>
        <v>86971</v>
      </c>
      <c r="E1368" t="s">
        <v>698</v>
      </c>
      <c r="F1368" t="s">
        <v>698</v>
      </c>
      <c r="G1368" t="str">
        <f>HYPERLINK("http://www.ncbi.nlm.nih.gov/Taxonomy/Browser/wwwtax.cgi?mode=Info&amp;id=86971&amp;lvl=3&amp;lin=f&amp;keep=1&amp;srchmode=1&amp;unlock","Trichogramma brassicae")</f>
        <v>Trichogramma brassicae</v>
      </c>
      <c r="H1368" t="s">
        <v>849</v>
      </c>
      <c r="I1368" t="str">
        <f>HYPERLINK("http://www.ncbi.nlm.nih.gov/protein/CAB0029380.1","unnamed protein product")</f>
        <v>unnamed protein product</v>
      </c>
      <c r="J1368" t="s">
        <v>1261</v>
      </c>
      <c r="K1368">
        <v>40.43</v>
      </c>
      <c r="L1368" t="s">
        <v>25</v>
      </c>
      <c r="M1368">
        <v>157</v>
      </c>
      <c r="N1368">
        <v>62.55</v>
      </c>
      <c r="O1368">
        <v>7.86</v>
      </c>
      <c r="P1368" t="s">
        <v>25</v>
      </c>
      <c r="Q1368" t="s">
        <v>1262</v>
      </c>
      <c r="R1368" t="s">
        <v>20</v>
      </c>
      <c r="S1368" t="str">
        <f>HYPERLINK("https://cfpub.epa.gov/ecotox/explore.cfm?ncbi=86971","Explore in ECOTOX")</f>
        <v>Explore in ECOTOX</v>
      </c>
    </row>
    <row r="1369" spans="1:19" x14ac:dyDescent="0.25">
      <c r="A1369">
        <v>6</v>
      </c>
      <c r="B1369" t="str">
        <f>HYPERLINK("http://www.ncbi.nlm.nih.gov/protein/XP_029203020.1","XP_029203020.1")</f>
        <v>XP_029203020.1</v>
      </c>
      <c r="C1369">
        <v>35604</v>
      </c>
      <c r="D1369" t="str">
        <f>HYPERLINK("http://www.ncbi.nlm.nih.gov/Taxonomy/Browser/wwwtax.cgi?mode=Info&amp;id=45264&amp;lvl=3&amp;lin=f&amp;keep=1&amp;srchmode=1&amp;unlock","45264")</f>
        <v>45264</v>
      </c>
      <c r="E1369" t="s">
        <v>1183</v>
      </c>
      <c r="F1369" t="s">
        <v>1183</v>
      </c>
      <c r="G1369" t="str">
        <f>HYPERLINK("http://www.ncbi.nlm.nih.gov/Taxonomy/Browser/wwwtax.cgi?mode=Info&amp;id=45264&amp;lvl=3&amp;lin=f&amp;keep=1&amp;srchmode=1&amp;unlock","Acropora millepora")</f>
        <v>Acropora millepora</v>
      </c>
      <c r="H1369" t="s">
        <v>1209</v>
      </c>
      <c r="I1369" t="str">
        <f>HYPERLINK("http://www.ncbi.nlm.nih.gov/protein/XP_029203020.1","retinoic acid receptor RXR-gamma-B-like")</f>
        <v>retinoic acid receptor RXR-gamma-B-like</v>
      </c>
      <c r="J1369" t="s">
        <v>1261</v>
      </c>
      <c r="K1369">
        <v>39.659999999999997</v>
      </c>
      <c r="L1369" t="s">
        <v>25</v>
      </c>
      <c r="M1369">
        <v>157</v>
      </c>
      <c r="N1369">
        <v>62.55</v>
      </c>
      <c r="O1369">
        <v>7.71</v>
      </c>
      <c r="P1369" t="s">
        <v>25</v>
      </c>
      <c r="Q1369" t="s">
        <v>1262</v>
      </c>
      <c r="R1369" t="s">
        <v>20</v>
      </c>
      <c r="S1369" t="str">
        <f>HYPERLINK("https://cfpub.epa.gov/ecotox/explore.cfm?ncbi=45264","Explore in ECOTOX")</f>
        <v>Explore in ECOTOX</v>
      </c>
    </row>
    <row r="1370" spans="1:19" x14ac:dyDescent="0.25">
      <c r="A1370">
        <v>6</v>
      </c>
      <c r="B1370" t="str">
        <f>HYPERLINK("http://www.ncbi.nlm.nih.gov/protein/KAA3675458.1","KAA3675458.1")</f>
        <v>KAA3675458.1</v>
      </c>
      <c r="C1370">
        <v>24986</v>
      </c>
      <c r="D1370" t="str">
        <f>HYPERLINK("http://www.ncbi.nlm.nih.gov/Taxonomy/Browser/wwwtax.cgi?mode=Info&amp;id=34504&amp;lvl=3&amp;lin=f&amp;keep=1&amp;srchmode=1&amp;unlock","34504")</f>
        <v>34504</v>
      </c>
      <c r="E1370" t="s">
        <v>793</v>
      </c>
      <c r="F1370" t="s">
        <v>793</v>
      </c>
      <c r="G1370" t="str">
        <f>HYPERLINK("http://www.ncbi.nlm.nih.gov/Taxonomy/Browser/wwwtax.cgi?mode=Info&amp;id=34504&amp;lvl=3&amp;lin=f&amp;keep=1&amp;srchmode=1&amp;unlock","Paragonimus westermani")</f>
        <v>Paragonimus westermani</v>
      </c>
      <c r="H1370" t="s">
        <v>897</v>
      </c>
      <c r="I1370" t="str">
        <f>HYPERLINK("http://www.ncbi.nlm.nih.gov/protein/KAA3675458.1","uncharacterized protein DEA37_0011783")</f>
        <v>uncharacterized protein DEA37_0011783</v>
      </c>
      <c r="J1370" t="s">
        <v>1261</v>
      </c>
      <c r="K1370">
        <v>39.659999999999997</v>
      </c>
      <c r="L1370" t="s">
        <v>25</v>
      </c>
      <c r="M1370">
        <v>157</v>
      </c>
      <c r="N1370">
        <v>62.55</v>
      </c>
      <c r="O1370">
        <v>7.71</v>
      </c>
      <c r="P1370" t="s">
        <v>25</v>
      </c>
      <c r="Q1370" t="s">
        <v>1262</v>
      </c>
      <c r="R1370" t="s">
        <v>20</v>
      </c>
      <c r="S1370" t="str">
        <f>HYPERLINK("https://cfpub.epa.gov/ecotox/explore.cfm?ncbi=34504","Explore in ECOTOX")</f>
        <v>Explore in ECOTOX</v>
      </c>
    </row>
    <row r="1371" spans="1:19" x14ac:dyDescent="0.25">
      <c r="A1371">
        <v>6</v>
      </c>
      <c r="B1371" t="str">
        <f>HYPERLINK("http://www.ncbi.nlm.nih.gov/protein/EGT40508.1","EGT40508.1")</f>
        <v>EGT40508.1</v>
      </c>
      <c r="C1371">
        <v>31595</v>
      </c>
      <c r="D1371" t="str">
        <f>HYPERLINK("http://www.ncbi.nlm.nih.gov/Taxonomy/Browser/wwwtax.cgi?mode=Info&amp;id=135651&amp;lvl=3&amp;lin=f&amp;keep=1&amp;srchmode=1&amp;unlock","135651")</f>
        <v>135651</v>
      </c>
      <c r="E1371" t="s">
        <v>869</v>
      </c>
      <c r="F1371" t="s">
        <v>869</v>
      </c>
      <c r="G1371" t="str">
        <f>HYPERLINK("http://www.ncbi.nlm.nih.gov/Taxonomy/Browser/wwwtax.cgi?mode=Info&amp;id=135651&amp;lvl=3&amp;lin=f&amp;keep=1&amp;srchmode=1&amp;unlock","Caenorhabditis brenneri")</f>
        <v>Caenorhabditis brenneri</v>
      </c>
      <c r="H1371" t="s">
        <v>803</v>
      </c>
      <c r="I1371" t="str">
        <f>HYPERLINK("http://www.ncbi.nlm.nih.gov/protein/EGT40508.1","CBN-NHR-91 protein")</f>
        <v>CBN-NHR-91 protein</v>
      </c>
      <c r="J1371" t="s">
        <v>1261</v>
      </c>
      <c r="K1371">
        <v>39.659999999999997</v>
      </c>
      <c r="L1371" t="s">
        <v>25</v>
      </c>
      <c r="M1371">
        <v>157</v>
      </c>
      <c r="N1371">
        <v>62.55</v>
      </c>
      <c r="O1371">
        <v>7.71</v>
      </c>
      <c r="P1371" t="s">
        <v>25</v>
      </c>
      <c r="Q1371" t="s">
        <v>1262</v>
      </c>
      <c r="R1371" t="s">
        <v>20</v>
      </c>
      <c r="S1371" t="str">
        <f>HYPERLINK("https://cfpub.epa.gov/ecotox/explore.cfm?ncbi=135651","Explore in ECOTOX")</f>
        <v>Explore in ECOTOX</v>
      </c>
    </row>
    <row r="1372" spans="1:19" x14ac:dyDescent="0.25">
      <c r="A1372">
        <v>6</v>
      </c>
      <c r="B1372" t="str">
        <f>HYPERLINK("http://www.ncbi.nlm.nih.gov/protein/AAD23397.1","AAD23397.1")</f>
        <v>AAD23397.1</v>
      </c>
      <c r="C1372">
        <v>317</v>
      </c>
      <c r="D1372" t="str">
        <f>HYPERLINK("http://www.ncbi.nlm.nih.gov/Taxonomy/Browser/wwwtax.cgi?mode=Info&amp;id=9091&amp;lvl=3&amp;lin=f&amp;keep=1&amp;srchmode=1&amp;unlock","9091")</f>
        <v>9091</v>
      </c>
      <c r="E1372" t="s">
        <v>167</v>
      </c>
      <c r="F1372" t="s">
        <v>167</v>
      </c>
      <c r="G1372" t="str">
        <f>HYPERLINK("http://www.ncbi.nlm.nih.gov/Taxonomy/Browser/wwwtax.cgi?mode=Info&amp;id=9091&amp;lvl=3&amp;lin=f&amp;keep=1&amp;srchmode=1&amp;unlock","Coturnix coturnix")</f>
        <v>Coturnix coturnix</v>
      </c>
      <c r="H1372" t="s">
        <v>1253</v>
      </c>
      <c r="I1372" t="str">
        <f>HYPERLINK("http://www.ncbi.nlm.nih.gov/protein/AAD23397.1","retinoic acid receptor beta-1")</f>
        <v>retinoic acid receptor beta-1</v>
      </c>
      <c r="J1372" t="s">
        <v>1261</v>
      </c>
      <c r="K1372">
        <v>39.28</v>
      </c>
      <c r="L1372" t="s">
        <v>25</v>
      </c>
      <c r="M1372">
        <v>157</v>
      </c>
      <c r="N1372">
        <v>62.55</v>
      </c>
      <c r="O1372">
        <v>7.64</v>
      </c>
      <c r="P1372" t="s">
        <v>20</v>
      </c>
      <c r="Q1372" t="s">
        <v>1262</v>
      </c>
      <c r="R1372" t="s">
        <v>20</v>
      </c>
      <c r="S1372" t="str">
        <f>HYPERLINK("https://cfpub.epa.gov/ecotox/explore.cfm?ncbi=9091","Explore in ECOTOX")</f>
        <v>Explore in ECOTOX</v>
      </c>
    </row>
    <row r="1373" spans="1:19" x14ac:dyDescent="0.25">
      <c r="A1373">
        <v>6</v>
      </c>
      <c r="B1373" t="str">
        <f>HYPERLINK("http://www.ncbi.nlm.nih.gov/protein/P18514.1","P18514.1")</f>
        <v>P18514.1</v>
      </c>
      <c r="C1373">
        <v>449</v>
      </c>
      <c r="D1373" t="str">
        <f>HYPERLINK("http://www.ncbi.nlm.nih.gov/Taxonomy/Browser/wwwtax.cgi?mode=Info&amp;id=8316&amp;lvl=3&amp;lin=f&amp;keep=1&amp;srchmode=1&amp;unlock","8316")</f>
        <v>8316</v>
      </c>
      <c r="E1373" t="s">
        <v>134</v>
      </c>
      <c r="F1373" t="s">
        <v>134</v>
      </c>
      <c r="G1373" t="str">
        <f>HYPERLINK("http://www.ncbi.nlm.nih.gov/Taxonomy/Browser/wwwtax.cgi?mode=Info&amp;id=8316&amp;lvl=3&amp;lin=f&amp;keep=1&amp;srchmode=1&amp;unlock","Notophthalmus viridescens")</f>
        <v>Notophthalmus viridescens</v>
      </c>
      <c r="H1373" t="s">
        <v>1254</v>
      </c>
      <c r="I1373" t="str">
        <f>HYPERLINK("http://www.ncbi.nlm.nih.gov/protein/P18514.1","RecName: Full=Retinoic acid receptor alpha; Short=RAR-alpha; AltName: Full=Nuclear receptor subfamily 1 group B member 1")</f>
        <v>RecName: Full=Retinoic acid receptor alpha; Short=RAR-alpha; AltName: Full=Nuclear receptor subfamily 1 group B member 1</v>
      </c>
      <c r="J1373" t="s">
        <v>1261</v>
      </c>
      <c r="K1373">
        <v>38.89</v>
      </c>
      <c r="L1373" t="s">
        <v>25</v>
      </c>
      <c r="M1373">
        <v>157</v>
      </c>
      <c r="N1373">
        <v>62.55</v>
      </c>
      <c r="O1373">
        <v>7.56</v>
      </c>
      <c r="P1373" t="s">
        <v>20</v>
      </c>
      <c r="Q1373" t="s">
        <v>1262</v>
      </c>
      <c r="R1373" t="s">
        <v>20</v>
      </c>
      <c r="S1373" t="str">
        <f>HYPERLINK("https://cfpub.epa.gov/ecotox/explore.cfm?ncbi=8316","Explore in ECOTOX")</f>
        <v>Explore in ECOTOX</v>
      </c>
    </row>
    <row r="1374" spans="1:19" x14ac:dyDescent="0.25">
      <c r="A1374">
        <v>6</v>
      </c>
      <c r="B1374" t="str">
        <f>HYPERLINK("http://www.ncbi.nlm.nih.gov/protein/VVC93315.1","VVC93315.1")</f>
        <v>VVC93315.1</v>
      </c>
      <c r="C1374">
        <v>20060</v>
      </c>
      <c r="D1374" t="str">
        <f>HYPERLINK("http://www.ncbi.nlm.nih.gov/Taxonomy/Browser/wwwtax.cgi?mode=Info&amp;id=189913&amp;lvl=3&amp;lin=f&amp;keep=1&amp;srchmode=1&amp;unlock","189913")</f>
        <v>189913</v>
      </c>
      <c r="E1374" t="s">
        <v>698</v>
      </c>
      <c r="F1374" t="s">
        <v>698</v>
      </c>
      <c r="G1374" t="str">
        <f>HYPERLINK("http://www.ncbi.nlm.nih.gov/Taxonomy/Browser/wwwtax.cgi?mode=Info&amp;id=189913&amp;lvl=3&amp;lin=f&amp;keep=1&amp;srchmode=1&amp;unlock","Leptidea sinapis")</f>
        <v>Leptidea sinapis</v>
      </c>
      <c r="H1374" t="s">
        <v>941</v>
      </c>
      <c r="I1374" t="str">
        <f>HYPERLINK("http://www.ncbi.nlm.nih.gov/protein/VVC93315.1","unnamed protein product")</f>
        <v>unnamed protein product</v>
      </c>
      <c r="J1374" t="s">
        <v>1261</v>
      </c>
      <c r="K1374">
        <v>38.51</v>
      </c>
      <c r="L1374" t="s">
        <v>25</v>
      </c>
      <c r="M1374">
        <v>157</v>
      </c>
      <c r="N1374">
        <v>62.55</v>
      </c>
      <c r="O1374">
        <v>7.49</v>
      </c>
      <c r="P1374" t="s">
        <v>25</v>
      </c>
      <c r="Q1374" t="s">
        <v>1262</v>
      </c>
      <c r="R1374" t="s">
        <v>20</v>
      </c>
      <c r="S1374" t="str">
        <f>HYPERLINK("https://cfpub.epa.gov/ecotox/explore.cfm?ncbi=189913","Explore in ECOTOX")</f>
        <v>Explore in ECOTOX</v>
      </c>
    </row>
    <row r="1375" spans="1:19" x14ac:dyDescent="0.25">
      <c r="A1375">
        <v>6</v>
      </c>
      <c r="B1375" t="str">
        <f>HYPERLINK("http://www.ncbi.nlm.nih.gov/protein/XP_026687734.1","XP_026687734.1")</f>
        <v>XP_026687734.1</v>
      </c>
      <c r="C1375">
        <v>25935</v>
      </c>
      <c r="D1375" t="str">
        <f>HYPERLINK("http://www.ncbi.nlm.nih.gov/Taxonomy/Browser/wwwtax.cgi?mode=Info&amp;id=121845&amp;lvl=3&amp;lin=f&amp;keep=1&amp;srchmode=1&amp;unlock","121845")</f>
        <v>121845</v>
      </c>
      <c r="E1375" t="s">
        <v>698</v>
      </c>
      <c r="F1375" t="s">
        <v>698</v>
      </c>
      <c r="G1375" t="str">
        <f>HYPERLINK("http://www.ncbi.nlm.nih.gov/Taxonomy/Browser/wwwtax.cgi?mode=Info&amp;id=121845&amp;lvl=3&amp;lin=f&amp;keep=1&amp;srchmode=1&amp;unlock","Diaphorina citri")</f>
        <v>Diaphorina citri</v>
      </c>
      <c r="H1375" t="s">
        <v>911</v>
      </c>
      <c r="I1375" t="str">
        <f>HYPERLINK("http://www.ncbi.nlm.nih.gov/protein/XP_026687734.1","steroid hormone receptor ERR1-like, partial")</f>
        <v>steroid hormone receptor ERR1-like, partial</v>
      </c>
      <c r="J1375" t="s">
        <v>1261</v>
      </c>
      <c r="K1375">
        <v>35.42</v>
      </c>
      <c r="L1375" t="s">
        <v>25</v>
      </c>
      <c r="M1375">
        <v>157</v>
      </c>
      <c r="N1375">
        <v>62.55</v>
      </c>
      <c r="O1375">
        <v>6.89</v>
      </c>
      <c r="P1375" t="s">
        <v>25</v>
      </c>
      <c r="Q1375" t="s">
        <v>1262</v>
      </c>
      <c r="R1375" t="s">
        <v>20</v>
      </c>
      <c r="S1375" t="str">
        <f>HYPERLINK("https://cfpub.epa.gov/ecotox/explore.cfm?ncbi=121845","Explore in ECOTOX")</f>
        <v>Explore in ECOTOX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7024B-36D8-49CA-8046-EEBF26159B3A}">
  <dimension ref="A1:F53"/>
  <sheetViews>
    <sheetView workbookViewId="0">
      <selection activeCell="J20" sqref="J20"/>
    </sheetView>
  </sheetViews>
  <sheetFormatPr defaultRowHeight="15" x14ac:dyDescent="0.25"/>
  <sheetData>
    <row r="1" spans="1:6" x14ac:dyDescent="0.25">
      <c r="A1" t="s">
        <v>4</v>
      </c>
      <c r="B1" t="s">
        <v>5</v>
      </c>
      <c r="C1" t="s">
        <v>1356</v>
      </c>
      <c r="D1" t="s">
        <v>1357</v>
      </c>
      <c r="E1" t="s">
        <v>1358</v>
      </c>
      <c r="F1" t="s">
        <v>14</v>
      </c>
    </row>
    <row r="2" spans="1:6" x14ac:dyDescent="0.25">
      <c r="A2" t="s">
        <v>18</v>
      </c>
      <c r="B2" t="s">
        <v>18</v>
      </c>
      <c r="C2">
        <v>202</v>
      </c>
      <c r="D2">
        <v>87.65</v>
      </c>
      <c r="E2">
        <v>100</v>
      </c>
      <c r="F2" t="s">
        <v>20</v>
      </c>
    </row>
    <row r="3" spans="1:6" x14ac:dyDescent="0.25">
      <c r="A3" t="s">
        <v>134</v>
      </c>
      <c r="B3" t="s">
        <v>134</v>
      </c>
      <c r="C3">
        <v>29</v>
      </c>
      <c r="D3">
        <v>58.52</v>
      </c>
      <c r="E3">
        <v>70.41</v>
      </c>
      <c r="F3" t="s">
        <v>20</v>
      </c>
    </row>
    <row r="4" spans="1:6" x14ac:dyDescent="0.25">
      <c r="A4" t="s">
        <v>236</v>
      </c>
      <c r="B4" t="s">
        <v>236</v>
      </c>
      <c r="C4">
        <v>29</v>
      </c>
      <c r="D4">
        <v>75.91</v>
      </c>
      <c r="E4">
        <v>98.13</v>
      </c>
      <c r="F4" t="s">
        <v>20</v>
      </c>
    </row>
    <row r="5" spans="1:6" x14ac:dyDescent="0.25">
      <c r="A5" t="s">
        <v>321</v>
      </c>
      <c r="B5" t="s">
        <v>321</v>
      </c>
      <c r="C5">
        <v>15</v>
      </c>
      <c r="D5">
        <v>77.78</v>
      </c>
      <c r="E5">
        <v>98.95</v>
      </c>
      <c r="F5" t="s">
        <v>20</v>
      </c>
    </row>
    <row r="6" spans="1:6" x14ac:dyDescent="0.25">
      <c r="A6" t="s">
        <v>167</v>
      </c>
      <c r="B6" t="s">
        <v>167</v>
      </c>
      <c r="C6">
        <v>401</v>
      </c>
      <c r="D6">
        <v>83.81</v>
      </c>
      <c r="E6">
        <v>95.66</v>
      </c>
      <c r="F6" t="s">
        <v>20</v>
      </c>
    </row>
    <row r="7" spans="1:6" x14ac:dyDescent="0.25">
      <c r="A7" t="s">
        <v>371</v>
      </c>
      <c r="B7" t="s">
        <v>371</v>
      </c>
      <c r="C7">
        <v>7</v>
      </c>
      <c r="D7">
        <v>66.58</v>
      </c>
      <c r="E7">
        <v>94.23</v>
      </c>
      <c r="F7" t="s">
        <v>20</v>
      </c>
    </row>
    <row r="8" spans="1:6" x14ac:dyDescent="0.25">
      <c r="A8" t="s">
        <v>646</v>
      </c>
      <c r="B8" t="s">
        <v>646</v>
      </c>
      <c r="C8">
        <v>2</v>
      </c>
      <c r="D8">
        <v>76.03</v>
      </c>
      <c r="E8">
        <v>76.03</v>
      </c>
      <c r="F8" t="s">
        <v>20</v>
      </c>
    </row>
    <row r="9" spans="1:6" x14ac:dyDescent="0.25">
      <c r="A9" t="s">
        <v>384</v>
      </c>
      <c r="B9" t="s">
        <v>384</v>
      </c>
      <c r="C9">
        <v>238</v>
      </c>
      <c r="D9">
        <v>56.84</v>
      </c>
      <c r="E9">
        <v>70.41</v>
      </c>
      <c r="F9" t="s">
        <v>20</v>
      </c>
    </row>
    <row r="10" spans="1:6" x14ac:dyDescent="0.25">
      <c r="A10" t="s">
        <v>522</v>
      </c>
      <c r="B10" t="s">
        <v>522</v>
      </c>
      <c r="C10">
        <v>2</v>
      </c>
      <c r="D10">
        <v>74.94</v>
      </c>
      <c r="E10">
        <v>74.94</v>
      </c>
      <c r="F10" t="s">
        <v>20</v>
      </c>
    </row>
    <row r="11" spans="1:6" x14ac:dyDescent="0.25">
      <c r="A11" t="s">
        <v>550</v>
      </c>
      <c r="B11" t="s">
        <v>550</v>
      </c>
      <c r="C11">
        <v>11</v>
      </c>
      <c r="D11">
        <v>63.08</v>
      </c>
      <c r="E11">
        <v>72.66</v>
      </c>
      <c r="F11" t="s">
        <v>20</v>
      </c>
    </row>
    <row r="12" spans="1:6" x14ac:dyDescent="0.25">
      <c r="A12" t="s">
        <v>687</v>
      </c>
      <c r="B12" t="s">
        <v>687</v>
      </c>
      <c r="C12">
        <v>4</v>
      </c>
      <c r="D12">
        <v>43.63</v>
      </c>
      <c r="E12">
        <v>43.71</v>
      </c>
      <c r="F12" t="s">
        <v>20</v>
      </c>
    </row>
    <row r="13" spans="1:6" x14ac:dyDescent="0.25">
      <c r="A13" t="s">
        <v>680</v>
      </c>
      <c r="B13" t="s">
        <v>680</v>
      </c>
      <c r="C13">
        <v>3</v>
      </c>
      <c r="D13">
        <v>30.14</v>
      </c>
      <c r="E13">
        <v>15.8</v>
      </c>
      <c r="F13" t="s">
        <v>25</v>
      </c>
    </row>
    <row r="14" spans="1:6" x14ac:dyDescent="0.25">
      <c r="A14" t="s">
        <v>696</v>
      </c>
      <c r="B14" t="s">
        <v>696</v>
      </c>
      <c r="C14">
        <v>3</v>
      </c>
      <c r="D14">
        <v>30.26</v>
      </c>
      <c r="E14">
        <v>17</v>
      </c>
      <c r="F14" t="s">
        <v>25</v>
      </c>
    </row>
    <row r="15" spans="1:6" x14ac:dyDescent="0.25">
      <c r="A15" t="s">
        <v>698</v>
      </c>
      <c r="B15" t="s">
        <v>698</v>
      </c>
      <c r="C15">
        <v>248</v>
      </c>
      <c r="D15">
        <v>13.25</v>
      </c>
      <c r="E15">
        <v>13.07</v>
      </c>
      <c r="F15" t="s">
        <v>25</v>
      </c>
    </row>
    <row r="16" spans="1:6" x14ac:dyDescent="0.25">
      <c r="A16" t="s">
        <v>700</v>
      </c>
      <c r="B16" t="s">
        <v>700</v>
      </c>
      <c r="C16">
        <v>26</v>
      </c>
      <c r="D16">
        <v>12.82</v>
      </c>
      <c r="E16">
        <v>12.96</v>
      </c>
      <c r="F16" t="s">
        <v>25</v>
      </c>
    </row>
    <row r="17" spans="1:6" x14ac:dyDescent="0.25">
      <c r="A17" t="s">
        <v>822</v>
      </c>
      <c r="B17" t="s">
        <v>822</v>
      </c>
      <c r="C17">
        <v>5</v>
      </c>
      <c r="D17">
        <v>14.51</v>
      </c>
      <c r="E17">
        <v>15.65</v>
      </c>
      <c r="F17" t="s">
        <v>25</v>
      </c>
    </row>
    <row r="18" spans="1:6" x14ac:dyDescent="0.25">
      <c r="A18" t="s">
        <v>725</v>
      </c>
      <c r="B18" t="s">
        <v>725</v>
      </c>
      <c r="C18">
        <v>3</v>
      </c>
      <c r="D18">
        <v>14.15</v>
      </c>
      <c r="E18">
        <v>15.8</v>
      </c>
      <c r="F18" t="s">
        <v>25</v>
      </c>
    </row>
    <row r="19" spans="1:6" x14ac:dyDescent="0.25">
      <c r="A19" t="s">
        <v>861</v>
      </c>
      <c r="B19" t="s">
        <v>861</v>
      </c>
      <c r="C19">
        <v>1</v>
      </c>
      <c r="D19">
        <v>15.5</v>
      </c>
      <c r="E19">
        <v>15.5</v>
      </c>
      <c r="F19" t="s">
        <v>25</v>
      </c>
    </row>
    <row r="20" spans="1:6" x14ac:dyDescent="0.25">
      <c r="A20" t="s">
        <v>742</v>
      </c>
      <c r="B20" t="s">
        <v>742</v>
      </c>
      <c r="C20">
        <v>20</v>
      </c>
      <c r="D20">
        <v>11.9</v>
      </c>
      <c r="E20">
        <v>11.72</v>
      </c>
      <c r="F20" t="s">
        <v>25</v>
      </c>
    </row>
    <row r="21" spans="1:6" x14ac:dyDescent="0.25">
      <c r="A21" t="s">
        <v>1131</v>
      </c>
      <c r="B21" t="s">
        <v>1131</v>
      </c>
      <c r="C21">
        <v>2</v>
      </c>
      <c r="D21">
        <v>12.69</v>
      </c>
      <c r="E21">
        <v>12.69</v>
      </c>
      <c r="F21" t="s">
        <v>25</v>
      </c>
    </row>
    <row r="22" spans="1:6" x14ac:dyDescent="0.25">
      <c r="A22" t="s">
        <v>709</v>
      </c>
      <c r="B22" t="s">
        <v>709</v>
      </c>
      <c r="C22">
        <v>15</v>
      </c>
      <c r="D22">
        <v>13.15</v>
      </c>
      <c r="E22">
        <v>13.93</v>
      </c>
      <c r="F22" t="s">
        <v>25</v>
      </c>
    </row>
    <row r="23" spans="1:6" x14ac:dyDescent="0.25">
      <c r="A23" t="s">
        <v>691</v>
      </c>
      <c r="B23" t="s">
        <v>691</v>
      </c>
      <c r="C23">
        <v>5</v>
      </c>
      <c r="D23">
        <v>13.18</v>
      </c>
      <c r="E23">
        <v>13.48</v>
      </c>
      <c r="F23" t="s">
        <v>25</v>
      </c>
    </row>
    <row r="24" spans="1:6" x14ac:dyDescent="0.25">
      <c r="A24" t="s">
        <v>720</v>
      </c>
      <c r="B24" t="s">
        <v>720</v>
      </c>
      <c r="C24">
        <v>1</v>
      </c>
      <c r="D24">
        <v>14.38</v>
      </c>
      <c r="E24">
        <v>14.38</v>
      </c>
      <c r="F24" t="s">
        <v>25</v>
      </c>
    </row>
    <row r="25" spans="1:6" x14ac:dyDescent="0.25">
      <c r="A25" t="s">
        <v>760</v>
      </c>
      <c r="B25" t="s">
        <v>760</v>
      </c>
      <c r="C25">
        <v>7</v>
      </c>
      <c r="D25">
        <v>12.43</v>
      </c>
      <c r="E25">
        <v>12.66</v>
      </c>
      <c r="F25" t="s">
        <v>25</v>
      </c>
    </row>
    <row r="26" spans="1:6" x14ac:dyDescent="0.25">
      <c r="A26" t="s">
        <v>763</v>
      </c>
      <c r="B26" t="s">
        <v>763</v>
      </c>
      <c r="C26">
        <v>14</v>
      </c>
      <c r="D26">
        <v>12.35</v>
      </c>
      <c r="E26">
        <v>12.73</v>
      </c>
      <c r="F26" t="s">
        <v>25</v>
      </c>
    </row>
    <row r="27" spans="1:6" x14ac:dyDescent="0.25">
      <c r="A27" t="s">
        <v>855</v>
      </c>
      <c r="B27" t="s">
        <v>855</v>
      </c>
      <c r="C27">
        <v>12</v>
      </c>
      <c r="D27">
        <v>11.75</v>
      </c>
      <c r="E27">
        <v>12.47</v>
      </c>
      <c r="F27" t="s">
        <v>25</v>
      </c>
    </row>
    <row r="28" spans="1:6" x14ac:dyDescent="0.25">
      <c r="A28" t="s">
        <v>715</v>
      </c>
      <c r="B28" t="s">
        <v>715</v>
      </c>
      <c r="C28">
        <v>3</v>
      </c>
      <c r="D28">
        <v>13.41</v>
      </c>
      <c r="E28">
        <v>13.56</v>
      </c>
      <c r="F28" t="s">
        <v>25</v>
      </c>
    </row>
    <row r="29" spans="1:6" x14ac:dyDescent="0.25">
      <c r="A29" t="s">
        <v>765</v>
      </c>
      <c r="B29" t="s">
        <v>765</v>
      </c>
      <c r="C29">
        <v>2</v>
      </c>
      <c r="D29">
        <v>13.07</v>
      </c>
      <c r="E29">
        <v>13.07</v>
      </c>
      <c r="F29" t="s">
        <v>25</v>
      </c>
    </row>
    <row r="30" spans="1:6" x14ac:dyDescent="0.25">
      <c r="A30" t="s">
        <v>806</v>
      </c>
      <c r="B30" t="s">
        <v>806</v>
      </c>
      <c r="C30">
        <v>2</v>
      </c>
      <c r="D30">
        <v>13.26</v>
      </c>
      <c r="E30">
        <v>13.26</v>
      </c>
      <c r="F30" t="s">
        <v>25</v>
      </c>
    </row>
    <row r="31" spans="1:6" x14ac:dyDescent="0.25">
      <c r="A31" t="s">
        <v>786</v>
      </c>
      <c r="B31" t="s">
        <v>786</v>
      </c>
      <c r="C31">
        <v>7</v>
      </c>
      <c r="D31">
        <v>11.21</v>
      </c>
      <c r="E31">
        <v>10.71</v>
      </c>
      <c r="F31" t="s">
        <v>25</v>
      </c>
    </row>
    <row r="32" spans="1:6" x14ac:dyDescent="0.25">
      <c r="A32" t="s">
        <v>746</v>
      </c>
      <c r="B32" t="s">
        <v>746</v>
      </c>
      <c r="C32">
        <v>2</v>
      </c>
      <c r="D32">
        <v>12.58</v>
      </c>
      <c r="E32">
        <v>12.58</v>
      </c>
      <c r="F32" t="s">
        <v>25</v>
      </c>
    </row>
    <row r="33" spans="1:6" x14ac:dyDescent="0.25">
      <c r="A33" t="s">
        <v>797</v>
      </c>
      <c r="B33" t="s">
        <v>797</v>
      </c>
      <c r="C33">
        <v>1</v>
      </c>
      <c r="D33">
        <v>13.11</v>
      </c>
      <c r="E33">
        <v>13.11</v>
      </c>
      <c r="F33" t="s">
        <v>25</v>
      </c>
    </row>
    <row r="34" spans="1:6" x14ac:dyDescent="0.25">
      <c r="A34" t="s">
        <v>1153</v>
      </c>
      <c r="B34" t="s">
        <v>1153</v>
      </c>
      <c r="C34">
        <v>2</v>
      </c>
      <c r="D34">
        <v>12.21</v>
      </c>
      <c r="E34">
        <v>12.21</v>
      </c>
      <c r="F34" t="s">
        <v>25</v>
      </c>
    </row>
    <row r="35" spans="1:6" x14ac:dyDescent="0.25">
      <c r="A35" t="s">
        <v>811</v>
      </c>
      <c r="B35" t="s">
        <v>811</v>
      </c>
      <c r="C35">
        <v>2</v>
      </c>
      <c r="D35">
        <v>12.62</v>
      </c>
      <c r="E35">
        <v>12.62</v>
      </c>
      <c r="F35" t="s">
        <v>25</v>
      </c>
    </row>
    <row r="36" spans="1:6" x14ac:dyDescent="0.25">
      <c r="A36" t="s">
        <v>826</v>
      </c>
      <c r="B36" t="s">
        <v>826</v>
      </c>
      <c r="C36">
        <v>2</v>
      </c>
      <c r="D36">
        <v>11.23</v>
      </c>
      <c r="E36">
        <v>11.23</v>
      </c>
      <c r="F36" t="s">
        <v>25</v>
      </c>
    </row>
    <row r="37" spans="1:6" x14ac:dyDescent="0.25">
      <c r="A37" t="s">
        <v>768</v>
      </c>
      <c r="B37" t="s">
        <v>768</v>
      </c>
      <c r="C37">
        <v>1</v>
      </c>
      <c r="D37">
        <v>12.13</v>
      </c>
      <c r="E37">
        <v>12.13</v>
      </c>
      <c r="F37" t="s">
        <v>25</v>
      </c>
    </row>
    <row r="38" spans="1:6" x14ac:dyDescent="0.25">
      <c r="A38" t="s">
        <v>1206</v>
      </c>
      <c r="B38" t="s">
        <v>1206</v>
      </c>
      <c r="C38">
        <v>1</v>
      </c>
      <c r="D38">
        <v>11.68</v>
      </c>
      <c r="E38">
        <v>11.68</v>
      </c>
      <c r="F38" t="s">
        <v>25</v>
      </c>
    </row>
    <row r="39" spans="1:6" x14ac:dyDescent="0.25">
      <c r="A39" t="s">
        <v>869</v>
      </c>
      <c r="B39" t="s">
        <v>869</v>
      </c>
      <c r="C39">
        <v>15</v>
      </c>
      <c r="D39">
        <v>9.42</v>
      </c>
      <c r="E39">
        <v>9.51</v>
      </c>
      <c r="F39" t="s">
        <v>25</v>
      </c>
    </row>
    <row r="40" spans="1:6" x14ac:dyDescent="0.25">
      <c r="A40" t="s">
        <v>1219</v>
      </c>
      <c r="B40" t="s">
        <v>1219</v>
      </c>
      <c r="C40">
        <v>1</v>
      </c>
      <c r="D40">
        <v>11.23</v>
      </c>
      <c r="E40">
        <v>11.23</v>
      </c>
      <c r="F40" t="s">
        <v>25</v>
      </c>
    </row>
    <row r="41" spans="1:6" x14ac:dyDescent="0.25">
      <c r="A41" t="s">
        <v>1185</v>
      </c>
      <c r="B41" t="s">
        <v>1185</v>
      </c>
      <c r="C41">
        <v>1</v>
      </c>
      <c r="D41">
        <v>11.16</v>
      </c>
      <c r="E41">
        <v>11.16</v>
      </c>
      <c r="F41" t="s">
        <v>25</v>
      </c>
    </row>
    <row r="42" spans="1:6" x14ac:dyDescent="0.25">
      <c r="A42" t="s">
        <v>1179</v>
      </c>
      <c r="B42" t="s">
        <v>1179</v>
      </c>
      <c r="C42">
        <v>1</v>
      </c>
      <c r="D42">
        <v>10.93</v>
      </c>
      <c r="E42">
        <v>10.93</v>
      </c>
      <c r="F42" t="s">
        <v>25</v>
      </c>
    </row>
    <row r="43" spans="1:6" x14ac:dyDescent="0.25">
      <c r="A43" t="s">
        <v>1197</v>
      </c>
      <c r="B43" t="s">
        <v>1197</v>
      </c>
      <c r="C43">
        <v>1</v>
      </c>
      <c r="D43">
        <v>10.93</v>
      </c>
      <c r="E43">
        <v>10.93</v>
      </c>
      <c r="F43" t="s">
        <v>25</v>
      </c>
    </row>
    <row r="44" spans="1:6" x14ac:dyDescent="0.25">
      <c r="A44" t="s">
        <v>1214</v>
      </c>
      <c r="B44" t="s">
        <v>1214</v>
      </c>
      <c r="C44">
        <v>2</v>
      </c>
      <c r="D44">
        <v>10.52</v>
      </c>
      <c r="E44">
        <v>10.52</v>
      </c>
      <c r="F44" t="s">
        <v>25</v>
      </c>
    </row>
    <row r="45" spans="1:6" x14ac:dyDescent="0.25">
      <c r="A45" t="s">
        <v>1183</v>
      </c>
      <c r="B45" t="s">
        <v>1183</v>
      </c>
      <c r="C45">
        <v>9</v>
      </c>
      <c r="D45">
        <v>9.4700000000000006</v>
      </c>
      <c r="E45">
        <v>9.44</v>
      </c>
      <c r="F45" t="s">
        <v>25</v>
      </c>
    </row>
    <row r="46" spans="1:6" x14ac:dyDescent="0.25">
      <c r="A46" t="s">
        <v>1191</v>
      </c>
      <c r="B46" t="s">
        <v>1191</v>
      </c>
      <c r="C46">
        <v>1</v>
      </c>
      <c r="D46">
        <v>10.33</v>
      </c>
      <c r="E46">
        <v>10.33</v>
      </c>
      <c r="F46" t="s">
        <v>25</v>
      </c>
    </row>
    <row r="47" spans="1:6" x14ac:dyDescent="0.25">
      <c r="A47" t="s">
        <v>1226</v>
      </c>
      <c r="B47" t="s">
        <v>1226</v>
      </c>
      <c r="C47">
        <v>1</v>
      </c>
      <c r="D47">
        <v>9.81</v>
      </c>
      <c r="E47">
        <v>9.81</v>
      </c>
      <c r="F47" t="s">
        <v>25</v>
      </c>
    </row>
    <row r="48" spans="1:6" x14ac:dyDescent="0.25">
      <c r="A48" t="s">
        <v>864</v>
      </c>
      <c r="B48" t="s">
        <v>864</v>
      </c>
      <c r="C48">
        <v>2</v>
      </c>
      <c r="D48">
        <v>9.66</v>
      </c>
      <c r="E48">
        <v>9.66</v>
      </c>
      <c r="F48" t="s">
        <v>25</v>
      </c>
    </row>
    <row r="49" spans="1:6" x14ac:dyDescent="0.25">
      <c r="A49" t="s">
        <v>704</v>
      </c>
      <c r="B49" t="s">
        <v>704</v>
      </c>
      <c r="C49">
        <v>3</v>
      </c>
      <c r="D49">
        <v>9.2899999999999991</v>
      </c>
      <c r="E49">
        <v>9.2100000000000009</v>
      </c>
      <c r="F49" t="s">
        <v>25</v>
      </c>
    </row>
    <row r="50" spans="1:6" x14ac:dyDescent="0.25">
      <c r="A50" t="s">
        <v>793</v>
      </c>
      <c r="B50" t="s">
        <v>793</v>
      </c>
      <c r="C50">
        <v>4</v>
      </c>
      <c r="D50">
        <v>8.4600000000000009</v>
      </c>
      <c r="E50">
        <v>8.35</v>
      </c>
      <c r="F50" t="s">
        <v>25</v>
      </c>
    </row>
    <row r="51" spans="1:6" x14ac:dyDescent="0.25">
      <c r="A51" t="s">
        <v>1181</v>
      </c>
      <c r="B51" t="s">
        <v>1181</v>
      </c>
      <c r="C51">
        <v>1</v>
      </c>
      <c r="D51">
        <v>9.36</v>
      </c>
      <c r="E51">
        <v>9.36</v>
      </c>
      <c r="F51" t="s">
        <v>25</v>
      </c>
    </row>
    <row r="52" spans="1:6" x14ac:dyDescent="0.25">
      <c r="A52" t="s">
        <v>1244</v>
      </c>
      <c r="B52" t="s">
        <v>1244</v>
      </c>
      <c r="C52">
        <v>1</v>
      </c>
      <c r="D52">
        <v>9.2899999999999991</v>
      </c>
      <c r="E52">
        <v>9.2899999999999991</v>
      </c>
      <c r="F52" t="s">
        <v>25</v>
      </c>
    </row>
    <row r="53" spans="1:6" x14ac:dyDescent="0.25">
      <c r="A53" t="s">
        <v>1210</v>
      </c>
      <c r="B53" t="s">
        <v>1210</v>
      </c>
      <c r="C53">
        <v>1</v>
      </c>
      <c r="D53">
        <v>8.4600000000000009</v>
      </c>
      <c r="E53">
        <v>8.4600000000000009</v>
      </c>
      <c r="F53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L1 LFABP Primary Report</vt:lpstr>
      <vt:lpstr>L1 LFABP Summary Report</vt:lpstr>
      <vt:lpstr>L3 LFABP Primary Report</vt:lpstr>
      <vt:lpstr>L3 LFABP Full Report</vt:lpstr>
      <vt:lpstr>L3 LFABP Summary Report</vt:lpstr>
      <vt:lpstr>L1 AR Primary Report</vt:lpstr>
      <vt:lpstr>L1 AR Summary Report</vt:lpstr>
      <vt:lpstr>L2 AR Primary Report</vt:lpstr>
      <vt:lpstr>L2  AR Summary Report</vt:lpstr>
      <vt:lpstr>L3 AR Primary Report</vt:lpstr>
      <vt:lpstr>L3 AR Full Report</vt:lpstr>
      <vt:lpstr>L3 AR Summary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LaLone, Carlie</dc:creator>
  <cp:lastModifiedBy>LaLone, Carlie</cp:lastModifiedBy>
  <dcterms:created xsi:type="dcterms:W3CDTF">2022-06-03T13:31:41Z</dcterms:created>
  <dcterms:modified xsi:type="dcterms:W3CDTF">2022-06-03T15:32:11Z</dcterms:modified>
</cp:coreProperties>
</file>